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119.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omments66.xml" ContentType="application/vnd.openxmlformats-officedocument.spreadsheetml.comments+xml"/>
  <Override PartName="/xl/comments67.xml" ContentType="application/vnd.openxmlformats-officedocument.spreadsheetml.comments+xml"/>
  <Override PartName="/xl/comments68.xml" ContentType="application/vnd.openxmlformats-officedocument.spreadsheetml.comments+xml"/>
  <Override PartName="/xl/comments69.xml" ContentType="application/vnd.openxmlformats-officedocument.spreadsheetml.comments+xml"/>
  <Override PartName="/xl/comments70.xml" ContentType="application/vnd.openxmlformats-officedocument.spreadsheetml.comments+xml"/>
  <Override PartName="/xl/comments85.xml" ContentType="application/vnd.openxmlformats-officedocument.spreadsheetml.comments+xml"/>
  <Override PartName="/xl/comments93.xml" ContentType="application/vnd.openxmlformats-officedocument.spreadsheetml.comments+xml"/>
  <Override PartName="/xl/comments80.xml" ContentType="application/vnd.openxmlformats-officedocument.spreadsheetml.comments+xml"/>
  <Override PartName="/xl/comments94.xml" ContentType="application/vnd.openxmlformats-officedocument.spreadsheetml.comments+xml"/>
  <Override PartName="/xl/comments74.xml" ContentType="application/vnd.openxmlformats-officedocument.spreadsheetml.comments+xml"/>
  <Override PartName="/xl/comments95.xml" ContentType="application/vnd.openxmlformats-officedocument.spreadsheetml.comments+xml"/>
  <Override PartName="/xl/comments86.xml" ContentType="application/vnd.openxmlformats-officedocument.spreadsheetml.comments+xml"/>
  <Override PartName="/xl/comments96.xml" ContentType="application/vnd.openxmlformats-officedocument.spreadsheetml.comments+xml"/>
  <Override PartName="/xl/comments72.xml" ContentType="application/vnd.openxmlformats-officedocument.spreadsheetml.comments+xml"/>
  <Override PartName="/xl/comments81.xml" ContentType="application/vnd.openxmlformats-officedocument.spreadsheetml.comments+xml"/>
  <Override PartName="/xl/comments87.xml" ContentType="application/vnd.openxmlformats-officedocument.spreadsheetml.comments+xml"/>
  <Override PartName="/xl/comments97.xml" ContentType="application/vnd.openxmlformats-officedocument.spreadsheetml.comments+xml"/>
  <Override PartName="/xl/comments78.xml" ContentType="application/vnd.openxmlformats-officedocument.spreadsheetml.comments+xml"/>
  <Override PartName="/xl/comments98.xml" ContentType="application/vnd.openxmlformats-officedocument.spreadsheetml.comments+xml"/>
  <Override PartName="/xl/comments88.xml" ContentType="application/vnd.openxmlformats-officedocument.spreadsheetml.comments+xml"/>
  <Override PartName="/xl/comments99.xml" ContentType="application/vnd.openxmlformats-officedocument.spreadsheetml.comments+xml"/>
  <Override PartName="/xl/comments82.xml" ContentType="application/vnd.openxmlformats-officedocument.spreadsheetml.comments+xml"/>
  <Override PartName="/xl/comments73.xml" ContentType="application/vnd.openxmlformats-officedocument.spreadsheetml.comments+xml"/>
  <Override PartName="/xl/comments100.xml" ContentType="application/vnd.openxmlformats-officedocument.spreadsheetml.comments+xml"/>
  <Override PartName="/xl/comments89.xml" ContentType="application/vnd.openxmlformats-officedocument.spreadsheetml.comments+xml"/>
  <Override PartName="/xl/comments76.xml" ContentType="application/vnd.openxmlformats-officedocument.spreadsheetml.comments+xml"/>
  <Override PartName="/xl/comments83.xml" ContentType="application/vnd.openxmlformats-officedocument.spreadsheetml.comments+xml"/>
  <Override PartName="/xl/comments101.xml" ContentType="application/vnd.openxmlformats-officedocument.spreadsheetml.comments+xml"/>
  <Override PartName="/xl/comments90.xml" ContentType="application/vnd.openxmlformats-officedocument.spreadsheetml.comments+xml"/>
  <Override PartName="/xl/comments10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71.xml" ContentType="application/vnd.openxmlformats-officedocument.spreadsheetml.comments+xml"/>
  <Override PartName="/xl/comments79.xml" ContentType="application/vnd.openxmlformats-officedocument.spreadsheetml.comments+xml"/>
  <Override PartName="/xl/comments91.xml" ContentType="application/vnd.openxmlformats-officedocument.spreadsheetml.comments+xml"/>
  <Override PartName="/xl/comments84.xml" ContentType="application/vnd.openxmlformats-officedocument.spreadsheetml.comments+xml"/>
  <Override PartName="/xl/comments75.xml" ContentType="application/vnd.openxmlformats-officedocument.spreadsheetml.comments+xml"/>
  <Override PartName="/xl/comments92.xml" ContentType="application/vnd.openxmlformats-officedocument.spreadsheetml.comments+xml"/>
  <Override PartName="/xl/comments77.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mc:AlternateContent xmlns:mc="http://schemas.openxmlformats.org/markup-compatibility/2006">
    <mc:Choice Requires="x15">
      <x15ac:absPath xmlns:x15ac="http://schemas.microsoft.com/office/spreadsheetml/2010/11/ac" url="F:\Publicaciones\"/>
    </mc:Choice>
  </mc:AlternateContent>
  <xr:revisionPtr revIDLastSave="0" documentId="13_ncr:1_{326A0864-663F-4ED3-B95E-6E41F49797BE}" xr6:coauthVersionLast="46" xr6:coauthVersionMax="46" xr10:uidLastSave="{00000000-0000-0000-0000-000000000000}"/>
  <bookViews>
    <workbookView xWindow="-120" yWindow="-120" windowWidth="29040" windowHeight="15840" xr2:uid="{00000000-000D-0000-FFFF-FFFF00000000}"/>
  </bookViews>
  <sheets>
    <sheet name="Glosario" sheetId="1" r:id="rId1"/>
    <sheet name=" Contexto Conceptos Tecnicos" sheetId="2" r:id="rId2"/>
    <sheet name="Identificación del Riesgo" sheetId="3" r:id="rId3"/>
    <sheet name="Analisis Riesgo" sheetId="4" r:id="rId4"/>
    <sheet name="Analisis Riesgo Corrupcion" sheetId="5" r:id="rId5"/>
    <sheet name="Matriz de Riesgo" sheetId="6" state="hidden" r:id="rId6"/>
    <sheet name="Controles" sheetId="7" r:id="rId7"/>
    <sheet name="RESUMEN" sheetId="11" r:id="rId8"/>
    <sheet name="Mapa de Calor" sheetId="8" r:id="rId9"/>
    <sheet name="Cuadro de Cambios" sheetId="9" r:id="rId10"/>
    <sheet name="Datos" sheetId="10" r:id="rId11"/>
    <sheet name="Contexto CONVOCATORIAS" sheetId="12" r:id="rId12"/>
    <sheet name="Identificación del Riesgo (2)" sheetId="13" r:id="rId13"/>
    <sheet name="Analisis Riesgo (2)" sheetId="14" r:id="rId14"/>
    <sheet name="Analisis Riesgo Corrupcion (2)" sheetId="15" r:id="rId15"/>
    <sheet name="Controles (2)" sheetId="16" r:id="rId16"/>
    <sheet name="RESUMEN (2)" sheetId="60" r:id="rId17"/>
    <sheet name="Contexto Demanda" sheetId="17" r:id="rId18"/>
    <sheet name="Identificación del Riesgo ( (3" sheetId="18" r:id="rId19"/>
    <sheet name="Analisis Riesgo (3)" sheetId="19" r:id="rId20"/>
    <sheet name="Analisis Riesgo Corrupcion  (3" sheetId="20" r:id="rId21"/>
    <sheet name="Controles (3)" sheetId="21" r:id="rId22"/>
    <sheet name="Resumen (3)" sheetId="61" r:id="rId23"/>
    <sheet name="Contexto Evaluacion y control" sheetId="22" r:id="rId24"/>
    <sheet name="Identificación del Riesgo EYC" sheetId="23" r:id="rId25"/>
    <sheet name="Analisis Riesgo (4)" sheetId="24" r:id="rId26"/>
    <sheet name="Analisis Riesgo Corrupcion EYC" sheetId="25" r:id="rId27"/>
    <sheet name="Controles (4)" sheetId="26" r:id="rId28"/>
    <sheet name="RESUMEN (4)" sheetId="62" r:id="rId29"/>
    <sheet name="Contexto Fondos" sheetId="27" r:id="rId30"/>
    <sheet name="Identificación del Riesgo F" sheetId="28" r:id="rId31"/>
    <sheet name="Analisis Riesgo (5)" sheetId="29" r:id="rId32"/>
    <sheet name="Analisis Riesgo Corrupcion F" sheetId="30" r:id="rId33"/>
    <sheet name="Controles (5)" sheetId="31" r:id="rId34"/>
    <sheet name="RESUMEN (5)" sheetId="64" r:id="rId35"/>
    <sheet name="Contexto" sheetId="32" r:id="rId36"/>
    <sheet name="Identificación del Riesgo EE" sheetId="33" r:id="rId37"/>
    <sheet name="Analisis Riesgo (6)" sheetId="34" r:id="rId38"/>
    <sheet name="Analisis Riesgo Corrupcion EE" sheetId="35" r:id="rId39"/>
    <sheet name="Controles (6)" sheetId="36" r:id="rId40"/>
    <sheet name="RESUMEN (6)" sheetId="65" r:id="rId41"/>
    <sheet name="Contexto (2)" sheetId="37" r:id="rId42"/>
    <sheet name="Identificación del Riesgo H" sheetId="38" r:id="rId43"/>
    <sheet name="Analisis Riesgo (7)" sheetId="39" r:id="rId44"/>
    <sheet name="Analisis Riesgo Corrupcion H " sheetId="40" r:id="rId45"/>
    <sheet name="Controles (7)" sheetId="41" r:id="rId46"/>
    <sheet name="RESUMEN (7)" sheetId="66" r:id="rId47"/>
    <sheet name="Contexto (3)" sheetId="42" r:id="rId48"/>
    <sheet name="Identificación del Riesgo M" sheetId="43" r:id="rId49"/>
    <sheet name="Analisis Riesgo (8)" sheetId="44" r:id="rId50"/>
    <sheet name="Analisis Riesgo Corrupcion M" sheetId="45" r:id="rId51"/>
    <sheet name="Controles (8)" sheetId="46" r:id="rId52"/>
    <sheet name="RESUMEN (8)" sheetId="67" r:id="rId53"/>
    <sheet name="Contexto (4)" sheetId="47" r:id="rId54"/>
    <sheet name="Identificación del Riesgo SC" sheetId="48" r:id="rId55"/>
    <sheet name="Analisis Riesgo (9)" sheetId="49" r:id="rId56"/>
    <sheet name="Controles (9)" sheetId="50" r:id="rId57"/>
    <sheet name="MAPA DE RIESGOS" sheetId="68" r:id="rId58"/>
    <sheet name="Contexto (5)" sheetId="51" r:id="rId59"/>
    <sheet name="Identificación del Riesgo CE" sheetId="52" r:id="rId60"/>
    <sheet name="Analisis Riesgo (10)" sheetId="53" r:id="rId61"/>
    <sheet name="Controles (10)" sheetId="54" r:id="rId62"/>
    <sheet name="Mapa de riesgos (2)" sheetId="69" r:id="rId63"/>
    <sheet name="Contexto (6)" sheetId="55" r:id="rId64"/>
    <sheet name="Identificación del Riesgo DE" sheetId="56" r:id="rId65"/>
    <sheet name="Analisis Riesgo (11)" sheetId="57" r:id="rId66"/>
    <sheet name="Analisis Riesgo Corrupcion DE" sheetId="58" r:id="rId67"/>
    <sheet name="Controles (11)" sheetId="59" r:id="rId68"/>
    <sheet name="Mapa de riesgos (3)" sheetId="70" r:id="rId69"/>
    <sheet name="Contexto (7)" sheetId="71" r:id="rId70"/>
    <sheet name="Identificación del Riesgo D" sheetId="72" r:id="rId71"/>
    <sheet name="Analisis Riesgo (12)" sheetId="73" r:id="rId72"/>
    <sheet name="Analisis Riesgo CorrupcionD" sheetId="74" r:id="rId73"/>
    <sheet name="Controles (12)" sheetId="75" r:id="rId74"/>
    <sheet name="Mapa de riesgos (4)" sheetId="76" r:id="rId75"/>
    <sheet name="Contexto (8)" sheetId="77" r:id="rId76"/>
    <sheet name="Identificación del Riesgo GA" sheetId="78" r:id="rId77"/>
    <sheet name="Analisis Riesgo (13)" sheetId="79" r:id="rId78"/>
    <sheet name="Controles (13)" sheetId="80" r:id="rId79"/>
    <sheet name="MAPA DE RIESGOS (5)" sheetId="81" r:id="rId80"/>
    <sheet name="Contexto (9)" sheetId="82" r:id="rId81"/>
    <sheet name="Identificación del Riesgo GC" sheetId="83" r:id="rId82"/>
    <sheet name="Analisis Riesgo (14)" sheetId="84" r:id="rId83"/>
    <sheet name="Analisis Riesgo Corrupcion GC" sheetId="85" r:id="rId84"/>
    <sheet name="Controles (14)" sheetId="86" r:id="rId85"/>
    <sheet name="MAPA DE RIESGOS (6)" sheetId="87" r:id="rId86"/>
    <sheet name="Contexto (10)" sheetId="88" r:id="rId87"/>
    <sheet name="Identificación del Riesgo TIC" sheetId="89" r:id="rId88"/>
    <sheet name="Analisis Riesgo (15)" sheetId="90" r:id="rId89"/>
    <sheet name="Analisis Riesgo Corrupcion TIC" sheetId="91" r:id="rId90"/>
    <sheet name="Controles (15)" sheetId="92" r:id="rId91"/>
    <sheet name="MAPA DE RIESGOS (7)" sheetId="93" r:id="rId92"/>
    <sheet name="Contexto (11)" sheetId="94" r:id="rId93"/>
    <sheet name="Identificación del Riesgo TH" sheetId="95" r:id="rId94"/>
    <sheet name="Analisis Riesgo (16)" sheetId="96" r:id="rId95"/>
    <sheet name="Controles (16)" sheetId="97" r:id="rId96"/>
    <sheet name="MAPA DE RIESGOS (8)" sheetId="98" r:id="rId97"/>
    <sheet name="Contexto (12)" sheetId="99" r:id="rId98"/>
    <sheet name="Identificación del Riesgo GD" sheetId="100" r:id="rId99"/>
    <sheet name="Analisis Riesgo (17)" sheetId="101" r:id="rId100"/>
    <sheet name="Controles (17)" sheetId="102" r:id="rId101"/>
    <sheet name="MAPA DE RIESGOS (9)" sheetId="103" r:id="rId102"/>
    <sheet name="Analisis Riesgo Corrupcion GD" sheetId="104" r:id="rId103"/>
    <sheet name="Contexto (13)" sheetId="105" r:id="rId104"/>
    <sheet name="Contexto (14)" sheetId="106" r:id="rId105"/>
    <sheet name="Identificación del Riesgo GF" sheetId="107" r:id="rId106"/>
    <sheet name="Analisis Riesgo (18)" sheetId="108" r:id="rId107"/>
    <sheet name="Controles (18)" sheetId="109" r:id="rId108"/>
    <sheet name="MAPA DE RIESGOS (10)" sheetId="110" r:id="rId109"/>
    <sheet name="Analisis Riesgo Corrupcion GF" sheetId="111" r:id="rId110"/>
    <sheet name="Contexto (15)" sheetId="112" r:id="rId111"/>
    <sheet name="Identificación del Riesgo GJ" sheetId="113" r:id="rId112"/>
    <sheet name="Analisis Riesgo (19)" sheetId="114" r:id="rId113"/>
    <sheet name="Controles (19)" sheetId="115" r:id="rId114"/>
    <sheet name="MAPA DE RIESGOS (11)" sheetId="116" r:id="rId115"/>
    <sheet name="Analisis Riesgo Corrupcion GJ" sheetId="117" r:id="rId116"/>
    <sheet name="Contexto (16)" sheetId="118" r:id="rId117"/>
    <sheet name="Identificación del Riesgo IS" sheetId="119" r:id="rId118"/>
    <sheet name="Analisis Riesgo (20)" sheetId="120" r:id="rId119"/>
    <sheet name="Analisis Riesgo Corrupcion IS" sheetId="121" r:id="rId120"/>
    <sheet name="Controles (20)" sheetId="122" r:id="rId121"/>
    <sheet name="MAPA DE RIESGOS (12)" sheetId="123" r:id="rId122"/>
    <sheet name="Contexto (17)" sheetId="124" r:id="rId123"/>
    <sheet name="Identificación del Riesgo MC" sheetId="125" r:id="rId124"/>
    <sheet name="Analisis Riesgo (21)" sheetId="126" r:id="rId125"/>
    <sheet name="Controles (21)" sheetId="127" r:id="rId126"/>
    <sheet name="Analisis Riesgo Corrupcion MC" sheetId="128" r:id="rId127"/>
    <sheet name="Mapa de riesgos (13)" sheetId="129" r:id="rId128"/>
  </sheets>
  <externalReferences>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s>
  <definedNames>
    <definedName name="_xlnm._FilterDatabase" localSheetId="60" hidden="1">'Analisis Riesgo (10)'!$B$5:$W$6</definedName>
    <definedName name="_xlnm._FilterDatabase" localSheetId="65" hidden="1">'Analisis Riesgo (11)'!$B$5:$AC$6</definedName>
    <definedName name="_xlnm._FilterDatabase" localSheetId="71" hidden="1">'Analisis Riesgo (12)'!$B$5:$AK$6</definedName>
    <definedName name="_xlnm._FilterDatabase" localSheetId="77" hidden="1">'Analisis Riesgo (13)'!$B$5:$X$6</definedName>
    <definedName name="_xlnm._FilterDatabase" localSheetId="82" hidden="1">'Analisis Riesgo (14)'!$B$5:$X$6</definedName>
    <definedName name="_xlnm._FilterDatabase" localSheetId="88" hidden="1">'Analisis Riesgo (15)'!$B$5:$X$6</definedName>
    <definedName name="_xlnm._FilterDatabase" localSheetId="94" hidden="1">'Analisis Riesgo (16)'!$B$5:$X$6</definedName>
    <definedName name="_xlnm._FilterDatabase" localSheetId="99" hidden="1">'Analisis Riesgo (17)'!$B$5:$X$6</definedName>
    <definedName name="_xlnm._FilterDatabase" localSheetId="106" hidden="1">'Analisis Riesgo (18)'!$B$5:$X$6</definedName>
    <definedName name="_xlnm._FilterDatabase" localSheetId="112" hidden="1">'Analisis Riesgo (19)'!$B$5:$X$6</definedName>
    <definedName name="_xlnm._FilterDatabase" localSheetId="13" hidden="1">'Analisis Riesgo (2)'!$B$5:$AM$6</definedName>
    <definedName name="_xlnm._FilterDatabase" localSheetId="118" hidden="1">'Analisis Riesgo (20)'!$B$5:$X$6</definedName>
    <definedName name="_xlnm._FilterDatabase" localSheetId="124" hidden="1">'Analisis Riesgo (21)'!$B$5:$X$6</definedName>
    <definedName name="_xlnm._FilterDatabase" localSheetId="25" hidden="1">'Analisis Riesgo (4)'!$B$5:$AK$6</definedName>
    <definedName name="_xlnm._FilterDatabase" localSheetId="43" hidden="1">'Analisis Riesgo (7)'!$B$5:$AK$6</definedName>
    <definedName name="_xlnm._FilterDatabase" localSheetId="86" hidden="1">'Contexto (10)'!$A$6:$E$7</definedName>
    <definedName name="_xlnm._FilterDatabase" localSheetId="92" hidden="1">'Contexto (11)'!$A$6:$E$7</definedName>
    <definedName name="_xlnm._FilterDatabase" localSheetId="97" hidden="1">'Contexto (12)'!$A$6:$E$7</definedName>
    <definedName name="_xlnm._FilterDatabase" localSheetId="103" hidden="1">'Contexto (13)'!$A$6:$E$7</definedName>
    <definedName name="_xlnm._FilterDatabase" localSheetId="104" hidden="1">'Contexto (14)'!$A$6:$E$7</definedName>
    <definedName name="_xlnm._FilterDatabase" localSheetId="110" hidden="1">'Contexto (15)'!$A$6:$E$7</definedName>
    <definedName name="_xlnm._FilterDatabase" localSheetId="116" hidden="1">'Contexto (16)'!$A$6:$E$7</definedName>
    <definedName name="_xlnm._FilterDatabase" localSheetId="122" hidden="1">'Contexto (17)'!$A$6:$E$7</definedName>
    <definedName name="_xlnm._FilterDatabase" localSheetId="41" hidden="1">'Contexto (2)'!$A$6:$E$7</definedName>
    <definedName name="_xlnm._FilterDatabase" localSheetId="58" hidden="1">'Contexto (5)'!$A$6:$E$7</definedName>
    <definedName name="_xlnm._FilterDatabase" localSheetId="63" hidden="1">'Contexto (6)'!$A$6:$E$7</definedName>
    <definedName name="_xlnm._FilterDatabase" localSheetId="69" hidden="1">'Contexto (7)'!$A$6:$E$7</definedName>
    <definedName name="_xlnm._FilterDatabase" localSheetId="75" hidden="1">'Contexto (8)'!$A$6:$E$7</definedName>
    <definedName name="_xlnm._FilterDatabase" localSheetId="80" hidden="1">'Contexto (9)'!$A$6:$E$7</definedName>
    <definedName name="_xlnm._FilterDatabase" localSheetId="11" hidden="1">'Contexto CONVOCATORIAS'!$A$6:$E$7</definedName>
    <definedName name="_xlnm._FilterDatabase" localSheetId="23" hidden="1">'Contexto Evaluacion y control'!$A$6:$E$7</definedName>
    <definedName name="_xlnm._FilterDatabase" localSheetId="12" hidden="1">'Identificación del Riesgo (2)'!$A$8:$N$10</definedName>
    <definedName name="_xlnm._FilterDatabase" localSheetId="59" hidden="1">'Identificación del Riesgo CE'!$A$8:$N$10</definedName>
    <definedName name="_xlnm._FilterDatabase" localSheetId="70" hidden="1">'Identificación del Riesgo D'!$A$8:$N$10</definedName>
    <definedName name="_xlnm._FilterDatabase" localSheetId="64" hidden="1">'Identificación del Riesgo DE'!$A$8:$N$10</definedName>
    <definedName name="_xlnm._FilterDatabase" localSheetId="24" hidden="1">'Identificación del Riesgo EYC'!$A$8:$N$9</definedName>
    <definedName name="_xlnm._FilterDatabase" localSheetId="76" hidden="1">'Identificación del Riesgo GA'!$A$8:$N$10</definedName>
    <definedName name="_xlnm._FilterDatabase" localSheetId="81" hidden="1">'Identificación del Riesgo GC'!$A$8:$N$10</definedName>
    <definedName name="_xlnm._FilterDatabase" localSheetId="98" hidden="1">'Identificación del Riesgo GD'!$A$8:$N$10</definedName>
    <definedName name="_xlnm._FilterDatabase" localSheetId="105" hidden="1">'Identificación del Riesgo GF'!$A$8:$N$10</definedName>
    <definedName name="_xlnm._FilterDatabase" localSheetId="111" hidden="1">'Identificación del Riesgo GJ'!$A$8:$N$10</definedName>
    <definedName name="_xlnm._FilterDatabase" localSheetId="42" hidden="1">'Identificación del Riesgo H'!$A$8:$N$10</definedName>
    <definedName name="_xlnm._FilterDatabase" localSheetId="117" hidden="1">'Identificación del Riesgo IS'!$A$8:$N$10</definedName>
    <definedName name="_xlnm._FilterDatabase" localSheetId="123" hidden="1">'Identificación del Riesgo MC'!$A$8:$N$10</definedName>
    <definedName name="_xlnm._FilterDatabase" localSheetId="93" hidden="1">'Identificación del Riesgo TH'!$A$8:$N$10</definedName>
    <definedName name="_xlnm._FilterDatabase" localSheetId="87" hidden="1">'Identificación del Riesgo TIC'!$A$8:$N$10</definedName>
    <definedName name="_xlnm.Print_Area" localSheetId="14">'Analisis Riesgo Corrupcion (2)'!$A$1:$X$10</definedName>
    <definedName name="_xlnm.Print_Area" localSheetId="66">'Analisis Riesgo Corrupcion DE'!$A$1:$X$19</definedName>
    <definedName name="_xlnm.Print_Area" localSheetId="26">'Analisis Riesgo Corrupcion EYC'!$A$1:$X$10</definedName>
    <definedName name="_xlnm.Print_Area" localSheetId="83">'Analisis Riesgo Corrupcion GC'!$A$1:$X$19</definedName>
    <definedName name="_xlnm.Print_Area" localSheetId="102">'Analisis Riesgo Corrupcion GD'!$A$1:$X$19</definedName>
    <definedName name="_xlnm.Print_Area" localSheetId="109">'Analisis Riesgo Corrupcion GF'!$A$1:$X$19</definedName>
    <definedName name="_xlnm.Print_Area" localSheetId="115">'Analisis Riesgo Corrupcion GJ'!$A$1:$X$19</definedName>
    <definedName name="_xlnm.Print_Area" localSheetId="44">'Analisis Riesgo Corrupcion H '!$A$1:$X$10</definedName>
    <definedName name="_xlnm.Print_Area" localSheetId="119">'Analisis Riesgo Corrupcion IS'!$A$1:$X$19</definedName>
    <definedName name="_xlnm.Print_Area" localSheetId="126">'Analisis Riesgo Corrupcion MC'!$A$1:$X$19</definedName>
    <definedName name="_xlnm.Print_Area" localSheetId="89">'Analisis Riesgo Corrupcion TIC'!$A$1:$X$19</definedName>
    <definedName name="_xlnm.Print_Area" localSheetId="72">'Analisis Riesgo CorrupcionD'!$A$1:$X$11</definedName>
    <definedName name="_xlnm.Print_Titles" localSheetId="12">'Identificación del Riesgo (2)'!$7:$8</definedName>
    <definedName name="_xlnm.Print_Titles" localSheetId="59">'Identificación del Riesgo CE'!$7:$8</definedName>
    <definedName name="_xlnm.Print_Titles" localSheetId="70">'Identificación del Riesgo D'!$7:$8</definedName>
    <definedName name="_xlnm.Print_Titles" localSheetId="64">'Identificación del Riesgo DE'!$7:$8</definedName>
    <definedName name="_xlnm.Print_Titles" localSheetId="24">'Identificación del Riesgo EYC'!$7:$8</definedName>
    <definedName name="_xlnm.Print_Titles" localSheetId="76">'Identificación del Riesgo GA'!$7:$8</definedName>
    <definedName name="_xlnm.Print_Titles" localSheetId="81">'Identificación del Riesgo GC'!$7:$8</definedName>
    <definedName name="_xlnm.Print_Titles" localSheetId="98">'Identificación del Riesgo GD'!$7:$8</definedName>
    <definedName name="_xlnm.Print_Titles" localSheetId="105">'Identificación del Riesgo GF'!$7:$8</definedName>
    <definedName name="_xlnm.Print_Titles" localSheetId="111">'Identificación del Riesgo GJ'!$7:$8</definedName>
    <definedName name="_xlnm.Print_Titles" localSheetId="42">'Identificación del Riesgo H'!$7:$8</definedName>
    <definedName name="_xlnm.Print_Titles" localSheetId="117">'Identificación del Riesgo IS'!$7:$8</definedName>
    <definedName name="_xlnm.Print_Titles" localSheetId="123">'Identificación del Riesgo MC'!$7:$8</definedName>
    <definedName name="_xlnm.Print_Titles" localSheetId="93">'Identificación del Riesgo TH'!$7:$8</definedName>
    <definedName name="_xlnm.Print_Titles" localSheetId="87">'Identificación del Riesgo TIC'!$7:$8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3" i="129" l="1"/>
  <c r="J13" i="129"/>
  <c r="I13" i="129"/>
  <c r="H13" i="129"/>
  <c r="G13" i="129"/>
  <c r="F13" i="129"/>
  <c r="E13" i="129"/>
  <c r="D13" i="129"/>
  <c r="C13" i="129"/>
  <c r="B13" i="129"/>
  <c r="K12" i="129"/>
  <c r="J12" i="129"/>
  <c r="I12" i="129"/>
  <c r="H12" i="129"/>
  <c r="G12" i="129"/>
  <c r="F12" i="129"/>
  <c r="E12" i="129"/>
  <c r="D12" i="129"/>
  <c r="C12" i="129"/>
  <c r="B12" i="129"/>
  <c r="K11" i="129"/>
  <c r="J11" i="129"/>
  <c r="I11" i="129"/>
  <c r="H11" i="129"/>
  <c r="G11" i="129"/>
  <c r="F11" i="129"/>
  <c r="E11" i="129"/>
  <c r="D11" i="129"/>
  <c r="C11" i="129"/>
  <c r="B11" i="129"/>
  <c r="K10" i="129"/>
  <c r="J10" i="129"/>
  <c r="I10" i="129"/>
  <c r="H10" i="129"/>
  <c r="G10" i="129"/>
  <c r="F10" i="129"/>
  <c r="E10" i="129"/>
  <c r="D10" i="129"/>
  <c r="C10" i="129"/>
  <c r="B10" i="129"/>
  <c r="K9" i="129"/>
  <c r="J9" i="129"/>
  <c r="I9" i="129"/>
  <c r="H9" i="129"/>
  <c r="G9" i="129"/>
  <c r="F9" i="129"/>
  <c r="E9" i="129"/>
  <c r="D9" i="129"/>
  <c r="C9" i="129"/>
  <c r="B9" i="129"/>
  <c r="K8" i="129"/>
  <c r="J8" i="129"/>
  <c r="I8" i="129"/>
  <c r="H8" i="129"/>
  <c r="G8" i="129"/>
  <c r="F8" i="129"/>
  <c r="E8" i="129"/>
  <c r="D8" i="129"/>
  <c r="C8" i="129"/>
  <c r="B8" i="129"/>
  <c r="K7" i="129"/>
  <c r="J7" i="129"/>
  <c r="I7" i="129"/>
  <c r="H7" i="129"/>
  <c r="G7" i="129"/>
  <c r="F7" i="129"/>
  <c r="E7" i="129"/>
  <c r="D7" i="129"/>
  <c r="C7" i="129"/>
  <c r="B7" i="129"/>
  <c r="K6" i="129"/>
  <c r="J6" i="129"/>
  <c r="I6" i="129"/>
  <c r="H6" i="129"/>
  <c r="G6" i="129"/>
  <c r="F6" i="129"/>
  <c r="E6" i="129"/>
  <c r="D6" i="129"/>
  <c r="C6" i="129"/>
  <c r="B6" i="129"/>
  <c r="K5" i="129"/>
  <c r="J5" i="129"/>
  <c r="I5" i="129"/>
  <c r="H5" i="129"/>
  <c r="G5" i="129"/>
  <c r="F5" i="129"/>
  <c r="E5" i="129"/>
  <c r="D5" i="129"/>
  <c r="C5" i="129"/>
  <c r="B5" i="129"/>
  <c r="X16" i="128"/>
  <c r="D16" i="128" s="1"/>
  <c r="C16" i="128" s="1"/>
  <c r="B16" i="128"/>
  <c r="A16" i="128"/>
  <c r="X15" i="128"/>
  <c r="D15" i="128" s="1"/>
  <c r="C15" i="128" s="1"/>
  <c r="B15" i="128"/>
  <c r="A15" i="128"/>
  <c r="X14" i="128"/>
  <c r="D14" i="128"/>
  <c r="C14" i="128" s="1"/>
  <c r="B14" i="128"/>
  <c r="A14" i="128"/>
  <c r="X13" i="128"/>
  <c r="D13" i="128" s="1"/>
  <c r="C13" i="128" s="1"/>
  <c r="B13" i="128"/>
  <c r="A13" i="128"/>
  <c r="X12" i="128"/>
  <c r="D12" i="128" s="1"/>
  <c r="C12" i="128" s="1"/>
  <c r="B12" i="128"/>
  <c r="A12" i="128"/>
  <c r="X11" i="128"/>
  <c r="D11" i="128" s="1"/>
  <c r="C11" i="128" s="1"/>
  <c r="B11" i="128"/>
  <c r="A11" i="128"/>
  <c r="X10" i="128"/>
  <c r="D10" i="128" s="1"/>
  <c r="C10" i="128" s="1"/>
  <c r="B10" i="128"/>
  <c r="A10" i="128"/>
  <c r="X9" i="128"/>
  <c r="D9" i="128" s="1"/>
  <c r="C9" i="128" s="1"/>
  <c r="B9" i="128"/>
  <c r="A9" i="128"/>
  <c r="X8" i="128"/>
  <c r="D8" i="128" s="1"/>
  <c r="C8" i="128" s="1"/>
  <c r="B8" i="128"/>
  <c r="A8" i="128"/>
  <c r="X7" i="128"/>
  <c r="D7" i="128" s="1"/>
  <c r="C7" i="128" s="1"/>
  <c r="B7" i="128"/>
  <c r="A7" i="128"/>
  <c r="AA17" i="127"/>
  <c r="S17" i="127"/>
  <c r="R17" i="127"/>
  <c r="Q17" i="127"/>
  <c r="P17" i="127"/>
  <c r="O17" i="127"/>
  <c r="N17" i="127"/>
  <c r="M17" i="127"/>
  <c r="E17" i="127"/>
  <c r="D17" i="127"/>
  <c r="C17" i="127"/>
  <c r="B17" i="127"/>
  <c r="A17" i="127"/>
  <c r="AA16" i="127"/>
  <c r="S16" i="127"/>
  <c r="R16" i="127"/>
  <c r="Q16" i="127"/>
  <c r="P16" i="127"/>
  <c r="O16" i="127"/>
  <c r="N16" i="127"/>
  <c r="M16" i="127"/>
  <c r="E16" i="127"/>
  <c r="D16" i="127"/>
  <c r="C16" i="127"/>
  <c r="B16" i="127"/>
  <c r="A16" i="127"/>
  <c r="AA15" i="127"/>
  <c r="S15" i="127"/>
  <c r="R15" i="127"/>
  <c r="Q15" i="127"/>
  <c r="P15" i="127"/>
  <c r="O15" i="127"/>
  <c r="N15" i="127"/>
  <c r="M15" i="127"/>
  <c r="E15" i="127"/>
  <c r="D15" i="127"/>
  <c r="C15" i="127"/>
  <c r="B15" i="127"/>
  <c r="A15" i="127"/>
  <c r="AA14" i="127"/>
  <c r="S14" i="127"/>
  <c r="R14" i="127"/>
  <c r="Q14" i="127"/>
  <c r="P14" i="127"/>
  <c r="T14" i="127" s="1"/>
  <c r="O14" i="127"/>
  <c r="N14" i="127"/>
  <c r="M14" i="127"/>
  <c r="E14" i="127"/>
  <c r="D14" i="127"/>
  <c r="C14" i="127"/>
  <c r="B14" i="127"/>
  <c r="A14" i="127"/>
  <c r="AA13" i="127"/>
  <c r="S13" i="127"/>
  <c r="R13" i="127"/>
  <c r="Q13" i="127"/>
  <c r="P13" i="127"/>
  <c r="O13" i="127"/>
  <c r="N13" i="127"/>
  <c r="M13" i="127"/>
  <c r="E13" i="127"/>
  <c r="D13" i="127"/>
  <c r="C13" i="127"/>
  <c r="B13" i="127"/>
  <c r="A13" i="127"/>
  <c r="AA12" i="127"/>
  <c r="S12" i="127"/>
  <c r="R12" i="127"/>
  <c r="Q12" i="127"/>
  <c r="P12" i="127"/>
  <c r="O12" i="127"/>
  <c r="N12" i="127"/>
  <c r="M12" i="127"/>
  <c r="E12" i="127"/>
  <c r="D12" i="127"/>
  <c r="C12" i="127"/>
  <c r="B12" i="127"/>
  <c r="A12" i="127"/>
  <c r="AA11" i="127"/>
  <c r="S11" i="127"/>
  <c r="R11" i="127"/>
  <c r="Q11" i="127"/>
  <c r="P11" i="127"/>
  <c r="O11" i="127"/>
  <c r="N11" i="127"/>
  <c r="M11" i="127"/>
  <c r="E11" i="127"/>
  <c r="D11" i="127"/>
  <c r="C11" i="127"/>
  <c r="B11" i="127"/>
  <c r="A11" i="127"/>
  <c r="AA10" i="127"/>
  <c r="S10" i="127"/>
  <c r="R10" i="127"/>
  <c r="Q10" i="127"/>
  <c r="P10" i="127"/>
  <c r="T10" i="127" s="1"/>
  <c r="O10" i="127"/>
  <c r="N10" i="127"/>
  <c r="M10" i="127"/>
  <c r="E10" i="127"/>
  <c r="D10" i="127"/>
  <c r="C10" i="127"/>
  <c r="B10" i="127"/>
  <c r="A10" i="127"/>
  <c r="AA9" i="127"/>
  <c r="S9" i="127"/>
  <c r="R9" i="127"/>
  <c r="Q9" i="127"/>
  <c r="P9" i="127"/>
  <c r="O9" i="127"/>
  <c r="N9" i="127"/>
  <c r="M9" i="127"/>
  <c r="E9" i="127"/>
  <c r="D9" i="127"/>
  <c r="C9" i="127"/>
  <c r="B9" i="127"/>
  <c r="A9" i="127"/>
  <c r="P15" i="126"/>
  <c r="R15" i="126" s="1"/>
  <c r="O15" i="126"/>
  <c r="Q15" i="126" s="1"/>
  <c r="N15" i="126"/>
  <c r="M15" i="126"/>
  <c r="H15" i="126"/>
  <c r="F15" i="126"/>
  <c r="E15" i="126"/>
  <c r="I15" i="126" s="1"/>
  <c r="C15" i="126"/>
  <c r="B15" i="126"/>
  <c r="A15" i="126"/>
  <c r="P14" i="126"/>
  <c r="R14" i="126" s="1"/>
  <c r="T14" i="126" s="1"/>
  <c r="V14" i="126" s="1"/>
  <c r="O14" i="126"/>
  <c r="Q14" i="126" s="1"/>
  <c r="N14" i="126"/>
  <c r="M14" i="126"/>
  <c r="H14" i="126"/>
  <c r="I14" i="126" s="1"/>
  <c r="F14" i="126"/>
  <c r="E14" i="126"/>
  <c r="C14" i="126"/>
  <c r="B14" i="126"/>
  <c r="A14" i="126"/>
  <c r="P13" i="126"/>
  <c r="R13" i="126" s="1"/>
  <c r="O13" i="126"/>
  <c r="Q13" i="126" s="1"/>
  <c r="S13" i="126" s="1"/>
  <c r="N13" i="126"/>
  <c r="M13" i="126"/>
  <c r="H13" i="126"/>
  <c r="F13" i="126"/>
  <c r="E13" i="126"/>
  <c r="I13" i="126" s="1"/>
  <c r="C13" i="126"/>
  <c r="B13" i="126"/>
  <c r="A13" i="126"/>
  <c r="P12" i="126"/>
  <c r="R12" i="126" s="1"/>
  <c r="T12" i="126" s="1"/>
  <c r="V12" i="126" s="1"/>
  <c r="O12" i="126"/>
  <c r="Q12" i="126" s="1"/>
  <c r="N12" i="126"/>
  <c r="M12" i="126"/>
  <c r="H12" i="126"/>
  <c r="I12" i="126" s="1"/>
  <c r="F12" i="126"/>
  <c r="E12" i="126"/>
  <c r="C12" i="126"/>
  <c r="B12" i="126"/>
  <c r="A12" i="126"/>
  <c r="P11" i="126"/>
  <c r="R11" i="126" s="1"/>
  <c r="O11" i="126"/>
  <c r="Q11" i="126" s="1"/>
  <c r="S11" i="126" s="1"/>
  <c r="N11" i="126"/>
  <c r="M11" i="126"/>
  <c r="H11" i="126"/>
  <c r="F11" i="126"/>
  <c r="E11" i="126"/>
  <c r="I11" i="126" s="1"/>
  <c r="C11" i="126"/>
  <c r="B11" i="126"/>
  <c r="A11" i="126"/>
  <c r="P10" i="126"/>
  <c r="R10" i="126" s="1"/>
  <c r="T10" i="126" s="1"/>
  <c r="V10" i="126" s="1"/>
  <c r="O10" i="126"/>
  <c r="Q10" i="126" s="1"/>
  <c r="N10" i="126"/>
  <c r="M10" i="126"/>
  <c r="H10" i="126"/>
  <c r="I10" i="126" s="1"/>
  <c r="F10" i="126"/>
  <c r="E10" i="126"/>
  <c r="C10" i="126"/>
  <c r="B10" i="126"/>
  <c r="A10" i="126"/>
  <c r="P9" i="126"/>
  <c r="R9" i="126" s="1"/>
  <c r="O9" i="126"/>
  <c r="Q9" i="126" s="1"/>
  <c r="S9" i="126" s="1"/>
  <c r="N9" i="126"/>
  <c r="M9" i="126"/>
  <c r="H9" i="126"/>
  <c r="F9" i="126"/>
  <c r="E9" i="126"/>
  <c r="I9" i="126" s="1"/>
  <c r="C9" i="126"/>
  <c r="B9" i="126"/>
  <c r="A9" i="126"/>
  <c r="P8" i="126"/>
  <c r="R8" i="126" s="1"/>
  <c r="T8" i="126" s="1"/>
  <c r="V8" i="126" s="1"/>
  <c r="O8" i="126"/>
  <c r="Q8" i="126" s="1"/>
  <c r="N8" i="126"/>
  <c r="M8" i="126"/>
  <c r="I8" i="126"/>
  <c r="H8" i="126"/>
  <c r="F8" i="126"/>
  <c r="E8" i="126"/>
  <c r="C8" i="126"/>
  <c r="B8" i="126"/>
  <c r="A8" i="126"/>
  <c r="P7" i="126"/>
  <c r="R7" i="126" s="1"/>
  <c r="O7" i="126"/>
  <c r="Q7" i="126" s="1"/>
  <c r="S7" i="126" s="1"/>
  <c r="N7" i="126"/>
  <c r="M7" i="126"/>
  <c r="H7" i="126"/>
  <c r="F7" i="126"/>
  <c r="E7" i="126"/>
  <c r="I7" i="126" s="1"/>
  <c r="C7" i="126"/>
  <c r="B7" i="126"/>
  <c r="A7" i="126"/>
  <c r="N17" i="125"/>
  <c r="N16" i="125"/>
  <c r="N15" i="125"/>
  <c r="N14" i="125"/>
  <c r="N13" i="125"/>
  <c r="N12" i="125"/>
  <c r="N11" i="125"/>
  <c r="N10" i="125"/>
  <c r="N9" i="125"/>
  <c r="T7" i="126" l="1"/>
  <c r="V7" i="126" s="1"/>
  <c r="S8" i="126"/>
  <c r="T9" i="126"/>
  <c r="V9" i="126" s="1"/>
  <c r="S10" i="126"/>
  <c r="U10" i="126" s="1"/>
  <c r="T11" i="126"/>
  <c r="V11" i="126" s="1"/>
  <c r="S12" i="126"/>
  <c r="T13" i="126"/>
  <c r="V13" i="126" s="1"/>
  <c r="S14" i="126"/>
  <c r="U14" i="126" s="1"/>
  <c r="T15" i="126"/>
  <c r="V15" i="126" s="1"/>
  <c r="T12" i="127"/>
  <c r="T16" i="127"/>
  <c r="T11" i="127"/>
  <c r="W11" i="127" s="1"/>
  <c r="Y11" i="127" s="1"/>
  <c r="AB11" i="127" s="1"/>
  <c r="T15" i="127"/>
  <c r="T9" i="127"/>
  <c r="T13" i="127"/>
  <c r="T17" i="127"/>
  <c r="W17" i="127" s="1"/>
  <c r="Y17" i="127" s="1"/>
  <c r="AB17" i="127" s="1"/>
  <c r="X12" i="127"/>
  <c r="W12" i="127"/>
  <c r="Y12" i="127" s="1"/>
  <c r="AB12" i="127" s="1"/>
  <c r="X16" i="127"/>
  <c r="W16" i="127"/>
  <c r="Y16" i="127" s="1"/>
  <c r="AB16" i="127" s="1"/>
  <c r="W15" i="127"/>
  <c r="Y15" i="127" s="1"/>
  <c r="AB15" i="127" s="1"/>
  <c r="X15" i="127"/>
  <c r="X10" i="127"/>
  <c r="W10" i="127"/>
  <c r="Y10" i="127" s="1"/>
  <c r="AB10" i="127" s="1"/>
  <c r="X14" i="127"/>
  <c r="W14" i="127"/>
  <c r="Y14" i="127" s="1"/>
  <c r="AB14" i="127" s="1"/>
  <c r="W9" i="127"/>
  <c r="Y9" i="127" s="1"/>
  <c r="AB9" i="127" s="1"/>
  <c r="X9" i="127"/>
  <c r="W13" i="127"/>
  <c r="Y13" i="127" s="1"/>
  <c r="AB13" i="127" s="1"/>
  <c r="X13" i="127"/>
  <c r="W7" i="126"/>
  <c r="U7" i="126"/>
  <c r="W11" i="126"/>
  <c r="U11" i="126"/>
  <c r="U8" i="126"/>
  <c r="W8" i="126"/>
  <c r="U12" i="126"/>
  <c r="W12" i="126"/>
  <c r="S15" i="126"/>
  <c r="W9" i="126"/>
  <c r="U9" i="126"/>
  <c r="W13" i="126"/>
  <c r="U13" i="126"/>
  <c r="W14" i="126" l="1"/>
  <c r="W10" i="126"/>
  <c r="X17" i="127"/>
  <c r="X11" i="127"/>
  <c r="W15" i="126"/>
  <c r="U15" i="126"/>
  <c r="K8" i="123" l="1"/>
  <c r="J8" i="123"/>
  <c r="I8" i="123"/>
  <c r="H8" i="123"/>
  <c r="G8" i="123"/>
  <c r="F8" i="123"/>
  <c r="E8" i="123"/>
  <c r="D8" i="123"/>
  <c r="C8" i="123"/>
  <c r="B8" i="123"/>
  <c r="A8" i="123"/>
  <c r="K7" i="123"/>
  <c r="J7" i="123"/>
  <c r="I7" i="123"/>
  <c r="H7" i="123"/>
  <c r="G7" i="123"/>
  <c r="F7" i="123"/>
  <c r="E7" i="123"/>
  <c r="D7" i="123"/>
  <c r="C7" i="123"/>
  <c r="B7" i="123"/>
  <c r="A7" i="123"/>
  <c r="K6" i="123"/>
  <c r="J6" i="123"/>
  <c r="I6" i="123"/>
  <c r="H6" i="123"/>
  <c r="G6" i="123"/>
  <c r="F6" i="123"/>
  <c r="E6" i="123"/>
  <c r="D6" i="123"/>
  <c r="C6" i="123"/>
  <c r="B6" i="123"/>
  <c r="A6" i="123"/>
  <c r="K5" i="123"/>
  <c r="J5" i="123"/>
  <c r="I5" i="123"/>
  <c r="H5" i="123"/>
  <c r="G5" i="123"/>
  <c r="F5" i="123"/>
  <c r="E5" i="123"/>
  <c r="D5" i="123"/>
  <c r="C5" i="123"/>
  <c r="B5" i="123"/>
  <c r="A5" i="123"/>
  <c r="AA12" i="122"/>
  <c r="S12" i="122"/>
  <c r="R12" i="122"/>
  <c r="Q12" i="122"/>
  <c r="P12" i="122"/>
  <c r="O12" i="122"/>
  <c r="N12" i="122"/>
  <c r="M12" i="122"/>
  <c r="E12" i="122"/>
  <c r="D12" i="122"/>
  <c r="C12" i="122"/>
  <c r="B12" i="122"/>
  <c r="A12" i="122"/>
  <c r="AA11" i="122"/>
  <c r="S11" i="122"/>
  <c r="R11" i="122"/>
  <c r="Q11" i="122"/>
  <c r="P11" i="122"/>
  <c r="O11" i="122"/>
  <c r="N11" i="122"/>
  <c r="T11" i="122" s="1"/>
  <c r="M11" i="122"/>
  <c r="E11" i="122"/>
  <c r="D11" i="122"/>
  <c r="C11" i="122"/>
  <c r="B11" i="122"/>
  <c r="A11" i="122"/>
  <c r="AA10" i="122"/>
  <c r="S10" i="122"/>
  <c r="R10" i="122"/>
  <c r="Q10" i="122"/>
  <c r="P10" i="122"/>
  <c r="O10" i="122"/>
  <c r="N10" i="122"/>
  <c r="M10" i="122"/>
  <c r="E10" i="122"/>
  <c r="D10" i="122"/>
  <c r="C10" i="122"/>
  <c r="B10" i="122"/>
  <c r="A10" i="122"/>
  <c r="AA9" i="122"/>
  <c r="S9" i="122"/>
  <c r="R9" i="122"/>
  <c r="Q9" i="122"/>
  <c r="P9" i="122"/>
  <c r="T9" i="122" s="1"/>
  <c r="O9" i="122"/>
  <c r="N9" i="122"/>
  <c r="M9" i="122"/>
  <c r="E9" i="122"/>
  <c r="D9" i="122"/>
  <c r="C9" i="122"/>
  <c r="B9" i="122"/>
  <c r="A9" i="122"/>
  <c r="D6" i="122" a="1"/>
  <c r="D6" i="122" s="1"/>
  <c r="D5" i="122" a="1"/>
  <c r="D5" i="122" s="1"/>
  <c r="X16" i="121"/>
  <c r="D16" i="121" s="1"/>
  <c r="C16" i="121" s="1"/>
  <c r="B16" i="121"/>
  <c r="A16" i="121"/>
  <c r="X15" i="121"/>
  <c r="D15" i="121" s="1"/>
  <c r="C15" i="121" s="1"/>
  <c r="B15" i="121"/>
  <c r="A15" i="121"/>
  <c r="X14" i="121"/>
  <c r="D14" i="121"/>
  <c r="C14" i="121" s="1"/>
  <c r="B14" i="121"/>
  <c r="A14" i="121"/>
  <c r="X13" i="121"/>
  <c r="D13" i="121" s="1"/>
  <c r="C13" i="121" s="1"/>
  <c r="B13" i="121"/>
  <c r="A13" i="121"/>
  <c r="X12" i="121"/>
  <c r="D12" i="121" s="1"/>
  <c r="C12" i="121" s="1"/>
  <c r="B12" i="121"/>
  <c r="A12" i="121"/>
  <c r="X11" i="121"/>
  <c r="D11" i="121" s="1"/>
  <c r="C11" i="121" s="1"/>
  <c r="B11" i="121"/>
  <c r="A11" i="121"/>
  <c r="X10" i="121"/>
  <c r="D10" i="121" s="1"/>
  <c r="C10" i="121" s="1"/>
  <c r="B10" i="121"/>
  <c r="A10" i="121"/>
  <c r="X9" i="121"/>
  <c r="D9" i="121" s="1"/>
  <c r="C9" i="121" s="1"/>
  <c r="B9" i="121"/>
  <c r="A9" i="121"/>
  <c r="X8" i="121"/>
  <c r="D8" i="121" s="1"/>
  <c r="C8" i="121" s="1"/>
  <c r="B8" i="121"/>
  <c r="A8" i="121"/>
  <c r="X7" i="121"/>
  <c r="D7" i="121" s="1"/>
  <c r="C7" i="121" s="1"/>
  <c r="B7" i="121"/>
  <c r="A7" i="121"/>
  <c r="P10" i="120"/>
  <c r="R10" i="120" s="1"/>
  <c r="O10" i="120"/>
  <c r="Q10" i="120" s="1"/>
  <c r="N10" i="120"/>
  <c r="M10" i="120"/>
  <c r="H10" i="120"/>
  <c r="F10" i="120"/>
  <c r="E10" i="120"/>
  <c r="I10" i="120" s="1"/>
  <c r="C10" i="120"/>
  <c r="B10" i="120"/>
  <c r="A10" i="120"/>
  <c r="R9" i="120"/>
  <c r="P9" i="120"/>
  <c r="O9" i="120"/>
  <c r="Q9" i="120" s="1"/>
  <c r="N9" i="120"/>
  <c r="M9" i="120"/>
  <c r="H9" i="120"/>
  <c r="F9" i="120"/>
  <c r="E9" i="120"/>
  <c r="I9" i="120" s="1"/>
  <c r="C9" i="120"/>
  <c r="B9" i="120"/>
  <c r="A9" i="120"/>
  <c r="P8" i="120"/>
  <c r="R8" i="120" s="1"/>
  <c r="T8" i="120" s="1"/>
  <c r="V8" i="120" s="1"/>
  <c r="O8" i="120"/>
  <c r="Q8" i="120" s="1"/>
  <c r="N8" i="120"/>
  <c r="M8" i="120"/>
  <c r="I8" i="120"/>
  <c r="H8" i="120"/>
  <c r="F8" i="120"/>
  <c r="E8" i="120"/>
  <c r="C8" i="120"/>
  <c r="B8" i="120"/>
  <c r="A8" i="120"/>
  <c r="R7" i="120"/>
  <c r="Q7" i="120"/>
  <c r="P7" i="120"/>
  <c r="O7" i="120"/>
  <c r="N7" i="120"/>
  <c r="M7" i="120"/>
  <c r="H7" i="120"/>
  <c r="F7" i="120"/>
  <c r="E7" i="120"/>
  <c r="I7" i="120" s="1"/>
  <c r="C7" i="120"/>
  <c r="B7" i="120"/>
  <c r="A7" i="120"/>
  <c r="N12" i="119"/>
  <c r="N11" i="119"/>
  <c r="N10" i="119"/>
  <c r="N9" i="119"/>
  <c r="T9" i="120" l="1"/>
  <c r="V9" i="120" s="1"/>
  <c r="T7" i="120"/>
  <c r="V7" i="120" s="1"/>
  <c r="T10" i="120"/>
  <c r="V10" i="120" s="1"/>
  <c r="T10" i="122"/>
  <c r="T12" i="122"/>
  <c r="W12" i="122" s="1"/>
  <c r="Y12" i="122" s="1"/>
  <c r="AB12" i="122" s="1"/>
  <c r="X9" i="122"/>
  <c r="W9" i="122"/>
  <c r="Y9" i="122" s="1"/>
  <c r="AB9" i="122" s="1"/>
  <c r="X11" i="122"/>
  <c r="W11" i="122"/>
  <c r="Y11" i="122" s="1"/>
  <c r="AB11" i="122" s="1"/>
  <c r="W10" i="122"/>
  <c r="Y10" i="122" s="1"/>
  <c r="AB10" i="122" s="1"/>
  <c r="X10" i="122"/>
  <c r="X12" i="122"/>
  <c r="S10" i="120"/>
  <c r="S8" i="120"/>
  <c r="S7" i="120"/>
  <c r="S9" i="120"/>
  <c r="W8" i="120" l="1"/>
  <c r="U8" i="120"/>
  <c r="W10" i="120"/>
  <c r="U10" i="120"/>
  <c r="U9" i="120"/>
  <c r="W9" i="120"/>
  <c r="U7" i="120"/>
  <c r="W7" i="120"/>
  <c r="X16" i="117" l="1"/>
  <c r="D16" i="117" s="1"/>
  <c r="C16" i="117" s="1"/>
  <c r="B16" i="117"/>
  <c r="A16" i="117"/>
  <c r="X15" i="117"/>
  <c r="D15" i="117" s="1"/>
  <c r="C15" i="117" s="1"/>
  <c r="B15" i="117"/>
  <c r="A15" i="117"/>
  <c r="X14" i="117"/>
  <c r="D14" i="117"/>
  <c r="C14" i="117" s="1"/>
  <c r="B14" i="117"/>
  <c r="A14" i="117"/>
  <c r="X13" i="117"/>
  <c r="D13" i="117" s="1"/>
  <c r="C13" i="117" s="1"/>
  <c r="B13" i="117"/>
  <c r="A13" i="117"/>
  <c r="X12" i="117"/>
  <c r="D12" i="117" s="1"/>
  <c r="C12" i="117" s="1"/>
  <c r="B12" i="117"/>
  <c r="A12" i="117"/>
  <c r="X11" i="117"/>
  <c r="D11" i="117" s="1"/>
  <c r="C11" i="117" s="1"/>
  <c r="B11" i="117"/>
  <c r="A11" i="117"/>
  <c r="X10" i="117"/>
  <c r="D10" i="117"/>
  <c r="C10" i="117" s="1"/>
  <c r="B10" i="117"/>
  <c r="A10" i="117"/>
  <c r="X9" i="117"/>
  <c r="D9" i="117" s="1"/>
  <c r="C9" i="117" s="1"/>
  <c r="B9" i="117"/>
  <c r="A9" i="117"/>
  <c r="X8" i="117"/>
  <c r="D8" i="117"/>
  <c r="C8" i="117" s="1"/>
  <c r="B8" i="117"/>
  <c r="A8" i="117"/>
  <c r="X7" i="117"/>
  <c r="D7" i="117" s="1"/>
  <c r="C7" i="117" s="1"/>
  <c r="B7" i="117"/>
  <c r="A7" i="117"/>
  <c r="K9" i="116"/>
  <c r="J9" i="116"/>
  <c r="I9" i="116"/>
  <c r="H9" i="116"/>
  <c r="G9" i="116"/>
  <c r="F9" i="116"/>
  <c r="E9" i="116"/>
  <c r="D9" i="116"/>
  <c r="C9" i="116"/>
  <c r="B9" i="116"/>
  <c r="K8" i="116"/>
  <c r="J8" i="116"/>
  <c r="I8" i="116"/>
  <c r="H8" i="116"/>
  <c r="G8" i="116"/>
  <c r="F8" i="116"/>
  <c r="E8" i="116"/>
  <c r="D8" i="116"/>
  <c r="C8" i="116"/>
  <c r="B8" i="116"/>
  <c r="K7" i="116"/>
  <c r="J7" i="116"/>
  <c r="I7" i="116"/>
  <c r="H7" i="116"/>
  <c r="G7" i="116"/>
  <c r="F7" i="116"/>
  <c r="E7" i="116"/>
  <c r="D7" i="116"/>
  <c r="C7" i="116"/>
  <c r="B7" i="116"/>
  <c r="K6" i="116"/>
  <c r="J6" i="116"/>
  <c r="I6" i="116"/>
  <c r="H6" i="116"/>
  <c r="G6" i="116"/>
  <c r="F6" i="116"/>
  <c r="E6" i="116"/>
  <c r="D6" i="116"/>
  <c r="C6" i="116"/>
  <c r="B6" i="116"/>
  <c r="K5" i="116"/>
  <c r="J5" i="116"/>
  <c r="I5" i="116"/>
  <c r="H5" i="116"/>
  <c r="G5" i="116"/>
  <c r="F5" i="116"/>
  <c r="E5" i="116"/>
  <c r="D5" i="116"/>
  <c r="C5" i="116"/>
  <c r="B5" i="116"/>
  <c r="AA13" i="115"/>
  <c r="S13" i="115"/>
  <c r="R13" i="115"/>
  <c r="Q13" i="115"/>
  <c r="P13" i="115"/>
  <c r="O13" i="115"/>
  <c r="N13" i="115"/>
  <c r="M13" i="115"/>
  <c r="E13" i="115"/>
  <c r="D13" i="115"/>
  <c r="C13" i="115"/>
  <c r="B13" i="115"/>
  <c r="A13" i="115"/>
  <c r="AA12" i="115"/>
  <c r="S12" i="115"/>
  <c r="R12" i="115"/>
  <c r="Q12" i="115"/>
  <c r="P12" i="115"/>
  <c r="T12" i="115" s="1"/>
  <c r="O12" i="115"/>
  <c r="N12" i="115"/>
  <c r="M12" i="115"/>
  <c r="E12" i="115"/>
  <c r="D12" i="115"/>
  <c r="C12" i="115"/>
  <c r="B12" i="115"/>
  <c r="A12" i="115"/>
  <c r="AA11" i="115"/>
  <c r="S11" i="115"/>
  <c r="R11" i="115"/>
  <c r="Q11" i="115"/>
  <c r="P11" i="115"/>
  <c r="O11" i="115"/>
  <c r="N11" i="115"/>
  <c r="M11" i="115"/>
  <c r="T11" i="115" s="1"/>
  <c r="E11" i="115"/>
  <c r="D11" i="115"/>
  <c r="C11" i="115"/>
  <c r="B11" i="115"/>
  <c r="A11" i="115"/>
  <c r="AA10" i="115"/>
  <c r="S10" i="115"/>
  <c r="R10" i="115"/>
  <c r="Q10" i="115"/>
  <c r="P10" i="115"/>
  <c r="O10" i="115"/>
  <c r="N10" i="115"/>
  <c r="M10" i="115"/>
  <c r="E10" i="115"/>
  <c r="D10" i="115"/>
  <c r="C10" i="115"/>
  <c r="B10" i="115"/>
  <c r="A10" i="115"/>
  <c r="AA9" i="115"/>
  <c r="S9" i="115"/>
  <c r="R9" i="115"/>
  <c r="Q9" i="115"/>
  <c r="P9" i="115"/>
  <c r="O9" i="115"/>
  <c r="N9" i="115"/>
  <c r="M9" i="115"/>
  <c r="E9" i="115"/>
  <c r="D9" i="115"/>
  <c r="C9" i="115"/>
  <c r="B9" i="115"/>
  <c r="A9" i="115"/>
  <c r="D6" i="115" a="1"/>
  <c r="D6" i="115" s="1"/>
  <c r="D5" i="115" a="1"/>
  <c r="D5" i="115" s="1"/>
  <c r="P11" i="114"/>
  <c r="R11" i="114" s="1"/>
  <c r="O11" i="114"/>
  <c r="Q11" i="114" s="1"/>
  <c r="N11" i="114"/>
  <c r="M11" i="114"/>
  <c r="H11" i="114"/>
  <c r="F11" i="114"/>
  <c r="E11" i="114"/>
  <c r="S11" i="114" s="1"/>
  <c r="C11" i="114"/>
  <c r="B11" i="114"/>
  <c r="A11" i="114"/>
  <c r="R10" i="114"/>
  <c r="P10" i="114"/>
  <c r="O10" i="114"/>
  <c r="Q10" i="114" s="1"/>
  <c r="N10" i="114"/>
  <c r="M10" i="114"/>
  <c r="H10" i="114"/>
  <c r="F10" i="114"/>
  <c r="E10" i="114"/>
  <c r="I10" i="114" s="1"/>
  <c r="C10" i="114"/>
  <c r="B10" i="114"/>
  <c r="A10" i="114"/>
  <c r="P9" i="114"/>
  <c r="R9" i="114" s="1"/>
  <c r="O9" i="114"/>
  <c r="Q9" i="114" s="1"/>
  <c r="N9" i="114"/>
  <c r="M9" i="114"/>
  <c r="H9" i="114"/>
  <c r="F9" i="114"/>
  <c r="E9" i="114"/>
  <c r="S9" i="114" s="1"/>
  <c r="C9" i="114"/>
  <c r="B9" i="114"/>
  <c r="A9" i="114"/>
  <c r="R8" i="114"/>
  <c r="P8" i="114"/>
  <c r="O8" i="114"/>
  <c r="Q8" i="114" s="1"/>
  <c r="N8" i="114"/>
  <c r="M8" i="114"/>
  <c r="H8" i="114"/>
  <c r="F8" i="114"/>
  <c r="E8" i="114"/>
  <c r="I8" i="114" s="1"/>
  <c r="C8" i="114"/>
  <c r="B8" i="114"/>
  <c r="A8" i="114"/>
  <c r="P7" i="114"/>
  <c r="R7" i="114" s="1"/>
  <c r="O7" i="114"/>
  <c r="Q7" i="114" s="1"/>
  <c r="N7" i="114"/>
  <c r="M7" i="114"/>
  <c r="H7" i="114"/>
  <c r="F7" i="114"/>
  <c r="E7" i="114"/>
  <c r="S7" i="114" s="1"/>
  <c r="C7" i="114"/>
  <c r="B7" i="114"/>
  <c r="A7" i="114"/>
  <c r="N13" i="113"/>
  <c r="N12" i="113"/>
  <c r="N11" i="113"/>
  <c r="N10" i="113"/>
  <c r="N9" i="113"/>
  <c r="T10" i="115" l="1"/>
  <c r="I7" i="114"/>
  <c r="T7" i="114"/>
  <c r="V7" i="114" s="1"/>
  <c r="S8" i="114"/>
  <c r="I9" i="114"/>
  <c r="T9" i="114"/>
  <c r="V9" i="114" s="1"/>
  <c r="S10" i="114"/>
  <c r="I11" i="114"/>
  <c r="T11" i="114"/>
  <c r="V11" i="114" s="1"/>
  <c r="T9" i="115"/>
  <c r="T13" i="115"/>
  <c r="T8" i="114"/>
  <c r="V8" i="114" s="1"/>
  <c r="T10" i="114"/>
  <c r="V10" i="114" s="1"/>
  <c r="W11" i="115"/>
  <c r="Y11" i="115" s="1"/>
  <c r="AB11" i="115" s="1"/>
  <c r="X11" i="115"/>
  <c r="X12" i="115"/>
  <c r="W12" i="115"/>
  <c r="Y12" i="115" s="1"/>
  <c r="AB12" i="115" s="1"/>
  <c r="X10" i="115"/>
  <c r="W10" i="115"/>
  <c r="Y10" i="115" s="1"/>
  <c r="AB10" i="115" s="1"/>
  <c r="W9" i="115"/>
  <c r="Y9" i="115" s="1"/>
  <c r="AB9" i="115" s="1"/>
  <c r="X9" i="115"/>
  <c r="W13" i="115"/>
  <c r="Y13" i="115" s="1"/>
  <c r="AB13" i="115" s="1"/>
  <c r="X13" i="115"/>
  <c r="U8" i="114"/>
  <c r="W8" i="114"/>
  <c r="W7" i="114"/>
  <c r="U7" i="114"/>
  <c r="W9" i="114"/>
  <c r="U9" i="114"/>
  <c r="W11" i="114"/>
  <c r="U11" i="114"/>
  <c r="U10" i="114"/>
  <c r="W10" i="114"/>
  <c r="X16" i="111" l="1"/>
  <c r="D16" i="111" s="1"/>
  <c r="C16" i="111" s="1"/>
  <c r="B16" i="111"/>
  <c r="A16" i="111"/>
  <c r="X15" i="111"/>
  <c r="D15" i="111" s="1"/>
  <c r="C15" i="111" s="1"/>
  <c r="B15" i="111"/>
  <c r="A15" i="111"/>
  <c r="X14" i="111"/>
  <c r="D14" i="111"/>
  <c r="C14" i="111" s="1"/>
  <c r="B14" i="111"/>
  <c r="A14" i="111"/>
  <c r="X13" i="111"/>
  <c r="D13" i="111" s="1"/>
  <c r="C13" i="111" s="1"/>
  <c r="B13" i="111"/>
  <c r="A13" i="111"/>
  <c r="X12" i="111"/>
  <c r="D12" i="111" s="1"/>
  <c r="C12" i="111" s="1"/>
  <c r="B12" i="111"/>
  <c r="A12" i="111"/>
  <c r="X11" i="111"/>
  <c r="D11" i="111" s="1"/>
  <c r="C11" i="111" s="1"/>
  <c r="B11" i="111"/>
  <c r="A11" i="111"/>
  <c r="X10" i="111"/>
  <c r="D10" i="111" s="1"/>
  <c r="C10" i="111" s="1"/>
  <c r="B10" i="111"/>
  <c r="A10" i="111"/>
  <c r="X9" i="111"/>
  <c r="D9" i="111" s="1"/>
  <c r="C9" i="111" s="1"/>
  <c r="B9" i="111"/>
  <c r="A9" i="111"/>
  <c r="X8" i="111"/>
  <c r="D8" i="111"/>
  <c r="C8" i="111" s="1"/>
  <c r="B8" i="111"/>
  <c r="A8" i="111"/>
  <c r="X7" i="111"/>
  <c r="D7" i="111" s="1"/>
  <c r="C7" i="111" s="1"/>
  <c r="B7" i="111"/>
  <c r="A7" i="111"/>
  <c r="K8" i="110"/>
  <c r="J8" i="110"/>
  <c r="I8" i="110"/>
  <c r="H8" i="110"/>
  <c r="G8" i="110"/>
  <c r="F8" i="110"/>
  <c r="E8" i="110"/>
  <c r="D8" i="110"/>
  <c r="C8" i="110"/>
  <c r="B8" i="110"/>
  <c r="K7" i="110"/>
  <c r="J7" i="110"/>
  <c r="I7" i="110"/>
  <c r="H7" i="110"/>
  <c r="G7" i="110"/>
  <c r="F7" i="110"/>
  <c r="E7" i="110"/>
  <c r="D7" i="110"/>
  <c r="C7" i="110"/>
  <c r="B7" i="110"/>
  <c r="K6" i="110"/>
  <c r="J6" i="110"/>
  <c r="I6" i="110"/>
  <c r="H6" i="110"/>
  <c r="G6" i="110"/>
  <c r="F6" i="110"/>
  <c r="E6" i="110"/>
  <c r="D6" i="110"/>
  <c r="C6" i="110"/>
  <c r="B6" i="110"/>
  <c r="K5" i="110"/>
  <c r="J5" i="110"/>
  <c r="I5" i="110"/>
  <c r="H5" i="110"/>
  <c r="G5" i="110"/>
  <c r="F5" i="110"/>
  <c r="E5" i="110"/>
  <c r="D5" i="110"/>
  <c r="C5" i="110"/>
  <c r="B5" i="110"/>
  <c r="AA12" i="109"/>
  <c r="S12" i="109"/>
  <c r="R12" i="109"/>
  <c r="Q12" i="109"/>
  <c r="P12" i="109"/>
  <c r="O12" i="109"/>
  <c r="N12" i="109"/>
  <c r="M12" i="109"/>
  <c r="E12" i="109"/>
  <c r="D12" i="109"/>
  <c r="C12" i="109"/>
  <c r="B12" i="109"/>
  <c r="A12" i="109"/>
  <c r="AA11" i="109"/>
  <c r="S11" i="109"/>
  <c r="R11" i="109"/>
  <c r="Q11" i="109"/>
  <c r="P11" i="109"/>
  <c r="O11" i="109"/>
  <c r="N11" i="109"/>
  <c r="M11" i="109"/>
  <c r="E11" i="109"/>
  <c r="D11" i="109"/>
  <c r="C11" i="109"/>
  <c r="B11" i="109"/>
  <c r="A11" i="109"/>
  <c r="AA10" i="109"/>
  <c r="S10" i="109"/>
  <c r="R10" i="109"/>
  <c r="Q10" i="109"/>
  <c r="P10" i="109"/>
  <c r="O10" i="109"/>
  <c r="N10" i="109"/>
  <c r="M10" i="109"/>
  <c r="E10" i="109"/>
  <c r="D10" i="109"/>
  <c r="C10" i="109"/>
  <c r="B10" i="109"/>
  <c r="A10" i="109"/>
  <c r="AA9" i="109"/>
  <c r="S9" i="109"/>
  <c r="R9" i="109"/>
  <c r="Q9" i="109"/>
  <c r="P9" i="109"/>
  <c r="O9" i="109"/>
  <c r="N9" i="109"/>
  <c r="M9" i="109"/>
  <c r="E9" i="109"/>
  <c r="D9" i="109"/>
  <c r="C9" i="109"/>
  <c r="B9" i="109"/>
  <c r="A9" i="109"/>
  <c r="D6" i="109" a="1"/>
  <c r="D6" i="109" s="1"/>
  <c r="D5" i="109" a="1"/>
  <c r="D5" i="109" s="1"/>
  <c r="Q10" i="108"/>
  <c r="P10" i="108"/>
  <c r="R10" i="108" s="1"/>
  <c r="O10" i="108"/>
  <c r="N10" i="108"/>
  <c r="M10" i="108"/>
  <c r="H10" i="108"/>
  <c r="F10" i="108"/>
  <c r="E10" i="108"/>
  <c r="S10" i="108" s="1"/>
  <c r="C10" i="108"/>
  <c r="B10" i="108"/>
  <c r="A10" i="108"/>
  <c r="R9" i="108"/>
  <c r="P9" i="108"/>
  <c r="O9" i="108"/>
  <c r="Q9" i="108" s="1"/>
  <c r="N9" i="108"/>
  <c r="M9" i="108"/>
  <c r="H9" i="108"/>
  <c r="F9" i="108"/>
  <c r="E9" i="108"/>
  <c r="I9" i="108" s="1"/>
  <c r="C9" i="108"/>
  <c r="B9" i="108"/>
  <c r="A9" i="108"/>
  <c r="Q8" i="108"/>
  <c r="P8" i="108"/>
  <c r="R8" i="108" s="1"/>
  <c r="T8" i="108" s="1"/>
  <c r="V8" i="108" s="1"/>
  <c r="O8" i="108"/>
  <c r="N8" i="108"/>
  <c r="M8" i="108"/>
  <c r="H8" i="108"/>
  <c r="F8" i="108"/>
  <c r="E8" i="108"/>
  <c r="S8" i="108" s="1"/>
  <c r="C8" i="108"/>
  <c r="B8" i="108"/>
  <c r="A8" i="108"/>
  <c r="R7" i="108"/>
  <c r="P7" i="108"/>
  <c r="O7" i="108"/>
  <c r="Q7" i="108" s="1"/>
  <c r="N7" i="108"/>
  <c r="M7" i="108"/>
  <c r="H7" i="108"/>
  <c r="F7" i="108"/>
  <c r="E7" i="108"/>
  <c r="I7" i="108" s="1"/>
  <c r="C7" i="108"/>
  <c r="B7" i="108"/>
  <c r="A7" i="108"/>
  <c r="N12" i="107"/>
  <c r="N11" i="107"/>
  <c r="N10" i="107"/>
  <c r="N9" i="107"/>
  <c r="T7" i="108" l="1"/>
  <c r="V7" i="108" s="1"/>
  <c r="I8" i="108"/>
  <c r="T10" i="109"/>
  <c r="T11" i="109"/>
  <c r="S9" i="108"/>
  <c r="S7" i="108"/>
  <c r="T9" i="108"/>
  <c r="V9" i="108" s="1"/>
  <c r="I10" i="108"/>
  <c r="T10" i="108"/>
  <c r="V10" i="108" s="1"/>
  <c r="T9" i="109"/>
  <c r="T12" i="109"/>
  <c r="W10" i="109"/>
  <c r="Y10" i="109" s="1"/>
  <c r="AB10" i="109" s="1"/>
  <c r="X10" i="109"/>
  <c r="X11" i="109"/>
  <c r="W11" i="109"/>
  <c r="Y11" i="109" s="1"/>
  <c r="AB11" i="109" s="1"/>
  <c r="X9" i="109"/>
  <c r="W9" i="109"/>
  <c r="Y9" i="109" s="1"/>
  <c r="AB9" i="109" s="1"/>
  <c r="W12" i="109"/>
  <c r="Y12" i="109" s="1"/>
  <c r="AB12" i="109" s="1"/>
  <c r="X12" i="109"/>
  <c r="W8" i="108"/>
  <c r="U8" i="108"/>
  <c r="U9" i="108"/>
  <c r="W9" i="108"/>
  <c r="U7" i="108"/>
  <c r="W7" i="108"/>
  <c r="W10" i="108"/>
  <c r="U10" i="108"/>
  <c r="X16" i="104" l="1"/>
  <c r="D16" i="104" s="1"/>
  <c r="C16" i="104" s="1"/>
  <c r="B16" i="104"/>
  <c r="A16" i="104"/>
  <c r="X15" i="104"/>
  <c r="D15" i="104" s="1"/>
  <c r="C15" i="104" s="1"/>
  <c r="B15" i="104"/>
  <c r="A15" i="104"/>
  <c r="X14" i="104"/>
  <c r="D14" i="104"/>
  <c r="C14" i="104" s="1"/>
  <c r="B14" i="104"/>
  <c r="A14" i="104"/>
  <c r="X13" i="104"/>
  <c r="D13" i="104" s="1"/>
  <c r="C13" i="104" s="1"/>
  <c r="B13" i="104"/>
  <c r="A13" i="104"/>
  <c r="X12" i="104"/>
  <c r="D12" i="104"/>
  <c r="C12" i="104" s="1"/>
  <c r="B12" i="104"/>
  <c r="A12" i="104"/>
  <c r="X11" i="104"/>
  <c r="D11" i="104" s="1"/>
  <c r="C11" i="104" s="1"/>
  <c r="B11" i="104"/>
  <c r="A11" i="104"/>
  <c r="X10" i="104"/>
  <c r="D10" i="104"/>
  <c r="C10" i="104" s="1"/>
  <c r="B10" i="104"/>
  <c r="A10" i="104"/>
  <c r="X9" i="104"/>
  <c r="D9" i="104" s="1"/>
  <c r="C9" i="104" s="1"/>
  <c r="B9" i="104"/>
  <c r="A9" i="104"/>
  <c r="X8" i="104"/>
  <c r="D8" i="104"/>
  <c r="C8" i="104" s="1"/>
  <c r="B8" i="104"/>
  <c r="A8" i="104"/>
  <c r="X7" i="104"/>
  <c r="D7" i="104" s="1"/>
  <c r="C7" i="104" s="1"/>
  <c r="B7" i="104"/>
  <c r="A7" i="104"/>
  <c r="K11" i="103"/>
  <c r="J11" i="103"/>
  <c r="I11" i="103"/>
  <c r="H11" i="103"/>
  <c r="G11" i="103"/>
  <c r="F11" i="103"/>
  <c r="E11" i="103"/>
  <c r="D11" i="103"/>
  <c r="C11" i="103"/>
  <c r="B11" i="103"/>
  <c r="K10" i="103"/>
  <c r="J10" i="103"/>
  <c r="I10" i="103"/>
  <c r="H10" i="103"/>
  <c r="G10" i="103"/>
  <c r="F10" i="103"/>
  <c r="E10" i="103"/>
  <c r="D10" i="103"/>
  <c r="C10" i="103"/>
  <c r="B10" i="103"/>
  <c r="K9" i="103"/>
  <c r="J9" i="103"/>
  <c r="I9" i="103"/>
  <c r="H9" i="103"/>
  <c r="G9" i="103"/>
  <c r="F9" i="103"/>
  <c r="E9" i="103"/>
  <c r="D9" i="103"/>
  <c r="C9" i="103"/>
  <c r="B9" i="103"/>
  <c r="K8" i="103"/>
  <c r="J8" i="103"/>
  <c r="I8" i="103"/>
  <c r="H8" i="103"/>
  <c r="G8" i="103"/>
  <c r="F8" i="103"/>
  <c r="E8" i="103"/>
  <c r="D8" i="103"/>
  <c r="C8" i="103"/>
  <c r="B8" i="103"/>
  <c r="K7" i="103"/>
  <c r="J7" i="103"/>
  <c r="I7" i="103"/>
  <c r="H7" i="103"/>
  <c r="G7" i="103"/>
  <c r="F7" i="103"/>
  <c r="E7" i="103"/>
  <c r="D7" i="103"/>
  <c r="C7" i="103"/>
  <c r="B7" i="103"/>
  <c r="K6" i="103"/>
  <c r="J6" i="103"/>
  <c r="I6" i="103"/>
  <c r="H6" i="103"/>
  <c r="G6" i="103"/>
  <c r="F6" i="103"/>
  <c r="E6" i="103"/>
  <c r="D6" i="103"/>
  <c r="C6" i="103"/>
  <c r="B6" i="103"/>
  <c r="K5" i="103"/>
  <c r="J5" i="103"/>
  <c r="I5" i="103"/>
  <c r="H5" i="103"/>
  <c r="G5" i="103"/>
  <c r="F5" i="103"/>
  <c r="E5" i="103"/>
  <c r="D5" i="103"/>
  <c r="C5" i="103"/>
  <c r="B5" i="103"/>
  <c r="AA20" i="102"/>
  <c r="S20" i="102"/>
  <c r="R20" i="102"/>
  <c r="Q20" i="102"/>
  <c r="P20" i="102"/>
  <c r="O20" i="102"/>
  <c r="N20" i="102"/>
  <c r="M20" i="102"/>
  <c r="E20" i="102"/>
  <c r="D20" i="102"/>
  <c r="C20" i="102"/>
  <c r="B20" i="102"/>
  <c r="A20" i="102"/>
  <c r="AA14" i="102"/>
  <c r="S14" i="102"/>
  <c r="R14" i="102"/>
  <c r="Q14" i="102"/>
  <c r="P14" i="102"/>
  <c r="T14" i="102" s="1"/>
  <c r="O14" i="102"/>
  <c r="N14" i="102"/>
  <c r="M14" i="102"/>
  <c r="E14" i="102"/>
  <c r="D14" i="102"/>
  <c r="C14" i="102"/>
  <c r="B14" i="102"/>
  <c r="A14" i="102"/>
  <c r="AA13" i="102"/>
  <c r="S13" i="102"/>
  <c r="R13" i="102"/>
  <c r="Q13" i="102"/>
  <c r="P13" i="102"/>
  <c r="O13" i="102"/>
  <c r="N13" i="102"/>
  <c r="M13" i="102"/>
  <c r="E13" i="102"/>
  <c r="D13" i="102"/>
  <c r="C13" i="102"/>
  <c r="B13" i="102"/>
  <c r="A13" i="102"/>
  <c r="AA12" i="102"/>
  <c r="S12" i="102"/>
  <c r="R12" i="102"/>
  <c r="Q12" i="102"/>
  <c r="P12" i="102"/>
  <c r="O12" i="102"/>
  <c r="N12" i="102"/>
  <c r="M12" i="102"/>
  <c r="E12" i="102"/>
  <c r="D12" i="102"/>
  <c r="C12" i="102"/>
  <c r="B12" i="102"/>
  <c r="A12" i="102"/>
  <c r="AA11" i="102"/>
  <c r="S11" i="102"/>
  <c r="R11" i="102"/>
  <c r="Q11" i="102"/>
  <c r="P11" i="102"/>
  <c r="O11" i="102"/>
  <c r="N11" i="102"/>
  <c r="M11" i="102"/>
  <c r="E11" i="102"/>
  <c r="D11" i="102"/>
  <c r="C11" i="102"/>
  <c r="B11" i="102"/>
  <c r="A11" i="102"/>
  <c r="AA10" i="102"/>
  <c r="S10" i="102"/>
  <c r="R10" i="102"/>
  <c r="Q10" i="102"/>
  <c r="P10" i="102"/>
  <c r="O10" i="102"/>
  <c r="N10" i="102"/>
  <c r="M10" i="102"/>
  <c r="E10" i="102"/>
  <c r="D10" i="102"/>
  <c r="C10" i="102"/>
  <c r="B10" i="102"/>
  <c r="A10" i="102"/>
  <c r="AA9" i="102"/>
  <c r="S9" i="102"/>
  <c r="R9" i="102"/>
  <c r="Q9" i="102"/>
  <c r="P9" i="102"/>
  <c r="O9" i="102"/>
  <c r="N9" i="102"/>
  <c r="M9" i="102"/>
  <c r="E9" i="102"/>
  <c r="D9" i="102"/>
  <c r="C9" i="102"/>
  <c r="B9" i="102"/>
  <c r="A9" i="102"/>
  <c r="D6" i="102" a="1"/>
  <c r="D6" i="102" s="1"/>
  <c r="D5" i="102" a="1"/>
  <c r="D5" i="102" s="1"/>
  <c r="P13" i="101"/>
  <c r="R13" i="101" s="1"/>
  <c r="O13" i="101"/>
  <c r="Q13" i="101" s="1"/>
  <c r="N13" i="101"/>
  <c r="M13" i="101"/>
  <c r="H13" i="101"/>
  <c r="F13" i="101"/>
  <c r="E13" i="101"/>
  <c r="I13" i="101" s="1"/>
  <c r="C13" i="101"/>
  <c r="B13" i="101"/>
  <c r="A13" i="101"/>
  <c r="R12" i="101"/>
  <c r="P12" i="101"/>
  <c r="O12" i="101"/>
  <c r="Q12" i="101" s="1"/>
  <c r="N12" i="101"/>
  <c r="M12" i="101"/>
  <c r="H12" i="101"/>
  <c r="T12" i="101" s="1"/>
  <c r="V12" i="101" s="1"/>
  <c r="F12" i="101"/>
  <c r="E12" i="101"/>
  <c r="C12" i="101"/>
  <c r="B12" i="101"/>
  <c r="A12" i="101"/>
  <c r="Q11" i="101"/>
  <c r="P11" i="101"/>
  <c r="R11" i="101" s="1"/>
  <c r="O11" i="101"/>
  <c r="N11" i="101"/>
  <c r="M11" i="101"/>
  <c r="H11" i="101"/>
  <c r="F11" i="101"/>
  <c r="E11" i="101"/>
  <c r="S11" i="101" s="1"/>
  <c r="C11" i="101"/>
  <c r="B11" i="101"/>
  <c r="A11" i="101"/>
  <c r="R10" i="101"/>
  <c r="P10" i="101"/>
  <c r="O10" i="101"/>
  <c r="Q10" i="101" s="1"/>
  <c r="N10" i="101"/>
  <c r="M10" i="101"/>
  <c r="H10" i="101"/>
  <c r="F10" i="101"/>
  <c r="E10" i="101"/>
  <c r="C10" i="101"/>
  <c r="B10" i="101"/>
  <c r="A10" i="101"/>
  <c r="Q9" i="101"/>
  <c r="P9" i="101"/>
  <c r="R9" i="101" s="1"/>
  <c r="T9" i="101" s="1"/>
  <c r="V9" i="101" s="1"/>
  <c r="O9" i="101"/>
  <c r="N9" i="101"/>
  <c r="M9" i="101"/>
  <c r="I9" i="101"/>
  <c r="H9" i="101"/>
  <c r="F9" i="101"/>
  <c r="E9" i="101"/>
  <c r="S9" i="101" s="1"/>
  <c r="C9" i="101"/>
  <c r="B9" i="101"/>
  <c r="A9" i="101"/>
  <c r="P8" i="101"/>
  <c r="R8" i="101" s="1"/>
  <c r="O8" i="101"/>
  <c r="Q8" i="101" s="1"/>
  <c r="N8" i="101"/>
  <c r="M8" i="101"/>
  <c r="H8" i="101"/>
  <c r="F8" i="101"/>
  <c r="E8" i="101"/>
  <c r="C8" i="101"/>
  <c r="B8" i="101"/>
  <c r="A8" i="101"/>
  <c r="P7" i="101"/>
  <c r="R7" i="101" s="1"/>
  <c r="O7" i="101"/>
  <c r="Q7" i="101" s="1"/>
  <c r="N7" i="101"/>
  <c r="M7" i="101"/>
  <c r="H7" i="101"/>
  <c r="F7" i="101"/>
  <c r="E7" i="101"/>
  <c r="I7" i="101" s="1"/>
  <c r="C7" i="101"/>
  <c r="B7" i="101"/>
  <c r="A7" i="101"/>
  <c r="N15" i="100"/>
  <c r="N14" i="100"/>
  <c r="N13" i="100"/>
  <c r="N12" i="100"/>
  <c r="N11" i="100"/>
  <c r="N10" i="100"/>
  <c r="N9" i="100"/>
  <c r="T7" i="101" l="1"/>
  <c r="V7" i="101" s="1"/>
  <c r="S12" i="101"/>
  <c r="T12" i="102"/>
  <c r="S7" i="101"/>
  <c r="S10" i="101"/>
  <c r="T13" i="101"/>
  <c r="V13" i="101" s="1"/>
  <c r="T11" i="102"/>
  <c r="T20" i="102"/>
  <c r="S8" i="101"/>
  <c r="T10" i="101"/>
  <c r="V10" i="101" s="1"/>
  <c r="I11" i="101"/>
  <c r="T11" i="101"/>
  <c r="V11" i="101" s="1"/>
  <c r="S13" i="101"/>
  <c r="T10" i="102"/>
  <c r="T8" i="101"/>
  <c r="V8" i="101" s="1"/>
  <c r="T9" i="102"/>
  <c r="T13" i="102"/>
  <c r="X10" i="102"/>
  <c r="W10" i="102"/>
  <c r="Y10" i="102" s="1"/>
  <c r="AB10" i="102" s="1"/>
  <c r="X14" i="102"/>
  <c r="W14" i="102"/>
  <c r="Y14" i="102" s="1"/>
  <c r="AB14" i="102" s="1"/>
  <c r="W9" i="102"/>
  <c r="Y9" i="102" s="1"/>
  <c r="AB9" i="102" s="1"/>
  <c r="X9" i="102"/>
  <c r="W13" i="102"/>
  <c r="Y13" i="102" s="1"/>
  <c r="AB13" i="102" s="1"/>
  <c r="X13" i="102"/>
  <c r="X12" i="102"/>
  <c r="W12" i="102"/>
  <c r="Y12" i="102" s="1"/>
  <c r="AB12" i="102" s="1"/>
  <c r="W11" i="102"/>
  <c r="Y11" i="102" s="1"/>
  <c r="AB11" i="102" s="1"/>
  <c r="X11" i="102"/>
  <c r="W20" i="102"/>
  <c r="Y20" i="102" s="1"/>
  <c r="AB20" i="102" s="1"/>
  <c r="X20" i="102"/>
  <c r="W9" i="101"/>
  <c r="U9" i="101"/>
  <c r="U12" i="101"/>
  <c r="W12" i="101"/>
  <c r="W7" i="101"/>
  <c r="U7" i="101"/>
  <c r="U10" i="101"/>
  <c r="W10" i="101"/>
  <c r="W11" i="101"/>
  <c r="U11" i="101"/>
  <c r="U8" i="101"/>
  <c r="W8" i="101"/>
  <c r="W13" i="101"/>
  <c r="U13" i="101"/>
  <c r="I8" i="101"/>
  <c r="I10" i="101"/>
  <c r="I12" i="101"/>
  <c r="K10" i="98" l="1"/>
  <c r="J10" i="98"/>
  <c r="I10" i="98"/>
  <c r="H10" i="98"/>
  <c r="G10" i="98"/>
  <c r="F10" i="98"/>
  <c r="E10" i="98"/>
  <c r="D10" i="98"/>
  <c r="C10" i="98"/>
  <c r="B10" i="98"/>
  <c r="K9" i="98"/>
  <c r="J9" i="98"/>
  <c r="I9" i="98"/>
  <c r="H9" i="98"/>
  <c r="G9" i="98"/>
  <c r="F9" i="98"/>
  <c r="E9" i="98"/>
  <c r="D9" i="98"/>
  <c r="C9" i="98"/>
  <c r="B9" i="98"/>
  <c r="K8" i="98"/>
  <c r="J8" i="98"/>
  <c r="I8" i="98"/>
  <c r="H8" i="98"/>
  <c r="G8" i="98"/>
  <c r="F8" i="98"/>
  <c r="E8" i="98"/>
  <c r="D8" i="98"/>
  <c r="C8" i="98"/>
  <c r="B8" i="98"/>
  <c r="K7" i="98"/>
  <c r="J7" i="98"/>
  <c r="I7" i="98"/>
  <c r="H7" i="98"/>
  <c r="G7" i="98"/>
  <c r="F7" i="98"/>
  <c r="E7" i="98"/>
  <c r="D7" i="98"/>
  <c r="C7" i="98"/>
  <c r="B7" i="98"/>
  <c r="K6" i="98"/>
  <c r="J6" i="98"/>
  <c r="I6" i="98"/>
  <c r="H6" i="98"/>
  <c r="G6" i="98"/>
  <c r="F6" i="98"/>
  <c r="E6" i="98"/>
  <c r="D6" i="98"/>
  <c r="C6" i="98"/>
  <c r="B6" i="98"/>
  <c r="K5" i="98"/>
  <c r="J5" i="98"/>
  <c r="I5" i="98"/>
  <c r="H5" i="98"/>
  <c r="G5" i="98"/>
  <c r="F5" i="98"/>
  <c r="E5" i="98"/>
  <c r="D5" i="98"/>
  <c r="C5" i="98"/>
  <c r="B5" i="98"/>
  <c r="AA14" i="97"/>
  <c r="S14" i="97"/>
  <c r="R14" i="97"/>
  <c r="Q14" i="97"/>
  <c r="P14" i="97"/>
  <c r="O14" i="97"/>
  <c r="N14" i="97"/>
  <c r="T14" i="97" s="1"/>
  <c r="M14" i="97"/>
  <c r="E14" i="97"/>
  <c r="D14" i="97"/>
  <c r="C14" i="97"/>
  <c r="B14" i="97"/>
  <c r="A14" i="97"/>
  <c r="AA13" i="97"/>
  <c r="S13" i="97"/>
  <c r="R13" i="97"/>
  <c r="Q13" i="97"/>
  <c r="P13" i="97"/>
  <c r="O13" i="97"/>
  <c r="N13" i="97"/>
  <c r="M13" i="97"/>
  <c r="E13" i="97"/>
  <c r="D13" i="97"/>
  <c r="C13" i="97"/>
  <c r="B13" i="97"/>
  <c r="A13" i="97"/>
  <c r="AA12" i="97"/>
  <c r="S12" i="97"/>
  <c r="R12" i="97"/>
  <c r="Q12" i="97"/>
  <c r="P12" i="97"/>
  <c r="O12" i="97"/>
  <c r="N12" i="97"/>
  <c r="T12" i="97" s="1"/>
  <c r="M12" i="97"/>
  <c r="E12" i="97"/>
  <c r="D12" i="97"/>
  <c r="C12" i="97"/>
  <c r="B12" i="97"/>
  <c r="A12" i="97"/>
  <c r="AA11" i="97"/>
  <c r="S11" i="97"/>
  <c r="R11" i="97"/>
  <c r="Q11" i="97"/>
  <c r="P11" i="97"/>
  <c r="O11" i="97"/>
  <c r="N11" i="97"/>
  <c r="M11" i="97"/>
  <c r="E11" i="97"/>
  <c r="D11" i="97"/>
  <c r="C11" i="97"/>
  <c r="B11" i="97"/>
  <c r="A11" i="97"/>
  <c r="AA10" i="97"/>
  <c r="S10" i="97"/>
  <c r="R10" i="97"/>
  <c r="Q10" i="97"/>
  <c r="P10" i="97"/>
  <c r="O10" i="97"/>
  <c r="N10" i="97"/>
  <c r="M10" i="97"/>
  <c r="E10" i="97"/>
  <c r="D10" i="97"/>
  <c r="C10" i="97"/>
  <c r="B10" i="97"/>
  <c r="A10" i="97"/>
  <c r="AA9" i="97"/>
  <c r="S9" i="97"/>
  <c r="R9" i="97"/>
  <c r="Q9" i="97"/>
  <c r="P9" i="97"/>
  <c r="O9" i="97"/>
  <c r="N9" i="97"/>
  <c r="M9" i="97"/>
  <c r="E9" i="97"/>
  <c r="D9" i="97"/>
  <c r="C9" i="97"/>
  <c r="B9" i="97"/>
  <c r="A9" i="97"/>
  <c r="D6" i="97" a="1"/>
  <c r="D6" i="97" s="1"/>
  <c r="D5" i="97" a="1"/>
  <c r="D5" i="97" s="1"/>
  <c r="P12" i="96"/>
  <c r="R12" i="96" s="1"/>
  <c r="O12" i="96"/>
  <c r="Q12" i="96" s="1"/>
  <c r="N12" i="96"/>
  <c r="M12" i="96"/>
  <c r="H12" i="96"/>
  <c r="F12" i="96"/>
  <c r="E12" i="96"/>
  <c r="I12" i="96" s="1"/>
  <c r="C12" i="96"/>
  <c r="B12" i="96"/>
  <c r="A12" i="96"/>
  <c r="R11" i="96"/>
  <c r="P11" i="96"/>
  <c r="O11" i="96"/>
  <c r="Q11" i="96" s="1"/>
  <c r="N11" i="96"/>
  <c r="M11" i="96"/>
  <c r="H11" i="96"/>
  <c r="F11" i="96"/>
  <c r="E11" i="96"/>
  <c r="I11" i="96" s="1"/>
  <c r="C11" i="96"/>
  <c r="B11" i="96"/>
  <c r="A11" i="96"/>
  <c r="P10" i="96"/>
  <c r="R10" i="96" s="1"/>
  <c r="O10" i="96"/>
  <c r="Q10" i="96" s="1"/>
  <c r="N10" i="96"/>
  <c r="M10" i="96"/>
  <c r="H10" i="96"/>
  <c r="F10" i="96"/>
  <c r="E10" i="96"/>
  <c r="I10" i="96" s="1"/>
  <c r="C10" i="96"/>
  <c r="B10" i="96"/>
  <c r="A10" i="96"/>
  <c r="R9" i="96"/>
  <c r="P9" i="96"/>
  <c r="O9" i="96"/>
  <c r="Q9" i="96" s="1"/>
  <c r="N9" i="96"/>
  <c r="M9" i="96"/>
  <c r="H9" i="96"/>
  <c r="F9" i="96"/>
  <c r="E9" i="96"/>
  <c r="I9" i="96" s="1"/>
  <c r="C9" i="96"/>
  <c r="B9" i="96"/>
  <c r="A9" i="96"/>
  <c r="P8" i="96"/>
  <c r="R8" i="96" s="1"/>
  <c r="T8" i="96" s="1"/>
  <c r="V8" i="96" s="1"/>
  <c r="O8" i="96"/>
  <c r="Q8" i="96" s="1"/>
  <c r="N8" i="96"/>
  <c r="M8" i="96"/>
  <c r="H8" i="96"/>
  <c r="F8" i="96"/>
  <c r="E8" i="96"/>
  <c r="I8" i="96" s="1"/>
  <c r="C8" i="96"/>
  <c r="B8" i="96"/>
  <c r="A8" i="96"/>
  <c r="R7" i="96"/>
  <c r="P7" i="96"/>
  <c r="O7" i="96"/>
  <c r="Q7" i="96" s="1"/>
  <c r="N7" i="96"/>
  <c r="M7" i="96"/>
  <c r="H7" i="96"/>
  <c r="F7" i="96"/>
  <c r="E7" i="96"/>
  <c r="I7" i="96" s="1"/>
  <c r="C7" i="96"/>
  <c r="B7" i="96"/>
  <c r="A7" i="96"/>
  <c r="N14" i="95"/>
  <c r="N13" i="95"/>
  <c r="N12" i="95"/>
  <c r="N11" i="95"/>
  <c r="N10" i="95"/>
  <c r="N9" i="95"/>
  <c r="T7" i="96" l="1"/>
  <c r="V7" i="96" s="1"/>
  <c r="T9" i="96"/>
  <c r="V9" i="96" s="1"/>
  <c r="T11" i="96"/>
  <c r="V11" i="96" s="1"/>
  <c r="T11" i="97"/>
  <c r="T10" i="97"/>
  <c r="S8" i="96"/>
  <c r="T9" i="97"/>
  <c r="T13" i="97"/>
  <c r="S7" i="96"/>
  <c r="S9" i="96"/>
  <c r="T10" i="96"/>
  <c r="V10" i="96" s="1"/>
  <c r="S11" i="96"/>
  <c r="T12" i="96"/>
  <c r="V12" i="96" s="1"/>
  <c r="X9" i="97"/>
  <c r="W9" i="97"/>
  <c r="Y9" i="97" s="1"/>
  <c r="AB9" i="97" s="1"/>
  <c r="X13" i="97"/>
  <c r="W13" i="97"/>
  <c r="Y13" i="97" s="1"/>
  <c r="AB13" i="97" s="1"/>
  <c r="W12" i="97"/>
  <c r="Y12" i="97" s="1"/>
  <c r="AB12" i="97" s="1"/>
  <c r="X12" i="97"/>
  <c r="X11" i="97"/>
  <c r="W11" i="97"/>
  <c r="Y11" i="97" s="1"/>
  <c r="AB11" i="97" s="1"/>
  <c r="W10" i="97"/>
  <c r="Y10" i="97" s="1"/>
  <c r="AB10" i="97" s="1"/>
  <c r="X10" i="97"/>
  <c r="W14" i="97"/>
  <c r="Y14" i="97" s="1"/>
  <c r="AB14" i="97" s="1"/>
  <c r="X14" i="97"/>
  <c r="U9" i="96"/>
  <c r="W9" i="96"/>
  <c r="U11" i="96"/>
  <c r="W11" i="96"/>
  <c r="S10" i="96"/>
  <c r="S12" i="96"/>
  <c r="U7" i="96"/>
  <c r="W7" i="96"/>
  <c r="W8" i="96"/>
  <c r="U8" i="96"/>
  <c r="W12" i="96" l="1"/>
  <c r="U12" i="96"/>
  <c r="W10" i="96"/>
  <c r="U10" i="96"/>
  <c r="K11" i="93" l="1"/>
  <c r="J11" i="93"/>
  <c r="I11" i="93"/>
  <c r="H11" i="93"/>
  <c r="G11" i="93"/>
  <c r="F11" i="93"/>
  <c r="E11" i="93"/>
  <c r="D11" i="93"/>
  <c r="C11" i="93"/>
  <c r="B11" i="93"/>
  <c r="K10" i="93"/>
  <c r="J10" i="93"/>
  <c r="I10" i="93"/>
  <c r="H10" i="93"/>
  <c r="G10" i="93"/>
  <c r="F10" i="93"/>
  <c r="E10" i="93"/>
  <c r="D10" i="93"/>
  <c r="C10" i="93"/>
  <c r="B10" i="93"/>
  <c r="K9" i="93"/>
  <c r="J9" i="93"/>
  <c r="I9" i="93"/>
  <c r="H9" i="93"/>
  <c r="G9" i="93"/>
  <c r="F9" i="93"/>
  <c r="E9" i="93"/>
  <c r="D9" i="93"/>
  <c r="C9" i="93"/>
  <c r="B9" i="93"/>
  <c r="K8" i="93"/>
  <c r="J8" i="93"/>
  <c r="I8" i="93"/>
  <c r="H8" i="93"/>
  <c r="G8" i="93"/>
  <c r="F8" i="93"/>
  <c r="E8" i="93"/>
  <c r="D8" i="93"/>
  <c r="C8" i="93"/>
  <c r="B8" i="93"/>
  <c r="K7" i="93"/>
  <c r="J7" i="93"/>
  <c r="I7" i="93"/>
  <c r="H7" i="93"/>
  <c r="G7" i="93"/>
  <c r="F7" i="93"/>
  <c r="E7" i="93"/>
  <c r="D7" i="93"/>
  <c r="C7" i="93"/>
  <c r="B7" i="93"/>
  <c r="K6" i="93"/>
  <c r="J6" i="93"/>
  <c r="I6" i="93"/>
  <c r="H6" i="93"/>
  <c r="G6" i="93"/>
  <c r="F6" i="93"/>
  <c r="E6" i="93"/>
  <c r="D6" i="93"/>
  <c r="C6" i="93"/>
  <c r="B6" i="93"/>
  <c r="K5" i="93"/>
  <c r="J5" i="93"/>
  <c r="I5" i="93"/>
  <c r="H5" i="93"/>
  <c r="G5" i="93"/>
  <c r="F5" i="93"/>
  <c r="E5" i="93"/>
  <c r="D5" i="93"/>
  <c r="C5" i="93"/>
  <c r="B5" i="93"/>
  <c r="AA15" i="92"/>
  <c r="S15" i="92"/>
  <c r="R15" i="92"/>
  <c r="Q15" i="92"/>
  <c r="P15" i="92"/>
  <c r="O15" i="92"/>
  <c r="N15" i="92"/>
  <c r="T15" i="92" s="1"/>
  <c r="M15" i="92"/>
  <c r="E15" i="92"/>
  <c r="D15" i="92"/>
  <c r="C15" i="92"/>
  <c r="B15" i="92"/>
  <c r="A15" i="92"/>
  <c r="AA14" i="92"/>
  <c r="S14" i="92"/>
  <c r="R14" i="92"/>
  <c r="Q14" i="92"/>
  <c r="P14" i="92"/>
  <c r="T14" i="92" s="1"/>
  <c r="O14" i="92"/>
  <c r="N14" i="92"/>
  <c r="M14" i="92"/>
  <c r="E14" i="92"/>
  <c r="D14" i="92"/>
  <c r="C14" i="92"/>
  <c r="B14" i="92"/>
  <c r="A14" i="92"/>
  <c r="AA13" i="92"/>
  <c r="S13" i="92"/>
  <c r="R13" i="92"/>
  <c r="Q13" i="92"/>
  <c r="P13" i="92"/>
  <c r="O13" i="92"/>
  <c r="N13" i="92"/>
  <c r="M13" i="92"/>
  <c r="E13" i="92"/>
  <c r="D13" i="92"/>
  <c r="C13" i="92"/>
  <c r="B13" i="92"/>
  <c r="A13" i="92"/>
  <c r="AA12" i="92"/>
  <c r="S12" i="92"/>
  <c r="R12" i="92"/>
  <c r="Q12" i="92"/>
  <c r="P12" i="92"/>
  <c r="O12" i="92"/>
  <c r="N12" i="92"/>
  <c r="M12" i="92"/>
  <c r="E12" i="92"/>
  <c r="D12" i="92"/>
  <c r="C12" i="92"/>
  <c r="B12" i="92"/>
  <c r="A12" i="92"/>
  <c r="AA11" i="92"/>
  <c r="S11" i="92"/>
  <c r="R11" i="92"/>
  <c r="Q11" i="92"/>
  <c r="P11" i="92"/>
  <c r="O11" i="92"/>
  <c r="N11" i="92"/>
  <c r="M11" i="92"/>
  <c r="E11" i="92"/>
  <c r="D11" i="92"/>
  <c r="C11" i="92"/>
  <c r="B11" i="92"/>
  <c r="A11" i="92"/>
  <c r="AA10" i="92"/>
  <c r="S10" i="92"/>
  <c r="R10" i="92"/>
  <c r="Q10" i="92"/>
  <c r="P10" i="92"/>
  <c r="O10" i="92"/>
  <c r="N10" i="92"/>
  <c r="M10" i="92"/>
  <c r="E10" i="92"/>
  <c r="D10" i="92"/>
  <c r="C10" i="92"/>
  <c r="B10" i="92"/>
  <c r="A10" i="92"/>
  <c r="AA9" i="92"/>
  <c r="S9" i="92"/>
  <c r="R9" i="92"/>
  <c r="Q9" i="92"/>
  <c r="P9" i="92"/>
  <c r="O9" i="92"/>
  <c r="N9" i="92"/>
  <c r="M9" i="92"/>
  <c r="E9" i="92"/>
  <c r="D9" i="92"/>
  <c r="C9" i="92"/>
  <c r="B9" i="92"/>
  <c r="A9" i="92"/>
  <c r="X16" i="91"/>
  <c r="D16" i="91" s="1"/>
  <c r="C16" i="91" s="1"/>
  <c r="B16" i="91"/>
  <c r="A16" i="91"/>
  <c r="X15" i="91"/>
  <c r="D15" i="91" s="1"/>
  <c r="C15" i="91" s="1"/>
  <c r="B15" i="91"/>
  <c r="A15" i="91"/>
  <c r="X14" i="91"/>
  <c r="D14" i="91"/>
  <c r="C14" i="91" s="1"/>
  <c r="B14" i="91"/>
  <c r="A14" i="91"/>
  <c r="X13" i="91"/>
  <c r="D13" i="91" s="1"/>
  <c r="C13" i="91" s="1"/>
  <c r="B13" i="91"/>
  <c r="A13" i="91"/>
  <c r="X12" i="91"/>
  <c r="D12" i="91" s="1"/>
  <c r="C12" i="91" s="1"/>
  <c r="B12" i="91"/>
  <c r="A12" i="91"/>
  <c r="X11" i="91"/>
  <c r="D11" i="91"/>
  <c r="C11" i="91"/>
  <c r="B11" i="91"/>
  <c r="A11" i="91"/>
  <c r="X10" i="91"/>
  <c r="D10" i="91"/>
  <c r="C10" i="91" s="1"/>
  <c r="B10" i="91"/>
  <c r="A10" i="91"/>
  <c r="X9" i="91"/>
  <c r="D9" i="91" s="1"/>
  <c r="C9" i="91" s="1"/>
  <c r="B9" i="91"/>
  <c r="A9" i="91"/>
  <c r="X8" i="91"/>
  <c r="D8" i="91" s="1"/>
  <c r="C8" i="91" s="1"/>
  <c r="B8" i="91"/>
  <c r="A8" i="91"/>
  <c r="X7" i="91"/>
  <c r="D7" i="91"/>
  <c r="C7" i="91" s="1"/>
  <c r="B7" i="91"/>
  <c r="A7" i="91"/>
  <c r="P13" i="90"/>
  <c r="R13" i="90" s="1"/>
  <c r="T13" i="90" s="1"/>
  <c r="V13" i="90" s="1"/>
  <c r="O13" i="90"/>
  <c r="Q13" i="90" s="1"/>
  <c r="N13" i="90"/>
  <c r="M13" i="90"/>
  <c r="I13" i="90"/>
  <c r="H13" i="90"/>
  <c r="F13" i="90"/>
  <c r="E13" i="90"/>
  <c r="S13" i="90" s="1"/>
  <c r="C13" i="90"/>
  <c r="B13" i="90"/>
  <c r="A13" i="90"/>
  <c r="R12" i="90"/>
  <c r="P12" i="90"/>
  <c r="O12" i="90"/>
  <c r="Q12" i="90" s="1"/>
  <c r="N12" i="90"/>
  <c r="M12" i="90"/>
  <c r="H12" i="90"/>
  <c r="F12" i="90"/>
  <c r="E12" i="90"/>
  <c r="I12" i="90" s="1"/>
  <c r="C12" i="90"/>
  <c r="B12" i="90"/>
  <c r="A12" i="90"/>
  <c r="P11" i="90"/>
  <c r="R11" i="90" s="1"/>
  <c r="O11" i="90"/>
  <c r="Q11" i="90" s="1"/>
  <c r="N11" i="90"/>
  <c r="M11" i="90"/>
  <c r="H11" i="90"/>
  <c r="F11" i="90"/>
  <c r="E11" i="90"/>
  <c r="I11" i="90" s="1"/>
  <c r="C11" i="90"/>
  <c r="B11" i="90"/>
  <c r="A11" i="90"/>
  <c r="R10" i="90"/>
  <c r="Q10" i="90"/>
  <c r="P10" i="90"/>
  <c r="O10" i="90"/>
  <c r="N10" i="90"/>
  <c r="M10" i="90"/>
  <c r="H10" i="90"/>
  <c r="F10" i="90"/>
  <c r="E10" i="90"/>
  <c r="I10" i="90" s="1"/>
  <c r="C10" i="90"/>
  <c r="B10" i="90"/>
  <c r="A10" i="90"/>
  <c r="P9" i="90"/>
  <c r="R9" i="90" s="1"/>
  <c r="T9" i="90" s="1"/>
  <c r="V9" i="90" s="1"/>
  <c r="O9" i="90"/>
  <c r="Q9" i="90" s="1"/>
  <c r="S9" i="90" s="1"/>
  <c r="N9" i="90"/>
  <c r="M9" i="90"/>
  <c r="I9" i="90"/>
  <c r="H9" i="90"/>
  <c r="F9" i="90"/>
  <c r="E9" i="90"/>
  <c r="C9" i="90"/>
  <c r="B9" i="90"/>
  <c r="A9" i="90"/>
  <c r="Q8" i="90"/>
  <c r="P8" i="90"/>
  <c r="R8" i="90" s="1"/>
  <c r="T8" i="90" s="1"/>
  <c r="V8" i="90" s="1"/>
  <c r="O8" i="90"/>
  <c r="N8" i="90"/>
  <c r="M8" i="90"/>
  <c r="H8" i="90"/>
  <c r="F8" i="90"/>
  <c r="E8" i="90"/>
  <c r="C8" i="90"/>
  <c r="B8" i="90"/>
  <c r="A8" i="90"/>
  <c r="P7" i="90"/>
  <c r="R7" i="90" s="1"/>
  <c r="O7" i="90"/>
  <c r="Q7" i="90" s="1"/>
  <c r="S7" i="90" s="1"/>
  <c r="N7" i="90"/>
  <c r="M7" i="90"/>
  <c r="H7" i="90"/>
  <c r="F7" i="90"/>
  <c r="E7" i="90"/>
  <c r="I7" i="90" s="1"/>
  <c r="C7" i="90"/>
  <c r="B7" i="90"/>
  <c r="A7" i="90"/>
  <c r="N15" i="89"/>
  <c r="N14" i="89"/>
  <c r="N13" i="89"/>
  <c r="N12" i="89"/>
  <c r="N11" i="89"/>
  <c r="N10" i="89"/>
  <c r="N9" i="89"/>
  <c r="T10" i="90" l="1"/>
  <c r="V10" i="90" s="1"/>
  <c r="T10" i="92"/>
  <c r="T7" i="90"/>
  <c r="V7" i="90" s="1"/>
  <c r="I8" i="90"/>
  <c r="T12" i="90"/>
  <c r="V12" i="90" s="1"/>
  <c r="T9" i="92"/>
  <c r="T13" i="92"/>
  <c r="S11" i="90"/>
  <c r="T12" i="92"/>
  <c r="X12" i="92" s="1"/>
  <c r="T11" i="90"/>
  <c r="V11" i="90" s="1"/>
  <c r="T11" i="92"/>
  <c r="W11" i="92" s="1"/>
  <c r="Y11" i="92" s="1"/>
  <c r="AB11" i="92" s="1"/>
  <c r="W12" i="92"/>
  <c r="Y12" i="92" s="1"/>
  <c r="AB12" i="92" s="1"/>
  <c r="X11" i="92"/>
  <c r="W15" i="92"/>
  <c r="Y15" i="92" s="1"/>
  <c r="AB15" i="92" s="1"/>
  <c r="X15" i="92"/>
  <c r="X10" i="92"/>
  <c r="W10" i="92"/>
  <c r="Y10" i="92" s="1"/>
  <c r="AB10" i="92" s="1"/>
  <c r="X14" i="92"/>
  <c r="W14" i="92"/>
  <c r="Y14" i="92" s="1"/>
  <c r="AB14" i="92" s="1"/>
  <c r="W9" i="92"/>
  <c r="Y9" i="92" s="1"/>
  <c r="AB9" i="92" s="1"/>
  <c r="X9" i="92"/>
  <c r="W13" i="92"/>
  <c r="Y13" i="92" s="1"/>
  <c r="AB13" i="92" s="1"/>
  <c r="X13" i="92"/>
  <c r="W7" i="90"/>
  <c r="U7" i="90"/>
  <c r="W11" i="90"/>
  <c r="U11" i="90"/>
  <c r="W9" i="90"/>
  <c r="U9" i="90"/>
  <c r="W13" i="90"/>
  <c r="U13" i="90"/>
  <c r="S8" i="90"/>
  <c r="S10" i="90"/>
  <c r="S12" i="90"/>
  <c r="U10" i="90" l="1"/>
  <c r="W10" i="90"/>
  <c r="U12" i="90"/>
  <c r="W12" i="90"/>
  <c r="U8" i="90"/>
  <c r="W8" i="90"/>
  <c r="K9" i="87" l="1"/>
  <c r="J9" i="87"/>
  <c r="I9" i="87"/>
  <c r="H9" i="87"/>
  <c r="G9" i="87"/>
  <c r="F9" i="87"/>
  <c r="E9" i="87"/>
  <c r="D9" i="87"/>
  <c r="C9" i="87"/>
  <c r="B9" i="87"/>
  <c r="A9" i="87"/>
  <c r="K8" i="87"/>
  <c r="J8" i="87"/>
  <c r="I8" i="87"/>
  <c r="H8" i="87"/>
  <c r="G8" i="87"/>
  <c r="F8" i="87"/>
  <c r="E8" i="87"/>
  <c r="D8" i="87"/>
  <c r="C8" i="87"/>
  <c r="B8" i="87"/>
  <c r="A8" i="87"/>
  <c r="K7" i="87"/>
  <c r="J7" i="87"/>
  <c r="I7" i="87"/>
  <c r="H7" i="87"/>
  <c r="G7" i="87"/>
  <c r="F7" i="87"/>
  <c r="E7" i="87"/>
  <c r="D7" i="87"/>
  <c r="C7" i="87"/>
  <c r="B7" i="87"/>
  <c r="A7" i="87"/>
  <c r="K6" i="87"/>
  <c r="J6" i="87"/>
  <c r="I6" i="87"/>
  <c r="H6" i="87"/>
  <c r="G6" i="87"/>
  <c r="F6" i="87"/>
  <c r="E6" i="87"/>
  <c r="D6" i="87"/>
  <c r="C6" i="87"/>
  <c r="B6" i="87"/>
  <c r="A6" i="87"/>
  <c r="K5" i="87"/>
  <c r="J5" i="87"/>
  <c r="I5" i="87"/>
  <c r="H5" i="87"/>
  <c r="G5" i="87"/>
  <c r="F5" i="87"/>
  <c r="E5" i="87"/>
  <c r="D5" i="87"/>
  <c r="C5" i="87"/>
  <c r="B5" i="87"/>
  <c r="A5" i="87"/>
  <c r="AA13" i="86"/>
  <c r="S13" i="86"/>
  <c r="R13" i="86"/>
  <c r="Q13" i="86"/>
  <c r="P13" i="86"/>
  <c r="O13" i="86"/>
  <c r="N13" i="86"/>
  <c r="T13" i="86" s="1"/>
  <c r="M13" i="86"/>
  <c r="E13" i="86"/>
  <c r="D13" i="86"/>
  <c r="C13" i="86"/>
  <c r="B13" i="86"/>
  <c r="A13" i="86"/>
  <c r="AA12" i="86"/>
  <c r="S12" i="86"/>
  <c r="R12" i="86"/>
  <c r="Q12" i="86"/>
  <c r="P12" i="86"/>
  <c r="T12" i="86" s="1"/>
  <c r="O12" i="86"/>
  <c r="N12" i="86"/>
  <c r="M12" i="86"/>
  <c r="E12" i="86"/>
  <c r="D12" i="86"/>
  <c r="C12" i="86"/>
  <c r="B12" i="86"/>
  <c r="A12" i="86"/>
  <c r="AA11" i="86"/>
  <c r="S11" i="86"/>
  <c r="R11" i="86"/>
  <c r="Q11" i="86"/>
  <c r="P11" i="86"/>
  <c r="O11" i="86"/>
  <c r="N11" i="86"/>
  <c r="T11" i="86" s="1"/>
  <c r="M11" i="86"/>
  <c r="E11" i="86"/>
  <c r="D11" i="86"/>
  <c r="C11" i="86"/>
  <c r="B11" i="86"/>
  <c r="A11" i="86"/>
  <c r="AA10" i="86"/>
  <c r="S10" i="86"/>
  <c r="R10" i="86"/>
  <c r="Q10" i="86"/>
  <c r="P10" i="86"/>
  <c r="O10" i="86"/>
  <c r="N10" i="86"/>
  <c r="M10" i="86"/>
  <c r="E10" i="86"/>
  <c r="D10" i="86"/>
  <c r="C10" i="86"/>
  <c r="B10" i="86"/>
  <c r="A10" i="86"/>
  <c r="AA9" i="86"/>
  <c r="S9" i="86"/>
  <c r="R9" i="86"/>
  <c r="Q9" i="86"/>
  <c r="P9" i="86"/>
  <c r="O9" i="86"/>
  <c r="N9" i="86"/>
  <c r="M9" i="86"/>
  <c r="E9" i="86"/>
  <c r="D9" i="86"/>
  <c r="C9" i="86"/>
  <c r="B9" i="86"/>
  <c r="A9" i="86"/>
  <c r="X16" i="85"/>
  <c r="D16" i="85" s="1"/>
  <c r="C16" i="85" s="1"/>
  <c r="B16" i="85"/>
  <c r="A16" i="85"/>
  <c r="X15" i="85"/>
  <c r="D15" i="85"/>
  <c r="C15" i="85" s="1"/>
  <c r="B15" i="85"/>
  <c r="A15" i="85"/>
  <c r="X14" i="85"/>
  <c r="D14" i="85" s="1"/>
  <c r="C14" i="85" s="1"/>
  <c r="B14" i="85"/>
  <c r="A14" i="85"/>
  <c r="X13" i="85"/>
  <c r="D13" i="85" s="1"/>
  <c r="C13" i="85" s="1"/>
  <c r="B13" i="85"/>
  <c r="A13" i="85"/>
  <c r="X12" i="85"/>
  <c r="D12" i="85" s="1"/>
  <c r="C12" i="85" s="1"/>
  <c r="B12" i="85"/>
  <c r="A12" i="85"/>
  <c r="X11" i="85"/>
  <c r="D11" i="85"/>
  <c r="C11" i="85"/>
  <c r="B11" i="85"/>
  <c r="A11" i="85"/>
  <c r="X10" i="85"/>
  <c r="D10" i="85"/>
  <c r="C10" i="85" s="1"/>
  <c r="B10" i="85"/>
  <c r="A10" i="85"/>
  <c r="X9" i="85"/>
  <c r="D9" i="85" s="1"/>
  <c r="C9" i="85" s="1"/>
  <c r="B9" i="85"/>
  <c r="A9" i="85"/>
  <c r="X8" i="85"/>
  <c r="D8" i="85" s="1"/>
  <c r="C8" i="85" s="1"/>
  <c r="B8" i="85"/>
  <c r="A8" i="85"/>
  <c r="X7" i="85"/>
  <c r="D7" i="85"/>
  <c r="C7" i="85" s="1"/>
  <c r="B7" i="85"/>
  <c r="A7" i="85"/>
  <c r="P11" i="84"/>
  <c r="R11" i="84" s="1"/>
  <c r="O11" i="84"/>
  <c r="Q11" i="84" s="1"/>
  <c r="N11" i="84"/>
  <c r="M11" i="84"/>
  <c r="H11" i="84"/>
  <c r="I11" i="84" s="1"/>
  <c r="F11" i="84"/>
  <c r="E11" i="84"/>
  <c r="C11" i="84"/>
  <c r="B11" i="84"/>
  <c r="A11" i="84"/>
  <c r="P10" i="84"/>
  <c r="R10" i="84" s="1"/>
  <c r="T10" i="84" s="1"/>
  <c r="V10" i="84" s="1"/>
  <c r="O10" i="84"/>
  <c r="Q10" i="84" s="1"/>
  <c r="N10" i="84"/>
  <c r="M10" i="84"/>
  <c r="H10" i="84"/>
  <c r="F10" i="84"/>
  <c r="E10" i="84"/>
  <c r="I10" i="84" s="1"/>
  <c r="C10" i="84"/>
  <c r="B10" i="84"/>
  <c r="A10" i="84"/>
  <c r="P9" i="84"/>
  <c r="R9" i="84" s="1"/>
  <c r="O9" i="84"/>
  <c r="Q9" i="84" s="1"/>
  <c r="N9" i="84"/>
  <c r="M9" i="84"/>
  <c r="H9" i="84"/>
  <c r="I9" i="84" s="1"/>
  <c r="F9" i="84"/>
  <c r="E9" i="84"/>
  <c r="C9" i="84"/>
  <c r="B9" i="84"/>
  <c r="A9" i="84"/>
  <c r="P8" i="84"/>
  <c r="R8" i="84" s="1"/>
  <c r="T8" i="84" s="1"/>
  <c r="V8" i="84" s="1"/>
  <c r="O8" i="84"/>
  <c r="Q8" i="84" s="1"/>
  <c r="N8" i="84"/>
  <c r="M8" i="84"/>
  <c r="H8" i="84"/>
  <c r="F8" i="84"/>
  <c r="E8" i="84"/>
  <c r="I8" i="84" s="1"/>
  <c r="C8" i="84"/>
  <c r="B8" i="84"/>
  <c r="A8" i="84"/>
  <c r="P7" i="84"/>
  <c r="R7" i="84" s="1"/>
  <c r="O7" i="84"/>
  <c r="Q7" i="84" s="1"/>
  <c r="N7" i="84"/>
  <c r="M7" i="84"/>
  <c r="H7" i="84"/>
  <c r="I7" i="84" s="1"/>
  <c r="F7" i="84"/>
  <c r="E7" i="84"/>
  <c r="C7" i="84"/>
  <c r="B7" i="84"/>
  <c r="A7" i="84"/>
  <c r="N13" i="83"/>
  <c r="N12" i="83"/>
  <c r="N11" i="83"/>
  <c r="N10" i="83"/>
  <c r="N9" i="83"/>
  <c r="S7" i="84" l="1"/>
  <c r="S9" i="84"/>
  <c r="T7" i="84"/>
  <c r="V7" i="84" s="1"/>
  <c r="S8" i="84"/>
  <c r="T9" i="84"/>
  <c r="V9" i="84" s="1"/>
  <c r="S10" i="84"/>
  <c r="T11" i="84"/>
  <c r="V11" i="84" s="1"/>
  <c r="T10" i="86"/>
  <c r="T9" i="86"/>
  <c r="X12" i="86"/>
  <c r="W12" i="86"/>
  <c r="Y12" i="86" s="1"/>
  <c r="AB12" i="86" s="1"/>
  <c r="W11" i="86"/>
  <c r="Y11" i="86" s="1"/>
  <c r="AB11" i="86" s="1"/>
  <c r="X11" i="86"/>
  <c r="X10" i="86"/>
  <c r="W10" i="86"/>
  <c r="Y10" i="86" s="1"/>
  <c r="AB10" i="86" s="1"/>
  <c r="W9" i="86"/>
  <c r="Y9" i="86" s="1"/>
  <c r="AB9" i="86" s="1"/>
  <c r="X9" i="86"/>
  <c r="W13" i="86"/>
  <c r="Y13" i="86" s="1"/>
  <c r="AB13" i="86" s="1"/>
  <c r="X13" i="86"/>
  <c r="U8" i="84"/>
  <c r="W8" i="84"/>
  <c r="U10" i="84"/>
  <c r="W10" i="84"/>
  <c r="S11" i="84"/>
  <c r="W7" i="84"/>
  <c r="U7" i="84"/>
  <c r="W9" i="84"/>
  <c r="U9" i="84"/>
  <c r="W11" i="84" l="1"/>
  <c r="U11" i="84"/>
  <c r="K8" i="81" l="1"/>
  <c r="J8" i="81"/>
  <c r="I8" i="81"/>
  <c r="H8" i="81"/>
  <c r="G8" i="81"/>
  <c r="F8" i="81"/>
  <c r="E8" i="81"/>
  <c r="D8" i="81"/>
  <c r="C8" i="81"/>
  <c r="B8" i="81"/>
  <c r="K7" i="81"/>
  <c r="J7" i="81"/>
  <c r="I7" i="81"/>
  <c r="H7" i="81"/>
  <c r="G7" i="81"/>
  <c r="F7" i="81"/>
  <c r="E7" i="81"/>
  <c r="D7" i="81"/>
  <c r="C7" i="81"/>
  <c r="B7" i="81"/>
  <c r="K6" i="81"/>
  <c r="J6" i="81"/>
  <c r="I6" i="81"/>
  <c r="H6" i="81"/>
  <c r="G6" i="81"/>
  <c r="F6" i="81"/>
  <c r="E6" i="81"/>
  <c r="D6" i="81"/>
  <c r="C6" i="81"/>
  <c r="B6" i="81"/>
  <c r="K5" i="81"/>
  <c r="J5" i="81"/>
  <c r="I5" i="81"/>
  <c r="H5" i="81"/>
  <c r="G5" i="81"/>
  <c r="F5" i="81"/>
  <c r="E5" i="81"/>
  <c r="D5" i="81"/>
  <c r="C5" i="81"/>
  <c r="B5" i="81"/>
  <c r="AA12" i="80"/>
  <c r="S12" i="80"/>
  <c r="R12" i="80"/>
  <c r="Q12" i="80"/>
  <c r="P12" i="80"/>
  <c r="O12" i="80"/>
  <c r="N12" i="80"/>
  <c r="M12" i="80"/>
  <c r="T12" i="80" s="1"/>
  <c r="E12" i="80"/>
  <c r="D12" i="80"/>
  <c r="C12" i="80"/>
  <c r="B12" i="80"/>
  <c r="A12" i="80"/>
  <c r="AA11" i="80"/>
  <c r="S11" i="80"/>
  <c r="R11" i="80"/>
  <c r="Q11" i="80"/>
  <c r="P11" i="80"/>
  <c r="O11" i="80"/>
  <c r="N11" i="80"/>
  <c r="M11" i="80"/>
  <c r="T11" i="80" s="1"/>
  <c r="E11" i="80"/>
  <c r="D11" i="80"/>
  <c r="C11" i="80"/>
  <c r="B11" i="80"/>
  <c r="A11" i="80"/>
  <c r="AA10" i="80"/>
  <c r="S10" i="80"/>
  <c r="R10" i="80"/>
  <c r="Q10" i="80"/>
  <c r="P10" i="80"/>
  <c r="O10" i="80"/>
  <c r="N10" i="80"/>
  <c r="M10" i="80"/>
  <c r="T10" i="80" s="1"/>
  <c r="E10" i="80"/>
  <c r="D10" i="80"/>
  <c r="C10" i="80"/>
  <c r="B10" i="80"/>
  <c r="A10" i="80"/>
  <c r="AA9" i="80"/>
  <c r="S9" i="80"/>
  <c r="R9" i="80"/>
  <c r="Q9" i="80"/>
  <c r="P9" i="80"/>
  <c r="O9" i="80"/>
  <c r="N9" i="80"/>
  <c r="M9" i="80"/>
  <c r="E9" i="80"/>
  <c r="D9" i="80"/>
  <c r="C9" i="80"/>
  <c r="B9" i="80"/>
  <c r="A9" i="80"/>
  <c r="D6" i="80" a="1"/>
  <c r="D6" i="80" s="1"/>
  <c r="D5" i="80" a="1"/>
  <c r="D5" i="80" s="1"/>
  <c r="P10" i="79"/>
  <c r="R10" i="79" s="1"/>
  <c r="O10" i="79"/>
  <c r="Q10" i="79" s="1"/>
  <c r="N10" i="79"/>
  <c r="M10" i="79"/>
  <c r="H10" i="79"/>
  <c r="F10" i="79"/>
  <c r="E10" i="79"/>
  <c r="S10" i="79" s="1"/>
  <c r="C10" i="79"/>
  <c r="B10" i="79"/>
  <c r="A10" i="79"/>
  <c r="R9" i="79"/>
  <c r="P9" i="79"/>
  <c r="O9" i="79"/>
  <c r="Q9" i="79" s="1"/>
  <c r="N9" i="79"/>
  <c r="M9" i="79"/>
  <c r="H9" i="79"/>
  <c r="F9" i="79"/>
  <c r="E9" i="79"/>
  <c r="C9" i="79"/>
  <c r="B9" i="79"/>
  <c r="A9" i="79"/>
  <c r="P8" i="79"/>
  <c r="R8" i="79" s="1"/>
  <c r="O8" i="79"/>
  <c r="Q8" i="79" s="1"/>
  <c r="N8" i="79"/>
  <c r="M8" i="79"/>
  <c r="H8" i="79"/>
  <c r="F8" i="79"/>
  <c r="E8" i="79"/>
  <c r="S8" i="79" s="1"/>
  <c r="C8" i="79"/>
  <c r="B8" i="79"/>
  <c r="A8" i="79"/>
  <c r="R7" i="79"/>
  <c r="T7" i="79" s="1"/>
  <c r="V7" i="79" s="1"/>
  <c r="P7" i="79"/>
  <c r="O7" i="79"/>
  <c r="Q7" i="79" s="1"/>
  <c r="N7" i="79"/>
  <c r="M7" i="79"/>
  <c r="H7" i="79"/>
  <c r="F7" i="79"/>
  <c r="E7" i="79"/>
  <c r="C7" i="79"/>
  <c r="B7" i="79"/>
  <c r="A7" i="79"/>
  <c r="N12" i="78"/>
  <c r="N11" i="78"/>
  <c r="N10" i="78"/>
  <c r="N9" i="78"/>
  <c r="S7" i="79" l="1"/>
  <c r="I8" i="79"/>
  <c r="T8" i="79"/>
  <c r="V8" i="79" s="1"/>
  <c r="S9" i="79"/>
  <c r="I10" i="79"/>
  <c r="T10" i="79"/>
  <c r="V10" i="79" s="1"/>
  <c r="T9" i="79"/>
  <c r="V9" i="79" s="1"/>
  <c r="T9" i="80"/>
  <c r="I7" i="79"/>
  <c r="I9" i="79"/>
  <c r="X10" i="80"/>
  <c r="W10" i="80"/>
  <c r="Y10" i="80" s="1"/>
  <c r="AB10" i="80" s="1"/>
  <c r="X11" i="80"/>
  <c r="W11" i="80"/>
  <c r="Y11" i="80" s="1"/>
  <c r="AB11" i="80" s="1"/>
  <c r="W12" i="80"/>
  <c r="Y12" i="80" s="1"/>
  <c r="AB12" i="80" s="1"/>
  <c r="X12" i="80"/>
  <c r="X9" i="80"/>
  <c r="W9" i="80"/>
  <c r="Y9" i="80" s="1"/>
  <c r="AB9" i="80" s="1"/>
  <c r="U7" i="79"/>
  <c r="W7" i="79"/>
  <c r="U9" i="79"/>
  <c r="W9" i="79"/>
  <c r="W8" i="79"/>
  <c r="U8" i="79"/>
  <c r="W10" i="79"/>
  <c r="U10" i="79"/>
  <c r="J6" i="76" l="1"/>
  <c r="I6" i="76"/>
  <c r="H6" i="76"/>
  <c r="G6" i="76"/>
  <c r="F6" i="76"/>
  <c r="E6" i="76"/>
  <c r="D6" i="76"/>
  <c r="C6" i="76"/>
  <c r="B6" i="76"/>
  <c r="A6" i="76"/>
  <c r="J5" i="76"/>
  <c r="I5" i="76"/>
  <c r="H5" i="76"/>
  <c r="G5" i="76"/>
  <c r="F5" i="76"/>
  <c r="E5" i="76"/>
  <c r="D5" i="76"/>
  <c r="C5" i="76"/>
  <c r="B5" i="76"/>
  <c r="A5" i="76"/>
  <c r="AA10" i="75"/>
  <c r="S10" i="75"/>
  <c r="R10" i="75"/>
  <c r="Q10" i="75"/>
  <c r="P10" i="75"/>
  <c r="O10" i="75"/>
  <c r="N10" i="75"/>
  <c r="T10" i="75" s="1"/>
  <c r="M10" i="75"/>
  <c r="E10" i="75"/>
  <c r="D10" i="75"/>
  <c r="C10" i="75"/>
  <c r="B10" i="75"/>
  <c r="A10" i="75"/>
  <c r="AA9" i="75"/>
  <c r="S9" i="75"/>
  <c r="R9" i="75"/>
  <c r="Q9" i="75"/>
  <c r="P9" i="75"/>
  <c r="O9" i="75"/>
  <c r="N9" i="75"/>
  <c r="M9" i="75"/>
  <c r="E9" i="75"/>
  <c r="D9" i="75"/>
  <c r="C9" i="75"/>
  <c r="B9" i="75"/>
  <c r="A9" i="75"/>
  <c r="X8" i="74"/>
  <c r="D8" i="74" s="1"/>
  <c r="C8" i="74" s="1"/>
  <c r="B8" i="74"/>
  <c r="A8" i="74"/>
  <c r="X7" i="74"/>
  <c r="D7" i="74" s="1"/>
  <c r="C7" i="74" s="1"/>
  <c r="B7" i="74"/>
  <c r="A7" i="74"/>
  <c r="P8" i="73"/>
  <c r="R8" i="73" s="1"/>
  <c r="O8" i="73"/>
  <c r="Q8" i="73" s="1"/>
  <c r="N8" i="73"/>
  <c r="M8" i="73"/>
  <c r="H8" i="73"/>
  <c r="F8" i="73"/>
  <c r="E8" i="73"/>
  <c r="I8" i="73" s="1"/>
  <c r="C8" i="73"/>
  <c r="B8" i="73"/>
  <c r="A8" i="73"/>
  <c r="P7" i="73"/>
  <c r="R7" i="73" s="1"/>
  <c r="T7" i="73" s="1"/>
  <c r="V7" i="73" s="1"/>
  <c r="O7" i="73"/>
  <c r="Q7" i="73" s="1"/>
  <c r="N7" i="73"/>
  <c r="M7" i="73"/>
  <c r="H7" i="73"/>
  <c r="F7" i="73"/>
  <c r="E7" i="73"/>
  <c r="C7" i="73"/>
  <c r="B7" i="73"/>
  <c r="A7" i="73"/>
  <c r="N10" i="72"/>
  <c r="N9" i="72"/>
  <c r="I7" i="73" l="1"/>
  <c r="T9" i="75"/>
  <c r="T8" i="73"/>
  <c r="V8" i="73" s="1"/>
  <c r="X9" i="75"/>
  <c r="W9" i="75"/>
  <c r="Y9" i="75" s="1"/>
  <c r="AB9" i="75" s="1"/>
  <c r="W10" i="75"/>
  <c r="Y10" i="75" s="1"/>
  <c r="AB10" i="75" s="1"/>
  <c r="X10" i="75"/>
  <c r="S8" i="73"/>
  <c r="S7" i="73"/>
  <c r="U7" i="73" l="1"/>
  <c r="W7" i="73"/>
  <c r="W8" i="73"/>
  <c r="U8" i="73"/>
  <c r="K14" i="70" l="1"/>
  <c r="J14" i="70"/>
  <c r="I14" i="70"/>
  <c r="H14" i="70"/>
  <c r="G14" i="70"/>
  <c r="F14" i="70"/>
  <c r="E14" i="70"/>
  <c r="D14" i="70"/>
  <c r="C14" i="70"/>
  <c r="B14" i="70"/>
  <c r="K13" i="70"/>
  <c r="J13" i="70"/>
  <c r="I13" i="70"/>
  <c r="H13" i="70"/>
  <c r="G13" i="70"/>
  <c r="F13" i="70"/>
  <c r="E13" i="70"/>
  <c r="D13" i="70"/>
  <c r="C13" i="70"/>
  <c r="B13" i="70"/>
  <c r="K12" i="70"/>
  <c r="J12" i="70"/>
  <c r="I12" i="70"/>
  <c r="H12" i="70"/>
  <c r="G12" i="70"/>
  <c r="F12" i="70"/>
  <c r="E12" i="70"/>
  <c r="D12" i="70"/>
  <c r="C12" i="70"/>
  <c r="B12" i="70"/>
  <c r="K11" i="70"/>
  <c r="I11" i="70"/>
  <c r="H11" i="70"/>
  <c r="G11" i="70"/>
  <c r="F11" i="70"/>
  <c r="E11" i="70"/>
  <c r="D11" i="70"/>
  <c r="C11" i="70"/>
  <c r="B11" i="70"/>
  <c r="K10" i="70"/>
  <c r="J10" i="70"/>
  <c r="I10" i="70"/>
  <c r="H10" i="70"/>
  <c r="G10" i="70"/>
  <c r="F10" i="70"/>
  <c r="E10" i="70"/>
  <c r="D10" i="70"/>
  <c r="C10" i="70"/>
  <c r="B10" i="70"/>
  <c r="K9" i="70"/>
  <c r="J9" i="70"/>
  <c r="I9" i="70"/>
  <c r="H9" i="70"/>
  <c r="G9" i="70"/>
  <c r="F9" i="70"/>
  <c r="E9" i="70"/>
  <c r="D9" i="70"/>
  <c r="C9" i="70"/>
  <c r="B9" i="70"/>
  <c r="K8" i="70"/>
  <c r="J8" i="70"/>
  <c r="I8" i="70"/>
  <c r="H8" i="70"/>
  <c r="G8" i="70"/>
  <c r="F8" i="70"/>
  <c r="E8" i="70"/>
  <c r="D8" i="70"/>
  <c r="C8" i="70"/>
  <c r="B8" i="70"/>
  <c r="K7" i="70"/>
  <c r="J7" i="70"/>
  <c r="I7" i="70"/>
  <c r="H7" i="70"/>
  <c r="G7" i="70"/>
  <c r="F7" i="70"/>
  <c r="E7" i="70"/>
  <c r="D7" i="70"/>
  <c r="C7" i="70"/>
  <c r="B7" i="70"/>
  <c r="K6" i="70"/>
  <c r="J6" i="70"/>
  <c r="I6" i="70"/>
  <c r="H6" i="70"/>
  <c r="G6" i="70"/>
  <c r="F6" i="70"/>
  <c r="E6" i="70"/>
  <c r="D6" i="70"/>
  <c r="C6" i="70"/>
  <c r="B6" i="70"/>
  <c r="K5" i="70"/>
  <c r="J5" i="70"/>
  <c r="I5" i="70"/>
  <c r="H5" i="70"/>
  <c r="G5" i="70"/>
  <c r="F5" i="70"/>
  <c r="E5" i="70"/>
  <c r="D5" i="70"/>
  <c r="C5" i="70"/>
  <c r="B5" i="70"/>
  <c r="K9" i="69" l="1"/>
  <c r="J9" i="69"/>
  <c r="I9" i="69"/>
  <c r="H9" i="69"/>
  <c r="G9" i="69"/>
  <c r="F9" i="69"/>
  <c r="E9" i="69"/>
  <c r="D9" i="69"/>
  <c r="C9" i="69"/>
  <c r="B9" i="69"/>
  <c r="A9" i="69"/>
  <c r="K8" i="69"/>
  <c r="J8" i="69"/>
  <c r="I8" i="69"/>
  <c r="H8" i="69"/>
  <c r="G8" i="69"/>
  <c r="F8" i="69"/>
  <c r="E8" i="69"/>
  <c r="D8" i="69"/>
  <c r="C8" i="69"/>
  <c r="B8" i="69"/>
  <c r="A8" i="69"/>
  <c r="K7" i="69"/>
  <c r="J7" i="69"/>
  <c r="I7" i="69"/>
  <c r="H7" i="69"/>
  <c r="G7" i="69"/>
  <c r="F7" i="69"/>
  <c r="E7" i="69"/>
  <c r="D7" i="69"/>
  <c r="C7" i="69"/>
  <c r="B7" i="69"/>
  <c r="A7" i="69"/>
  <c r="K6" i="69"/>
  <c r="J6" i="69"/>
  <c r="I6" i="69"/>
  <c r="H6" i="69"/>
  <c r="G6" i="69"/>
  <c r="F6" i="69"/>
  <c r="E6" i="69"/>
  <c r="D6" i="69"/>
  <c r="C6" i="69"/>
  <c r="B6" i="69"/>
  <c r="A6" i="69"/>
  <c r="K5" i="69"/>
  <c r="J5" i="69"/>
  <c r="I5" i="69"/>
  <c r="H5" i="69"/>
  <c r="G5" i="69"/>
  <c r="F5" i="69"/>
  <c r="E5" i="69"/>
  <c r="D5" i="69"/>
  <c r="C5" i="69"/>
  <c r="B5" i="69"/>
  <c r="A5" i="69"/>
  <c r="K9" i="68" l="1"/>
  <c r="J9" i="68"/>
  <c r="I9" i="68"/>
  <c r="H9" i="68"/>
  <c r="G9" i="68"/>
  <c r="F9" i="68"/>
  <c r="E9" i="68"/>
  <c r="D9" i="68"/>
  <c r="C9" i="68"/>
  <c r="B9" i="68"/>
  <c r="K8" i="68"/>
  <c r="J8" i="68"/>
  <c r="I8" i="68"/>
  <c r="H8" i="68"/>
  <c r="G8" i="68"/>
  <c r="F8" i="68"/>
  <c r="E8" i="68"/>
  <c r="D8" i="68"/>
  <c r="C8" i="68"/>
  <c r="B8" i="68"/>
  <c r="K7" i="68"/>
  <c r="J7" i="68"/>
  <c r="I7" i="68"/>
  <c r="H7" i="68"/>
  <c r="G7" i="68"/>
  <c r="F7" i="68"/>
  <c r="E7" i="68"/>
  <c r="D7" i="68"/>
  <c r="C7" i="68"/>
  <c r="B7" i="68"/>
  <c r="K6" i="68"/>
  <c r="J6" i="68"/>
  <c r="I6" i="68"/>
  <c r="H6" i="68"/>
  <c r="G6" i="68"/>
  <c r="F6" i="68"/>
  <c r="E6" i="68"/>
  <c r="D6" i="68"/>
  <c r="C6" i="68"/>
  <c r="B6" i="68"/>
  <c r="K5" i="68"/>
  <c r="J5" i="68"/>
  <c r="I5" i="68"/>
  <c r="H5" i="68"/>
  <c r="G5" i="68"/>
  <c r="F5" i="68"/>
  <c r="E5" i="68"/>
  <c r="D5" i="68"/>
  <c r="C5" i="68"/>
  <c r="B5" i="68"/>
  <c r="AA18" i="59" l="1"/>
  <c r="S18" i="59"/>
  <c r="R18" i="59"/>
  <c r="Q18" i="59"/>
  <c r="P18" i="59"/>
  <c r="O18" i="59"/>
  <c r="N18" i="59"/>
  <c r="T18" i="59" s="1"/>
  <c r="M18" i="59"/>
  <c r="E18" i="59"/>
  <c r="D18" i="59"/>
  <c r="C18" i="59"/>
  <c r="B18" i="59"/>
  <c r="A18" i="59"/>
  <c r="AA17" i="59"/>
  <c r="S17" i="59"/>
  <c r="R17" i="59"/>
  <c r="Q17" i="59"/>
  <c r="P17" i="59"/>
  <c r="O17" i="59"/>
  <c r="N17" i="59"/>
  <c r="M17" i="59"/>
  <c r="E17" i="59"/>
  <c r="D17" i="59"/>
  <c r="C17" i="59"/>
  <c r="B17" i="59"/>
  <c r="A17" i="59"/>
  <c r="AA16" i="59"/>
  <c r="S16" i="59"/>
  <c r="R16" i="59"/>
  <c r="Q16" i="59"/>
  <c r="P16" i="59"/>
  <c r="O16" i="59"/>
  <c r="N16" i="59"/>
  <c r="M16" i="59"/>
  <c r="E16" i="59"/>
  <c r="D16" i="59"/>
  <c r="C16" i="59"/>
  <c r="B16" i="59"/>
  <c r="A16" i="59"/>
  <c r="AA15" i="59"/>
  <c r="S15" i="59"/>
  <c r="R15" i="59"/>
  <c r="Q15" i="59"/>
  <c r="P15" i="59"/>
  <c r="O15" i="59"/>
  <c r="N15" i="59"/>
  <c r="M15" i="59"/>
  <c r="E15" i="59"/>
  <c r="D15" i="59"/>
  <c r="C15" i="59"/>
  <c r="B15" i="59"/>
  <c r="A15" i="59"/>
  <c r="AA14" i="59"/>
  <c r="S14" i="59"/>
  <c r="R14" i="59"/>
  <c r="Q14" i="59"/>
  <c r="P14" i="59"/>
  <c r="O14" i="59"/>
  <c r="N14" i="59"/>
  <c r="M14" i="59"/>
  <c r="E14" i="59"/>
  <c r="D14" i="59"/>
  <c r="C14" i="59"/>
  <c r="B14" i="59"/>
  <c r="A14" i="59"/>
  <c r="AA13" i="59"/>
  <c r="S13" i="59"/>
  <c r="R13" i="59"/>
  <c r="Q13" i="59"/>
  <c r="P13" i="59"/>
  <c r="O13" i="59"/>
  <c r="N13" i="59"/>
  <c r="M13" i="59"/>
  <c r="E13" i="59"/>
  <c r="D13" i="59"/>
  <c r="C13" i="59"/>
  <c r="B13" i="59"/>
  <c r="A13" i="59"/>
  <c r="AA12" i="59"/>
  <c r="S12" i="59"/>
  <c r="R12" i="59"/>
  <c r="Q12" i="59"/>
  <c r="P12" i="59"/>
  <c r="O12" i="59"/>
  <c r="N12" i="59"/>
  <c r="M12" i="59"/>
  <c r="E12" i="59"/>
  <c r="D12" i="59"/>
  <c r="C12" i="59"/>
  <c r="B12" i="59"/>
  <c r="A12" i="59"/>
  <c r="AA11" i="59"/>
  <c r="S11" i="59"/>
  <c r="R11" i="59"/>
  <c r="Q11" i="59"/>
  <c r="P11" i="59"/>
  <c r="O11" i="59"/>
  <c r="N11" i="59"/>
  <c r="M11" i="59"/>
  <c r="E11" i="59"/>
  <c r="D11" i="59"/>
  <c r="C11" i="59"/>
  <c r="B11" i="59"/>
  <c r="A11" i="59"/>
  <c r="AA10" i="59"/>
  <c r="S10" i="59"/>
  <c r="R10" i="59"/>
  <c r="Q10" i="59"/>
  <c r="P10" i="59"/>
  <c r="O10" i="59"/>
  <c r="N10" i="59"/>
  <c r="T10" i="59" s="1"/>
  <c r="M10" i="59"/>
  <c r="E10" i="59"/>
  <c r="D10" i="59"/>
  <c r="C10" i="59"/>
  <c r="B10" i="59"/>
  <c r="A10" i="59"/>
  <c r="AA9" i="59"/>
  <c r="S9" i="59"/>
  <c r="R9" i="59"/>
  <c r="Q9" i="59"/>
  <c r="P9" i="59"/>
  <c r="O9" i="59"/>
  <c r="N9" i="59"/>
  <c r="M9" i="59"/>
  <c r="E9" i="59"/>
  <c r="D9" i="59"/>
  <c r="C9" i="59"/>
  <c r="B9" i="59"/>
  <c r="A9" i="59"/>
  <c r="X16" i="58"/>
  <c r="D16" i="58" s="1"/>
  <c r="C16" i="58" s="1"/>
  <c r="B16" i="58"/>
  <c r="A16" i="58"/>
  <c r="X15" i="58"/>
  <c r="D15" i="58" s="1"/>
  <c r="C15" i="58" s="1"/>
  <c r="B15" i="58"/>
  <c r="A15" i="58"/>
  <c r="X14" i="58"/>
  <c r="D14" i="58"/>
  <c r="C14" i="58" s="1"/>
  <c r="B14" i="58"/>
  <c r="A14" i="58"/>
  <c r="X13" i="58"/>
  <c r="D13" i="58" s="1"/>
  <c r="C13" i="58" s="1"/>
  <c r="B13" i="58"/>
  <c r="A13" i="58"/>
  <c r="X12" i="58"/>
  <c r="D12" i="58" s="1"/>
  <c r="C12" i="58" s="1"/>
  <c r="B12" i="58"/>
  <c r="A12" i="58"/>
  <c r="X11" i="58"/>
  <c r="D11" i="58" s="1"/>
  <c r="C11" i="58" s="1"/>
  <c r="B11" i="58"/>
  <c r="A11" i="58"/>
  <c r="X10" i="58"/>
  <c r="D10" i="58"/>
  <c r="C10" i="58" s="1"/>
  <c r="B10" i="58"/>
  <c r="A10" i="58"/>
  <c r="X9" i="58"/>
  <c r="D9" i="58" s="1"/>
  <c r="C9" i="58" s="1"/>
  <c r="B9" i="58"/>
  <c r="A9" i="58"/>
  <c r="X8" i="58"/>
  <c r="D8" i="58" s="1"/>
  <c r="C8" i="58" s="1"/>
  <c r="B8" i="58"/>
  <c r="A8" i="58"/>
  <c r="X7" i="58"/>
  <c r="D7" i="58" s="1"/>
  <c r="C7" i="58" s="1"/>
  <c r="B7" i="58"/>
  <c r="A7" i="58"/>
  <c r="P16" i="57"/>
  <c r="R16" i="57" s="1"/>
  <c r="O16" i="57"/>
  <c r="Q16" i="57" s="1"/>
  <c r="N16" i="57"/>
  <c r="M16" i="57"/>
  <c r="H16" i="57"/>
  <c r="F16" i="57"/>
  <c r="E16" i="57"/>
  <c r="C16" i="57"/>
  <c r="B16" i="57"/>
  <c r="A16" i="57"/>
  <c r="P15" i="57"/>
  <c r="R15" i="57" s="1"/>
  <c r="T15" i="57" s="1"/>
  <c r="V15" i="57" s="1"/>
  <c r="O15" i="57"/>
  <c r="Q15" i="57" s="1"/>
  <c r="N15" i="57"/>
  <c r="M15" i="57"/>
  <c r="I15" i="57"/>
  <c r="H15" i="57"/>
  <c r="F15" i="57"/>
  <c r="E15" i="57"/>
  <c r="C15" i="57"/>
  <c r="B15" i="57"/>
  <c r="A15" i="57"/>
  <c r="P14" i="57"/>
  <c r="R14" i="57" s="1"/>
  <c r="O14" i="57"/>
  <c r="Q14" i="57" s="1"/>
  <c r="S14" i="57" s="1"/>
  <c r="N14" i="57"/>
  <c r="M14" i="57"/>
  <c r="H14" i="57"/>
  <c r="I14" i="57" s="1"/>
  <c r="F14" i="57"/>
  <c r="E14" i="57"/>
  <c r="C14" i="57"/>
  <c r="B14" i="57"/>
  <c r="A14" i="57"/>
  <c r="P13" i="57"/>
  <c r="R13" i="57" s="1"/>
  <c r="O13" i="57"/>
  <c r="Q13" i="57" s="1"/>
  <c r="N13" i="57"/>
  <c r="M13" i="57"/>
  <c r="H13" i="57"/>
  <c r="I13" i="57" s="1"/>
  <c r="F13" i="57"/>
  <c r="E13" i="57"/>
  <c r="C13" i="57"/>
  <c r="B13" i="57"/>
  <c r="A13" i="57"/>
  <c r="P12" i="57"/>
  <c r="R12" i="57" s="1"/>
  <c r="O12" i="57"/>
  <c r="Q12" i="57" s="1"/>
  <c r="N12" i="57"/>
  <c r="M12" i="57"/>
  <c r="H12" i="57"/>
  <c r="F12" i="57"/>
  <c r="E12" i="57"/>
  <c r="C12" i="57"/>
  <c r="B12" i="57"/>
  <c r="A12" i="57"/>
  <c r="Q11" i="57"/>
  <c r="P11" i="57"/>
  <c r="R11" i="57" s="1"/>
  <c r="T11" i="57" s="1"/>
  <c r="V11" i="57" s="1"/>
  <c r="O11" i="57"/>
  <c r="N11" i="57"/>
  <c r="M11" i="57"/>
  <c r="I11" i="57"/>
  <c r="H11" i="57"/>
  <c r="F11" i="57"/>
  <c r="E11" i="57"/>
  <c r="S11" i="57" s="1"/>
  <c r="C11" i="57"/>
  <c r="B11" i="57"/>
  <c r="A11" i="57"/>
  <c r="P10" i="57"/>
  <c r="R10" i="57" s="1"/>
  <c r="O10" i="57"/>
  <c r="Q10" i="57" s="1"/>
  <c r="S10" i="57" s="1"/>
  <c r="N10" i="57"/>
  <c r="M10" i="57"/>
  <c r="H10" i="57"/>
  <c r="I10" i="57" s="1"/>
  <c r="F10" i="57"/>
  <c r="E10" i="57"/>
  <c r="C10" i="57"/>
  <c r="B10" i="57"/>
  <c r="A10" i="57"/>
  <c r="P9" i="57"/>
  <c r="R9" i="57" s="1"/>
  <c r="O9" i="57"/>
  <c r="Q9" i="57" s="1"/>
  <c r="N9" i="57"/>
  <c r="M9" i="57"/>
  <c r="H9" i="57"/>
  <c r="I9" i="57" s="1"/>
  <c r="F9" i="57"/>
  <c r="E9" i="57"/>
  <c r="C9" i="57"/>
  <c r="B9" i="57"/>
  <c r="A9" i="57"/>
  <c r="P8" i="57"/>
  <c r="R8" i="57" s="1"/>
  <c r="O8" i="57"/>
  <c r="Q8" i="57" s="1"/>
  <c r="N8" i="57"/>
  <c r="M8" i="57"/>
  <c r="H8" i="57"/>
  <c r="F8" i="57"/>
  <c r="E8" i="57"/>
  <c r="C8" i="57"/>
  <c r="B8" i="57"/>
  <c r="A8" i="57"/>
  <c r="Q7" i="57"/>
  <c r="P7" i="57"/>
  <c r="R7" i="57" s="1"/>
  <c r="T7" i="57" s="1"/>
  <c r="V7" i="57" s="1"/>
  <c r="O7" i="57"/>
  <c r="N7" i="57"/>
  <c r="M7" i="57"/>
  <c r="I7" i="57"/>
  <c r="H7" i="57"/>
  <c r="F7" i="57"/>
  <c r="E7" i="57"/>
  <c r="S7" i="57" s="1"/>
  <c r="C7" i="57"/>
  <c r="B7" i="57"/>
  <c r="A7" i="57"/>
  <c r="N18" i="56"/>
  <c r="N17" i="56"/>
  <c r="N16" i="56"/>
  <c r="N15" i="56"/>
  <c r="N14" i="56"/>
  <c r="N13" i="56"/>
  <c r="N12" i="56"/>
  <c r="N11" i="56"/>
  <c r="N10" i="56"/>
  <c r="N9" i="56"/>
  <c r="T11" i="59" l="1"/>
  <c r="T15" i="59"/>
  <c r="S8" i="57"/>
  <c r="T9" i="57"/>
  <c r="V9" i="57" s="1"/>
  <c r="S12" i="57"/>
  <c r="T13" i="57"/>
  <c r="V13" i="57" s="1"/>
  <c r="I16" i="57"/>
  <c r="T14" i="59"/>
  <c r="I8" i="57"/>
  <c r="S9" i="57"/>
  <c r="I12" i="57"/>
  <c r="S13" i="57"/>
  <c r="T9" i="59"/>
  <c r="T13" i="59"/>
  <c r="T17" i="59"/>
  <c r="T12" i="59"/>
  <c r="T16" i="59"/>
  <c r="T10" i="57"/>
  <c r="V10" i="57" s="1"/>
  <c r="T12" i="57"/>
  <c r="V12" i="57" s="1"/>
  <c r="T14" i="57"/>
  <c r="V14" i="57" s="1"/>
  <c r="S15" i="57"/>
  <c r="U15" i="57" s="1"/>
  <c r="T16" i="57"/>
  <c r="V16" i="57" s="1"/>
  <c r="T8" i="57"/>
  <c r="V8" i="57" s="1"/>
  <c r="X9" i="59"/>
  <c r="W9" i="59"/>
  <c r="Y9" i="59" s="1"/>
  <c r="AB9" i="59" s="1"/>
  <c r="X13" i="59"/>
  <c r="W13" i="59"/>
  <c r="Y13" i="59" s="1"/>
  <c r="AB13" i="59" s="1"/>
  <c r="X17" i="59"/>
  <c r="W17" i="59"/>
  <c r="Y17" i="59" s="1"/>
  <c r="AB17" i="59" s="1"/>
  <c r="W12" i="59"/>
  <c r="Y12" i="59" s="1"/>
  <c r="AB12" i="59" s="1"/>
  <c r="X12" i="59"/>
  <c r="W16" i="59"/>
  <c r="Y16" i="59" s="1"/>
  <c r="AB16" i="59" s="1"/>
  <c r="X16" i="59"/>
  <c r="X11" i="59"/>
  <c r="W11" i="59"/>
  <c r="Y11" i="59" s="1"/>
  <c r="AB11" i="59" s="1"/>
  <c r="X15" i="59"/>
  <c r="W15" i="59"/>
  <c r="Y15" i="59" s="1"/>
  <c r="AB15" i="59" s="1"/>
  <c r="W10" i="59"/>
  <c r="Y10" i="59" s="1"/>
  <c r="AB10" i="59" s="1"/>
  <c r="X10" i="59"/>
  <c r="W14" i="59"/>
  <c r="Y14" i="59" s="1"/>
  <c r="AB14" i="59" s="1"/>
  <c r="X14" i="59"/>
  <c r="W18" i="59"/>
  <c r="Y18" i="59" s="1"/>
  <c r="AB18" i="59" s="1"/>
  <c r="X18" i="59"/>
  <c r="U11" i="57"/>
  <c r="W11" i="57"/>
  <c r="U13" i="57"/>
  <c r="W13" i="57"/>
  <c r="W15" i="57"/>
  <c r="S16" i="57"/>
  <c r="U7" i="57"/>
  <c r="W7" i="57"/>
  <c r="U9" i="57"/>
  <c r="W9" i="57"/>
  <c r="W8" i="57"/>
  <c r="U8" i="57"/>
  <c r="W10" i="57"/>
  <c r="U10" i="57"/>
  <c r="W12" i="57"/>
  <c r="U12" i="57"/>
  <c r="W14" i="57"/>
  <c r="U14" i="57"/>
  <c r="W16" i="57" l="1"/>
  <c r="U16" i="57"/>
  <c r="AA13" i="54" l="1"/>
  <c r="S13" i="54"/>
  <c r="R13" i="54"/>
  <c r="Q13" i="54"/>
  <c r="P13" i="54"/>
  <c r="O13" i="54"/>
  <c r="N13" i="54"/>
  <c r="T13" i="54" s="1"/>
  <c r="M13" i="54"/>
  <c r="E13" i="54"/>
  <c r="D13" i="54"/>
  <c r="C13" i="54"/>
  <c r="B13" i="54"/>
  <c r="A13" i="54"/>
  <c r="AA12" i="54"/>
  <c r="S12" i="54"/>
  <c r="R12" i="54"/>
  <c r="Q12" i="54"/>
  <c r="P12" i="54"/>
  <c r="T12" i="54" s="1"/>
  <c r="O12" i="54"/>
  <c r="N12" i="54"/>
  <c r="M12" i="54"/>
  <c r="E12" i="54"/>
  <c r="D12" i="54"/>
  <c r="C12" i="54"/>
  <c r="B12" i="54"/>
  <c r="A12" i="54"/>
  <c r="AA11" i="54"/>
  <c r="S11" i="54"/>
  <c r="R11" i="54"/>
  <c r="Q11" i="54"/>
  <c r="P11" i="54"/>
  <c r="O11" i="54"/>
  <c r="N11" i="54"/>
  <c r="M11" i="54"/>
  <c r="E11" i="54"/>
  <c r="D11" i="54"/>
  <c r="C11" i="54"/>
  <c r="B11" i="54"/>
  <c r="A11" i="54"/>
  <c r="AA10" i="54"/>
  <c r="S10" i="54"/>
  <c r="R10" i="54"/>
  <c r="Q10" i="54"/>
  <c r="P10" i="54"/>
  <c r="T10" i="54" s="1"/>
  <c r="O10" i="54"/>
  <c r="N10" i="54"/>
  <c r="M10" i="54"/>
  <c r="E10" i="54"/>
  <c r="D10" i="54"/>
  <c r="C10" i="54"/>
  <c r="B10" i="54"/>
  <c r="A10" i="54"/>
  <c r="AA9" i="54"/>
  <c r="S9" i="54"/>
  <c r="R9" i="54"/>
  <c r="Q9" i="54"/>
  <c r="P9" i="54"/>
  <c r="O9" i="54"/>
  <c r="N9" i="54"/>
  <c r="M9" i="54"/>
  <c r="E9" i="54"/>
  <c r="D9" i="54"/>
  <c r="C9" i="54"/>
  <c r="B9" i="54"/>
  <c r="A9" i="54"/>
  <c r="D6" i="54" a="1"/>
  <c r="D6" i="54" s="1"/>
  <c r="D5" i="54" a="1"/>
  <c r="D5" i="54" s="1"/>
  <c r="O11" i="53"/>
  <c r="Q11" i="53" s="1"/>
  <c r="N11" i="53"/>
  <c r="P11" i="53" s="1"/>
  <c r="M11" i="53"/>
  <c r="L11" i="53"/>
  <c r="H11" i="53"/>
  <c r="F11" i="53"/>
  <c r="E11" i="53"/>
  <c r="C11" i="53"/>
  <c r="B11" i="53"/>
  <c r="A11" i="53"/>
  <c r="O10" i="53"/>
  <c r="Q10" i="53" s="1"/>
  <c r="N10" i="53"/>
  <c r="P10" i="53" s="1"/>
  <c r="M10" i="53"/>
  <c r="L10" i="53"/>
  <c r="H10" i="53"/>
  <c r="F10" i="53"/>
  <c r="E10" i="53"/>
  <c r="C10" i="53"/>
  <c r="B10" i="53"/>
  <c r="A10" i="53"/>
  <c r="O9" i="53"/>
  <c r="Q9" i="53" s="1"/>
  <c r="N9" i="53"/>
  <c r="P9" i="53" s="1"/>
  <c r="M9" i="53"/>
  <c r="L9" i="53"/>
  <c r="H9" i="53"/>
  <c r="F9" i="53"/>
  <c r="E9" i="53"/>
  <c r="C9" i="53"/>
  <c r="B9" i="53"/>
  <c r="A9" i="53"/>
  <c r="O8" i="53"/>
  <c r="Q8" i="53" s="1"/>
  <c r="N8" i="53"/>
  <c r="P8" i="53" s="1"/>
  <c r="M8" i="53"/>
  <c r="L8" i="53"/>
  <c r="H8" i="53"/>
  <c r="F8" i="53"/>
  <c r="E8" i="53"/>
  <c r="C8" i="53"/>
  <c r="B8" i="53"/>
  <c r="A8" i="53"/>
  <c r="O7" i="53"/>
  <c r="Q7" i="53" s="1"/>
  <c r="N7" i="53"/>
  <c r="P7" i="53" s="1"/>
  <c r="M7" i="53"/>
  <c r="L7" i="53"/>
  <c r="H7" i="53"/>
  <c r="F7" i="53"/>
  <c r="E7" i="53"/>
  <c r="C7" i="53"/>
  <c r="B7" i="53"/>
  <c r="A7" i="53"/>
  <c r="N13" i="52"/>
  <c r="N12" i="52"/>
  <c r="N11" i="52"/>
  <c r="N10" i="52"/>
  <c r="N9" i="52"/>
  <c r="T9" i="54" l="1"/>
  <c r="T11" i="54"/>
  <c r="I9" i="53"/>
  <c r="I7" i="53"/>
  <c r="I11" i="53"/>
  <c r="S9" i="53"/>
  <c r="U9" i="53" s="1"/>
  <c r="I8" i="53"/>
  <c r="S8" i="53"/>
  <c r="U8" i="53" s="1"/>
  <c r="R9" i="53"/>
  <c r="S11" i="53"/>
  <c r="U11" i="53" s="1"/>
  <c r="I10" i="53"/>
  <c r="S10" i="53"/>
  <c r="U10" i="53" s="1"/>
  <c r="R7" i="53"/>
  <c r="S7" i="53"/>
  <c r="U7" i="53" s="1"/>
  <c r="X12" i="54"/>
  <c r="W12" i="54"/>
  <c r="Y12" i="54" s="1"/>
  <c r="AB12" i="54" s="1"/>
  <c r="W11" i="54"/>
  <c r="Y11" i="54" s="1"/>
  <c r="AB11" i="54" s="1"/>
  <c r="X11" i="54"/>
  <c r="X10" i="54"/>
  <c r="W10" i="54"/>
  <c r="Y10" i="54" s="1"/>
  <c r="AB10" i="54" s="1"/>
  <c r="W9" i="54"/>
  <c r="Y9" i="54" s="1"/>
  <c r="AB9" i="54" s="1"/>
  <c r="X9" i="54"/>
  <c r="W13" i="54"/>
  <c r="Y13" i="54" s="1"/>
  <c r="AB13" i="54" s="1"/>
  <c r="X13" i="54"/>
  <c r="T9" i="53"/>
  <c r="T7" i="53"/>
  <c r="R11" i="53"/>
  <c r="R8" i="53"/>
  <c r="R10" i="53"/>
  <c r="V9" i="53" l="1"/>
  <c r="V7" i="53"/>
  <c r="T10" i="53"/>
  <c r="V10" i="53"/>
  <c r="V11" i="53"/>
  <c r="T11" i="53"/>
  <c r="T8" i="53"/>
  <c r="V8" i="53"/>
  <c r="AA13" i="50" l="1"/>
  <c r="S13" i="50"/>
  <c r="Q13" i="50"/>
  <c r="P13" i="50"/>
  <c r="O13" i="50"/>
  <c r="N13" i="50"/>
  <c r="M13" i="50"/>
  <c r="T13" i="50" s="1"/>
  <c r="E13" i="50"/>
  <c r="D13" i="50"/>
  <c r="C13" i="50"/>
  <c r="B13" i="50"/>
  <c r="A13" i="50"/>
  <c r="AA12" i="50"/>
  <c r="S12" i="50"/>
  <c r="R12" i="50"/>
  <c r="Q12" i="50"/>
  <c r="P12" i="50"/>
  <c r="O12" i="50"/>
  <c r="N12" i="50"/>
  <c r="M12" i="50"/>
  <c r="T12" i="50" s="1"/>
  <c r="E12" i="50"/>
  <c r="D12" i="50"/>
  <c r="C12" i="50"/>
  <c r="B12" i="50"/>
  <c r="A12" i="50"/>
  <c r="AA11" i="50"/>
  <c r="S11" i="50"/>
  <c r="R11" i="50"/>
  <c r="Q11" i="50"/>
  <c r="P11" i="50"/>
  <c r="O11" i="50"/>
  <c r="N11" i="50"/>
  <c r="M11" i="50"/>
  <c r="E11" i="50"/>
  <c r="D11" i="50"/>
  <c r="C11" i="50"/>
  <c r="B11" i="50"/>
  <c r="A11" i="50"/>
  <c r="AA10" i="50"/>
  <c r="S10" i="50"/>
  <c r="R10" i="50"/>
  <c r="Q10" i="50"/>
  <c r="P10" i="50"/>
  <c r="O10" i="50"/>
  <c r="N10" i="50"/>
  <c r="M10" i="50"/>
  <c r="E10" i="50"/>
  <c r="D10" i="50"/>
  <c r="C10" i="50"/>
  <c r="B10" i="50"/>
  <c r="A10" i="50"/>
  <c r="AA9" i="50"/>
  <c r="S9" i="50"/>
  <c r="Q9" i="50"/>
  <c r="P9" i="50"/>
  <c r="O9" i="50"/>
  <c r="N9" i="50"/>
  <c r="M9" i="50"/>
  <c r="E9" i="50"/>
  <c r="D9" i="50"/>
  <c r="C9" i="50"/>
  <c r="B9" i="50"/>
  <c r="A9" i="50"/>
  <c r="D6" i="50" a="1"/>
  <c r="D6" i="50" s="1"/>
  <c r="D5" i="50" a="1"/>
  <c r="D5" i="50" s="1"/>
  <c r="P11" i="49"/>
  <c r="R11" i="49" s="1"/>
  <c r="O11" i="49"/>
  <c r="Q11" i="49" s="1"/>
  <c r="N11" i="49"/>
  <c r="M11" i="49"/>
  <c r="H11" i="49"/>
  <c r="F11" i="49"/>
  <c r="E11" i="49"/>
  <c r="S11" i="49" s="1"/>
  <c r="C11" i="49"/>
  <c r="B11" i="49"/>
  <c r="A11" i="49"/>
  <c r="R10" i="49"/>
  <c r="T10" i="49" s="1"/>
  <c r="V10" i="49" s="1"/>
  <c r="P10" i="49"/>
  <c r="O10" i="49"/>
  <c r="Q10" i="49" s="1"/>
  <c r="N10" i="49"/>
  <c r="M10" i="49"/>
  <c r="H10" i="49"/>
  <c r="F10" i="49"/>
  <c r="E10" i="49"/>
  <c r="I10" i="49" s="1"/>
  <c r="C10" i="49"/>
  <c r="B10" i="49"/>
  <c r="A10" i="49"/>
  <c r="P9" i="49"/>
  <c r="R9" i="49" s="1"/>
  <c r="T9" i="49" s="1"/>
  <c r="V9" i="49" s="1"/>
  <c r="O9" i="49"/>
  <c r="Q9" i="49" s="1"/>
  <c r="N9" i="49"/>
  <c r="M9" i="49"/>
  <c r="I9" i="49"/>
  <c r="H9" i="49"/>
  <c r="F9" i="49"/>
  <c r="E9" i="49"/>
  <c r="C9" i="49"/>
  <c r="B9" i="49"/>
  <c r="A9" i="49"/>
  <c r="Q8" i="49"/>
  <c r="P8" i="49"/>
  <c r="R8" i="49" s="1"/>
  <c r="T8" i="49" s="1"/>
  <c r="V8" i="49" s="1"/>
  <c r="O8" i="49"/>
  <c r="N8" i="49"/>
  <c r="M8" i="49"/>
  <c r="H8" i="49"/>
  <c r="F8" i="49"/>
  <c r="E8" i="49"/>
  <c r="I8" i="49" s="1"/>
  <c r="C8" i="49"/>
  <c r="B8" i="49"/>
  <c r="A8" i="49"/>
  <c r="P7" i="49"/>
  <c r="R7" i="49" s="1"/>
  <c r="O7" i="49"/>
  <c r="Q7" i="49" s="1"/>
  <c r="N7" i="49"/>
  <c r="M7" i="49"/>
  <c r="H7" i="49"/>
  <c r="I7" i="49" s="1"/>
  <c r="F7" i="49"/>
  <c r="E7" i="49"/>
  <c r="C7" i="49"/>
  <c r="B7" i="49"/>
  <c r="A7" i="49"/>
  <c r="N13" i="48"/>
  <c r="N12" i="48"/>
  <c r="N11" i="48"/>
  <c r="N10" i="48"/>
  <c r="N9" i="48"/>
  <c r="AA31" i="46"/>
  <c r="S31" i="46"/>
  <c r="R31" i="46"/>
  <c r="Q31" i="46"/>
  <c r="P31" i="46"/>
  <c r="O31" i="46"/>
  <c r="N31" i="46"/>
  <c r="T31" i="46" s="1"/>
  <c r="M31" i="46"/>
  <c r="E31" i="46"/>
  <c r="D31" i="46"/>
  <c r="AA30" i="46"/>
  <c r="S30" i="46"/>
  <c r="R30" i="46"/>
  <c r="Q30" i="46"/>
  <c r="P30" i="46"/>
  <c r="O30" i="46"/>
  <c r="N30" i="46"/>
  <c r="M30" i="46"/>
  <c r="E30" i="46"/>
  <c r="D30" i="46"/>
  <c r="AA29" i="46"/>
  <c r="S29" i="46"/>
  <c r="R29" i="46"/>
  <c r="Q29" i="46"/>
  <c r="P29" i="46"/>
  <c r="O29" i="46"/>
  <c r="N29" i="46"/>
  <c r="M29" i="46"/>
  <c r="E29" i="46"/>
  <c r="D29" i="46"/>
  <c r="AA28" i="46"/>
  <c r="S28" i="46"/>
  <c r="R28" i="46"/>
  <c r="Q28" i="46"/>
  <c r="P28" i="46"/>
  <c r="O28" i="46"/>
  <c r="N28" i="46"/>
  <c r="M28" i="46"/>
  <c r="E28" i="46"/>
  <c r="D28" i="46"/>
  <c r="C28" i="46"/>
  <c r="B28" i="46"/>
  <c r="A28" i="46"/>
  <c r="AA27" i="46"/>
  <c r="S27" i="46"/>
  <c r="R27" i="46"/>
  <c r="Q27" i="46"/>
  <c r="P27" i="46"/>
  <c r="O27" i="46"/>
  <c r="N27" i="46"/>
  <c r="M27" i="46"/>
  <c r="T27" i="46" s="1"/>
  <c r="E27" i="46"/>
  <c r="D27" i="46"/>
  <c r="AA26" i="46"/>
  <c r="S26" i="46"/>
  <c r="R26" i="46"/>
  <c r="Q26" i="46"/>
  <c r="P26" i="46"/>
  <c r="O26" i="46"/>
  <c r="N26" i="46"/>
  <c r="M26" i="46"/>
  <c r="E26" i="46"/>
  <c r="D26" i="46"/>
  <c r="AA25" i="46"/>
  <c r="S25" i="46"/>
  <c r="R25" i="46"/>
  <c r="Q25" i="46"/>
  <c r="P25" i="46"/>
  <c r="O25" i="46"/>
  <c r="N25" i="46"/>
  <c r="M25" i="46"/>
  <c r="T25" i="46" s="1"/>
  <c r="E25" i="46"/>
  <c r="D25" i="46"/>
  <c r="AA24" i="46"/>
  <c r="S24" i="46"/>
  <c r="R24" i="46"/>
  <c r="Q24" i="46"/>
  <c r="P24" i="46"/>
  <c r="O24" i="46"/>
  <c r="N24" i="46"/>
  <c r="M24" i="46"/>
  <c r="E24" i="46"/>
  <c r="D24" i="46"/>
  <c r="AA23" i="46"/>
  <c r="S23" i="46"/>
  <c r="R23" i="46"/>
  <c r="Q23" i="46"/>
  <c r="P23" i="46"/>
  <c r="O23" i="46"/>
  <c r="N23" i="46"/>
  <c r="M23" i="46"/>
  <c r="T23" i="46" s="1"/>
  <c r="E23" i="46"/>
  <c r="D23" i="46"/>
  <c r="C23" i="46"/>
  <c r="B23" i="46"/>
  <c r="A23" i="46"/>
  <c r="AA22" i="46"/>
  <c r="S22" i="46"/>
  <c r="R22" i="46"/>
  <c r="Q22" i="46"/>
  <c r="P22" i="46"/>
  <c r="O22" i="46"/>
  <c r="N22" i="46"/>
  <c r="M22" i="46"/>
  <c r="E22" i="46"/>
  <c r="D22" i="46"/>
  <c r="AA21" i="46"/>
  <c r="S21" i="46"/>
  <c r="R21" i="46"/>
  <c r="Q21" i="46"/>
  <c r="P21" i="46"/>
  <c r="O21" i="46"/>
  <c r="N21" i="46"/>
  <c r="M21" i="46"/>
  <c r="E21" i="46"/>
  <c r="D21" i="46"/>
  <c r="AA20" i="46"/>
  <c r="S20" i="46"/>
  <c r="R20" i="46"/>
  <c r="Q20" i="46"/>
  <c r="P20" i="46"/>
  <c r="O20" i="46"/>
  <c r="N20" i="46"/>
  <c r="M20" i="46"/>
  <c r="E20" i="46"/>
  <c r="D20" i="46"/>
  <c r="AA19" i="46"/>
  <c r="S19" i="46"/>
  <c r="R19" i="46"/>
  <c r="Q19" i="46"/>
  <c r="P19" i="46"/>
  <c r="T19" i="46" s="1"/>
  <c r="O19" i="46"/>
  <c r="N19" i="46"/>
  <c r="M19" i="46"/>
  <c r="E19" i="46"/>
  <c r="D19" i="46"/>
  <c r="C19" i="46"/>
  <c r="B19" i="46"/>
  <c r="A19" i="46"/>
  <c r="AA18" i="46"/>
  <c r="S18" i="46"/>
  <c r="R18" i="46"/>
  <c r="Q18" i="46"/>
  <c r="P18" i="46"/>
  <c r="O18" i="46"/>
  <c r="N18" i="46"/>
  <c r="M18" i="46"/>
  <c r="T18" i="46" s="1"/>
  <c r="E18" i="46"/>
  <c r="D18" i="46"/>
  <c r="AA17" i="46"/>
  <c r="S17" i="46"/>
  <c r="R17" i="46"/>
  <c r="Q17" i="46"/>
  <c r="P17" i="46"/>
  <c r="O17" i="46"/>
  <c r="N17" i="46"/>
  <c r="M17" i="46"/>
  <c r="E17" i="46"/>
  <c r="D17" i="46"/>
  <c r="AA16" i="46"/>
  <c r="S16" i="46"/>
  <c r="R16" i="46"/>
  <c r="Q16" i="46"/>
  <c r="P16" i="46"/>
  <c r="O16" i="46"/>
  <c r="N16" i="46"/>
  <c r="M16" i="46"/>
  <c r="E16" i="46"/>
  <c r="D16" i="46"/>
  <c r="AA15" i="46"/>
  <c r="S15" i="46"/>
  <c r="R15" i="46"/>
  <c r="Q15" i="46"/>
  <c r="P15" i="46"/>
  <c r="O15" i="46"/>
  <c r="N15" i="46"/>
  <c r="M15" i="46"/>
  <c r="E15" i="46"/>
  <c r="D15" i="46"/>
  <c r="AA14" i="46"/>
  <c r="S14" i="46"/>
  <c r="R14" i="46"/>
  <c r="Q14" i="46"/>
  <c r="P14" i="46"/>
  <c r="O14" i="46"/>
  <c r="N14" i="46"/>
  <c r="M14" i="46"/>
  <c r="T14" i="46" s="1"/>
  <c r="E14" i="46"/>
  <c r="D14" i="46"/>
  <c r="C14" i="46"/>
  <c r="B14" i="46"/>
  <c r="A14" i="46"/>
  <c r="AA13" i="46"/>
  <c r="S13" i="46"/>
  <c r="R13" i="46"/>
  <c r="Q13" i="46"/>
  <c r="P13" i="46"/>
  <c r="O13" i="46"/>
  <c r="N13" i="46"/>
  <c r="M13" i="46"/>
  <c r="E13" i="46"/>
  <c r="D13" i="46"/>
  <c r="AA12" i="46"/>
  <c r="S12" i="46"/>
  <c r="R12" i="46"/>
  <c r="Q12" i="46"/>
  <c r="P12" i="46"/>
  <c r="O12" i="46"/>
  <c r="N12" i="46"/>
  <c r="M12" i="46"/>
  <c r="E12" i="46"/>
  <c r="D12" i="46"/>
  <c r="AA11" i="46"/>
  <c r="S11" i="46"/>
  <c r="R11" i="46"/>
  <c r="Q11" i="46"/>
  <c r="P11" i="46"/>
  <c r="O11" i="46"/>
  <c r="N11" i="46"/>
  <c r="M11" i="46"/>
  <c r="E11" i="46"/>
  <c r="D11" i="46"/>
  <c r="AA10" i="46"/>
  <c r="S10" i="46"/>
  <c r="R10" i="46"/>
  <c r="Q10" i="46"/>
  <c r="P10" i="46"/>
  <c r="O10" i="46"/>
  <c r="N10" i="46"/>
  <c r="M10" i="46"/>
  <c r="E10" i="46"/>
  <c r="D10" i="46"/>
  <c r="AA9" i="46"/>
  <c r="S9" i="46"/>
  <c r="R9" i="46"/>
  <c r="Q9" i="46"/>
  <c r="P9" i="46"/>
  <c r="O9" i="46"/>
  <c r="N9" i="46"/>
  <c r="M9" i="46"/>
  <c r="E9" i="46"/>
  <c r="D9" i="46"/>
  <c r="C9" i="46"/>
  <c r="B9" i="46"/>
  <c r="A9" i="46"/>
  <c r="D6" i="46" a="1"/>
  <c r="D6" i="46" s="1"/>
  <c r="D5" i="46" a="1"/>
  <c r="D5" i="46" s="1"/>
  <c r="X7" i="45"/>
  <c r="D7" i="45" s="1"/>
  <c r="C7" i="45" s="1"/>
  <c r="B7" i="45"/>
  <c r="A7" i="45"/>
  <c r="P29" i="44"/>
  <c r="O29" i="44"/>
  <c r="N29" i="44"/>
  <c r="M29" i="44"/>
  <c r="P28" i="44"/>
  <c r="O28" i="44"/>
  <c r="N28" i="44"/>
  <c r="M28" i="44"/>
  <c r="P27" i="44"/>
  <c r="O27" i="44"/>
  <c r="N27" i="44"/>
  <c r="M27" i="44"/>
  <c r="P26" i="44"/>
  <c r="R26" i="44" s="1"/>
  <c r="O26" i="44"/>
  <c r="Q26" i="44" s="1"/>
  <c r="N26" i="44"/>
  <c r="M26" i="44"/>
  <c r="H26" i="44"/>
  <c r="F26" i="44"/>
  <c r="E26" i="44"/>
  <c r="C26" i="44"/>
  <c r="B26" i="44"/>
  <c r="P25" i="44"/>
  <c r="O25" i="44"/>
  <c r="N25" i="44"/>
  <c r="M25" i="44"/>
  <c r="P24" i="44"/>
  <c r="O24" i="44"/>
  <c r="N24" i="44"/>
  <c r="M24" i="44"/>
  <c r="P23" i="44"/>
  <c r="O23" i="44"/>
  <c r="N23" i="44"/>
  <c r="M23" i="44"/>
  <c r="P22" i="44"/>
  <c r="O22" i="44"/>
  <c r="N22" i="44"/>
  <c r="M22" i="44"/>
  <c r="P21" i="44"/>
  <c r="R21" i="44" s="1"/>
  <c r="O21" i="44"/>
  <c r="Q21" i="44" s="1"/>
  <c r="N21" i="44"/>
  <c r="M21" i="44"/>
  <c r="H21" i="44"/>
  <c r="F21" i="44"/>
  <c r="E21" i="44"/>
  <c r="B21" i="44"/>
  <c r="A21" i="44"/>
  <c r="P20" i="44"/>
  <c r="O20" i="44"/>
  <c r="N20" i="44"/>
  <c r="M20" i="44"/>
  <c r="P19" i="44"/>
  <c r="O19" i="44"/>
  <c r="N19" i="44"/>
  <c r="M19" i="44"/>
  <c r="P18" i="44"/>
  <c r="O18" i="44"/>
  <c r="N18" i="44"/>
  <c r="M18" i="44"/>
  <c r="P17" i="44"/>
  <c r="R17" i="44" s="1"/>
  <c r="O17" i="44"/>
  <c r="N17" i="44"/>
  <c r="M17" i="44"/>
  <c r="H17" i="44"/>
  <c r="F17" i="44"/>
  <c r="E17" i="44"/>
  <c r="B17" i="44"/>
  <c r="A17" i="44"/>
  <c r="P16" i="44"/>
  <c r="O16" i="44"/>
  <c r="N16" i="44"/>
  <c r="M16" i="44"/>
  <c r="P15" i="44"/>
  <c r="O15" i="44"/>
  <c r="N15" i="44"/>
  <c r="M15" i="44"/>
  <c r="P14" i="44"/>
  <c r="O14" i="44"/>
  <c r="N14" i="44"/>
  <c r="M14" i="44"/>
  <c r="P13" i="44"/>
  <c r="O13" i="44"/>
  <c r="N13" i="44"/>
  <c r="M13" i="44"/>
  <c r="P12" i="44"/>
  <c r="O12" i="44"/>
  <c r="Q12" i="44" s="1"/>
  <c r="N12" i="44"/>
  <c r="M12" i="44"/>
  <c r="H12" i="44"/>
  <c r="F12" i="44"/>
  <c r="E12" i="44"/>
  <c r="I12" i="44" s="1"/>
  <c r="B12" i="44"/>
  <c r="A12" i="44"/>
  <c r="P11" i="44"/>
  <c r="O11" i="44"/>
  <c r="N11" i="44"/>
  <c r="M11" i="44"/>
  <c r="P10" i="44"/>
  <c r="O10" i="44"/>
  <c r="N10" i="44"/>
  <c r="M10" i="44"/>
  <c r="P9" i="44"/>
  <c r="O9" i="44"/>
  <c r="N9" i="44"/>
  <c r="M9" i="44"/>
  <c r="P8" i="44"/>
  <c r="O8" i="44"/>
  <c r="N8" i="44"/>
  <c r="M8" i="44"/>
  <c r="P7" i="44"/>
  <c r="R7" i="44" s="1"/>
  <c r="O7" i="44"/>
  <c r="Q7" i="44" s="1"/>
  <c r="S7" i="44" s="1"/>
  <c r="N7" i="44"/>
  <c r="M7" i="44"/>
  <c r="H7" i="44"/>
  <c r="I7" i="44" s="1"/>
  <c r="F7" i="44"/>
  <c r="E7" i="44"/>
  <c r="C7" i="44"/>
  <c r="B7" i="44"/>
  <c r="A7" i="44"/>
  <c r="N13" i="43"/>
  <c r="N12" i="43"/>
  <c r="N11" i="43"/>
  <c r="N10" i="43"/>
  <c r="N9" i="43"/>
  <c r="T11" i="46" l="1"/>
  <c r="T16" i="46"/>
  <c r="T20" i="46"/>
  <c r="T22" i="46"/>
  <c r="T9" i="50"/>
  <c r="I26" i="44"/>
  <c r="Q17" i="44"/>
  <c r="I21" i="44"/>
  <c r="T10" i="46"/>
  <c r="T12" i="46"/>
  <c r="T21" i="46"/>
  <c r="T26" i="46"/>
  <c r="T28" i="46"/>
  <c r="T30" i="46"/>
  <c r="T10" i="50"/>
  <c r="T9" i="46"/>
  <c r="T13" i="46"/>
  <c r="T15" i="46"/>
  <c r="T17" i="46"/>
  <c r="T24" i="46"/>
  <c r="T29" i="46"/>
  <c r="T11" i="50"/>
  <c r="T7" i="49"/>
  <c r="V7" i="49" s="1"/>
  <c r="I11" i="49"/>
  <c r="T11" i="49"/>
  <c r="V11" i="49" s="1"/>
  <c r="T17" i="44"/>
  <c r="V17" i="44" s="1"/>
  <c r="T26" i="44"/>
  <c r="V26" i="44" s="1"/>
  <c r="T7" i="44"/>
  <c r="V7" i="44" s="1"/>
  <c r="S12" i="44"/>
  <c r="U12" i="44" s="1"/>
  <c r="I17" i="44"/>
  <c r="T21" i="44"/>
  <c r="V21" i="44" s="1"/>
  <c r="R12" i="44"/>
  <c r="T12" i="44" s="1"/>
  <c r="W13" i="50"/>
  <c r="Y13" i="50" s="1"/>
  <c r="AB13" i="50" s="1"/>
  <c r="X13" i="50"/>
  <c r="X10" i="50"/>
  <c r="W10" i="50"/>
  <c r="Y10" i="50" s="1"/>
  <c r="AB10" i="50" s="1"/>
  <c r="W9" i="50"/>
  <c r="Y9" i="50" s="1"/>
  <c r="AB9" i="50" s="1"/>
  <c r="X9" i="50"/>
  <c r="X12" i="50"/>
  <c r="W12" i="50"/>
  <c r="Y12" i="50" s="1"/>
  <c r="AB12" i="50" s="1"/>
  <c r="W11" i="50"/>
  <c r="Y11" i="50" s="1"/>
  <c r="AB11" i="50" s="1"/>
  <c r="X11" i="50"/>
  <c r="W11" i="49"/>
  <c r="U11" i="49"/>
  <c r="S9" i="49"/>
  <c r="S7" i="49"/>
  <c r="S8" i="49"/>
  <c r="S10" i="49"/>
  <c r="W10" i="46"/>
  <c r="Y10" i="46" s="1"/>
  <c r="AB10" i="46" s="1"/>
  <c r="X10" i="46"/>
  <c r="X12" i="46"/>
  <c r="W12" i="46"/>
  <c r="Y12" i="46" s="1"/>
  <c r="AB12" i="46" s="1"/>
  <c r="W21" i="46"/>
  <c r="Y21" i="46" s="1"/>
  <c r="AB21" i="46" s="1"/>
  <c r="X21" i="46"/>
  <c r="X26" i="46"/>
  <c r="W26" i="46"/>
  <c r="Y26" i="46" s="1"/>
  <c r="AB26" i="46" s="1"/>
  <c r="X28" i="46"/>
  <c r="W28" i="46"/>
  <c r="Y28" i="46" s="1"/>
  <c r="AB28" i="46" s="1"/>
  <c r="X30" i="46"/>
  <c r="W30" i="46"/>
  <c r="Y30" i="46" s="1"/>
  <c r="AB30" i="46" s="1"/>
  <c r="X9" i="46"/>
  <c r="W9" i="46"/>
  <c r="Y9" i="46" s="1"/>
  <c r="AB9" i="46" s="1"/>
  <c r="X13" i="46"/>
  <c r="W13" i="46"/>
  <c r="Y13" i="46" s="1"/>
  <c r="AB13" i="46" s="1"/>
  <c r="X15" i="46"/>
  <c r="W15" i="46"/>
  <c r="Y15" i="46" s="1"/>
  <c r="AB15" i="46" s="1"/>
  <c r="W17" i="46"/>
  <c r="Y17" i="46" s="1"/>
  <c r="AB17" i="46" s="1"/>
  <c r="X17" i="46"/>
  <c r="W24" i="46"/>
  <c r="Y24" i="46" s="1"/>
  <c r="AB24" i="46" s="1"/>
  <c r="X24" i="46"/>
  <c r="X29" i="46"/>
  <c r="W29" i="46"/>
  <c r="Y29" i="46" s="1"/>
  <c r="AB29" i="46" s="1"/>
  <c r="W11" i="46"/>
  <c r="Y11" i="46" s="1"/>
  <c r="AB11" i="46" s="1"/>
  <c r="X11" i="46"/>
  <c r="X16" i="46"/>
  <c r="W16" i="46"/>
  <c r="Y16" i="46" s="1"/>
  <c r="AB16" i="46" s="1"/>
  <c r="X20" i="46"/>
  <c r="W20" i="46"/>
  <c r="Y20" i="46" s="1"/>
  <c r="AB20" i="46" s="1"/>
  <c r="X22" i="46"/>
  <c r="W22" i="46"/>
  <c r="Y22" i="46" s="1"/>
  <c r="AB22" i="46" s="1"/>
  <c r="W14" i="46"/>
  <c r="Y14" i="46" s="1"/>
  <c r="AB14" i="46" s="1"/>
  <c r="X14" i="46"/>
  <c r="W18" i="46"/>
  <c r="Y18" i="46" s="1"/>
  <c r="AB18" i="46" s="1"/>
  <c r="X18" i="46"/>
  <c r="X19" i="46"/>
  <c r="W19" i="46"/>
  <c r="Y19" i="46" s="1"/>
  <c r="AB19" i="46" s="1"/>
  <c r="X23" i="46"/>
  <c r="W23" i="46"/>
  <c r="Y23" i="46" s="1"/>
  <c r="AB23" i="46" s="1"/>
  <c r="X25" i="46"/>
  <c r="W25" i="46"/>
  <c r="Y25" i="46" s="1"/>
  <c r="AB25" i="46" s="1"/>
  <c r="X27" i="46"/>
  <c r="W27" i="46"/>
  <c r="Y27" i="46" s="1"/>
  <c r="AB27" i="46" s="1"/>
  <c r="W31" i="46"/>
  <c r="Y31" i="46" s="1"/>
  <c r="AB31" i="46" s="1"/>
  <c r="X31" i="46"/>
  <c r="S26" i="44"/>
  <c r="U7" i="44"/>
  <c r="S17" i="44"/>
  <c r="S21" i="44"/>
  <c r="V12" i="44" l="1"/>
  <c r="W12" i="44"/>
  <c r="W7" i="44"/>
  <c r="U10" i="49"/>
  <c r="W10" i="49"/>
  <c r="U8" i="49"/>
  <c r="W8" i="49"/>
  <c r="W7" i="49"/>
  <c r="U7" i="49"/>
  <c r="W9" i="49"/>
  <c r="U9" i="49"/>
  <c r="U17" i="44"/>
  <c r="W17" i="44"/>
  <c r="U21" i="44"/>
  <c r="W21" i="44"/>
  <c r="W26" i="44"/>
  <c r="U26" i="44"/>
  <c r="AA30" i="41" l="1"/>
  <c r="S30" i="41"/>
  <c r="R30" i="41"/>
  <c r="Q30" i="41"/>
  <c r="P30" i="41"/>
  <c r="O30" i="41"/>
  <c r="N30" i="41"/>
  <c r="T30" i="41" s="1"/>
  <c r="M30" i="41"/>
  <c r="E30" i="41"/>
  <c r="D30" i="41"/>
  <c r="AA29" i="41"/>
  <c r="S29" i="41"/>
  <c r="R29" i="41"/>
  <c r="Q29" i="41"/>
  <c r="P29" i="41"/>
  <c r="O29" i="41"/>
  <c r="N29" i="41"/>
  <c r="M29" i="41"/>
  <c r="E29" i="41"/>
  <c r="D29" i="41"/>
  <c r="AA28" i="41"/>
  <c r="S28" i="41"/>
  <c r="R28" i="41"/>
  <c r="Q28" i="41"/>
  <c r="P28" i="41"/>
  <c r="O28" i="41"/>
  <c r="N28" i="41"/>
  <c r="M28" i="41"/>
  <c r="E28" i="41"/>
  <c r="D28" i="41"/>
  <c r="C28" i="41"/>
  <c r="B28" i="41"/>
  <c r="A28" i="41"/>
  <c r="AA27" i="41"/>
  <c r="S27" i="41"/>
  <c r="R27" i="41"/>
  <c r="Q27" i="41"/>
  <c r="P27" i="41"/>
  <c r="O27" i="41"/>
  <c r="N27" i="41"/>
  <c r="M27" i="41"/>
  <c r="E27" i="41"/>
  <c r="D27" i="41"/>
  <c r="AA26" i="41"/>
  <c r="S26" i="41"/>
  <c r="R26" i="41"/>
  <c r="Q26" i="41"/>
  <c r="P26" i="41"/>
  <c r="O26" i="41"/>
  <c r="N26" i="41"/>
  <c r="M26" i="41"/>
  <c r="E26" i="41"/>
  <c r="D26" i="41"/>
  <c r="AA25" i="41"/>
  <c r="S25" i="41"/>
  <c r="R25" i="41"/>
  <c r="Q25" i="41"/>
  <c r="P25" i="41"/>
  <c r="O25" i="41"/>
  <c r="N25" i="41"/>
  <c r="M25" i="41"/>
  <c r="E25" i="41"/>
  <c r="D25" i="41"/>
  <c r="AA24" i="41"/>
  <c r="S24" i="41"/>
  <c r="R24" i="41"/>
  <c r="Q24" i="41"/>
  <c r="P24" i="41"/>
  <c r="O24" i="41"/>
  <c r="N24" i="41"/>
  <c r="M24" i="41"/>
  <c r="E24" i="41"/>
  <c r="D24" i="41"/>
  <c r="C24" i="41"/>
  <c r="B24" i="41"/>
  <c r="A24" i="41"/>
  <c r="AA23" i="41"/>
  <c r="S23" i="41"/>
  <c r="R23" i="41"/>
  <c r="Q23" i="41"/>
  <c r="P23" i="41"/>
  <c r="O23" i="41"/>
  <c r="N23" i="41"/>
  <c r="M23" i="41"/>
  <c r="T23" i="41" s="1"/>
  <c r="E23" i="41"/>
  <c r="D23" i="41"/>
  <c r="AA22" i="41"/>
  <c r="S22" i="41"/>
  <c r="R22" i="41"/>
  <c r="Q22" i="41"/>
  <c r="P22" i="41"/>
  <c r="O22" i="41"/>
  <c r="N22" i="41"/>
  <c r="M22" i="41"/>
  <c r="E22" i="41"/>
  <c r="D22" i="41"/>
  <c r="AA21" i="41"/>
  <c r="S21" i="41"/>
  <c r="R21" i="41"/>
  <c r="Q21" i="41"/>
  <c r="P21" i="41"/>
  <c r="O21" i="41"/>
  <c r="N21" i="41"/>
  <c r="M21" i="41"/>
  <c r="E21" i="41"/>
  <c r="D21" i="41"/>
  <c r="AA20" i="41"/>
  <c r="S20" i="41"/>
  <c r="R20" i="41"/>
  <c r="Q20" i="41"/>
  <c r="P20" i="41"/>
  <c r="O20" i="41"/>
  <c r="N20" i="41"/>
  <c r="M20" i="41"/>
  <c r="E20" i="41"/>
  <c r="D20" i="41"/>
  <c r="AA19" i="41"/>
  <c r="S19" i="41"/>
  <c r="R19" i="41"/>
  <c r="Q19" i="41"/>
  <c r="P19" i="41"/>
  <c r="O19" i="41"/>
  <c r="N19" i="41"/>
  <c r="M19" i="41"/>
  <c r="E19" i="41"/>
  <c r="D19" i="41"/>
  <c r="C19" i="41"/>
  <c r="B19" i="41"/>
  <c r="A19" i="41"/>
  <c r="AA18" i="41"/>
  <c r="S18" i="41"/>
  <c r="R18" i="41"/>
  <c r="Q18" i="41"/>
  <c r="P18" i="41"/>
  <c r="O18" i="41"/>
  <c r="N18" i="41"/>
  <c r="M18" i="41"/>
  <c r="T18" i="41" s="1"/>
  <c r="E18" i="41"/>
  <c r="D18" i="41"/>
  <c r="AA17" i="41"/>
  <c r="S17" i="41"/>
  <c r="R17" i="41"/>
  <c r="Q17" i="41"/>
  <c r="P17" i="41"/>
  <c r="O17" i="41"/>
  <c r="N17" i="41"/>
  <c r="M17" i="41"/>
  <c r="T17" i="41" s="1"/>
  <c r="E17" i="41"/>
  <c r="D17" i="41"/>
  <c r="AA16" i="41"/>
  <c r="S16" i="41"/>
  <c r="R16" i="41"/>
  <c r="Q16" i="41"/>
  <c r="P16" i="41"/>
  <c r="O16" i="41"/>
  <c r="N16" i="41"/>
  <c r="M16" i="41"/>
  <c r="E16" i="41"/>
  <c r="D16" i="41"/>
  <c r="AA15" i="41"/>
  <c r="S15" i="41"/>
  <c r="R15" i="41"/>
  <c r="Q15" i="41"/>
  <c r="P15" i="41"/>
  <c r="T15" i="41" s="1"/>
  <c r="O15" i="41"/>
  <c r="N15" i="41"/>
  <c r="M15" i="41"/>
  <c r="E15" i="41"/>
  <c r="D15" i="41"/>
  <c r="AA14" i="41"/>
  <c r="S14" i="41"/>
  <c r="R14" i="41"/>
  <c r="Q14" i="41"/>
  <c r="P14" i="41"/>
  <c r="O14" i="41"/>
  <c r="N14" i="41"/>
  <c r="M14" i="41"/>
  <c r="E14" i="41"/>
  <c r="D14" i="41"/>
  <c r="C14" i="41"/>
  <c r="B14" i="41"/>
  <c r="A14" i="41"/>
  <c r="AA13" i="41"/>
  <c r="S13" i="41"/>
  <c r="R13" i="41"/>
  <c r="Q13" i="41"/>
  <c r="P13" i="41"/>
  <c r="O13" i="41"/>
  <c r="N13" i="41"/>
  <c r="M13" i="41"/>
  <c r="E13" i="41"/>
  <c r="D13" i="41"/>
  <c r="AA12" i="41"/>
  <c r="S12" i="41"/>
  <c r="R12" i="41"/>
  <c r="Q12" i="41"/>
  <c r="P12" i="41"/>
  <c r="O12" i="41"/>
  <c r="N12" i="41"/>
  <c r="M12" i="41"/>
  <c r="E12" i="41"/>
  <c r="D12" i="41"/>
  <c r="AA11" i="41"/>
  <c r="S11" i="41"/>
  <c r="R11" i="41"/>
  <c r="Q11" i="41"/>
  <c r="P11" i="41"/>
  <c r="O11" i="41"/>
  <c r="N11" i="41"/>
  <c r="M11" i="41"/>
  <c r="E11" i="41"/>
  <c r="D11" i="41"/>
  <c r="AA10" i="41"/>
  <c r="S10" i="41"/>
  <c r="R10" i="41"/>
  <c r="Q10" i="41"/>
  <c r="P10" i="41"/>
  <c r="O10" i="41"/>
  <c r="N10" i="41"/>
  <c r="M10" i="41"/>
  <c r="E10" i="41"/>
  <c r="D10" i="41"/>
  <c r="AA9" i="41"/>
  <c r="S9" i="41"/>
  <c r="R9" i="41"/>
  <c r="Q9" i="41"/>
  <c r="P9" i="41"/>
  <c r="O9" i="41"/>
  <c r="N9" i="41"/>
  <c r="M9" i="41"/>
  <c r="E9" i="41"/>
  <c r="D9" i="41"/>
  <c r="C9" i="41"/>
  <c r="B9" i="41"/>
  <c r="A9" i="41"/>
  <c r="D6" i="41" a="1"/>
  <c r="D6" i="41" s="1"/>
  <c r="D5" i="41" a="1"/>
  <c r="D5" i="41" s="1"/>
  <c r="X7" i="40"/>
  <c r="D7" i="40" s="1"/>
  <c r="C7" i="40" s="1"/>
  <c r="B7" i="40"/>
  <c r="A7" i="40"/>
  <c r="P28" i="39"/>
  <c r="O28" i="39"/>
  <c r="N28" i="39"/>
  <c r="M28" i="39"/>
  <c r="P27" i="39"/>
  <c r="O27" i="39"/>
  <c r="N27" i="39"/>
  <c r="M27" i="39"/>
  <c r="P26" i="39"/>
  <c r="R26" i="39" s="1"/>
  <c r="O26" i="39"/>
  <c r="Q26" i="39" s="1"/>
  <c r="N26" i="39"/>
  <c r="M26" i="39"/>
  <c r="H26" i="39"/>
  <c r="F26" i="39"/>
  <c r="E26" i="39"/>
  <c r="I26" i="39" s="1"/>
  <c r="C26" i="39"/>
  <c r="B26" i="39"/>
  <c r="A26" i="39"/>
  <c r="P25" i="39"/>
  <c r="O25" i="39"/>
  <c r="N25" i="39"/>
  <c r="M25" i="39"/>
  <c r="P24" i="39"/>
  <c r="O24" i="39"/>
  <c r="N24" i="39"/>
  <c r="M24" i="39"/>
  <c r="P23" i="39"/>
  <c r="O23" i="39"/>
  <c r="N23" i="39"/>
  <c r="M23" i="39"/>
  <c r="P22" i="39"/>
  <c r="R22" i="39" s="1"/>
  <c r="O22" i="39"/>
  <c r="N22" i="39"/>
  <c r="M22" i="39"/>
  <c r="H22" i="39"/>
  <c r="F22" i="39"/>
  <c r="E22" i="39"/>
  <c r="C22" i="39"/>
  <c r="B22" i="39"/>
  <c r="A22" i="39"/>
  <c r="P21" i="39"/>
  <c r="O21" i="39"/>
  <c r="N21" i="39"/>
  <c r="M21" i="39"/>
  <c r="P20" i="39"/>
  <c r="O20" i="39"/>
  <c r="N20" i="39"/>
  <c r="M20" i="39"/>
  <c r="P19" i="39"/>
  <c r="O19" i="39"/>
  <c r="N19" i="39"/>
  <c r="M19" i="39"/>
  <c r="P18" i="39"/>
  <c r="O18" i="39"/>
  <c r="N18" i="39"/>
  <c r="M18" i="39"/>
  <c r="P17" i="39"/>
  <c r="R17" i="39" s="1"/>
  <c r="T17" i="39" s="1"/>
  <c r="V17" i="39" s="1"/>
  <c r="O17" i="39"/>
  <c r="Q17" i="39" s="1"/>
  <c r="N17" i="39"/>
  <c r="M17" i="39"/>
  <c r="I17" i="39"/>
  <c r="H17" i="39"/>
  <c r="F17" i="39"/>
  <c r="E17" i="39"/>
  <c r="C17" i="39"/>
  <c r="B17" i="39"/>
  <c r="A17" i="39"/>
  <c r="P16" i="39"/>
  <c r="O16" i="39"/>
  <c r="N16" i="39"/>
  <c r="M16" i="39"/>
  <c r="P15" i="39"/>
  <c r="O15" i="39"/>
  <c r="N15" i="39"/>
  <c r="M15" i="39"/>
  <c r="P14" i="39"/>
  <c r="O14" i="39"/>
  <c r="N14" i="39"/>
  <c r="M14" i="39"/>
  <c r="P13" i="39"/>
  <c r="O13" i="39"/>
  <c r="N13" i="39"/>
  <c r="M13" i="39"/>
  <c r="P12" i="39"/>
  <c r="R12" i="39" s="1"/>
  <c r="O12" i="39"/>
  <c r="N12" i="39"/>
  <c r="M12" i="39"/>
  <c r="H12" i="39"/>
  <c r="F12" i="39"/>
  <c r="E12" i="39"/>
  <c r="I12" i="39" s="1"/>
  <c r="C12" i="39"/>
  <c r="B12" i="39"/>
  <c r="A12" i="39"/>
  <c r="P11" i="39"/>
  <c r="O11" i="39"/>
  <c r="N11" i="39"/>
  <c r="M11" i="39"/>
  <c r="P10" i="39"/>
  <c r="O10" i="39"/>
  <c r="N10" i="39"/>
  <c r="M10" i="39"/>
  <c r="P9" i="39"/>
  <c r="O9" i="39"/>
  <c r="N9" i="39"/>
  <c r="M9" i="39"/>
  <c r="P8" i="39"/>
  <c r="O8" i="39"/>
  <c r="N8" i="39"/>
  <c r="M8" i="39"/>
  <c r="Q7" i="39"/>
  <c r="P7" i="39"/>
  <c r="O7" i="39"/>
  <c r="N7" i="39"/>
  <c r="M7" i="39"/>
  <c r="H7" i="39"/>
  <c r="F7" i="39"/>
  <c r="E7" i="39"/>
  <c r="S7" i="39" s="1"/>
  <c r="C7" i="39"/>
  <c r="B7" i="39"/>
  <c r="A7" i="39"/>
  <c r="N13" i="38"/>
  <c r="N12" i="38"/>
  <c r="N11" i="38"/>
  <c r="N10" i="38"/>
  <c r="N9" i="38"/>
  <c r="T10" i="41" l="1"/>
  <c r="T19" i="41"/>
  <c r="T21" i="41"/>
  <c r="T27" i="41"/>
  <c r="T22" i="41"/>
  <c r="T24" i="41"/>
  <c r="T26" i="41"/>
  <c r="Q22" i="39"/>
  <c r="T26" i="39"/>
  <c r="V26" i="39" s="1"/>
  <c r="T9" i="41"/>
  <c r="T11" i="41"/>
  <c r="T13" i="41"/>
  <c r="T20" i="41"/>
  <c r="T25" i="41"/>
  <c r="T29" i="41"/>
  <c r="T12" i="41"/>
  <c r="T14" i="41"/>
  <c r="T16" i="41"/>
  <c r="T28" i="41"/>
  <c r="T22" i="39"/>
  <c r="V22" i="39" s="1"/>
  <c r="Q12" i="39"/>
  <c r="S26" i="39"/>
  <c r="I22" i="39"/>
  <c r="T12" i="39"/>
  <c r="V12" i="39" s="1"/>
  <c r="I7" i="39"/>
  <c r="R7" i="39"/>
  <c r="T7" i="39" s="1"/>
  <c r="V7" i="39" s="1"/>
  <c r="X9" i="41"/>
  <c r="W9" i="41"/>
  <c r="Y9" i="41" s="1"/>
  <c r="AB9" i="41" s="1"/>
  <c r="X11" i="41"/>
  <c r="W11" i="41"/>
  <c r="Y11" i="41" s="1"/>
  <c r="AB11" i="41" s="1"/>
  <c r="W13" i="41"/>
  <c r="Y13" i="41" s="1"/>
  <c r="AB13" i="41" s="1"/>
  <c r="X13" i="41"/>
  <c r="W20" i="41"/>
  <c r="Y20" i="41" s="1"/>
  <c r="AB20" i="41" s="1"/>
  <c r="X20" i="41"/>
  <c r="X25" i="41"/>
  <c r="W25" i="41"/>
  <c r="Y25" i="41" s="1"/>
  <c r="AB25" i="41" s="1"/>
  <c r="X29" i="41"/>
  <c r="W29" i="41"/>
  <c r="Y29" i="41" s="1"/>
  <c r="AB29" i="41" s="1"/>
  <c r="X12" i="41"/>
  <c r="W12" i="41"/>
  <c r="Y12" i="41" s="1"/>
  <c r="AB12" i="41" s="1"/>
  <c r="X14" i="41"/>
  <c r="W14" i="41"/>
  <c r="Y14" i="41" s="1"/>
  <c r="AB14" i="41" s="1"/>
  <c r="W16" i="41"/>
  <c r="Y16" i="41" s="1"/>
  <c r="AB16" i="41" s="1"/>
  <c r="X16" i="41"/>
  <c r="X18" i="41"/>
  <c r="W18" i="41"/>
  <c r="Y18" i="41" s="1"/>
  <c r="AB18" i="41" s="1"/>
  <c r="X28" i="41"/>
  <c r="W28" i="41"/>
  <c r="Y28" i="41" s="1"/>
  <c r="AB28" i="41" s="1"/>
  <c r="W10" i="41"/>
  <c r="Y10" i="41" s="1"/>
  <c r="AB10" i="41" s="1"/>
  <c r="X10" i="41"/>
  <c r="X15" i="41"/>
  <c r="W15" i="41"/>
  <c r="Y15" i="41" s="1"/>
  <c r="AB15" i="41" s="1"/>
  <c r="W19" i="41"/>
  <c r="Y19" i="41" s="1"/>
  <c r="AB19" i="41" s="1"/>
  <c r="X19" i="41"/>
  <c r="X21" i="41"/>
  <c r="W21" i="41"/>
  <c r="Y21" i="41" s="1"/>
  <c r="AB21" i="41" s="1"/>
  <c r="W23" i="41"/>
  <c r="Y23" i="41" s="1"/>
  <c r="AB23" i="41" s="1"/>
  <c r="X23" i="41"/>
  <c r="W27" i="41"/>
  <c r="Y27" i="41" s="1"/>
  <c r="AB27" i="41" s="1"/>
  <c r="X27" i="41"/>
  <c r="W17" i="41"/>
  <c r="Y17" i="41" s="1"/>
  <c r="AB17" i="41" s="1"/>
  <c r="X17" i="41"/>
  <c r="X22" i="41"/>
  <c r="W22" i="41"/>
  <c r="Y22" i="41" s="1"/>
  <c r="AB22" i="41" s="1"/>
  <c r="X24" i="41"/>
  <c r="W24" i="41"/>
  <c r="Y24" i="41" s="1"/>
  <c r="AB24" i="41" s="1"/>
  <c r="W26" i="41"/>
  <c r="Y26" i="41" s="1"/>
  <c r="AB26" i="41" s="1"/>
  <c r="X26" i="41"/>
  <c r="W30" i="41"/>
  <c r="Y30" i="41" s="1"/>
  <c r="AB30" i="41" s="1"/>
  <c r="X30" i="41"/>
  <c r="S17" i="39"/>
  <c r="W7" i="39"/>
  <c r="U7" i="39"/>
  <c r="W26" i="39"/>
  <c r="U26" i="39"/>
  <c r="S12" i="39"/>
  <c r="S22" i="39"/>
  <c r="W17" i="39" l="1"/>
  <c r="U17" i="39"/>
  <c r="U22" i="39"/>
  <c r="W22" i="39"/>
  <c r="U12" i="39"/>
  <c r="W12" i="39"/>
  <c r="AA40" i="36" l="1"/>
  <c r="S40" i="36"/>
  <c r="R40" i="36"/>
  <c r="Q40" i="36"/>
  <c r="P40" i="36"/>
  <c r="O40" i="36"/>
  <c r="N40" i="36"/>
  <c r="T40" i="36" s="1"/>
  <c r="M40" i="36"/>
  <c r="E40" i="36"/>
  <c r="D40" i="36"/>
  <c r="AA39" i="36"/>
  <c r="S39" i="36"/>
  <c r="R39" i="36"/>
  <c r="Q39" i="36"/>
  <c r="P39" i="36"/>
  <c r="O39" i="36"/>
  <c r="N39" i="36"/>
  <c r="M39" i="36"/>
  <c r="E39" i="36"/>
  <c r="D39" i="36"/>
  <c r="AA38" i="36"/>
  <c r="S38" i="36"/>
  <c r="R38" i="36"/>
  <c r="Q38" i="36"/>
  <c r="P38" i="36"/>
  <c r="O38" i="36"/>
  <c r="N38" i="36"/>
  <c r="M38" i="36"/>
  <c r="E38" i="36"/>
  <c r="D38" i="36"/>
  <c r="C38" i="36"/>
  <c r="B38" i="36"/>
  <c r="A38" i="36"/>
  <c r="AA37" i="36"/>
  <c r="S37" i="36"/>
  <c r="R37" i="36"/>
  <c r="Q37" i="36"/>
  <c r="P37" i="36"/>
  <c r="O37" i="36"/>
  <c r="N37" i="36"/>
  <c r="M37" i="36"/>
  <c r="E37" i="36"/>
  <c r="D37" i="36"/>
  <c r="AA36" i="36"/>
  <c r="S36" i="36"/>
  <c r="R36" i="36"/>
  <c r="Q36" i="36"/>
  <c r="P36" i="36"/>
  <c r="O36" i="36"/>
  <c r="N36" i="36"/>
  <c r="M36" i="36"/>
  <c r="T36" i="36" s="1"/>
  <c r="E36" i="36"/>
  <c r="D36" i="36"/>
  <c r="AA35" i="36"/>
  <c r="S35" i="36"/>
  <c r="R35" i="36"/>
  <c r="Q35" i="36"/>
  <c r="P35" i="36"/>
  <c r="O35" i="36"/>
  <c r="N35" i="36"/>
  <c r="M35" i="36"/>
  <c r="E35" i="36"/>
  <c r="D35" i="36"/>
  <c r="C35" i="36"/>
  <c r="B35" i="36"/>
  <c r="A35" i="36"/>
  <c r="AA34" i="36"/>
  <c r="S34" i="36"/>
  <c r="R34" i="36"/>
  <c r="Q34" i="36"/>
  <c r="P34" i="36"/>
  <c r="O34" i="36"/>
  <c r="N34" i="36"/>
  <c r="M34" i="36"/>
  <c r="E34" i="36"/>
  <c r="D34" i="36"/>
  <c r="AA33" i="36"/>
  <c r="S33" i="36"/>
  <c r="R33" i="36"/>
  <c r="Q33" i="36"/>
  <c r="P33" i="36"/>
  <c r="O33" i="36"/>
  <c r="N33" i="36"/>
  <c r="M33" i="36"/>
  <c r="E33" i="36"/>
  <c r="D33" i="36"/>
  <c r="AA32" i="36"/>
  <c r="S32" i="36"/>
  <c r="R32" i="36"/>
  <c r="Q32" i="36"/>
  <c r="P32" i="36"/>
  <c r="T32" i="36" s="1"/>
  <c r="O32" i="36"/>
  <c r="N32" i="36"/>
  <c r="M32" i="36"/>
  <c r="E32" i="36"/>
  <c r="D32" i="36"/>
  <c r="AA31" i="36"/>
  <c r="S31" i="36"/>
  <c r="R31" i="36"/>
  <c r="Q31" i="36"/>
  <c r="P31" i="36"/>
  <c r="O31" i="36"/>
  <c r="N31" i="36"/>
  <c r="M31" i="36"/>
  <c r="E31" i="36"/>
  <c r="D31" i="36"/>
  <c r="AA30" i="36"/>
  <c r="S30" i="36"/>
  <c r="R30" i="36"/>
  <c r="Q30" i="36"/>
  <c r="P30" i="36"/>
  <c r="O30" i="36"/>
  <c r="N30" i="36"/>
  <c r="T30" i="36" s="1"/>
  <c r="M30" i="36"/>
  <c r="E30" i="36"/>
  <c r="D30" i="36"/>
  <c r="AA29" i="36"/>
  <c r="S29" i="36"/>
  <c r="R29" i="36"/>
  <c r="Q29" i="36"/>
  <c r="P29" i="36"/>
  <c r="O29" i="36"/>
  <c r="N29" i="36"/>
  <c r="M29" i="36"/>
  <c r="E29" i="36"/>
  <c r="D29" i="36"/>
  <c r="C29" i="36"/>
  <c r="B29" i="36"/>
  <c r="A29" i="36"/>
  <c r="AA28" i="36"/>
  <c r="S28" i="36"/>
  <c r="R28" i="36"/>
  <c r="Q28" i="36"/>
  <c r="P28" i="36"/>
  <c r="O28" i="36"/>
  <c r="N28" i="36"/>
  <c r="M28" i="36"/>
  <c r="T28" i="36" s="1"/>
  <c r="E28" i="36"/>
  <c r="D28" i="36"/>
  <c r="AA27" i="36"/>
  <c r="S27" i="36"/>
  <c r="R27" i="36"/>
  <c r="Q27" i="36"/>
  <c r="P27" i="36"/>
  <c r="O27" i="36"/>
  <c r="N27" i="36"/>
  <c r="M27" i="36"/>
  <c r="E27" i="36"/>
  <c r="D27" i="36"/>
  <c r="AA26" i="36"/>
  <c r="S26" i="36"/>
  <c r="R26" i="36"/>
  <c r="Q26" i="36"/>
  <c r="P26" i="36"/>
  <c r="O26" i="36"/>
  <c r="N26" i="36"/>
  <c r="M26" i="36"/>
  <c r="T26" i="36" s="1"/>
  <c r="E26" i="36"/>
  <c r="D26" i="36"/>
  <c r="AA25" i="36"/>
  <c r="S25" i="36"/>
  <c r="R25" i="36"/>
  <c r="Q25" i="36"/>
  <c r="P25" i="36"/>
  <c r="O25" i="36"/>
  <c r="N25" i="36"/>
  <c r="M25" i="36"/>
  <c r="E25" i="36"/>
  <c r="D25" i="36"/>
  <c r="C25" i="36"/>
  <c r="B25" i="36"/>
  <c r="A25" i="36"/>
  <c r="AA24" i="36"/>
  <c r="S24" i="36"/>
  <c r="R24" i="36"/>
  <c r="Q24" i="36"/>
  <c r="P24" i="36"/>
  <c r="O24" i="36"/>
  <c r="N24" i="36"/>
  <c r="M24" i="36"/>
  <c r="E24" i="36"/>
  <c r="D24" i="36"/>
  <c r="AA23" i="36"/>
  <c r="S23" i="36"/>
  <c r="R23" i="36"/>
  <c r="Q23" i="36"/>
  <c r="P23" i="36"/>
  <c r="O23" i="36"/>
  <c r="N23" i="36"/>
  <c r="M23" i="36"/>
  <c r="E23" i="36"/>
  <c r="D23" i="36"/>
  <c r="C23" i="36"/>
  <c r="B23" i="36"/>
  <c r="A23" i="36"/>
  <c r="AA22" i="36"/>
  <c r="S22" i="36"/>
  <c r="R22" i="36"/>
  <c r="Q22" i="36"/>
  <c r="P22" i="36"/>
  <c r="O22" i="36"/>
  <c r="N22" i="36"/>
  <c r="M22" i="36"/>
  <c r="E22" i="36"/>
  <c r="D22" i="36"/>
  <c r="AA21" i="36"/>
  <c r="S21" i="36"/>
  <c r="R21" i="36"/>
  <c r="Q21" i="36"/>
  <c r="P21" i="36"/>
  <c r="O21" i="36"/>
  <c r="N21" i="36"/>
  <c r="M21" i="36"/>
  <c r="E21" i="36"/>
  <c r="D21" i="36"/>
  <c r="AA20" i="36"/>
  <c r="S20" i="36"/>
  <c r="R20" i="36"/>
  <c r="Q20" i="36"/>
  <c r="P20" i="36"/>
  <c r="O20" i="36"/>
  <c r="N20" i="36"/>
  <c r="M20" i="36"/>
  <c r="E20" i="36"/>
  <c r="D20" i="36"/>
  <c r="AA19" i="36"/>
  <c r="S19" i="36"/>
  <c r="R19" i="36"/>
  <c r="Q19" i="36"/>
  <c r="P19" i="36"/>
  <c r="O19" i="36"/>
  <c r="N19" i="36"/>
  <c r="M19" i="36"/>
  <c r="E19" i="36"/>
  <c r="D19" i="36"/>
  <c r="AA18" i="36"/>
  <c r="S18" i="36"/>
  <c r="R18" i="36"/>
  <c r="Q18" i="36"/>
  <c r="P18" i="36"/>
  <c r="O18" i="36"/>
  <c r="N18" i="36"/>
  <c r="M18" i="36"/>
  <c r="E18" i="36"/>
  <c r="D18" i="36"/>
  <c r="C18" i="36"/>
  <c r="B18" i="36"/>
  <c r="A18" i="36"/>
  <c r="AA17" i="36"/>
  <c r="S17" i="36"/>
  <c r="R17" i="36"/>
  <c r="Q17" i="36"/>
  <c r="P17" i="36"/>
  <c r="O17" i="36"/>
  <c r="N17" i="36"/>
  <c r="M17" i="36"/>
  <c r="T17" i="36" s="1"/>
  <c r="E17" i="36"/>
  <c r="D17" i="36"/>
  <c r="AA16" i="36"/>
  <c r="S16" i="36"/>
  <c r="R16" i="36"/>
  <c r="Q16" i="36"/>
  <c r="P16" i="36"/>
  <c r="O16" i="36"/>
  <c r="N16" i="36"/>
  <c r="M16" i="36"/>
  <c r="E16" i="36"/>
  <c r="D16" i="36"/>
  <c r="AA15" i="36"/>
  <c r="S15" i="36"/>
  <c r="R15" i="36"/>
  <c r="Q15" i="36"/>
  <c r="P15" i="36"/>
  <c r="O15" i="36"/>
  <c r="N15" i="36"/>
  <c r="M15" i="36"/>
  <c r="E15" i="36"/>
  <c r="D15" i="36"/>
  <c r="AA14" i="36"/>
  <c r="S14" i="36"/>
  <c r="R14" i="36"/>
  <c r="Q14" i="36"/>
  <c r="P14" i="36"/>
  <c r="O14" i="36"/>
  <c r="N14" i="36"/>
  <c r="T14" i="36" s="1"/>
  <c r="M14" i="36"/>
  <c r="E14" i="36"/>
  <c r="D14" i="36"/>
  <c r="AA13" i="36"/>
  <c r="S13" i="36"/>
  <c r="R13" i="36"/>
  <c r="Q13" i="36"/>
  <c r="P13" i="36"/>
  <c r="O13" i="36"/>
  <c r="N13" i="36"/>
  <c r="M13" i="36"/>
  <c r="E13" i="36"/>
  <c r="D13" i="36"/>
  <c r="C13" i="36"/>
  <c r="B13" i="36"/>
  <c r="A13" i="36"/>
  <c r="AA12" i="36"/>
  <c r="S12" i="36"/>
  <c r="R12" i="36"/>
  <c r="Q12" i="36"/>
  <c r="P12" i="36"/>
  <c r="O12" i="36"/>
  <c r="N12" i="36"/>
  <c r="M12" i="36"/>
  <c r="T12" i="36" s="1"/>
  <c r="E12" i="36"/>
  <c r="D12" i="36"/>
  <c r="AA11" i="36"/>
  <c r="S11" i="36"/>
  <c r="R11" i="36"/>
  <c r="Q11" i="36"/>
  <c r="P11" i="36"/>
  <c r="O11" i="36"/>
  <c r="N11" i="36"/>
  <c r="M11" i="36"/>
  <c r="E11" i="36"/>
  <c r="D11" i="36"/>
  <c r="AA10" i="36"/>
  <c r="S10" i="36"/>
  <c r="R10" i="36"/>
  <c r="Q10" i="36"/>
  <c r="P10" i="36"/>
  <c r="O10" i="36"/>
  <c r="N10" i="36"/>
  <c r="M10" i="36"/>
  <c r="T10" i="36" s="1"/>
  <c r="E10" i="36"/>
  <c r="D10" i="36"/>
  <c r="AA9" i="36"/>
  <c r="S9" i="36"/>
  <c r="R9" i="36"/>
  <c r="Q9" i="36"/>
  <c r="P9" i="36"/>
  <c r="O9" i="36"/>
  <c r="N9" i="36"/>
  <c r="M9" i="36"/>
  <c r="E9" i="36"/>
  <c r="D9" i="36"/>
  <c r="C9" i="36"/>
  <c r="B9" i="36"/>
  <c r="A9" i="36"/>
  <c r="D6" i="36" a="1"/>
  <c r="D6" i="36" s="1"/>
  <c r="D5" i="36" a="1"/>
  <c r="D5" i="36" s="1"/>
  <c r="X8" i="35"/>
  <c r="D8" i="35" s="1"/>
  <c r="C8" i="35" s="1"/>
  <c r="B8" i="35"/>
  <c r="A8" i="35"/>
  <c r="X7" i="35"/>
  <c r="D7" i="35"/>
  <c r="C7" i="35" s="1"/>
  <c r="B7" i="35"/>
  <c r="A7" i="35"/>
  <c r="P39" i="34"/>
  <c r="O39" i="34"/>
  <c r="N39" i="34"/>
  <c r="M39" i="34"/>
  <c r="P38" i="34"/>
  <c r="O38" i="34"/>
  <c r="N38" i="34"/>
  <c r="M38" i="34"/>
  <c r="P37" i="34"/>
  <c r="R37" i="34" s="1"/>
  <c r="T37" i="34" s="1"/>
  <c r="V37" i="34" s="1"/>
  <c r="O37" i="34"/>
  <c r="N37" i="34"/>
  <c r="M37" i="34"/>
  <c r="I37" i="34"/>
  <c r="H37" i="34"/>
  <c r="F37" i="34"/>
  <c r="E37" i="34"/>
  <c r="C37" i="34"/>
  <c r="B37" i="34"/>
  <c r="A37" i="34"/>
  <c r="P36" i="34"/>
  <c r="O36" i="34"/>
  <c r="N36" i="34"/>
  <c r="M36" i="34"/>
  <c r="P35" i="34"/>
  <c r="O35" i="34"/>
  <c r="N35" i="34"/>
  <c r="M35" i="34"/>
  <c r="P34" i="34"/>
  <c r="O34" i="34"/>
  <c r="N34" i="34"/>
  <c r="M34" i="34"/>
  <c r="P33" i="34"/>
  <c r="R33" i="34" s="1"/>
  <c r="O33" i="34"/>
  <c r="N33" i="34"/>
  <c r="M33" i="34"/>
  <c r="H33" i="34"/>
  <c r="F33" i="34"/>
  <c r="E33" i="34"/>
  <c r="C33" i="34"/>
  <c r="B33" i="34"/>
  <c r="A33" i="34"/>
  <c r="P32" i="34"/>
  <c r="O32" i="34"/>
  <c r="N32" i="34"/>
  <c r="M32" i="34"/>
  <c r="P31" i="34"/>
  <c r="O31" i="34"/>
  <c r="N31" i="34"/>
  <c r="M31" i="34"/>
  <c r="P30" i="34"/>
  <c r="O30" i="34"/>
  <c r="N30" i="34"/>
  <c r="M30" i="34"/>
  <c r="P29" i="34"/>
  <c r="O29" i="34"/>
  <c r="N29" i="34"/>
  <c r="M29" i="34"/>
  <c r="P28" i="34"/>
  <c r="O28" i="34"/>
  <c r="N28" i="34"/>
  <c r="M28" i="34"/>
  <c r="P27" i="34"/>
  <c r="R27" i="34" s="1"/>
  <c r="O27" i="34"/>
  <c r="Q27" i="34" s="1"/>
  <c r="N27" i="34"/>
  <c r="M27" i="34"/>
  <c r="H27" i="34"/>
  <c r="F27" i="34"/>
  <c r="E27" i="34"/>
  <c r="C27" i="34"/>
  <c r="B27" i="34"/>
  <c r="A27" i="34"/>
  <c r="P26" i="34"/>
  <c r="O26" i="34"/>
  <c r="N26" i="34"/>
  <c r="M26" i="34"/>
  <c r="P25" i="34"/>
  <c r="O25" i="34"/>
  <c r="N25" i="34"/>
  <c r="M25" i="34"/>
  <c r="P24" i="34"/>
  <c r="O24" i="34"/>
  <c r="N24" i="34"/>
  <c r="M24" i="34"/>
  <c r="P23" i="34"/>
  <c r="R23" i="34" s="1"/>
  <c r="O23" i="34"/>
  <c r="N23" i="34"/>
  <c r="M23" i="34"/>
  <c r="H23" i="34"/>
  <c r="F23" i="34"/>
  <c r="E23" i="34"/>
  <c r="C23" i="34"/>
  <c r="B23" i="34"/>
  <c r="A23" i="34"/>
  <c r="P22" i="34"/>
  <c r="O22" i="34"/>
  <c r="N22" i="34"/>
  <c r="M22" i="34"/>
  <c r="P21" i="34"/>
  <c r="R21" i="34" s="1"/>
  <c r="T21" i="34" s="1"/>
  <c r="V21" i="34" s="1"/>
  <c r="O21" i="34"/>
  <c r="Q21" i="34" s="1"/>
  <c r="N21" i="34"/>
  <c r="M21" i="34"/>
  <c r="H21" i="34"/>
  <c r="F21" i="34"/>
  <c r="E21" i="34"/>
  <c r="S21" i="34" s="1"/>
  <c r="C21" i="34"/>
  <c r="B21" i="34"/>
  <c r="A21" i="34"/>
  <c r="P20" i="34"/>
  <c r="O20" i="34"/>
  <c r="N20" i="34"/>
  <c r="M20" i="34"/>
  <c r="P19" i="34"/>
  <c r="O19" i="34"/>
  <c r="N19" i="34"/>
  <c r="M19" i="34"/>
  <c r="P18" i="34"/>
  <c r="O18" i="34"/>
  <c r="N18" i="34"/>
  <c r="M18" i="34"/>
  <c r="P17" i="34"/>
  <c r="O17" i="34"/>
  <c r="N17" i="34"/>
  <c r="M17" i="34"/>
  <c r="P16" i="34"/>
  <c r="R16" i="34" s="1"/>
  <c r="O16" i="34"/>
  <c r="N16" i="34"/>
  <c r="M16" i="34"/>
  <c r="H16" i="34"/>
  <c r="F16" i="34"/>
  <c r="E16" i="34"/>
  <c r="C16" i="34"/>
  <c r="B16" i="34"/>
  <c r="A16" i="34"/>
  <c r="P15" i="34"/>
  <c r="O15" i="34"/>
  <c r="N15" i="34"/>
  <c r="M15" i="34"/>
  <c r="P14" i="34"/>
  <c r="O14" i="34"/>
  <c r="N14" i="34"/>
  <c r="M14" i="34"/>
  <c r="P13" i="34"/>
  <c r="O13" i="34"/>
  <c r="N13" i="34"/>
  <c r="M13" i="34"/>
  <c r="P12" i="34"/>
  <c r="O12" i="34"/>
  <c r="N12" i="34"/>
  <c r="M12" i="34"/>
  <c r="P11" i="34"/>
  <c r="R11" i="34" s="1"/>
  <c r="O11" i="34"/>
  <c r="Q11" i="34" s="1"/>
  <c r="N11" i="34"/>
  <c r="M11" i="34"/>
  <c r="H11" i="34"/>
  <c r="F11" i="34"/>
  <c r="E11" i="34"/>
  <c r="C11" i="34"/>
  <c r="B11" i="34"/>
  <c r="A11" i="34"/>
  <c r="P10" i="34"/>
  <c r="O10" i="34"/>
  <c r="N10" i="34"/>
  <c r="M10" i="34"/>
  <c r="P9" i="34"/>
  <c r="O9" i="34"/>
  <c r="N9" i="34"/>
  <c r="M9" i="34"/>
  <c r="P8" i="34"/>
  <c r="O8" i="34"/>
  <c r="N8" i="34"/>
  <c r="M8" i="34"/>
  <c r="P7" i="34"/>
  <c r="R7" i="34" s="1"/>
  <c r="O7" i="34"/>
  <c r="N7" i="34"/>
  <c r="M7" i="34"/>
  <c r="H7" i="34"/>
  <c r="F7" i="34"/>
  <c r="E7" i="34"/>
  <c r="C7" i="34"/>
  <c r="B7" i="34"/>
  <c r="A7" i="34"/>
  <c r="N16" i="33"/>
  <c r="N15" i="33"/>
  <c r="N14" i="33"/>
  <c r="N13" i="33"/>
  <c r="N12" i="33"/>
  <c r="N11" i="33"/>
  <c r="N10" i="33"/>
  <c r="N9" i="33"/>
  <c r="Q16" i="34" l="1"/>
  <c r="I21" i="34"/>
  <c r="I23" i="34"/>
  <c r="I27" i="34"/>
  <c r="Q37" i="34"/>
  <c r="T9" i="36"/>
  <c r="T13" i="36"/>
  <c r="T15" i="36"/>
  <c r="T21" i="36"/>
  <c r="T25" i="36"/>
  <c r="T29" i="36"/>
  <c r="T31" i="36"/>
  <c r="T33" i="36"/>
  <c r="T37" i="36"/>
  <c r="Q33" i="34"/>
  <c r="T16" i="36"/>
  <c r="T18" i="36"/>
  <c r="T20" i="36"/>
  <c r="T22" i="36"/>
  <c r="T24" i="36"/>
  <c r="T11" i="36"/>
  <c r="T19" i="36"/>
  <c r="T23" i="36"/>
  <c r="T27" i="36"/>
  <c r="T35" i="36"/>
  <c r="T39" i="36"/>
  <c r="I7" i="34"/>
  <c r="I11" i="34"/>
  <c r="S27" i="34"/>
  <c r="T34" i="36"/>
  <c r="T38" i="36"/>
  <c r="T16" i="34"/>
  <c r="V16" i="34" s="1"/>
  <c r="S37" i="34"/>
  <c r="T7" i="34"/>
  <c r="V7" i="34" s="1"/>
  <c r="T11" i="34"/>
  <c r="V11" i="34" s="1"/>
  <c r="I16" i="34"/>
  <c r="T23" i="34"/>
  <c r="V23" i="34" s="1"/>
  <c r="Q23" i="34"/>
  <c r="T27" i="34"/>
  <c r="V27" i="34" s="1"/>
  <c r="I33" i="34"/>
  <c r="T33" i="34"/>
  <c r="V33" i="34" s="1"/>
  <c r="Q7" i="34"/>
  <c r="W11" i="36"/>
  <c r="Y11" i="36" s="1"/>
  <c r="AB11" i="36" s="1"/>
  <c r="X11" i="36"/>
  <c r="X19" i="36"/>
  <c r="W19" i="36"/>
  <c r="Y19" i="36" s="1"/>
  <c r="AB19" i="36" s="1"/>
  <c r="W23" i="36"/>
  <c r="Y23" i="36" s="1"/>
  <c r="AB23" i="36" s="1"/>
  <c r="X23" i="36"/>
  <c r="W27" i="36"/>
  <c r="Y27" i="36" s="1"/>
  <c r="AB27" i="36" s="1"/>
  <c r="X27" i="36"/>
  <c r="X35" i="36"/>
  <c r="W35" i="36"/>
  <c r="Y35" i="36" s="1"/>
  <c r="AB35" i="36" s="1"/>
  <c r="X10" i="36"/>
  <c r="W10" i="36"/>
  <c r="Y10" i="36" s="1"/>
  <c r="AB10" i="36" s="1"/>
  <c r="X12" i="36"/>
  <c r="W12" i="36"/>
  <c r="Y12" i="36" s="1"/>
  <c r="AB12" i="36" s="1"/>
  <c r="W14" i="36"/>
  <c r="Y14" i="36" s="1"/>
  <c r="AB14" i="36" s="1"/>
  <c r="X14" i="36"/>
  <c r="X26" i="36"/>
  <c r="W26" i="36"/>
  <c r="Y26" i="36" s="1"/>
  <c r="AB26" i="36" s="1"/>
  <c r="X28" i="36"/>
  <c r="W28" i="36"/>
  <c r="Y28" i="36" s="1"/>
  <c r="AB28" i="36" s="1"/>
  <c r="W30" i="36"/>
  <c r="Y30" i="36" s="1"/>
  <c r="AB30" i="36" s="1"/>
  <c r="X30" i="36"/>
  <c r="W34" i="36"/>
  <c r="Y34" i="36" s="1"/>
  <c r="AB34" i="36" s="1"/>
  <c r="X34" i="36"/>
  <c r="X38" i="36"/>
  <c r="W38" i="36"/>
  <c r="Y38" i="36" s="1"/>
  <c r="AB38" i="36" s="1"/>
  <c r="X9" i="36"/>
  <c r="W9" i="36"/>
  <c r="Y9" i="36" s="1"/>
  <c r="AB9" i="36" s="1"/>
  <c r="X13" i="36"/>
  <c r="W13" i="36"/>
  <c r="Y13" i="36" s="1"/>
  <c r="AB13" i="36" s="1"/>
  <c r="X15" i="36"/>
  <c r="W15" i="36"/>
  <c r="Y15" i="36" s="1"/>
  <c r="AB15" i="36" s="1"/>
  <c r="W17" i="36"/>
  <c r="Y17" i="36" s="1"/>
  <c r="AB17" i="36" s="1"/>
  <c r="X17" i="36"/>
  <c r="W21" i="36"/>
  <c r="Y21" i="36" s="1"/>
  <c r="AB21" i="36" s="1"/>
  <c r="X21" i="36"/>
  <c r="X25" i="36"/>
  <c r="W25" i="36"/>
  <c r="Y25" i="36" s="1"/>
  <c r="AB25" i="36" s="1"/>
  <c r="X29" i="36"/>
  <c r="W29" i="36"/>
  <c r="Y29" i="36" s="1"/>
  <c r="AB29" i="36" s="1"/>
  <c r="X31" i="36"/>
  <c r="W31" i="36"/>
  <c r="Y31" i="36" s="1"/>
  <c r="AB31" i="36" s="1"/>
  <c r="X33" i="36"/>
  <c r="W33" i="36"/>
  <c r="Y33" i="36" s="1"/>
  <c r="AB33" i="36" s="1"/>
  <c r="W37" i="36"/>
  <c r="Y37" i="36" s="1"/>
  <c r="AB37" i="36" s="1"/>
  <c r="X37" i="36"/>
  <c r="X16" i="36"/>
  <c r="W16" i="36"/>
  <c r="Y16" i="36" s="1"/>
  <c r="AB16" i="36" s="1"/>
  <c r="X18" i="36"/>
  <c r="W18" i="36"/>
  <c r="Y18" i="36" s="1"/>
  <c r="AB18" i="36" s="1"/>
  <c r="W20" i="36"/>
  <c r="Y20" i="36" s="1"/>
  <c r="AB20" i="36" s="1"/>
  <c r="X20" i="36"/>
  <c r="X22" i="36"/>
  <c r="W22" i="36"/>
  <c r="Y22" i="36" s="1"/>
  <c r="AB22" i="36" s="1"/>
  <c r="W24" i="36"/>
  <c r="Y24" i="36" s="1"/>
  <c r="AB24" i="36" s="1"/>
  <c r="X24" i="36"/>
  <c r="X32" i="36"/>
  <c r="W32" i="36"/>
  <c r="Y32" i="36" s="1"/>
  <c r="AB32" i="36" s="1"/>
  <c r="X36" i="36"/>
  <c r="W36" i="36"/>
  <c r="Y36" i="36" s="1"/>
  <c r="AB36" i="36" s="1"/>
  <c r="W40" i="36"/>
  <c r="Y40" i="36" s="1"/>
  <c r="AB40" i="36" s="1"/>
  <c r="X40" i="36"/>
  <c r="X39" i="36"/>
  <c r="W39" i="36"/>
  <c r="Y39" i="36" s="1"/>
  <c r="AB39" i="36" s="1"/>
  <c r="S11" i="34"/>
  <c r="W21" i="34"/>
  <c r="U21" i="34"/>
  <c r="U27" i="34"/>
  <c r="W37" i="34"/>
  <c r="U37" i="34"/>
  <c r="S7" i="34"/>
  <c r="S16" i="34"/>
  <c r="S23" i="34"/>
  <c r="S33" i="34"/>
  <c r="W27" i="34" l="1"/>
  <c r="U7" i="34"/>
  <c r="W7" i="34"/>
  <c r="U33" i="34"/>
  <c r="W33" i="34"/>
  <c r="U23" i="34"/>
  <c r="W23" i="34"/>
  <c r="U16" i="34"/>
  <c r="W16" i="34"/>
  <c r="W11" i="34"/>
  <c r="U11" i="34"/>
  <c r="AA21" i="31" l="1"/>
  <c r="S21" i="31"/>
  <c r="R21" i="31"/>
  <c r="Q21" i="31"/>
  <c r="P21" i="31"/>
  <c r="O21" i="31"/>
  <c r="N21" i="31"/>
  <c r="T21" i="31" s="1"/>
  <c r="M21" i="31"/>
  <c r="E21" i="31"/>
  <c r="D21" i="31"/>
  <c r="AA20" i="31"/>
  <c r="S20" i="31"/>
  <c r="R20" i="31"/>
  <c r="Q20" i="31"/>
  <c r="P20" i="31"/>
  <c r="O20" i="31"/>
  <c r="N20" i="31"/>
  <c r="M20" i="31"/>
  <c r="E20" i="31"/>
  <c r="D20" i="31"/>
  <c r="AA19" i="31"/>
  <c r="S19" i="31"/>
  <c r="R19" i="31"/>
  <c r="Q19" i="31"/>
  <c r="P19" i="31"/>
  <c r="O19" i="31"/>
  <c r="N19" i="31"/>
  <c r="M19" i="31"/>
  <c r="E19" i="31"/>
  <c r="D19" i="31"/>
  <c r="AA18" i="31"/>
  <c r="S18" i="31"/>
  <c r="R18" i="31"/>
  <c r="Q18" i="31"/>
  <c r="P18" i="31"/>
  <c r="O18" i="31"/>
  <c r="N18" i="31"/>
  <c r="M18" i="31"/>
  <c r="E18" i="31"/>
  <c r="D18" i="31"/>
  <c r="C18" i="31"/>
  <c r="B18" i="31"/>
  <c r="A18" i="31"/>
  <c r="AA17" i="31"/>
  <c r="S17" i="31"/>
  <c r="R17" i="31"/>
  <c r="Q17" i="31"/>
  <c r="P17" i="31"/>
  <c r="O17" i="31"/>
  <c r="N17" i="31"/>
  <c r="M17" i="31"/>
  <c r="T17" i="31" s="1"/>
  <c r="E17" i="31"/>
  <c r="D17" i="31"/>
  <c r="AA16" i="31"/>
  <c r="S16" i="31"/>
  <c r="R16" i="31"/>
  <c r="Q16" i="31"/>
  <c r="P16" i="31"/>
  <c r="O16" i="31"/>
  <c r="N16" i="31"/>
  <c r="M16" i="31"/>
  <c r="E16" i="31"/>
  <c r="D16" i="31"/>
  <c r="AA15" i="31"/>
  <c r="S15" i="31"/>
  <c r="R15" i="31"/>
  <c r="Q15" i="31"/>
  <c r="P15" i="31"/>
  <c r="O15" i="31"/>
  <c r="N15" i="31"/>
  <c r="M15" i="31"/>
  <c r="E15" i="31"/>
  <c r="D15" i="31"/>
  <c r="AA14" i="31"/>
  <c r="S14" i="31"/>
  <c r="R14" i="31"/>
  <c r="Q14" i="31"/>
  <c r="P14" i="31"/>
  <c r="O14" i="31"/>
  <c r="N14" i="31"/>
  <c r="T14" i="31" s="1"/>
  <c r="M14" i="31"/>
  <c r="E14" i="31"/>
  <c r="D14" i="31"/>
  <c r="AA13" i="31"/>
  <c r="S13" i="31"/>
  <c r="R13" i="31"/>
  <c r="Q13" i="31"/>
  <c r="P13" i="31"/>
  <c r="O13" i="31"/>
  <c r="N13" i="31"/>
  <c r="M13" i="31"/>
  <c r="E13" i="31"/>
  <c r="D13" i="31"/>
  <c r="C13" i="31"/>
  <c r="B13" i="31"/>
  <c r="A13" i="31"/>
  <c r="AA12" i="31"/>
  <c r="S12" i="31"/>
  <c r="R12" i="31"/>
  <c r="Q12" i="31"/>
  <c r="P12" i="31"/>
  <c r="O12" i="31"/>
  <c r="N12" i="31"/>
  <c r="M12" i="31"/>
  <c r="T12" i="31" s="1"/>
  <c r="E12" i="31"/>
  <c r="D12" i="31"/>
  <c r="AA11" i="31"/>
  <c r="S11" i="31"/>
  <c r="R11" i="31"/>
  <c r="Q11" i="31"/>
  <c r="P11" i="31"/>
  <c r="O11" i="31"/>
  <c r="N11" i="31"/>
  <c r="M11" i="31"/>
  <c r="E11" i="31"/>
  <c r="D11" i="31"/>
  <c r="AA10" i="31"/>
  <c r="S10" i="31"/>
  <c r="R10" i="31"/>
  <c r="Q10" i="31"/>
  <c r="P10" i="31"/>
  <c r="O10" i="31"/>
  <c r="N10" i="31"/>
  <c r="M10" i="31"/>
  <c r="T10" i="31" s="1"/>
  <c r="E10" i="31"/>
  <c r="D10" i="31"/>
  <c r="AA9" i="31"/>
  <c r="S9" i="31"/>
  <c r="R9" i="31"/>
  <c r="Q9" i="31"/>
  <c r="P9" i="31"/>
  <c r="O9" i="31"/>
  <c r="N9" i="31"/>
  <c r="M9" i="31"/>
  <c r="E9" i="31"/>
  <c r="D9" i="31"/>
  <c r="C9" i="31"/>
  <c r="B9" i="31"/>
  <c r="A9" i="31"/>
  <c r="D6" i="31" a="1"/>
  <c r="D6" i="31" s="1"/>
  <c r="D5" i="31" a="1"/>
  <c r="D5" i="31" s="1"/>
  <c r="X7" i="30"/>
  <c r="D7" i="30" s="1"/>
  <c r="C7" i="30" s="1"/>
  <c r="B7" i="30"/>
  <c r="A7" i="30"/>
  <c r="P19" i="29"/>
  <c r="O19" i="29"/>
  <c r="N19" i="29"/>
  <c r="M19" i="29"/>
  <c r="P18" i="29"/>
  <c r="O18" i="29"/>
  <c r="N18" i="29"/>
  <c r="M18" i="29"/>
  <c r="P17" i="29"/>
  <c r="O17" i="29"/>
  <c r="N17" i="29"/>
  <c r="M17" i="29"/>
  <c r="P16" i="29"/>
  <c r="R16" i="29" s="1"/>
  <c r="O16" i="29"/>
  <c r="Q16" i="29" s="1"/>
  <c r="N16" i="29"/>
  <c r="M16" i="29"/>
  <c r="H16" i="29"/>
  <c r="F16" i="29"/>
  <c r="E16" i="29"/>
  <c r="C16" i="29"/>
  <c r="B16" i="29"/>
  <c r="A16" i="29"/>
  <c r="P15" i="29"/>
  <c r="O15" i="29"/>
  <c r="N15" i="29"/>
  <c r="M15" i="29"/>
  <c r="P14" i="29"/>
  <c r="O14" i="29"/>
  <c r="N14" i="29"/>
  <c r="M14" i="29"/>
  <c r="P13" i="29"/>
  <c r="O13" i="29"/>
  <c r="N13" i="29"/>
  <c r="M13" i="29"/>
  <c r="P12" i="29"/>
  <c r="O12" i="29"/>
  <c r="N12" i="29"/>
  <c r="M12" i="29"/>
  <c r="P11" i="29"/>
  <c r="R11" i="29" s="1"/>
  <c r="O11" i="29"/>
  <c r="Q11" i="29" s="1"/>
  <c r="N11" i="29"/>
  <c r="M11" i="29"/>
  <c r="H11" i="29"/>
  <c r="F11" i="29"/>
  <c r="E11" i="29"/>
  <c r="I11" i="29" s="1"/>
  <c r="C11" i="29"/>
  <c r="B11" i="29"/>
  <c r="A11" i="29"/>
  <c r="P10" i="29"/>
  <c r="O10" i="29"/>
  <c r="N10" i="29"/>
  <c r="M10" i="29"/>
  <c r="P9" i="29"/>
  <c r="O9" i="29"/>
  <c r="N9" i="29"/>
  <c r="M9" i="29"/>
  <c r="P8" i="29"/>
  <c r="O8" i="29"/>
  <c r="N8" i="29"/>
  <c r="M8" i="29"/>
  <c r="Q7" i="29"/>
  <c r="P7" i="29"/>
  <c r="O7" i="29"/>
  <c r="N7" i="29"/>
  <c r="M7" i="29"/>
  <c r="H7" i="29"/>
  <c r="F7" i="29"/>
  <c r="E7" i="29"/>
  <c r="S7" i="29" s="1"/>
  <c r="C7" i="29"/>
  <c r="B7" i="29"/>
  <c r="A7" i="29"/>
  <c r="N11" i="28"/>
  <c r="N10" i="28"/>
  <c r="N9" i="28"/>
  <c r="AA22" i="26"/>
  <c r="S22" i="26"/>
  <c r="R22" i="26"/>
  <c r="Q22" i="26"/>
  <c r="P22" i="26"/>
  <c r="O22" i="26"/>
  <c r="N22" i="26"/>
  <c r="M22" i="26"/>
  <c r="E22" i="26"/>
  <c r="D22" i="26"/>
  <c r="AA21" i="26"/>
  <c r="S21" i="26"/>
  <c r="R21" i="26"/>
  <c r="Q21" i="26"/>
  <c r="P21" i="26"/>
  <c r="O21" i="26"/>
  <c r="N21" i="26"/>
  <c r="M21" i="26"/>
  <c r="E21" i="26"/>
  <c r="D21" i="26"/>
  <c r="AA20" i="26"/>
  <c r="S20" i="26"/>
  <c r="R20" i="26"/>
  <c r="Q20" i="26"/>
  <c r="P20" i="26"/>
  <c r="O20" i="26"/>
  <c r="N20" i="26"/>
  <c r="M20" i="26"/>
  <c r="E20" i="26"/>
  <c r="D20" i="26"/>
  <c r="AA19" i="26"/>
  <c r="S19" i="26"/>
  <c r="R19" i="26"/>
  <c r="Q19" i="26"/>
  <c r="P19" i="26"/>
  <c r="O19" i="26"/>
  <c r="N19" i="26"/>
  <c r="M19" i="26"/>
  <c r="E19" i="26"/>
  <c r="D19" i="26"/>
  <c r="AA18" i="26"/>
  <c r="S18" i="26"/>
  <c r="R18" i="26"/>
  <c r="Q18" i="26"/>
  <c r="P18" i="26"/>
  <c r="O18" i="26"/>
  <c r="N18" i="26"/>
  <c r="M18" i="26"/>
  <c r="E18" i="26"/>
  <c r="D18" i="26"/>
  <c r="C18" i="26"/>
  <c r="B18" i="26"/>
  <c r="A18" i="26"/>
  <c r="AA17" i="26"/>
  <c r="S17" i="26"/>
  <c r="R17" i="26"/>
  <c r="Q17" i="26"/>
  <c r="P17" i="26"/>
  <c r="O17" i="26"/>
  <c r="N17" i="26"/>
  <c r="M17" i="26"/>
  <c r="E17" i="26"/>
  <c r="D17" i="26"/>
  <c r="AA16" i="26"/>
  <c r="S16" i="26"/>
  <c r="R16" i="26"/>
  <c r="Q16" i="26"/>
  <c r="P16" i="26"/>
  <c r="O16" i="26"/>
  <c r="N16" i="26"/>
  <c r="M16" i="26"/>
  <c r="T16" i="26" s="1"/>
  <c r="E16" i="26"/>
  <c r="D16" i="26"/>
  <c r="AA15" i="26"/>
  <c r="S15" i="26"/>
  <c r="R15" i="26"/>
  <c r="Q15" i="26"/>
  <c r="P15" i="26"/>
  <c r="O15" i="26"/>
  <c r="N15" i="26"/>
  <c r="M15" i="26"/>
  <c r="E15" i="26"/>
  <c r="D15" i="26"/>
  <c r="AA14" i="26"/>
  <c r="S14" i="26"/>
  <c r="R14" i="26"/>
  <c r="Q14" i="26"/>
  <c r="P14" i="26"/>
  <c r="O14" i="26"/>
  <c r="N14" i="26"/>
  <c r="M14" i="26"/>
  <c r="E14" i="26"/>
  <c r="D14" i="26"/>
  <c r="C14" i="26"/>
  <c r="B14" i="26"/>
  <c r="A14" i="26"/>
  <c r="AA13" i="26"/>
  <c r="S13" i="26"/>
  <c r="R13" i="26"/>
  <c r="Q13" i="26"/>
  <c r="P13" i="26"/>
  <c r="O13" i="26"/>
  <c r="N13" i="26"/>
  <c r="M13" i="26"/>
  <c r="E13" i="26"/>
  <c r="D13" i="26"/>
  <c r="AA12" i="26"/>
  <c r="S12" i="26"/>
  <c r="R12" i="26"/>
  <c r="Q12" i="26"/>
  <c r="P12" i="26"/>
  <c r="O12" i="26"/>
  <c r="N12" i="26"/>
  <c r="M12" i="26"/>
  <c r="T12" i="26" s="1"/>
  <c r="E12" i="26"/>
  <c r="D12" i="26"/>
  <c r="AA11" i="26"/>
  <c r="S11" i="26"/>
  <c r="R11" i="26"/>
  <c r="Q11" i="26"/>
  <c r="P11" i="26"/>
  <c r="O11" i="26"/>
  <c r="N11" i="26"/>
  <c r="M11" i="26"/>
  <c r="E11" i="26"/>
  <c r="D11" i="26"/>
  <c r="AA10" i="26"/>
  <c r="S10" i="26"/>
  <c r="R10" i="26"/>
  <c r="Q10" i="26"/>
  <c r="P10" i="26"/>
  <c r="T10" i="26" s="1"/>
  <c r="O10" i="26"/>
  <c r="N10" i="26"/>
  <c r="M10" i="26"/>
  <c r="E10" i="26"/>
  <c r="D10" i="26"/>
  <c r="AA9" i="26"/>
  <c r="S9" i="26"/>
  <c r="R9" i="26"/>
  <c r="Q9" i="26"/>
  <c r="P9" i="26"/>
  <c r="O9" i="26"/>
  <c r="N9" i="26"/>
  <c r="M9" i="26"/>
  <c r="E9" i="26"/>
  <c r="D9" i="26"/>
  <c r="C9" i="26"/>
  <c r="B9" i="26"/>
  <c r="A9" i="26"/>
  <c r="D6" i="26" a="1"/>
  <c r="D6" i="26" s="1"/>
  <c r="D5" i="26" a="1"/>
  <c r="D5" i="26" s="1"/>
  <c r="X7" i="25"/>
  <c r="D7" i="25" s="1"/>
  <c r="C7" i="25" s="1"/>
  <c r="B7" i="25"/>
  <c r="A7" i="25"/>
  <c r="P22" i="24"/>
  <c r="O22" i="24"/>
  <c r="N22" i="24"/>
  <c r="M22" i="24"/>
  <c r="P21" i="24"/>
  <c r="O21" i="24"/>
  <c r="N21" i="24"/>
  <c r="M21" i="24"/>
  <c r="P20" i="24"/>
  <c r="O20" i="24"/>
  <c r="N20" i="24"/>
  <c r="M20" i="24"/>
  <c r="P19" i="24"/>
  <c r="O19" i="24"/>
  <c r="N19" i="24"/>
  <c r="M19" i="24"/>
  <c r="P18" i="24"/>
  <c r="R18" i="24" s="1"/>
  <c r="O18" i="24"/>
  <c r="Q18" i="24" s="1"/>
  <c r="N18" i="24"/>
  <c r="M18" i="24"/>
  <c r="H18" i="24"/>
  <c r="F18" i="24"/>
  <c r="E18" i="24"/>
  <c r="I18" i="24" s="1"/>
  <c r="C18" i="24"/>
  <c r="B18" i="24"/>
  <c r="A18" i="24"/>
  <c r="P17" i="24"/>
  <c r="O17" i="24"/>
  <c r="N17" i="24"/>
  <c r="M17" i="24"/>
  <c r="P16" i="24"/>
  <c r="O16" i="24"/>
  <c r="N16" i="24"/>
  <c r="M16" i="24"/>
  <c r="P15" i="24"/>
  <c r="O15" i="24"/>
  <c r="N15" i="24"/>
  <c r="M15" i="24"/>
  <c r="P14" i="24"/>
  <c r="R14" i="24" s="1"/>
  <c r="O14" i="24"/>
  <c r="N14" i="24"/>
  <c r="M14" i="24"/>
  <c r="H14" i="24"/>
  <c r="F14" i="24"/>
  <c r="E14" i="24"/>
  <c r="C14" i="24"/>
  <c r="B14" i="24"/>
  <c r="A14" i="24"/>
  <c r="P13" i="24"/>
  <c r="O13" i="24"/>
  <c r="N13" i="24"/>
  <c r="M13" i="24"/>
  <c r="P12" i="24"/>
  <c r="O12" i="24"/>
  <c r="N12" i="24"/>
  <c r="M12" i="24"/>
  <c r="P11" i="24"/>
  <c r="O11" i="24"/>
  <c r="N11" i="24"/>
  <c r="M11" i="24"/>
  <c r="P10" i="24"/>
  <c r="O10" i="24"/>
  <c r="N10" i="24"/>
  <c r="M10" i="24"/>
  <c r="P9" i="24"/>
  <c r="O9" i="24"/>
  <c r="N9" i="24"/>
  <c r="M9" i="24"/>
  <c r="P8" i="24"/>
  <c r="O8" i="24"/>
  <c r="N8" i="24"/>
  <c r="M8" i="24"/>
  <c r="P7" i="24"/>
  <c r="R7" i="24" s="1"/>
  <c r="O7" i="24"/>
  <c r="Q7" i="24" s="1"/>
  <c r="N7" i="24"/>
  <c r="M7" i="24"/>
  <c r="H7" i="24"/>
  <c r="F7" i="24"/>
  <c r="E7" i="24"/>
  <c r="S7" i="24" s="1"/>
  <c r="C7" i="24"/>
  <c r="B7" i="24"/>
  <c r="A7" i="24"/>
  <c r="N11" i="23"/>
  <c r="N10" i="23"/>
  <c r="N9" i="23"/>
  <c r="T9" i="26" l="1"/>
  <c r="T11" i="26"/>
  <c r="T13" i="26"/>
  <c r="T18" i="26"/>
  <c r="T22" i="26"/>
  <c r="Q14" i="24"/>
  <c r="T18" i="24"/>
  <c r="V18" i="24" s="1"/>
  <c r="T14" i="26"/>
  <c r="I16" i="29"/>
  <c r="T9" i="31"/>
  <c r="T13" i="31"/>
  <c r="T15" i="31"/>
  <c r="T7" i="24"/>
  <c r="V7" i="24" s="1"/>
  <c r="T14" i="24"/>
  <c r="V14" i="24" s="1"/>
  <c r="T17" i="26"/>
  <c r="T19" i="26"/>
  <c r="T21" i="26"/>
  <c r="T16" i="31"/>
  <c r="T18" i="31"/>
  <c r="T20" i="31"/>
  <c r="T15" i="26"/>
  <c r="T20" i="26"/>
  <c r="T11" i="31"/>
  <c r="T19" i="31"/>
  <c r="T11" i="29"/>
  <c r="V11" i="29" s="1"/>
  <c r="T16" i="29"/>
  <c r="V16" i="29" s="1"/>
  <c r="I7" i="29"/>
  <c r="R7" i="29"/>
  <c r="T7" i="29" s="1"/>
  <c r="V7" i="29" s="1"/>
  <c r="S16" i="29"/>
  <c r="S11" i="29"/>
  <c r="U11" i="29" s="1"/>
  <c r="I7" i="24"/>
  <c r="I14" i="24"/>
  <c r="W11" i="31"/>
  <c r="Y11" i="31" s="1"/>
  <c r="AB11" i="31" s="1"/>
  <c r="X11" i="31"/>
  <c r="X19" i="31"/>
  <c r="W19" i="31"/>
  <c r="Y19" i="31" s="1"/>
  <c r="AB19" i="31" s="1"/>
  <c r="X10" i="31"/>
  <c r="W10" i="31"/>
  <c r="Y10" i="31" s="1"/>
  <c r="AB10" i="31" s="1"/>
  <c r="X12" i="31"/>
  <c r="W12" i="31"/>
  <c r="Y12" i="31" s="1"/>
  <c r="AB12" i="31" s="1"/>
  <c r="W14" i="31"/>
  <c r="Y14" i="31" s="1"/>
  <c r="AB14" i="31" s="1"/>
  <c r="X14" i="31"/>
  <c r="X9" i="31"/>
  <c r="W9" i="31"/>
  <c r="Y9" i="31" s="1"/>
  <c r="AB9" i="31" s="1"/>
  <c r="X13" i="31"/>
  <c r="W13" i="31"/>
  <c r="Y13" i="31" s="1"/>
  <c r="AB13" i="31" s="1"/>
  <c r="X15" i="31"/>
  <c r="W15" i="31"/>
  <c r="Y15" i="31" s="1"/>
  <c r="AB15" i="31" s="1"/>
  <c r="W17" i="31"/>
  <c r="Y17" i="31" s="1"/>
  <c r="AB17" i="31" s="1"/>
  <c r="X17" i="31"/>
  <c r="W21" i="31"/>
  <c r="Y21" i="31" s="1"/>
  <c r="AB21" i="31" s="1"/>
  <c r="X21" i="31"/>
  <c r="X16" i="31"/>
  <c r="W16" i="31"/>
  <c r="Y16" i="31" s="1"/>
  <c r="AB16" i="31" s="1"/>
  <c r="X18" i="31"/>
  <c r="W18" i="31"/>
  <c r="Y18" i="31" s="1"/>
  <c r="AB18" i="31" s="1"/>
  <c r="X20" i="31"/>
  <c r="W20" i="31"/>
  <c r="Y20" i="31" s="1"/>
  <c r="AB20" i="31" s="1"/>
  <c r="W7" i="29"/>
  <c r="U7" i="29"/>
  <c r="W11" i="29"/>
  <c r="W16" i="29"/>
  <c r="U16" i="29"/>
  <c r="W12" i="26"/>
  <c r="Y12" i="26" s="1"/>
  <c r="AB12" i="26" s="1"/>
  <c r="X12" i="26"/>
  <c r="X17" i="26"/>
  <c r="W17" i="26"/>
  <c r="Y17" i="26" s="1"/>
  <c r="AB17" i="26" s="1"/>
  <c r="X19" i="26"/>
  <c r="W19" i="26"/>
  <c r="Y19" i="26" s="1"/>
  <c r="AB19" i="26" s="1"/>
  <c r="W21" i="26"/>
  <c r="Y21" i="26" s="1"/>
  <c r="AB21" i="26" s="1"/>
  <c r="X21" i="26"/>
  <c r="W15" i="26"/>
  <c r="Y15" i="26" s="1"/>
  <c r="AB15" i="26" s="1"/>
  <c r="X15" i="26"/>
  <c r="X20" i="26"/>
  <c r="W20" i="26"/>
  <c r="Y20" i="26" s="1"/>
  <c r="AB20" i="26" s="1"/>
  <c r="X9" i="26"/>
  <c r="W9" i="26"/>
  <c r="Y9" i="26" s="1"/>
  <c r="AB9" i="26" s="1"/>
  <c r="W11" i="26"/>
  <c r="Y11" i="26" s="1"/>
  <c r="AB11" i="26" s="1"/>
  <c r="X11" i="26"/>
  <c r="X13" i="26"/>
  <c r="W13" i="26"/>
  <c r="Y13" i="26" s="1"/>
  <c r="AB13" i="26" s="1"/>
  <c r="W18" i="26"/>
  <c r="Y18" i="26" s="1"/>
  <c r="AB18" i="26" s="1"/>
  <c r="X18" i="26"/>
  <c r="W22" i="26"/>
  <c r="Y22" i="26" s="1"/>
  <c r="AB22" i="26" s="1"/>
  <c r="X22" i="26"/>
  <c r="X10" i="26"/>
  <c r="W10" i="26"/>
  <c r="Y10" i="26" s="1"/>
  <c r="AB10" i="26" s="1"/>
  <c r="X14" i="26"/>
  <c r="W14" i="26"/>
  <c r="Y14" i="26" s="1"/>
  <c r="AB14" i="26" s="1"/>
  <c r="X16" i="26"/>
  <c r="W16" i="26"/>
  <c r="Y16" i="26" s="1"/>
  <c r="AB16" i="26" s="1"/>
  <c r="W7" i="24"/>
  <c r="U7" i="24"/>
  <c r="S18" i="24"/>
  <c r="S14" i="24"/>
  <c r="U14" i="24" l="1"/>
  <c r="W14" i="24"/>
  <c r="W18" i="24"/>
  <c r="U18" i="24"/>
  <c r="AA27" i="21" l="1"/>
  <c r="S27" i="21"/>
  <c r="R27" i="21"/>
  <c r="Q27" i="21"/>
  <c r="P27" i="21"/>
  <c r="O27" i="21"/>
  <c r="N27" i="21"/>
  <c r="T27" i="21" s="1"/>
  <c r="M27" i="21"/>
  <c r="E27" i="21"/>
  <c r="D27" i="21"/>
  <c r="AA26" i="21"/>
  <c r="S26" i="21"/>
  <c r="R26" i="21"/>
  <c r="Q26" i="21"/>
  <c r="P26" i="21"/>
  <c r="O26" i="21"/>
  <c r="N26" i="21"/>
  <c r="M26" i="21"/>
  <c r="E26" i="21"/>
  <c r="D26" i="21"/>
  <c r="AA25" i="21"/>
  <c r="S25" i="21"/>
  <c r="R25" i="21"/>
  <c r="Q25" i="21"/>
  <c r="P25" i="21"/>
  <c r="O25" i="21"/>
  <c r="N25" i="21"/>
  <c r="M25" i="21"/>
  <c r="T25" i="21" s="1"/>
  <c r="X25" i="21" s="1"/>
  <c r="E25" i="21"/>
  <c r="D25" i="21"/>
  <c r="AA24" i="21"/>
  <c r="S24" i="21"/>
  <c r="R24" i="21"/>
  <c r="Q24" i="21"/>
  <c r="P24" i="21"/>
  <c r="O24" i="21"/>
  <c r="N24" i="21"/>
  <c r="M24" i="21"/>
  <c r="T24" i="21" s="1"/>
  <c r="E24" i="21"/>
  <c r="D24" i="21"/>
  <c r="C24" i="21"/>
  <c r="B24" i="21"/>
  <c r="A24" i="21"/>
  <c r="AA23" i="21"/>
  <c r="S23" i="21"/>
  <c r="R23" i="21"/>
  <c r="Q23" i="21"/>
  <c r="P23" i="21"/>
  <c r="O23" i="21"/>
  <c r="N23" i="21"/>
  <c r="M23" i="21"/>
  <c r="E23" i="21"/>
  <c r="D23" i="21"/>
  <c r="AA22" i="21"/>
  <c r="S22" i="21"/>
  <c r="R22" i="21"/>
  <c r="Q22" i="21"/>
  <c r="P22" i="21"/>
  <c r="O22" i="21"/>
  <c r="N22" i="21"/>
  <c r="M22" i="21"/>
  <c r="E22" i="21"/>
  <c r="D22" i="21"/>
  <c r="AA21" i="21"/>
  <c r="S21" i="21"/>
  <c r="R21" i="21"/>
  <c r="Q21" i="21"/>
  <c r="P21" i="21"/>
  <c r="O21" i="21"/>
  <c r="N21" i="21"/>
  <c r="M21" i="21"/>
  <c r="E21" i="21"/>
  <c r="D21" i="21"/>
  <c r="AA20" i="21"/>
  <c r="S20" i="21"/>
  <c r="R20" i="21"/>
  <c r="Q20" i="21"/>
  <c r="P20" i="21"/>
  <c r="O20" i="21"/>
  <c r="N20" i="21"/>
  <c r="M20" i="21"/>
  <c r="E20" i="21"/>
  <c r="D20" i="21"/>
  <c r="C20" i="21"/>
  <c r="B20" i="21"/>
  <c r="A20" i="21"/>
  <c r="AA19" i="21"/>
  <c r="S19" i="21"/>
  <c r="R19" i="21"/>
  <c r="Q19" i="21"/>
  <c r="P19" i="21"/>
  <c r="O19" i="21"/>
  <c r="N19" i="21"/>
  <c r="M19" i="21"/>
  <c r="E19" i="21"/>
  <c r="D19" i="21"/>
  <c r="AA18" i="21"/>
  <c r="S18" i="21"/>
  <c r="R18" i="21"/>
  <c r="Q18" i="21"/>
  <c r="P18" i="21"/>
  <c r="O18" i="21"/>
  <c r="N18" i="21"/>
  <c r="M18" i="21"/>
  <c r="T18" i="21" s="1"/>
  <c r="E18" i="21"/>
  <c r="D18" i="21"/>
  <c r="AA17" i="21"/>
  <c r="S17" i="21"/>
  <c r="R17" i="21"/>
  <c r="Q17" i="21"/>
  <c r="P17" i="21"/>
  <c r="O17" i="21"/>
  <c r="N17" i="21"/>
  <c r="T17" i="21" s="1"/>
  <c r="M17" i="21"/>
  <c r="E17" i="21"/>
  <c r="D17" i="21"/>
  <c r="AA16" i="21"/>
  <c r="S16" i="21"/>
  <c r="R16" i="21"/>
  <c r="Q16" i="21"/>
  <c r="P16" i="21"/>
  <c r="O16" i="21"/>
  <c r="N16" i="21"/>
  <c r="M16" i="21"/>
  <c r="E16" i="21"/>
  <c r="D16" i="21"/>
  <c r="AA15" i="21"/>
  <c r="S15" i="21"/>
  <c r="R15" i="21"/>
  <c r="Q15" i="21"/>
  <c r="P15" i="21"/>
  <c r="O15" i="21"/>
  <c r="N15" i="21"/>
  <c r="M15" i="21"/>
  <c r="E15" i="21"/>
  <c r="D15" i="21"/>
  <c r="C15" i="21"/>
  <c r="B15" i="21"/>
  <c r="A15" i="21"/>
  <c r="AA14" i="21"/>
  <c r="S14" i="21"/>
  <c r="R14" i="21"/>
  <c r="Q14" i="21"/>
  <c r="P14" i="21"/>
  <c r="O14" i="21"/>
  <c r="N14" i="21"/>
  <c r="M14" i="21"/>
  <c r="E14" i="21"/>
  <c r="D14" i="21"/>
  <c r="AA13" i="21"/>
  <c r="S13" i="21"/>
  <c r="R13" i="21"/>
  <c r="Q13" i="21"/>
  <c r="P13" i="21"/>
  <c r="O13" i="21"/>
  <c r="N13" i="21"/>
  <c r="M13" i="21"/>
  <c r="T13" i="21" s="1"/>
  <c r="E13" i="21"/>
  <c r="D13" i="21"/>
  <c r="AA12" i="21"/>
  <c r="S12" i="21"/>
  <c r="R12" i="21"/>
  <c r="Q12" i="21"/>
  <c r="P12" i="21"/>
  <c r="O12" i="21"/>
  <c r="N12" i="21"/>
  <c r="M12" i="21"/>
  <c r="E12" i="21"/>
  <c r="D12" i="21"/>
  <c r="AA11" i="21"/>
  <c r="S11" i="21"/>
  <c r="R11" i="21"/>
  <c r="Q11" i="21"/>
  <c r="P11" i="21"/>
  <c r="O11" i="21"/>
  <c r="N11" i="21"/>
  <c r="M11" i="21"/>
  <c r="E11" i="21"/>
  <c r="D11" i="21"/>
  <c r="AA10" i="21"/>
  <c r="S10" i="21"/>
  <c r="R10" i="21"/>
  <c r="Q10" i="21"/>
  <c r="P10" i="21"/>
  <c r="O10" i="21"/>
  <c r="N10" i="21"/>
  <c r="M10" i="21"/>
  <c r="E10" i="21"/>
  <c r="D10" i="21"/>
  <c r="AA9" i="21"/>
  <c r="S9" i="21"/>
  <c r="R9" i="21"/>
  <c r="Q9" i="21"/>
  <c r="P9" i="21"/>
  <c r="O9" i="21"/>
  <c r="N9" i="21"/>
  <c r="M9" i="21"/>
  <c r="E9" i="21"/>
  <c r="D9" i="21"/>
  <c r="C9" i="21"/>
  <c r="B9" i="21"/>
  <c r="A9" i="21"/>
  <c r="D6" i="21" a="1"/>
  <c r="D6" i="21" s="1"/>
  <c r="D5" i="21" a="1"/>
  <c r="D5" i="21" s="1"/>
  <c r="X7" i="20"/>
  <c r="D7" i="20" s="1"/>
  <c r="C7" i="20" s="1"/>
  <c r="B7" i="20"/>
  <c r="A7" i="20"/>
  <c r="P25" i="19"/>
  <c r="O25" i="19"/>
  <c r="N25" i="19"/>
  <c r="M25" i="19"/>
  <c r="P24" i="19"/>
  <c r="O24" i="19"/>
  <c r="N24" i="19"/>
  <c r="M24" i="19"/>
  <c r="P23" i="19"/>
  <c r="O23" i="19"/>
  <c r="N23" i="19"/>
  <c r="M23" i="19"/>
  <c r="P22" i="19"/>
  <c r="R22" i="19" s="1"/>
  <c r="O22" i="19"/>
  <c r="Q22" i="19" s="1"/>
  <c r="N22" i="19"/>
  <c r="M22" i="19"/>
  <c r="H22" i="19"/>
  <c r="F22" i="19"/>
  <c r="E22" i="19"/>
  <c r="C22" i="19"/>
  <c r="B22" i="19"/>
  <c r="A22" i="19"/>
  <c r="P21" i="19"/>
  <c r="O21" i="19"/>
  <c r="N21" i="19"/>
  <c r="M21" i="19"/>
  <c r="P20" i="19"/>
  <c r="O20" i="19"/>
  <c r="N20" i="19"/>
  <c r="M20" i="19"/>
  <c r="P19" i="19"/>
  <c r="O19" i="19"/>
  <c r="N19" i="19"/>
  <c r="M19" i="19"/>
  <c r="P18" i="19"/>
  <c r="R18" i="19" s="1"/>
  <c r="O18" i="19"/>
  <c r="N18" i="19"/>
  <c r="M18" i="19"/>
  <c r="H18" i="19"/>
  <c r="F18" i="19"/>
  <c r="E18" i="19"/>
  <c r="C18" i="19"/>
  <c r="B18" i="19"/>
  <c r="A18" i="19"/>
  <c r="P17" i="19"/>
  <c r="O17" i="19"/>
  <c r="N17" i="19"/>
  <c r="M17" i="19"/>
  <c r="P16" i="19"/>
  <c r="O16" i="19"/>
  <c r="N16" i="19"/>
  <c r="M16" i="19"/>
  <c r="P15" i="19"/>
  <c r="O15" i="19"/>
  <c r="N15" i="19"/>
  <c r="M15" i="19"/>
  <c r="P14" i="19"/>
  <c r="O14" i="19"/>
  <c r="N14" i="19"/>
  <c r="M14" i="19"/>
  <c r="P13" i="19"/>
  <c r="R13" i="19" s="1"/>
  <c r="O13" i="19"/>
  <c r="Q13" i="19" s="1"/>
  <c r="N13" i="19"/>
  <c r="M13" i="19"/>
  <c r="H13" i="19"/>
  <c r="F13" i="19"/>
  <c r="E13" i="19"/>
  <c r="I13" i="19" s="1"/>
  <c r="C13" i="19"/>
  <c r="B13" i="19"/>
  <c r="A13" i="19"/>
  <c r="P12" i="19"/>
  <c r="O12" i="19"/>
  <c r="N12" i="19"/>
  <c r="M12" i="19"/>
  <c r="P11" i="19"/>
  <c r="O11" i="19"/>
  <c r="N11" i="19"/>
  <c r="M11" i="19"/>
  <c r="P10" i="19"/>
  <c r="O10" i="19"/>
  <c r="N10" i="19"/>
  <c r="M10" i="19"/>
  <c r="P9" i="19"/>
  <c r="O9" i="19"/>
  <c r="N9" i="19"/>
  <c r="M9" i="19"/>
  <c r="P8" i="19"/>
  <c r="O8" i="19"/>
  <c r="N8" i="19"/>
  <c r="M8" i="19"/>
  <c r="P7" i="19"/>
  <c r="R7" i="19" s="1"/>
  <c r="O7" i="19"/>
  <c r="N7" i="19"/>
  <c r="M7" i="19"/>
  <c r="H7" i="19"/>
  <c r="F7" i="19"/>
  <c r="E7" i="19"/>
  <c r="C7" i="19"/>
  <c r="B7" i="19"/>
  <c r="A7" i="19"/>
  <c r="N12" i="18"/>
  <c r="N11" i="18"/>
  <c r="N10" i="18"/>
  <c r="N9" i="18"/>
  <c r="T15" i="21" l="1"/>
  <c r="T19" i="21"/>
  <c r="T21" i="21"/>
  <c r="T23" i="21"/>
  <c r="T10" i="21"/>
  <c r="T14" i="21"/>
  <c r="T22" i="21"/>
  <c r="T9" i="21"/>
  <c r="T11" i="21"/>
  <c r="T26" i="21"/>
  <c r="T13" i="19"/>
  <c r="V13" i="19" s="1"/>
  <c r="T12" i="21"/>
  <c r="T16" i="21"/>
  <c r="T20" i="21"/>
  <c r="I18" i="19"/>
  <c r="Q7" i="19"/>
  <c r="T7" i="19"/>
  <c r="V7" i="19" s="1"/>
  <c r="I22" i="19"/>
  <c r="I7" i="19"/>
  <c r="Q18" i="19"/>
  <c r="T22" i="19"/>
  <c r="V22" i="19" s="1"/>
  <c r="S13" i="19"/>
  <c r="W13" i="19" s="1"/>
  <c r="T18" i="19"/>
  <c r="V18" i="19" s="1"/>
  <c r="W9" i="21"/>
  <c r="Y9" i="21" s="1"/>
  <c r="AB9" i="21" s="1"/>
  <c r="X9" i="21"/>
  <c r="X11" i="21"/>
  <c r="W11" i="21"/>
  <c r="Y11" i="21" s="1"/>
  <c r="AB11" i="21" s="1"/>
  <c r="W13" i="21"/>
  <c r="Y13" i="21" s="1"/>
  <c r="AB13" i="21" s="1"/>
  <c r="X13" i="21"/>
  <c r="W17" i="21"/>
  <c r="Y17" i="21" s="1"/>
  <c r="AB17" i="21" s="1"/>
  <c r="X17" i="21"/>
  <c r="X26" i="21"/>
  <c r="W26" i="21"/>
  <c r="Y26" i="21" s="1"/>
  <c r="AB26" i="21" s="1"/>
  <c r="X12" i="21"/>
  <c r="W12" i="21"/>
  <c r="Y12" i="21" s="1"/>
  <c r="AB12" i="21" s="1"/>
  <c r="W16" i="21"/>
  <c r="Y16" i="21" s="1"/>
  <c r="AB16" i="21" s="1"/>
  <c r="X16" i="21"/>
  <c r="X18" i="21"/>
  <c r="W18" i="21"/>
  <c r="Y18" i="21" s="1"/>
  <c r="AB18" i="21" s="1"/>
  <c r="W20" i="21"/>
  <c r="Y20" i="21" s="1"/>
  <c r="AB20" i="21" s="1"/>
  <c r="X20" i="21"/>
  <c r="X15" i="21"/>
  <c r="W15" i="21"/>
  <c r="Y15" i="21" s="1"/>
  <c r="AB15" i="21" s="1"/>
  <c r="X19" i="21"/>
  <c r="W19" i="21"/>
  <c r="Y19" i="21" s="1"/>
  <c r="AB19" i="21" s="1"/>
  <c r="X21" i="21"/>
  <c r="W21" i="21"/>
  <c r="Y21" i="21" s="1"/>
  <c r="AB21" i="21" s="1"/>
  <c r="X23" i="21"/>
  <c r="W23" i="21"/>
  <c r="Y23" i="21" s="1"/>
  <c r="AB23" i="21" s="1"/>
  <c r="W10" i="21"/>
  <c r="Y10" i="21" s="1"/>
  <c r="AB10" i="21" s="1"/>
  <c r="X10" i="21"/>
  <c r="W14" i="21"/>
  <c r="Y14" i="21" s="1"/>
  <c r="AB14" i="21" s="1"/>
  <c r="X14" i="21"/>
  <c r="X22" i="21"/>
  <c r="W22" i="21"/>
  <c r="Y22" i="21" s="1"/>
  <c r="AB22" i="21" s="1"/>
  <c r="X24" i="21"/>
  <c r="W24" i="21"/>
  <c r="Y24" i="21" s="1"/>
  <c r="AB24" i="21" s="1"/>
  <c r="W27" i="21"/>
  <c r="Y27" i="21" s="1"/>
  <c r="AB27" i="21" s="1"/>
  <c r="X27" i="21"/>
  <c r="W25" i="21"/>
  <c r="Y25" i="21" s="1"/>
  <c r="AB25" i="21" s="1"/>
  <c r="S22" i="19"/>
  <c r="S7" i="19"/>
  <c r="S18" i="19"/>
  <c r="U13" i="19" l="1"/>
  <c r="U18" i="19"/>
  <c r="W18" i="19"/>
  <c r="U7" i="19"/>
  <c r="W7" i="19"/>
  <c r="W22" i="19"/>
  <c r="U22" i="19"/>
  <c r="AA21" i="16" l="1"/>
  <c r="S21" i="16"/>
  <c r="R21" i="16"/>
  <c r="Q21" i="16"/>
  <c r="P21" i="16"/>
  <c r="O21" i="16"/>
  <c r="N21" i="16"/>
  <c r="T21" i="16" s="1"/>
  <c r="M21" i="16"/>
  <c r="E21" i="16"/>
  <c r="D21" i="16"/>
  <c r="AA20" i="16"/>
  <c r="S20" i="16"/>
  <c r="R20" i="16"/>
  <c r="Q20" i="16"/>
  <c r="P20" i="16"/>
  <c r="O20" i="16"/>
  <c r="N20" i="16"/>
  <c r="M20" i="16"/>
  <c r="E20" i="16"/>
  <c r="D20" i="16"/>
  <c r="AA19" i="16"/>
  <c r="S19" i="16"/>
  <c r="R19" i="16"/>
  <c r="Q19" i="16"/>
  <c r="P19" i="16"/>
  <c r="O19" i="16"/>
  <c r="N19" i="16"/>
  <c r="M19" i="16"/>
  <c r="E19" i="16"/>
  <c r="D19" i="16"/>
  <c r="C19" i="16"/>
  <c r="B19" i="16"/>
  <c r="A19" i="16"/>
  <c r="AA18" i="16"/>
  <c r="S18" i="16"/>
  <c r="R18" i="16"/>
  <c r="Q18" i="16"/>
  <c r="P18" i="16"/>
  <c r="O18" i="16"/>
  <c r="N18" i="16"/>
  <c r="M18" i="16"/>
  <c r="E18" i="16"/>
  <c r="D18" i="16"/>
  <c r="AA17" i="16"/>
  <c r="S17" i="16"/>
  <c r="R17" i="16"/>
  <c r="Q17" i="16"/>
  <c r="P17" i="16"/>
  <c r="O17" i="16"/>
  <c r="N17" i="16"/>
  <c r="M17" i="16"/>
  <c r="T17" i="16" s="1"/>
  <c r="E17" i="16"/>
  <c r="D17" i="16"/>
  <c r="AA16" i="16"/>
  <c r="S16" i="16"/>
  <c r="R16" i="16"/>
  <c r="Q16" i="16"/>
  <c r="P16" i="16"/>
  <c r="O16" i="16"/>
  <c r="N16" i="16"/>
  <c r="M16" i="16"/>
  <c r="E16" i="16"/>
  <c r="D16" i="16"/>
  <c r="AA15" i="16"/>
  <c r="S15" i="16"/>
  <c r="R15" i="16"/>
  <c r="Q15" i="16"/>
  <c r="P15" i="16"/>
  <c r="O15" i="16"/>
  <c r="N15" i="16"/>
  <c r="M15" i="16"/>
  <c r="E15" i="16"/>
  <c r="D15" i="16"/>
  <c r="C15" i="16"/>
  <c r="B15" i="16"/>
  <c r="A15" i="16"/>
  <c r="AA14" i="16"/>
  <c r="S14" i="16"/>
  <c r="R14" i="16"/>
  <c r="Q14" i="16"/>
  <c r="P14" i="16"/>
  <c r="O14" i="16"/>
  <c r="N14" i="16"/>
  <c r="M14" i="16"/>
  <c r="E14" i="16"/>
  <c r="D14" i="16"/>
  <c r="AA13" i="16"/>
  <c r="S13" i="16"/>
  <c r="R13" i="16"/>
  <c r="Q13" i="16"/>
  <c r="P13" i="16"/>
  <c r="O13" i="16"/>
  <c r="N13" i="16"/>
  <c r="M13" i="16"/>
  <c r="E13" i="16"/>
  <c r="D13" i="16"/>
  <c r="AA12" i="16"/>
  <c r="S12" i="16"/>
  <c r="R12" i="16"/>
  <c r="Q12" i="16"/>
  <c r="P12" i="16"/>
  <c r="O12" i="16"/>
  <c r="N12" i="16"/>
  <c r="M12" i="16"/>
  <c r="E12" i="16"/>
  <c r="D12" i="16"/>
  <c r="AA11" i="16"/>
  <c r="S11" i="16"/>
  <c r="R11" i="16"/>
  <c r="Q11" i="16"/>
  <c r="P11" i="16"/>
  <c r="O11" i="16"/>
  <c r="N11" i="16"/>
  <c r="M11" i="16"/>
  <c r="E11" i="16"/>
  <c r="D11" i="16"/>
  <c r="AA10" i="16"/>
  <c r="S10" i="16"/>
  <c r="R10" i="16"/>
  <c r="Q10" i="16"/>
  <c r="P10" i="16"/>
  <c r="O10" i="16"/>
  <c r="N10" i="16"/>
  <c r="M10" i="16"/>
  <c r="E10" i="16"/>
  <c r="D10" i="16"/>
  <c r="AA9" i="16"/>
  <c r="S9" i="16"/>
  <c r="R9" i="16"/>
  <c r="Q9" i="16"/>
  <c r="P9" i="16"/>
  <c r="T9" i="16" s="1"/>
  <c r="O9" i="16"/>
  <c r="N9" i="16"/>
  <c r="M9" i="16"/>
  <c r="E9" i="16"/>
  <c r="D9" i="16"/>
  <c r="C9" i="16"/>
  <c r="B9" i="16"/>
  <c r="A9" i="16"/>
  <c r="D6" i="16" a="1"/>
  <c r="D6" i="16" s="1"/>
  <c r="D5" i="16" a="1"/>
  <c r="D5" i="16" s="1"/>
  <c r="X7" i="15"/>
  <c r="D7" i="15" s="1"/>
  <c r="C7" i="15" s="1"/>
  <c r="B7" i="15"/>
  <c r="A7" i="15"/>
  <c r="P20" i="14"/>
  <c r="O20" i="14"/>
  <c r="N20" i="14"/>
  <c r="M20" i="14"/>
  <c r="P19" i="14"/>
  <c r="O19" i="14"/>
  <c r="N19" i="14"/>
  <c r="M19" i="14"/>
  <c r="P18" i="14"/>
  <c r="O18" i="14"/>
  <c r="Q18" i="14" s="1"/>
  <c r="N18" i="14"/>
  <c r="M18" i="14"/>
  <c r="H18" i="14"/>
  <c r="F18" i="14"/>
  <c r="E18" i="14"/>
  <c r="C18" i="14"/>
  <c r="B18" i="14"/>
  <c r="A18" i="14"/>
  <c r="P17" i="14"/>
  <c r="O17" i="14"/>
  <c r="N17" i="14"/>
  <c r="M17" i="14"/>
  <c r="P16" i="14"/>
  <c r="O16" i="14"/>
  <c r="N16" i="14"/>
  <c r="M16" i="14"/>
  <c r="P15" i="14"/>
  <c r="O15" i="14"/>
  <c r="N15" i="14"/>
  <c r="M15" i="14"/>
  <c r="P14" i="14"/>
  <c r="R14" i="14" s="1"/>
  <c r="O14" i="14"/>
  <c r="Q14" i="14" s="1"/>
  <c r="N14" i="14"/>
  <c r="M14" i="14"/>
  <c r="H14" i="14"/>
  <c r="T14" i="14" s="1"/>
  <c r="V14" i="14" s="1"/>
  <c r="F14" i="14"/>
  <c r="E14" i="14"/>
  <c r="I14" i="14" s="1"/>
  <c r="C14" i="14"/>
  <c r="B14" i="14"/>
  <c r="A14" i="14"/>
  <c r="P13" i="14"/>
  <c r="O13" i="14"/>
  <c r="N13" i="14"/>
  <c r="M13" i="14"/>
  <c r="P12" i="14"/>
  <c r="O12" i="14"/>
  <c r="N12" i="14"/>
  <c r="M12" i="14"/>
  <c r="P11" i="14"/>
  <c r="O11" i="14"/>
  <c r="N11" i="14"/>
  <c r="M11" i="14"/>
  <c r="P10" i="14"/>
  <c r="O10" i="14"/>
  <c r="N10" i="14"/>
  <c r="M10" i="14"/>
  <c r="P9" i="14"/>
  <c r="O9" i="14"/>
  <c r="N9" i="14"/>
  <c r="M9" i="14"/>
  <c r="P8" i="14"/>
  <c r="O8" i="14"/>
  <c r="N8" i="14"/>
  <c r="M8" i="14"/>
  <c r="P7" i="14"/>
  <c r="R7" i="14" s="1"/>
  <c r="O7" i="14"/>
  <c r="Q7" i="14" s="1"/>
  <c r="N7" i="14"/>
  <c r="M7" i="14"/>
  <c r="H7" i="14"/>
  <c r="F7" i="14"/>
  <c r="E7" i="14"/>
  <c r="C7" i="14"/>
  <c r="B7" i="14"/>
  <c r="A7" i="14"/>
  <c r="N11" i="13"/>
  <c r="N10" i="13"/>
  <c r="N9" i="13"/>
  <c r="S7" i="14" l="1"/>
  <c r="T10" i="16"/>
  <c r="T12" i="16"/>
  <c r="T14" i="16"/>
  <c r="T18" i="16"/>
  <c r="T13" i="16"/>
  <c r="T15" i="16"/>
  <c r="T11" i="16"/>
  <c r="T16" i="16"/>
  <c r="T20" i="16"/>
  <c r="T19" i="16"/>
  <c r="T7" i="14"/>
  <c r="V7" i="14" s="1"/>
  <c r="S14" i="14"/>
  <c r="W14" i="14" s="1"/>
  <c r="R18" i="14"/>
  <c r="T18" i="14" s="1"/>
  <c r="V18" i="14" s="1"/>
  <c r="W11" i="16"/>
  <c r="Y11" i="16" s="1"/>
  <c r="AB11" i="16" s="1"/>
  <c r="X11" i="16"/>
  <c r="X16" i="16"/>
  <c r="W16" i="16"/>
  <c r="Y16" i="16" s="1"/>
  <c r="AB16" i="16" s="1"/>
  <c r="X20" i="16"/>
  <c r="W20" i="16"/>
  <c r="Y20" i="16" s="1"/>
  <c r="AB20" i="16" s="1"/>
  <c r="X19" i="16"/>
  <c r="W19" i="16"/>
  <c r="Y19" i="16" s="1"/>
  <c r="AB19" i="16" s="1"/>
  <c r="X10" i="16"/>
  <c r="W10" i="16"/>
  <c r="Y10" i="16" s="1"/>
  <c r="AB10" i="16" s="1"/>
  <c r="X12" i="16"/>
  <c r="W12" i="16"/>
  <c r="Y12" i="16" s="1"/>
  <c r="AB12" i="16" s="1"/>
  <c r="X14" i="16"/>
  <c r="W14" i="16"/>
  <c r="Y14" i="16" s="1"/>
  <c r="AB14" i="16" s="1"/>
  <c r="W18" i="16"/>
  <c r="Y18" i="16" s="1"/>
  <c r="AB18" i="16" s="1"/>
  <c r="X18" i="16"/>
  <c r="X9" i="16"/>
  <c r="W9" i="16"/>
  <c r="Y9" i="16" s="1"/>
  <c r="AB9" i="16" s="1"/>
  <c r="X13" i="16"/>
  <c r="W13" i="16"/>
  <c r="Y13" i="16" s="1"/>
  <c r="AB13" i="16" s="1"/>
  <c r="X15" i="16"/>
  <c r="W15" i="16"/>
  <c r="Y15" i="16" s="1"/>
  <c r="AB15" i="16" s="1"/>
  <c r="X17" i="16"/>
  <c r="W17" i="16"/>
  <c r="Y17" i="16" s="1"/>
  <c r="AB17" i="16" s="1"/>
  <c r="W21" i="16"/>
  <c r="Y21" i="16" s="1"/>
  <c r="AB21" i="16" s="1"/>
  <c r="X21" i="16"/>
  <c r="U14" i="14"/>
  <c r="S18" i="14"/>
  <c r="U7" i="14"/>
  <c r="I7" i="14"/>
  <c r="I18" i="14"/>
  <c r="W7" i="14" l="1"/>
  <c r="W18" i="14"/>
  <c r="U18" i="14"/>
  <c r="AA19" i="7" l="1"/>
  <c r="Y19" i="7"/>
  <c r="AB19" i="7" s="1"/>
  <c r="N17" i="4" s="1"/>
  <c r="O17" i="4"/>
  <c r="P17" i="4"/>
  <c r="M19" i="7"/>
  <c r="N19" i="7"/>
  <c r="O19" i="7"/>
  <c r="P19" i="7"/>
  <c r="Q19" i="7"/>
  <c r="R19" i="7"/>
  <c r="S19" i="7"/>
  <c r="M20" i="7"/>
  <c r="N20" i="7"/>
  <c r="O20" i="7"/>
  <c r="P20" i="7"/>
  <c r="Q20" i="7"/>
  <c r="R20" i="7"/>
  <c r="S20" i="7"/>
  <c r="M21" i="7"/>
  <c r="N21" i="7"/>
  <c r="O21" i="7"/>
  <c r="P21" i="7"/>
  <c r="Q21" i="7"/>
  <c r="R21" i="7"/>
  <c r="S21" i="7"/>
  <c r="M22" i="7"/>
  <c r="N22" i="7"/>
  <c r="O22" i="7"/>
  <c r="P22" i="7"/>
  <c r="Q22" i="7"/>
  <c r="R22" i="7"/>
  <c r="S22" i="7"/>
  <c r="D19" i="7"/>
  <c r="E19" i="7"/>
  <c r="R10" i="7"/>
  <c r="R11" i="7"/>
  <c r="R12" i="7"/>
  <c r="R13" i="7"/>
  <c r="R14" i="7"/>
  <c r="R15" i="7"/>
  <c r="R16" i="7"/>
  <c r="R17" i="7"/>
  <c r="R18" i="7"/>
  <c r="R9" i="7"/>
  <c r="E16" i="7"/>
  <c r="E17" i="7"/>
  <c r="E18" i="7"/>
  <c r="E15" i="7"/>
  <c r="D18" i="7"/>
  <c r="D16" i="7"/>
  <c r="D17" i="7"/>
  <c r="D15" i="7"/>
  <c r="E10" i="7"/>
  <c r="E11" i="7"/>
  <c r="E12" i="7"/>
  <c r="E13" i="7"/>
  <c r="E14" i="7"/>
  <c r="E9" i="7"/>
  <c r="D10" i="7"/>
  <c r="D11" i="7"/>
  <c r="D12" i="7"/>
  <c r="D13" i="7"/>
  <c r="D14" i="7"/>
  <c r="D9" i="7"/>
  <c r="T20" i="7" l="1"/>
  <c r="T21" i="7"/>
  <c r="T22" i="7"/>
  <c r="T19" i="7"/>
  <c r="M17" i="4" s="1"/>
  <c r="W14" i="10"/>
  <c r="AA22" i="7"/>
  <c r="E22" i="7"/>
  <c r="D22" i="7"/>
  <c r="AA21" i="7"/>
  <c r="E21" i="7"/>
  <c r="D21" i="7"/>
  <c r="AA20" i="7"/>
  <c r="E20" i="7"/>
  <c r="D20" i="7"/>
  <c r="C20" i="7"/>
  <c r="B20" i="7"/>
  <c r="A20" i="7"/>
  <c r="AA18" i="7"/>
  <c r="S18" i="7"/>
  <c r="Q18" i="7"/>
  <c r="P18" i="7"/>
  <c r="O18" i="7"/>
  <c r="N18" i="7"/>
  <c r="M18" i="7"/>
  <c r="AA17" i="7"/>
  <c r="S17" i="7"/>
  <c r="Q17" i="7"/>
  <c r="P17" i="7"/>
  <c r="O17" i="7"/>
  <c r="N17" i="7"/>
  <c r="M17" i="7"/>
  <c r="AA16" i="7"/>
  <c r="S16" i="7"/>
  <c r="Q16" i="7"/>
  <c r="P16" i="7"/>
  <c r="O16" i="7"/>
  <c r="N16" i="7"/>
  <c r="M16" i="7"/>
  <c r="AA15" i="7"/>
  <c r="S15" i="7"/>
  <c r="Q15" i="7"/>
  <c r="P15" i="7"/>
  <c r="O15" i="7"/>
  <c r="N15" i="7"/>
  <c r="M15" i="7"/>
  <c r="C15" i="7"/>
  <c r="B15" i="7"/>
  <c r="A15" i="7"/>
  <c r="AA14" i="7"/>
  <c r="S14" i="7"/>
  <c r="Q14" i="7"/>
  <c r="P14" i="7"/>
  <c r="O14" i="7"/>
  <c r="N14" i="7"/>
  <c r="M14" i="7"/>
  <c r="AA13" i="7"/>
  <c r="S13" i="7"/>
  <c r="Q13" i="7"/>
  <c r="P13" i="7"/>
  <c r="O13" i="7"/>
  <c r="N13" i="7"/>
  <c r="M13" i="7"/>
  <c r="AA12" i="7"/>
  <c r="S12" i="7"/>
  <c r="Q12" i="7"/>
  <c r="P12" i="7"/>
  <c r="O12" i="7"/>
  <c r="N12" i="7"/>
  <c r="M12" i="7"/>
  <c r="AA11" i="7"/>
  <c r="S11" i="7"/>
  <c r="Q11" i="7"/>
  <c r="P11" i="7"/>
  <c r="O11" i="7"/>
  <c r="N11" i="7"/>
  <c r="M11" i="7"/>
  <c r="AA10" i="7"/>
  <c r="S10" i="7"/>
  <c r="Q10" i="7"/>
  <c r="P10" i="7"/>
  <c r="O10" i="7"/>
  <c r="N10" i="7"/>
  <c r="M10" i="7"/>
  <c r="AA9" i="7"/>
  <c r="S9" i="7"/>
  <c r="Q9" i="7"/>
  <c r="P9" i="7"/>
  <c r="O9" i="7"/>
  <c r="N9" i="7"/>
  <c r="M9" i="7"/>
  <c r="C9" i="7"/>
  <c r="B9" i="7"/>
  <c r="A9" i="7"/>
  <c r="D6" i="7" a="1"/>
  <c r="D6" i="7" s="1"/>
  <c r="D5" i="7" a="1"/>
  <c r="D5" i="7" s="1"/>
  <c r="D9" i="6"/>
  <c r="R8" i="6"/>
  <c r="Q8" i="6"/>
  <c r="P8" i="6"/>
  <c r="O8" i="6"/>
  <c r="J8" i="6"/>
  <c r="D8" i="6"/>
  <c r="R7" i="6"/>
  <c r="Q7" i="6"/>
  <c r="P7" i="6"/>
  <c r="O7" i="6"/>
  <c r="J7" i="6"/>
  <c r="D7" i="6"/>
  <c r="R6" i="6"/>
  <c r="Q6" i="6"/>
  <c r="P6" i="6"/>
  <c r="O6" i="6"/>
  <c r="N6" i="6"/>
  <c r="M6" i="6"/>
  <c r="L6" i="6"/>
  <c r="K6" i="6"/>
  <c r="J6" i="6"/>
  <c r="I6" i="6"/>
  <c r="H6" i="6"/>
  <c r="G6" i="6"/>
  <c r="E6" i="6"/>
  <c r="D6" i="6"/>
  <c r="C6" i="6"/>
  <c r="B6" i="6"/>
  <c r="R5" i="6"/>
  <c r="Q5" i="6"/>
  <c r="P5" i="6"/>
  <c r="O5" i="6"/>
  <c r="N5" i="6"/>
  <c r="J5" i="6"/>
  <c r="H5" i="6"/>
  <c r="E5" i="6"/>
  <c r="D5" i="6"/>
  <c r="C5" i="6"/>
  <c r="B5" i="6"/>
  <c r="A5" i="6"/>
  <c r="R4" i="6"/>
  <c r="Q4" i="6"/>
  <c r="P4" i="6"/>
  <c r="O4" i="6"/>
  <c r="J4" i="6"/>
  <c r="R3" i="6"/>
  <c r="Q3" i="6"/>
  <c r="P3" i="6"/>
  <c r="O3" i="6"/>
  <c r="N3" i="6"/>
  <c r="M3" i="6"/>
  <c r="L3" i="6"/>
  <c r="K3" i="6"/>
  <c r="J3" i="6"/>
  <c r="I3" i="6"/>
  <c r="H3" i="6"/>
  <c r="G3" i="6"/>
  <c r="F3" i="6"/>
  <c r="E3" i="6"/>
  <c r="D3" i="6"/>
  <c r="C3" i="6"/>
  <c r="B3" i="6"/>
  <c r="A3" i="6"/>
  <c r="R2" i="6"/>
  <c r="Q2" i="6"/>
  <c r="P2" i="6"/>
  <c r="O2" i="6"/>
  <c r="N2" i="6"/>
  <c r="M2" i="6"/>
  <c r="L2" i="6"/>
  <c r="K2" i="6"/>
  <c r="J2" i="6"/>
  <c r="F2" i="6"/>
  <c r="E2" i="6"/>
  <c r="D2" i="6"/>
  <c r="C2" i="6"/>
  <c r="B2" i="6"/>
  <c r="A2" i="6"/>
  <c r="X7" i="5"/>
  <c r="D7" i="5" s="1"/>
  <c r="C7" i="5" s="1"/>
  <c r="B7" i="5"/>
  <c r="A7" i="5"/>
  <c r="H18" i="4"/>
  <c r="F18" i="4"/>
  <c r="E18" i="4"/>
  <c r="C18" i="4"/>
  <c r="B18" i="4"/>
  <c r="A18" i="4"/>
  <c r="H13" i="4"/>
  <c r="F13" i="4"/>
  <c r="E13" i="4"/>
  <c r="C13" i="4"/>
  <c r="B13" i="4"/>
  <c r="A13" i="4"/>
  <c r="H7" i="4"/>
  <c r="F7" i="4"/>
  <c r="G5" i="6" s="1"/>
  <c r="E7" i="4"/>
  <c r="C7" i="4"/>
  <c r="B7" i="4"/>
  <c r="A7" i="4"/>
  <c r="N11" i="3"/>
  <c r="N10" i="3"/>
  <c r="F6" i="6" s="1"/>
  <c r="N9" i="3"/>
  <c r="F5" i="6" s="1"/>
  <c r="T13" i="7" l="1"/>
  <c r="T16" i="7"/>
  <c r="T10" i="7"/>
  <c r="T11" i="7"/>
  <c r="T18" i="7"/>
  <c r="T14" i="7"/>
  <c r="T17" i="7"/>
  <c r="T12" i="7"/>
  <c r="X12" i="7" s="1"/>
  <c r="T15" i="7"/>
  <c r="M13" i="4" s="1"/>
  <c r="T9" i="7"/>
  <c r="M7" i="4" s="1"/>
  <c r="X10" i="7"/>
  <c r="P8" i="4" s="1"/>
  <c r="W22" i="7"/>
  <c r="W16" i="7"/>
  <c r="W18" i="7"/>
  <c r="X14" i="7"/>
  <c r="X21" i="7"/>
  <c r="P19" i="4" s="1"/>
  <c r="W17" i="7"/>
  <c r="X13" i="7"/>
  <c r="P10" i="4" s="1"/>
  <c r="M9" i="4"/>
  <c r="M18" i="4"/>
  <c r="I7" i="4"/>
  <c r="I5" i="6" s="1"/>
  <c r="I18" i="4"/>
  <c r="I13" i="4"/>
  <c r="X15" i="7"/>
  <c r="P13" i="4" s="1"/>
  <c r="W15" i="7"/>
  <c r="X16" i="7"/>
  <c r="P14" i="4" s="1"/>
  <c r="X17" i="7"/>
  <c r="P15" i="4" s="1"/>
  <c r="W20" i="7"/>
  <c r="Y20" i="7" s="1"/>
  <c r="M8" i="4" l="1"/>
  <c r="W10" i="7"/>
  <c r="Y10" i="7" s="1"/>
  <c r="AB10" i="7" s="1"/>
  <c r="N8" i="4" s="1"/>
  <c r="M19" i="4"/>
  <c r="W21" i="7"/>
  <c r="M15" i="4"/>
  <c r="M11" i="4"/>
  <c r="W9" i="7"/>
  <c r="Y9" i="7" s="1"/>
  <c r="AB9" i="7" s="1"/>
  <c r="N7" i="4" s="1"/>
  <c r="X9" i="7"/>
  <c r="P7" i="4" s="1"/>
  <c r="W12" i="7"/>
  <c r="Y12" i="7" s="1"/>
  <c r="AB12" i="7" s="1"/>
  <c r="M12" i="4"/>
  <c r="W13" i="7"/>
  <c r="O10" i="4" s="1"/>
  <c r="W14" i="7"/>
  <c r="O12" i="4" s="1"/>
  <c r="M10" i="4"/>
  <c r="M16" i="4"/>
  <c r="X22" i="7"/>
  <c r="P20" i="4" s="1"/>
  <c r="W11" i="7"/>
  <c r="O9" i="4" s="1"/>
  <c r="X18" i="7"/>
  <c r="P16" i="4" s="1"/>
  <c r="R13" i="4" s="1"/>
  <c r="T13" i="4" s="1"/>
  <c r="V13" i="4" s="1"/>
  <c r="M20" i="4"/>
  <c r="X20" i="7"/>
  <c r="P18" i="4" s="1"/>
  <c r="X11" i="7"/>
  <c r="P9" i="4" s="1"/>
  <c r="M14" i="4"/>
  <c r="Y15" i="7"/>
  <c r="AB15" i="7" s="1"/>
  <c r="N13" i="4" s="1"/>
  <c r="O13" i="4"/>
  <c r="Y17" i="7"/>
  <c r="AB17" i="7" s="1"/>
  <c r="N15" i="4" s="1"/>
  <c r="O15" i="4"/>
  <c r="Y21" i="7"/>
  <c r="AB21" i="7" s="1"/>
  <c r="N19" i="4" s="1"/>
  <c r="O19" i="4"/>
  <c r="Y18" i="7"/>
  <c r="AB18" i="7" s="1"/>
  <c r="N16" i="4" s="1"/>
  <c r="O16" i="4"/>
  <c r="O8" i="4"/>
  <c r="Y22" i="7"/>
  <c r="AB22" i="7" s="1"/>
  <c r="N20" i="4" s="1"/>
  <c r="O20" i="4"/>
  <c r="AB20" i="7"/>
  <c r="N18" i="4" s="1"/>
  <c r="O18" i="4"/>
  <c r="P11" i="4"/>
  <c r="P12" i="4"/>
  <c r="Y16" i="7"/>
  <c r="AB16" i="7" s="1"/>
  <c r="N14" i="4" s="1"/>
  <c r="O14" i="4"/>
  <c r="Q13" i="4" l="1"/>
  <c r="S13" i="4" s="1"/>
  <c r="Y14" i="7"/>
  <c r="AB14" i="7" s="1"/>
  <c r="N11" i="4" s="1"/>
  <c r="O11" i="4"/>
  <c r="O7" i="4"/>
  <c r="Q7" i="4" s="1"/>
  <c r="Y13" i="7"/>
  <c r="AB13" i="7" s="1"/>
  <c r="N10" i="4" s="1"/>
  <c r="Y11" i="7"/>
  <c r="AB11" i="7" s="1"/>
  <c r="N9" i="4" s="1"/>
  <c r="R7" i="4"/>
  <c r="R18" i="4"/>
  <c r="Q18" i="4"/>
  <c r="S18" i="4" s="1"/>
  <c r="T18" i="4" l="1"/>
  <c r="V18" i="4" s="1"/>
  <c r="T7" i="4"/>
  <c r="V7" i="4" s="1"/>
  <c r="L5" i="6" s="1"/>
  <c r="N12" i="4"/>
  <c r="S7" i="4"/>
  <c r="W7" i="4" s="1"/>
  <c r="M5" i="6" s="1"/>
  <c r="W13" i="4"/>
  <c r="U13" i="4"/>
  <c r="W18" i="4"/>
  <c r="U18" i="4"/>
  <c r="U7" i="4" l="1"/>
  <c r="K5"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100-000001000000}">
      <text>
        <r>
          <rPr>
            <sz val="11"/>
            <color theme="1"/>
            <rFont val="Arial"/>
            <family val="2"/>
          </rPr>
          <t>Definición de los parametros internos, externos y de proceso que se toman en cuenta para la administración del riesgo.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K4" authorId="0" shapeId="0" xr:uid="{00000000-0006-0000-1000-000001000000}">
      <text>
        <r>
          <rPr>
            <b/>
            <sz val="11"/>
            <color indexed="81"/>
            <rFont val="Tahoma"/>
            <family val="2"/>
          </rPr>
          <t>Zona de Riesgo Baja</t>
        </r>
        <r>
          <rPr>
            <sz val="11"/>
            <color indexed="81"/>
            <rFont val="Tahoma"/>
            <family val="2"/>
          </rPr>
          <t xml:space="preserve">: Aceptar Riesgo.
</t>
        </r>
        <r>
          <rPr>
            <b/>
            <sz val="11"/>
            <color indexed="81"/>
            <rFont val="Tahoma"/>
            <family val="2"/>
          </rPr>
          <t>Zona de Riesgo Moderada:</t>
        </r>
        <r>
          <rPr>
            <sz val="11"/>
            <color indexed="81"/>
            <rFont val="Tahoma"/>
            <family val="2"/>
          </rPr>
          <t xml:space="preserve"> Compartir o Reducir Riesgo.
Zona de Riesgo Alta: Compartir o Reducir Riesgo.
Zona de Riesgo Extrema: Evitar, </t>
        </r>
      </text>
    </comment>
    <comment ref="L4" authorId="0" shapeId="0" xr:uid="{00000000-0006-0000-1000-000002000000}">
      <text>
        <r>
          <rPr>
            <sz val="12"/>
            <color indexed="81"/>
            <rFont val="Tahoma"/>
            <family val="2"/>
          </rPr>
          <t>Si el resultado de las calificaciones del control, o el promedio en el diseño de los controles, está por debajo de 96%, se debe establecer un plan de acción que permita tener un control o controles bien diseñados enfocados en hacer frente a las causas.</t>
        </r>
      </text>
    </comment>
  </commentList>
</comments>
</file>

<file path=xl/comments100.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K6" authorId="0" shapeId="0" xr:uid="{00000000-0006-0000-7C00-000001000000}">
      <text>
        <r>
          <rPr>
            <sz val="14"/>
            <color indexed="81"/>
            <rFont val="Tahoma"/>
            <family val="2"/>
          </rPr>
          <t>Identifique el control existente, recuerde que de la acción del control debe existir evidencia. Para redactar el control tenga en cuenta la siguiente estructura:
 Verbo irregular + complemento.</t>
        </r>
      </text>
    </comment>
    <comment ref="L6" authorId="0" shapeId="0" xr:uid="{00000000-0006-0000-7C00-000002000000}">
      <text>
        <r>
          <rPr>
            <sz val="14"/>
            <color indexed="81"/>
            <rFont val="Tahoma"/>
            <family val="2"/>
          </rPr>
          <t>Describa la acción de control que es efectuada.  
Describa la acción, el responsable de la acción, la frecuencia del control, quien verifica la ejecución del control, que se realiza, el próposito del control y las causas que busca controlar.</t>
        </r>
      </text>
    </comment>
    <comment ref="X6" authorId="0" shapeId="0" xr:uid="{00000000-0006-0000-7C00-000003000000}">
      <text>
        <r>
          <rPr>
            <b/>
            <sz val="11"/>
            <color indexed="81"/>
            <rFont val="Tahoma"/>
            <family val="2"/>
          </rPr>
          <t>Zona de Riesgo Baja</t>
        </r>
        <r>
          <rPr>
            <sz val="11"/>
            <color indexed="81"/>
            <rFont val="Tahoma"/>
            <family val="2"/>
          </rPr>
          <t xml:space="preserve">: Aceptar Riesgo.
</t>
        </r>
        <r>
          <rPr>
            <b/>
            <sz val="11"/>
            <color indexed="81"/>
            <rFont val="Tahoma"/>
            <family val="2"/>
          </rPr>
          <t>Zona de Riesgo Moderada:</t>
        </r>
        <r>
          <rPr>
            <sz val="11"/>
            <color indexed="81"/>
            <rFont val="Tahoma"/>
            <family val="2"/>
          </rPr>
          <t xml:space="preserve"> Compartir o Reducir Riesgo.
Zona de Riesgo Alta: Compartir o Reducir Riesgo.
Zona de Riesgo Extrema: Evitar, </t>
        </r>
      </text>
    </comment>
  </commentList>
</comments>
</file>

<file path=xl/comments101.xml><?xml version="1.0" encoding="utf-8"?>
<comments xmlns="http://schemas.openxmlformats.org/spreadsheetml/2006/main" xmlns:mc="http://schemas.openxmlformats.org/markup-compatibility/2006" xmlns:xr="http://schemas.microsoft.com/office/spreadsheetml/2014/revision" mc:Ignorable="xr">
  <authors>
    <author>BENAVIDES SALAS</author>
  </authors>
  <commentList>
    <comment ref="D6" authorId="0" shapeId="0" xr:uid="{00000000-0006-0000-7E00-000001000000}">
      <text>
        <r>
          <rPr>
            <b/>
            <sz val="9"/>
            <color indexed="81"/>
            <rFont val="Tahoma"/>
            <family val="2"/>
          </rPr>
          <t>Solo aplica para riesgos de corrupción.</t>
        </r>
      </text>
    </comment>
  </commentList>
</comments>
</file>

<file path=xl/comments102.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K4" authorId="0" shapeId="0" xr:uid="{00000000-0006-0000-7F00-000001000000}">
      <text>
        <r>
          <rPr>
            <b/>
            <sz val="11"/>
            <color indexed="81"/>
            <rFont val="Tahoma"/>
            <family val="2"/>
          </rPr>
          <t>Zona de Riesgo Baja</t>
        </r>
        <r>
          <rPr>
            <sz val="11"/>
            <color indexed="81"/>
            <rFont val="Tahoma"/>
            <family val="2"/>
          </rPr>
          <t xml:space="preserve">: Aceptar Riesgo.
</t>
        </r>
        <r>
          <rPr>
            <b/>
            <sz val="11"/>
            <color indexed="81"/>
            <rFont val="Tahoma"/>
            <family val="2"/>
          </rPr>
          <t>Zona de Riesgo Moderada:</t>
        </r>
        <r>
          <rPr>
            <sz val="11"/>
            <color indexed="81"/>
            <rFont val="Tahoma"/>
            <family val="2"/>
          </rPr>
          <t xml:space="preserve"> Compartir o Reducir Riesgo.
Zona de Riesgo Alta: Compartir o Reducir Riesgo.
Zona de Riesgo Extrema: Evitar, </t>
        </r>
      </text>
    </comment>
    <comment ref="L4" authorId="0" shapeId="0" xr:uid="{00000000-0006-0000-7F00-000002000000}">
      <text>
        <r>
          <rPr>
            <sz val="12"/>
            <color indexed="81"/>
            <rFont val="Tahoma"/>
            <family val="2"/>
          </rPr>
          <t>Si el resultado de las calificaciones del control, o el promedio en el diseño de los controles, está por debajo de 96%, se debe establecer un plan de acción que permita tener un control o controles bien diseñados enfocados en hacer frente a las causas.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1100-000001000000}">
      <text>
        <r>
          <rPr>
            <sz val="11"/>
            <color theme="1"/>
            <rFont val="Arial"/>
            <family val="2"/>
          </rPr>
          <t>Definición de los parametros internos, externos y de proceso que se toman en cuenta para la administración del riesgo.</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J7" authorId="0" shapeId="0" xr:uid="{00000000-0006-0000-1200-000001000000}">
      <text>
        <r>
          <rPr>
            <sz val="11"/>
            <color theme="1"/>
            <rFont val="Arial"/>
            <family val="2"/>
          </rPr>
          <t>Responda a las siguientes preguntas atendiendo SI O NO a cada una de las perguntas. Si el resultado da que es un riesgo de corrupción proceder con su calificación en la hoja de analisis riesgo corrupción.</t>
        </r>
      </text>
    </comment>
    <comment ref="A8" authorId="0" shapeId="0" xr:uid="{00000000-0006-0000-1200-000002000000}">
      <text>
        <r>
          <rPr>
            <sz val="11"/>
            <color theme="1"/>
            <rFont val="Arial"/>
            <family val="2"/>
          </rPr>
          <t>Seleccione el factor externo que puede ocasionar la posibilidad de que surja el riesgo. (Ver hoja Contexto).</t>
        </r>
      </text>
    </comment>
    <comment ref="B8" authorId="0" shapeId="0" xr:uid="{00000000-0006-0000-1200-000003000000}">
      <text>
        <r>
          <rPr>
            <sz val="11"/>
            <color theme="1"/>
            <rFont val="Arial"/>
            <family val="2"/>
          </rPr>
          <t>Seleccione el factor interno que puede ocasionar la posibilidad de que surja el riesgo. (Ver hoja Contexto).</t>
        </r>
      </text>
    </comment>
    <comment ref="C8" authorId="0" shapeId="0" xr:uid="{00000000-0006-0000-1200-000004000000}">
      <text>
        <r>
          <rPr>
            <sz val="11"/>
            <color theme="1"/>
            <rFont val="Arial"/>
            <family val="2"/>
          </rPr>
          <t>Seleccione el factor del proceso que puede ocasionar la posibilidad de que surja el riesgo. (Ver hoja Contexto).</t>
        </r>
      </text>
    </comment>
    <comment ref="E8" authorId="0" shapeId="0" xr:uid="{00000000-0006-0000-1200-000005000000}">
      <text>
        <r>
          <rPr>
            <sz val="11"/>
            <color theme="1"/>
            <rFont val="Arial"/>
            <family val="2"/>
          </rPr>
          <t>Indique brevemente el nombre del riesgo. Para ello tenga en cuenta la siguientes recomendaciones de redacciòn:
1. Evite iniciar con palabras negativas como: No, Que No, Nunca.
2. Evite palabras que indican que no es un riesgo sino una causa tales como: Ausencia de, Falta de, Escaso, Insuficiente, Deficiente, Debilidad en.
3. Recuerde que el riesgo puede ser el antonimo del objetivo del proceso o procedimiento. Ejemplo 
Objetivo: Adquirir con oportunidad y calidad técnica los bienes y servicios. 
Riesgo: Inoportunidad en la adquisiciòn de los bienes y servicios requeridos por la entidad.
4. Si lo que identifica tiene conotación de riesgo de corrupciòn recuerde redactarlo como el siguiente ejemplo:
Posibilidad de recibir o solicitar beneficio a nombre propio o de tercereros con el fin de celebrar un contrato.</t>
        </r>
      </text>
    </comment>
    <comment ref="F8" authorId="0" shapeId="0" xr:uid="{00000000-0006-0000-1200-000006000000}">
      <text>
        <r>
          <rPr>
            <sz val="11"/>
            <color theme="1"/>
            <rFont val="Arial"/>
            <family val="2"/>
          </rPr>
          <t>Describa lo que puede suceder..</t>
        </r>
      </text>
    </comment>
    <comment ref="G8" authorId="0" shapeId="0" xr:uid="{00000000-0006-0000-1200-000007000000}">
      <text>
        <r>
          <rPr>
            <sz val="11"/>
            <color theme="1"/>
            <rFont val="Arial"/>
            <family val="2"/>
          </rPr>
          <t>Seleccione que tipo de riesgo. Como ayuda puede revisar los conceptos definidos en la hoja datos columnas i y j.</t>
        </r>
      </text>
    </comment>
    <comment ref="H8" authorId="0" shapeId="0" xr:uid="{00000000-0006-0000-1200-000008000000}">
      <text>
        <r>
          <rPr>
            <sz val="11"/>
            <color theme="1"/>
            <rFont val="Arial"/>
            <family val="2"/>
          </rPr>
          <t>Establezca las causas que puedan generar el riesgo para ello puede utilizar las siguientes ejemplos para iniciar su redacción:
- Debilidad en …
- Carencia de…
- Falta de ….
- Ausencia de …
- Exceso de …
- Bajo ….</t>
        </r>
      </text>
    </comment>
    <comment ref="I8" authorId="0" shapeId="0" xr:uid="{00000000-0006-0000-1200-000009000000}">
      <text>
        <r>
          <rPr>
            <sz val="11"/>
            <color theme="1"/>
            <rFont val="Arial"/>
            <family val="2"/>
          </rPr>
          <t>Identifique los efectos o consecuensias que podrìa generarse con la materializascion del riesgo. Puede redactarse como:
- Perdida de …
- Insatisfacciòn de….
- Productos no… 
- Mala calidad en…
- Incumplimiento en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K6" authorId="0" shapeId="0" xr:uid="{00000000-0006-0000-1300-000001000000}">
      <text>
        <r>
          <rPr>
            <sz val="11"/>
            <color theme="1"/>
            <rFont val="Arial"/>
            <family val="2"/>
          </rPr>
          <t>Identifique el control existente, recuerde que de la acción del control debe existir evidencia. Para redactar el control tenga en cuenta la siguiente estructura:
 Verbo irregular + complemento.</t>
        </r>
      </text>
    </comment>
    <comment ref="L6" authorId="0" shapeId="0" xr:uid="{00000000-0006-0000-1300-000002000000}">
      <text>
        <r>
          <rPr>
            <sz val="11"/>
            <color theme="1"/>
            <rFont val="Arial"/>
            <family val="2"/>
          </rPr>
          <t>Describa la acción de control que es efectuada.  
Describa la acción, el responsable de la acción, la frecuencia del control, quien verifica la ejecución del control, que se realiza, el próposito del control y las causas que busca controlar.</t>
        </r>
      </text>
    </comment>
    <comment ref="X6" authorId="0" shapeId="0" xr:uid="{00000000-0006-0000-1300-000003000000}">
      <text>
        <r>
          <rPr>
            <sz val="11"/>
            <color theme="1"/>
            <rFont val="Arial"/>
            <family val="2"/>
          </rPr>
          <t xml:space="preserve">Zona de Riesgo Baja: Aceptar Riesgo.
Zona de Riesgo Moderada: Compartir o Reducir Riesgo.
Zona de Riesgo Alta: Compartir o Reducir Riesgo.
Zona de Riesgo Extrema: Evitar, </t>
        </r>
      </text>
    </comment>
    <comment ref="Y6" authorId="0" shapeId="0" xr:uid="{00000000-0006-0000-1300-000004000000}">
      <text>
        <r>
          <rPr>
            <sz val="11"/>
            <color theme="1"/>
            <rFont val="Arial"/>
            <family val="2"/>
          </rPr>
          <t>Si el resultado de las calificaciones del control, o el promedio en el diseño de los controles, está por debajo de 96%, se debe establecer un plan de acción que permita tener un control o controles bien diseñados enfocados en hacer frente a las causas.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D6" authorId="0" shapeId="0" xr:uid="{00000000-0006-0000-1400-000001000000}">
      <text>
        <r>
          <rPr>
            <sz val="11"/>
            <color theme="1"/>
            <rFont val="Arial"/>
            <family val="2"/>
          </rPr>
          <t>Solo aplica para riesgos de corrupción.</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K4" authorId="0" shapeId="0" xr:uid="{00000000-0006-0000-1600-000001000000}">
      <text>
        <r>
          <rPr>
            <b/>
            <sz val="11"/>
            <color indexed="81"/>
            <rFont val="Tahoma"/>
            <family val="2"/>
          </rPr>
          <t>Zona de Riesgo Baja</t>
        </r>
        <r>
          <rPr>
            <sz val="11"/>
            <color indexed="81"/>
            <rFont val="Tahoma"/>
            <family val="2"/>
          </rPr>
          <t xml:space="preserve">: Aceptar Riesgo.
</t>
        </r>
        <r>
          <rPr>
            <b/>
            <sz val="11"/>
            <color indexed="81"/>
            <rFont val="Tahoma"/>
            <family val="2"/>
          </rPr>
          <t>Zona de Riesgo Moderada:</t>
        </r>
        <r>
          <rPr>
            <sz val="11"/>
            <color indexed="81"/>
            <rFont val="Tahoma"/>
            <family val="2"/>
          </rPr>
          <t xml:space="preserve"> Compartir o Reducir Riesgo.
Zona de Riesgo Alta: Compartir o Reducir Riesgo.
Zona de Riesgo Extrema: Evitar, </t>
        </r>
      </text>
    </comment>
    <comment ref="L4" authorId="0" shapeId="0" xr:uid="{00000000-0006-0000-1600-000002000000}">
      <text>
        <r>
          <rPr>
            <sz val="12"/>
            <color indexed="81"/>
            <rFont val="Tahoma"/>
            <family val="2"/>
          </rPr>
          <t>Si el resultado de las calificaciones del control, o el promedio en el diseño de los controles, está por debajo de 96%, se debe establecer un plan de acción que permita tener un control o controles bien diseñados enfocados en hacer frente a las causas.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A5" authorId="0" shapeId="0" xr:uid="{00000000-0006-0000-1700-000001000000}">
      <text>
        <r>
          <rPr>
            <sz val="12"/>
            <color indexed="81"/>
            <rFont val="Tahoma"/>
            <family val="2"/>
          </rPr>
          <t>Definición de los parametros internos, externos y de proceso que se toman en cuenta para la administración del riesgo.</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J7" authorId="0" shapeId="0" xr:uid="{00000000-0006-0000-1800-000001000000}">
      <text>
        <r>
          <rPr>
            <sz val="10"/>
            <color indexed="81"/>
            <rFont val="Tahoma"/>
            <family val="2"/>
          </rPr>
          <t>Responda a las siguientes preguntas atendiendo SI O NO a cada una de las perguntas. Si el resultado da que es un riesgo de corrupción proceder con su calificación en la hoja de analisis riesgo corrupción.</t>
        </r>
      </text>
    </comment>
    <comment ref="A8" authorId="0" shapeId="0" xr:uid="{00000000-0006-0000-1800-000002000000}">
      <text>
        <r>
          <rPr>
            <sz val="10"/>
            <color indexed="81"/>
            <rFont val="Tahoma"/>
            <family val="2"/>
          </rPr>
          <t>Seleccione el factor externo que puede ocasionar la posibilidad de que surja el riesgo. (Ver hoja Contexto).</t>
        </r>
      </text>
    </comment>
    <comment ref="B8" authorId="0" shapeId="0" xr:uid="{00000000-0006-0000-1800-000003000000}">
      <text>
        <r>
          <rPr>
            <sz val="10"/>
            <color indexed="81"/>
            <rFont val="Tahoma"/>
            <family val="2"/>
          </rPr>
          <t>Seleccione el factor interno que puede ocasionar la posibilidad de que surja el riesgo. (Ver hoja Contexto).</t>
        </r>
      </text>
    </comment>
    <comment ref="C8" authorId="0" shapeId="0" xr:uid="{00000000-0006-0000-1800-000004000000}">
      <text>
        <r>
          <rPr>
            <sz val="10"/>
            <color indexed="81"/>
            <rFont val="Tahoma"/>
            <family val="2"/>
          </rPr>
          <t>Seleccione el factor del proceso que puede ocasionar la posibilidad de que surja el riesgo. (Ver hoja Contexto).</t>
        </r>
      </text>
    </comment>
    <comment ref="E8" authorId="0" shapeId="0" xr:uid="{00000000-0006-0000-1800-000005000000}">
      <text>
        <r>
          <rPr>
            <sz val="10"/>
            <color indexed="81"/>
            <rFont val="Tahoma"/>
            <family val="2"/>
          </rPr>
          <t>Indique brevemente el nombre del riesgo. Para ello tenga en cuenta la siguientes recomendaciones de redacciòn:
1. Evite iniciar con palabras negativas como: No, Que No, Nunca.
2. Evite palabras que indican que no es un riesgo sino una causa tales como: Ausencia de, Falta de, Escaso, Insuficiente, Deficiente, Debilidad en.
3. Recuerde que el riesgo puede ser el antonimo del objetivo del proceso o procedimiento. Ejemplo 
Objetivo: Adquirir con oportunidad y calidad técnica los bienes y servicios. 
Riesgo: Inoportunidad en la adquisiciòn de los bienes y servicios requeridos por la entidad.
4. Si lo que identifica tiene conotación de riesgo de corrupciòn recuerde redactarlo como el siguiente ejemplo:
Posibilidad de recibir o solicitar beneficio a nombre propio o de tercereros con el fin de celebrar un contrato.</t>
        </r>
      </text>
    </comment>
    <comment ref="F8" authorId="0" shapeId="0" xr:uid="{00000000-0006-0000-1800-000006000000}">
      <text>
        <r>
          <rPr>
            <sz val="10"/>
            <color indexed="81"/>
            <rFont val="Tahoma"/>
            <family val="2"/>
          </rPr>
          <t>Describa lo que puede suceder..</t>
        </r>
      </text>
    </comment>
    <comment ref="G8" authorId="0" shapeId="0" xr:uid="{00000000-0006-0000-1800-000007000000}">
      <text>
        <r>
          <rPr>
            <sz val="10"/>
            <color indexed="81"/>
            <rFont val="Tahoma"/>
            <family val="2"/>
          </rPr>
          <t>Seleccione que tipo de riesgo. Como ayuda puede revisar los conceptos definidos en la hoja datos columnas i y j.</t>
        </r>
      </text>
    </comment>
    <comment ref="H8" authorId="0" shapeId="0" xr:uid="{00000000-0006-0000-1800-000008000000}">
      <text>
        <r>
          <rPr>
            <sz val="10"/>
            <color indexed="81"/>
            <rFont val="Tahoma"/>
            <family val="2"/>
          </rPr>
          <t>Establezca las causas que puedan generar el riesgo para ello puede utilizar las siguientes ejemplos para iniciar su redacción:
- Debilidad en …
- Carencia de…
- Falta de ….
- Ausencia de …
- Exceso de …
- Bajo ….</t>
        </r>
      </text>
    </comment>
    <comment ref="I8" authorId="0" shapeId="0" xr:uid="{00000000-0006-0000-1800-000009000000}">
      <text>
        <r>
          <rPr>
            <sz val="10"/>
            <color indexed="81"/>
            <rFont val="Tahoma"/>
            <family val="2"/>
          </rPr>
          <t>Identifique los efectos o consecuensias que podrìa generarse con la materializascion del riesgo. Puede redactarse como:
- Perdida de …
- Insatisfacciòn de….
- Productos no… 
- Mala calidad en…
- Incumplimiento en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K6" authorId="0" shapeId="0" xr:uid="{00000000-0006-0000-1900-000001000000}">
      <text>
        <r>
          <rPr>
            <sz val="14"/>
            <color indexed="81"/>
            <rFont val="Tahoma"/>
            <family val="2"/>
          </rPr>
          <t>Identifique el control existente, recuerde que de la acción del control debe existir evidencia. Para redactar el control tenga en cuenta la siguiente estructura:
 Verbo irregular + complemento.</t>
        </r>
      </text>
    </comment>
    <comment ref="L6" authorId="0" shapeId="0" xr:uid="{00000000-0006-0000-1900-000002000000}">
      <text>
        <r>
          <rPr>
            <sz val="14"/>
            <color indexed="81"/>
            <rFont val="Tahoma"/>
            <family val="2"/>
          </rPr>
          <t>Describa la acción de control que es efectuada.  
Describa la acción, el responsable de la acción, la frecuencia del control, quien verifica la ejecución del control, que se realiza, el próposito del control y las causas que busca controlar.</t>
        </r>
      </text>
    </comment>
    <comment ref="X6" authorId="0" shapeId="0" xr:uid="{00000000-0006-0000-1900-000003000000}">
      <text>
        <r>
          <rPr>
            <b/>
            <sz val="11"/>
            <color indexed="81"/>
            <rFont val="Tahoma"/>
            <family val="2"/>
          </rPr>
          <t>Zona de Riesgo Baja</t>
        </r>
        <r>
          <rPr>
            <sz val="11"/>
            <color indexed="81"/>
            <rFont val="Tahoma"/>
            <family val="2"/>
          </rPr>
          <t xml:space="preserve">: Aceptar Riesgo.
</t>
        </r>
        <r>
          <rPr>
            <b/>
            <sz val="11"/>
            <color indexed="81"/>
            <rFont val="Tahoma"/>
            <family val="2"/>
          </rPr>
          <t>Zona de Riesgo Moderada:</t>
        </r>
        <r>
          <rPr>
            <sz val="11"/>
            <color indexed="81"/>
            <rFont val="Tahoma"/>
            <family val="2"/>
          </rPr>
          <t xml:space="preserve"> Compartir o Reducir Riesgo.
Zona de Riesgo Alta: Compartir o Reducir Riesgo.
Zona de Riesgo Extrema: Evitar, </t>
        </r>
      </text>
    </comment>
    <comment ref="Y6" authorId="0" shapeId="0" xr:uid="{00000000-0006-0000-1900-000004000000}">
      <text>
        <r>
          <rPr>
            <sz val="12"/>
            <color indexed="81"/>
            <rFont val="Tahoma"/>
            <family val="2"/>
          </rPr>
          <t>Si el resultado de las calificaciones del control, o el promedio en el diseño de los controles, está por debajo de 96%, se debe establecer un plan de acción que permita tener un control o controles bien diseñados enfocados en hacer frente a las causas.</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BENAVIDES SALAS</author>
  </authors>
  <commentList>
    <comment ref="D6" authorId="0" shapeId="0" xr:uid="{00000000-0006-0000-1A00-000001000000}">
      <text>
        <r>
          <rPr>
            <b/>
            <sz val="9"/>
            <color indexed="81"/>
            <rFont val="Tahoma"/>
            <family val="2"/>
          </rPr>
          <t>Solo aplica para riesgos de corrupción.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J7" authorId="0" shapeId="0" xr:uid="{00000000-0006-0000-0200-000001000000}">
      <text>
        <r>
          <rPr>
            <sz val="11"/>
            <color theme="1"/>
            <rFont val="Arial"/>
            <family val="2"/>
          </rPr>
          <t>Responda a las siguientes preguntas atendiendo SI O NO a cada una de las perguntas. Si el resultado da que es un riesgo de corrupción proceder con su calificación en la hoja de analisis riesgo corrupción.</t>
        </r>
      </text>
    </comment>
    <comment ref="A8" authorId="0" shapeId="0" xr:uid="{00000000-0006-0000-0200-000002000000}">
      <text>
        <r>
          <rPr>
            <sz val="11"/>
            <color theme="1"/>
            <rFont val="Arial"/>
            <family val="2"/>
          </rPr>
          <t>Seleccione el factor externo que puede ocasionar la posibilidad de que surja el riesgo. (Ver hoja Contexto).</t>
        </r>
      </text>
    </comment>
    <comment ref="B8" authorId="0" shapeId="0" xr:uid="{00000000-0006-0000-0200-000003000000}">
      <text>
        <r>
          <rPr>
            <sz val="11"/>
            <color theme="1"/>
            <rFont val="Arial"/>
            <family val="2"/>
          </rPr>
          <t>Seleccione el factor interno que puede ocasionar la posibilidad de que surja el riesgo. (Ver hoja Contexto).</t>
        </r>
      </text>
    </comment>
    <comment ref="C8" authorId="0" shapeId="0" xr:uid="{00000000-0006-0000-0200-000004000000}">
      <text>
        <r>
          <rPr>
            <sz val="11"/>
            <color theme="1"/>
            <rFont val="Arial"/>
            <family val="2"/>
          </rPr>
          <t>Seleccione el factor del proceso que puede ocasionar la posibilidad de que surja el riesgo. (Ver hoja Contexto).</t>
        </r>
      </text>
    </comment>
    <comment ref="E8" authorId="0" shapeId="0" xr:uid="{00000000-0006-0000-0200-000005000000}">
      <text>
        <r>
          <rPr>
            <sz val="11"/>
            <color theme="1"/>
            <rFont val="Arial"/>
            <family val="2"/>
          </rPr>
          <t>Indique brevemente el nombre del riesgo. Para ello tenga en cuenta la siguientes recomendaciones de redacciòn:
1. Evite iniciar con palabras negativas como: No, Que No, Nunca.
2. Evite palabras que indican que no es un riesgo sino una causa tales como: Ausencia de, Falta de, Escaso, Insuficiente, Deficiente, Debilidad en.
3. Recuerde que el riesgo puede ser el antonimo del objetivo del proceso o procedimiento. Ejemplo 
Objetivo: Adquirir con oportunidad y calidad técnica los bienes y servicios. 
Riesgo: Inoportunidad en la adquisiciòn de los bienes y servicios requeridos por la entidad.
4. Si lo que identifica tiene conotación de riesgo de corrupciòn recuerde redactarlo como el siguiente ejemplo:
Posibilidad de recibir o solicitar beneficio a nombre propio o de tercereros con el fin de celebrar un contrato.</t>
        </r>
      </text>
    </comment>
    <comment ref="F8" authorId="0" shapeId="0" xr:uid="{00000000-0006-0000-0200-000006000000}">
      <text>
        <r>
          <rPr>
            <sz val="11"/>
            <color theme="1"/>
            <rFont val="Arial"/>
            <family val="2"/>
          </rPr>
          <t>Describa lo que puede suceder..</t>
        </r>
      </text>
    </comment>
    <comment ref="G8" authorId="0" shapeId="0" xr:uid="{00000000-0006-0000-0200-000007000000}">
      <text>
        <r>
          <rPr>
            <sz val="11"/>
            <color theme="1"/>
            <rFont val="Arial"/>
            <family val="2"/>
          </rPr>
          <t>Seleccione que tipo de riesgo. Como ayuda puede revisar los conceptos definidos en la hoja datos columnas i y j.</t>
        </r>
      </text>
    </comment>
    <comment ref="H8" authorId="0" shapeId="0" xr:uid="{00000000-0006-0000-0200-000008000000}">
      <text>
        <r>
          <rPr>
            <sz val="11"/>
            <color theme="1"/>
            <rFont val="Arial"/>
            <family val="2"/>
          </rPr>
          <t>Establezca las causas que puedan generar el riesgo para ello puede utilizar las siguientes ejemplos para iniciar su redacción:
- Debilidad en …
- Carencia de…
- Falta de ….
- Ausencia de …
- Exceso de …
- Bajo ….</t>
        </r>
      </text>
    </comment>
    <comment ref="I8" authorId="0" shapeId="0" xr:uid="{00000000-0006-0000-0200-000009000000}">
      <text>
        <r>
          <rPr>
            <sz val="11"/>
            <color theme="1"/>
            <rFont val="Arial"/>
            <family val="2"/>
          </rPr>
          <t>Identifique los efectos o consecuensias que podrìa generarse con la materializascion del riesgo. Puede redactarse como:
- Perdida de …
- Insatisfacciòn de….
- Productos no… 
- Mala calidad en…
- Incumplimiento en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K4" authorId="0" shapeId="0" xr:uid="{00000000-0006-0000-1C00-000001000000}">
      <text>
        <r>
          <rPr>
            <b/>
            <sz val="11"/>
            <color indexed="81"/>
            <rFont val="Tahoma"/>
            <family val="2"/>
          </rPr>
          <t>Zona de Riesgo Baja</t>
        </r>
        <r>
          <rPr>
            <sz val="11"/>
            <color indexed="81"/>
            <rFont val="Tahoma"/>
            <family val="2"/>
          </rPr>
          <t xml:space="preserve">: Aceptar Riesgo.
</t>
        </r>
        <r>
          <rPr>
            <b/>
            <sz val="11"/>
            <color indexed="81"/>
            <rFont val="Tahoma"/>
            <family val="2"/>
          </rPr>
          <t>Zona de Riesgo Moderada:</t>
        </r>
        <r>
          <rPr>
            <sz val="11"/>
            <color indexed="81"/>
            <rFont val="Tahoma"/>
            <family val="2"/>
          </rPr>
          <t xml:space="preserve"> Compartir o Reducir Riesgo.
Zona de Riesgo Alta: Compartir o Reducir Riesgo.
Zona de Riesgo Extrema: Evitar, </t>
        </r>
      </text>
    </comment>
    <comment ref="L4" authorId="0" shapeId="0" xr:uid="{00000000-0006-0000-1C00-000002000000}">
      <text>
        <r>
          <rPr>
            <sz val="12"/>
            <color indexed="81"/>
            <rFont val="Tahoma"/>
            <family val="2"/>
          </rPr>
          <t>Si el resultado de las calificaciones del control, o el promedio en el diseño de los controles, está por debajo de 96%, se debe establecer un plan de acción que permita tener un control o controles bien diseñados enfocados en hacer frente a las causas.</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1D00-000001000000}">
      <text>
        <r>
          <rPr>
            <sz val="11"/>
            <color theme="1"/>
            <rFont val="Arial"/>
          </rPr>
          <t>======
ID#AAAAHbniY-A
Erika Barragan    (2020-12-09 23:57:43)
Definición de los parametros internos, externos y de proceso que se toman en cuenta para la administración del riesgo.</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
  </authors>
  <commentList>
    <comment ref="J7" authorId="0" shapeId="0" xr:uid="{00000000-0006-0000-1E00-000001000000}">
      <text>
        <r>
          <rPr>
            <sz val="11"/>
            <color theme="1"/>
            <rFont val="Arial"/>
          </rPr>
          <t>======
ID#AAAAHbniY9k
Erika Barragan    (2020-12-09 23:57:43)
Responda a las siguientes preguntas atendiendo SI O NO a cada una de las perguntas. Si el resultado da que es un riesgo de corrupción proceder con su calificación en la hoja de analisis riesgo corrupción.</t>
        </r>
      </text>
    </comment>
    <comment ref="A8" authorId="0" shapeId="0" xr:uid="{00000000-0006-0000-1E00-000002000000}">
      <text>
        <r>
          <rPr>
            <sz val="11"/>
            <color theme="1"/>
            <rFont val="Arial"/>
          </rPr>
          <t>======
ID#AAAAHbniY9Y
Erika Barragan    (2020-12-09 23:57:43)
Seleccione el factor externo que puede ocasionar la posibilidad de que surja el riesgo. (Ver hoja Contexto).</t>
        </r>
      </text>
    </comment>
    <comment ref="B8" authorId="0" shapeId="0" xr:uid="{00000000-0006-0000-1E00-000003000000}">
      <text>
        <r>
          <rPr>
            <sz val="11"/>
            <color theme="1"/>
            <rFont val="Arial"/>
          </rPr>
          <t>======
ID#AAAAHbniY9g
Erika Barragan    (2020-12-09 23:57:43)
Seleccione el factor interno que puede ocasionar la posibilidad de que surja el riesgo. (Ver hoja Contexto).</t>
        </r>
      </text>
    </comment>
    <comment ref="C8" authorId="0" shapeId="0" xr:uid="{00000000-0006-0000-1E00-000004000000}">
      <text>
        <r>
          <rPr>
            <sz val="11"/>
            <color theme="1"/>
            <rFont val="Arial"/>
          </rPr>
          <t>======
ID#AAAAHbniY-E
Erika Barragan    (2020-12-09 23:57:43)
Seleccione el factor del proceso que puede ocasionar la posibilidad de que surja el riesgo. (Ver hoja Contexto).</t>
        </r>
      </text>
    </comment>
    <comment ref="E8" authorId="0" shapeId="0" xr:uid="{00000000-0006-0000-1E00-000005000000}">
      <text>
        <r>
          <rPr>
            <sz val="11"/>
            <color theme="1"/>
            <rFont val="Arial"/>
          </rPr>
          <t>======
ID#AAAAHbniY-I
Indique brevemente el nombre del riesgo. Para ello tenga en cuenta la siguientes recomendaciones de redacciòn    (2020-12-09 23:57:43)
1. Evite iniciar con palabras negativas como: No, Que No, Nunca.
2. Evite palabras que indican que no es un riesgo sino una causa tales como: Ausencia de, Falta de, Escaso, Insuficiente, Deficiente, Debilidad en.
3. Recuerde que el riesgo puede ser el antonimo del objetivo del proceso o procedimiento. Ejemplo 
Objetivo: Adquirir con oportunidad y calidad técnica los bienes y servicios. 
Riesgo: Inoportunidad en la adquisiciòn de los bienes y servicios requeridos por la entidad.
4. Si lo que identifica tiene conotación de riesgo de corrupciòn recuerde redactarlo como el siguiente ejemplo:
Posibilidad de recibir o solicitar beneficio a nombre propio o de tercereros con el fin de celebrar un contrato.</t>
        </r>
      </text>
    </comment>
    <comment ref="F8" authorId="0" shapeId="0" xr:uid="{00000000-0006-0000-1E00-000006000000}">
      <text>
        <r>
          <rPr>
            <sz val="11"/>
            <color theme="1"/>
            <rFont val="Arial"/>
          </rPr>
          <t>======
ID#AAAAHbniY9c
Erika Barragan    (2020-12-09 23:57:43)
Describa lo que puede suceder..</t>
        </r>
      </text>
    </comment>
    <comment ref="G8" authorId="0" shapeId="0" xr:uid="{00000000-0006-0000-1E00-000007000000}">
      <text>
        <r>
          <rPr>
            <sz val="11"/>
            <color theme="1"/>
            <rFont val="Arial"/>
          </rPr>
          <t>======
ID#AAAAHbniY9o
Erika Barragan    (2020-12-09 23:57:43)
Seleccione que tipo de riesgo. Como ayuda puede revisar los conceptos definidos en la hoja datos columnas i y j.</t>
        </r>
      </text>
    </comment>
    <comment ref="H8" authorId="0" shapeId="0" xr:uid="{00000000-0006-0000-1E00-000008000000}">
      <text>
        <r>
          <rPr>
            <sz val="11"/>
            <color theme="1"/>
            <rFont val="Arial"/>
          </rPr>
          <t>======
ID#AAAAHbniY98
Establezca las causas que puedan generar el riesgo para ello puede utilizar las siguientes ejemplos para iniciar su redacción    (2020-12-09 23:57:43)
- Debilidad en …
- Carencia de…
- Falta de ….
- Ausencia de …
- Exceso de …
- Bajo ….</t>
        </r>
      </text>
    </comment>
    <comment ref="I8" authorId="0" shapeId="0" xr:uid="{00000000-0006-0000-1E00-000009000000}">
      <text>
        <r>
          <rPr>
            <sz val="11"/>
            <color theme="1"/>
            <rFont val="Arial"/>
          </rPr>
          <t>======
ID#AAAAHbniY9w
Identifique los efectos o consecuensias que podrìa generarse con la materializascion del riesgo. Puede redactarse como    (2020-12-09 23:57:43)
- Perdida de …
- Insatisfacciòn de….
- Productos no… 
- Mala calidad en…
- Incumplimiento en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
  </authors>
  <commentList>
    <comment ref="K6" authorId="0" shapeId="0" xr:uid="{00000000-0006-0000-1F00-000001000000}">
      <text>
        <r>
          <rPr>
            <sz val="11"/>
            <color theme="1"/>
            <rFont val="Arial"/>
          </rPr>
          <t>======
ID#AAAAHbniY90
Identifique el control existente, recuerde que de la acción del control debe existir evidencia. Para redactar el control tenga en cuenta la siguiente estructura    (2020-12-09 23:57:43)
Verbo irregular + complemento.</t>
        </r>
      </text>
    </comment>
    <comment ref="L6" authorId="0" shapeId="0" xr:uid="{00000000-0006-0000-1F00-000002000000}">
      <text>
        <r>
          <rPr>
            <sz val="11"/>
            <color theme="1"/>
            <rFont val="Arial"/>
          </rPr>
          <t>======
ID#AAAAHbniY-M
Erika Barragan    (2020-12-09 23:57:43)
Describa la acción de control que es efectuada.  
Describa la acción, el responsable de la acción, la frecuencia del control, quien verifica la ejecución del control, que se realiza, el próposito del control y las causas que busca controlar.</t>
        </r>
      </text>
    </comment>
    <comment ref="X6" authorId="0" shapeId="0" xr:uid="{00000000-0006-0000-1F00-000003000000}">
      <text>
        <r>
          <rPr>
            <sz val="11"/>
            <color theme="1"/>
            <rFont val="Arial"/>
          </rPr>
          <t>======
ID#AAAAHbniY94
Erika Barragan    (2020-12-09 23:57:43)
Zona de Riesgo Baja: Aceptar Riesgo.
Zona de Riesgo Moderada: Compartir o Reducir Riesgo.
Zona de Riesgo Alta: Compartir o Reducir Riesgo.
Zona de Riesgo Extrema: Evitar,</t>
        </r>
      </text>
    </comment>
    <comment ref="Y6" authorId="0" shapeId="0" xr:uid="{00000000-0006-0000-1F00-000004000000}">
      <text>
        <r>
          <rPr>
            <sz val="11"/>
            <color theme="1"/>
            <rFont val="Arial"/>
          </rPr>
          <t>======
ID#AAAAHbniY9s
Erika Barragan    (2020-12-09 23:57:43)
Si el resultado de las calificaciones del control, o el promedio en el diseño de los controles, está por debajo de 96%, se debe establecer un plan de acción que permita tener un control o controles bien diseñados enfocados en hacer frente a las causas.</t>
        </r>
      </text>
    </comment>
    <comment ref="X7" authorId="0" shapeId="0" xr:uid="{00000000-0006-0000-1F00-000005000000}">
      <text>
        <r>
          <rPr>
            <sz val="11"/>
            <color theme="1"/>
            <rFont val="Arial"/>
          </rPr>
          <t>======
ID#AAAAK7XxC24
Harold Eduardo Quiñones Neira    (2020-12-10 20:45:25)
La celda X7 debería ser "Aceptar el Riesgo" porque está en Zona de Riesgo Baja
Por la misma razón, se debe ajustar la celda X11
Finalmente, la celda X16 debe ajustarse a "Compartir o Reducir Riesgo" por ser zona de riesgo moderada</t>
        </r>
      </text>
    </comment>
    <comment ref="X16" authorId="0" shapeId="0" xr:uid="{00000000-0006-0000-1F00-000006000000}">
      <text>
        <r>
          <rPr>
            <sz val="11"/>
            <color theme="1"/>
            <rFont val="Arial"/>
          </rPr>
          <t>Modificar a "Reducir Riesgo"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
  </authors>
  <commentList>
    <comment ref="D6" authorId="0" shapeId="0" xr:uid="{00000000-0006-0000-2000-000001000000}">
      <text>
        <r>
          <rPr>
            <sz val="11"/>
            <color theme="1"/>
            <rFont val="Arial"/>
          </rPr>
          <t>======
ID#AAAAHbniY-Q
BENAVIDES SALAS    (2020-12-09 23:57:43)
Solo aplica para riesgos de corrupción.</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
  </authors>
  <commentList>
    <comment ref="K4" authorId="0" shapeId="0" xr:uid="{00000000-0006-0000-2200-000001000000}">
      <text>
        <r>
          <rPr>
            <sz val="11"/>
            <color theme="1"/>
            <rFont val="Arial"/>
          </rPr>
          <t>======
ID#AAAAHbniY9U
Erika Barragan    (2020-12-09 23:57:43)
Zona de Riesgo Baja: Aceptar Riesgo.
Zona de Riesgo Moderada: Compartir o Reducir Riesgo.
Zona de Riesgo Alta: Compartir o Reducir Riesgo.
Zona de Riesgo Extrema: Evitar,</t>
        </r>
      </text>
    </comment>
    <comment ref="L4" authorId="0" shapeId="0" xr:uid="{00000000-0006-0000-2200-000002000000}">
      <text>
        <r>
          <rPr>
            <sz val="11"/>
            <color theme="1"/>
            <rFont val="Arial"/>
          </rPr>
          <t>======
ID#AAAAHbniY9Q
Erika Barragan    (2020-12-09 23:57:43)
Si el resultado de las calificaciones del control, o el promedio en el diseño de los controles, está por debajo de 96%, se debe establecer un plan de acción que permita tener un control o controles bien diseñados enfocados en hacer frente a las causas.</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2300-000001000000}">
      <text>
        <r>
          <rPr>
            <sz val="11"/>
            <color theme="1"/>
            <rFont val="Arial"/>
            <family val="2"/>
          </rPr>
          <t>Definición de los parametros internos, externos y de proceso que se toman en cuenta para la administración del riesgo.</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
  </authors>
  <commentList>
    <comment ref="J7" authorId="0" shapeId="0" xr:uid="{00000000-0006-0000-2400-000001000000}">
      <text>
        <r>
          <rPr>
            <sz val="11"/>
            <color theme="1"/>
            <rFont val="Arial"/>
            <family val="2"/>
          </rPr>
          <t>Responda a las siguientes preguntas atendiendo SI O NO a cada una de las perguntas. Si el resultado da que es un riesgo de corrupción proceder con su calificación en la hoja de analisis riesgo corrupción.</t>
        </r>
      </text>
    </comment>
    <comment ref="A8" authorId="0" shapeId="0" xr:uid="{00000000-0006-0000-2400-000002000000}">
      <text>
        <r>
          <rPr>
            <sz val="11"/>
            <color theme="1"/>
            <rFont val="Arial"/>
            <family val="2"/>
          </rPr>
          <t>Seleccione el factor externo que puede ocasionar la posibilidad de que surja el riesgo. (Ver hoja Contexto).</t>
        </r>
      </text>
    </comment>
    <comment ref="B8" authorId="0" shapeId="0" xr:uid="{00000000-0006-0000-2400-000003000000}">
      <text>
        <r>
          <rPr>
            <sz val="11"/>
            <color theme="1"/>
            <rFont val="Arial"/>
            <family val="2"/>
          </rPr>
          <t>Seleccione el factor interno que puede ocasionar la posibilidad de que surja el riesgo. (Ver hoja Contexto).</t>
        </r>
      </text>
    </comment>
    <comment ref="C8" authorId="0" shapeId="0" xr:uid="{00000000-0006-0000-2400-000004000000}">
      <text>
        <r>
          <rPr>
            <sz val="11"/>
            <color theme="1"/>
            <rFont val="Arial"/>
            <family val="2"/>
          </rPr>
          <t>Seleccione el factor del proceso que puede ocasionar la posibilidad de que surja el riesgo. (Ver hoja Contexto).</t>
        </r>
      </text>
    </comment>
    <comment ref="E8" authorId="0" shapeId="0" xr:uid="{00000000-0006-0000-2400-000005000000}">
      <text>
        <r>
          <rPr>
            <sz val="11"/>
            <color theme="1"/>
            <rFont val="Arial"/>
            <family val="2"/>
          </rPr>
          <t>Indique brevemente el nombre del riesgo. Para ello tenga en cuenta la siguientes recomendaciones de redacciòn:
1. Evite iniciar con palabras negativas como: No, Que No, Nunca.
2. Evite palabras que indican que no es un riesgo sino una causa tales como: Ausencia de, Falta de, Escaso, Insuficiente, Deficiente, Debilidad en.
3. Recuerde que el riesgo puede ser el antonimo del objetivo del proceso o procedimiento. Ejemplo 
Objetivo: Adquirir con oportunidad y calidad técnica los bienes y servicios. 
Riesgo: Inoportunidad en la adquisiciòn de los bienes y servicios requeridos por la entidad.
4. Si lo que identifica tiene conotación de riesgo de corrupciòn recuerde redactarlo como el siguiente ejemplo:
Posibilidad de recibir o solicitar beneficio a nombre propio o de tercereros con el fin de celebrar un contrato.</t>
        </r>
      </text>
    </comment>
    <comment ref="F8" authorId="0" shapeId="0" xr:uid="{00000000-0006-0000-2400-000006000000}">
      <text>
        <r>
          <rPr>
            <sz val="11"/>
            <color theme="1"/>
            <rFont val="Arial"/>
            <family val="2"/>
          </rPr>
          <t>Describa lo que puede suceder..</t>
        </r>
      </text>
    </comment>
    <comment ref="G8" authorId="0" shapeId="0" xr:uid="{00000000-0006-0000-2400-000007000000}">
      <text>
        <r>
          <rPr>
            <sz val="11"/>
            <color theme="1"/>
            <rFont val="Arial"/>
            <family val="2"/>
          </rPr>
          <t>Seleccione que tipo de riesgo. Como ayuda puede revisar los conceptos definidos en la hoja datos columnas i y j.</t>
        </r>
      </text>
    </comment>
    <comment ref="H8" authorId="0" shapeId="0" xr:uid="{00000000-0006-0000-2400-000008000000}">
      <text>
        <r>
          <rPr>
            <sz val="11"/>
            <color theme="1"/>
            <rFont val="Arial"/>
            <family val="2"/>
          </rPr>
          <t>Establezca las causas que puedan generar el riesgo para ello puede utilizar las siguientes ejemplos para iniciar su redacción:
- Debilidad en …
- Carencia de…
- Falta de ….
- Ausencia de …
- Exceso de …
- Bajo ….</t>
        </r>
      </text>
    </comment>
    <comment ref="I8" authorId="0" shapeId="0" xr:uid="{00000000-0006-0000-2400-000009000000}">
      <text>
        <r>
          <rPr>
            <sz val="11"/>
            <color theme="1"/>
            <rFont val="Arial"/>
            <family val="2"/>
          </rPr>
          <t>Identifique los efectos o consecuensias que podrìa generarse con la materializascion del riesgo. Puede redactarse como:
- Perdida de …
- Insatisfacciòn de….
- Productos no… 
- Mala calidad en…
- Incumplimiento en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
  </authors>
  <commentList>
    <comment ref="K6" authorId="0" shapeId="0" xr:uid="{00000000-0006-0000-2500-000001000000}">
      <text>
        <r>
          <rPr>
            <sz val="11"/>
            <color theme="1"/>
            <rFont val="Arial"/>
            <family val="2"/>
          </rPr>
          <t>Identifique el control existente, recuerde que de la acción del control debe existir evidencia. Para redactar el control tenga en cuenta la siguiente estructura:
 Verbo irregular + complemento.</t>
        </r>
      </text>
    </comment>
    <comment ref="L6" authorId="0" shapeId="0" xr:uid="{00000000-0006-0000-2500-000002000000}">
      <text>
        <r>
          <rPr>
            <sz val="11"/>
            <color theme="1"/>
            <rFont val="Arial"/>
            <family val="2"/>
          </rPr>
          <t>Describa la acción de control que es efectuada.  
Describa la acción, el responsable de la acción, la frecuencia del control, quien verifica la ejecución del control, que se realiza, el próposito del control y las causas que busca controlar.</t>
        </r>
      </text>
    </comment>
    <comment ref="X6" authorId="0" shapeId="0" xr:uid="{00000000-0006-0000-2500-000003000000}">
      <text>
        <r>
          <rPr>
            <sz val="11"/>
            <color theme="1"/>
            <rFont val="Arial"/>
            <family val="2"/>
          </rPr>
          <t xml:space="preserve">Zona de Riesgo Baja: Aceptar Riesgo.
Zona de Riesgo Moderada: Compartir o Reducir Riesgo.
Zona de Riesgo Alta: Compartir o Reducir Riesgo.
Zona de Riesgo Extrema: Evitar, </t>
        </r>
      </text>
    </comment>
    <comment ref="Y6" authorId="0" shapeId="0" xr:uid="{00000000-0006-0000-2500-000004000000}">
      <text>
        <r>
          <rPr>
            <sz val="11"/>
            <color theme="1"/>
            <rFont val="Arial"/>
            <family val="2"/>
          </rPr>
          <t>Si el resultado de las calificaciones del control, o el promedio en el diseño de los controles, está por debajo de 96%, se debe establecer un plan de acción que permita tener un control o controles bien diseñados enfocados en hacer frente a las causas.</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
  </authors>
  <commentList>
    <comment ref="D6" authorId="0" shapeId="0" xr:uid="{00000000-0006-0000-2600-000001000000}">
      <text>
        <r>
          <rPr>
            <sz val="11"/>
            <color theme="1"/>
            <rFont val="Arial"/>
            <family val="2"/>
          </rPr>
          <t>Solo aplica para riesgos de corrupción.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K6" authorId="0" shapeId="0" xr:uid="{00000000-0006-0000-0300-000001000000}">
      <text>
        <r>
          <rPr>
            <sz val="11"/>
            <color theme="1"/>
            <rFont val="Arial"/>
            <family val="2"/>
          </rPr>
          <t>Identifique el control existente, recuerde que de la acción del control debe existir evidencia. Para redactar el control tenga en cuenta la siguiente estructura:
 Verbo irregular + complemento.</t>
        </r>
      </text>
    </comment>
    <comment ref="L6" authorId="0" shapeId="0" xr:uid="{00000000-0006-0000-0300-000002000000}">
      <text>
        <r>
          <rPr>
            <sz val="11"/>
            <color theme="1"/>
            <rFont val="Arial"/>
            <family val="2"/>
          </rPr>
          <t>Describa la acción de control que es efectuada.  
Describa la acción, el responsable de la acción, la frecuencia del control, quien verifica la ejecución del control, que se realiza, el próposito del control y las causas que busca controlar.</t>
        </r>
      </text>
    </comment>
    <comment ref="X6" authorId="0" shapeId="0" xr:uid="{00000000-0006-0000-0300-000003000000}">
      <text>
        <r>
          <rPr>
            <sz val="11"/>
            <color theme="1"/>
            <rFont val="Arial"/>
            <family val="2"/>
          </rPr>
          <t xml:space="preserve">Zona de Riesgo Baja: Aceptar Riesgo.
Zona de Riesgo Moderada: Compartir o Reducir Riesgo.
Zona de Riesgo Alta: Compartir o Reducir Riesgo.
Zona de Riesgo Extrema: Evitar, </t>
        </r>
      </text>
    </comment>
    <comment ref="Y6" authorId="0" shapeId="0" xr:uid="{00000000-0006-0000-0300-000004000000}">
      <text>
        <r>
          <rPr>
            <sz val="11"/>
            <color theme="1"/>
            <rFont val="Arial"/>
            <family val="2"/>
          </rPr>
          <t>Si el resultado de las calificaciones del control, o el promedio en el diseño de los controles, está por debajo de 96%, se debe establecer un plan de acción que permita tener un control o controles bien diseñados enfocados en hacer frente a las causas.</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K4" authorId="0" shapeId="0" xr:uid="{00000000-0006-0000-2800-000001000000}">
      <text>
        <r>
          <rPr>
            <b/>
            <sz val="11"/>
            <color indexed="81"/>
            <rFont val="Tahoma"/>
            <family val="2"/>
          </rPr>
          <t>Zona de Riesgo Baja</t>
        </r>
        <r>
          <rPr>
            <sz val="11"/>
            <color indexed="81"/>
            <rFont val="Tahoma"/>
            <family val="2"/>
          </rPr>
          <t xml:space="preserve">: Aceptar Riesgo.
</t>
        </r>
        <r>
          <rPr>
            <b/>
            <sz val="11"/>
            <color indexed="81"/>
            <rFont val="Tahoma"/>
            <family val="2"/>
          </rPr>
          <t>Zona de Riesgo Moderada:</t>
        </r>
        <r>
          <rPr>
            <sz val="11"/>
            <color indexed="81"/>
            <rFont val="Tahoma"/>
            <family val="2"/>
          </rPr>
          <t xml:space="preserve"> Compartir o Reducir Riesgo.
Zona de Riesgo Alta: Compartir o Reducir Riesgo.
Zona de Riesgo Extrema: Evitar, </t>
        </r>
      </text>
    </comment>
    <comment ref="L4" authorId="0" shapeId="0" xr:uid="{00000000-0006-0000-2800-000002000000}">
      <text>
        <r>
          <rPr>
            <sz val="12"/>
            <color indexed="81"/>
            <rFont val="Tahoma"/>
            <family val="2"/>
          </rPr>
          <t>Si el resultado de las calificaciones del control, o el promedio en el diseño de los controles, está por debajo de 96%, se debe establecer un plan de acción que permita tener un control o controles bien diseñados enfocados en hacer frente a las causas.</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A5" authorId="0" shapeId="0" xr:uid="{00000000-0006-0000-2900-000001000000}">
      <text>
        <r>
          <rPr>
            <sz val="12"/>
            <color indexed="81"/>
            <rFont val="Tahoma"/>
            <family val="2"/>
          </rPr>
          <t>Definición de los parametros internos, externos y de proceso que se toman en cuenta para la administración del riesgo.</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J7" authorId="0" shapeId="0" xr:uid="{00000000-0006-0000-2A00-000001000000}">
      <text>
        <r>
          <rPr>
            <sz val="10"/>
            <color indexed="81"/>
            <rFont val="Tahoma"/>
            <family val="2"/>
          </rPr>
          <t>Responda a las siguientes preguntas atendiendo SI O NO a cada una de las perguntas. Si el resultado da que es un riesgo de corrupción proceder con su calificación en la hoja de analisis riesgo corrupción.</t>
        </r>
      </text>
    </comment>
    <comment ref="A8" authorId="0" shapeId="0" xr:uid="{00000000-0006-0000-2A00-000002000000}">
      <text>
        <r>
          <rPr>
            <sz val="10"/>
            <color indexed="81"/>
            <rFont val="Tahoma"/>
            <family val="2"/>
          </rPr>
          <t>Seleccione el factor externo que puede ocasionar la posibilidad de que surja el riesgo. (Ver hoja Contexto).</t>
        </r>
      </text>
    </comment>
    <comment ref="B8" authorId="0" shapeId="0" xr:uid="{00000000-0006-0000-2A00-000003000000}">
      <text>
        <r>
          <rPr>
            <sz val="10"/>
            <color indexed="81"/>
            <rFont val="Tahoma"/>
            <family val="2"/>
          </rPr>
          <t>Seleccione el factor interno que puede ocasionar la posibilidad de que surja el riesgo. (Ver hoja Contexto).</t>
        </r>
      </text>
    </comment>
    <comment ref="C8" authorId="0" shapeId="0" xr:uid="{00000000-0006-0000-2A00-000004000000}">
      <text>
        <r>
          <rPr>
            <sz val="10"/>
            <color indexed="81"/>
            <rFont val="Tahoma"/>
            <family val="2"/>
          </rPr>
          <t>Seleccione el factor del proceso que puede ocasionar la posibilidad de que surja el riesgo. (Ver hoja Contexto).</t>
        </r>
      </text>
    </comment>
    <comment ref="E8" authorId="0" shapeId="0" xr:uid="{00000000-0006-0000-2A00-000005000000}">
      <text>
        <r>
          <rPr>
            <sz val="10"/>
            <color indexed="81"/>
            <rFont val="Tahoma"/>
            <family val="2"/>
          </rPr>
          <t>Indique brevemente el nombre del riesgo. Para ello tenga en cuenta la siguientes recomendaciones de redacciòn:
1. Evite iniciar con palabras negativas como: No, Que No, Nunca.
2. Evite palabras que indican que no es un riesgo sino una causa tales como: Ausencia de, Falta de, Escaso, Insuficiente, Deficiente, Debilidad en.
3. Recuerde que el riesgo puede ser el antonimo del objetivo del proceso o procedimiento. Ejemplo 
Objetivo: Adquirir con oportunidad y calidad técnica los bienes y servicios. 
Riesgo: Inoportunidad en la adquisiciòn de los bienes y servicios requeridos por la entidad.
4. Si lo que identifica tiene conotación de riesgo de corrupciòn recuerde redactarlo como el siguiente ejemplo:
Posibilidad de recibir o solicitar beneficio a nombre propio o de tercereros con el fin de celebrar un contrato.</t>
        </r>
      </text>
    </comment>
    <comment ref="F8" authorId="0" shapeId="0" xr:uid="{00000000-0006-0000-2A00-000006000000}">
      <text>
        <r>
          <rPr>
            <sz val="10"/>
            <color indexed="81"/>
            <rFont val="Tahoma"/>
            <family val="2"/>
          </rPr>
          <t>Describa lo que puede suceder..</t>
        </r>
      </text>
    </comment>
    <comment ref="G8" authorId="0" shapeId="0" xr:uid="{00000000-0006-0000-2A00-000007000000}">
      <text>
        <r>
          <rPr>
            <sz val="10"/>
            <color indexed="81"/>
            <rFont val="Tahoma"/>
            <family val="2"/>
          </rPr>
          <t>Seleccione que tipo de riesgo. Como ayuda puede revisar los conceptos definidos en la hoja datos columnas i y j.</t>
        </r>
      </text>
    </comment>
    <comment ref="H8" authorId="0" shapeId="0" xr:uid="{00000000-0006-0000-2A00-000008000000}">
      <text>
        <r>
          <rPr>
            <sz val="10"/>
            <color indexed="81"/>
            <rFont val="Tahoma"/>
            <family val="2"/>
          </rPr>
          <t>Establezca las causas que puedan generar el riesgo para ello puede utilizar las siguientes ejemplos para iniciar su redacción:
- Debilidad en …
- Carencia de…
- Falta de ….
- Ausencia de …
- Exceso de …
- Bajo ….</t>
        </r>
      </text>
    </comment>
    <comment ref="I8" authorId="0" shapeId="0" xr:uid="{00000000-0006-0000-2A00-000009000000}">
      <text>
        <r>
          <rPr>
            <sz val="10"/>
            <color indexed="81"/>
            <rFont val="Tahoma"/>
            <family val="2"/>
          </rPr>
          <t>Identifique los efectos o consecuensias que podrìa generarse con la materializascion del riesgo. Puede redactarse como:
- Perdida de …
- Insatisfacciòn de….
- Productos no… 
- Mala calidad en…
- Incumplimiento en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K6" authorId="0" shapeId="0" xr:uid="{00000000-0006-0000-2B00-000001000000}">
      <text>
        <r>
          <rPr>
            <sz val="14"/>
            <color indexed="81"/>
            <rFont val="Tahoma"/>
            <family val="2"/>
          </rPr>
          <t>Identifique el control existente, recuerde que de la acción del control debe existir evidencia. Para redactar el control tenga en cuenta la siguiente estructura:
 Verbo irregular + complemento.</t>
        </r>
      </text>
    </comment>
    <comment ref="L6" authorId="0" shapeId="0" xr:uid="{00000000-0006-0000-2B00-000002000000}">
      <text>
        <r>
          <rPr>
            <sz val="14"/>
            <color indexed="81"/>
            <rFont val="Tahoma"/>
            <family val="2"/>
          </rPr>
          <t>Describa la acción de control que es efectuada.  
Describa la acción, el responsable de la acción, la frecuencia del control, quien verifica la ejecución del control, que se realiza, el próposito del control y las causas que busca controlar.</t>
        </r>
      </text>
    </comment>
    <comment ref="X6" authorId="0" shapeId="0" xr:uid="{00000000-0006-0000-2B00-000003000000}">
      <text>
        <r>
          <rPr>
            <b/>
            <sz val="11"/>
            <color indexed="81"/>
            <rFont val="Tahoma"/>
            <family val="2"/>
          </rPr>
          <t>Zona de Riesgo Baja</t>
        </r>
        <r>
          <rPr>
            <sz val="11"/>
            <color indexed="81"/>
            <rFont val="Tahoma"/>
            <family val="2"/>
          </rPr>
          <t xml:space="preserve">: Aceptar Riesgo.
</t>
        </r>
        <r>
          <rPr>
            <b/>
            <sz val="11"/>
            <color indexed="81"/>
            <rFont val="Tahoma"/>
            <family val="2"/>
          </rPr>
          <t>Zona de Riesgo Moderada:</t>
        </r>
        <r>
          <rPr>
            <sz val="11"/>
            <color indexed="81"/>
            <rFont val="Tahoma"/>
            <family val="2"/>
          </rPr>
          <t xml:space="preserve"> Compartir o Reducir Riesgo.
Zona de Riesgo Alta: Compartir o Reducir Riesgo.
Zona de Riesgo Extrema: Evitar, </t>
        </r>
      </text>
    </comment>
    <comment ref="Y6" authorId="0" shapeId="0" xr:uid="{00000000-0006-0000-2B00-000004000000}">
      <text>
        <r>
          <rPr>
            <sz val="12"/>
            <color indexed="81"/>
            <rFont val="Tahoma"/>
            <family val="2"/>
          </rPr>
          <t>Si el resultado de las calificaciones del control, o el promedio en el diseño de los controles, está por debajo de 96%, se debe establecer un plan de acción que permita tener un control o controles bien diseñados enfocados en hacer frente a las causas.</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BENAVIDES SALAS</author>
  </authors>
  <commentList>
    <comment ref="D6" authorId="0" shapeId="0" xr:uid="{00000000-0006-0000-2C00-000001000000}">
      <text>
        <r>
          <rPr>
            <b/>
            <sz val="9"/>
            <color indexed="81"/>
            <rFont val="Tahoma"/>
            <family val="2"/>
          </rPr>
          <t>Solo aplica para riesgos de corrupción.</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K4" authorId="0" shapeId="0" xr:uid="{00000000-0006-0000-2E00-000001000000}">
      <text>
        <r>
          <rPr>
            <b/>
            <sz val="11"/>
            <color indexed="81"/>
            <rFont val="Tahoma"/>
            <family val="2"/>
          </rPr>
          <t>Zona de Riesgo Baja</t>
        </r>
        <r>
          <rPr>
            <sz val="11"/>
            <color indexed="81"/>
            <rFont val="Tahoma"/>
            <family val="2"/>
          </rPr>
          <t xml:space="preserve">: Aceptar Riesgo.
</t>
        </r>
        <r>
          <rPr>
            <b/>
            <sz val="11"/>
            <color indexed="81"/>
            <rFont val="Tahoma"/>
            <family val="2"/>
          </rPr>
          <t>Zona de Riesgo Moderada:</t>
        </r>
        <r>
          <rPr>
            <sz val="11"/>
            <color indexed="81"/>
            <rFont val="Tahoma"/>
            <family val="2"/>
          </rPr>
          <t xml:space="preserve"> Compartir o Reducir Riesgo.
Zona de Riesgo Alta: Compartir o Reducir Riesgo.
Zona de Riesgo Extrema: Evitar, </t>
        </r>
      </text>
    </comment>
    <comment ref="L4" authorId="0" shapeId="0" xr:uid="{00000000-0006-0000-2E00-000002000000}">
      <text>
        <r>
          <rPr>
            <sz val="12"/>
            <color indexed="81"/>
            <rFont val="Tahoma"/>
            <family val="2"/>
          </rPr>
          <t>Si el resultado de las calificaciones del control, o el promedio en el diseño de los controles, está por debajo de 96%, se debe establecer un plan de acción que permita tener un control o controles bien diseñados enfocados en hacer frente a las causas.</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2F00-000001000000}">
      <text>
        <r>
          <rPr>
            <sz val="11"/>
            <color theme="1"/>
            <rFont val="Arial"/>
            <family val="2"/>
          </rPr>
          <t>Definición de los parametros internos, externos y de proceso que se toman en cuenta para la administración del riesgo.</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
  </authors>
  <commentList>
    <comment ref="J7" authorId="0" shapeId="0" xr:uid="{00000000-0006-0000-3000-000001000000}">
      <text>
        <r>
          <rPr>
            <sz val="11"/>
            <color theme="1"/>
            <rFont val="Arial"/>
            <family val="2"/>
          </rPr>
          <t>Responda a las siguientes preguntas atendiendo SI O NO a cada una de las perguntas. Si el resultado da que es un riesgo de corrupción proceder con su calificación en la hoja de analisis riesgo corrupción.</t>
        </r>
      </text>
    </comment>
    <comment ref="A8" authorId="0" shapeId="0" xr:uid="{00000000-0006-0000-3000-000002000000}">
      <text>
        <r>
          <rPr>
            <sz val="11"/>
            <color theme="1"/>
            <rFont val="Arial"/>
            <family val="2"/>
          </rPr>
          <t>Seleccione el factor externo que puede ocasionar la posibilidad de que surja el riesgo. (Ver hoja Contexto).</t>
        </r>
      </text>
    </comment>
    <comment ref="B8" authorId="0" shapeId="0" xr:uid="{00000000-0006-0000-3000-000003000000}">
      <text>
        <r>
          <rPr>
            <sz val="11"/>
            <color theme="1"/>
            <rFont val="Arial"/>
            <family val="2"/>
          </rPr>
          <t>Seleccione el factor interno que puede ocasionar la posibilidad de que surja el riesgo. (Ver hoja Contexto).</t>
        </r>
      </text>
    </comment>
    <comment ref="C8" authorId="0" shapeId="0" xr:uid="{00000000-0006-0000-3000-000004000000}">
      <text>
        <r>
          <rPr>
            <sz val="11"/>
            <color theme="1"/>
            <rFont val="Arial"/>
            <family val="2"/>
          </rPr>
          <t>Seleccione el factor del proceso que puede ocasionar la posibilidad de que surja el riesgo. (Ver hoja Contexto).</t>
        </r>
      </text>
    </comment>
    <comment ref="E8" authorId="0" shapeId="0" xr:uid="{00000000-0006-0000-3000-000005000000}">
      <text>
        <r>
          <rPr>
            <sz val="11"/>
            <color theme="1"/>
            <rFont val="Arial"/>
            <family val="2"/>
          </rPr>
          <t>Indique brevemente el nombre del riesgo. Para ello tenga en cuenta la siguientes recomendaciones de redacciòn:
1. Evite iniciar con palabras negativas como: No, Que No, Nunca.
2. Evite palabras que indican que no es un riesgo sino una causa tales como: Ausencia de, Falta de, Escaso, Insuficiente, Deficiente, Debilidad en.
3. Recuerde que el riesgo puede ser el antonimo del objetivo del proceso o procedimiento. Ejemplo 
Objetivo: Adquirir con oportunidad y calidad técnica los bienes y servicios. 
Riesgo: Inoportunidad en la adquisiciòn de los bienes y servicios requeridos por la entidad.
4. Si lo que identifica tiene conotación de riesgo de corrupciòn recuerde redactarlo como el siguiente ejemplo:
Posibilidad de recibir o solicitar beneficio a nombre propio o de tercereros con el fin de celebrar un contrato.</t>
        </r>
      </text>
    </comment>
    <comment ref="F8" authorId="0" shapeId="0" xr:uid="{00000000-0006-0000-3000-000006000000}">
      <text>
        <r>
          <rPr>
            <sz val="11"/>
            <color theme="1"/>
            <rFont val="Arial"/>
            <family val="2"/>
          </rPr>
          <t>Describa lo que puede suceder..</t>
        </r>
      </text>
    </comment>
    <comment ref="G8" authorId="0" shapeId="0" xr:uid="{00000000-0006-0000-3000-000007000000}">
      <text>
        <r>
          <rPr>
            <sz val="11"/>
            <color theme="1"/>
            <rFont val="Arial"/>
            <family val="2"/>
          </rPr>
          <t>Seleccione que tipo de riesgo. Como ayuda puede revisar los conceptos definidos en la hoja datos columnas i y j.</t>
        </r>
      </text>
    </comment>
    <comment ref="H8" authorId="0" shapeId="0" xr:uid="{00000000-0006-0000-3000-000008000000}">
      <text>
        <r>
          <rPr>
            <sz val="11"/>
            <color theme="1"/>
            <rFont val="Arial"/>
            <family val="2"/>
          </rPr>
          <t>Establezca las causas que puedan generar el riesgo para ello puede utilizar las siguientes ejemplos para iniciar su redacción:
- Debilidad en …
- Carencia de…
- Falta de ….
- Ausencia de …
- Exceso de …
- Bajo ….</t>
        </r>
      </text>
    </comment>
    <comment ref="I8" authorId="0" shapeId="0" xr:uid="{00000000-0006-0000-3000-000009000000}">
      <text>
        <r>
          <rPr>
            <sz val="11"/>
            <color theme="1"/>
            <rFont val="Arial"/>
            <family val="2"/>
          </rPr>
          <t>Identifique los efectos o consecuensias que podrìa generarse con la materializascion del riesgo. Puede redactarse como:
- Perdida de …
- Insatisfacciòn de….
- Productos no… 
- Mala calidad en…
- Incumplimiento en ...</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
  </authors>
  <commentList>
    <comment ref="K6" authorId="0" shapeId="0" xr:uid="{00000000-0006-0000-3100-000001000000}">
      <text>
        <r>
          <rPr>
            <sz val="11"/>
            <color theme="1"/>
            <rFont val="Arial"/>
            <family val="2"/>
          </rPr>
          <t>Identifique el control existente, recuerde que de la acción del control debe existir evidencia. Para redactar el control tenga en cuenta la siguiente estructura:
 Verbo irregular + complemento.</t>
        </r>
      </text>
    </comment>
    <comment ref="L6" authorId="0" shapeId="0" xr:uid="{00000000-0006-0000-3100-000002000000}">
      <text>
        <r>
          <rPr>
            <sz val="11"/>
            <color theme="1"/>
            <rFont val="Arial"/>
            <family val="2"/>
          </rPr>
          <t>Describa la acción de control que es efectuada.  
Describa la acción, el responsable de la acción, la frecuencia del control, quien verifica la ejecución del control, que se realiza, el próposito del control y las causas que busca controlar.</t>
        </r>
      </text>
    </comment>
    <comment ref="X6" authorId="0" shapeId="0" xr:uid="{00000000-0006-0000-3100-000003000000}">
      <text>
        <r>
          <rPr>
            <sz val="11"/>
            <color theme="1"/>
            <rFont val="Arial"/>
            <family val="2"/>
          </rPr>
          <t xml:space="preserve">Zona de Riesgo Baja: Aceptar Riesgo.
Zona de Riesgo Moderada: Compartir o Reducir Riesgo.
Zona de Riesgo Alta: Compartir o Reducir Riesgo.
Zona de Riesgo Extrema: Evitar, </t>
        </r>
      </text>
    </comment>
    <comment ref="Y6" authorId="0" shapeId="0" xr:uid="{00000000-0006-0000-3100-000004000000}">
      <text>
        <r>
          <rPr>
            <sz val="11"/>
            <color theme="1"/>
            <rFont val="Arial"/>
            <family val="2"/>
          </rPr>
          <t>Si el resultado de las calificaciones del control, o el promedio en el diseño de los controles, está por debajo de 96%, se debe establecer un plan de acción que permita tener un control o controles bien diseñados enfocados en hacer frente a las causas.</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
  </authors>
  <commentList>
    <comment ref="D6" authorId="0" shapeId="0" xr:uid="{00000000-0006-0000-3200-000001000000}">
      <text>
        <r>
          <rPr>
            <sz val="11"/>
            <color theme="1"/>
            <rFont val="Arial"/>
            <family val="2"/>
          </rPr>
          <t>Solo aplica para riesgos de corrupción.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D6" authorId="0" shapeId="0" xr:uid="{00000000-0006-0000-0400-000001000000}">
      <text>
        <r>
          <rPr>
            <sz val="11"/>
            <color theme="1"/>
            <rFont val="Arial"/>
            <family val="2"/>
          </rPr>
          <t>Solo aplica para riesgos de corrupción.</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K4" authorId="0" shapeId="0" xr:uid="{00000000-0006-0000-3400-000001000000}">
      <text>
        <r>
          <rPr>
            <b/>
            <sz val="11"/>
            <color indexed="81"/>
            <rFont val="Tahoma"/>
            <family val="2"/>
          </rPr>
          <t>Zona de Riesgo Baja</t>
        </r>
        <r>
          <rPr>
            <sz val="11"/>
            <color indexed="81"/>
            <rFont val="Tahoma"/>
            <family val="2"/>
          </rPr>
          <t xml:space="preserve">: Aceptar Riesgo.
</t>
        </r>
        <r>
          <rPr>
            <b/>
            <sz val="11"/>
            <color indexed="81"/>
            <rFont val="Tahoma"/>
            <family val="2"/>
          </rPr>
          <t>Zona de Riesgo Moderada:</t>
        </r>
        <r>
          <rPr>
            <sz val="11"/>
            <color indexed="81"/>
            <rFont val="Tahoma"/>
            <family val="2"/>
          </rPr>
          <t xml:space="preserve"> Compartir o Reducir Riesgo.
Zona de Riesgo Alta: Compartir o Reducir Riesgo.
Zona de Riesgo Extrema: Evitar, </t>
        </r>
      </text>
    </comment>
    <comment ref="L4" authorId="0" shapeId="0" xr:uid="{00000000-0006-0000-3400-000002000000}">
      <text>
        <r>
          <rPr>
            <sz val="12"/>
            <color indexed="81"/>
            <rFont val="Tahoma"/>
            <family val="2"/>
          </rPr>
          <t>Si el resultado de las calificaciones del control, o el promedio en el diseño de los controles, está por debajo de 96%, se debe establecer un plan de acción que permita tener un control o controles bien diseñados enfocados en hacer frente a las causas.</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3500-000001000000}">
      <text>
        <r>
          <rPr>
            <sz val="11"/>
            <color theme="1"/>
            <rFont val="Arial"/>
          </rPr>
          <t>======
ID#AAAAHa5YBQs
Erika Barragan    (2020-12-09 23:39:53)
Definición de los parametros internos, externos y de proceso que se toman en cuenta para la administración del riesgo.</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
  </authors>
  <commentList>
    <comment ref="J7" authorId="0" shapeId="0" xr:uid="{00000000-0006-0000-3600-000001000000}">
      <text>
        <r>
          <rPr>
            <sz val="11"/>
            <color theme="1"/>
            <rFont val="Arial"/>
          </rPr>
          <t>======
ID#AAAAHa5YBQc
Erika Barragan    (2020-12-09 23:39:53)
Responda a las siguientes preguntas atendiendo SI O NO a cada una de las perguntas. Si el resultado da que es un riesgo de corrupción proceder con su calificación en la hoja de analisis riesgo corrupción.</t>
        </r>
      </text>
    </comment>
    <comment ref="A8" authorId="0" shapeId="0" xr:uid="{00000000-0006-0000-3600-000002000000}">
      <text>
        <r>
          <rPr>
            <sz val="11"/>
            <color theme="1"/>
            <rFont val="Arial"/>
          </rPr>
          <t>======
ID#AAAAHa5YBQo
Erika Barragan    (2020-12-09 23:39:53)
Seleccione el factor externo que puede ocasionar la posibilidad de que surja el riesgo. (Ver hoja Contexto).</t>
        </r>
      </text>
    </comment>
    <comment ref="B8" authorId="0" shapeId="0" xr:uid="{00000000-0006-0000-3600-000003000000}">
      <text>
        <r>
          <rPr>
            <sz val="11"/>
            <color theme="1"/>
            <rFont val="Arial"/>
          </rPr>
          <t>======
ID#AAAAHa5YBQw
Erika Barragan    (2020-12-09 23:39:53)
Seleccione el factor interno que puede ocasionar la posibilidad de que surja el riesgo. (Ver hoja Contexto).</t>
        </r>
      </text>
    </comment>
    <comment ref="C8" authorId="0" shapeId="0" xr:uid="{00000000-0006-0000-3600-000004000000}">
      <text>
        <r>
          <rPr>
            <sz val="11"/>
            <color theme="1"/>
            <rFont val="Arial"/>
          </rPr>
          <t>======
ID#AAAAHa5YBQU
Erika Barragan    (2020-12-09 23:39:53)
Seleccione el factor del proceso que puede ocasionar la posibilidad de que surja el riesgo. (Ver hoja Contexto).</t>
        </r>
      </text>
    </comment>
    <comment ref="E8" authorId="0" shapeId="0" xr:uid="{00000000-0006-0000-3600-000005000000}">
      <text>
        <r>
          <rPr>
            <sz val="11"/>
            <color theme="1"/>
            <rFont val="Arial"/>
          </rPr>
          <t>======
ID#AAAAHa5YBRM
Indique brevemente el nombre del riesgo. Para ello tenga en cuenta la siguientes recomendaciones de redacciòn    (2020-12-09 23:39:53)
1. Evite iniciar con palabras negativas como: No, Que No, Nunca.
2. Evite palabras que indican que no es un riesgo sino una causa tales como: Ausencia de, Falta de, Escaso, Insuficiente, Deficiente, Debilidad en.
3. Recuerde que el riesgo puede ser el antonimo del objetivo del proceso o procedimiento. Ejemplo 
Objetivo: Adquirir con oportunidad y calidad técnica los bienes y servicios. 
Riesgo: Inoportunidad en la adquisiciòn de los bienes y servicios requeridos por la entidad.
4. Si lo que identifica tiene conotación de riesgo de corrupciòn recuerde redactarlo como el siguiente ejemplo:
Posibilidad de recibir o solicitar beneficio a nombre propio o de tercereros con el fin de celebrar un contrato.</t>
        </r>
      </text>
    </comment>
    <comment ref="F8" authorId="0" shapeId="0" xr:uid="{00000000-0006-0000-3600-000006000000}">
      <text>
        <r>
          <rPr>
            <sz val="11"/>
            <color theme="1"/>
            <rFont val="Arial"/>
          </rPr>
          <t>======
ID#AAAAHa5YBQ8
Erika Barragan    (2020-12-09 23:39:53)
Describa lo que puede suceder..</t>
        </r>
      </text>
    </comment>
    <comment ref="G8" authorId="0" shapeId="0" xr:uid="{00000000-0006-0000-3600-000007000000}">
      <text>
        <r>
          <rPr>
            <sz val="11"/>
            <color theme="1"/>
            <rFont val="Arial"/>
          </rPr>
          <t>======
ID#AAAAHa5YBRQ
Erika Barragan    (2020-12-09 23:39:53)
Seleccione que tipo de riesgo. Como ayuda puede revisar los conceptos definidos en la hoja datos columnas i y j.</t>
        </r>
      </text>
    </comment>
    <comment ref="H8" authorId="0" shapeId="0" xr:uid="{00000000-0006-0000-3600-000008000000}">
      <text>
        <r>
          <rPr>
            <sz val="11"/>
            <color theme="1"/>
            <rFont val="Arial"/>
          </rPr>
          <t>======
ID#AAAAHa5YBRc
Establezca las causas que puedan generar el riesgo para ello puede utilizar las siguientes ejemplos para iniciar su redacción    (2020-12-09 23:39:53)
- Debilidad en …
- Carencia de…
- Falta de ….
- Ausencia de …
- Exceso de …
- Bajo ….</t>
        </r>
      </text>
    </comment>
    <comment ref="I8" authorId="0" shapeId="0" xr:uid="{00000000-0006-0000-3600-000009000000}">
      <text>
        <r>
          <rPr>
            <sz val="11"/>
            <color theme="1"/>
            <rFont val="Arial"/>
          </rPr>
          <t>======
ID#AAAAHa5YBRA
Identifique los efectos o consecuensias que podrìa generarse con la materializascion del riesgo. Puede redactarse como    (2020-12-09 23:39:53)
- Perdida de …
- Insatisfacciòn de….
- Productos no… 
- Mala calidad en…
- Incumplimiento en ...</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
  </authors>
  <commentList>
    <comment ref="D6" authorId="0" shapeId="0" xr:uid="{00000000-0006-0000-3700-000001000000}">
      <text>
        <r>
          <rPr>
            <sz val="11"/>
            <color theme="1"/>
            <rFont val="Arial"/>
          </rPr>
          <t>======
ID#AAAAHa5YBRE
Gotjen    (2020-12-09 23:39:53)
Ver hoja "Datos"</t>
        </r>
      </text>
    </comment>
    <comment ref="F6" authorId="0" shapeId="0" xr:uid="{00000000-0006-0000-3700-000002000000}">
      <text>
        <r>
          <rPr>
            <sz val="11"/>
            <color theme="1"/>
            <rFont val="Arial"/>
          </rPr>
          <t>======
ID#AAAAHa5YBQg
Gotjen    (2020-12-09 23:39:53)
Ver hoja "datos"</t>
        </r>
      </text>
    </comment>
    <comment ref="G6" authorId="0" shapeId="0" xr:uid="{00000000-0006-0000-3700-000003000000}">
      <text>
        <r>
          <rPr>
            <sz val="11"/>
            <color theme="1"/>
            <rFont val="Arial"/>
          </rPr>
          <t>======
ID#AAAAHa5YBQY
Gotjen    (2020-12-09 23:39:53)
De proceso: ver hoja "datos"
De corrupción: ver hoja "analisis riesgo corrupcion"</t>
        </r>
      </text>
    </comment>
    <comment ref="K6" authorId="0" shapeId="0" xr:uid="{00000000-0006-0000-3700-000004000000}">
      <text>
        <r>
          <rPr>
            <sz val="11"/>
            <color theme="1"/>
            <rFont val="Arial"/>
          </rPr>
          <t>======
ID#AAAAHa5YBRY
Identifique el control existente, recuerde que de la acción del control debe existir evidencia. Para redactar el control tenga en cuenta la siguiente estructura    (2020-12-09 23:39:53)
Verbo irregular + complemento.</t>
        </r>
      </text>
    </comment>
    <comment ref="L6" authorId="0" shapeId="0" xr:uid="{00000000-0006-0000-3700-000005000000}">
      <text>
        <r>
          <rPr>
            <sz val="11"/>
            <color theme="1"/>
            <rFont val="Arial"/>
          </rPr>
          <t>======
ID#AAAAHa5YBRI
Erika Barragan    (2020-12-09 23:39:53)
Describa la acción de control que es efectuada.  
Describa la acción, el responsable de la acción, la frecuencia del control, quien verifica la ejecución del control, que se realiza, el próposito del control y las causas que busca controlar.</t>
        </r>
      </text>
    </comment>
    <comment ref="M6" authorId="0" shapeId="0" xr:uid="{00000000-0006-0000-3700-000006000000}">
      <text>
        <r>
          <rPr>
            <sz val="11"/>
            <color theme="1"/>
            <rFont val="Arial"/>
          </rPr>
          <t>======
ID#AAAAHa5YBQk
Gotjen    (2020-12-09 23:39:53)
ir a hoja " controles"</t>
        </r>
      </text>
    </comment>
    <comment ref="X6" authorId="0" shapeId="0" xr:uid="{00000000-0006-0000-3700-000007000000}">
      <text>
        <r>
          <rPr>
            <sz val="11"/>
            <color theme="1"/>
            <rFont val="Arial"/>
          </rPr>
          <t>======
ID#AAAAHa5YBQ4
Erika Barragan    (2020-12-09 23:39:53)
Zona de Riesgo Baja: Aceptar Riesgo.
Zona de Riesgo Moderada: Compartir o Reducir Riesgo.
Zona de Riesgo Alta: Compartir o Reducir Riesgo.
Zona de Riesgo Extrema: Evitar,</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
  </authors>
  <commentList>
    <comment ref="K4" authorId="0" shapeId="0" xr:uid="{00000000-0006-0000-3900-000001000000}">
      <text>
        <r>
          <rPr>
            <sz val="11"/>
            <color theme="1"/>
            <rFont val="Arial"/>
          </rPr>
          <t>======
ID#AAAAHa5YBRU
Erika Barragan    (2020-12-09 23:39:53)
Zona de Riesgo Baja: Aceptar Riesgo.
Zona de Riesgo Moderada: Compartir o Reducir Riesgo.
Zona de Riesgo Alta: Compartir o Reducir Riesgo.
Zona de Riesgo Extrema: Evitar,</t>
        </r>
      </text>
    </comment>
    <comment ref="L4" authorId="0" shapeId="0" xr:uid="{00000000-0006-0000-3900-000002000000}">
      <text>
        <r>
          <rPr>
            <sz val="11"/>
            <color theme="1"/>
            <rFont val="Arial"/>
          </rPr>
          <t>======
ID#AAAAHa5YBQ0
Erika Barragan    (2020-12-09 23:39:53)
Si el resultado de las calificaciones del control, o el promedio en el diseño de los controles, está por debajo de 96%, se debe establecer un plan de acción que permita tener un control o controles bien diseñados enfocados en hacer frente a las causas.</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A5" authorId="0" shapeId="0" xr:uid="{00000000-0006-0000-3A00-000001000000}">
      <text>
        <r>
          <rPr>
            <sz val="12"/>
            <color indexed="81"/>
            <rFont val="Tahoma"/>
            <family val="2"/>
          </rPr>
          <t>Definición de los parametros internos, externos y de proceso que se toman en cuenta para la administración del riesgo.</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J7" authorId="0" shapeId="0" xr:uid="{00000000-0006-0000-3B00-000001000000}">
      <text>
        <r>
          <rPr>
            <sz val="10"/>
            <color indexed="81"/>
            <rFont val="Tahoma"/>
            <family val="2"/>
          </rPr>
          <t>Responda a las siguientes preguntas atendiendo SI O NO a cada una de las perguntas. Si el resultado da que es un riesgo de corrupción proceder con su calificación en la hoja de analisis riesgo corrupción.</t>
        </r>
      </text>
    </comment>
    <comment ref="A8" authorId="0" shapeId="0" xr:uid="{00000000-0006-0000-3B00-000002000000}">
      <text>
        <r>
          <rPr>
            <sz val="10"/>
            <color indexed="81"/>
            <rFont val="Tahoma"/>
            <family val="2"/>
          </rPr>
          <t>Seleccione el factor externo que puede ocasionar la posibilidad de que surja el riesgo. (Ver hoja Contexto).</t>
        </r>
      </text>
    </comment>
    <comment ref="B8" authorId="0" shapeId="0" xr:uid="{00000000-0006-0000-3B00-000003000000}">
      <text>
        <r>
          <rPr>
            <sz val="10"/>
            <color indexed="81"/>
            <rFont val="Tahoma"/>
            <family val="2"/>
          </rPr>
          <t>Seleccione el factor interno que puede ocasionar la posibilidad de que surja el riesgo. (Ver hoja Contexto).</t>
        </r>
      </text>
    </comment>
    <comment ref="C8" authorId="0" shapeId="0" xr:uid="{00000000-0006-0000-3B00-000004000000}">
      <text>
        <r>
          <rPr>
            <sz val="10"/>
            <color indexed="81"/>
            <rFont val="Tahoma"/>
            <family val="2"/>
          </rPr>
          <t>Seleccione el factor del proceso que puede ocasionar la posibilidad de que surja el riesgo. (Ver hoja Contexto).</t>
        </r>
      </text>
    </comment>
    <comment ref="E8" authorId="0" shapeId="0" xr:uid="{00000000-0006-0000-3B00-000005000000}">
      <text>
        <r>
          <rPr>
            <sz val="10"/>
            <color indexed="81"/>
            <rFont val="Tahoma"/>
            <family val="2"/>
          </rPr>
          <t>Indique brevemente el nombre del riesgo. Para ello tenga en cuenta la siguientes recomendaciones de redacciòn:
1. Evite iniciar con palabras negativas como: No, Que No, Nunca.
2. Evite palabras que indican que no es un riesgo sino una causa tales como: Ausencia de, Falta de, Escaso, Insuficiente, Deficiente, Debilidad en.
3. Recuerde que el riesgo puede ser el antonimo del objetivo del proceso o procedimiento. Ejemplo 
Objetivo: Adquirir con oportunidad y calidad técnica los bienes y servicios. 
Riesgo: Inoportunidad en la adquisiciòn de los bienes y servicios requeridos por la entidad.
4. Si lo que identifica tiene conotación de riesgo de corrupciòn recuerde redactarlo como el siguiente ejemplo:
Posibilidad de recibir o solicitar beneficio a nombre propio o de tercereros con el fin de celebrar un contrato.</t>
        </r>
      </text>
    </comment>
    <comment ref="F8" authorId="0" shapeId="0" xr:uid="{00000000-0006-0000-3B00-000006000000}">
      <text>
        <r>
          <rPr>
            <sz val="10"/>
            <color indexed="81"/>
            <rFont val="Tahoma"/>
            <family val="2"/>
          </rPr>
          <t>Describa lo que puede suceder..</t>
        </r>
      </text>
    </comment>
    <comment ref="G8" authorId="0" shapeId="0" xr:uid="{00000000-0006-0000-3B00-000007000000}">
      <text>
        <r>
          <rPr>
            <sz val="10"/>
            <color indexed="81"/>
            <rFont val="Tahoma"/>
            <family val="2"/>
          </rPr>
          <t>Seleccione que tipo de riesgo. Como ayuda puede revisar los conceptos definidos en la hoja datos columnas i y j.</t>
        </r>
      </text>
    </comment>
    <comment ref="H8" authorId="0" shapeId="0" xr:uid="{00000000-0006-0000-3B00-000008000000}">
      <text>
        <r>
          <rPr>
            <sz val="10"/>
            <color indexed="81"/>
            <rFont val="Tahoma"/>
            <family val="2"/>
          </rPr>
          <t>Establezca las causas que puedan generar el riesgo para ello puede utilizar las siguientes ejemplos para iniciar su redacción:
- Debilidad en …
- Carencia de…
- Falta de ….
- Ausencia de …
- Exceso de …
- Bajo ….</t>
        </r>
      </text>
    </comment>
    <comment ref="I8" authorId="0" shapeId="0" xr:uid="{00000000-0006-0000-3B00-000009000000}">
      <text>
        <r>
          <rPr>
            <sz val="10"/>
            <color indexed="81"/>
            <rFont val="Tahoma"/>
            <family val="2"/>
          </rPr>
          <t>Identifique los efectos o consecuensias que podrìa generarse con la materializascion del riesgo. Puede redactarse como:
- Perdida de …
- Insatisfacciòn de….
- Productos no… 
- Mala calidad en…
- Incumplimiento en ...</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K6" authorId="0" shapeId="0" xr:uid="{00000000-0006-0000-3C00-000001000000}">
      <text>
        <r>
          <rPr>
            <sz val="14"/>
            <color indexed="81"/>
            <rFont val="Tahoma"/>
            <family val="2"/>
          </rPr>
          <t>Identifique el control existente, recuerde que de la acción del control debe existir evidencia. Para redactar el control tenga en cuenta la siguiente estructura:
 Verbo irregular + complemento.</t>
        </r>
      </text>
    </comment>
    <comment ref="W6" authorId="0" shapeId="0" xr:uid="{00000000-0006-0000-3C00-000002000000}">
      <text>
        <r>
          <rPr>
            <b/>
            <sz val="11"/>
            <color indexed="81"/>
            <rFont val="Tahoma"/>
            <family val="2"/>
          </rPr>
          <t>Zona de Riesgo Baja</t>
        </r>
        <r>
          <rPr>
            <sz val="11"/>
            <color indexed="81"/>
            <rFont val="Tahoma"/>
            <family val="2"/>
          </rPr>
          <t xml:space="preserve">: Aceptar Riesgo.
</t>
        </r>
        <r>
          <rPr>
            <b/>
            <sz val="11"/>
            <color indexed="81"/>
            <rFont val="Tahoma"/>
            <family val="2"/>
          </rPr>
          <t>Zona de Riesgo Moderada:</t>
        </r>
        <r>
          <rPr>
            <sz val="11"/>
            <color indexed="81"/>
            <rFont val="Tahoma"/>
            <family val="2"/>
          </rPr>
          <t xml:space="preserve"> Compartir o Reducir Riesgo.
Zona de Riesgo Alta: Compartir o Reducir Riesgo.
Zona de Riesgo Extrema: Evitar, </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K4" authorId="0" shapeId="0" xr:uid="{00000000-0006-0000-3E00-000001000000}">
      <text>
        <r>
          <rPr>
            <b/>
            <sz val="11"/>
            <color indexed="81"/>
            <rFont val="Tahoma"/>
            <family val="2"/>
          </rPr>
          <t>Zona de Riesgo Baja</t>
        </r>
        <r>
          <rPr>
            <sz val="11"/>
            <color indexed="81"/>
            <rFont val="Tahoma"/>
            <family val="2"/>
          </rPr>
          <t xml:space="preserve">: Aceptar Riesgo.
</t>
        </r>
        <r>
          <rPr>
            <b/>
            <sz val="11"/>
            <color indexed="81"/>
            <rFont val="Tahoma"/>
            <family val="2"/>
          </rPr>
          <t>Zona de Riesgo Moderada:</t>
        </r>
        <r>
          <rPr>
            <sz val="11"/>
            <color indexed="81"/>
            <rFont val="Tahoma"/>
            <family val="2"/>
          </rPr>
          <t xml:space="preserve"> Compartir o Reducir Riesgo.
Zona de Riesgo Alta: Compartir o Reducir Riesgo.
Zona de Riesgo Extrema: Evitar, </t>
        </r>
      </text>
    </comment>
    <comment ref="L4" authorId="0" shapeId="0" xr:uid="{00000000-0006-0000-3E00-000002000000}">
      <text>
        <r>
          <rPr>
            <sz val="12"/>
            <color indexed="81"/>
            <rFont val="Tahoma"/>
            <family val="2"/>
          </rPr>
          <t>Si el resultado de las calificaciones del control, o el promedio en el diseño de los controles, está por debajo de 96%, se debe establecer un plan de acción que permita tener un control o controles bien diseñados enfocados en hacer frente a las causas.</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A5" authorId="0" shapeId="0" xr:uid="{00000000-0006-0000-3F00-000001000000}">
      <text>
        <r>
          <rPr>
            <sz val="12"/>
            <color indexed="81"/>
            <rFont val="Tahoma"/>
            <family val="2"/>
          </rPr>
          <t>Definición de los parametros internos, externos y de proceso que se toman en cuenta para la administración del riesgo.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K4" authorId="0" shapeId="0" xr:uid="{00000000-0006-0000-0700-000001000000}">
      <text>
        <r>
          <rPr>
            <b/>
            <sz val="11"/>
            <color indexed="81"/>
            <rFont val="Tahoma"/>
            <family val="2"/>
          </rPr>
          <t>Zona de Riesgo Baja</t>
        </r>
        <r>
          <rPr>
            <sz val="11"/>
            <color indexed="81"/>
            <rFont val="Tahoma"/>
            <family val="2"/>
          </rPr>
          <t xml:space="preserve">: Aceptar Riesgo.
</t>
        </r>
        <r>
          <rPr>
            <b/>
            <sz val="11"/>
            <color indexed="81"/>
            <rFont val="Tahoma"/>
            <family val="2"/>
          </rPr>
          <t>Zona de Riesgo Moderada:</t>
        </r>
        <r>
          <rPr>
            <sz val="11"/>
            <color indexed="81"/>
            <rFont val="Tahoma"/>
            <family val="2"/>
          </rPr>
          <t xml:space="preserve"> Compartir o Reducir Riesgo.
Zona de Riesgo Alta: Compartir o Reducir Riesgo.
Zona de Riesgo Extrema: Evitar, </t>
        </r>
      </text>
    </comment>
    <comment ref="L4" authorId="0" shapeId="0" xr:uid="{00000000-0006-0000-0700-000002000000}">
      <text>
        <r>
          <rPr>
            <sz val="12"/>
            <color indexed="81"/>
            <rFont val="Tahoma"/>
            <family val="2"/>
          </rPr>
          <t>Si el resultado de las calificaciones del control, o el promedio en el diseño de los controles, está por debajo de 96%, se debe establecer un plan de acción que permita tener un control o controles bien diseñados enfocados en hacer frente a las causas.</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J7" authorId="0" shapeId="0" xr:uid="{00000000-0006-0000-4000-000001000000}">
      <text>
        <r>
          <rPr>
            <sz val="10"/>
            <color indexed="81"/>
            <rFont val="Tahoma"/>
            <family val="2"/>
          </rPr>
          <t>Responda a las siguientes preguntas atendiendo SI O NO a cada una de las perguntas. Si el resultado da que es un riesgo de corrupción proceder con su calificación en la hoja de analisis riesgo corrupción.</t>
        </r>
      </text>
    </comment>
    <comment ref="A8" authorId="0" shapeId="0" xr:uid="{00000000-0006-0000-4000-000002000000}">
      <text>
        <r>
          <rPr>
            <sz val="10"/>
            <color indexed="81"/>
            <rFont val="Tahoma"/>
            <family val="2"/>
          </rPr>
          <t>Seleccione el factor externo que puede ocasionar la posibilidad de que surja el riesgo. (Ver hoja Contexto).</t>
        </r>
      </text>
    </comment>
    <comment ref="B8" authorId="0" shapeId="0" xr:uid="{00000000-0006-0000-4000-000003000000}">
      <text>
        <r>
          <rPr>
            <sz val="10"/>
            <color indexed="81"/>
            <rFont val="Tahoma"/>
            <family val="2"/>
          </rPr>
          <t>Seleccione el factor interno que puede ocasionar la posibilidad de que surja el riesgo. (Ver hoja Contexto).</t>
        </r>
      </text>
    </comment>
    <comment ref="C8" authorId="0" shapeId="0" xr:uid="{00000000-0006-0000-4000-000004000000}">
      <text>
        <r>
          <rPr>
            <sz val="10"/>
            <color indexed="81"/>
            <rFont val="Tahoma"/>
            <family val="2"/>
          </rPr>
          <t>Seleccione el factor del proceso que puede ocasionar la posibilidad de que surja el riesgo. (Ver hoja Contexto).</t>
        </r>
      </text>
    </comment>
    <comment ref="E8" authorId="0" shapeId="0" xr:uid="{00000000-0006-0000-4000-000005000000}">
      <text>
        <r>
          <rPr>
            <sz val="10"/>
            <color indexed="81"/>
            <rFont val="Tahoma"/>
            <family val="2"/>
          </rPr>
          <t>Indique brevemente el nombre del riesgo. Para ello tenga en cuenta la siguientes recomendaciones de redacciòn:
1. Evite iniciar con palabras negativas como: No, Que No, Nunca.
2. Evite palabras que indican que no es un riesgo sino una causa tales como: Ausencia de, Falta de, Escaso, Insuficiente, Deficiente, Debilidad en.
3. Recuerde que el riesgo puede ser el antonimo del objetivo del proceso o procedimiento. Ejemplo 
Objetivo: Adquirir con oportunidad y calidad técnica los bienes y servicios. 
Riesgo: Inoportunidad en la adquisiciòn de los bienes y servicios requeridos por la entidad.
4. Si lo que identifica tiene conotación de riesgo de corrupciòn recuerde redactarlo como el siguiente ejemplo:
Posibilidad de recibir o solicitar beneficio a nombre propio o de tercereros con el fin de celebrar un contrato.</t>
        </r>
      </text>
    </comment>
    <comment ref="F8" authorId="0" shapeId="0" xr:uid="{00000000-0006-0000-4000-000006000000}">
      <text>
        <r>
          <rPr>
            <sz val="10"/>
            <color indexed="81"/>
            <rFont val="Tahoma"/>
            <family val="2"/>
          </rPr>
          <t>Describa lo que puede suceder..</t>
        </r>
      </text>
    </comment>
    <comment ref="G8" authorId="0" shapeId="0" xr:uid="{00000000-0006-0000-4000-000007000000}">
      <text>
        <r>
          <rPr>
            <sz val="10"/>
            <color indexed="81"/>
            <rFont val="Tahoma"/>
            <family val="2"/>
          </rPr>
          <t>Seleccione que tipo de riesgo. Como ayuda puede revisar los conceptos definidos en la hoja datos columnas i y j.</t>
        </r>
      </text>
    </comment>
    <comment ref="H8" authorId="0" shapeId="0" xr:uid="{00000000-0006-0000-4000-000008000000}">
      <text>
        <r>
          <rPr>
            <sz val="10"/>
            <color indexed="81"/>
            <rFont val="Tahoma"/>
            <family val="2"/>
          </rPr>
          <t>Establezca las causas que puedan generar el riesgo para ello puede utilizar las siguientes ejemplos para iniciar su redacción:
- Debilidad en …
- Carencia de…
- Falta de ….
- Ausencia de …
- Exceso de …
- Bajo ….</t>
        </r>
      </text>
    </comment>
    <comment ref="I8" authorId="0" shapeId="0" xr:uid="{00000000-0006-0000-4000-000009000000}">
      <text>
        <r>
          <rPr>
            <sz val="10"/>
            <color indexed="81"/>
            <rFont val="Tahoma"/>
            <family val="2"/>
          </rPr>
          <t>Identifique los efectos o consecuensias que podrìa generarse con la materializascion del riesgo. Puede redactarse como:
- Perdida de …
- Insatisfacciòn de….
- Productos no… 
- Mala calidad en…
- Incumplimiento en ...</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K6" authorId="0" shapeId="0" xr:uid="{00000000-0006-0000-4100-000001000000}">
      <text>
        <r>
          <rPr>
            <sz val="14"/>
            <color indexed="81"/>
            <rFont val="Tahoma"/>
            <family val="2"/>
          </rPr>
          <t>Identifique el control existente, recuerde que de la acción del control debe existir evidencia. Para redactar el control tenga en cuenta la siguiente estructura:
 Verbo irregular + complemento.</t>
        </r>
      </text>
    </comment>
    <comment ref="L6" authorId="0" shapeId="0" xr:uid="{00000000-0006-0000-4100-000002000000}">
      <text>
        <r>
          <rPr>
            <sz val="14"/>
            <color indexed="81"/>
            <rFont val="Tahoma"/>
            <family val="2"/>
          </rPr>
          <t>Describa la acción de control que es efectuada.  
Describa la acción, el responsable de la acción, la frecuencia del control, quien verifica la ejecución del control, que se realiza, el próposito del control y las causas que busca controlar.</t>
        </r>
      </text>
    </comment>
    <comment ref="X6" authorId="0" shapeId="0" xr:uid="{00000000-0006-0000-4100-000003000000}">
      <text>
        <r>
          <rPr>
            <b/>
            <sz val="11"/>
            <color indexed="81"/>
            <rFont val="Tahoma"/>
            <family val="2"/>
          </rPr>
          <t>Zona de Riesgo Baja</t>
        </r>
        <r>
          <rPr>
            <sz val="11"/>
            <color indexed="81"/>
            <rFont val="Tahoma"/>
            <family val="2"/>
          </rPr>
          <t xml:space="preserve">: Aceptar Riesgo.
</t>
        </r>
        <r>
          <rPr>
            <b/>
            <sz val="11"/>
            <color indexed="81"/>
            <rFont val="Tahoma"/>
            <family val="2"/>
          </rPr>
          <t>Zona de Riesgo Moderada:</t>
        </r>
        <r>
          <rPr>
            <sz val="11"/>
            <color indexed="81"/>
            <rFont val="Tahoma"/>
            <family val="2"/>
          </rPr>
          <t xml:space="preserve"> Compartir o Reducir Riesgo.
Zona de Riesgo Alta: Compartir o Reducir Riesgo.
Zona de Riesgo Extrema: Evitar, </t>
        </r>
      </text>
    </comment>
    <comment ref="Y6" authorId="0" shapeId="0" xr:uid="{00000000-0006-0000-4100-000004000000}">
      <text>
        <r>
          <rPr>
            <sz val="12"/>
            <color indexed="81"/>
            <rFont val="Tahoma"/>
            <family val="2"/>
          </rPr>
          <t>Si el resultado de las calificaciones del control, o el promedio en el diseño de los controles, está por debajo de 96%, se debe establecer un plan de acción que permita tener un control o controles bien diseñados enfocados en hacer frente a las causas.</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BENAVIDES SALAS</author>
  </authors>
  <commentList>
    <comment ref="D6" authorId="0" shapeId="0" xr:uid="{00000000-0006-0000-4200-000001000000}">
      <text>
        <r>
          <rPr>
            <b/>
            <sz val="9"/>
            <color indexed="81"/>
            <rFont val="Tahoma"/>
            <family val="2"/>
          </rPr>
          <t>Solo aplica para riesgos de corrupción.</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K4" authorId="0" shapeId="0" xr:uid="{00000000-0006-0000-4400-000001000000}">
      <text>
        <r>
          <rPr>
            <b/>
            <sz val="11"/>
            <color indexed="81"/>
            <rFont val="Tahoma"/>
            <family val="2"/>
          </rPr>
          <t>Zona de Riesgo Baja</t>
        </r>
        <r>
          <rPr>
            <sz val="11"/>
            <color indexed="81"/>
            <rFont val="Tahoma"/>
            <family val="2"/>
          </rPr>
          <t xml:space="preserve">: Aceptar Riesgo.
</t>
        </r>
        <r>
          <rPr>
            <b/>
            <sz val="11"/>
            <color indexed="81"/>
            <rFont val="Tahoma"/>
            <family val="2"/>
          </rPr>
          <t>Zona de Riesgo Moderada:</t>
        </r>
        <r>
          <rPr>
            <sz val="11"/>
            <color indexed="81"/>
            <rFont val="Tahoma"/>
            <family val="2"/>
          </rPr>
          <t xml:space="preserve"> Compartir o Reducir Riesgo.
Zona de Riesgo Alta: Compartir o Reducir Riesgo.
Zona de Riesgo Extrema: Evitar, </t>
        </r>
      </text>
    </comment>
    <comment ref="L4" authorId="0" shapeId="0" xr:uid="{00000000-0006-0000-4400-000002000000}">
      <text>
        <r>
          <rPr>
            <sz val="12"/>
            <color indexed="81"/>
            <rFont val="Tahoma"/>
            <family val="2"/>
          </rPr>
          <t>Si el resultado de las calificaciones del control, o el promedio en el diseño de los controles, está por debajo de 96%, se debe establecer un plan de acción que permita tener un control o controles bien diseñados enfocados en hacer frente a las causas.</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A5" authorId="0" shapeId="0" xr:uid="{00000000-0006-0000-4500-000001000000}">
      <text>
        <r>
          <rPr>
            <sz val="12"/>
            <color indexed="81"/>
            <rFont val="Tahoma"/>
            <family val="2"/>
          </rPr>
          <t>Definición de los parametros internos, externos y de proceso que se toman en cuenta para la administración del riesgo.</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J7" authorId="0" shapeId="0" xr:uid="{00000000-0006-0000-4600-000001000000}">
      <text>
        <r>
          <rPr>
            <sz val="10"/>
            <color indexed="81"/>
            <rFont val="Tahoma"/>
            <family val="2"/>
          </rPr>
          <t>Responda a las siguientes preguntas atendiendo SI O NO a cada una de las perguntas. Si el resultado da que es un riesgo de corrupción proceder con su calificación en la hoja de analisis riesgo corrupción.</t>
        </r>
      </text>
    </comment>
    <comment ref="A8" authorId="0" shapeId="0" xr:uid="{00000000-0006-0000-4600-000002000000}">
      <text>
        <r>
          <rPr>
            <sz val="10"/>
            <color indexed="81"/>
            <rFont val="Tahoma"/>
            <family val="2"/>
          </rPr>
          <t>Seleccione el factor externo que puede ocasionar la posibilidad de que surja el riesgo. (Ver hoja Contexto).</t>
        </r>
      </text>
    </comment>
    <comment ref="B8" authorId="0" shapeId="0" xr:uid="{00000000-0006-0000-4600-000003000000}">
      <text>
        <r>
          <rPr>
            <sz val="10"/>
            <color indexed="81"/>
            <rFont val="Tahoma"/>
            <family val="2"/>
          </rPr>
          <t>Seleccione el factor interno que puede ocasionar la posibilidad de que surja el riesgo. (Ver hoja Contexto).</t>
        </r>
      </text>
    </comment>
    <comment ref="C8" authorId="0" shapeId="0" xr:uid="{00000000-0006-0000-4600-000004000000}">
      <text>
        <r>
          <rPr>
            <sz val="10"/>
            <color indexed="81"/>
            <rFont val="Tahoma"/>
            <family val="2"/>
          </rPr>
          <t>Seleccione el factor del proceso que puede ocasionar la posibilidad de que surja el riesgo. (Ver hoja Contexto).</t>
        </r>
      </text>
    </comment>
    <comment ref="E8" authorId="0" shapeId="0" xr:uid="{00000000-0006-0000-4600-000005000000}">
      <text>
        <r>
          <rPr>
            <sz val="10"/>
            <color indexed="81"/>
            <rFont val="Tahoma"/>
            <family val="2"/>
          </rPr>
          <t>Indique brevemente el nombre del riesgo. Para ello tenga en cuenta la siguientes recomendaciones de redacciòn:
1. Evite iniciar con palabras negativas como: No, Que No, Nunca.
2. Evite palabras que indican que no es un riesgo sino una causa tales como: Ausencia de, Falta de, Escaso, Insuficiente, Deficiente, Debilidad en.
3. Recuerde que el riesgo puede ser el antonimo del objetivo del proceso o procedimiento. Ejemplo 
Objetivo: Adquirir con oportunidad y calidad técnica los bienes y servicios. 
Riesgo: Inoportunidad en la adquisiciòn de los bienes y servicios requeridos por la entidad.
4. Si lo que identifica tiene conotación de riesgo de corrupciòn recuerde redactarlo como el siguiente ejemplo:
Posibilidad de recibir o solicitar beneficio a nombre propio o de tercereros con el fin de celebrar un contrato.</t>
        </r>
      </text>
    </comment>
    <comment ref="F8" authorId="0" shapeId="0" xr:uid="{00000000-0006-0000-4600-000006000000}">
      <text>
        <r>
          <rPr>
            <sz val="10"/>
            <color indexed="81"/>
            <rFont val="Tahoma"/>
            <family val="2"/>
          </rPr>
          <t>Describa lo que puede suceder..</t>
        </r>
      </text>
    </comment>
    <comment ref="G8" authorId="0" shapeId="0" xr:uid="{00000000-0006-0000-4600-000007000000}">
      <text>
        <r>
          <rPr>
            <sz val="10"/>
            <color indexed="81"/>
            <rFont val="Tahoma"/>
            <family val="2"/>
          </rPr>
          <t>Seleccione que tipo de riesgo. Como ayuda puede revisar los conceptos definidos en la hoja datos columnas i y j.</t>
        </r>
      </text>
    </comment>
    <comment ref="H8" authorId="0" shapeId="0" xr:uid="{00000000-0006-0000-4600-000008000000}">
      <text>
        <r>
          <rPr>
            <sz val="10"/>
            <color indexed="81"/>
            <rFont val="Tahoma"/>
            <family val="2"/>
          </rPr>
          <t>Establezca las causas que puedan generar el riesgo para ello puede utilizar las siguientes ejemplos para iniciar su redacción:
- Debilidad en …
- Carencia de…
- Falta de ….
- Ausencia de …
- Exceso de …
- Bajo ….</t>
        </r>
      </text>
    </comment>
    <comment ref="I8" authorId="0" shapeId="0" xr:uid="{00000000-0006-0000-4600-000009000000}">
      <text>
        <r>
          <rPr>
            <sz val="10"/>
            <color indexed="81"/>
            <rFont val="Tahoma"/>
            <family val="2"/>
          </rPr>
          <t>Identifique los efectos o consecuensias que podrìa generarse con la materializascion del riesgo. Puede redactarse como:
- Perdida de …
- Insatisfacciòn de….
- Productos no… 
- Mala calidad en…
- Incumplimiento en ...</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K6" authorId="0" shapeId="0" xr:uid="{00000000-0006-0000-4700-000001000000}">
      <text>
        <r>
          <rPr>
            <sz val="14"/>
            <color indexed="81"/>
            <rFont val="Tahoma"/>
            <family val="2"/>
          </rPr>
          <t>Identifique el control existente, recuerde que de la acción del control debe existir evidencia. Para redactar el control tenga en cuenta la siguiente estructura:
 Verbo irregular + complemento.</t>
        </r>
      </text>
    </comment>
    <comment ref="L6" authorId="0" shapeId="0" xr:uid="{00000000-0006-0000-4700-000002000000}">
      <text>
        <r>
          <rPr>
            <sz val="14"/>
            <color indexed="81"/>
            <rFont val="Tahoma"/>
            <family val="2"/>
          </rPr>
          <t>Describa la acción de control que es efectuada.  
Describa la acción, el responsable de la acción, la frecuencia del control, quien verifica la ejecución del control, que se realiza, el próposito del control y las causas que busca controlar.</t>
        </r>
      </text>
    </comment>
    <comment ref="X6" authorId="0" shapeId="0" xr:uid="{00000000-0006-0000-4700-000003000000}">
      <text>
        <r>
          <rPr>
            <b/>
            <sz val="11"/>
            <color indexed="81"/>
            <rFont val="Tahoma"/>
            <family val="2"/>
          </rPr>
          <t>Zona de Riesgo Baja</t>
        </r>
        <r>
          <rPr>
            <sz val="11"/>
            <color indexed="81"/>
            <rFont val="Tahoma"/>
            <family val="2"/>
          </rPr>
          <t xml:space="preserve">: Aceptar Riesgo.
</t>
        </r>
        <r>
          <rPr>
            <b/>
            <sz val="11"/>
            <color indexed="81"/>
            <rFont val="Tahoma"/>
            <family val="2"/>
          </rPr>
          <t>Zona de Riesgo Moderada:</t>
        </r>
        <r>
          <rPr>
            <sz val="11"/>
            <color indexed="81"/>
            <rFont val="Tahoma"/>
            <family val="2"/>
          </rPr>
          <t xml:space="preserve"> Compartir o Reducir Riesgo.
Zona de Riesgo Alta: Compartir o Reducir Riesgo.
Zona de Riesgo Extrema: Evitar, </t>
        </r>
      </text>
    </comment>
    <comment ref="Y6" authorId="0" shapeId="0" xr:uid="{00000000-0006-0000-4700-000004000000}">
      <text>
        <r>
          <rPr>
            <sz val="12"/>
            <color indexed="81"/>
            <rFont val="Tahoma"/>
            <family val="2"/>
          </rPr>
          <t>Si el resultado de las calificaciones del control, o el promedio en el diseño de los controles, está por debajo de 96%, se debe establecer un plan de acción que permita tener un control o controles bien diseñados enfocados en hacer frente a las causas.</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BENAVIDES SALAS</author>
  </authors>
  <commentList>
    <comment ref="D6" authorId="0" shapeId="0" xr:uid="{00000000-0006-0000-4800-000001000000}">
      <text>
        <r>
          <rPr>
            <b/>
            <sz val="9"/>
            <color indexed="81"/>
            <rFont val="Tahoma"/>
            <family val="2"/>
          </rPr>
          <t>Solo aplica para riesgos de corrupción.</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K4" authorId="0" shapeId="0" xr:uid="{00000000-0006-0000-4A00-000001000000}">
      <text>
        <r>
          <rPr>
            <b/>
            <sz val="11"/>
            <color indexed="81"/>
            <rFont val="Tahoma"/>
            <family val="2"/>
          </rPr>
          <t>Zona de Riesgo Baja</t>
        </r>
        <r>
          <rPr>
            <sz val="11"/>
            <color indexed="81"/>
            <rFont val="Tahoma"/>
            <family val="2"/>
          </rPr>
          <t xml:space="preserve">: Aceptar Riesgo.
</t>
        </r>
        <r>
          <rPr>
            <b/>
            <sz val="11"/>
            <color indexed="81"/>
            <rFont val="Tahoma"/>
            <family val="2"/>
          </rPr>
          <t>Zona de Riesgo Moderada:</t>
        </r>
        <r>
          <rPr>
            <sz val="11"/>
            <color indexed="81"/>
            <rFont val="Tahoma"/>
            <family val="2"/>
          </rPr>
          <t xml:space="preserve"> Compartir o Reducir Riesgo.
Zona de Riesgo Alta: Compartir o Reducir Riesgo.
Zona de Riesgo Extrema: Evitar, </t>
        </r>
      </text>
    </comment>
    <comment ref="L4" authorId="0" shapeId="0" xr:uid="{00000000-0006-0000-4A00-000002000000}">
      <text>
        <r>
          <rPr>
            <sz val="12"/>
            <color indexed="81"/>
            <rFont val="Tahoma"/>
            <family val="2"/>
          </rPr>
          <t>Si el resultado de las calificaciones del control, o el promedio en el diseño de los controles, está por debajo de 96%, se debe establecer un plan de acción que permita tener un control o controles bien diseñados enfocados en hacer frente a las causas.</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A5" authorId="0" shapeId="0" xr:uid="{00000000-0006-0000-4B00-000001000000}">
      <text>
        <r>
          <rPr>
            <sz val="12"/>
            <color indexed="81"/>
            <rFont val="Tahoma"/>
            <family val="2"/>
          </rPr>
          <t>Definición de los parametros internos, externos y de proceso que se toman en cuenta para la administración del riesgo.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A5" authorId="0" shapeId="0" xr:uid="{00000000-0006-0000-0B00-000001000000}">
      <text>
        <r>
          <rPr>
            <sz val="12"/>
            <color indexed="81"/>
            <rFont val="Tahoma"/>
            <family val="2"/>
          </rPr>
          <t>Definición de los parametros internos, externos y de proceso que se toman en cuenta para la administración del riesgo.</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J7" authorId="0" shapeId="0" xr:uid="{00000000-0006-0000-4C00-000001000000}">
      <text>
        <r>
          <rPr>
            <sz val="10"/>
            <color indexed="81"/>
            <rFont val="Tahoma"/>
            <family val="2"/>
          </rPr>
          <t>Responda a las siguientes preguntas atendiendo SI O NO a cada una de las perguntas. Si el resultado da que es un riesgo de corrupción proceder con su calificación en la hoja de analisis riesgo corrupción.</t>
        </r>
      </text>
    </comment>
    <comment ref="A8" authorId="0" shapeId="0" xr:uid="{00000000-0006-0000-4C00-000002000000}">
      <text>
        <r>
          <rPr>
            <sz val="10"/>
            <color indexed="81"/>
            <rFont val="Tahoma"/>
            <family val="2"/>
          </rPr>
          <t>Seleccione el factor externo que puede ocasionar la posibilidad de que surja el riesgo. (Ver hoja Contexto).</t>
        </r>
      </text>
    </comment>
    <comment ref="B8" authorId="0" shapeId="0" xr:uid="{00000000-0006-0000-4C00-000003000000}">
      <text>
        <r>
          <rPr>
            <sz val="10"/>
            <color indexed="81"/>
            <rFont val="Tahoma"/>
            <family val="2"/>
          </rPr>
          <t>Seleccione el factor interno que puede ocasionar la posibilidad de que surja el riesgo. (Ver hoja Contexto).</t>
        </r>
      </text>
    </comment>
    <comment ref="C8" authorId="0" shapeId="0" xr:uid="{00000000-0006-0000-4C00-000004000000}">
      <text>
        <r>
          <rPr>
            <sz val="10"/>
            <color indexed="81"/>
            <rFont val="Tahoma"/>
            <family val="2"/>
          </rPr>
          <t>Seleccione el factor del proceso que puede ocasionar la posibilidad de que surja el riesgo. (Ver hoja Contexto).</t>
        </r>
      </text>
    </comment>
    <comment ref="E8" authorId="0" shapeId="0" xr:uid="{00000000-0006-0000-4C00-000005000000}">
      <text>
        <r>
          <rPr>
            <sz val="10"/>
            <color indexed="81"/>
            <rFont val="Tahoma"/>
            <family val="2"/>
          </rPr>
          <t>Indique brevemente el nombre del riesgo. Para ello tenga en cuenta la siguientes recomendaciones de redacciòn:
1. Evite iniciar con palabras negativas como: No, Que No, Nunca.
2. Evite palabras que indican que no es un riesgo sino una causa tales como: Ausencia de, Falta de, Escaso, Insuficiente, Deficiente, Debilidad en.
3. Recuerde que el riesgo puede ser el antonimo del objetivo del proceso o procedimiento. Ejemplo 
Objetivo: Adquirir con oportunidad y calidad técnica los bienes y servicios. 
Riesgo: Inoportunidad en la adquisiciòn de los bienes y servicios requeridos por la entidad.
4. Si lo que identifica tiene conotación de riesgo de corrupciòn recuerde redactarlo como el siguiente ejemplo:
Posibilidad de recibir o solicitar beneficio a nombre propio o de tercereros con el fin de celebrar un contrato.</t>
        </r>
      </text>
    </comment>
    <comment ref="F8" authorId="0" shapeId="0" xr:uid="{00000000-0006-0000-4C00-000006000000}">
      <text>
        <r>
          <rPr>
            <sz val="10"/>
            <color indexed="81"/>
            <rFont val="Tahoma"/>
            <family val="2"/>
          </rPr>
          <t>Describa lo que puede suceder..</t>
        </r>
      </text>
    </comment>
    <comment ref="G8" authorId="0" shapeId="0" xr:uid="{00000000-0006-0000-4C00-000007000000}">
      <text>
        <r>
          <rPr>
            <sz val="10"/>
            <color indexed="81"/>
            <rFont val="Tahoma"/>
            <family val="2"/>
          </rPr>
          <t>Seleccione que tipo de riesgo. Como ayuda puede revisar los conceptos definidos en la hoja datos columnas i y j.</t>
        </r>
      </text>
    </comment>
    <comment ref="H8" authorId="0" shapeId="0" xr:uid="{00000000-0006-0000-4C00-000008000000}">
      <text>
        <r>
          <rPr>
            <sz val="10"/>
            <color indexed="81"/>
            <rFont val="Tahoma"/>
            <family val="2"/>
          </rPr>
          <t>Establezca las causas que puedan generar el riesgo para ello puede utilizar las siguientes ejemplos para iniciar su redacción:
- Debilidad en …
- Carencia de…
- Falta de ….
- Ausencia de …
- Exceso de …
- Bajo ….</t>
        </r>
      </text>
    </comment>
    <comment ref="I8" authorId="0" shapeId="0" xr:uid="{00000000-0006-0000-4C00-000009000000}">
      <text>
        <r>
          <rPr>
            <sz val="10"/>
            <color indexed="81"/>
            <rFont val="Tahoma"/>
            <family val="2"/>
          </rPr>
          <t>Identifique los efectos o consecuensias que podrìa generarse con la materializascion del riesgo. Puede redactarse como:
- Perdida de …
- Insatisfacciòn de….
- Productos no… 
- Mala calidad en…
- Incumplimiento en ...</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Gotjen</author>
    <author>Erika Barragan</author>
  </authors>
  <commentList>
    <comment ref="D6" authorId="0" shapeId="0" xr:uid="{00000000-0006-0000-4D00-000001000000}">
      <text>
        <r>
          <rPr>
            <b/>
            <sz val="9"/>
            <color indexed="81"/>
            <rFont val="Tahoma"/>
            <charset val="1"/>
          </rPr>
          <t>Ver hoja "Datos"</t>
        </r>
      </text>
    </comment>
    <comment ref="F6" authorId="0" shapeId="0" xr:uid="{00000000-0006-0000-4D00-000002000000}">
      <text>
        <r>
          <rPr>
            <b/>
            <sz val="9"/>
            <color indexed="81"/>
            <rFont val="Tahoma"/>
            <charset val="1"/>
          </rPr>
          <t>Ver hoja "datos"</t>
        </r>
      </text>
    </comment>
    <comment ref="G6" authorId="0" shapeId="0" xr:uid="{00000000-0006-0000-4D00-000003000000}">
      <text>
        <r>
          <rPr>
            <b/>
            <sz val="9"/>
            <color indexed="81"/>
            <rFont val="Tahoma"/>
            <charset val="1"/>
          </rPr>
          <t>De proceso: ver hoja "datos"
De corrupción: ver hoja "analisis riesgo corrupcion"</t>
        </r>
      </text>
    </comment>
    <comment ref="K6" authorId="1" shapeId="0" xr:uid="{00000000-0006-0000-4D00-000004000000}">
      <text>
        <r>
          <rPr>
            <sz val="14"/>
            <color indexed="81"/>
            <rFont val="Tahoma"/>
            <family val="2"/>
          </rPr>
          <t>Identifique el control existente, recuerde que de la acción del control debe existir evidencia. Para redactar el control tenga en cuenta la siguiente estructura:
 Verbo irregular + complemento.</t>
        </r>
      </text>
    </comment>
    <comment ref="L6" authorId="1" shapeId="0" xr:uid="{00000000-0006-0000-4D00-000005000000}">
      <text>
        <r>
          <rPr>
            <sz val="14"/>
            <color indexed="81"/>
            <rFont val="Tahoma"/>
            <family val="2"/>
          </rPr>
          <t>Describa la acción de control que es efectuada.  
Describa la acción, el responsable de la acción, la frecuencia del control, quien verifica la ejecución del control, que se realiza, el próposito del control y las causas que busca controlar.</t>
        </r>
      </text>
    </comment>
    <comment ref="M6" authorId="0" shapeId="0" xr:uid="{00000000-0006-0000-4D00-000006000000}">
      <text>
        <r>
          <rPr>
            <b/>
            <sz val="9"/>
            <color indexed="81"/>
            <rFont val="Tahoma"/>
            <charset val="1"/>
          </rPr>
          <t>ir a hoja " controles"</t>
        </r>
      </text>
    </comment>
    <comment ref="X6" authorId="1" shapeId="0" xr:uid="{00000000-0006-0000-4D00-000007000000}">
      <text>
        <r>
          <rPr>
            <b/>
            <sz val="11"/>
            <color indexed="81"/>
            <rFont val="Tahoma"/>
            <family val="2"/>
          </rPr>
          <t>Zona de Riesgo Baja</t>
        </r>
        <r>
          <rPr>
            <sz val="11"/>
            <color indexed="81"/>
            <rFont val="Tahoma"/>
            <family val="2"/>
          </rPr>
          <t xml:space="preserve">: Aceptar Riesgo.
</t>
        </r>
        <r>
          <rPr>
            <b/>
            <sz val="11"/>
            <color indexed="81"/>
            <rFont val="Tahoma"/>
            <family val="2"/>
          </rPr>
          <t>Zona de Riesgo Moderada:</t>
        </r>
        <r>
          <rPr>
            <sz val="11"/>
            <color indexed="81"/>
            <rFont val="Tahoma"/>
            <family val="2"/>
          </rPr>
          <t xml:space="preserve"> Compartir o Reducir Riesgo.
Zona de Riesgo Alta: Compartir o Reducir Riesgo.
Zona de Riesgo Extrema: Evitar, </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K4" authorId="0" shapeId="0" xr:uid="{00000000-0006-0000-4F00-000001000000}">
      <text>
        <r>
          <rPr>
            <b/>
            <sz val="11"/>
            <color indexed="81"/>
            <rFont val="Tahoma"/>
            <family val="2"/>
          </rPr>
          <t>Zona de Riesgo Baja</t>
        </r>
        <r>
          <rPr>
            <sz val="11"/>
            <color indexed="81"/>
            <rFont val="Tahoma"/>
            <family val="2"/>
          </rPr>
          <t xml:space="preserve">: Aceptar Riesgo.
</t>
        </r>
        <r>
          <rPr>
            <b/>
            <sz val="11"/>
            <color indexed="81"/>
            <rFont val="Tahoma"/>
            <family val="2"/>
          </rPr>
          <t>Zona de Riesgo Moderada:</t>
        </r>
        <r>
          <rPr>
            <sz val="11"/>
            <color indexed="81"/>
            <rFont val="Tahoma"/>
            <family val="2"/>
          </rPr>
          <t xml:space="preserve"> Compartir o Reducir Riesgo.
Zona de Riesgo Alta: Compartir o Reducir Riesgo.
Zona de Riesgo Extrema: Evitar, </t>
        </r>
      </text>
    </comment>
    <comment ref="L4" authorId="0" shapeId="0" xr:uid="{00000000-0006-0000-4F00-000002000000}">
      <text>
        <r>
          <rPr>
            <sz val="12"/>
            <color indexed="81"/>
            <rFont val="Tahoma"/>
            <family val="2"/>
          </rPr>
          <t>Si el resultado de las calificaciones del control, o el promedio en el diseño de los controles, está por debajo de 96%, se debe establecer un plan de acción que permita tener un control o controles bien diseñados enfocados en hacer frente a las causas.</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A5" authorId="0" shapeId="0" xr:uid="{00000000-0006-0000-5000-000001000000}">
      <text>
        <r>
          <rPr>
            <sz val="12"/>
            <color indexed="81"/>
            <rFont val="Tahoma"/>
            <family val="2"/>
          </rPr>
          <t>Definición de los parametros internos, externos y de proceso que se toman en cuenta para la administración del riesgo.</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J7" authorId="0" shapeId="0" xr:uid="{00000000-0006-0000-5100-000001000000}">
      <text>
        <r>
          <rPr>
            <sz val="10"/>
            <color indexed="81"/>
            <rFont val="Tahoma"/>
            <family val="2"/>
          </rPr>
          <t>Responda a las siguientes preguntas atendiendo SI O NO a cada una de las perguntas. Si el resultado da que es un riesgo de corrupción proceder con su calificación en la hoja de analisis riesgo corrupción.</t>
        </r>
      </text>
    </comment>
    <comment ref="A8" authorId="0" shapeId="0" xr:uid="{00000000-0006-0000-5100-000002000000}">
      <text>
        <r>
          <rPr>
            <sz val="10"/>
            <color indexed="81"/>
            <rFont val="Tahoma"/>
            <family val="2"/>
          </rPr>
          <t>Seleccione el factor externo que puede ocasionar la posibilidad de que surja el riesgo. (Ver hoja Contexto).</t>
        </r>
      </text>
    </comment>
    <comment ref="B8" authorId="0" shapeId="0" xr:uid="{00000000-0006-0000-5100-000003000000}">
      <text>
        <r>
          <rPr>
            <sz val="10"/>
            <color indexed="81"/>
            <rFont val="Tahoma"/>
            <family val="2"/>
          </rPr>
          <t>Seleccione el factor interno que puede ocasionar la posibilidad de que surja el riesgo. (Ver hoja Contexto).</t>
        </r>
      </text>
    </comment>
    <comment ref="C8" authorId="0" shapeId="0" xr:uid="{00000000-0006-0000-5100-000004000000}">
      <text>
        <r>
          <rPr>
            <sz val="10"/>
            <color indexed="81"/>
            <rFont val="Tahoma"/>
            <family val="2"/>
          </rPr>
          <t>Seleccione el factor del proceso que puede ocasionar la posibilidad de que surja el riesgo. (Ver hoja Contexto).</t>
        </r>
      </text>
    </comment>
    <comment ref="E8" authorId="0" shapeId="0" xr:uid="{00000000-0006-0000-5100-000005000000}">
      <text>
        <r>
          <rPr>
            <sz val="10"/>
            <color indexed="81"/>
            <rFont val="Tahoma"/>
            <family val="2"/>
          </rPr>
          <t>Indique brevemente el nombre del riesgo. Para ello tenga en cuenta la siguientes recomendaciones de redacciòn:
1. Evite iniciar con palabras negativas como: No, Que No, Nunca.
2. Evite palabras que indican que no es un riesgo sino una causa tales como: Ausencia de, Falta de, Escaso, Insuficiente, Deficiente, Debilidad en.
3. Recuerde que el riesgo puede ser el antonimo del objetivo del proceso o procedimiento. Ejemplo 
Objetivo: Adquirir con oportunidad y calidad técnica los bienes y servicios. 
Riesgo: Inoportunidad en la adquisiciòn de los bienes y servicios requeridos por la entidad.
4. Si lo que identifica tiene conotación de riesgo de corrupciòn recuerde redactarlo como el siguiente ejemplo:
Posibilidad de recibir o solicitar beneficio a nombre propio o de tercereros con el fin de celebrar un contrato.</t>
        </r>
      </text>
    </comment>
    <comment ref="F8" authorId="0" shapeId="0" xr:uid="{00000000-0006-0000-5100-000006000000}">
      <text>
        <r>
          <rPr>
            <sz val="10"/>
            <color indexed="81"/>
            <rFont val="Tahoma"/>
            <family val="2"/>
          </rPr>
          <t>Describa lo que puede suceder..</t>
        </r>
      </text>
    </comment>
    <comment ref="G8" authorId="0" shapeId="0" xr:uid="{00000000-0006-0000-5100-000007000000}">
      <text>
        <r>
          <rPr>
            <sz val="10"/>
            <color indexed="81"/>
            <rFont val="Tahoma"/>
            <family val="2"/>
          </rPr>
          <t>Seleccione que tipo de riesgo. Como ayuda puede revisar los conceptos definidos en la hoja datos columnas i y j.</t>
        </r>
      </text>
    </comment>
    <comment ref="H8" authorId="0" shapeId="0" xr:uid="{00000000-0006-0000-5100-000008000000}">
      <text>
        <r>
          <rPr>
            <sz val="10"/>
            <color indexed="81"/>
            <rFont val="Tahoma"/>
            <family val="2"/>
          </rPr>
          <t>Establezca las causas que puedan generar el riesgo para ello puede utilizar las siguientes ejemplos para iniciar su redacción:
- Debilidad en …
- Carencia de…
- Falta de ….
- Ausencia de …
- Exceso de …
- Bajo ….</t>
        </r>
      </text>
    </comment>
    <comment ref="I8" authorId="0" shapeId="0" xr:uid="{00000000-0006-0000-5100-000009000000}">
      <text>
        <r>
          <rPr>
            <sz val="10"/>
            <color indexed="81"/>
            <rFont val="Tahoma"/>
            <family val="2"/>
          </rPr>
          <t>Identifique los efectos o consecuensias que podrìa generarse con la materializascion del riesgo. Puede redactarse como:
- Perdida de …
- Insatisfacciòn de….
- Productos no… 
- Mala calidad en…
- Incumplimiento en ...</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K6" authorId="0" shapeId="0" xr:uid="{00000000-0006-0000-5200-000001000000}">
      <text>
        <r>
          <rPr>
            <sz val="14"/>
            <color indexed="81"/>
            <rFont val="Tahoma"/>
            <family val="2"/>
          </rPr>
          <t>Identifique el control existente, recuerde que de la acción del control debe existir evidencia. Para redactar el control tenga en cuenta la siguiente estructura:
 Verbo irregular + complemento.</t>
        </r>
      </text>
    </comment>
    <comment ref="L6" authorId="0" shapeId="0" xr:uid="{00000000-0006-0000-5200-000002000000}">
      <text>
        <r>
          <rPr>
            <sz val="14"/>
            <color indexed="81"/>
            <rFont val="Tahoma"/>
            <family val="2"/>
          </rPr>
          <t>Describa la acción de control que es efectuada.  
Describa la acción, el responsable de la acción, la frecuencia del control, quien verifica la ejecución del control, que se realiza, el próposito del control y las causas que busca controlar.</t>
        </r>
      </text>
    </comment>
    <comment ref="X6" authorId="0" shapeId="0" xr:uid="{00000000-0006-0000-5200-000003000000}">
      <text>
        <r>
          <rPr>
            <b/>
            <sz val="11"/>
            <color indexed="81"/>
            <rFont val="Tahoma"/>
            <family val="2"/>
          </rPr>
          <t>Zona de Riesgo Baja</t>
        </r>
        <r>
          <rPr>
            <sz val="11"/>
            <color indexed="81"/>
            <rFont val="Tahoma"/>
            <family val="2"/>
          </rPr>
          <t xml:space="preserve">: Aceptar Riesgo.
</t>
        </r>
        <r>
          <rPr>
            <b/>
            <sz val="11"/>
            <color indexed="81"/>
            <rFont val="Tahoma"/>
            <family val="2"/>
          </rPr>
          <t>Zona de Riesgo Moderada:</t>
        </r>
        <r>
          <rPr>
            <sz val="11"/>
            <color indexed="81"/>
            <rFont val="Tahoma"/>
            <family val="2"/>
          </rPr>
          <t xml:space="preserve"> Compartir o Reducir Riesgo.
Zona de Riesgo Alta: Compartir o Reducir Riesgo.
Zona de Riesgo Extrema: Evitar, </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BENAVIDES SALAS</author>
  </authors>
  <commentList>
    <comment ref="D6" authorId="0" shapeId="0" xr:uid="{00000000-0006-0000-5300-000001000000}">
      <text>
        <r>
          <rPr>
            <b/>
            <sz val="9"/>
            <color indexed="81"/>
            <rFont val="Tahoma"/>
            <family val="2"/>
          </rPr>
          <t>Solo aplica para riesgos de corrupción.</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K4" authorId="0" shapeId="0" xr:uid="{00000000-0006-0000-5500-000001000000}">
      <text>
        <r>
          <rPr>
            <b/>
            <sz val="11"/>
            <color indexed="81"/>
            <rFont val="Tahoma"/>
            <family val="2"/>
          </rPr>
          <t>Zona de Riesgo Baja</t>
        </r>
        <r>
          <rPr>
            <sz val="11"/>
            <color indexed="81"/>
            <rFont val="Tahoma"/>
            <family val="2"/>
          </rPr>
          <t xml:space="preserve">: Aceptar Riesgo.
</t>
        </r>
        <r>
          <rPr>
            <b/>
            <sz val="11"/>
            <color indexed="81"/>
            <rFont val="Tahoma"/>
            <family val="2"/>
          </rPr>
          <t>Zona de Riesgo Moderada:</t>
        </r>
        <r>
          <rPr>
            <sz val="11"/>
            <color indexed="81"/>
            <rFont val="Tahoma"/>
            <family val="2"/>
          </rPr>
          <t xml:space="preserve"> Compartir o Reducir Riesgo.
Zona de Riesgo Alta: Compartir o Reducir Riesgo.
Zona de Riesgo Extrema: Evitar, </t>
        </r>
      </text>
    </comment>
    <comment ref="L4" authorId="0" shapeId="0" xr:uid="{00000000-0006-0000-5500-000002000000}">
      <text>
        <r>
          <rPr>
            <sz val="12"/>
            <color indexed="81"/>
            <rFont val="Tahoma"/>
            <family val="2"/>
          </rPr>
          <t>Si el resultado de las calificaciones del control, o el promedio en el diseño de los controles, está por debajo de 96%, se debe establecer un plan de acción que permita tener un control o controles bien diseñados enfocados en hacer frente a las causas.</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A5" authorId="0" shapeId="0" xr:uid="{00000000-0006-0000-5600-000001000000}">
      <text>
        <r>
          <rPr>
            <sz val="12"/>
            <color indexed="81"/>
            <rFont val="Tahoma"/>
            <family val="2"/>
          </rPr>
          <t>Definición de los parametros internos, externos y de proceso que se toman en cuenta para la administración del riesgo.</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J7" authorId="0" shapeId="0" xr:uid="{00000000-0006-0000-5700-000001000000}">
      <text>
        <r>
          <rPr>
            <sz val="10"/>
            <color indexed="81"/>
            <rFont val="Tahoma"/>
            <family val="2"/>
          </rPr>
          <t>Responda a las siguientes preguntas atendiendo SI O NO a cada una de las perguntas. Si el resultado da que es un riesgo de corrupción proceder con su calificación en la hoja de analisis riesgo corrupción.</t>
        </r>
      </text>
    </comment>
    <comment ref="A8" authorId="0" shapeId="0" xr:uid="{00000000-0006-0000-5700-000002000000}">
      <text>
        <r>
          <rPr>
            <sz val="10"/>
            <color indexed="81"/>
            <rFont val="Tahoma"/>
            <family val="2"/>
          </rPr>
          <t>Seleccione el factor externo que puede ocasionar la posibilidad de que surja el riesgo. (Ver hoja Contexto).</t>
        </r>
      </text>
    </comment>
    <comment ref="B8" authorId="0" shapeId="0" xr:uid="{00000000-0006-0000-5700-000003000000}">
      <text>
        <r>
          <rPr>
            <sz val="10"/>
            <color indexed="81"/>
            <rFont val="Tahoma"/>
            <family val="2"/>
          </rPr>
          <t>Seleccione el factor interno que puede ocasionar la posibilidad de que surja el riesgo. (Ver hoja Contexto).</t>
        </r>
      </text>
    </comment>
    <comment ref="C8" authorId="0" shapeId="0" xr:uid="{00000000-0006-0000-5700-000004000000}">
      <text>
        <r>
          <rPr>
            <sz val="10"/>
            <color indexed="81"/>
            <rFont val="Tahoma"/>
            <family val="2"/>
          </rPr>
          <t>Seleccione el factor del proceso que puede ocasionar la posibilidad de que surja el riesgo. (Ver hoja Contexto).</t>
        </r>
      </text>
    </comment>
    <comment ref="E8" authorId="0" shapeId="0" xr:uid="{00000000-0006-0000-5700-000005000000}">
      <text>
        <r>
          <rPr>
            <sz val="10"/>
            <color indexed="81"/>
            <rFont val="Tahoma"/>
            <family val="2"/>
          </rPr>
          <t>Indique brevemente el nombre del riesgo. Para ello tenga en cuenta la siguientes recomendaciones de redacciòn:
1. Evite iniciar con palabras negativas como: No, Que No, Nunca.
2. Evite palabras que indican que no es un riesgo sino una causa tales como: Ausencia de, Falta de, Escaso, Insuficiente, Deficiente, Debilidad en.
3. Recuerde que el riesgo puede ser el antonimo del objetivo del proceso o procedimiento. Ejemplo 
Objetivo: Adquirir con oportunidad y calidad técnica los bienes y servicios. 
Riesgo: Inoportunidad en la adquisiciòn de los bienes y servicios requeridos por la entidad.
4. Si lo que identifica tiene conotación de riesgo de corrupciòn recuerde redactarlo como el siguiente ejemplo:
Posibilidad de recibir o solicitar beneficio a nombre propio o de tercereros con el fin de celebrar un contrato.</t>
        </r>
      </text>
    </comment>
    <comment ref="F8" authorId="0" shapeId="0" xr:uid="{00000000-0006-0000-5700-000006000000}">
      <text>
        <r>
          <rPr>
            <sz val="10"/>
            <color indexed="81"/>
            <rFont val="Tahoma"/>
            <family val="2"/>
          </rPr>
          <t>Describa lo que puede suceder..</t>
        </r>
      </text>
    </comment>
    <comment ref="G8" authorId="0" shapeId="0" xr:uid="{00000000-0006-0000-5700-000007000000}">
      <text>
        <r>
          <rPr>
            <sz val="10"/>
            <color indexed="81"/>
            <rFont val="Tahoma"/>
            <family val="2"/>
          </rPr>
          <t>Seleccione que tipo de riesgo. Como ayuda puede revisar los conceptos definidos en la hoja datos columnas i y j.</t>
        </r>
      </text>
    </comment>
    <comment ref="H8" authorId="0" shapeId="0" xr:uid="{00000000-0006-0000-5700-000008000000}">
      <text>
        <r>
          <rPr>
            <sz val="10"/>
            <color indexed="81"/>
            <rFont val="Tahoma"/>
            <family val="2"/>
          </rPr>
          <t>Establezca las causas que puedan generar el riesgo para ello puede utilizar las siguientes ejemplos para iniciar su redacción:
- Debilidad en …
- Carencia de…
- Falta de ….
- Ausencia de …
- Exceso de …
- Bajo ….</t>
        </r>
      </text>
    </comment>
    <comment ref="I8" authorId="0" shapeId="0" xr:uid="{00000000-0006-0000-5700-000009000000}">
      <text>
        <r>
          <rPr>
            <sz val="10"/>
            <color indexed="81"/>
            <rFont val="Tahoma"/>
            <family val="2"/>
          </rPr>
          <t>Identifique los efectos o consecuensias que podrìa generarse con la materializascion del riesgo. Puede redactarse como:
- Perdida de …
- Insatisfacciòn de….
- Productos no… 
- Mala calidad en…
- Incumplimiento en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J7" authorId="0" shapeId="0" xr:uid="{00000000-0006-0000-0C00-000001000000}">
      <text>
        <r>
          <rPr>
            <sz val="10"/>
            <color indexed="81"/>
            <rFont val="Tahoma"/>
            <family val="2"/>
          </rPr>
          <t>Responda a las siguientes preguntas atendiendo SI O NO a cada una de las perguntas. Si el resultado da que es un riesgo de corrupción proceder con su calificación en la hoja de analisis riesgo corrupción.</t>
        </r>
      </text>
    </comment>
    <comment ref="A8" authorId="0" shapeId="0" xr:uid="{00000000-0006-0000-0C00-000002000000}">
      <text>
        <r>
          <rPr>
            <sz val="10"/>
            <color indexed="81"/>
            <rFont val="Tahoma"/>
            <family val="2"/>
          </rPr>
          <t>Seleccione el factor externo que puede ocasionar la posibilidad de que surja el riesgo. (Ver hoja Contexto).</t>
        </r>
      </text>
    </comment>
    <comment ref="B8" authorId="0" shapeId="0" xr:uid="{00000000-0006-0000-0C00-000003000000}">
      <text>
        <r>
          <rPr>
            <sz val="10"/>
            <color indexed="81"/>
            <rFont val="Tahoma"/>
            <family val="2"/>
          </rPr>
          <t>Seleccione el factor interno que puede ocasionar la posibilidad de que surja el riesgo. (Ver hoja Contexto).</t>
        </r>
      </text>
    </comment>
    <comment ref="C8" authorId="0" shapeId="0" xr:uid="{00000000-0006-0000-0C00-000004000000}">
      <text>
        <r>
          <rPr>
            <sz val="10"/>
            <color indexed="81"/>
            <rFont val="Tahoma"/>
            <family val="2"/>
          </rPr>
          <t>Seleccione el factor del proceso que puede ocasionar la posibilidad de que surja el riesgo. (Ver hoja Contexto).</t>
        </r>
      </text>
    </comment>
    <comment ref="E8" authorId="0" shapeId="0" xr:uid="{00000000-0006-0000-0C00-000005000000}">
      <text>
        <r>
          <rPr>
            <sz val="10"/>
            <color indexed="81"/>
            <rFont val="Tahoma"/>
            <family val="2"/>
          </rPr>
          <t>Indique brevemente el nombre del riesgo. Para ello tenga en cuenta la siguientes recomendaciones de redacciòn:
1. Evite iniciar con palabras negativas como: No, Que No, Nunca.
2. Evite palabras que indican que no es un riesgo sino una causa tales como: Ausencia de, Falta de, Escaso, Insuficiente, Deficiente, Debilidad en.
3. Recuerde que el riesgo puede ser el antonimo del objetivo del proceso o procedimiento. Ejemplo 
Objetivo: Adquirir con oportunidad y calidad técnica los bienes y servicios. 
Riesgo: Inoportunidad en la adquisiciòn de los bienes y servicios requeridos por la entidad.
4. Si lo que identifica tiene conotación de riesgo de corrupciòn recuerde redactarlo como el siguiente ejemplo:
Posibilidad de recibir o solicitar beneficio a nombre propio o de tercereros con el fin de celebrar un contrato.</t>
        </r>
      </text>
    </comment>
    <comment ref="F8" authorId="0" shapeId="0" xr:uid="{00000000-0006-0000-0C00-000006000000}">
      <text>
        <r>
          <rPr>
            <sz val="10"/>
            <color indexed="81"/>
            <rFont val="Tahoma"/>
            <family val="2"/>
          </rPr>
          <t>Describa lo que puede suceder..</t>
        </r>
      </text>
    </comment>
    <comment ref="G8" authorId="0" shapeId="0" xr:uid="{00000000-0006-0000-0C00-000007000000}">
      <text>
        <r>
          <rPr>
            <sz val="10"/>
            <color indexed="81"/>
            <rFont val="Tahoma"/>
            <family val="2"/>
          </rPr>
          <t>Seleccione que tipo de riesgo. Como ayuda puede revisar los conceptos definidos en la hoja datos columnas i y j.</t>
        </r>
      </text>
    </comment>
    <comment ref="H8" authorId="0" shapeId="0" xr:uid="{00000000-0006-0000-0C00-000008000000}">
      <text>
        <r>
          <rPr>
            <sz val="10"/>
            <color indexed="81"/>
            <rFont val="Tahoma"/>
            <family val="2"/>
          </rPr>
          <t>Establezca las causas que puedan generar el riesgo para ello puede utilizar las siguientes ejemplos para iniciar su redacción:
- Debilidad en …
- Carencia de…
- Falta de ….
- Ausencia de …
- Exceso de …
- Bajo ….</t>
        </r>
      </text>
    </comment>
    <comment ref="I8" authorId="0" shapeId="0" xr:uid="{00000000-0006-0000-0C00-000009000000}">
      <text>
        <r>
          <rPr>
            <sz val="10"/>
            <color indexed="81"/>
            <rFont val="Tahoma"/>
            <family val="2"/>
          </rPr>
          <t>Identifique los efectos o consecuensias que podrìa generarse con la materializascion del riesgo. Puede redactarse como:
- Perdida de …
- Insatisfacciòn de….
- Productos no… 
- Mala calidad en…
- Incumplimiento en ...</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K6" authorId="0" shapeId="0" xr:uid="{00000000-0006-0000-5800-000001000000}">
      <text>
        <r>
          <rPr>
            <sz val="14"/>
            <color indexed="81"/>
            <rFont val="Tahoma"/>
            <family val="2"/>
          </rPr>
          <t>Identifique el control existente, recuerde que de la acción del control debe existir evidencia. Para redactar el control tenga en cuenta la siguiente estructura:
 Verbo irregular + complemento.</t>
        </r>
      </text>
    </comment>
    <comment ref="L6" authorId="0" shapeId="0" xr:uid="{00000000-0006-0000-5800-000002000000}">
      <text>
        <r>
          <rPr>
            <sz val="14"/>
            <color indexed="81"/>
            <rFont val="Tahoma"/>
            <family val="2"/>
          </rPr>
          <t>Describa la acción de control que es efectuada.  
Describa la acción, el responsable de la acción, la frecuencia del control, quien verifica la ejecución del control, que se realiza, el próposito del control y las causas que busca controlar.</t>
        </r>
      </text>
    </comment>
    <comment ref="X6" authorId="0" shapeId="0" xr:uid="{00000000-0006-0000-5800-000003000000}">
      <text>
        <r>
          <rPr>
            <b/>
            <sz val="11"/>
            <color indexed="81"/>
            <rFont val="Tahoma"/>
            <family val="2"/>
          </rPr>
          <t>Zona de Riesgo Baja</t>
        </r>
        <r>
          <rPr>
            <sz val="11"/>
            <color indexed="81"/>
            <rFont val="Tahoma"/>
            <family val="2"/>
          </rPr>
          <t xml:space="preserve">: Aceptar Riesgo.
</t>
        </r>
        <r>
          <rPr>
            <b/>
            <sz val="11"/>
            <color indexed="81"/>
            <rFont val="Tahoma"/>
            <family val="2"/>
          </rPr>
          <t>Zona de Riesgo Moderada:</t>
        </r>
        <r>
          <rPr>
            <sz val="11"/>
            <color indexed="81"/>
            <rFont val="Tahoma"/>
            <family val="2"/>
          </rPr>
          <t xml:space="preserve"> Compartir o Reducir Riesgo.
Zona de Riesgo Alta: Compartir o Reducir Riesgo.
Zona de Riesgo Extrema: Evitar, </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BENAVIDES SALAS</author>
  </authors>
  <commentList>
    <comment ref="D6" authorId="0" shapeId="0" xr:uid="{00000000-0006-0000-5900-000001000000}">
      <text>
        <r>
          <rPr>
            <b/>
            <sz val="9"/>
            <color indexed="81"/>
            <rFont val="Tahoma"/>
            <family val="2"/>
          </rPr>
          <t>Solo aplica para riesgos de corrupción.</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K4" authorId="0" shapeId="0" xr:uid="{00000000-0006-0000-5B00-000001000000}">
      <text>
        <r>
          <rPr>
            <b/>
            <sz val="11"/>
            <color indexed="81"/>
            <rFont val="Tahoma"/>
            <family val="2"/>
          </rPr>
          <t>Zona de Riesgo Baja</t>
        </r>
        <r>
          <rPr>
            <sz val="11"/>
            <color indexed="81"/>
            <rFont val="Tahoma"/>
            <family val="2"/>
          </rPr>
          <t xml:space="preserve">: Aceptar Riesgo.
</t>
        </r>
        <r>
          <rPr>
            <b/>
            <sz val="11"/>
            <color indexed="81"/>
            <rFont val="Tahoma"/>
            <family val="2"/>
          </rPr>
          <t>Zona de Riesgo Moderada:</t>
        </r>
        <r>
          <rPr>
            <sz val="11"/>
            <color indexed="81"/>
            <rFont val="Tahoma"/>
            <family val="2"/>
          </rPr>
          <t xml:space="preserve"> Compartir o Reducir Riesgo.
Zona de Riesgo Alta: Compartir o Reducir Riesgo.
Zona de Riesgo Extrema: Evitar, </t>
        </r>
      </text>
    </comment>
    <comment ref="L4" authorId="0" shapeId="0" xr:uid="{00000000-0006-0000-5B00-000002000000}">
      <text>
        <r>
          <rPr>
            <sz val="12"/>
            <color indexed="81"/>
            <rFont val="Tahoma"/>
            <family val="2"/>
          </rPr>
          <t>Si el resultado de las calificaciones del control, o el promedio en el diseño de los controles, está por debajo de 96%, se debe establecer un plan de acción que permita tener un control o controles bien diseñados enfocados en hacer frente a las causas.</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A5" authorId="0" shapeId="0" xr:uid="{00000000-0006-0000-5C00-000001000000}">
      <text>
        <r>
          <rPr>
            <sz val="12"/>
            <color indexed="81"/>
            <rFont val="Tahoma"/>
            <family val="2"/>
          </rPr>
          <t>Definición de los parametros internos, externos y de proceso que se toman en cuenta para la administración del riesgo.</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J7" authorId="0" shapeId="0" xr:uid="{00000000-0006-0000-5D00-000001000000}">
      <text>
        <r>
          <rPr>
            <sz val="10"/>
            <color indexed="81"/>
            <rFont val="Tahoma"/>
            <family val="2"/>
          </rPr>
          <t>Responda a las siguientes preguntas atendiendo SI O NO a cada una de las perguntas. Si el resultado da que es un riesgo de corrupción proceder con su calificación en la hoja de analisis riesgo corrupción.</t>
        </r>
      </text>
    </comment>
    <comment ref="A8" authorId="0" shapeId="0" xr:uid="{00000000-0006-0000-5D00-000002000000}">
      <text>
        <r>
          <rPr>
            <sz val="10"/>
            <color indexed="81"/>
            <rFont val="Tahoma"/>
            <family val="2"/>
          </rPr>
          <t>Seleccione el factor externo que puede ocasionar la posibilidad de que surja el riesgo. (Ver hoja Contexto).</t>
        </r>
      </text>
    </comment>
    <comment ref="B8" authorId="0" shapeId="0" xr:uid="{00000000-0006-0000-5D00-000003000000}">
      <text>
        <r>
          <rPr>
            <sz val="10"/>
            <color indexed="81"/>
            <rFont val="Tahoma"/>
            <family val="2"/>
          </rPr>
          <t>Seleccione el factor interno que puede ocasionar la posibilidad de que surja el riesgo. (Ver hoja Contexto).</t>
        </r>
      </text>
    </comment>
    <comment ref="C8" authorId="0" shapeId="0" xr:uid="{00000000-0006-0000-5D00-000004000000}">
      <text>
        <r>
          <rPr>
            <sz val="10"/>
            <color indexed="81"/>
            <rFont val="Tahoma"/>
            <family val="2"/>
          </rPr>
          <t>Seleccione el factor del proceso que puede ocasionar la posibilidad de que surja el riesgo. (Ver hoja Contexto).</t>
        </r>
      </text>
    </comment>
    <comment ref="E8" authorId="0" shapeId="0" xr:uid="{00000000-0006-0000-5D00-000005000000}">
      <text>
        <r>
          <rPr>
            <sz val="10"/>
            <color indexed="81"/>
            <rFont val="Tahoma"/>
            <family val="2"/>
          </rPr>
          <t>Indique brevemente el nombre del riesgo. Para ello tenga en cuenta la siguientes recomendaciones de redacciòn:
1. Evite iniciar con palabras negativas como: No, Que No, Nunca.
2. Evite palabras que indican que no es un riesgo sino una causa tales como: Ausencia de, Falta de, Escaso, Insuficiente, Deficiente, Debilidad en.
3. Recuerde que el riesgo puede ser el antonimo del objetivo del proceso o procedimiento. Ejemplo 
Objetivo: Adquirir con oportunidad y calidad técnica los bienes y servicios. 
Riesgo: Inoportunidad en la adquisiciòn de los bienes y servicios requeridos por la entidad.
4. Si lo que identifica tiene conotación de riesgo de corrupciòn recuerde redactarlo como el siguiente ejemplo:
Posibilidad de recibir o solicitar beneficio a nombre propio o de tercereros con el fin de celebrar un contrato.</t>
        </r>
      </text>
    </comment>
    <comment ref="F8" authorId="0" shapeId="0" xr:uid="{00000000-0006-0000-5D00-000006000000}">
      <text>
        <r>
          <rPr>
            <sz val="10"/>
            <color indexed="81"/>
            <rFont val="Tahoma"/>
            <family val="2"/>
          </rPr>
          <t>Describa lo que puede suceder..</t>
        </r>
      </text>
    </comment>
    <comment ref="G8" authorId="0" shapeId="0" xr:uid="{00000000-0006-0000-5D00-000007000000}">
      <text>
        <r>
          <rPr>
            <sz val="10"/>
            <color indexed="81"/>
            <rFont val="Tahoma"/>
            <family val="2"/>
          </rPr>
          <t>Seleccione que tipo de riesgo. Como ayuda puede revisar los conceptos definidos en la hoja datos columnas i y j.</t>
        </r>
      </text>
    </comment>
    <comment ref="H8" authorId="0" shapeId="0" xr:uid="{00000000-0006-0000-5D00-000008000000}">
      <text>
        <r>
          <rPr>
            <sz val="10"/>
            <color indexed="81"/>
            <rFont val="Tahoma"/>
            <family val="2"/>
          </rPr>
          <t>Establezca las causas que puedan generar el riesgo para ello puede utilizar las siguientes ejemplos para iniciar su redacción:
- Debilidad en …
- Carencia de…
- Falta de ….
- Ausencia de …
- Exceso de …
- Bajo ….</t>
        </r>
      </text>
    </comment>
    <comment ref="I8" authorId="0" shapeId="0" xr:uid="{00000000-0006-0000-5D00-000009000000}">
      <text>
        <r>
          <rPr>
            <sz val="10"/>
            <color indexed="81"/>
            <rFont val="Tahoma"/>
            <family val="2"/>
          </rPr>
          <t>Identifique los efectos o consecuensias que podrìa generarse con la materializascion del riesgo. Puede redactarse como:
- Perdida de …
- Insatisfacciòn de….
- Productos no… 
- Mala calidad en…
- Incumplimiento en ...</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Gotjen</author>
    <author>Erika Barragan</author>
  </authors>
  <commentList>
    <comment ref="D6" authorId="0" shapeId="0" xr:uid="{00000000-0006-0000-5E00-000001000000}">
      <text>
        <r>
          <rPr>
            <b/>
            <sz val="9"/>
            <color indexed="81"/>
            <rFont val="Tahoma"/>
            <charset val="1"/>
          </rPr>
          <t>Ver hoja "Datos"</t>
        </r>
      </text>
    </comment>
    <comment ref="F6" authorId="0" shapeId="0" xr:uid="{00000000-0006-0000-5E00-000002000000}">
      <text>
        <r>
          <rPr>
            <b/>
            <sz val="9"/>
            <color indexed="81"/>
            <rFont val="Tahoma"/>
            <charset val="1"/>
          </rPr>
          <t>Ver hoja "datos"</t>
        </r>
      </text>
    </comment>
    <comment ref="G6" authorId="0" shapeId="0" xr:uid="{00000000-0006-0000-5E00-000003000000}">
      <text>
        <r>
          <rPr>
            <b/>
            <sz val="9"/>
            <color indexed="81"/>
            <rFont val="Tahoma"/>
            <charset val="1"/>
          </rPr>
          <t>De proceso: ver hoja "datos"
De corrupción: ver hoja "analisis riesgo corrupcion"</t>
        </r>
      </text>
    </comment>
    <comment ref="K6" authorId="1" shapeId="0" xr:uid="{00000000-0006-0000-5E00-000004000000}">
      <text>
        <r>
          <rPr>
            <sz val="14"/>
            <color indexed="81"/>
            <rFont val="Tahoma"/>
            <family val="2"/>
          </rPr>
          <t>Identifique el control existente, recuerde que de la acción del control debe existir evidencia. Para redactar el control tenga en cuenta la siguiente estructura:
 Verbo irregular + complemento.</t>
        </r>
      </text>
    </comment>
    <comment ref="L6" authorId="1" shapeId="0" xr:uid="{00000000-0006-0000-5E00-000005000000}">
      <text>
        <r>
          <rPr>
            <sz val="14"/>
            <color indexed="81"/>
            <rFont val="Tahoma"/>
            <family val="2"/>
          </rPr>
          <t>Describa la acción de control que es efectuada.  
Describa la acción, el responsable de la acción, la frecuencia del control, quien verifica la ejecución del control, que se realiza, el próposito del control y las causas que busca controlar.</t>
        </r>
      </text>
    </comment>
    <comment ref="M6" authorId="0" shapeId="0" xr:uid="{00000000-0006-0000-5E00-000006000000}">
      <text>
        <r>
          <rPr>
            <b/>
            <sz val="9"/>
            <color indexed="81"/>
            <rFont val="Tahoma"/>
            <charset val="1"/>
          </rPr>
          <t>ir a hoja " controles"</t>
        </r>
      </text>
    </comment>
    <comment ref="X6" authorId="1" shapeId="0" xr:uid="{00000000-0006-0000-5E00-000007000000}">
      <text>
        <r>
          <rPr>
            <b/>
            <sz val="11"/>
            <color indexed="81"/>
            <rFont val="Tahoma"/>
            <family val="2"/>
          </rPr>
          <t>Zona de Riesgo Baja</t>
        </r>
        <r>
          <rPr>
            <sz val="11"/>
            <color indexed="81"/>
            <rFont val="Tahoma"/>
            <family val="2"/>
          </rPr>
          <t xml:space="preserve">: Aceptar Riesgo.
</t>
        </r>
        <r>
          <rPr>
            <b/>
            <sz val="11"/>
            <color indexed="81"/>
            <rFont val="Tahoma"/>
            <family val="2"/>
          </rPr>
          <t>Zona de Riesgo Moderada:</t>
        </r>
        <r>
          <rPr>
            <sz val="11"/>
            <color indexed="81"/>
            <rFont val="Tahoma"/>
            <family val="2"/>
          </rPr>
          <t xml:space="preserve"> Compartir o Reducir Riesgo.
Zona de Riesgo Alta: Compartir o Reducir Riesgo.
Zona de Riesgo Extrema: Evitar, </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K4" authorId="0" shapeId="0" xr:uid="{00000000-0006-0000-6000-000001000000}">
      <text>
        <r>
          <rPr>
            <b/>
            <sz val="11"/>
            <color indexed="81"/>
            <rFont val="Tahoma"/>
            <family val="2"/>
          </rPr>
          <t>Zona de Riesgo Baja</t>
        </r>
        <r>
          <rPr>
            <sz val="11"/>
            <color indexed="81"/>
            <rFont val="Tahoma"/>
            <family val="2"/>
          </rPr>
          <t xml:space="preserve">: Aceptar Riesgo.
</t>
        </r>
        <r>
          <rPr>
            <b/>
            <sz val="11"/>
            <color indexed="81"/>
            <rFont val="Tahoma"/>
            <family val="2"/>
          </rPr>
          <t>Zona de Riesgo Moderada:</t>
        </r>
        <r>
          <rPr>
            <sz val="11"/>
            <color indexed="81"/>
            <rFont val="Tahoma"/>
            <family val="2"/>
          </rPr>
          <t xml:space="preserve"> Compartir o Reducir Riesgo.
Zona de Riesgo Alta: Compartir o Reducir Riesgo.
Zona de Riesgo Extrema: Evitar, </t>
        </r>
      </text>
    </comment>
    <comment ref="L4" authorId="0" shapeId="0" xr:uid="{00000000-0006-0000-6000-000002000000}">
      <text>
        <r>
          <rPr>
            <sz val="12"/>
            <color indexed="81"/>
            <rFont val="Tahoma"/>
            <family val="2"/>
          </rPr>
          <t>Si el resultado de las calificaciones del control, o el promedio en el diseño de los controles, está por debajo de 96%, se debe establecer un plan de acción que permita tener un control o controles bien diseñados enfocados en hacer frente a las causas.</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A5" authorId="0" shapeId="0" xr:uid="{00000000-0006-0000-6100-000001000000}">
      <text>
        <r>
          <rPr>
            <sz val="12"/>
            <color indexed="81"/>
            <rFont val="Tahoma"/>
            <family val="2"/>
          </rPr>
          <t>Definición de los parametros internos, externos y de proceso que se toman en cuenta para la administración del riesgo.</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J7" authorId="0" shapeId="0" xr:uid="{00000000-0006-0000-6200-000001000000}">
      <text>
        <r>
          <rPr>
            <sz val="10"/>
            <color indexed="81"/>
            <rFont val="Tahoma"/>
            <family val="2"/>
          </rPr>
          <t>Responda a las siguientes preguntas atendiendo SI O NO a cada una de las perguntas. Si el resultado da que es un riesgo de corrupción proceder con su calificación en la hoja de analisis riesgo corrupción.</t>
        </r>
      </text>
    </comment>
    <comment ref="A8" authorId="0" shapeId="0" xr:uid="{00000000-0006-0000-6200-000002000000}">
      <text>
        <r>
          <rPr>
            <sz val="10"/>
            <color indexed="81"/>
            <rFont val="Tahoma"/>
            <family val="2"/>
          </rPr>
          <t>Seleccione el factor externo que puede ocasionar la posibilidad de que surja el riesgo. (Ver hoja Contexto).</t>
        </r>
      </text>
    </comment>
    <comment ref="B8" authorId="0" shapeId="0" xr:uid="{00000000-0006-0000-6200-000003000000}">
      <text>
        <r>
          <rPr>
            <sz val="10"/>
            <color indexed="81"/>
            <rFont val="Tahoma"/>
            <family val="2"/>
          </rPr>
          <t>Seleccione el factor interno que puede ocasionar la posibilidad de que surja el riesgo. (Ver hoja Contexto).</t>
        </r>
      </text>
    </comment>
    <comment ref="C8" authorId="0" shapeId="0" xr:uid="{00000000-0006-0000-6200-000004000000}">
      <text>
        <r>
          <rPr>
            <sz val="10"/>
            <color indexed="81"/>
            <rFont val="Tahoma"/>
            <family val="2"/>
          </rPr>
          <t>Seleccione el factor del proceso que puede ocasionar la posibilidad de que surja el riesgo. (Ver hoja Contexto).</t>
        </r>
      </text>
    </comment>
    <comment ref="E8" authorId="0" shapeId="0" xr:uid="{00000000-0006-0000-6200-000005000000}">
      <text>
        <r>
          <rPr>
            <sz val="10"/>
            <color indexed="81"/>
            <rFont val="Tahoma"/>
            <family val="2"/>
          </rPr>
          <t>Indique brevemente el nombre del riesgo. Para ello tenga en cuenta la siguientes recomendaciones de redacciòn:
1. Evite iniciar con palabras negativas como: No, Que No, Nunca.
2. Evite palabras que indican que no es un riesgo sino una causa tales como: Ausencia de, Falta de, Escaso, Insuficiente, Deficiente, Debilidad en.
3. Recuerde que el riesgo puede ser el antonimo del objetivo del proceso o procedimiento. Ejemplo 
Objetivo: Adquirir con oportunidad y calidad técnica los bienes y servicios. 
Riesgo: Inoportunidad en la adquisiciòn de los bienes y servicios requeridos por la entidad.
4. Si lo que identifica tiene conotación de riesgo de corrupciòn recuerde redactarlo como el siguiente ejemplo:
Posibilidad de recibir o solicitar beneficio a nombre propio o de tercereros con el fin de celebrar un contrato.</t>
        </r>
      </text>
    </comment>
    <comment ref="F8" authorId="0" shapeId="0" xr:uid="{00000000-0006-0000-6200-000006000000}">
      <text>
        <r>
          <rPr>
            <sz val="10"/>
            <color indexed="81"/>
            <rFont val="Tahoma"/>
            <family val="2"/>
          </rPr>
          <t>Describa lo que puede suceder..</t>
        </r>
      </text>
    </comment>
    <comment ref="G8" authorId="0" shapeId="0" xr:uid="{00000000-0006-0000-6200-000007000000}">
      <text>
        <r>
          <rPr>
            <sz val="10"/>
            <color indexed="81"/>
            <rFont val="Tahoma"/>
            <family val="2"/>
          </rPr>
          <t>Seleccione que tipo de riesgo. Como ayuda puede revisar los conceptos definidos en la hoja datos columnas i y j.</t>
        </r>
      </text>
    </comment>
    <comment ref="H8" authorId="0" shapeId="0" xr:uid="{00000000-0006-0000-6200-000008000000}">
      <text>
        <r>
          <rPr>
            <sz val="10"/>
            <color indexed="81"/>
            <rFont val="Tahoma"/>
            <family val="2"/>
          </rPr>
          <t>Establezca las causas que puedan generar el riesgo para ello puede utilizar las siguientes ejemplos para iniciar su redacción:
- Debilidad en …
- Carencia de…
- Falta de ….
- Ausencia de …
- Exceso de …
- Bajo ….</t>
        </r>
      </text>
    </comment>
    <comment ref="I8" authorId="0" shapeId="0" xr:uid="{00000000-0006-0000-6200-000009000000}">
      <text>
        <r>
          <rPr>
            <sz val="10"/>
            <color indexed="81"/>
            <rFont val="Tahoma"/>
            <family val="2"/>
          </rPr>
          <t>Identifique los efectos o consecuensias que podrìa generarse con la materializascion del riesgo. Puede redactarse como:
- Perdida de …
- Insatisfacciòn de….
- Productos no… 
- Mala calidad en…
- Incumplimiento en ...</t>
        </r>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Gotjen</author>
    <author>Erika Barragan</author>
  </authors>
  <commentList>
    <comment ref="D6" authorId="0" shapeId="0" xr:uid="{00000000-0006-0000-6300-000001000000}">
      <text>
        <r>
          <rPr>
            <b/>
            <sz val="9"/>
            <color indexed="81"/>
            <rFont val="Tahoma"/>
            <family val="2"/>
          </rPr>
          <t>Ver hoja "Datos"</t>
        </r>
      </text>
    </comment>
    <comment ref="F6" authorId="0" shapeId="0" xr:uid="{00000000-0006-0000-6300-000002000000}">
      <text>
        <r>
          <rPr>
            <b/>
            <sz val="9"/>
            <color indexed="81"/>
            <rFont val="Tahoma"/>
            <family val="2"/>
          </rPr>
          <t>Ver hoja "datos"</t>
        </r>
      </text>
    </comment>
    <comment ref="G6" authorId="0" shapeId="0" xr:uid="{00000000-0006-0000-6300-000003000000}">
      <text>
        <r>
          <rPr>
            <b/>
            <sz val="9"/>
            <color indexed="81"/>
            <rFont val="Tahoma"/>
            <family val="2"/>
          </rPr>
          <t>De proceso: ver hoja "datos"
De corrupción: ver hoja "analisis riesgo corrupcion"</t>
        </r>
      </text>
    </comment>
    <comment ref="K6" authorId="1" shapeId="0" xr:uid="{00000000-0006-0000-6300-000004000000}">
      <text>
        <r>
          <rPr>
            <sz val="14"/>
            <color indexed="81"/>
            <rFont val="Tahoma"/>
            <family val="2"/>
          </rPr>
          <t>Identifique el control existente, recuerde que de la acción del control debe existir evidencia. Para redactar el control tenga en cuenta la siguiente estructura:
 Verbo irregular + complemento.</t>
        </r>
      </text>
    </comment>
    <comment ref="L6" authorId="1" shapeId="0" xr:uid="{00000000-0006-0000-6300-000005000000}">
      <text>
        <r>
          <rPr>
            <sz val="14"/>
            <color indexed="81"/>
            <rFont val="Tahoma"/>
            <family val="2"/>
          </rPr>
          <t>Describa la acción de control que es efectuada.  
Describa la acción, el responsable de la acción, la frecuencia del control, quien verifica la ejecución del control, que se realiza, el próposito del control y las causas que busca controlar.</t>
        </r>
      </text>
    </comment>
    <comment ref="M6" authorId="0" shapeId="0" xr:uid="{00000000-0006-0000-6300-000006000000}">
      <text>
        <r>
          <rPr>
            <b/>
            <sz val="9"/>
            <color indexed="81"/>
            <rFont val="Tahoma"/>
            <family val="2"/>
          </rPr>
          <t>ir a hoja " controles"</t>
        </r>
      </text>
    </comment>
    <comment ref="X6" authorId="1" shapeId="0" xr:uid="{00000000-0006-0000-6300-000007000000}">
      <text>
        <r>
          <rPr>
            <b/>
            <sz val="11"/>
            <color indexed="81"/>
            <rFont val="Tahoma"/>
            <family val="2"/>
          </rPr>
          <t>Zona de Riesgo Baja</t>
        </r>
        <r>
          <rPr>
            <sz val="11"/>
            <color indexed="81"/>
            <rFont val="Tahoma"/>
            <family val="2"/>
          </rPr>
          <t xml:space="preserve">: Aceptar Riesgo.
</t>
        </r>
        <r>
          <rPr>
            <b/>
            <sz val="11"/>
            <color indexed="81"/>
            <rFont val="Tahoma"/>
            <family val="2"/>
          </rPr>
          <t>Zona de Riesgo Moderada:</t>
        </r>
        <r>
          <rPr>
            <sz val="11"/>
            <color indexed="81"/>
            <rFont val="Tahoma"/>
            <family val="2"/>
          </rPr>
          <t xml:space="preserve"> Compartir o Reducir Riesgo.
Zona de Riesgo Alta: Compartir o Reducir Riesgo.
Zona de Riesgo Extrema: Evitar,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K6" authorId="0" shapeId="0" xr:uid="{00000000-0006-0000-0D00-000001000000}">
      <text>
        <r>
          <rPr>
            <sz val="14"/>
            <color indexed="81"/>
            <rFont val="Tahoma"/>
            <family val="2"/>
          </rPr>
          <t>Identifique el control existente, recuerde que de la acción del control debe existir evidencia. Para redactar el control tenga en cuenta la siguiente estructura:
 Verbo irregular + complemento.</t>
        </r>
      </text>
    </comment>
    <comment ref="L6" authorId="0" shapeId="0" xr:uid="{00000000-0006-0000-0D00-000002000000}">
      <text>
        <r>
          <rPr>
            <sz val="14"/>
            <color indexed="81"/>
            <rFont val="Tahoma"/>
            <family val="2"/>
          </rPr>
          <t>Describa la acción de control que es efectuada.  
Describa la acción, el responsable de la acción, la frecuencia del control, quien verifica la ejecución del control, que se realiza, el próposito del control y las causas que busca controlar.</t>
        </r>
      </text>
    </comment>
    <comment ref="X6" authorId="0" shapeId="0" xr:uid="{00000000-0006-0000-0D00-000003000000}">
      <text>
        <r>
          <rPr>
            <b/>
            <sz val="11"/>
            <color indexed="81"/>
            <rFont val="Tahoma"/>
            <family val="2"/>
          </rPr>
          <t>Zona de Riesgo Baja</t>
        </r>
        <r>
          <rPr>
            <sz val="11"/>
            <color indexed="81"/>
            <rFont val="Tahoma"/>
            <family val="2"/>
          </rPr>
          <t xml:space="preserve">: Aceptar Riesgo.
</t>
        </r>
        <r>
          <rPr>
            <b/>
            <sz val="11"/>
            <color indexed="81"/>
            <rFont val="Tahoma"/>
            <family val="2"/>
          </rPr>
          <t>Zona de Riesgo Moderada:</t>
        </r>
        <r>
          <rPr>
            <sz val="11"/>
            <color indexed="81"/>
            <rFont val="Tahoma"/>
            <family val="2"/>
          </rPr>
          <t xml:space="preserve"> Compartir o Reducir Riesgo.
Zona de Riesgo Alta: Compartir o Reducir Riesgo.
Zona de Riesgo Extrema: Evitar, </t>
        </r>
      </text>
    </comment>
    <comment ref="Y6" authorId="0" shapeId="0" xr:uid="{00000000-0006-0000-0D00-000004000000}">
      <text>
        <r>
          <rPr>
            <sz val="12"/>
            <color indexed="81"/>
            <rFont val="Tahoma"/>
            <family val="2"/>
          </rPr>
          <t>Si el resultado de las calificaciones del control, o el promedio en el diseño de los controles, está por debajo de 96%, se debe establecer un plan de acción que permita tener un control o controles bien diseñados enfocados en hacer frente a las causas.</t>
        </r>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K4" authorId="0" shapeId="0" xr:uid="{00000000-0006-0000-6500-000001000000}">
      <text>
        <r>
          <rPr>
            <b/>
            <sz val="11"/>
            <color indexed="81"/>
            <rFont val="Tahoma"/>
            <family val="2"/>
          </rPr>
          <t>Zona de Riesgo Baja</t>
        </r>
        <r>
          <rPr>
            <sz val="11"/>
            <color indexed="81"/>
            <rFont val="Tahoma"/>
            <family val="2"/>
          </rPr>
          <t xml:space="preserve">: Aceptar Riesgo.
</t>
        </r>
        <r>
          <rPr>
            <b/>
            <sz val="11"/>
            <color indexed="81"/>
            <rFont val="Tahoma"/>
            <family val="2"/>
          </rPr>
          <t>Zona de Riesgo Moderada:</t>
        </r>
        <r>
          <rPr>
            <sz val="11"/>
            <color indexed="81"/>
            <rFont val="Tahoma"/>
            <family val="2"/>
          </rPr>
          <t xml:space="preserve"> Compartir o Reducir Riesgo.
Zona de Riesgo Alta: Compartir o Reducir Riesgo.
Zona de Riesgo Extrema: Evitar, </t>
        </r>
      </text>
    </comment>
    <comment ref="L4" authorId="0" shapeId="0" xr:uid="{00000000-0006-0000-6500-000002000000}">
      <text>
        <r>
          <rPr>
            <sz val="12"/>
            <color indexed="81"/>
            <rFont val="Tahoma"/>
            <family val="2"/>
          </rPr>
          <t>Si el resultado de las calificaciones del control, o el promedio en el diseño de los controles, está por debajo de 96%, se debe establecer un plan de acción que permita tener un control o controles bien diseñados enfocados en hacer frente a las causas.</t>
        </r>
      </text>
    </comment>
  </commentList>
</comments>
</file>

<file path=xl/comments81.xml><?xml version="1.0" encoding="utf-8"?>
<comments xmlns="http://schemas.openxmlformats.org/spreadsheetml/2006/main" xmlns:mc="http://schemas.openxmlformats.org/markup-compatibility/2006" xmlns:xr="http://schemas.microsoft.com/office/spreadsheetml/2014/revision" mc:Ignorable="xr">
  <authors>
    <author>BENAVIDES SALAS</author>
  </authors>
  <commentList>
    <comment ref="D6" authorId="0" shapeId="0" xr:uid="{00000000-0006-0000-6600-000001000000}">
      <text>
        <r>
          <rPr>
            <b/>
            <sz val="9"/>
            <color indexed="81"/>
            <rFont val="Tahoma"/>
            <family val="2"/>
          </rPr>
          <t>Solo aplica para riesgos de corrupción.</t>
        </r>
      </text>
    </comment>
  </commentList>
</comments>
</file>

<file path=xl/comments82.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A5" authorId="0" shapeId="0" xr:uid="{00000000-0006-0000-6700-000001000000}">
      <text>
        <r>
          <rPr>
            <sz val="12"/>
            <color indexed="81"/>
            <rFont val="Tahoma"/>
            <family val="2"/>
          </rPr>
          <t>Definición de los parametros internos, externos y de proceso que se toman en cuenta para la administración del riesgo.</t>
        </r>
      </text>
    </comment>
  </commentList>
</comments>
</file>

<file path=xl/comments83.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A5" authorId="0" shapeId="0" xr:uid="{00000000-0006-0000-6800-000001000000}">
      <text>
        <r>
          <rPr>
            <sz val="12"/>
            <color indexed="81"/>
            <rFont val="Tahoma"/>
            <family val="2"/>
          </rPr>
          <t>Definición de los parametros internos, externos y de proceso que se toman en cuenta para la administración del riesgo.</t>
        </r>
      </text>
    </comment>
  </commentList>
</comments>
</file>

<file path=xl/comments84.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J7" authorId="0" shapeId="0" xr:uid="{00000000-0006-0000-6900-000001000000}">
      <text>
        <r>
          <rPr>
            <sz val="10"/>
            <color indexed="81"/>
            <rFont val="Tahoma"/>
            <family val="2"/>
          </rPr>
          <t>Responda a las siguientes preguntas atendiendo SI O NO a cada una de las perguntas. Si el resultado da que es un riesgo de corrupción proceder con su calificación en la hoja de analisis riesgo corrupción.</t>
        </r>
      </text>
    </comment>
    <comment ref="A8" authorId="0" shapeId="0" xr:uid="{00000000-0006-0000-6900-000002000000}">
      <text>
        <r>
          <rPr>
            <sz val="10"/>
            <color indexed="81"/>
            <rFont val="Tahoma"/>
            <family val="2"/>
          </rPr>
          <t>Seleccione el factor externo que puede ocasionar la posibilidad de que surja el riesgo. (Ver hoja Contexto).</t>
        </r>
      </text>
    </comment>
    <comment ref="B8" authorId="0" shapeId="0" xr:uid="{00000000-0006-0000-6900-000003000000}">
      <text>
        <r>
          <rPr>
            <sz val="10"/>
            <color indexed="81"/>
            <rFont val="Tahoma"/>
            <family val="2"/>
          </rPr>
          <t>Seleccione el factor interno que puede ocasionar la posibilidad de que surja el riesgo. (Ver hoja Contexto).</t>
        </r>
      </text>
    </comment>
    <comment ref="C8" authorId="0" shapeId="0" xr:uid="{00000000-0006-0000-6900-000004000000}">
      <text>
        <r>
          <rPr>
            <sz val="10"/>
            <color indexed="81"/>
            <rFont val="Tahoma"/>
            <family val="2"/>
          </rPr>
          <t>Seleccione el factor del proceso que puede ocasionar la posibilidad de que surja el riesgo. (Ver hoja Contexto).</t>
        </r>
      </text>
    </comment>
    <comment ref="E8" authorId="0" shapeId="0" xr:uid="{00000000-0006-0000-6900-000005000000}">
      <text>
        <r>
          <rPr>
            <sz val="10"/>
            <color indexed="81"/>
            <rFont val="Tahoma"/>
            <family val="2"/>
          </rPr>
          <t>Indique brevemente el nombre del riesgo. Para ello tenga en cuenta la siguientes recomendaciones de redacciòn:
1. Evite iniciar con palabras negativas como: No, Que No, Nunca.
2. Evite palabras que indican que no es un riesgo sino una causa tales como: Ausencia de, Falta de, Escaso, Insuficiente, Deficiente, Debilidad en.
3. Recuerde que el riesgo puede ser el antonimo del objetivo del proceso o procedimiento. Ejemplo 
Objetivo: Adquirir con oportunidad y calidad técnica los bienes y servicios. 
Riesgo: Inoportunidad en la adquisiciòn de los bienes y servicios requeridos por la entidad.
4. Si lo que identifica tiene conotación de riesgo de corrupciòn recuerde redactarlo como el siguiente ejemplo:
Posibilidad de recibir o solicitar beneficio a nombre propio o de tercereros con el fin de celebrar un contrato.</t>
        </r>
      </text>
    </comment>
    <comment ref="F8" authorId="0" shapeId="0" xr:uid="{00000000-0006-0000-6900-000006000000}">
      <text>
        <r>
          <rPr>
            <sz val="10"/>
            <color indexed="81"/>
            <rFont val="Tahoma"/>
            <family val="2"/>
          </rPr>
          <t>Describa lo que puede suceder..</t>
        </r>
      </text>
    </comment>
    <comment ref="G8" authorId="0" shapeId="0" xr:uid="{00000000-0006-0000-6900-000007000000}">
      <text>
        <r>
          <rPr>
            <sz val="10"/>
            <color indexed="81"/>
            <rFont val="Tahoma"/>
            <family val="2"/>
          </rPr>
          <t>Seleccione que tipo de riesgo. Como ayuda puede revisar los conceptos definidos en la hoja datos columnas i y j.</t>
        </r>
      </text>
    </comment>
    <comment ref="H8" authorId="0" shapeId="0" xr:uid="{00000000-0006-0000-6900-000008000000}">
      <text>
        <r>
          <rPr>
            <sz val="10"/>
            <color indexed="81"/>
            <rFont val="Tahoma"/>
            <family val="2"/>
          </rPr>
          <t>Establezca las causas que puedan generar el riesgo para ello puede utilizar las siguientes ejemplos para iniciar su redacción:
- Debilidad en …
- Carencia de…
- Falta de ….
- Ausencia de …
- Exceso de …
- Bajo ….</t>
        </r>
      </text>
    </comment>
    <comment ref="I8" authorId="0" shapeId="0" xr:uid="{00000000-0006-0000-6900-000009000000}">
      <text>
        <r>
          <rPr>
            <sz val="10"/>
            <color indexed="81"/>
            <rFont val="Tahoma"/>
            <family val="2"/>
          </rPr>
          <t>Identifique los efectos o consecuensias que podrìa generarse con la materializascion del riesgo. Puede redactarse como:
- Perdida de …
- Insatisfacciòn de….
- Productos no… 
- Mala calidad en…
- Incumplimiento en ...</t>
        </r>
      </text>
    </comment>
  </commentList>
</comments>
</file>

<file path=xl/comments85.xml><?xml version="1.0" encoding="utf-8"?>
<comments xmlns="http://schemas.openxmlformats.org/spreadsheetml/2006/main" xmlns:mc="http://schemas.openxmlformats.org/markup-compatibility/2006" xmlns:xr="http://schemas.microsoft.com/office/spreadsheetml/2014/revision" mc:Ignorable="xr">
  <authors>
    <author>Gotjen</author>
    <author>Erika Barragan</author>
  </authors>
  <commentList>
    <comment ref="D6" authorId="0" shapeId="0" xr:uid="{00000000-0006-0000-6A00-000001000000}">
      <text>
        <r>
          <rPr>
            <b/>
            <sz val="9"/>
            <color indexed="81"/>
            <rFont val="Tahoma"/>
            <charset val="1"/>
          </rPr>
          <t>Ver hoja "Datos"</t>
        </r>
      </text>
    </comment>
    <comment ref="F6" authorId="0" shapeId="0" xr:uid="{00000000-0006-0000-6A00-000002000000}">
      <text>
        <r>
          <rPr>
            <b/>
            <sz val="9"/>
            <color indexed="81"/>
            <rFont val="Tahoma"/>
            <charset val="1"/>
          </rPr>
          <t>Ver hoja "datos"</t>
        </r>
      </text>
    </comment>
    <comment ref="G6" authorId="0" shapeId="0" xr:uid="{00000000-0006-0000-6A00-000003000000}">
      <text>
        <r>
          <rPr>
            <b/>
            <sz val="9"/>
            <color indexed="81"/>
            <rFont val="Tahoma"/>
            <charset val="1"/>
          </rPr>
          <t>De proceso: ver hoja "datos"
De corrupción: ver hoja "analisis riesgo corrupcion"</t>
        </r>
      </text>
    </comment>
    <comment ref="K6" authorId="1" shapeId="0" xr:uid="{00000000-0006-0000-6A00-000004000000}">
      <text>
        <r>
          <rPr>
            <sz val="14"/>
            <color indexed="81"/>
            <rFont val="Tahoma"/>
            <family val="2"/>
          </rPr>
          <t>Identifique el control existente, recuerde que de la acción del control debe existir evidencia. Para redactar el control tenga en cuenta la siguiente estructura:
 Verbo irregular + complemento.</t>
        </r>
      </text>
    </comment>
    <comment ref="L6" authorId="1" shapeId="0" xr:uid="{00000000-0006-0000-6A00-000005000000}">
      <text>
        <r>
          <rPr>
            <sz val="14"/>
            <color indexed="81"/>
            <rFont val="Tahoma"/>
            <family val="2"/>
          </rPr>
          <t>Describa la acción de control que es efectuada.  
Describa la acción, el responsable de la acción, la frecuencia del control, quien verifica la ejecución del control, que se realiza, el próposito del control y las causas que busca controlar.</t>
        </r>
      </text>
    </comment>
    <comment ref="M6" authorId="0" shapeId="0" xr:uid="{00000000-0006-0000-6A00-000006000000}">
      <text>
        <r>
          <rPr>
            <b/>
            <sz val="9"/>
            <color indexed="81"/>
            <rFont val="Tahoma"/>
            <charset val="1"/>
          </rPr>
          <t>ir a hoja " controles"</t>
        </r>
      </text>
    </comment>
    <comment ref="X6" authorId="1" shapeId="0" xr:uid="{00000000-0006-0000-6A00-000007000000}">
      <text>
        <r>
          <rPr>
            <b/>
            <sz val="11"/>
            <color indexed="81"/>
            <rFont val="Tahoma"/>
            <family val="2"/>
          </rPr>
          <t>Zona de Riesgo Baja</t>
        </r>
        <r>
          <rPr>
            <sz val="11"/>
            <color indexed="81"/>
            <rFont val="Tahoma"/>
            <family val="2"/>
          </rPr>
          <t xml:space="preserve">: Aceptar Riesgo.
</t>
        </r>
        <r>
          <rPr>
            <b/>
            <sz val="11"/>
            <color indexed="81"/>
            <rFont val="Tahoma"/>
            <family val="2"/>
          </rPr>
          <t>Zona de Riesgo Moderada:</t>
        </r>
        <r>
          <rPr>
            <sz val="11"/>
            <color indexed="81"/>
            <rFont val="Tahoma"/>
            <family val="2"/>
          </rPr>
          <t xml:space="preserve"> Compartir o Reducir Riesgo.
Zona de Riesgo Alta: Compartir o Reducir Riesgo.
Zona de Riesgo Extrema: Evitar, </t>
        </r>
      </text>
    </comment>
  </commentList>
</comments>
</file>

<file path=xl/comments86.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K4" authorId="0" shapeId="0" xr:uid="{00000000-0006-0000-6C00-000001000000}">
      <text>
        <r>
          <rPr>
            <b/>
            <sz val="11"/>
            <color indexed="81"/>
            <rFont val="Tahoma"/>
            <family val="2"/>
          </rPr>
          <t>Zona de Riesgo Baja</t>
        </r>
        <r>
          <rPr>
            <sz val="11"/>
            <color indexed="81"/>
            <rFont val="Tahoma"/>
            <family val="2"/>
          </rPr>
          <t xml:space="preserve">: Aceptar Riesgo.
</t>
        </r>
        <r>
          <rPr>
            <b/>
            <sz val="11"/>
            <color indexed="81"/>
            <rFont val="Tahoma"/>
            <family val="2"/>
          </rPr>
          <t>Zona de Riesgo Moderada:</t>
        </r>
        <r>
          <rPr>
            <sz val="11"/>
            <color indexed="81"/>
            <rFont val="Tahoma"/>
            <family val="2"/>
          </rPr>
          <t xml:space="preserve"> Compartir o Reducir Riesgo.
Zona de Riesgo Alta: Compartir o Reducir Riesgo.
Zona de Riesgo Extrema: Evitar, </t>
        </r>
      </text>
    </comment>
    <comment ref="L4" authorId="0" shapeId="0" xr:uid="{00000000-0006-0000-6C00-000002000000}">
      <text>
        <r>
          <rPr>
            <sz val="12"/>
            <color indexed="81"/>
            <rFont val="Tahoma"/>
            <family val="2"/>
          </rPr>
          <t>Si el resultado de las calificaciones del control, o el promedio en el diseño de los controles, está por debajo de 96%, se debe establecer un plan de acción que permita tener un control o controles bien diseñados enfocados en hacer frente a las causas.</t>
        </r>
      </text>
    </comment>
  </commentList>
</comments>
</file>

<file path=xl/comments87.xml><?xml version="1.0" encoding="utf-8"?>
<comments xmlns="http://schemas.openxmlformats.org/spreadsheetml/2006/main" xmlns:mc="http://schemas.openxmlformats.org/markup-compatibility/2006" xmlns:xr="http://schemas.microsoft.com/office/spreadsheetml/2014/revision" mc:Ignorable="xr">
  <authors>
    <author>BENAVIDES SALAS</author>
  </authors>
  <commentList>
    <comment ref="D6" authorId="0" shapeId="0" xr:uid="{00000000-0006-0000-6D00-000001000000}">
      <text>
        <r>
          <rPr>
            <b/>
            <sz val="9"/>
            <color indexed="81"/>
            <rFont val="Tahoma"/>
            <family val="2"/>
          </rPr>
          <t>Solo aplica para riesgos de corrupción.</t>
        </r>
      </text>
    </comment>
  </commentList>
</comments>
</file>

<file path=xl/comments88.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A5" authorId="0" shapeId="0" xr:uid="{00000000-0006-0000-6E00-000001000000}">
      <text>
        <r>
          <rPr>
            <sz val="12"/>
            <color indexed="81"/>
            <rFont val="Tahoma"/>
            <family val="2"/>
          </rPr>
          <t>Definición de los parametros internos, externos y de proceso que se toman en cuenta para la administración del riesgo.</t>
        </r>
      </text>
    </comment>
  </commentList>
</comments>
</file>

<file path=xl/comments89.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J7" authorId="0" shapeId="0" xr:uid="{00000000-0006-0000-6F00-000001000000}">
      <text>
        <r>
          <rPr>
            <sz val="10"/>
            <color indexed="81"/>
            <rFont val="Tahoma"/>
            <family val="2"/>
          </rPr>
          <t>Responda a las siguientes preguntas atendiendo SI O NO a cada una de las perguntas. Si el resultado da que es un riesgo de corrupción proceder con su calificación en la hoja de analisis riesgo corrupción.</t>
        </r>
      </text>
    </comment>
    <comment ref="A8" authorId="0" shapeId="0" xr:uid="{00000000-0006-0000-6F00-000002000000}">
      <text>
        <r>
          <rPr>
            <sz val="10"/>
            <color indexed="81"/>
            <rFont val="Tahoma"/>
            <family val="2"/>
          </rPr>
          <t>Seleccione el factor externo que puede ocasionar la posibilidad de que surja el riesgo. (Ver hoja Contexto).</t>
        </r>
      </text>
    </comment>
    <comment ref="B8" authorId="0" shapeId="0" xr:uid="{00000000-0006-0000-6F00-000003000000}">
      <text>
        <r>
          <rPr>
            <sz val="10"/>
            <color indexed="81"/>
            <rFont val="Tahoma"/>
            <family val="2"/>
          </rPr>
          <t>Seleccione el factor interno que puede ocasionar la posibilidad de que surja el riesgo. (Ver hoja Contexto).</t>
        </r>
      </text>
    </comment>
    <comment ref="C8" authorId="0" shapeId="0" xr:uid="{00000000-0006-0000-6F00-000004000000}">
      <text>
        <r>
          <rPr>
            <sz val="10"/>
            <color indexed="81"/>
            <rFont val="Tahoma"/>
            <family val="2"/>
          </rPr>
          <t>Seleccione el factor del proceso que puede ocasionar la posibilidad de que surja el riesgo. (Ver hoja Contexto).</t>
        </r>
      </text>
    </comment>
    <comment ref="E8" authorId="0" shapeId="0" xr:uid="{00000000-0006-0000-6F00-000005000000}">
      <text>
        <r>
          <rPr>
            <sz val="10"/>
            <color indexed="81"/>
            <rFont val="Tahoma"/>
            <family val="2"/>
          </rPr>
          <t>Indique brevemente el nombre del riesgo. Para ello tenga en cuenta la siguientes recomendaciones de redacciòn:
1. Evite iniciar con palabras negativas como: No, Que No, Nunca.
2. Evite palabras que indican que no es un riesgo sino una causa tales como: Ausencia de, Falta de, Escaso, Insuficiente, Deficiente, Debilidad en.
3. Recuerde que el riesgo puede ser el antonimo del objetivo del proceso o procedimiento. Ejemplo 
Objetivo: Adquirir con oportunidad y calidad técnica los bienes y servicios. 
Riesgo: Inoportunidad en la adquisiciòn de los bienes y servicios requeridos por la entidad.
4. Si lo que identifica tiene conotación de riesgo de corrupciòn recuerde redactarlo como el siguiente ejemplo:
Posibilidad de recibir o solicitar beneficio a nombre propio o de tercereros con el fin de celebrar un contrato.</t>
        </r>
      </text>
    </comment>
    <comment ref="F8" authorId="0" shapeId="0" xr:uid="{00000000-0006-0000-6F00-000006000000}">
      <text>
        <r>
          <rPr>
            <sz val="10"/>
            <color indexed="81"/>
            <rFont val="Tahoma"/>
            <family val="2"/>
          </rPr>
          <t>Describa lo que puede suceder..</t>
        </r>
      </text>
    </comment>
    <comment ref="G8" authorId="0" shapeId="0" xr:uid="{00000000-0006-0000-6F00-000007000000}">
      <text>
        <r>
          <rPr>
            <sz val="10"/>
            <color indexed="81"/>
            <rFont val="Tahoma"/>
            <family val="2"/>
          </rPr>
          <t>Seleccione que tipo de riesgo. Como ayuda puede revisar los conceptos definidos en la hoja datos columnas i y j.</t>
        </r>
      </text>
    </comment>
    <comment ref="H8" authorId="0" shapeId="0" xr:uid="{00000000-0006-0000-6F00-000008000000}">
      <text>
        <r>
          <rPr>
            <sz val="10"/>
            <color indexed="81"/>
            <rFont val="Tahoma"/>
            <family val="2"/>
          </rPr>
          <t>Establezca las causas que puedan generar el riesgo para ello puede utilizar las siguientes ejemplos para iniciar su redacción:
- Debilidad en …
- Carencia de…
- Falta de ….
- Ausencia de …
- Exceso de …
- Bajo ….</t>
        </r>
      </text>
    </comment>
    <comment ref="I8" authorId="0" shapeId="0" xr:uid="{00000000-0006-0000-6F00-000009000000}">
      <text>
        <r>
          <rPr>
            <sz val="10"/>
            <color indexed="81"/>
            <rFont val="Tahoma"/>
            <family val="2"/>
          </rPr>
          <t>Identifique los efectos o consecuensias que podrìa generarse con la materializascion del riesgo. Puede redactarse como:
- Perdida de …
- Insatisfacciòn de….
- Productos no… 
- Mala calidad en…
- Incumplimiento en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BENAVIDES SALAS</author>
  </authors>
  <commentList>
    <comment ref="D6" authorId="0" shapeId="0" xr:uid="{00000000-0006-0000-0E00-000001000000}">
      <text>
        <r>
          <rPr>
            <b/>
            <sz val="9"/>
            <color indexed="81"/>
            <rFont val="Tahoma"/>
            <family val="2"/>
          </rPr>
          <t>Solo aplica para riesgos de corrupción.</t>
        </r>
      </text>
    </comment>
  </commentList>
</comments>
</file>

<file path=xl/comments90.xml><?xml version="1.0" encoding="utf-8"?>
<comments xmlns="http://schemas.openxmlformats.org/spreadsheetml/2006/main" xmlns:mc="http://schemas.openxmlformats.org/markup-compatibility/2006" xmlns:xr="http://schemas.microsoft.com/office/spreadsheetml/2014/revision" mc:Ignorable="xr">
  <authors>
    <author>Gotjen</author>
    <author>Erika Barragan</author>
  </authors>
  <commentList>
    <comment ref="D6" authorId="0" shapeId="0" xr:uid="{00000000-0006-0000-7000-000001000000}">
      <text>
        <r>
          <rPr>
            <b/>
            <sz val="9"/>
            <color indexed="81"/>
            <rFont val="Tahoma"/>
            <charset val="1"/>
          </rPr>
          <t>Ver hoja "Datos"</t>
        </r>
      </text>
    </comment>
    <comment ref="F6" authorId="0" shapeId="0" xr:uid="{00000000-0006-0000-7000-000002000000}">
      <text>
        <r>
          <rPr>
            <b/>
            <sz val="9"/>
            <color indexed="81"/>
            <rFont val="Tahoma"/>
            <charset val="1"/>
          </rPr>
          <t>Ver hoja "datos"</t>
        </r>
      </text>
    </comment>
    <comment ref="G6" authorId="0" shapeId="0" xr:uid="{00000000-0006-0000-7000-000003000000}">
      <text>
        <r>
          <rPr>
            <b/>
            <sz val="9"/>
            <color indexed="81"/>
            <rFont val="Tahoma"/>
            <charset val="1"/>
          </rPr>
          <t>De proceso: ver hoja "datos"
De corrupción: ver hoja "analisis riesgo corrupcion"</t>
        </r>
      </text>
    </comment>
    <comment ref="K6" authorId="1" shapeId="0" xr:uid="{00000000-0006-0000-7000-000004000000}">
      <text>
        <r>
          <rPr>
            <sz val="14"/>
            <color indexed="81"/>
            <rFont val="Tahoma"/>
            <family val="2"/>
          </rPr>
          <t>Identifique el control existente, recuerde que de la acción del control debe existir evidencia. Para redactar el control tenga en cuenta la siguiente estructura:
 Verbo irregular + complemento.</t>
        </r>
      </text>
    </comment>
    <comment ref="L6" authorId="1" shapeId="0" xr:uid="{00000000-0006-0000-7000-000005000000}">
      <text>
        <r>
          <rPr>
            <sz val="14"/>
            <color indexed="81"/>
            <rFont val="Tahoma"/>
            <family val="2"/>
          </rPr>
          <t>Describa la acción de control que es efectuada.  
Describa la acción, el responsable de la acción, la frecuencia del control, quien verifica la ejecución del control, que se realiza, el próposito del control y las causas que busca controlar.</t>
        </r>
      </text>
    </comment>
    <comment ref="M6" authorId="0" shapeId="0" xr:uid="{00000000-0006-0000-7000-000006000000}">
      <text>
        <r>
          <rPr>
            <b/>
            <sz val="9"/>
            <color indexed="81"/>
            <rFont val="Tahoma"/>
            <charset val="1"/>
          </rPr>
          <t>ir a hoja " controles"</t>
        </r>
      </text>
    </comment>
    <comment ref="X6" authorId="1" shapeId="0" xr:uid="{00000000-0006-0000-7000-000007000000}">
      <text>
        <r>
          <rPr>
            <b/>
            <sz val="11"/>
            <color indexed="81"/>
            <rFont val="Tahoma"/>
            <family val="2"/>
          </rPr>
          <t>Zona de Riesgo Baja</t>
        </r>
        <r>
          <rPr>
            <sz val="11"/>
            <color indexed="81"/>
            <rFont val="Tahoma"/>
            <family val="2"/>
          </rPr>
          <t xml:space="preserve">: Aceptar Riesgo.
</t>
        </r>
        <r>
          <rPr>
            <b/>
            <sz val="11"/>
            <color indexed="81"/>
            <rFont val="Tahoma"/>
            <family val="2"/>
          </rPr>
          <t>Zona de Riesgo Moderada:</t>
        </r>
        <r>
          <rPr>
            <sz val="11"/>
            <color indexed="81"/>
            <rFont val="Tahoma"/>
            <family val="2"/>
          </rPr>
          <t xml:space="preserve"> Compartir o Reducir Riesgo.
Zona de Riesgo Alta: Compartir o Reducir Riesgo.
Zona de Riesgo Extrema: Evitar, </t>
        </r>
      </text>
    </comment>
  </commentList>
</comments>
</file>

<file path=xl/comments91.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K4" authorId="0" shapeId="0" xr:uid="{00000000-0006-0000-7200-000001000000}">
      <text>
        <r>
          <rPr>
            <b/>
            <sz val="11"/>
            <color indexed="81"/>
            <rFont val="Tahoma"/>
            <family val="2"/>
          </rPr>
          <t>Zona de Riesgo Baja</t>
        </r>
        <r>
          <rPr>
            <sz val="11"/>
            <color indexed="81"/>
            <rFont val="Tahoma"/>
            <family val="2"/>
          </rPr>
          <t xml:space="preserve">: Aceptar Riesgo.
</t>
        </r>
        <r>
          <rPr>
            <b/>
            <sz val="11"/>
            <color indexed="81"/>
            <rFont val="Tahoma"/>
            <family val="2"/>
          </rPr>
          <t>Zona de Riesgo Moderada:</t>
        </r>
        <r>
          <rPr>
            <sz val="11"/>
            <color indexed="81"/>
            <rFont val="Tahoma"/>
            <family val="2"/>
          </rPr>
          <t xml:space="preserve"> Compartir o Reducir Riesgo.
Zona de Riesgo Alta: Compartir o Reducir Riesgo.
Zona de Riesgo Extrema: Evitar, </t>
        </r>
      </text>
    </comment>
    <comment ref="L4" authorId="0" shapeId="0" xr:uid="{00000000-0006-0000-7200-000002000000}">
      <text>
        <r>
          <rPr>
            <sz val="12"/>
            <color indexed="81"/>
            <rFont val="Tahoma"/>
            <family val="2"/>
          </rPr>
          <t>Si el resultado de las calificaciones del control, o el promedio en el diseño de los controles, está por debajo de 96%, se debe establecer un plan de acción que permita tener un control o controles bien diseñados enfocados en hacer frente a las causas.</t>
        </r>
      </text>
    </comment>
  </commentList>
</comments>
</file>

<file path=xl/comments92.xml><?xml version="1.0" encoding="utf-8"?>
<comments xmlns="http://schemas.openxmlformats.org/spreadsheetml/2006/main" xmlns:mc="http://schemas.openxmlformats.org/markup-compatibility/2006" xmlns:xr="http://schemas.microsoft.com/office/spreadsheetml/2014/revision" mc:Ignorable="xr">
  <authors>
    <author>BENAVIDES SALAS</author>
  </authors>
  <commentList>
    <comment ref="D6" authorId="0" shapeId="0" xr:uid="{00000000-0006-0000-7300-000001000000}">
      <text>
        <r>
          <rPr>
            <b/>
            <sz val="9"/>
            <color indexed="81"/>
            <rFont val="Tahoma"/>
            <family val="2"/>
          </rPr>
          <t>Solo aplica para riesgos de corrupción.</t>
        </r>
      </text>
    </comment>
  </commentList>
</comments>
</file>

<file path=xl/comments93.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A5" authorId="0" shapeId="0" xr:uid="{00000000-0006-0000-7400-000001000000}">
      <text>
        <r>
          <rPr>
            <sz val="12"/>
            <color indexed="81"/>
            <rFont val="Tahoma"/>
            <family val="2"/>
          </rPr>
          <t>Definición de los parametros internos, externos y de proceso que se toman en cuenta para la administración del riesgo.</t>
        </r>
      </text>
    </comment>
  </commentList>
</comments>
</file>

<file path=xl/comments94.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J7" authorId="0" shapeId="0" xr:uid="{00000000-0006-0000-7500-000001000000}">
      <text>
        <r>
          <rPr>
            <sz val="10"/>
            <color indexed="81"/>
            <rFont val="Tahoma"/>
            <family val="2"/>
          </rPr>
          <t>Responda a las siguientes preguntas atendiendo SI O NO a cada una de las perguntas. Si el resultado da que es un riesgo de corrupción proceder con su calificación en la hoja de analisis riesgo corrupción.</t>
        </r>
      </text>
    </comment>
    <comment ref="A8" authorId="0" shapeId="0" xr:uid="{00000000-0006-0000-7500-000002000000}">
      <text>
        <r>
          <rPr>
            <sz val="10"/>
            <color indexed="81"/>
            <rFont val="Tahoma"/>
            <family val="2"/>
          </rPr>
          <t>Seleccione el factor externo que puede ocasionar la posibilidad de que surja el riesgo. (Ver hoja Contexto).</t>
        </r>
      </text>
    </comment>
    <comment ref="B8" authorId="0" shapeId="0" xr:uid="{00000000-0006-0000-7500-000003000000}">
      <text>
        <r>
          <rPr>
            <sz val="10"/>
            <color indexed="81"/>
            <rFont val="Tahoma"/>
            <family val="2"/>
          </rPr>
          <t>Seleccione el factor interno que puede ocasionar la posibilidad de que surja el riesgo. (Ver hoja Contexto).</t>
        </r>
      </text>
    </comment>
    <comment ref="C8" authorId="0" shapeId="0" xr:uid="{00000000-0006-0000-7500-000004000000}">
      <text>
        <r>
          <rPr>
            <sz val="10"/>
            <color indexed="81"/>
            <rFont val="Tahoma"/>
            <family val="2"/>
          </rPr>
          <t>Seleccione el factor del proceso que puede ocasionar la posibilidad de que surja el riesgo. (Ver hoja Contexto).</t>
        </r>
      </text>
    </comment>
    <comment ref="E8" authorId="0" shapeId="0" xr:uid="{00000000-0006-0000-7500-000005000000}">
      <text>
        <r>
          <rPr>
            <sz val="10"/>
            <color indexed="81"/>
            <rFont val="Tahoma"/>
            <family val="2"/>
          </rPr>
          <t>Indique brevemente el nombre del riesgo. Para ello tenga en cuenta la siguientes recomendaciones de redacciòn:
1. Evite iniciar con palabras negativas como: No, Que No, Nunca.
2. Evite palabras que indican que no es un riesgo sino una causa tales como: Ausencia de, Falta de, Escaso, Insuficiente, Deficiente, Debilidad en.
3. Recuerde que el riesgo puede ser el antonimo del objetivo del proceso o procedimiento. Ejemplo 
Objetivo: Adquirir con oportunidad y calidad técnica los bienes y servicios. 
Riesgo: Inoportunidad en la adquisiciòn de los bienes y servicios requeridos por la entidad.
4. Si lo que identifica tiene conotación de riesgo de corrupciòn recuerde redactarlo como el siguiente ejemplo:
Posibilidad de recibir o solicitar beneficio a nombre propio o de tercereros con el fin de celebrar un contrato.</t>
        </r>
      </text>
    </comment>
    <comment ref="F8" authorId="0" shapeId="0" xr:uid="{00000000-0006-0000-7500-000006000000}">
      <text>
        <r>
          <rPr>
            <sz val="10"/>
            <color indexed="81"/>
            <rFont val="Tahoma"/>
            <family val="2"/>
          </rPr>
          <t>Describa lo que puede suceder..</t>
        </r>
      </text>
    </comment>
    <comment ref="G8" authorId="0" shapeId="0" xr:uid="{00000000-0006-0000-7500-000007000000}">
      <text>
        <r>
          <rPr>
            <sz val="10"/>
            <color indexed="81"/>
            <rFont val="Tahoma"/>
            <family val="2"/>
          </rPr>
          <t>Seleccione que tipo de riesgo. Como ayuda puede revisar los conceptos definidos en la hoja datos columnas i y j.</t>
        </r>
      </text>
    </comment>
    <comment ref="H8" authorId="0" shapeId="0" xr:uid="{00000000-0006-0000-7500-000008000000}">
      <text>
        <r>
          <rPr>
            <sz val="10"/>
            <color indexed="81"/>
            <rFont val="Tahoma"/>
            <family val="2"/>
          </rPr>
          <t>Establezca las causas que puedan generar el riesgo para ello puede utilizar las siguientes ejemplos para iniciar su redacción:
- Debilidad en …
- Carencia de…
- Falta de ….
- Ausencia de …
- Exceso de …
- Bajo ….</t>
        </r>
      </text>
    </comment>
    <comment ref="I8" authorId="0" shapeId="0" xr:uid="{00000000-0006-0000-7500-000009000000}">
      <text>
        <r>
          <rPr>
            <sz val="10"/>
            <color indexed="81"/>
            <rFont val="Tahoma"/>
            <family val="2"/>
          </rPr>
          <t>Identifique los efectos o consecuensias que podrìa generarse con la materializascion del riesgo. Puede redactarse como:
- Perdida de …
- Insatisfacciòn de….
- Productos no… 
- Mala calidad en…
- Incumplimiento en ...</t>
        </r>
      </text>
    </comment>
  </commentList>
</comments>
</file>

<file path=xl/comments95.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K6" authorId="0" shapeId="0" xr:uid="{00000000-0006-0000-7600-000001000000}">
      <text>
        <r>
          <rPr>
            <sz val="14"/>
            <color indexed="81"/>
            <rFont val="Tahoma"/>
            <family val="2"/>
          </rPr>
          <t>Identifique el control existente, recuerde que de la acción del control debe existir evidencia. Para redactar el control tenga en cuenta la siguiente estructura:
 Verbo irregular + complemento.</t>
        </r>
      </text>
    </comment>
    <comment ref="L6" authorId="0" shapeId="0" xr:uid="{00000000-0006-0000-7600-000002000000}">
      <text>
        <r>
          <rPr>
            <sz val="14"/>
            <color indexed="81"/>
            <rFont val="Tahoma"/>
            <family val="2"/>
          </rPr>
          <t>Describa la acción de control que es efectuada.  
Describa la acción, el responsable de la acción, la frecuencia del control, quien verifica la ejecución del control, que se realiza, el próposito del control y las causas que busca controlar.</t>
        </r>
      </text>
    </comment>
    <comment ref="X6" authorId="0" shapeId="0" xr:uid="{00000000-0006-0000-7600-000003000000}">
      <text>
        <r>
          <rPr>
            <b/>
            <sz val="11"/>
            <color indexed="81"/>
            <rFont val="Tahoma"/>
            <family val="2"/>
          </rPr>
          <t>Zona de Riesgo Baja</t>
        </r>
        <r>
          <rPr>
            <sz val="11"/>
            <color indexed="81"/>
            <rFont val="Tahoma"/>
            <family val="2"/>
          </rPr>
          <t xml:space="preserve">: Aceptar Riesgo.
</t>
        </r>
        <r>
          <rPr>
            <b/>
            <sz val="11"/>
            <color indexed="81"/>
            <rFont val="Tahoma"/>
            <family val="2"/>
          </rPr>
          <t>Zona de Riesgo Moderada:</t>
        </r>
        <r>
          <rPr>
            <sz val="11"/>
            <color indexed="81"/>
            <rFont val="Tahoma"/>
            <family val="2"/>
          </rPr>
          <t xml:space="preserve"> Compartir o Reducir Riesgo.
Zona de Riesgo Alta: Compartir o Reducir Riesgo.
Zona de Riesgo Extrema: Evitar, </t>
        </r>
      </text>
    </comment>
  </commentList>
</comments>
</file>

<file path=xl/comments96.xml><?xml version="1.0" encoding="utf-8"?>
<comments xmlns="http://schemas.openxmlformats.org/spreadsheetml/2006/main" xmlns:mc="http://schemas.openxmlformats.org/markup-compatibility/2006" xmlns:xr="http://schemas.microsoft.com/office/spreadsheetml/2014/revision" mc:Ignorable="xr">
  <authors>
    <author>BENAVIDES SALAS</author>
  </authors>
  <commentList>
    <comment ref="D6" authorId="0" shapeId="0" xr:uid="{00000000-0006-0000-7700-000001000000}">
      <text>
        <r>
          <rPr>
            <b/>
            <sz val="9"/>
            <color indexed="81"/>
            <rFont val="Tahoma"/>
            <family val="2"/>
          </rPr>
          <t>Solo aplica para riesgos de corrupción.</t>
        </r>
      </text>
    </comment>
  </commentList>
</comments>
</file>

<file path=xl/comments97.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K4" authorId="0" shapeId="0" xr:uid="{00000000-0006-0000-7900-000001000000}">
      <text>
        <r>
          <rPr>
            <b/>
            <sz val="11"/>
            <color indexed="81"/>
            <rFont val="Tahoma"/>
            <family val="2"/>
          </rPr>
          <t>Zona de Riesgo Baja</t>
        </r>
        <r>
          <rPr>
            <sz val="11"/>
            <color indexed="81"/>
            <rFont val="Tahoma"/>
            <family val="2"/>
          </rPr>
          <t xml:space="preserve">: Aceptar Riesgo.
</t>
        </r>
        <r>
          <rPr>
            <b/>
            <sz val="11"/>
            <color indexed="81"/>
            <rFont val="Tahoma"/>
            <family val="2"/>
          </rPr>
          <t>Zona de Riesgo Moderada:</t>
        </r>
        <r>
          <rPr>
            <sz val="11"/>
            <color indexed="81"/>
            <rFont val="Tahoma"/>
            <family val="2"/>
          </rPr>
          <t xml:space="preserve"> Compartir o Reducir Riesgo.
Zona de Riesgo Alta: Compartir o Reducir Riesgo.
Zona de Riesgo Extrema: Evitar, </t>
        </r>
      </text>
    </comment>
    <comment ref="L4" authorId="0" shapeId="0" xr:uid="{00000000-0006-0000-7900-000002000000}">
      <text>
        <r>
          <rPr>
            <sz val="12"/>
            <color indexed="81"/>
            <rFont val="Tahoma"/>
            <family val="2"/>
          </rPr>
          <t>Si el resultado de las calificaciones del control, o el promedio en el diseño de los controles, está por debajo de 96%, se debe establecer un plan de acción que permita tener un control o controles bien diseñados enfocados en hacer frente a las causas.</t>
        </r>
      </text>
    </comment>
  </commentList>
</comments>
</file>

<file path=xl/comments98.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A5" authorId="0" shapeId="0" xr:uid="{00000000-0006-0000-7A00-000001000000}">
      <text>
        <r>
          <rPr>
            <sz val="12"/>
            <color indexed="81"/>
            <rFont val="Tahoma"/>
            <family val="2"/>
          </rPr>
          <t>Definición de los parametros internos, externos y de proceso que se toman en cuenta para la administración del riesgo.</t>
        </r>
      </text>
    </comment>
  </commentList>
</comments>
</file>

<file path=xl/comments99.xml><?xml version="1.0" encoding="utf-8"?>
<comments xmlns="http://schemas.openxmlformats.org/spreadsheetml/2006/main" xmlns:mc="http://schemas.openxmlformats.org/markup-compatibility/2006" xmlns:xr="http://schemas.microsoft.com/office/spreadsheetml/2014/revision" mc:Ignorable="xr">
  <authors>
    <author>Erika Barragan</author>
  </authors>
  <commentList>
    <comment ref="J7" authorId="0" shapeId="0" xr:uid="{00000000-0006-0000-7B00-000001000000}">
      <text>
        <r>
          <rPr>
            <sz val="10"/>
            <color indexed="81"/>
            <rFont val="Tahoma"/>
            <family val="2"/>
          </rPr>
          <t>Responda a las siguientes preguntas atendiendo SI O NO a cada una de las perguntas. Si el resultado da que es un riesgo de corrupción proceder con su calificación en la hoja de analisis riesgo corrupción.</t>
        </r>
      </text>
    </comment>
    <comment ref="A8" authorId="0" shapeId="0" xr:uid="{00000000-0006-0000-7B00-000002000000}">
      <text>
        <r>
          <rPr>
            <sz val="10"/>
            <color indexed="81"/>
            <rFont val="Tahoma"/>
            <family val="2"/>
          </rPr>
          <t>Seleccione el factor externo que puede ocasionar la posibilidad de que surja el riesgo. (Ver hoja Contexto).</t>
        </r>
      </text>
    </comment>
    <comment ref="B8" authorId="0" shapeId="0" xr:uid="{00000000-0006-0000-7B00-000003000000}">
      <text>
        <r>
          <rPr>
            <sz val="10"/>
            <color indexed="81"/>
            <rFont val="Tahoma"/>
            <family val="2"/>
          </rPr>
          <t>Seleccione el factor interno que puede ocasionar la posibilidad de que surja el riesgo. (Ver hoja Contexto).</t>
        </r>
      </text>
    </comment>
    <comment ref="C8" authorId="0" shapeId="0" xr:uid="{00000000-0006-0000-7B00-000004000000}">
      <text>
        <r>
          <rPr>
            <sz val="10"/>
            <color indexed="81"/>
            <rFont val="Tahoma"/>
            <family val="2"/>
          </rPr>
          <t>Seleccione el factor del proceso que puede ocasionar la posibilidad de que surja el riesgo. (Ver hoja Contexto).</t>
        </r>
      </text>
    </comment>
    <comment ref="E8" authorId="0" shapeId="0" xr:uid="{00000000-0006-0000-7B00-000005000000}">
      <text>
        <r>
          <rPr>
            <sz val="10"/>
            <color indexed="81"/>
            <rFont val="Tahoma"/>
            <family val="2"/>
          </rPr>
          <t>Indique brevemente el nombre del riesgo. Para ello tenga en cuenta la siguientes recomendaciones de redacciòn:
1. Evite iniciar con palabras negativas como: No, Que No, Nunca.
2. Evite palabras que indican que no es un riesgo sino una causa tales como: Ausencia de, Falta de, Escaso, Insuficiente, Deficiente, Debilidad en.
3. Recuerde que el riesgo puede ser el antonimo del objetivo del proceso o procedimiento. Ejemplo 
Objetivo: Adquirir con oportunidad y calidad técnica los bienes y servicios. 
Riesgo: Inoportunidad en la adquisiciòn de los bienes y servicios requeridos por la entidad.
4. Si lo que identifica tiene conotación de riesgo de corrupciòn recuerde redactarlo como el siguiente ejemplo:
Posibilidad de recibir o solicitar beneficio a nombre propio o de tercereros con el fin de celebrar un contrato.</t>
        </r>
      </text>
    </comment>
    <comment ref="F8" authorId="0" shapeId="0" xr:uid="{00000000-0006-0000-7B00-000006000000}">
      <text>
        <r>
          <rPr>
            <sz val="10"/>
            <color indexed="81"/>
            <rFont val="Tahoma"/>
            <family val="2"/>
          </rPr>
          <t>Describa lo que puede suceder..</t>
        </r>
      </text>
    </comment>
    <comment ref="G8" authorId="0" shapeId="0" xr:uid="{00000000-0006-0000-7B00-000007000000}">
      <text>
        <r>
          <rPr>
            <sz val="10"/>
            <color indexed="81"/>
            <rFont val="Tahoma"/>
            <family val="2"/>
          </rPr>
          <t>Seleccione que tipo de riesgo. Como ayuda puede revisar los conceptos definidos en la hoja datos columnas i y j.</t>
        </r>
      </text>
    </comment>
    <comment ref="H8" authorId="0" shapeId="0" xr:uid="{00000000-0006-0000-7B00-000008000000}">
      <text>
        <r>
          <rPr>
            <sz val="10"/>
            <color indexed="81"/>
            <rFont val="Tahoma"/>
            <family val="2"/>
          </rPr>
          <t>Establezca las causas que puedan generar el riesgo para ello puede utilizar las siguientes ejemplos para iniciar su redacción:
- Debilidad en …
- Carencia de…
- Falta de ….
- Ausencia de …
- Exceso de …
- Bajo ….</t>
        </r>
      </text>
    </comment>
    <comment ref="I8" authorId="0" shapeId="0" xr:uid="{00000000-0006-0000-7B00-000009000000}">
      <text>
        <r>
          <rPr>
            <sz val="10"/>
            <color indexed="81"/>
            <rFont val="Tahoma"/>
            <family val="2"/>
          </rPr>
          <t>Identifique los efectos o consecuensias que podrìa generarse con la materializascion del riesgo. Puede redactarse como:
- Perdida de …
- Insatisfacciòn de….
- Productos no… 
- Mala calidad en…
- Incumplimiento en ...</t>
        </r>
      </text>
    </comment>
  </commentList>
</comments>
</file>

<file path=xl/sharedStrings.xml><?xml version="1.0" encoding="utf-8"?>
<sst xmlns="http://schemas.openxmlformats.org/spreadsheetml/2006/main" count="9238" uniqueCount="1486">
  <si>
    <t>FORMATO MATRIZ DE RIESGOS DE GESTIÓN Y CORRUPCIÓN POR PROCESO</t>
  </si>
  <si>
    <t>VERSION : 1</t>
  </si>
  <si>
    <t xml:space="preserve">CÓDIGO: </t>
  </si>
  <si>
    <t>Pag 1 de 8</t>
  </si>
  <si>
    <r>
      <rPr>
        <b/>
        <sz val="11"/>
        <color theme="1"/>
        <rFont val="Arial"/>
        <family val="2"/>
      </rPr>
      <t xml:space="preserve">Riesgo de gestión: </t>
    </r>
    <r>
      <rPr>
        <sz val="11"/>
        <color theme="1"/>
        <rFont val="Arial"/>
        <family val="2"/>
      </rPr>
      <t>Posibilidad de que suceda algún evento que tendrá un impacto sobre el cumplimiento de los objetivos. Se expresa en términos de probabilidad y consecuencias.</t>
    </r>
  </si>
  <si>
    <r>
      <rPr>
        <b/>
        <sz val="11"/>
        <color theme="1"/>
        <rFont val="Arial"/>
        <family val="2"/>
      </rPr>
      <t xml:space="preserve">Riesgo de corrupción: </t>
    </r>
    <r>
      <rPr>
        <sz val="11"/>
        <color theme="1"/>
        <rFont val="Arial"/>
        <family val="2"/>
      </rPr>
      <t xml:space="preserve">Posibilidad de que, por acción u omisión, se use el poder para desviar la gestión de lo público hacia un beneficio privado. </t>
    </r>
  </si>
  <si>
    <r>
      <rPr>
        <b/>
        <sz val="11"/>
        <color theme="1"/>
        <rFont val="Arial"/>
        <family val="2"/>
      </rPr>
      <t xml:space="preserve">Plan Anticorrupción y de Atención al
Ciudadano: </t>
    </r>
    <r>
      <rPr>
        <sz val="11"/>
        <color theme="1"/>
        <rFont val="Arial"/>
        <family val="2"/>
      </rPr>
      <t>Plan que contempla la estrategia de lucha contra la corrupción que debe ser implementada por todas las entidades del orden nacional, departamental y municipal.</t>
    </r>
  </si>
  <si>
    <r>
      <rPr>
        <b/>
        <sz val="11"/>
        <color theme="1"/>
        <rFont val="Arial"/>
        <family val="2"/>
      </rPr>
      <t xml:space="preserve">Confidencialidad: </t>
    </r>
    <r>
      <rPr>
        <sz val="11"/>
        <color theme="1"/>
        <rFont val="Arial"/>
        <family val="2"/>
      </rPr>
      <t>Propiedad de la información que la hace no disponible, es decir, divulgada a individuos, entidades o procesos no autorizados.</t>
    </r>
  </si>
  <si>
    <r>
      <rPr>
        <b/>
        <sz val="11"/>
        <color theme="1"/>
        <rFont val="Arial"/>
        <family val="2"/>
      </rPr>
      <t xml:space="preserve">Riesgo inherente: </t>
    </r>
    <r>
      <rPr>
        <sz val="11"/>
        <color theme="1"/>
        <rFont val="Arial"/>
        <family val="2"/>
      </rPr>
      <t xml:space="preserve">Es aquel al que se enfrenta una entidad en ausencia de acciones de la dirección para modificar su probabilidad o impacto. </t>
    </r>
  </si>
  <si>
    <r>
      <rPr>
        <b/>
        <sz val="11"/>
        <color theme="1"/>
        <rFont val="Arial"/>
        <family val="2"/>
      </rPr>
      <t xml:space="preserve">Riesgo residual: </t>
    </r>
    <r>
      <rPr>
        <sz val="11"/>
        <color theme="1"/>
        <rFont val="Arial"/>
        <family val="2"/>
      </rPr>
      <t>Nivel de riesgo que permanece luego de tomar sus correspondientes medidas de tratamiento.</t>
    </r>
  </si>
  <si>
    <r>
      <rPr>
        <b/>
        <sz val="11"/>
        <color theme="1"/>
        <rFont val="Arial"/>
        <family val="2"/>
      </rPr>
      <t>Vulnerabilidad:</t>
    </r>
    <r>
      <rPr>
        <sz val="11"/>
        <color theme="1"/>
        <rFont val="Arial"/>
        <family val="2"/>
      </rPr>
      <t xml:space="preserve">
Es una debilidad, atributo, causa o falta de control que permitiría la explotación por parte de una o más amenazas contra los activos. </t>
    </r>
  </si>
  <si>
    <r>
      <rPr>
        <b/>
        <sz val="11"/>
        <color theme="1"/>
        <rFont val="Arial"/>
        <family val="2"/>
      </rPr>
      <t xml:space="preserve">Amenazas: </t>
    </r>
    <r>
      <rPr>
        <sz val="11"/>
        <color theme="1"/>
        <rFont val="Arial"/>
        <family val="2"/>
      </rPr>
      <t xml:space="preserve">Situación potencial de un incidente no deseado, el cual puede ocasionar daño a un sistema o a una organización.
</t>
    </r>
  </si>
  <si>
    <r>
      <rPr>
        <b/>
        <sz val="11"/>
        <color theme="1"/>
        <rFont val="Arial"/>
        <family val="2"/>
      </rPr>
      <t xml:space="preserve">Tolerancia al riesgo: </t>
    </r>
    <r>
      <rPr>
        <sz val="11"/>
        <color theme="1"/>
        <rFont val="Arial"/>
        <family val="2"/>
      </rPr>
      <t>Son los niveles aceptables de desviación relativa a la consecución de objetivos. Pueden medirse y a menudo resulta mejor, con las mismas unidades que los objetivos correspondientes. Para el riesgo de corrupción la tolerancia es inaceptable.</t>
    </r>
  </si>
  <si>
    <r>
      <rPr>
        <b/>
        <sz val="11"/>
        <rFont val="Arial"/>
        <family val="2"/>
      </rPr>
      <t>Apetito</t>
    </r>
    <r>
      <rPr>
        <b/>
        <sz val="11"/>
        <color rgb="FFFF0000"/>
        <rFont val="Arial"/>
        <family val="2"/>
      </rPr>
      <t xml:space="preserve"> </t>
    </r>
    <r>
      <rPr>
        <b/>
        <sz val="11"/>
        <color theme="1"/>
        <rFont val="Arial"/>
        <family val="2"/>
      </rPr>
      <t xml:space="preserve">al riesgo: </t>
    </r>
    <r>
      <rPr>
        <sz val="11"/>
        <color theme="1"/>
        <rFont val="Arial"/>
        <family val="2"/>
      </rPr>
      <t>Magnitud y tipo de riesgo que una organización está dispuesta a buscar o retener.</t>
    </r>
  </si>
  <si>
    <r>
      <rPr>
        <b/>
        <sz val="11"/>
        <color theme="1"/>
        <rFont val="Arial"/>
        <family val="2"/>
      </rPr>
      <t xml:space="preserve">Probabilidad: </t>
    </r>
    <r>
      <rPr>
        <sz val="11"/>
        <color theme="1"/>
        <rFont val="Arial"/>
        <family val="2"/>
      </rPr>
      <t>Se entiende como la posibilidad de ocurrencia del riesgo. Esta puede ser medida con criterios de frecuencia o factibilidad.</t>
    </r>
  </si>
  <si>
    <r>
      <rPr>
        <b/>
        <sz val="11"/>
        <color theme="1"/>
        <rFont val="Arial"/>
        <family val="2"/>
      </rPr>
      <t>Indicador de Eficacia de los Controles</t>
    </r>
    <r>
      <rPr>
        <sz val="11"/>
        <color theme="1"/>
        <rFont val="Arial"/>
        <family val="2"/>
      </rPr>
      <t xml:space="preserve"> Porcentaje de controles implementados = (#controles implementados / #controles definidos) x 100.</t>
    </r>
  </si>
  <si>
    <r>
      <rPr>
        <b/>
        <sz val="11"/>
        <color theme="1"/>
        <rFont val="Arial"/>
        <family val="2"/>
      </rPr>
      <t xml:space="preserve">Impacto: </t>
    </r>
    <r>
      <rPr>
        <sz val="11"/>
        <color theme="1"/>
        <rFont val="Arial"/>
        <family val="2"/>
      </rPr>
      <t>Se entiende como las consecuencias que puede ocasionar a la organización la materialización del riesgo.</t>
    </r>
  </si>
  <si>
    <r>
      <rPr>
        <b/>
        <sz val="11"/>
        <color theme="1"/>
        <rFont val="Arial"/>
        <family val="2"/>
      </rPr>
      <t xml:space="preserve">Gestión del riesgo: </t>
    </r>
    <r>
      <rPr>
        <sz val="11"/>
        <color theme="1"/>
        <rFont val="Arial"/>
        <family val="2"/>
      </rPr>
      <t>Proceso efectuado por la alta dirección de la entidad y por todo el personal para proporcionar a la administración un aseguramiento razonable con respecto al logro de los objetivos.</t>
    </r>
  </si>
  <si>
    <t>Convenciones</t>
  </si>
  <si>
    <t>Celdas Formuladas</t>
  </si>
  <si>
    <t>Celdas con lista desplegable para seleccionar</t>
  </si>
  <si>
    <t>Celdas para diligenciar</t>
  </si>
  <si>
    <t>Celdas para diligenciar en el seguimiento.</t>
  </si>
  <si>
    <r>
      <rPr>
        <b/>
        <sz val="11"/>
        <color theme="1"/>
        <rFont val="Arial"/>
        <family val="2"/>
      </rPr>
      <t xml:space="preserve">Consecuencia: </t>
    </r>
    <r>
      <rPr>
        <sz val="11"/>
        <color theme="1"/>
        <rFont val="Arial"/>
        <family val="2"/>
      </rPr>
      <t>Los efectos o situaciones resultantes de la materialización del riesgo que impactan en el proceso, la entidad, sus grupos de valor y demás partes interesadas.</t>
    </r>
  </si>
  <si>
    <r>
      <rPr>
        <b/>
        <sz val="11"/>
        <color theme="1"/>
        <rFont val="Arial"/>
        <family val="2"/>
      </rPr>
      <t xml:space="preserve">Causa: </t>
    </r>
    <r>
      <rPr>
        <sz val="11"/>
        <color theme="1"/>
        <rFont val="Arial"/>
        <family val="2"/>
      </rPr>
      <t>Todos aquellos factores internos y externos que solos o en combinación con otros, pueden producir la materialización de un riesgo.</t>
    </r>
  </si>
  <si>
    <r>
      <rPr>
        <b/>
        <sz val="11"/>
        <color theme="1"/>
        <rFont val="Arial"/>
        <family val="2"/>
      </rPr>
      <t>Mapa de riesgos:</t>
    </r>
    <r>
      <rPr>
        <sz val="11"/>
        <color theme="1"/>
        <rFont val="Arial"/>
        <family val="2"/>
      </rPr>
      <t xml:space="preserve">
Documento con la información resultante de la gestión del riesgo.</t>
    </r>
  </si>
  <si>
    <r>
      <rPr>
        <b/>
        <sz val="11"/>
        <color theme="1"/>
        <rFont val="Arial"/>
        <family val="2"/>
      </rPr>
      <t xml:space="preserve">Control: </t>
    </r>
    <r>
      <rPr>
        <sz val="11"/>
        <color theme="1"/>
        <rFont val="Arial"/>
        <family val="2"/>
      </rPr>
      <t>Medida que modifica el riesgo (procesos, políticas, dispositivos, prácticas u otras acciones).</t>
    </r>
  </si>
  <si>
    <r>
      <rPr>
        <b/>
        <sz val="11"/>
        <color theme="1"/>
        <rFont val="Arial"/>
        <family val="2"/>
      </rPr>
      <t xml:space="preserve">Disponibilidad: </t>
    </r>
    <r>
      <rPr>
        <sz val="11"/>
        <color theme="1"/>
        <rFont val="Arial"/>
        <family val="2"/>
      </rPr>
      <t xml:space="preserve">Propiedad de ser accesible y utilizable a demanda por una entidad. </t>
    </r>
  </si>
  <si>
    <r>
      <rPr>
        <b/>
        <sz val="11"/>
        <color theme="1"/>
        <rFont val="Arial"/>
        <family val="2"/>
      </rPr>
      <t xml:space="preserve">Integridad: </t>
    </r>
    <r>
      <rPr>
        <sz val="11"/>
        <color theme="1"/>
        <rFont val="Arial"/>
        <family val="2"/>
      </rPr>
      <t>Propiedad de exactitud y completitud.</t>
    </r>
  </si>
  <si>
    <t>VERSIÓN :</t>
  </si>
  <si>
    <t>CONTEXTO ESTRATÉGICO POR PROCESO</t>
  </si>
  <si>
    <t>Proceso</t>
  </si>
  <si>
    <t>Contexto Externo</t>
  </si>
  <si>
    <t>Contexto Interno</t>
  </si>
  <si>
    <t>Contexto del Proceso</t>
  </si>
  <si>
    <t>VERSIÓN:</t>
  </si>
  <si>
    <t>Proceso:</t>
  </si>
  <si>
    <t>Objetivo del proceso:</t>
  </si>
  <si>
    <t>CONTEXTO ESTRATÉGICO DEL RIESGO</t>
  </si>
  <si>
    <t>1. IDENTIFICACIÓN DEL RIESGO</t>
  </si>
  <si>
    <t>VERIFICACIÓN RIESGO DE CORRUPCIÓN</t>
  </si>
  <si>
    <t>Factor Externo</t>
  </si>
  <si>
    <t>Factores Interno</t>
  </si>
  <si>
    <t>Factores del Proceso</t>
  </si>
  <si>
    <t>ID</t>
  </si>
  <si>
    <t xml:space="preserve">Riesgo </t>
  </si>
  <si>
    <t>Descripción</t>
  </si>
  <si>
    <t>Clasificación Tipo de Riesgo</t>
  </si>
  <si>
    <t>Causas</t>
  </si>
  <si>
    <t>Efectos</t>
  </si>
  <si>
    <t>¿Se puede presentar acción u omisión del funcionario colaborador?</t>
  </si>
  <si>
    <t>¿Se puede presentar uso del poder?</t>
  </si>
  <si>
    <t>¿Se puede presentar desviación de la gestión de lo público?</t>
  </si>
  <si>
    <t>¿Se puede generar un beneficio particular?</t>
  </si>
  <si>
    <t>Riesgo de Corrupción</t>
  </si>
  <si>
    <t>FORMATO MATRIZ DE RIESGOS DE GESTIÓNY CORRUPCIÓN POR PROCESO</t>
  </si>
  <si>
    <t>CÓDIGO:</t>
  </si>
  <si>
    <t>2. ANÁLISIS DEL RIESGO INHERENTE</t>
  </si>
  <si>
    <t>3. EVALUACIÓN DE LOS CONTROLES</t>
  </si>
  <si>
    <t>VALORACIÓN DEL RIESGO RESIDUAL</t>
  </si>
  <si>
    <t>PLAN DE TRATAMIENTO DE RIESGOS</t>
  </si>
  <si>
    <t>MONITOREO (LÍDER DEL PROCESO)</t>
  </si>
  <si>
    <t>SEGUIMIENTO DIRECCIONAMIENTO ESTRATÉGICO</t>
  </si>
  <si>
    <t xml:space="preserve"> EVALUACIÓN (TERCERA LÍNEA DE DEFENSA)</t>
  </si>
  <si>
    <t>RIESGO</t>
  </si>
  <si>
    <t>CAUSA</t>
  </si>
  <si>
    <t>FRECUENCIA</t>
  </si>
  <si>
    <t>NP</t>
  </si>
  <si>
    <t>PROBABILIDAD</t>
  </si>
  <si>
    <t>IMPACTO</t>
  </si>
  <si>
    <t>NI</t>
  </si>
  <si>
    <t>NIVEL RIESGO
INHERENTE</t>
  </si>
  <si>
    <t>¿EXISTE UN CONTROL?</t>
  </si>
  <si>
    <t>CONTROL EXISTENTE</t>
  </si>
  <si>
    <t>DESCRIPCIÓN DEL CONTROL EXISTENTE</t>
  </si>
  <si>
    <t>CALIFICACIÓN DEL CONTROL</t>
  </si>
  <si>
    <t>DEBE ESTABLECER ACCIONES PARA FORTALECER EL CONTROL</t>
  </si>
  <si>
    <t>¿EL CONJUNTO DE LOS CONTROLES DISMINUYE LA PROBABILIDAD?</t>
  </si>
  <si>
    <t>¿EL CONJUNTO DE LOS CONTROLES DISMINUYE EL IMPACTO?</t>
  </si>
  <si>
    <t>NP RESIDUAL</t>
  </si>
  <si>
    <t>NI RESIDUAL</t>
  </si>
  <si>
    <t>PROBABILIDAD
RESIDUAL</t>
  </si>
  <si>
    <t>IMPACTO
RESIDUAL</t>
  </si>
  <si>
    <t>NIVEL
RIESGO RESIDUAL</t>
  </si>
  <si>
    <t>OPCIÓN DE MANEJO</t>
  </si>
  <si>
    <t>ACCIONES</t>
  </si>
  <si>
    <t>RESPONSABLE</t>
  </si>
  <si>
    <t>FECHA INICIO</t>
  </si>
  <si>
    <t>FECHA FIN</t>
  </si>
  <si>
    <t>REGISTROS Y/O EVIDENCIAS QUE DEBEN GENERARSE AL GESTIÓN EL RIESGO.</t>
  </si>
  <si>
    <t>CONTROL REVISIÓN  CUATRIMESTRE I-2021</t>
  </si>
  <si>
    <t>REGISTROS Y/O EVIDENCIAS DE GESTIÓN DEL RIESGO.</t>
  </si>
  <si>
    <t>CONTROL REVISIÓN  CUATRIMESTRE II-2021</t>
  </si>
  <si>
    <t>CONTROL REVISIÓN  CUATRIMESTRE III-2021</t>
  </si>
  <si>
    <t>OBSERVACIONES PLANEACIÒN</t>
  </si>
  <si>
    <t>OBSERVACIONES CONTROL INTERNO</t>
  </si>
  <si>
    <t>Selecciona un descriptor de frecuencia.</t>
  </si>
  <si>
    <t>Selecciona un descriptor de impacto.</t>
  </si>
  <si>
    <t xml:space="preserve">VERSIÓN: 1 </t>
  </si>
  <si>
    <r>
      <t>CÓDIGO:</t>
    </r>
    <r>
      <rPr>
        <sz val="12"/>
        <color rgb="FFFF0000"/>
        <rFont val="Calibri"/>
        <family val="2"/>
      </rPr>
      <t xml:space="preserve"> </t>
    </r>
  </si>
  <si>
    <t>ANÁLISIS DEL RIESGO INHERENTE</t>
  </si>
  <si>
    <t>EVALUACIÓN DEL IMPACTO (Si el riesgo de corrupción se materializa podría…</t>
  </si>
  <si>
    <t>1. ¿Afectar al grupo de funcionarios del proceso?</t>
  </si>
  <si>
    <t>2. ¿Afectar el cumplimiento de metas y objetivos de la dependencia?</t>
  </si>
  <si>
    <t>3. ¿Afectar el cumplimiento de la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</si>
  <si>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</si>
  <si>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</si>
  <si>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</si>
  <si>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del servicio?</t>
  </si>
  <si>
    <t>8. ¿Dar lugar al detrimento de calidad de vida de la comunida por la périda del bien, servicios o recursos públicos?</t>
  </si>
  <si>
    <t>9. ¿Generar pérdida de información de la entidad?</t>
  </si>
  <si>
    <t>10. ¿Generar intervención de los órganos de control, de la fiscalía u otro ente?</t>
  </si>
  <si>
    <t>11. ¿Dar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</si>
  <si>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</si>
  <si>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</si>
  <si>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</si>
  <si>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</si>
  <si>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</si>
  <si>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</si>
  <si>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</si>
  <si>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19. ¿Generar daño ambiental?</t>
  </si>
  <si>
    <t>TOTAL</t>
  </si>
  <si>
    <t>SI</t>
  </si>
  <si>
    <t>IDENTIFICACIÓN</t>
  </si>
  <si>
    <t>VALORACIÓN Y ANÁLISIS</t>
  </si>
  <si>
    <t>Probabilidad</t>
  </si>
  <si>
    <t>Impacto</t>
  </si>
  <si>
    <t>ZONA DE RIESGO INHERENTE</t>
  </si>
  <si>
    <t>VERSIÓN: 1</t>
  </si>
  <si>
    <t xml:space="preserve"> INFORMACIÓN DEL CONTROL</t>
  </si>
  <si>
    <t>SOLIDEZ DEL CONTROL</t>
  </si>
  <si>
    <t>SEGUIMIENTO DEL  CONTROL</t>
  </si>
  <si>
    <t>CAUSAS</t>
  </si>
  <si>
    <t>DESCRIPCIÓN DEL CONTROL</t>
  </si>
  <si>
    <t>PASO 1.1. RESPONSABLE DEL CONTROL</t>
  </si>
  <si>
    <t>PASO 1.2. SEGREGACIÓN Y AUTORIDAD DEL RESPONSABLES</t>
  </si>
  <si>
    <t>PASO 2.
PERIODICIDAD DEL CONTROL</t>
  </si>
  <si>
    <t>PASO 3.
PROPÓSITO DEL CONTROL</t>
  </si>
  <si>
    <t>PASO 4. 
COMO SE REALIZA LA ACTIVIDAD DE CONTROL</t>
  </si>
  <si>
    <t>PASO 5.
QUE PASA CON LAS OBSERVACIONES O DESVIACIONES.</t>
  </si>
  <si>
    <t>PASO 6. 
EVIDENCIA DE LA EJECUCIÓN</t>
  </si>
  <si>
    <t>PASO 2.
PERIODICIDA DEL CONTROL</t>
  </si>
  <si>
    <t>¿DISMINUYE LA PROBABILIDAD?</t>
  </si>
  <si>
    <t>¿DISMINUYE EL IMPACTO?</t>
  </si>
  <si>
    <t>PESO DEL DISEÑO DEL CONTROL</t>
  </si>
  <si>
    <t>EJECUCIÓN DEL CONTROL</t>
  </si>
  <si>
    <t>PESO DEL DISEÑO DE CADA CONTROL</t>
  </si>
  <si>
    <t>Registro del Control</t>
  </si>
  <si>
    <t>Observaciones</t>
  </si>
  <si>
    <t>ALTO</t>
  </si>
  <si>
    <t>EXTREMO</t>
  </si>
  <si>
    <t>MODERADO</t>
  </si>
  <si>
    <t>BAJO</t>
  </si>
  <si>
    <t>Zona de riesgo</t>
  </si>
  <si>
    <r>
      <rPr>
        <b/>
        <sz val="11"/>
        <color theme="1"/>
        <rFont val="Calibri"/>
        <family val="2"/>
      </rPr>
      <t>ACEPTAR</t>
    </r>
    <r>
      <rPr>
        <sz val="11"/>
        <color theme="1"/>
        <rFont val="Calibri"/>
        <family val="2"/>
      </rPr>
      <t>: No se adopta ninguna medida que afecte la probabilidad o el impacto 
del riesgo.</t>
    </r>
  </si>
  <si>
    <t>Baja</t>
  </si>
  <si>
    <r>
      <rPr>
        <b/>
        <sz val="11"/>
        <color theme="1"/>
        <rFont val="Calibri"/>
        <family val="2"/>
      </rPr>
      <t>Reducir</t>
    </r>
    <r>
      <rPr>
        <sz val="11"/>
        <color theme="1"/>
        <rFont val="Calibri"/>
        <family val="2"/>
      </rPr>
      <t>: Se adoptan medidas para reducir la probabilidad o el impacto del riesgo, o ambos; por lo general conlleva a la implementación de controles.</t>
    </r>
  </si>
  <si>
    <t>Moderada, Alta, Extrema</t>
  </si>
  <si>
    <r>
      <rPr>
        <b/>
        <sz val="11"/>
        <color theme="1"/>
        <rFont val="Calibri"/>
        <family val="2"/>
      </rPr>
      <t>Evitar</t>
    </r>
    <r>
      <rPr>
        <sz val="11"/>
        <color theme="1"/>
        <rFont val="Calibri"/>
        <family val="2"/>
      </rPr>
      <t>: Se abandonan las actividades que dan lugar al riesgo, es decir, no iniciar o no continuar con la
actividad que lo provoca.</t>
    </r>
  </si>
  <si>
    <t>Extrema</t>
  </si>
  <si>
    <t>Compartir: Se reduce la probabilidad o el impacto del riesgo transfiriendo o compartiendo una parte de este. Los riesgos de corrupción se pueden compartir pero no se puede transferir su responsabilidad.</t>
  </si>
  <si>
    <t>VERSIÓN</t>
  </si>
  <si>
    <t>Control de cambios</t>
  </si>
  <si>
    <t>Fecha de aprobación</t>
  </si>
  <si>
    <t>Elaboro</t>
  </si>
  <si>
    <t>Aprobo</t>
  </si>
  <si>
    <r>
      <t xml:space="preserve">CÓDIGO: </t>
    </r>
    <r>
      <rPr>
        <sz val="11"/>
        <rFont val="Calibri"/>
        <family val="2"/>
      </rPr>
      <t>F-PSG-RGC-001</t>
    </r>
  </si>
  <si>
    <t>Pag    8   de   8</t>
  </si>
  <si>
    <t>DEFINICIÓN</t>
  </si>
  <si>
    <t>Tipo de Riesgo</t>
  </si>
  <si>
    <t>Descripción tipo de riesgo</t>
  </si>
  <si>
    <t>Frecuencia</t>
  </si>
  <si>
    <t>Nivel</t>
  </si>
  <si>
    <t>Descriptor</t>
  </si>
  <si>
    <t>Descripción (Consecuencias) Cuantitativo</t>
  </si>
  <si>
    <t>Descripción (Consecuencias) Cuanlitativo</t>
  </si>
  <si>
    <t>Políticos.</t>
  </si>
  <si>
    <t>Estratégicos.</t>
  </si>
  <si>
    <t>Diseño del Proceso.</t>
  </si>
  <si>
    <t>Estratégico</t>
  </si>
  <si>
    <t>Posibilidad de ocurrencia de eventos que afectan los objetivos estratégicos de la organización pública y por tanto impactan toda la entidad.</t>
  </si>
  <si>
    <t>Más de 1 vez al año.</t>
  </si>
  <si>
    <t>Casi Seguro</t>
  </si>
  <si>
    <t>Se espera que el evento ocurra en la mayoría de las circunstancias.</t>
  </si>
  <si>
    <t>Catastrófico</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</si>
  <si>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</si>
  <si>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t>
  </si>
  <si>
    <t>Aceptar el riesgo</t>
  </si>
  <si>
    <t>No se adopta ninguna medida que afecte la probabilidad o el impacto del riesgo. (Ningún riesgo de corrupción podrá ser aceptado).</t>
  </si>
  <si>
    <t>Alto</t>
  </si>
  <si>
    <t>Extremo</t>
  </si>
  <si>
    <t>Económicos y financieros.</t>
  </si>
  <si>
    <t>Estructura organizacional.</t>
  </si>
  <si>
    <t>Interacciones con con otros procesos.</t>
  </si>
  <si>
    <t>Gerenciales</t>
  </si>
  <si>
    <t>Posibilidad de ocurrencia de eventos que afectan los procesos gerenciales y/o alta direrección.</t>
  </si>
  <si>
    <t>Al menos 1 vez en el último año.</t>
  </si>
  <si>
    <t>Probable</t>
  </si>
  <si>
    <t>Es viable que el evento ocurra en la mayoría de las circunstancias.</t>
  </si>
  <si>
    <t>Mayor</t>
  </si>
  <si>
    <t>-Impacto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</si>
  <si>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</si>
  <si>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Reducir el riesgo</t>
  </si>
  <si>
    <t>Se adoptan medidas para reducir la probabilidad o el impacto del riesgo, o ambos; por lo general conlleva a la implementación de controles.</t>
  </si>
  <si>
    <t>Moderado</t>
  </si>
  <si>
    <t>Sociales y culturales.</t>
  </si>
  <si>
    <t>Financieros.</t>
  </si>
  <si>
    <t>Transversalidad.</t>
  </si>
  <si>
    <t>Operativos</t>
  </si>
  <si>
    <t>Posibilidad de ocurrencia de eventos que afecten los procesos misionales de la entidad.</t>
  </si>
  <si>
    <t>Al menos 1 vez en los últimos 2 años.</t>
  </si>
  <si>
    <t>Posible</t>
  </si>
  <si>
    <t>El evento podrá ocurrir en algún momento.</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</si>
  <si>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</si>
  <si>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</si>
  <si>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Evitar el Riesgo</t>
  </si>
  <si>
    <t>Se abandonan las actividades que dan lugar al riesgo, es decir, no iniciar o no continuar con la actividad que lo provoca.</t>
  </si>
  <si>
    <t>Bajo</t>
  </si>
  <si>
    <t>Tecnológicos.</t>
  </si>
  <si>
    <t>Personal.</t>
  </si>
  <si>
    <t>Procedimientos asociados.</t>
  </si>
  <si>
    <t>Financieros</t>
  </si>
  <si>
    <t>Posibilidad de ocurrencia de eventos que afectan los estados financieros y todas aquellas áreas involucradas con el proceso financiero como presupuesto, tesorería, contabilidad, cartera, central de cuentas, costos, etc.</t>
  </si>
  <si>
    <t>Al menos 1 vez en los últimos 5 años.</t>
  </si>
  <si>
    <t>Improbable</t>
  </si>
  <si>
    <t>El evento puede ocurrir en algún momento.</t>
  </si>
  <si>
    <t>Menor</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</si>
  <si>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 del presupuesto general de la entidad.</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</si>
  <si>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</si>
  <si>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Compartir el Riesgo</t>
  </si>
  <si>
    <t>Se reduce la probabilidad o el impacto del riesgo transfiriendo o compartiendo una parte de este.
Los riesgos de corrupción se pueden compartir pero no se puede transferir su responsabilidad.</t>
  </si>
  <si>
    <t>Ambientales.</t>
  </si>
  <si>
    <t>Tecnología.</t>
  </si>
  <si>
    <t>Comunicación entre los procesos.</t>
  </si>
  <si>
    <t>Tecnológicos</t>
  </si>
  <si>
    <t>Posibilidad de ocurrencia de eventos que afecten la totalidad o parte de la infraestructura tecnológica (hadware, software, redes, etc) de una entidad.</t>
  </si>
  <si>
    <t>No se ha presentado en los últimos 5 años.</t>
  </si>
  <si>
    <t>Rara vez</t>
  </si>
  <si>
    <t>El evento puede ocurrir solo en circunstancias excepcionales (poco comunes o anormales)</t>
  </si>
  <si>
    <t>Insignificante</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</si>
  <si>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 del presupuesto general de la entidad.</t>
  </si>
  <si>
    <t>- No hay interrupción de las operaciones de la entidad.
- No se generan sanciones económicas o administrativas.
- No se afecta la imagen institucional de forma significativa.</t>
  </si>
  <si>
    <t>Selecciona una opción de manejo.</t>
  </si>
  <si>
    <t>Legales y reglamentarios.</t>
  </si>
  <si>
    <t>Comunicación Interna.</t>
  </si>
  <si>
    <t>Activos de seguridad digital del proceso.</t>
  </si>
  <si>
    <t>Cumplimiento</t>
  </si>
  <si>
    <t>Posibilidad de ocurrencia de eventos que afecten la situación júridica o contractual de la organización debido a su incumplimiento o desacato a la normatividad legal y las obligaciones contractuales.</t>
  </si>
  <si>
    <t>Procesos</t>
  </si>
  <si>
    <t>Imagen o reputacional</t>
  </si>
  <si>
    <t>Posibilidad de ocurrencia de un evento que afecte la imagen, buen nombre o reputación de una organización ante sus clientes y partes interesadas.</t>
  </si>
  <si>
    <t>np</t>
  </si>
  <si>
    <t>Corrupción</t>
  </si>
  <si>
    <t>Posibilidad de que, por acción u omisión, se use el poder para desviar la gestión de lo público hacia un beneficio privado.</t>
  </si>
  <si>
    <t>ni</t>
  </si>
  <si>
    <t>Seleccione un tipo de riesgo</t>
  </si>
  <si>
    <r>
      <t xml:space="preserve">1. Políticos.
</t>
    </r>
    <r>
      <rPr>
        <sz val="10"/>
        <color theme="1"/>
        <rFont val="Calibri"/>
        <family val="2"/>
      </rPr>
      <t>'-Aporte de la UPME al ejercicio político del estado.
-fortalecer la entidad a partir del cumplimiento de la función publica.
-Control político desmedido y desarticulado con diferentes entidades del gobierno nacional.</t>
    </r>
    <r>
      <rPr>
        <sz val="10"/>
        <color theme="1"/>
        <rFont val="Calibri"/>
        <family val="2"/>
      </rPr>
      <t xml:space="preserve">
</t>
    </r>
    <r>
      <rPr>
        <b/>
        <sz val="10"/>
        <color theme="1"/>
        <rFont val="Calibri"/>
        <family val="2"/>
      </rPr>
      <t xml:space="preserve">
2. Económicos y financieros.
</t>
    </r>
    <r>
      <rPr>
        <sz val="10"/>
        <color theme="1"/>
        <rFont val="Calibri"/>
        <family val="2"/>
      </rPr>
      <t>-Gestionar fuentes alternas de ingresos.
-Incluir los minerales estratégicos en la planificación.
-Generación económica a partir de las energías renovables.</t>
    </r>
    <r>
      <rPr>
        <sz val="10"/>
        <color theme="1"/>
        <rFont val="Calibri"/>
        <family val="2"/>
      </rPr>
      <t xml:space="preserve">
</t>
    </r>
    <r>
      <rPr>
        <b/>
        <sz val="10"/>
        <color theme="1"/>
        <rFont val="Calibri"/>
        <family val="2"/>
      </rPr>
      <t xml:space="preserve">
3. Sociales y culturales.
-Conflictos sociales y territoriales.</t>
    </r>
    <r>
      <rPr>
        <sz val="10"/>
        <color theme="1"/>
        <rFont val="Calibri"/>
        <family val="2"/>
      </rPr>
      <t xml:space="preserve">
-El cumplimiento de obligaciones que afectan o  benefician el orden público. (Consultas previas, licencias).
-No proporcionar beneficios sociales a las comunidades con los proyectos minero-energéticos.
</t>
    </r>
    <r>
      <rPr>
        <b/>
        <sz val="10"/>
        <color theme="1"/>
        <rFont val="Calibri"/>
        <family val="2"/>
      </rPr>
      <t xml:space="preserve">
4. Tecnológicos.</t>
    </r>
    <r>
      <rPr>
        <sz val="10"/>
        <color theme="1"/>
        <rFont val="Calibri"/>
        <family val="2"/>
      </rPr>
      <t xml:space="preserve">
-Capacidad de respuesta institucional a la implementaciòn de nuevas tecnologìas impuestas por las autoridades sectoriales.
-Vulnerabilidades, ataques informáticos.
-Facilitar la gestión y prestar un mejor servicio a través de la tecnología.</t>
    </r>
    <r>
      <rPr>
        <sz val="10"/>
        <color theme="1"/>
        <rFont val="Calibri"/>
        <family val="2"/>
      </rPr>
      <t xml:space="preserve">
</t>
    </r>
    <r>
      <rPr>
        <b/>
        <sz val="10"/>
        <color theme="1"/>
        <rFont val="Calibri"/>
        <family val="2"/>
      </rPr>
      <t xml:space="preserve">
5. Ambientales.
</t>
    </r>
    <r>
      <rPr>
        <sz val="10"/>
        <color theme="1"/>
        <rFont val="Calibri"/>
        <family val="2"/>
      </rPr>
      <t>-No tratamiento de los desechos de energìas renovables.</t>
    </r>
    <r>
      <rPr>
        <sz val="10"/>
        <color theme="1"/>
        <rFont val="Calibri"/>
        <family val="2"/>
      </rPr>
      <t xml:space="preserve">
-Capacidad de adaptación y respuesta a compromisos ambientales.
-Mejorar el entorno por orden normativa o judicial.
-incluir los aspectos medioambientales en el apoyo de los proyectos M.E.
</t>
    </r>
    <r>
      <rPr>
        <b/>
        <sz val="10"/>
        <color theme="1"/>
        <rFont val="Calibri"/>
        <family val="2"/>
      </rPr>
      <t xml:space="preserve">
6. Legales y reglamentarios.</t>
    </r>
    <r>
      <rPr>
        <sz val="10"/>
        <color theme="1"/>
        <rFont val="Calibri"/>
        <family val="2"/>
      </rPr>
      <t xml:space="preserve">
-Demoras en la regulaciòn por parte de la CREG
Inseguridad jurídica.
-Cambios normativos que impactan en la defensa judicial.
-Revisión código de minas y normatividad asociada (ambiental, tributaria , social, etc).
-Proponer herramientas que permitan acoplarse a cambios requeridos para el cumplimiento de la  de la misión.</t>
    </r>
  </si>
  <si>
    <r>
      <rPr>
        <b/>
        <sz val="10"/>
        <color theme="1"/>
        <rFont val="Calibri"/>
        <family val="2"/>
      </rPr>
      <t>1. Estratégicos</t>
    </r>
    <r>
      <rPr>
        <sz val="10"/>
        <color theme="1"/>
        <rFont val="Calibri"/>
        <family val="2"/>
      </rPr>
      <t xml:space="preserve">.
</t>
    </r>
    <r>
      <rPr>
        <b/>
        <sz val="10"/>
        <color theme="1"/>
        <rFont val="Calibri"/>
        <family val="2"/>
      </rPr>
      <t>2. Estructura organizaciona</t>
    </r>
    <r>
      <rPr>
        <sz val="10"/>
        <color theme="1"/>
        <rFont val="Calibri"/>
        <family val="2"/>
      </rPr>
      <t xml:space="preserve">l.
</t>
    </r>
    <r>
      <rPr>
        <b/>
        <sz val="10"/>
        <color theme="1"/>
        <rFont val="Calibri"/>
        <family val="2"/>
      </rPr>
      <t>3. Financieros</t>
    </r>
    <r>
      <rPr>
        <sz val="10"/>
        <color theme="1"/>
        <rFont val="Calibri"/>
        <family val="2"/>
      </rPr>
      <t xml:space="preserve">.
-Planeaciòn Financiera en TH.
-Aprovechamiento efectivo de los recursos económicos hacia el cumplimiento de aspectos estratégicos.
-Ajuste y priorizaciòn presupuestal.
-Recursos en su mayoria generados por el sector no por el presupuesto general de la Naciòn.
</t>
    </r>
    <r>
      <rPr>
        <b/>
        <sz val="10"/>
        <color theme="1"/>
        <rFont val="Calibri"/>
        <family val="2"/>
      </rPr>
      <t>4. Personal</t>
    </r>
    <r>
      <rPr>
        <sz val="10"/>
        <color theme="1"/>
        <rFont val="Calibri"/>
        <family val="2"/>
      </rPr>
      <t xml:space="preserve">.
-Personal con alto nivel de formaciòn tècnica. 
-Perfiles técnicos con experticia avanzada.
-Demoras en la expediciòn de resoluciones de comisiòn.
-Es necesario robustecer proceso de selecciòn en analisis de competencias.
-Carencia de medición de resultados. Deficiencia en la articulación del plan de capacitación con los objetivos de la OGI.
</t>
    </r>
    <r>
      <rPr>
        <b/>
        <sz val="10"/>
        <color theme="1"/>
        <rFont val="Calibri"/>
        <family val="2"/>
      </rPr>
      <t>5. Tecnología</t>
    </r>
    <r>
      <rPr>
        <sz val="10"/>
        <color theme="1"/>
        <rFont val="Calibri"/>
        <family val="2"/>
      </rPr>
      <t xml:space="preserve">.
-No se cuenta con tecnología que responda a las necesidades de información de la UPME.
-No hay anticipación a lo que se ofrece en el mercado.
-NO se permite compartir informaciòn con terceros por DRIVE.(Universidades, gobernaciones, etc) lo que conlleva a uttilizar correos personales para compartir informaciòn con partes interesadas.Resago tecnologico en las aplicaciones y programas utilizados por la entidad para la evaluaciòn de proyectos.
-Bajo nivel de capacidad de almacenamiento.
</t>
    </r>
    <r>
      <rPr>
        <b/>
        <sz val="10"/>
        <color theme="1"/>
        <rFont val="Calibri"/>
        <family val="2"/>
      </rPr>
      <t>6. Comunicación Interna</t>
    </r>
    <r>
      <rPr>
        <sz val="10"/>
        <color theme="1"/>
        <rFont val="Calibri"/>
        <family val="2"/>
      </rPr>
      <t xml:space="preserve">.
-Realizaciòn de comitès primarios para informar al grupo de las decisiones de la direcciòn y demas termas institucionales
-Bajo nivel de apropiación de la estrategia.
-Desarticulación entre la adquisición de bienes y servicios tecnológicos  y el PETI.
</t>
    </r>
    <r>
      <rPr>
        <b/>
        <sz val="10"/>
        <color theme="1"/>
        <rFont val="Calibri"/>
        <family val="2"/>
      </rPr>
      <t>7. Procesos</t>
    </r>
    <r>
      <rPr>
        <sz val="10"/>
        <color theme="1"/>
        <rFont val="Calibri"/>
        <family val="2"/>
      </rPr>
      <t xml:space="preserve">.
-Procesos documentados.
-Autonomía en la ejecución de los procesos bajo la responsabilidad de cada equipo.
-Mejoramiento continuo de los procesos encaminados al desarrollo de los aspectos estratégicos.
-Gestión humana muy orientada a la operatividad y no a los aspectos estratégicos.
-Planificación minero energética sin considerar alternativas ante imprevistos (plan de continuidad).
</t>
    </r>
  </si>
  <si>
    <r>
      <rPr>
        <b/>
        <sz val="10"/>
        <color theme="1"/>
        <rFont val="Calibri"/>
        <family val="2"/>
      </rPr>
      <t>1. Diseño del Proceso</t>
    </r>
    <r>
      <rPr>
        <sz val="10"/>
        <color theme="1"/>
        <rFont val="Calibri"/>
        <family val="2"/>
      </rPr>
      <t xml:space="preserve">.
-En proceso de transformación, rediseño y mejoramiento.
-Retraso de actividades en los diferentes ciclos del tiempo.  (anualidad).
</t>
    </r>
    <r>
      <rPr>
        <b/>
        <sz val="10"/>
        <color theme="1"/>
        <rFont val="Calibri"/>
        <family val="2"/>
      </rPr>
      <t>2. Interacciones con otros procesos</t>
    </r>
    <r>
      <rPr>
        <sz val="10"/>
        <color theme="1"/>
        <rFont val="Calibri"/>
        <family val="2"/>
      </rPr>
      <t xml:space="preserve">.
-La interacción está personalizada.
-Carencia de algunos procesos entre la subdireccion de demanda y la OGPF…temas metodologia proyecciòn de la demanda.
-Interrelaciòn con el proceso de Demanda y Prospectiva y PEI Energía 
-Es necesario normalizar con lineamientos precisos sobre la interrelaciòn de  los procesos.
</t>
    </r>
    <r>
      <rPr>
        <b/>
        <sz val="10"/>
        <color theme="1"/>
        <rFont val="Calibri"/>
        <family val="2"/>
      </rPr>
      <t>3. Transversalidad</t>
    </r>
    <r>
      <rPr>
        <sz val="10"/>
        <color theme="1"/>
        <rFont val="Calibri"/>
        <family val="2"/>
      </rPr>
      <t xml:space="preserve">.
-Se cuenta con un sistema de informaciòn (Discover) que permite realizar consultas de los proyectos presetnados ante la OGPF.
-El proceso de Direccionamiento entrega lineas estratégicas y políticas a los demás procesos.
-No se incluye el equipo de trabajo de Planeación en la definición estratégica y reuniones relevantes para el direccionamiento de la entidad.
</t>
    </r>
    <r>
      <rPr>
        <b/>
        <sz val="10"/>
        <color theme="1"/>
        <rFont val="Calibri"/>
        <family val="2"/>
      </rPr>
      <t>4. Procedimientos asociados</t>
    </r>
    <r>
      <rPr>
        <sz val="10"/>
        <color theme="1"/>
        <rFont val="Calibri"/>
        <family val="2"/>
      </rPr>
      <t xml:space="preserve">.
-Actualización de los procedimientos producto del cambio normativo y en mejoramientos del hacer.
-Falta apropiación y fortalecimiento de los procedimientos del proceso de Planeación.
</t>
    </r>
    <r>
      <rPr>
        <b/>
        <sz val="10"/>
        <color theme="1"/>
        <rFont val="Calibri"/>
        <family val="2"/>
      </rPr>
      <t>5. Comunicación entre los procesos</t>
    </r>
    <r>
      <rPr>
        <sz val="10"/>
        <color theme="1"/>
        <rFont val="Calibri"/>
        <family val="2"/>
      </rPr>
      <t xml:space="preserve">.
-Fortalecer la comunicación del proceso con toda la entidad.
-Deficiencias en la efectividad de los canales y del mensaje.
-Ausencia de protocolos de comunicación.
</t>
    </r>
    <r>
      <rPr>
        <b/>
        <sz val="10"/>
        <color theme="1"/>
        <rFont val="Calibri"/>
        <family val="2"/>
      </rPr>
      <t>6. Activos de seguridad digital del proceso</t>
    </r>
    <r>
      <rPr>
        <sz val="10"/>
        <color theme="1"/>
        <rFont val="Calibri"/>
        <family val="2"/>
      </rPr>
      <t>.
-
-</t>
    </r>
  </si>
  <si>
    <t>-Generar retrasos en las evaluaciones;  se afecta la imagen institucional por incumplimiento en la entrega de los certificados.
-Numero elevado de solicitudes.
-Generar retrasos porque la evaluación se realiza de forma manual con bases de datos que se alimentan manualmente.
-Errores en los formatos requeridos, información errada, reprocesos en el trámite.
-Incentidumbre en la evaluacion de las solicitudes.</t>
  </si>
  <si>
    <t>-Incomodidad en el servidor público e información incompleta.
-Retrasos en los tiempos establecidos para la evaluación.
-Retrasos en los tiempos establecidos para la evaluación.</t>
  </si>
  <si>
    <t>GESTIÓN DE CONCEPTOS TÉCNICOS</t>
  </si>
  <si>
    <t>Posibilidad de recibir o solicitar cualquier dadiva o beneficio a nombre propio o de terceros a través del manejo discrecional de las solicitudes</t>
  </si>
  <si>
    <t>NO</t>
  </si>
  <si>
    <t>Inorportunidad en la expedicción de respuestas y certificados certificados.</t>
  </si>
  <si>
    <t>Puede suceder que se generen demoras no atribuibles al solicitante en la expedición del certificado que retrasan la entrega de respuestas y certificados en los tiempos definidos reglamentariamente.</t>
  </si>
  <si>
    <t>Puede ocurrir que ante el manejo discrecional de las solicitudes pueda ocasionarse Injerencia indebida en la prelacion de las solicitudes existiendo posible  beneficio a nombre propio o de un tercero</t>
  </si>
  <si>
    <t>-Generar retrasos en las expedición de las demas solicitudes.
- Insatisfacción de partes interesadas.
- Investigaciones y sanciones disciplinarias, fiscales y penales.</t>
  </si>
  <si>
    <t>Expedir certificados para que quienes inviertan en fuentes no convencionales de energía y  gestión eficiente de energía accedan a los incentivos tributarios definidos en la ley.</t>
  </si>
  <si>
    <t>Puede suceder que se entrege de manera errada un certificado de beneficio tributario o que se brinde información a los usuarios fuera de las competencias de la UPME.</t>
  </si>
  <si>
    <t>Base de datos de solcitudes.</t>
  </si>
  <si>
    <t>Se cuenta con base de datos en la que se registran las entradas de solicitudes, esta herramienta llevar un control del estado de las evaluaciones de fuentes no convencionales o de gestión eficiente de la energía. Este control tiene como propósito llevar un matriz de control para llevar el record de solicitudes, la fecha de la solicitud, el número de radicado y el estado de la evaluación. Es alimentada por los Profesionales del Grupo de Incentivos Tributarios y cuenta con un seguimiento trimestral por el Subdirector de Demanda que es plasmada en el seguimiento del plan de acción anual</t>
  </si>
  <si>
    <t>Se ha establecido al interior del Grupo de Incentivos Tributarios de la Subdirección de Demanda, que las solicitudes sean evaluadas en orden de ingreso con el propósito que de acuerdo a la capacidad del procesos se atiendan y no se acumulen evitando de esta forma posibles incumplimientos en oportunidad.</t>
  </si>
  <si>
    <t>Se utiliza la herramienta Orfeo como el canal para tramitar las solicitudes, las respuestas, las solicitudes de información y la expedición de certificados. Así se garantiza la documentación quede formalmente documentada en el Sistema de Gestión Documental de la entidad. Este control permite evidenciar el registro del tiempo de las entradas y salidas de información en la interacción entre los solicitantes y la UPME.</t>
  </si>
  <si>
    <t>Formalidad en el registro de entradas y salidas en Orfeo.</t>
  </si>
  <si>
    <t>Efectuar la evaluación en el orden de ingreso de las solicitudes</t>
  </si>
  <si>
    <t>-Falta de personal para la evaluación de solicitudes.
-Exceso de solicitudes.
-Falta de automatización en el procedimiento.
-Reprocesos por mala información y errado diligenciamiento de los formatos.
-Cambios normativos.</t>
  </si>
  <si>
    <t>Realizar solcitud de recursos para la contratación de personal.</t>
  </si>
  <si>
    <t>Se realiza solicitud de recursos para la contratación de personal cuando se estima no contar con la capacidad interna  buscando aumentar la capacidad para llevar a cabo los procesos de evaluación en los tiempos definidos.</t>
  </si>
  <si>
    <t>Identificación de necesidades de automatización del proceso de expedición de certificados..</t>
  </si>
  <si>
    <t>Se ha realizado la identificación de necesidades de automatización, esto con el propósito de contar con herramientas tecnológicas que permitan disminuir cargas operativas que reducen la capacidad interna del grupo de trabajo de incentivos tributarios.</t>
  </si>
  <si>
    <t>Se ha establecido al interior del Grupo de Incentivos tributarios de la Subdirección de Demanda, que las solicitudes sean evaluadas en orden de ingreso con el propósito que de acuerdo a la capacidad del procesos se atiendan y no se acumulen evitando de esta forma posibles incumplimientos en oportunidad.</t>
  </si>
  <si>
    <t>Es un mecanismo de transparencia de información que permite reducir la interacción directa entre evaluador y solicitante. Mediante este mecanismo el solicitante puede conocer el estado de su solicitud.</t>
  </si>
  <si>
    <t>Contar con la herramienta de consulta del estado de la solicitud.</t>
  </si>
  <si>
    <t>Entrega errada de información relacionada a los beneficios tributarios.</t>
  </si>
  <si>
    <t>Aplicar los niveles de autorización determinados para la emisión de información en la UPME.</t>
  </si>
  <si>
    <t>Comunicar los tiempos y etapas del proceso de evaluación de las solicitudes.</t>
  </si>
  <si>
    <t xml:space="preserve">La UPME ha definido lineamientos a través de las Resoluciones y procedimientos en los que ha determinado los pasos de la evaluación, los criterios de evaluación y los tiempos que se deben surtir en cada etapa. Con esto se da claridad a los usuarios y evaluadores del cumplimiento de los tiempos y responsabilidades frente a la información y la evaluación. </t>
  </si>
  <si>
    <t>Se cuenta con micrositio en el cual se publica de manera gráfica y didactica los pasos que se surten en el proceso de evaluación de solicitudes.</t>
  </si>
  <si>
    <t>Mesas de trabajo para la revisión y  formulación de politicas y conceptos técnicos.</t>
  </si>
  <si>
    <t>Se ha establecido contar con mesas técnicas de trabajo mediante lascuales se revisa y realiza seguimiento a la formulación de lineamentos y a los conceptos técnicos relacionados con las solicitudes de beneficios tributarios prestadas por los usuarios.</t>
  </si>
  <si>
    <t>La UPME ha establecido como protocolo dado su estructura organicaa una estructura funcional en la que los servidores no pueden entregar información, sin la revisión de la información a entregarse donde es fundamental los niveles de autorización definidos para ellos. Este contro lbuscca garantizar que no se entregue información errada o fuera de las funciones determinadas para la UPME, toda información que sale de la organización es verificada por el Coordinador del Grupo y el Subdirector de la dependencia.</t>
  </si>
  <si>
    <t>Aplicar mecanismos formales para la atención de usuarios.</t>
  </si>
  <si>
    <t>En el caso de inquietudes o necesidades de atención por parte de promotores que buscan acceder a los beneficios tributarios, se han definido protocolos formales de atención los cuales deben ser autorizados por el Subdirector de Demanda. Para ello se deben registrar los registros correspondientes de la atención y en los que la atención es explicativa y no debe existir compromisos por parte de la entidad</t>
  </si>
  <si>
    <t>Participar en las actividades de promoción del código de integridad del servidor público.</t>
  </si>
  <si>
    <t>Es un mecanismos en el que la entidad promueve el código de integridad y sus herramientas entre estas la identificación y declaración de conflictosde interés. Los servidores públicos deben participar en esta actividades, las cuales tienen como propósito sensibilizar y comprometer a los servidores a que apliquen la declaración de impedimento cuando existan conflictos de interés.</t>
  </si>
  <si>
    <t>Asignado</t>
  </si>
  <si>
    <t>- Falta de claridad y/o carencia de la politica y protocolos de atención al usuario.
- Inadecuada definición de los mecanismos de comunicación y atenión de las solicitudes.
- Incertidumbre en los tiempos de respuesta.
- Fallas de comunicación con los usuarios.
- Improvisación en la atención presonalizada de usuarios.
- Inadecuados tiempos de atención.</t>
  </si>
  <si>
    <t>- Presion por parte de los solicitantes interesados en los beneficios tributarios.
-Instrucción indebida de un superior jerarquico en la entidad.
-Presion indebida por otras instancias de gobierno.
- Interacciones entre el evaluador y el solicitante generadas por inadecuada definición de los procesos.</t>
  </si>
  <si>
    <t>Adecuado</t>
  </si>
  <si>
    <t>Oportuna</t>
  </si>
  <si>
    <t>Prevenir</t>
  </si>
  <si>
    <t>Confiable</t>
  </si>
  <si>
    <t>Se investigan y resuelven oportunamente</t>
  </si>
  <si>
    <t>Completa</t>
  </si>
  <si>
    <t>Siempre se ejecuta</t>
  </si>
  <si>
    <t>Establecer y aplicar lineamientos y procedimientos documentado para la evaluación de las solicitudes.</t>
  </si>
  <si>
    <t>Profesional encargado adscrito a la subdirección de demanda</t>
  </si>
  <si>
    <t>Propuesta de politica de atención al ciudadano para el tema de I.T</t>
  </si>
  <si>
    <t>Capacitación al pesonal de atención al ciudadano.</t>
  </si>
  <si>
    <t>Registros de capacitación.</t>
  </si>
  <si>
    <t>Documento Política de Atención al Ciudadano.</t>
  </si>
  <si>
    <t>Corto Plazo: Consulta a traves del buscador en linea. 
Largo Plazo BPM</t>
  </si>
  <si>
    <t>Registro de herramientas implementadas en el corto y largo plazo.</t>
  </si>
  <si>
    <t>MAPA DE RIESGOS</t>
  </si>
  <si>
    <t>Codigo</t>
  </si>
  <si>
    <t>Version</t>
  </si>
  <si>
    <t xml:space="preserve">Consecuencia </t>
  </si>
  <si>
    <t>Rara Vez</t>
  </si>
  <si>
    <r>
      <t>1. Políticos.
-</t>
    </r>
    <r>
      <rPr>
        <sz val="10"/>
        <color theme="1"/>
        <rFont val="Calibri"/>
        <family val="2"/>
        <scheme val="minor"/>
      </rPr>
      <t xml:space="preserve">Directrices normativas que afectan la gestión de la entidad.
-Cambios de Gobierno  falta continuidad en polìticas pùblicas.                  
</t>
    </r>
    <r>
      <rPr>
        <b/>
        <sz val="10"/>
        <color theme="1"/>
        <rFont val="Calibri"/>
        <family val="2"/>
        <scheme val="minor"/>
      </rPr>
      <t>2. Económicos y financieros.
-</t>
    </r>
    <r>
      <rPr>
        <sz val="10"/>
        <color theme="1"/>
        <rFont val="Calibri"/>
        <family val="2"/>
        <scheme val="minor"/>
      </rPr>
      <t xml:space="preserve">Dependencia de otras entidades Min minas, Min ambiente, Cancillería, entre otras, para acceder a recursos por cooperación internacional.
-Pretención economica de un demandante  ante una posible falla en la gestión de la entidad.
-Aprobaciòn del presupuesto inferior al requerido.   
</t>
    </r>
    <r>
      <rPr>
        <b/>
        <sz val="10"/>
        <color theme="1"/>
        <rFont val="Calibri"/>
        <family val="2"/>
        <scheme val="minor"/>
      </rPr>
      <t xml:space="preserve">
3. Sociales y culturales.
</t>
    </r>
    <r>
      <rPr>
        <sz val="10"/>
        <color theme="1"/>
        <rFont val="Calibri"/>
        <family val="2"/>
        <scheme val="minor"/>
      </rPr>
      <t xml:space="preserve">-El reconocimiento de la comunidad a la planeación y ejecución de los proyectos minero-energéticos.
</t>
    </r>
    <r>
      <rPr>
        <b/>
        <sz val="10"/>
        <color theme="1"/>
        <rFont val="Calibri"/>
        <family val="2"/>
        <scheme val="minor"/>
      </rPr>
      <t xml:space="preserve">
4. Tecnológicos.
-</t>
    </r>
    <r>
      <rPr>
        <sz val="10"/>
        <color theme="1"/>
        <rFont val="Calibri"/>
        <family val="2"/>
        <scheme val="minor"/>
      </rPr>
      <t xml:space="preserve">Vulnerabilidades, ataques informáticos
-No incluir las nuevas tecnologias en la formulaciòn de los planes. 
</t>
    </r>
    <r>
      <rPr>
        <b/>
        <sz val="10"/>
        <color theme="1"/>
        <rFont val="Calibri"/>
        <family val="2"/>
        <scheme val="minor"/>
      </rPr>
      <t xml:space="preserve">
5. Ambientales.
-</t>
    </r>
    <r>
      <rPr>
        <sz val="10"/>
        <color theme="1"/>
        <rFont val="Calibri"/>
        <family val="2"/>
        <scheme val="minor"/>
      </rPr>
      <t xml:space="preserve">Deficiencia en los lineamientos para las compensaciones ambientales  aplicables en los proyectos.
</t>
    </r>
    <r>
      <rPr>
        <b/>
        <sz val="10"/>
        <color theme="1"/>
        <rFont val="Calibri"/>
        <family val="2"/>
        <scheme val="minor"/>
      </rPr>
      <t xml:space="preserve">
6. Legales y reglamentarios.
</t>
    </r>
    <r>
      <rPr>
        <sz val="10"/>
        <color theme="1"/>
        <rFont val="Calibri"/>
        <family val="2"/>
        <scheme val="minor"/>
      </rPr>
      <t>-No mantener actualizado en la normatividad vigente.
-Demoras en la regulaciòn por parte de la CREG.
-Inseguridad jurídica.</t>
    </r>
  </si>
  <si>
    <r>
      <rPr>
        <b/>
        <sz val="10"/>
        <color theme="1"/>
        <rFont val="Calibri"/>
        <family val="2"/>
        <scheme val="minor"/>
      </rPr>
      <t>1. Estratégicos</t>
    </r>
    <r>
      <rPr>
        <sz val="10"/>
        <color theme="1"/>
        <rFont val="Calibri"/>
        <family val="2"/>
        <scheme val="minor"/>
      </rPr>
      <t xml:space="preserve">.
</t>
    </r>
    <r>
      <rPr>
        <b/>
        <sz val="10"/>
        <color theme="1"/>
        <rFont val="Calibri"/>
        <family val="2"/>
        <scheme val="minor"/>
      </rPr>
      <t>2. Estructura organizaciona</t>
    </r>
    <r>
      <rPr>
        <sz val="10"/>
        <color theme="1"/>
        <rFont val="Calibri"/>
        <family val="2"/>
        <scheme val="minor"/>
      </rPr>
      <t xml:space="preserve">l.
</t>
    </r>
    <r>
      <rPr>
        <b/>
        <sz val="10"/>
        <color theme="1"/>
        <rFont val="Calibri"/>
        <family val="2"/>
        <scheme val="minor"/>
      </rPr>
      <t>3. Financieros</t>
    </r>
    <r>
      <rPr>
        <sz val="10"/>
        <color theme="1"/>
        <rFont val="Calibri"/>
        <family val="2"/>
        <scheme val="minor"/>
      </rPr>
      <t xml:space="preserve">.
-Las suscripciones a información se consumen más del 50% del presupuesto.
-Limitaciones presupuestales.
</t>
    </r>
    <r>
      <rPr>
        <b/>
        <sz val="10"/>
        <color theme="1"/>
        <rFont val="Calibri"/>
        <family val="2"/>
        <scheme val="minor"/>
      </rPr>
      <t>4. Personal</t>
    </r>
    <r>
      <rPr>
        <sz val="10"/>
        <color theme="1"/>
        <rFont val="Calibri"/>
        <family val="2"/>
        <scheme val="minor"/>
      </rPr>
      <t xml:space="preserve">.
-Demoras en la expediciòn de resoluciones de comisiòn.
-Liderazgo en las actividades que le corresponden.
</t>
    </r>
    <r>
      <rPr>
        <b/>
        <sz val="10"/>
        <color theme="1"/>
        <rFont val="Calibri"/>
        <family val="2"/>
        <scheme val="minor"/>
      </rPr>
      <t>5. Tecnología</t>
    </r>
    <r>
      <rPr>
        <sz val="10"/>
        <color theme="1"/>
        <rFont val="Calibri"/>
        <family val="2"/>
        <scheme val="minor"/>
      </rPr>
      <t xml:space="preserve">.
-Dispone de tecnologías idóneas.
-Sistemas no integrados.
</t>
    </r>
    <r>
      <rPr>
        <b/>
        <sz val="10"/>
        <color theme="1"/>
        <rFont val="Calibri"/>
        <family val="2"/>
        <scheme val="minor"/>
      </rPr>
      <t>6. Comunicación Interna</t>
    </r>
    <r>
      <rPr>
        <sz val="10"/>
        <color theme="1"/>
        <rFont val="Calibri"/>
        <family val="2"/>
        <scheme val="minor"/>
      </rPr>
      <t xml:space="preserve">.
-No hay estrategia de comunicación interna. Los comunicadores no ejercen influencia.
</t>
    </r>
    <r>
      <rPr>
        <b/>
        <sz val="10"/>
        <color theme="1"/>
        <rFont val="Calibri"/>
        <family val="2"/>
        <scheme val="minor"/>
      </rPr>
      <t>7. Procesos</t>
    </r>
    <r>
      <rPr>
        <sz val="10"/>
        <color theme="1"/>
        <rFont val="Calibri"/>
        <family val="2"/>
        <scheme val="minor"/>
      </rPr>
      <t>.
-Gestión humana muy orientada a la operatividad y no a los aspectos estratégicos.
-Planificación minero energética sin considerar alternativas ante imprevistos (plan de continuidad).</t>
    </r>
  </si>
  <si>
    <r>
      <rPr>
        <b/>
        <sz val="10"/>
        <color theme="1"/>
        <rFont val="Calibri"/>
        <family val="2"/>
        <scheme val="minor"/>
      </rPr>
      <t>1. Diseño del Proceso</t>
    </r>
    <r>
      <rPr>
        <sz val="10"/>
        <color theme="1"/>
        <rFont val="Calibri"/>
        <family val="2"/>
        <scheme val="minor"/>
      </rPr>
      <t xml:space="preserve">.
</t>
    </r>
    <r>
      <rPr>
        <b/>
        <sz val="10"/>
        <color theme="1"/>
        <rFont val="Calibri"/>
        <family val="2"/>
        <scheme val="minor"/>
      </rPr>
      <t>2. Interacciones con con otros procesos</t>
    </r>
    <r>
      <rPr>
        <sz val="10"/>
        <color theme="1"/>
        <rFont val="Calibri"/>
        <family val="2"/>
        <scheme val="minor"/>
      </rPr>
      <t xml:space="preserve">.
-La interacción está personalizada.
-Es necesario normalizar con lineamientos precisos sobre la interrelaciòn de  los procesos
Bajo nivel de articulación con otros procesos misionales.
</t>
    </r>
    <r>
      <rPr>
        <b/>
        <sz val="10"/>
        <color theme="1"/>
        <rFont val="Calibri"/>
        <family val="2"/>
        <scheme val="minor"/>
      </rPr>
      <t>3. Transversalidad</t>
    </r>
    <r>
      <rPr>
        <sz val="10"/>
        <color theme="1"/>
        <rFont val="Calibri"/>
        <family val="2"/>
        <scheme val="minor"/>
      </rPr>
      <t xml:space="preserve">.
</t>
    </r>
    <r>
      <rPr>
        <b/>
        <sz val="10"/>
        <color theme="1"/>
        <rFont val="Calibri"/>
        <family val="2"/>
        <scheme val="minor"/>
      </rPr>
      <t>4. Procedimientos asociados</t>
    </r>
    <r>
      <rPr>
        <sz val="10"/>
        <color theme="1"/>
        <rFont val="Calibri"/>
        <family val="2"/>
        <scheme val="minor"/>
      </rPr>
      <t xml:space="preserve">.
-Falta apropiación y fortalecimiento de los procedimientos del proceso de Planeación.
</t>
    </r>
    <r>
      <rPr>
        <b/>
        <sz val="10"/>
        <color theme="1"/>
        <rFont val="Calibri"/>
        <family val="2"/>
        <scheme val="minor"/>
      </rPr>
      <t>5. Comunicación entre los procesos</t>
    </r>
    <r>
      <rPr>
        <sz val="10"/>
        <color theme="1"/>
        <rFont val="Calibri"/>
        <family val="2"/>
        <scheme val="minor"/>
      </rPr>
      <t xml:space="preserve">.
-Fortalecer la comunicación del proceso con toda la entidad.
-Ausencia de protocolos de comunicación.
</t>
    </r>
    <r>
      <rPr>
        <b/>
        <sz val="10"/>
        <color theme="1"/>
        <rFont val="Calibri"/>
        <family val="2"/>
        <scheme val="minor"/>
      </rPr>
      <t/>
    </r>
  </si>
  <si>
    <t>CONVOCATORIA</t>
  </si>
  <si>
    <t xml:space="preserve">Adelantar las convocatorias de transmisión eléctrica de manera eficaz y realizar el seguimiento para establecer controles o alertas en la ejecución de la obra. </t>
  </si>
  <si>
    <t>Ineficacia de los procesos de convocatoria de transmisión.</t>
  </si>
  <si>
    <t>Puede suceder que se presenten retrasos en la adjudicación de los procesos de convocatoria.</t>
  </si>
  <si>
    <t>-No contar con los insumos para dar inicio al proceso de convocatoria (garantías de los usuarios, renuncias de los operadores y transportadores e información técnica de los puntos y costos de conexión).
-Limitados recursos (personas) para atender multiples procesos de manera simultánea.
-Propuestas no válidas por no cumplimiento de aspectos técnicos y/o económicos definidos por la UPME y por la CREG.
-No concurrencia de inversionistas al proceso de convocatoria.
-Demoras en la selección del interventor del proyecto.</t>
  </si>
  <si>
    <t>-Afectación de la imagen institucional.
-Incremento en los costos de restricciones.
-Demanda eléctrica no atendida.
-Desabastecimiento energético.
-Acciones legales por parte de terceros interesados en los proyectos.
-Posible redefinición de la fecha de entrada en operación; posibles obras de mitigación adicionales. 
-Costos por reprocesos.
- No publicación de la convocatoria.
- No adjudicación de la convocatoria.</t>
  </si>
  <si>
    <t>Ineficacia en el seguimiento y control de los proyectos de transmisiòn</t>
  </si>
  <si>
    <t>Puede suceder que no se den las alertas o señales en caso de problemas en la ejecución del proyecto.</t>
  </si>
  <si>
    <t>-Debido a que el inversionista no hace entrega de la información necesaria para el seguimiento y control.
-Debido a que el interventor no realice los análisis y validaciones correspondientes con la calidad requerida en los tiempos establecidos.
- No expedición de certificado de cumplimiento debido a pendientes por parte del inversionista.
-Limitados recursos de planta (personas) para atender el seguimiento de los proyectos.</t>
  </si>
  <si>
    <t>-Incremento en los costos de restricciones;  demanda eléctrica no atendida; desabastecimiento energético.
-Acciones legales por parte de terceros interesados en los proyectos.
-Posible redefinición de la fecha de entrada en operación; posibles obras de mitigación adicionales;  Costos por reprocesos.
-Proyecto que podría no cumplir con las especificaciones técnicas estipuladas en los documentos de la convocatoria.
-Ejecución de las garantías de cumplimiento.</t>
  </si>
  <si>
    <t>Conflicto de interés en el proceso de evaluación de Convocatoria.</t>
  </si>
  <si>
    <t>Puede suceder que persona incurre en conflicto de intereses cuando, en vez de cumplir con su función, actúa en beneficio propio o de un tercer.</t>
  </si>
  <si>
    <t>- Por relaciones de consaguinidad y afinidad.
- Por pertenencia o procedencia de otras organizaciones.
- Por interés personales.
- Direrencias entre los evaluadores.</t>
  </si>
  <si>
    <t xml:space="preserve">- Demoras en la selección del comité evaluador.
- Sesgo en el proceso de evaluación. </t>
  </si>
  <si>
    <t>CONTROL REVISIÓN  CUATRIMESTRE III-2020</t>
  </si>
  <si>
    <t>Aplicar niveles de autorización de emisión y publicación de los Documentos de Selección.</t>
  </si>
  <si>
    <t>Se aplica control de gestión de elaboración, revisión y aprobación de los Documentos de Selección. Están definidos los responsables que en este caso son los Profesionales del Grupo de Convocatorias, el Coordinador del Grupo y el Subdirector de Energía Eléctrica.  Se aplica cada vez que se finaliza la elaboración de documentos de Selección. El propósito del control es evitar errores en los documentos de selección del inversionista e interventor en la Convocatorias Públicas de Transmisión.</t>
  </si>
  <si>
    <t>Divulgar las Convocatorias Públicas.</t>
  </si>
  <si>
    <t>Se realiza la divulgación de documentos a través de los canales de información disponibles. Existe un medio determinado para ello en la página web de la entidad, existe un nivel de autorización para divulgar y publicar documentos asignada al Coordinador del Grupo de Convocatorias y al Subdirector de Energía Eléctrica. El propósito del control es comunicar a las partes interesadas a participar en el proceso de Convocatorias Públicas de Transmisión.</t>
  </si>
  <si>
    <t>Aplicar niveles de Autorización de emisión y publicación Adendas.</t>
  </si>
  <si>
    <t>Se aplica control de gestión de elaboración, revisión y aprobación de Adendas.  Adicionalmente existe control sobre el responsable de autorizar la publicación de la adenda. El propósito del control es ajustar o aclarar las condiciones determinadas en los documentos de selección buscando exista un proceso transparente y exista participación de los interesados en el proceso de Convocatorias Públicas de Transmisión.</t>
  </si>
  <si>
    <t>Elaborar oficios con solicitud de información técnica y costos de conexión, solicitudes de garantías, los cuales tienen niveles de autorización para su emisión.</t>
  </si>
  <si>
    <t>Se aplica control de gestión de elaboración, revisión y aprobación de los Documentos de Selección.  Están definidos los responsables que en este caso son los Profesionales del Grupo de Convocatorias, el Coordinador del Grupo y el Subdirector de Energía Eléctrica. El propósito del control es efectuar revisión preliminar a  la emisión de la información técnica para evitar la salida de información sin verificación de la calidad.</t>
  </si>
  <si>
    <t>Realizar designación del comité evaluador.</t>
  </si>
  <si>
    <t>Se realiza designación de personal competente, idoneo y multidisciplinario para ejecutar el proceso de evaluación de las convocatorias.</t>
  </si>
  <si>
    <t>Registrar los resultados de las Audiencias de Presentación del Proyecto y de Selección del Inversionista.</t>
  </si>
  <si>
    <t>Se registran los hechos ocurridos durante las Audiencias de Selección  documentando en actas, en las que se registra la actividades o de presentación del proyecto y de resultados.</t>
  </si>
  <si>
    <t>Aplicar niveles de autorización en la emisión de actos administrativos (Resolución de mediante el cual se identifica un proyecto  urgente   y Resolución selección del consultor que adquiere el derecho a suscribir el contrato de interventoría).</t>
  </si>
  <si>
    <t>Se aplica control de gestión de elaboración, revisión y aprobación de actos administrativos, Su propósito es reducir el error en la emisión de actos administrativos relacionados al proceso de convocatorias públicas.</t>
  </si>
  <si>
    <t>Realizar y presentar  informes mensuales a partes interesadas.</t>
  </si>
  <si>
    <t>Se remiten informes a diferentes a partes interesadas, estos informes contienen el avance de proyectos objeto de convocatoria. (Minminas, CAPT, CNOO). La elaboración de estos informes tienen como propósito efectuar seguimiento a la ejecución de los proyectos e identificar retrasos y alertas que permitan tomar decisiones al sector.</t>
  </si>
  <si>
    <t>Verificar los informes de interventoria</t>
  </si>
  <si>
    <t>Se revisan los informes de interventoría ya sea para realizar comentarios a los informes o emitir la aprobación. Existe responsables asignados en revisar la conformidad de los informes con el propósito de verificar el cumplimiento de los requisitos establecidos en los proyectos</t>
  </si>
  <si>
    <t>Realizar solicitudes de información al inversionista.</t>
  </si>
  <si>
    <t>Cada vez que se requiere se solicita información a los inversionistas. El propósito del control es indagar sobre el estado de avance de los proyectos y permitir generar alertas para la toma de decisiones del sector. El control es ejercido por los profesionales con la autorización del coordinador del grupo de convocatorias y el subdirector de energía eléctrica.</t>
  </si>
  <si>
    <t>Solicitar recursos para necesidades de personal.</t>
  </si>
  <si>
    <t>Cada vez que se requiere personal para atender las demandas y necesidades del Grupo Interno de Trabajo Convocatorias.</t>
  </si>
  <si>
    <t>Aplicar formato declaración de conflictos de interés.</t>
  </si>
  <si>
    <t>Aplicación de los formatos determinados por la Función Pública para la declaración de conflictos de interés, como un instrumento de concientización de los límites de las actuaciones humanas en el marco de la ética.</t>
  </si>
  <si>
    <t>Solicitar la divulgación del código de integridad y de los resultados de actividades al Grupo de Talento Humano de la Secretarìa General.</t>
  </si>
  <si>
    <t>Subdirector de Energìa Elèctrica</t>
  </si>
  <si>
    <t>Correo electrónico.</t>
  </si>
  <si>
    <t>Participar en actividades de socialización y divulgación del Código de Integridad.</t>
  </si>
  <si>
    <t>Participar en las actividades de formación, socialización y divulgación del Código de Integridad, Transparencia y Lucha Contra la Corrupción, que permitan la concientización de los servidores públicos.</t>
  </si>
  <si>
    <t>Se realiza designación de personal competente, idóneo y multidisciplinario para ejecutar el proceso de evaluación de las convocatorias.</t>
  </si>
  <si>
    <r>
      <t>CÓDIGO:</t>
    </r>
    <r>
      <rPr>
        <sz val="12"/>
        <color rgb="FFFF0000"/>
        <rFont val="Calibri"/>
        <family val="2"/>
        <scheme val="minor"/>
      </rPr>
      <t xml:space="preserve"> </t>
    </r>
  </si>
  <si>
    <t>Se invesigan y resuelven oportunamente</t>
  </si>
  <si>
    <t>DEMANDA Y PROSPECTIVA MINERO-ENERGÉTICA</t>
  </si>
  <si>
    <r>
      <t xml:space="preserve">1. Políticos.
</t>
    </r>
    <r>
      <rPr>
        <sz val="10"/>
        <rFont val="Calibri"/>
        <family val="2"/>
      </rPr>
      <t>- Desconocimiento por parte de externos de la misionalidad de la UPME puede generar obstrucción en el cumplimiento de los objetivos de la Unidad.</t>
    </r>
    <r>
      <rPr>
        <sz val="10"/>
        <color theme="1"/>
        <rFont val="Calibri"/>
        <family val="2"/>
      </rPr>
      <t xml:space="preserve">
- Cambios de política o de las decisiones puntuales de gobierno que impactan la continuidad de los planes, programas y proyectos de la UPME y del sector.
</t>
    </r>
    <r>
      <rPr>
        <b/>
        <sz val="10"/>
        <color theme="1"/>
        <rFont val="Calibri"/>
        <family val="2"/>
      </rPr>
      <t xml:space="preserve">
2. Económicos y financieros.
</t>
    </r>
    <r>
      <rPr>
        <sz val="10"/>
        <color theme="1"/>
        <rFont val="Calibri"/>
        <family val="2"/>
      </rPr>
      <t xml:space="preserve">- Dependencia de aportes de otras entidades que pueden verse afectadas por la problemática fiscal del país.
- Fuerzas del mercado y aspectos geopolíticos que alteran los precios de los recursos minero –energéticos.
- Desacople de los análisis realizados con el entorno macroeconómico.
</t>
    </r>
    <r>
      <rPr>
        <b/>
        <sz val="10"/>
        <color theme="1"/>
        <rFont val="Calibri"/>
        <family val="2"/>
      </rPr>
      <t xml:space="preserve">
3. Sociales y culturales.
- </t>
    </r>
    <r>
      <rPr>
        <sz val="10"/>
        <color theme="1"/>
        <rFont val="Calibri"/>
        <family val="2"/>
      </rPr>
      <t xml:space="preserve">Incremento de la explotación ilicita de minerales - hidrocarburos.
- Percepción negativa de la población en general de la industria extractiva y sector energético.
- Percepción de los beneficios sociales a las comunidades con los proyectos minero-energético.
- Expectativas y necesidades de la población y los sectores económicos respecto al consumo de minerales y energéticos.
</t>
    </r>
    <r>
      <rPr>
        <b/>
        <sz val="10"/>
        <color theme="1"/>
        <rFont val="Calibri"/>
        <family val="2"/>
      </rPr>
      <t xml:space="preserve">
4. Tecnológicos.
</t>
    </r>
    <r>
      <rPr>
        <sz val="10"/>
        <color theme="1"/>
        <rFont val="Calibri"/>
        <family val="2"/>
      </rPr>
      <t xml:space="preserve">- Rápida obsolescencia tecnologica y cambios tecnológicos de alta velocidad.
</t>
    </r>
    <r>
      <rPr>
        <sz val="10"/>
        <rFont val="Calibri"/>
        <family val="2"/>
      </rPr>
      <t>- Necesidad de aumento de capacidades dados los avances de la tecnología.</t>
    </r>
    <r>
      <rPr>
        <sz val="10"/>
        <color theme="1"/>
        <rFont val="Calibri"/>
        <family val="2"/>
      </rPr>
      <t xml:space="preserve">
</t>
    </r>
    <r>
      <rPr>
        <b/>
        <sz val="10"/>
        <color theme="1"/>
        <rFont val="Calibri"/>
        <family val="2"/>
      </rPr>
      <t xml:space="preserve">
5. Ambientales.
</t>
    </r>
    <r>
      <rPr>
        <sz val="10"/>
        <color theme="1"/>
        <rFont val="Calibri"/>
        <family val="2"/>
      </rPr>
      <t xml:space="preserve">- Incluir los aspectos medioambientales en el desarrollo de la política pública.
- Compromisos frente al cambio climático y Objetivos de Desarrollo Sostenible ODS.
</t>
    </r>
    <r>
      <rPr>
        <b/>
        <sz val="10"/>
        <color theme="1"/>
        <rFont val="Calibri"/>
        <family val="2"/>
      </rPr>
      <t xml:space="preserve">
6. Legales y reglamentarios.
</t>
    </r>
    <r>
      <rPr>
        <sz val="10"/>
        <color theme="1"/>
        <rFont val="Calibri"/>
        <family val="2"/>
      </rPr>
      <t>- Limitación de normas para lograr la misión.
- Demoras en la regulación por parte de la CREG.
- Cambios normativos que impactan en la defensa judicial.
- Proponer herramientas que permitan acoplarse a cambios requeridos para el cumplimiento de la  de la misión.
- Normas y regulaciones que faciliten el acceso a la información.</t>
    </r>
  </si>
  <si>
    <r>
      <rPr>
        <b/>
        <sz val="8"/>
        <color theme="1"/>
        <rFont val="Calibri"/>
        <family val="2"/>
      </rPr>
      <t>1. Estratégicos</t>
    </r>
    <r>
      <rPr>
        <sz val="8"/>
        <color theme="1"/>
        <rFont val="Calibri"/>
        <family val="2"/>
      </rPr>
      <t xml:space="preserve">.
- Toma de decisiones de la alta dirección que pueden afectar la gestión del proceso Demanda y Prospectiva.
- Falta de integración de la visión estratégica.
- Establecimiento de una visión compartida e identificación con los objetivos estratégicos.
</t>
    </r>
    <r>
      <rPr>
        <b/>
        <sz val="8"/>
        <color theme="1"/>
        <rFont val="Calibri"/>
        <family val="2"/>
      </rPr>
      <t>2. Estructura organizaciona</t>
    </r>
    <r>
      <rPr>
        <sz val="8"/>
        <color theme="1"/>
        <rFont val="Calibri"/>
        <family val="2"/>
      </rPr>
      <t xml:space="preserve">l.
- Estructura organizacional adecuada para atender los fines del estado.
- Cultura para la administración de los canales de comunicación para compartir y transferir información. 
-  Necesidades de rediseño organizacional para afrontar nuevos retos del sector minero energético.
</t>
    </r>
    <r>
      <rPr>
        <b/>
        <sz val="8"/>
        <color theme="1"/>
        <rFont val="Calibri"/>
        <family val="2"/>
      </rPr>
      <t>3. Financieros</t>
    </r>
    <r>
      <rPr>
        <sz val="8"/>
        <color theme="1"/>
        <rFont val="Calibri"/>
        <family val="2"/>
      </rPr>
      <t xml:space="preserve">.
</t>
    </r>
    <r>
      <rPr>
        <sz val="8"/>
        <rFont val="Calibri"/>
        <family val="2"/>
      </rPr>
      <t>- Régimen de contratación especial.</t>
    </r>
    <r>
      <rPr>
        <sz val="8"/>
        <color theme="1"/>
        <rFont val="Calibri"/>
        <family val="2"/>
      </rPr>
      <t xml:space="preserve">
- Contar con recursos de inversión para la gestión misional con autonomía.
- Planificación y ejecución presupuestal.
</t>
    </r>
    <r>
      <rPr>
        <b/>
        <sz val="8"/>
        <color theme="1"/>
        <rFont val="Calibri"/>
        <family val="2"/>
      </rPr>
      <t>4. Personal</t>
    </r>
    <r>
      <rPr>
        <sz val="8"/>
        <color theme="1"/>
        <rFont val="Calibri"/>
        <family val="2"/>
      </rPr>
      <t xml:space="preserve">.
- Remuneración del personal con respecto al sector económico al que pertenece la entidad.
- Administración incentivos.
- Liderazgo en el desarrollo de las actividades.
- Cantidad limitada de personal para desarrollar nuevas funciones asignadas o delegadas.
- Claridad de funciones y responsabilidades.
- Integración entre los equipos de trabajo.
</t>
    </r>
    <r>
      <rPr>
        <b/>
        <sz val="8"/>
        <color theme="1"/>
        <rFont val="Calibri"/>
        <family val="2"/>
      </rPr>
      <t>5. Tecnología</t>
    </r>
    <r>
      <rPr>
        <sz val="8"/>
        <color theme="1"/>
        <rFont val="Calibri"/>
        <family val="2"/>
      </rPr>
      <t xml:space="preserve">.
- Contar con tecnología que responda a las necesidades de información de la UPME.
- Anticipación a lo que se ofrece en el mercado respecto a las necesidades de tencnología. (Vigilancia Tecnólogica).
- Uso de aplicaciones y software para la gestión del proceso.
- Capacidad de almacenamiento de información.
</t>
    </r>
    <r>
      <rPr>
        <b/>
        <sz val="8"/>
        <color theme="1"/>
        <rFont val="Calibri"/>
        <family val="2"/>
      </rPr>
      <t>6. Comunicación Interna</t>
    </r>
    <r>
      <rPr>
        <sz val="8"/>
        <color theme="1"/>
        <rFont val="Calibri"/>
        <family val="2"/>
      </rPr>
      <t xml:space="preserve">.
</t>
    </r>
    <r>
      <rPr>
        <sz val="8"/>
        <rFont val="Calibri"/>
        <family val="2"/>
      </rPr>
      <t>- Estrategia de comunicación interna.
- Los comunicaciones no ejercen influencia en el entorno.
- Realizaciòn de los mecanismos</t>
    </r>
    <r>
      <rPr>
        <b/>
        <sz val="8"/>
        <rFont val="Calibri"/>
        <family val="2"/>
      </rPr>
      <t xml:space="preserve"> </t>
    </r>
    <r>
      <rPr>
        <sz val="8"/>
        <rFont val="Calibri"/>
        <family val="2"/>
      </rPr>
      <t>para informar al grupo de las decisiones de la dirección y demas termas institucionales.
- Respuesta oportuna de requerimientos internos.</t>
    </r>
    <r>
      <rPr>
        <sz val="10"/>
        <color theme="1"/>
        <rFont val="Calibri"/>
        <family val="2"/>
      </rPr>
      <t xml:space="preserve">
 </t>
    </r>
    <r>
      <rPr>
        <b/>
        <sz val="10"/>
        <color theme="1"/>
        <rFont val="Calibri"/>
        <family val="2"/>
      </rPr>
      <t>7. Procesos</t>
    </r>
    <r>
      <rPr>
        <sz val="10"/>
        <color theme="1"/>
        <rFont val="Calibri"/>
        <family val="2"/>
      </rPr>
      <t>.
- Compromiso por parte de los procesos para el desarrollo del sistema de gestión de institucional.
- Diseño del proceso en que no participan todos los servidores públicos.
- Autonomía en la ejecución de los procesos bajo la responsabilidad de cada equipo.
- Aporte de otras dependencias al diseño del proceso.
- Debilidad en la definición de Indicadores.
-la no gestión documental de los procesos.</t>
    </r>
  </si>
  <si>
    <r>
      <rPr>
        <b/>
        <sz val="10"/>
        <color theme="1"/>
        <rFont val="Calibri"/>
        <family val="2"/>
      </rPr>
      <t>1. Diseño del Proceso</t>
    </r>
    <r>
      <rPr>
        <sz val="10"/>
        <color theme="1"/>
        <rFont val="Calibri"/>
        <family val="2"/>
      </rPr>
      <t xml:space="preserve">.
-  Busca la integralidad y la transversalidad con el Sistema de Gestión Institucional.
- Claramente definidos los clientes del proceso.
</t>
    </r>
    <r>
      <rPr>
        <b/>
        <sz val="10"/>
        <color theme="1"/>
        <rFont val="Calibri"/>
        <family val="2"/>
      </rPr>
      <t>2. Interacciones con con otros procesos</t>
    </r>
    <r>
      <rPr>
        <sz val="10"/>
        <color theme="1"/>
        <rFont val="Calibri"/>
        <family val="2"/>
      </rPr>
      <t xml:space="preserve">.
-La interacción es determinada por las funciones y es clara entre los procesos
</t>
    </r>
    <r>
      <rPr>
        <b/>
        <sz val="10"/>
        <color theme="1"/>
        <rFont val="Calibri"/>
        <family val="2"/>
      </rPr>
      <t>3. Transversalidad</t>
    </r>
    <r>
      <rPr>
        <sz val="10"/>
        <color theme="1"/>
        <rFont val="Calibri"/>
        <family val="2"/>
      </rPr>
      <t xml:space="preserve">.
- Lineamientos transversales de apoyo al proceso de demanda definidos en los procesos de apoyo.
- Existen lineamientos transversales en la entrega de salidas del proceso demanda y prospectiva.
</t>
    </r>
    <r>
      <rPr>
        <b/>
        <sz val="10"/>
        <color theme="1"/>
        <rFont val="Calibri"/>
        <family val="2"/>
      </rPr>
      <t>4. Procedimientos asociados</t>
    </r>
    <r>
      <rPr>
        <sz val="10"/>
        <color theme="1"/>
        <rFont val="Calibri"/>
        <family val="2"/>
      </rPr>
      <t xml:space="preserve">.
-Falta apropiación y fortalecimiento de los procedimientos del proceso de Planeación.
-Actualización de los procedimientos producto del cambio normativo y en mejoramientos del hacer.
</t>
    </r>
    <r>
      <rPr>
        <b/>
        <sz val="10"/>
        <color theme="1"/>
        <rFont val="Calibri"/>
        <family val="2"/>
      </rPr>
      <t>5. Comunicación entre los procesos</t>
    </r>
    <r>
      <rPr>
        <sz val="10"/>
        <color theme="1"/>
        <rFont val="Calibri"/>
        <family val="2"/>
      </rPr>
      <t xml:space="preserve">.
- Fortalecer la comunicación del proceso al interior entidad.
- Es importante la definición Acuerdos en niveles de servicio (ANS).
</t>
    </r>
    <r>
      <rPr>
        <b/>
        <sz val="10"/>
        <color theme="1"/>
        <rFont val="Calibri"/>
        <family val="2"/>
      </rPr>
      <t>6. Activos de seguridad digital del proceso</t>
    </r>
    <r>
      <rPr>
        <sz val="10"/>
        <color theme="1"/>
        <rFont val="Calibri"/>
        <family val="2"/>
      </rPr>
      <t>.
-</t>
    </r>
  </si>
  <si>
    <t>Proyectar las necesidades minero-energéticas del país de manera oportuna, confiable y conforme con los requerimientos normativos y regulatorios establecidos para buscar la forma óptima de aprovechar los recursos del país.</t>
  </si>
  <si>
    <t>Extemporaneidad en la entrega de la información.</t>
  </si>
  <si>
    <t>Puede ocurrir que por dificultades del proceso no se cumplan con los tiempos establecidos para la entrega de información.</t>
  </si>
  <si>
    <t>• Demoras en el recibo de la información que se requiere como insumo del proceso.
• Deficiencias en la calidad de la información que se requiere como insumo del proceso.
• Demoras en el análisis y procesamiento de la información.
• Inexistentes o inadecuadas herramientas tecnológicas para el procesamiento de la información.
• Incumplimiento, desconocimiento o baja definición de los tiempos en los que deben ser entregados los resultados del proceso por parte de los profesionales asignados.</t>
  </si>
  <si>
    <t>• Generar retrasos en los demás procesos.
• Afectación a la imagen institucional por incumplimiento en la publicaciòn de información
• Errores en la proyección de la demanda.
• Erorres en la estimación de la capacidad instalada de los sistemas energéticos.
• Errores en la estimaciòn de los costos de racionamiento.
• Generar retrasos en los demás procesos;  se afecta la imagen institucional por incumplimiento en la publicaciòn de los planes y demàs información.
• Insatisfacción de las partes interesadas del proceso.
• Aumento de las peticiones, quejas, reclamos y solicitudes de información.</t>
  </si>
  <si>
    <t>Proyecciones con altas desviaciones respecto del comportamiento real de la demanda.</t>
  </si>
  <si>
    <t>Puede suceder que se generen proyecciones con bajos niveles de confiabilidad generada por la baja calidad de la información,  por  modelos utilizados no verificados y validados con el comportamiento histórico o por omisión de variables que impactan el comportamiento de las proyecciones.</t>
  </si>
  <si>
    <t xml:space="preserve">• Deficiencias en la calidad de la información que se requiere como insumo del proceso.
• Falta de datos e información confiable.
• No comprobación y evaluación del modelo con datos históricos.
• Inadecuada definición de variables que impacten el comportamiento de las proyecciones.
• Desconocimiento en el uso de metodologías aplicadas en el proceso.
• Falta de estandarización en los lineamientos, procesos y procedimientos para el estudio de la demanda.
• Inexistentes o inadecuadas herramientas tecnológicas para el procesamiento de la información.
</t>
  </si>
  <si>
    <t>• Errores en la proyección de la demanda.
• Errores en la estimación de la capacidad instalada de los sistemas energéticos.
• Insatisfacción de las partes interesadas del proceso.
• Aumento de las peticiones, quejas, reclamos y solicitudes de información.</t>
  </si>
  <si>
    <t>Baja calidad de los productos del proceso Demanda y Prospectiva.</t>
  </si>
  <si>
    <t xml:space="preserve">Puede suceder que se entreguen productos de baja calidad, en los que no se conocen y satisfacen los requisitos de los clientes de los productos del poceso.
</t>
  </si>
  <si>
    <t xml:space="preserve">• Bajo nivel de comunicación entre las dependencias y definición de acuerdos.
•  Inadecuada interrelación entre los procesos.
• Baja o nula definición de los requisitos de los productos generados por los clientes del proceso Demanda y Prospectiva.
• Inadecuados procesos de revisión y seguimiento a la calidad de los productos del proceso Demanda y Prospectiva.
• Baja calidad de los insumos del proceso (datos e información).
</t>
  </si>
  <si>
    <t xml:space="preserve">• Generar retrasos en los demás procesos;  
• Afectación de la imagen institucional baja calidad de los productos del proceso Demanda y Prospectiva.
• Insatisfacción de las partes interesadas del proceso.
• Aumento de las peticiones, quejas, reclamos y solicitudes de información.
</t>
  </si>
  <si>
    <t>Posibilidad de alterar o manipular resultados del proceso con beneficio propio o favorecimiento a terceros.</t>
  </si>
  <si>
    <t>Puede suceder que existan presiones indebidas por parte de agentes externos y comportamientos no éticos, los cuales pueden incidir maliciosamente  en los resultados de las proyecciones de demanda generando beneficios propios o favorecimiento a terceros.</t>
  </si>
  <si>
    <t>• Presiones indebidas por parte de particulares que buscan un beneficio propio.
• Trafico de influencias.
• Falta de integridad de los funcionarios encargados del proceso.
• Alto grado de discrecionalidad.
• Falta de estandarización en los lineamientos, procesos y procedimientos.
• Alteración y manipulación de información sin niveles de revisión y seguimiento.</t>
  </si>
  <si>
    <t>• Afectación de la imagen de la entidad.
• Generación de riesgos de desabastecimiento por errores en las proyecciones de necesidades de infraestructura.
• Pérdida de información.
• Investigaciones y sanciones disciplinarias, penales y fiscales.
• Aumento de las peticiones, quejas, reclamos y solicitudes de información.</t>
  </si>
  <si>
    <t>Obtener información de fuentes oficiales y confiables para obtener información en tiempos optimos.</t>
  </si>
  <si>
    <t>Se realizan gestion a través de solicitudes de información, acuerdos, convenios y contratos para obtener o adquirir información de fuentes confiables. Este contro busca garantizar el acceso a información y la obtención de datos. El reponsable de gestionar estos procesos es el Subdirctor de Demanda quien designa acciones en los Profesionales de la Dependencia para esta actividad de control.</t>
  </si>
  <si>
    <t>Aplicar niveles de elaboración, revisión y aprobación de productos y servicios de la Subdirección de Demanda.</t>
  </si>
  <si>
    <t>Este es un mecanismo establecido en el cual previa a la emisión externa de productos del proceso estos son revisados y validados por un par de la dependencia o por el Subdirector de Demanda. Pretende evitar sesgos, baja calidada y errrotes en los productos de la Subdirección de Demanda. Es aplicado cada vez que es requerido y su evidencia queda almacenada en memorandos internos, oficios y correos electrónicos.</t>
  </si>
  <si>
    <t>Determinar metas para la elaboración de productos.</t>
  </si>
  <si>
    <t>A través de la herramienta plan de acción de la Subdirección de Demanda, se realiza la formulación y seguimiento a las metas de la dependencia. Este control permite detectar y prevenir posibles desviaciones en cuanto al cumplimientode las metas y entrega de productos.</t>
  </si>
  <si>
    <t>Utilizar herramientas especializadas y de ofimática para el procesamiento de información.</t>
  </si>
  <si>
    <t>Utilizar el uso de herramientas informáticas y especializadas para el tratamiento y administración de datos e información permite reducir la carga de trabajo en labores de procesamiento. La aplicación y uso de herramientas es un control que permite reducir los tiempos en algunas operaciones del proceso de Demanda y Prospectiva.</t>
  </si>
  <si>
    <t>Formalidad en el registro de entradas y salidas del proceso en Orfeo.</t>
  </si>
  <si>
    <t>Se utiliza la herramienta Orfeo como el canal para tramitar las solicitudes de información y entrega de información. Este control aplicado busca garantizar que  la documentación quede formalmente  en el Sistema de Gestión Documental de la entidad. Este control permite evidenciar el registro del tiempo de las entradas y salidas de información en la interacción entre los partes interesadas del proceso  y la Subdirección de Demanda.</t>
  </si>
  <si>
    <t>Accesar a información a través de herramientas y mecanismos como Basses de Datos,  ETL, Datawhaterhouse,entre otros (Xm, SUI, DANE).</t>
  </si>
  <si>
    <t>La gestón de este tipo control busca que los profesionales cuenten con acceso a datos e información de manera permantente utilizando la tecnología como un instrumento que permite el acceso oportuno.</t>
  </si>
  <si>
    <t>Obtener información de fuentes oficiales y confiables.</t>
  </si>
  <si>
    <t>Definir acuerdos de niveles de servicio para la entrega y recibo de información con otras dependencias de la UPME.</t>
  </si>
  <si>
    <t>Subdirector de Demanda</t>
  </si>
  <si>
    <t>Acuerdos de niveles de servicio.</t>
  </si>
  <si>
    <t>Comprobar los modelos con datos y determinar las  el grado de confiabilidad.</t>
  </si>
  <si>
    <t>Este control tiene como propósito validar el diseño de modelos, con el propósito de verificar que es confiable el cual es comprobado con series históricas, análisis de sensibilidad y pruebas estadísticas realizada por los profesionales.</t>
  </si>
  <si>
    <t>Verificar los datos a utilizarse.</t>
  </si>
  <si>
    <t>Previa a la realzación de las proyecciones se verifica el insumo datos, donde se realizan comparaciones con datos historicos y se verifica su proveniencia. Este control busca reducir el uso de datos incorrectos o que puedan presentar variaciones con altas incertidumbre. Los datos con variaciones anormales son revisados para garantizar la calidad del dato.</t>
  </si>
  <si>
    <t>Validar variables y parametros de los modelos.</t>
  </si>
  <si>
    <t>Se revisa si se cuenta con toda la información de variables y parametros que permitan efectua los calculos requeridos. Este control busca garantizar que se cumpla con los insumos del modelo requeridos para análsiis completos o se tomen decisiones al respecto.</t>
  </si>
  <si>
    <t>Revisar procedimientos documentados y aplicar sus actividades.</t>
  </si>
  <si>
    <t>Aplicar las actividades estandarizadas busca garantizar que se cumplan los métodos para realiar el trabajo definidos por la Subdirección de Demanda.</t>
  </si>
  <si>
    <t>Definir requisitos mínimos y caracteristicas de los productos de la Subdirección de Demanda</t>
  </si>
  <si>
    <t>Se ha documentado a través de procedimientos las caracteristicas y actividades para la elaboraciónde los productos del proceso.Esto con el propósiito de que cumpla con claidad.</t>
  </si>
  <si>
    <t>Determinar un Plan de Acción con metas e indicadores para los productos de la Subdirección de Demanda.</t>
  </si>
  <si>
    <t>A través de la herramienta plan de acción de la Subdirección de Demanda, se realiza la formulación y seguimiento a las productos de la dependencia. Este control permite detectar y prevenir posibles desviaciones en cuanto al cumplimientode las metas y entrega de productos.</t>
  </si>
  <si>
    <t>Publicar los resultados preeliminares trabajos en la página web.</t>
  </si>
  <si>
    <t>Es publicado en la página web productos con el propósito que sean comentados por las partes interesadas. Este contro lbusca garantizar la participación ciudadana y adicional a ello mostrar un ejercicio transparente y colaborativo con partes interesadas. Evidencias de ello se ve reflejado en la página web, este control es aplicado por visto bueno del Subdirector de Demanda y aprobación del Director General.</t>
  </si>
  <si>
    <t>Divulgar y socializar los trabajos al interior de la Subdirección de Demanda.</t>
  </si>
  <si>
    <t>Con el propósito de tener productos robustos y construído interdisciplinariamente, los productos son divulgados y socializados al interior de la Dirección. Este proceso permite la colaboración, la revisón y la critica constructiva al interior de la subdirección evitando los sesgos errores y fallos en los productos de la Subdirección de Demanda. Este control puede ser evidenciado en presentaciónes, ayudas de memoria, actas y correos electrónicos.</t>
  </si>
  <si>
    <t>Participar en las actividades de promoción del código de integridad del servidor público</t>
  </si>
  <si>
    <t>EVALUACIÓN Y CONTROL</t>
  </si>
  <si>
    <r>
      <t>1. Políticos.
-</t>
    </r>
    <r>
      <rPr>
        <sz val="10"/>
        <color theme="1"/>
        <rFont val="Calibri"/>
        <family val="2"/>
        <scheme val="minor"/>
      </rPr>
      <t xml:space="preserve">Directrices normativas que afectan la gestión de la entidad.
-Cambios de política o de las decisiones puntuales de gobierno que impactan la continuidad de programas y proyectos de la UPME y del sector.
-fusión con otras entidades que puedan desviar la función actual de la entidad.
</t>
    </r>
    <r>
      <rPr>
        <b/>
        <sz val="10"/>
        <color theme="1"/>
        <rFont val="Calibri"/>
        <family val="2"/>
        <scheme val="minor"/>
      </rPr>
      <t xml:space="preserve">
2. Económicos y financieros.
</t>
    </r>
    <r>
      <rPr>
        <sz val="10"/>
        <color theme="1"/>
        <rFont val="Calibri"/>
        <family val="2"/>
        <scheme val="minor"/>
      </rPr>
      <t xml:space="preserve">-Incremento en los costos de los proyectos derivados de la ref. tributaria
-Recorte presupuestal que conllevarìa a que no se contratarà el personal requerido.
-Gestionar fuentes alternas de ingresos.
-Mejorar relacionamiento con los territorios (confianza legítima)
Beneficio a la comunidad (Regaías).
</t>
    </r>
    <r>
      <rPr>
        <b/>
        <sz val="10"/>
        <color theme="1"/>
        <rFont val="Calibri"/>
        <family val="2"/>
        <scheme val="minor"/>
      </rPr>
      <t xml:space="preserve">
3. Sociales y culturales.
</t>
    </r>
    <r>
      <rPr>
        <sz val="10"/>
        <color theme="1"/>
        <rFont val="Calibri"/>
        <family val="2"/>
        <scheme val="minor"/>
      </rPr>
      <t xml:space="preserve">-Oposiciòn por parte de la comunidad a los proyectos 
-Percepción negativa de la población en general de la industria extractiva y sector energético.
-Mejoramiento de la calidad de vida de la poblaciòn por  mayor prestaciòn de servicios publicos.
</t>
    </r>
    <r>
      <rPr>
        <b/>
        <sz val="10"/>
        <color theme="1"/>
        <rFont val="Calibri"/>
        <family val="2"/>
        <scheme val="minor"/>
      </rPr>
      <t xml:space="preserve">
4. Tecnológicos.
</t>
    </r>
    <r>
      <rPr>
        <sz val="10"/>
        <color theme="1"/>
        <rFont val="Calibri"/>
        <family val="2"/>
        <scheme val="minor"/>
      </rPr>
      <t xml:space="preserve">-Falta de articulaciòn y comunicaciòn efectiva en el sector.
-Si se reconocen las opciones tecnológicas se pueden adoptar mejores prácticas.
</t>
    </r>
    <r>
      <rPr>
        <b/>
        <sz val="10"/>
        <color theme="1"/>
        <rFont val="Calibri"/>
        <family val="2"/>
        <scheme val="minor"/>
      </rPr>
      <t xml:space="preserve">
5. Ambientales.
</t>
    </r>
    <r>
      <rPr>
        <sz val="10"/>
        <color theme="1"/>
        <rFont val="Calibri"/>
        <family val="2"/>
        <scheme val="minor"/>
      </rPr>
      <t xml:space="preserve">-Deficiencia en los lineamientos para las compensaciones ambientales  aplicables en los proyectos.
-Capacidad de adaptación y respuesta a compromisos ambientales.
-Incluir los aspectos medioambientales en el apoyo de los proyectos M.E.
</t>
    </r>
    <r>
      <rPr>
        <b/>
        <sz val="10"/>
        <color theme="1"/>
        <rFont val="Calibri"/>
        <family val="2"/>
        <scheme val="minor"/>
      </rPr>
      <t>6. Legales y reglamentarios.
-</t>
    </r>
    <r>
      <rPr>
        <sz val="10"/>
        <color theme="1"/>
        <rFont val="Calibri"/>
        <family val="2"/>
        <scheme val="minor"/>
      </rPr>
      <t>No mantener actualizado en la normatividad vigente.
-Demoras en la regulaciòn por parte de la CREG.
-Proponer herramientas que permitan acoplarme a cambios requeridos para el cumplimiento de la  de la misión</t>
    </r>
    <r>
      <rPr>
        <b/>
        <sz val="10"/>
        <color theme="1"/>
        <rFont val="Calibri"/>
        <family val="2"/>
        <scheme val="minor"/>
      </rPr>
      <t xml:space="preserve">
</t>
    </r>
  </si>
  <si>
    <r>
      <rPr>
        <b/>
        <sz val="10"/>
        <color theme="1"/>
        <rFont val="Calibri"/>
        <family val="2"/>
        <scheme val="minor"/>
      </rPr>
      <t>1. Estratégicos</t>
    </r>
    <r>
      <rPr>
        <sz val="10"/>
        <color theme="1"/>
        <rFont val="Calibri"/>
        <family val="2"/>
        <scheme val="minor"/>
      </rPr>
      <t xml:space="preserve">.
- Se ha definido una planeación estratégica que es desarrollada a partir de planes de acción anual. Se encuentra en un proceso de revisión la planeación estratégiva vs los roles y funciones asignadas a la entidad posteriores al Decreto 1258 de 2013.
</t>
    </r>
    <r>
      <rPr>
        <b/>
        <sz val="10"/>
        <color theme="1"/>
        <rFont val="Calibri"/>
        <family val="2"/>
        <scheme val="minor"/>
      </rPr>
      <t>2. Estructura organizaciona</t>
    </r>
    <r>
      <rPr>
        <sz val="10"/>
        <color theme="1"/>
        <rFont val="Calibri"/>
        <family val="2"/>
        <scheme val="minor"/>
      </rPr>
      <t xml:space="preserve">l.
- Se cuenta con una estructura organizacional funcional basada en lo determinado por el Decreto 1258 de 2013.
</t>
    </r>
    <r>
      <rPr>
        <b/>
        <sz val="10"/>
        <color theme="1"/>
        <rFont val="Calibri"/>
        <family val="2"/>
        <scheme val="minor"/>
      </rPr>
      <t>3. Financieros</t>
    </r>
    <r>
      <rPr>
        <sz val="10"/>
        <color theme="1"/>
        <rFont val="Calibri"/>
        <family val="2"/>
        <scheme val="minor"/>
      </rPr>
      <t xml:space="preserve">.
-Recursos para mantener capacitado al grupo.
-Contar con recursos para la gestión misional con autonomía.
-No contar con asesoría tributaria.
</t>
    </r>
    <r>
      <rPr>
        <b/>
        <sz val="10"/>
        <color theme="1"/>
        <rFont val="Calibri"/>
        <family val="2"/>
        <scheme val="minor"/>
      </rPr>
      <t>4. Personal</t>
    </r>
    <r>
      <rPr>
        <sz val="10"/>
        <color theme="1"/>
        <rFont val="Calibri"/>
        <family val="2"/>
        <scheme val="minor"/>
      </rPr>
      <t xml:space="preserve">.
-Personal con conocimiento técnico especializado.
-Perfiles téncicos con experticia avanzada.
-Número limitado de personal para apoyar los procesos y tareas adicionales, delegadas por MME- capacidades.
</t>
    </r>
    <r>
      <rPr>
        <b/>
        <sz val="10"/>
        <color theme="1"/>
        <rFont val="Calibri"/>
        <family val="2"/>
        <scheme val="minor"/>
      </rPr>
      <t>5. Tecnología</t>
    </r>
    <r>
      <rPr>
        <sz val="10"/>
        <color theme="1"/>
        <rFont val="Calibri"/>
        <family val="2"/>
        <scheme val="minor"/>
      </rPr>
      <t xml:space="preserve">.
-No se cuenta con tecnología que responda a las necesidades de información de la UPME.
-Carencia de un sistema integrado.
-Bajo nivel de capacidad de almacenamiento.
Capacidad operativa para la administración y gestión.
</t>
    </r>
    <r>
      <rPr>
        <b/>
        <sz val="10"/>
        <color theme="1"/>
        <rFont val="Calibri"/>
        <family val="2"/>
        <scheme val="minor"/>
      </rPr>
      <t>6. Comunicación Interna</t>
    </r>
    <r>
      <rPr>
        <sz val="10"/>
        <color theme="1"/>
        <rFont val="Calibri"/>
        <family val="2"/>
        <scheme val="minor"/>
      </rPr>
      <t xml:space="preserve">.
- Realizaciòn de comitès primarios para informar al grupo de las decisiones de la direcciòn y demas termas institucionales.
</t>
    </r>
    <r>
      <rPr>
        <b/>
        <sz val="10"/>
        <color theme="1"/>
        <rFont val="Calibri"/>
        <family val="2"/>
        <scheme val="minor"/>
      </rPr>
      <t>7. Procesos</t>
    </r>
    <r>
      <rPr>
        <sz val="10"/>
        <color theme="1"/>
        <rFont val="Calibri"/>
        <family val="2"/>
        <scheme val="minor"/>
      </rPr>
      <t>.
- Se estan revisando y definiendo los procesos de la organización y alineandose a su estructura organizacional.</t>
    </r>
  </si>
  <si>
    <r>
      <rPr>
        <b/>
        <sz val="10"/>
        <color theme="1"/>
        <rFont val="Calibri"/>
        <family val="2"/>
        <scheme val="minor"/>
      </rPr>
      <t>1. Diseño del Proceso</t>
    </r>
    <r>
      <rPr>
        <sz val="10"/>
        <color theme="1"/>
        <rFont val="Calibri"/>
        <family val="2"/>
        <scheme val="minor"/>
      </rPr>
      <t xml:space="preserve">.
-En proceso de transformación, rediseño y mejoramiento.
-La actividad de eficiencia energética es de corto plazo y consumo mucho tiempo.
</t>
    </r>
    <r>
      <rPr>
        <b/>
        <sz val="10"/>
        <color theme="1"/>
        <rFont val="Calibri"/>
        <family val="2"/>
        <scheme val="minor"/>
      </rPr>
      <t>2. Interacciones con con otros procesos</t>
    </r>
    <r>
      <rPr>
        <sz val="10"/>
        <color theme="1"/>
        <rFont val="Calibri"/>
        <family val="2"/>
        <scheme val="minor"/>
      </rPr>
      <t xml:space="preserve">.
-Es necesario normalizar con lineamientos precisos sobre la interrelaciòn de  los procesos.
-Bajo nivel de articulación con otros procesos misionales.
</t>
    </r>
    <r>
      <rPr>
        <b/>
        <sz val="10"/>
        <color theme="1"/>
        <rFont val="Calibri"/>
        <family val="2"/>
        <scheme val="minor"/>
      </rPr>
      <t>3. Transversalidad</t>
    </r>
    <r>
      <rPr>
        <sz val="10"/>
        <color theme="1"/>
        <rFont val="Calibri"/>
        <family val="2"/>
        <scheme val="minor"/>
      </rPr>
      <t xml:space="preserve">.
-Se cuenta con un sistema de informaciòn (Discover) que permite realizar consultas de los proyectos presetnados ante la OGPF.
-El proceso de Direccionamiento entrega lineas estratégicas y políticas a los demás procesos.
-PEI de Energia en proceso de actualizaciòn
Debe complementarse con procedimiento del SIMCO.
</t>
    </r>
    <r>
      <rPr>
        <b/>
        <sz val="10"/>
        <color theme="1"/>
        <rFont val="Calibri"/>
        <family val="2"/>
        <scheme val="minor"/>
      </rPr>
      <t>4. Procedimientos asociados</t>
    </r>
    <r>
      <rPr>
        <sz val="10"/>
        <color theme="1"/>
        <rFont val="Calibri"/>
        <family val="2"/>
        <scheme val="minor"/>
      </rPr>
      <t xml:space="preserve">.
-actualización de los procedimientos producto del cambio normativo y en mejoramientos del hacer.
-Falta apropiación y fortalecimiento de los procedimientos del proceso de Planeación.
Desactualizados.
</t>
    </r>
    <r>
      <rPr>
        <b/>
        <sz val="10"/>
        <color theme="1"/>
        <rFont val="Calibri"/>
        <family val="2"/>
        <scheme val="minor"/>
      </rPr>
      <t>5. Comunicación entre los procesos</t>
    </r>
    <r>
      <rPr>
        <sz val="10"/>
        <color theme="1"/>
        <rFont val="Calibri"/>
        <family val="2"/>
        <scheme val="minor"/>
      </rPr>
      <t xml:space="preserve">.
-Ausencia de protocolos de comunicación
-Deficiencias en la efectividad de los canales y del mensaje.
</t>
    </r>
    <r>
      <rPr>
        <b/>
        <sz val="10"/>
        <color theme="1"/>
        <rFont val="Calibri"/>
        <family val="2"/>
        <scheme val="minor"/>
      </rPr>
      <t>6. Activos de seguridad digital del proceso</t>
    </r>
    <r>
      <rPr>
        <sz val="10"/>
        <color theme="1"/>
        <rFont val="Calibri"/>
        <family val="2"/>
        <scheme val="minor"/>
      </rPr>
      <t>.</t>
    </r>
  </si>
  <si>
    <t xml:space="preserve">Evaluar la gestión institucional y la efectividad del Sistema de Control Interno, a través de auditorías, seguimientos sistemáticos e independientes, evaluación de la gestión del riesgo y la identificación de oportunidades de mejora y asesorar de forma permanente con enfoque hacia la prevención y la coordinación de los requerimientos de control fiscal,  que contribuya a la alta dirección en la toma de decisiones para el mejoramiento continuo de la gestión institucional. </t>
  </si>
  <si>
    <t xml:space="preserve">Riesgo de Auditoria.
(Análisis, revisiones y/o verificaciones erróneas, insuficientes o poco representativas)
</t>
  </si>
  <si>
    <t>Puede suceder que las auditorías realizadas no comprendan temas críticos o de impacto para la gestión de la entidad, que los informes de auditoría y seguimiento no cuenten con las evidencias suficientes para emitir un concepto verídico sobre el proceso auditado o que se escriban hallazgos sin conocimiento pleno de las temáticas.</t>
  </si>
  <si>
    <t>• Priorizacion de manera equivocada los procesos a evaluar.
•Selección deficiente de los procesos a auditar  (Cumplimiento de requisitos legales y normatividad)
• Generación de hallazgos y oportunidades de mejora sin evidencia objetiva.
• Información incompleta  e inoportuna para realiazar la priorización.
• Personal multidisciplinario insuficiente en el área.
• El muestreo de auditoria no es representativo para el universo a auditar y/o la evidencia es insuficiente.
• Interpretación subjetiva y/o desconocimiento de normatividad, procesos y procedimientos.
• No entrega de la información de forma oportuna y completa por parte de los auditados.</t>
  </si>
  <si>
    <t>• No agregar valor a la gestión.
• No identificar oportunidades de mejora requeridas.       
• No poder atender todos los requerimientos internos y externos con el personal disponible, con posibles acciones legales que se puedan generar.
• Ineficiencia en el desarrollo de los procesos de la entidad.
• Pérdida de credibilidad en el proceso de Evaluación Independiente.
• Incumplimiento del enfoque de evaluar y mejorar la eficacia de los procesos.   
• Evaluaciones que no se ajustan a la realidad.</t>
  </si>
  <si>
    <t>Sesgo en la determinación del alcance y verificación de los criterios de auditoría.</t>
  </si>
  <si>
    <t>Puede suceder que un auditor utilice un enfoque sesgado por intereses políticos, económicos o de estatus en las directrices para la realización de las auditorias que favorecen buscan favorecer a un tercero o incidir en una decisión para favorecer a un tercero.</t>
  </si>
  <si>
    <t>•Deficiencia en el seguimiento por el Comité de Coordinación de Control Interno de la UPME.
•Desconocimiento de la normatividad aplicable para evaluación, control y seguimiento.
•Presion indebida por terceros con intereses de la Auditoría Interna.
•Selecccion o determinacion inadecuada de criterios de auditoría interna.</t>
  </si>
  <si>
    <t>• Resultados de Auditoría Interna que inciden en el posible favorecimiento a un terecero.
•Investigaciones y sanciones disciplinarias, fiscales y penales.
•Aumento de las peticiones, quejas y reclamos.</t>
  </si>
  <si>
    <t>Perdida de independencia y coadministración en la gestión.</t>
  </si>
  <si>
    <t>Puede suceder que se involucre al equipo del proceso en la toma de decisiones de la entidad, afectando la objetividad e imparcialidad en los procesos de auditoría.</t>
  </si>
  <si>
    <t>• Desconocimiento de las funciones y roles de las Oficina de Control Interno o de quien haga sus veces por parte de los funcionarios de la entidad.
• Participación en comités y mesas de trabajo con voz y voto.</t>
  </si>
  <si>
    <t>• Extralimitación de funciones de la oficina de control interno o quien haga sus veces.
• Investigaciones y sanciones disciplinarias, fiscales y penales.</t>
  </si>
  <si>
    <t>Aplicar la matriz de priorización de Auditorías.</t>
  </si>
  <si>
    <t>El aplicar la matriz de prioriación de Auditorías, es un control mediante el que a través de la valoración y análisis de criticidad de la gestión institucional y de los procesos, se lleva a cabo la priorización y planifcación de las actividades de auditoría a ejecutarse en una vigencia, el propósito de este mecanismo es enfocar las auditorías y evaluaciones en los procesos con mayores riesgos e impactos para la organización. Se ejecuta mínimo una vez en el año por la Oficina de Control Interno, previo a la elaboración del Programa Anual de Auditoría PAA.</t>
  </si>
  <si>
    <t>Actualizar documentación del proceso de Evaluación Independiente.</t>
  </si>
  <si>
    <t>Asesor de Control Interno</t>
  </si>
  <si>
    <t>Documentos actualizados  y adoptados en el Sistema de Gestiòn Institucional.</t>
  </si>
  <si>
    <t>Seguimiento y monitoreo del Programa Anual de Auditoría.</t>
  </si>
  <si>
    <t>El Programa Anual de Auditoría deberá ser presentado al Comité de Coordinación del Sistema de Control Interno Institucional para su conocimiento y respectiva aprobación una vez consolidado. En las reuniones de seguimiento Control Interno verifica la ejecución de actividades frente a lo formulado en el Programa Anual de auditoría (PAA); si se presentan cambios justificados o por fuerza mayor se dan a conocer en el Comité de Coordinación de Control Interno y se actualiza el PAA. Este control pretende detectar las desviacioens del programa y tomar decisiones para la adecuada ejecución de las Auditorías Internas planificadas. Se ejecuta mínimo una vez en el trimestre el seguimiento al avance del Programa Anual de Auditorías.</t>
  </si>
  <si>
    <t>Revisar y actualizar el código de ética del auditor.</t>
  </si>
  <si>
    <t>Còdigo de ètica del auditor adoptado y actualizado.</t>
  </si>
  <si>
    <t>Incluir análisis de recursos de auditoría.</t>
  </si>
  <si>
    <t>En el programa anual de auditoría interna se incluye un análisis de las necesidades de recursos para la ejecución de Auditorías Internas, este instrumento pretende mostrar a la Alta Dirección y al Comité de Coordinación de Control Interno las necesidades requeridas para ejecutar de manera adecuada el Programa de Auditoría Interna. Este control es ejecutado una vez en el año con la formulación del Programa Anual de Auditoria.</t>
  </si>
  <si>
    <t>Formular de forma participativa el Programa Anual de Auditoría con la Alta Dirección y atender sus modificaciones de acuerdo a sus necesidades.</t>
  </si>
  <si>
    <t xml:space="preserve">Este Control, documentado en las Actas de Comité de Coordinación de Control Interno, busca sea alineada la planificación de auditorías internas con el propósito de que sea propuesto y ajustado a las necesidades de la entidad en los tiempos posibles de ejecución. Esto implica la presentación de la propuesta del Programa Anual de Auditoría y de los ajustes propuestos por los integrantes del Comité de Coordinación de Control Interno. </t>
  </si>
  <si>
    <t>Actualizar y/o ajustar el Programa de Auditoría.</t>
  </si>
  <si>
    <t>Dadas funciones a Control Interno o quien hace sus veces se presenta la necesidad de realizar y presentar ajustes y cambios en el Programa Anual de Auditoría al comité de coordinacion de control interno para su aprobación. Este control busca reducir la no ejecución o la inadecuada ejección del programa anual de auditoría evitandose de manera preventiva incurrir en algún incumplimiento.</t>
  </si>
  <si>
    <t>Aplicar control de gestión de acuerdo a los niveles de autorización de los los informes de auditoria o de evaluación independiente.</t>
  </si>
  <si>
    <t>Este control es aplicado cuando los informes de auditoría interna o de evaluación a la gestión surten la cadena de elaboración, revisión y aprobación. En este caso el profesional del área de control interno elabora informes que son revisados y aprobados para ser emtidos por el Asesor de Control Interno. Este control se aplica en la elaboración de cada uno de los informes y tiene como propósito evitar errores de coherencia, evidencia y objetividad en su elaboración.</t>
  </si>
  <si>
    <t>Reiteración de solicitud de información o salvedad en informe de auditoria de la no entrega de la información.</t>
  </si>
  <si>
    <t>Este control es aplicado cuando se ha solicitado información y no se ha enregado por parte de los auditados,  se reitera la solicitud con copia a la Dirección General con el propósito de obtener la información solicitada. En los caso en los cuales definitivamente no es entregada la información por el auditado se incluyen nota de salvedad dada la no entrega de la información. Este control tiene como proposito obtener información y resgistros que permitan el desarrollo de auditorias con evidencia objetiva.</t>
  </si>
  <si>
    <t>Realizar solicitud de necesidades de formación y capacitación de Control Interno.</t>
  </si>
  <si>
    <t>Se solicita a la Secretaría General al Grupo de Talento Humano incorporar necesidades en el Plan Institucional de Capacitación referente a las brechas de conocimiento frente a las actividades, normativa e información que debe ser conocida por el grupo de profesionales de la oficina de control interno. Este control tiene como propósito promover acciones de formación dando el conocimiento a los servidores públicos y reduciendo el desconocimiento en temáticas.</t>
  </si>
  <si>
    <t>Adoptar intrumentos definidos en la Caja de Herramientas  de la Función Pública CAJA_HERRAMIENTAS_GUIA_AUDITORIA_BASADA_RIESGOS_V4</t>
  </si>
  <si>
    <t>Solicitud de recursos para complementar competencias con externos.</t>
  </si>
  <si>
    <t>Conformación de equipos de auditoría integrales o contratación de servicios de auditoría externos, con habilidades, conocimiento, experiencia e integralidad para ejecutar evaluaciones a temas específicos y auditoría. Este control tiene como propósito garantizar que los ejercicios de auditoría se ejecuten personal con conocimiento especializado, con la competencia y habilidades requeridas para una adecuada evaluación de los criterios a auditar.</t>
  </si>
  <si>
    <t>Carta de representación</t>
  </si>
  <si>
    <t>La Carta de Representación es un instrumento que permite confirmar las aseveraciones orales y/o escritas proporcionadas  durante el curso de la auditoría, busca reducir la posibilidad de malos entendidos entre el auditor y el auditado, aclarando los hechos observados y valorados sobre evidencia objetiva. Este es un control que busca garantizar la independencia de la evaluaciòn, dando claridad y evitando se generen presiones indebidas.</t>
  </si>
  <si>
    <t>Aplicar y utilizar las herramientas y técnicas de Auditoría.</t>
  </si>
  <si>
    <t xml:space="preserve">Al aplicar el conjunto de herramientas y técnicas de auditoría se busca la aplicación de métodos de evaluación que permitan determinar con criterios objetivos los ejercicios de Auditoría Interna. El uso y aplicaciòn de herramientas de auditorìa es un control que permiten evaluar de manera adecuada los criterios de auditorìa. </t>
  </si>
  <si>
    <t>Manifestar el rol de las oficinas de control interno a través de distintos mecanimos  y canales de comunicación</t>
  </si>
  <si>
    <t>Este control busca que los clientes y partes interesadas del proceso conozcan los roles y competencias de las Oficinas de Control Interno o quien haga sus veces,</t>
  </si>
  <si>
    <t>Socializar los roles de las oficinas de control interno y de las lìneas de defensa a las demás dependencias.</t>
  </si>
  <si>
    <t>Evidencias de la socializaciòn</t>
  </si>
  <si>
    <t>Adoptar y aplicar código de ética del auditor y sus herramientas, manifestadas en el informe de auditoría interna.</t>
  </si>
  <si>
    <t>Este control implica la adopción y aplicaciòn del código de ética, lo cual es manifestado y presentado a travès de los informes de auditoria interna el rol de las oficinas de control interno.</t>
  </si>
  <si>
    <t>Utilizar el mapa de aseguramiento y matriz de priorización de Auditorías.</t>
  </si>
  <si>
    <t>Utilizar la herramienta de mapa de aseguramiento para que sean definidas y aclaradas en el marco de los procesos las líneas de defensa, especificando el Rol de la Tercera Línea de Defenda y usar la matriz de priorización para la priorización de auditorias. La aplicación de estas herramientas permite  aclarar y definir las responsabiliades y alcances para cada Programa Anual  de auditoría. Esta revisión se ejecutade manera anual  y se documenta en el Programa Anual de Auditoría.</t>
  </si>
  <si>
    <t>Realizar la evaluaciòn independiente a travès de los perfiles y roles asignados a travès de distitnos aplicativos.</t>
  </si>
  <si>
    <t>Utilizar los sistemas de información como SIRECI, FURAG, EKOGUI. SIIF Nación, SUIT y otros en los que se ha definido los roles y perfiles específicos para el proceso de evaluación independiente que es ejecutado por las Oficinas de Control Interno o de quienes hacen sus veces. Este control tiene como propósito el uso de herramientas que han definido actividades de acuerdo al rol de la oficina de control interno.</t>
  </si>
  <si>
    <t>Participar en el encuentro transversal del encuentro de Jefes de Control Interno.</t>
  </si>
  <si>
    <t>Participación en eventos donde se socializar los roles y normatividad a cumplir por los jefes de la oficina de control interno, este control permite mantener actualizado el conocimiento frene a los roles.</t>
  </si>
  <si>
    <r>
      <rPr>
        <b/>
        <sz val="10"/>
        <color theme="1"/>
        <rFont val="Calibri"/>
      </rPr>
      <t>1. Diseño del Proceso</t>
    </r>
    <r>
      <rPr>
        <sz val="10"/>
        <color theme="1"/>
        <rFont val="Calibri"/>
      </rPr>
      <t xml:space="preserve">.
- Claridad en la descripción del proceso, del alcance y de sus objetivos.
- El mejoramiento del procesos esta condicionado por los cambios normativos.
</t>
    </r>
    <r>
      <rPr>
        <b/>
        <sz val="10"/>
        <color theme="1"/>
        <rFont val="Calibri"/>
      </rPr>
      <t>2. Interacciones con con otros procesos</t>
    </r>
    <r>
      <rPr>
        <sz val="10"/>
        <color theme="1"/>
        <rFont val="Calibri"/>
      </rPr>
      <t xml:space="preserve">.
- La interacción en solicitud de recursos con los procesos estratégico y de apoyo.
-  Carencia en la interrelación con el proceso de viabilización de la subdirección de Demanda.
- Interrelación con el proceso de Demanda y Prospectiva (Condiciones Tarifarias Proyecto Gas Combustible) - PEI Energía (Reporte de Información de Proyectos Eléctricos Cobertura). 
</t>
    </r>
    <r>
      <rPr>
        <b/>
        <sz val="10"/>
        <color theme="1"/>
        <rFont val="Calibri"/>
      </rPr>
      <t>3. Transversalidad</t>
    </r>
    <r>
      <rPr>
        <sz val="10"/>
        <color theme="1"/>
        <rFont val="Calibri"/>
      </rPr>
      <t xml:space="preserve">.
- Reciben los lineamientos y parametros establecidos en los procesos transversales de la entidad.
</t>
    </r>
    <r>
      <rPr>
        <b/>
        <sz val="10"/>
        <color theme="1"/>
        <rFont val="Calibri"/>
      </rPr>
      <t>4. Procedimientos asociados</t>
    </r>
    <r>
      <rPr>
        <sz val="10"/>
        <color theme="1"/>
        <rFont val="Calibri"/>
      </rPr>
      <t xml:space="preserve">.
-Debe complementarse con instructivos, guías o manuales operativos el desarrollo del proceso.
</t>
    </r>
    <r>
      <rPr>
        <b/>
        <sz val="10"/>
        <color theme="1"/>
        <rFont val="Calibri"/>
      </rPr>
      <t>5. Comunicación entre los procesos</t>
    </r>
    <r>
      <rPr>
        <sz val="10"/>
        <color theme="1"/>
        <rFont val="Calibri"/>
      </rPr>
      <t xml:space="preserve">.
- Fortalecer la comunicación del proceso con toda la entidad.
- Debe definirse aspectos a comunicar. 
</t>
    </r>
    <r>
      <rPr>
        <b/>
        <sz val="10"/>
        <color theme="1"/>
        <rFont val="Calibri"/>
      </rPr>
      <t>6. Activos de seguridad digital del proceso</t>
    </r>
    <r>
      <rPr>
        <sz val="10"/>
        <color theme="1"/>
        <rFont val="Calibri"/>
      </rPr>
      <t>.
-  Herramienta de Evaluación
-  Expedientes virtuales y fisicos de evaluación de proyectos por Fondos y Proyectos.
-  SIPERS
-  Portal UPME</t>
    </r>
  </si>
  <si>
    <r>
      <rPr>
        <b/>
        <sz val="10"/>
        <color theme="1"/>
        <rFont val="Calibri"/>
      </rPr>
      <t>1. Estratégicos</t>
    </r>
    <r>
      <rPr>
        <sz val="10"/>
        <color theme="1"/>
        <rFont val="Calibri"/>
      </rPr>
      <t xml:space="preserve">.
- Falta de liderazgo en el nivel estratégico que pueden afectar la gestión del proceso y el trabajo en equipo.
- Cambios directivos pueden afectar la continuidad de las iniciativas del proceso.
</t>
    </r>
    <r>
      <rPr>
        <b/>
        <sz val="10"/>
        <color theme="1"/>
        <rFont val="Calibri"/>
      </rPr>
      <t>2. Estructura organizaciona</t>
    </r>
    <r>
      <rPr>
        <sz val="10"/>
        <color theme="1"/>
        <rFont val="Calibri"/>
      </rPr>
      <t xml:space="preserve">l.
- Falta de personal para la evaluación de proyectos de fondos.
- Contratación de proveedores externos con recursos externos a la entidad con control limitado de los resultados generados para el proceso.
- Manual de funciones desactualizado o no acorde a las necesidades del proceso.
</t>
    </r>
    <r>
      <rPr>
        <b/>
        <sz val="10"/>
        <color theme="1"/>
        <rFont val="Calibri"/>
      </rPr>
      <t>3. Financieros</t>
    </r>
    <r>
      <rPr>
        <sz val="10"/>
        <color theme="1"/>
        <rFont val="Calibri"/>
      </rPr>
      <t xml:space="preserve">.
- Régimen de contratación especial.
- Contar con recursos para la gestión misional con autonomía.
- Tener los recursos disponibles para el funcionamiento.
</t>
    </r>
    <r>
      <rPr>
        <b/>
        <sz val="10"/>
        <color theme="1"/>
        <rFont val="Calibri"/>
      </rPr>
      <t>4. Personal</t>
    </r>
    <r>
      <rPr>
        <sz val="10"/>
        <color theme="1"/>
        <rFont val="Calibri"/>
      </rPr>
      <t xml:space="preserve">.
- Limitaciones en formación y capacitación (se indaga sobre necesidades pero no se formula el programa atendiendo esos requerimientos).
- Formación y entrenamiento en el puesto de trabajo para funcionarios de carrera administrativa y provisionales.
- Insuficiencia frente al conocimiento institucional y sectorial.
</t>
    </r>
    <r>
      <rPr>
        <b/>
        <sz val="10"/>
        <color theme="1"/>
        <rFont val="Calibri"/>
      </rPr>
      <t>5. Tecnología</t>
    </r>
    <r>
      <rPr>
        <sz val="10"/>
        <color theme="1"/>
        <rFont val="Calibri"/>
      </rPr>
      <t xml:space="preserve">.
- Conocimiento oportuno para el uso de las herramientas.
- Carencia de un sistema integrado de información para la dsiponibilidad de datos e información.
- Falta de mantenimiento y renovación tecnológica de los sistemas de información.
</t>
    </r>
    <r>
      <rPr>
        <b/>
        <sz val="10"/>
        <color theme="1"/>
        <rFont val="Calibri"/>
      </rPr>
      <t>6. Comunicación Interna</t>
    </r>
    <r>
      <rPr>
        <sz val="10"/>
        <color theme="1"/>
        <rFont val="Calibri"/>
      </rPr>
      <t xml:space="preserve">.
- Falencias en el flujo de la información necesaria para el desarrollo de las operaciones del proceso.
- Dificultar de trasmitir el mensaje por los canales de comunicación existentes.
</t>
    </r>
    <r>
      <rPr>
        <b/>
        <sz val="10"/>
        <color theme="1"/>
        <rFont val="Calibri"/>
      </rPr>
      <t>7. Procesos</t>
    </r>
    <r>
      <rPr>
        <sz val="10"/>
        <color theme="1"/>
        <rFont val="Calibri"/>
      </rPr>
      <t>.
-  Constantes cambios de los requisitos generados por los clientes y partes intersadas del proceso. (Cambios reglamentarios en los Fondos de Apoyo Financiero).
- Alta expectativas de las partes interesadas frente al alcance del proceso.</t>
    </r>
  </si>
  <si>
    <r>
      <t>1. Políticos.</t>
    </r>
    <r>
      <rPr>
        <sz val="10"/>
        <color theme="1"/>
        <rFont val="Calibri"/>
      </rPr>
      <t xml:space="preserve">
- Participación activa en la formulación del PND. 
- Políticas sectoriales y nacionales sin considerar el  rigor técnico de UPME en la evaluación de proyectos del sector minero energético.
- Control político desmedido y desarticulado con diferentes entidades del gobierno nacional.
</t>
    </r>
    <r>
      <rPr>
        <b/>
        <sz val="10"/>
        <color theme="1"/>
        <rFont val="Calibri"/>
      </rPr>
      <t xml:space="preserve">
2. Económicos y financieros.
</t>
    </r>
    <r>
      <rPr>
        <sz val="10"/>
        <color theme="1"/>
        <rFont val="Calibri"/>
      </rPr>
      <t xml:space="preserve">- Dependencia en la asignación de recuros otras entidades Min minas, ANH, Ecopetrol y ANM.
- Políticas macroeconómicas no competitivas en Colombia.
</t>
    </r>
    <r>
      <rPr>
        <b/>
        <sz val="10"/>
        <color theme="1"/>
        <rFont val="Calibri"/>
      </rPr>
      <t xml:space="preserve">
3. Sociales y culturales.
</t>
    </r>
    <r>
      <rPr>
        <sz val="10"/>
        <color theme="1"/>
        <rFont val="Calibri"/>
      </rPr>
      <t xml:space="preserve">- Crecimiento de la población en Colombia.
- Cumplimiento de obligaciones que afectan o  benefician el orden público. (Consultas previas, licencias).
- Generación de nuevos conocimientos que impactan el desarrollo del sector.
</t>
    </r>
    <r>
      <rPr>
        <b/>
        <sz val="10"/>
        <color theme="1"/>
        <rFont val="Calibri"/>
      </rPr>
      <t xml:space="preserve">
4. Tecnológicos.
</t>
    </r>
    <r>
      <rPr>
        <sz val="10"/>
        <color theme="1"/>
        <rFont val="Calibri"/>
      </rPr>
      <t>- Nuevas tecnologias que permitan incrementar la eficiencia energética.
- Innovación tecnológica en la transición energética.</t>
    </r>
    <r>
      <rPr>
        <b/>
        <sz val="10"/>
        <color theme="1"/>
        <rFont val="Calibri"/>
      </rPr>
      <t xml:space="preserve">
</t>
    </r>
    <r>
      <rPr>
        <sz val="10"/>
        <color theme="1"/>
        <rFont val="Calibri"/>
      </rPr>
      <t xml:space="preserve">- Vulnerabilidades, ataques informáticos.
- Capacidad de respuesta institucional a la implementación de nuevas tecnologías.
- Integración de los sistemas de información.
</t>
    </r>
    <r>
      <rPr>
        <b/>
        <sz val="10"/>
        <color theme="1"/>
        <rFont val="Calibri"/>
      </rPr>
      <t xml:space="preserve">
5. Ambientales.
</t>
    </r>
    <r>
      <rPr>
        <sz val="10"/>
        <color theme="1"/>
        <rFont val="Calibri"/>
      </rPr>
      <t xml:space="preserve">- Compromisos frente al cambio climático y Objetivos de Desarrollo Sostenible ODS.
- Resistencia al cambio cultural en aspectos ambientales (ahorro papel, consumo energìa y consumo de agua).
</t>
    </r>
    <r>
      <rPr>
        <b/>
        <sz val="10"/>
        <color theme="1"/>
        <rFont val="Calibri"/>
      </rPr>
      <t xml:space="preserve">
6. Legales y reglamentarios.
</t>
    </r>
    <r>
      <rPr>
        <sz val="10"/>
        <color theme="1"/>
        <rFont val="Calibri"/>
      </rPr>
      <t>- No mantener actualizada o desconocer la normatividad vigente.
- Demoras en la regulación por parte del Gobierno Nacional.
- Inseguridad jurídica.
- Cambios normativos que impactan en la defensa judicial.</t>
    </r>
  </si>
  <si>
    <t>EVALUACION DE PROYECTOS DE FONDOS</t>
  </si>
  <si>
    <t>FONDOS ENERGÉTICOS Y PROYECTOS PARA COBERTURA</t>
  </si>
  <si>
    <t>Contribuir con la universalización del servicio de energía eléctrica y de gas combustible domiciliario a través de la evaluación técnica y económica de los proyectos, de manera oportuna y con criterios de calidad.</t>
  </si>
  <si>
    <t>Inoportunidad en evaluación técnica y económica de los proyectos de fondos</t>
  </si>
  <si>
    <t>Puede suceder que no se cumpla con los tiempos establecidos para la evaluaciòn tècnica y econòmica de los proyectos</t>
  </si>
  <si>
    <t>-Debido al incremento del volumen de proyectos a evaluar (ciclico).
-Rezago tecnológico en las aplicaciones y programas utilizados por la entidad para la evaluación de proyectos.
-Debido a la forma (impreso o escaneado)  en que se recibe la informaciòn por parte de los solicitantes de recursos de los diferentes fondos, lo cual lleva a verificar manualmente la coherencia de la información.</t>
  </si>
  <si>
    <t>-Incumplimiento en los tiempos establecidos evaluación de los Proyectos.
-Demandas, quejas y reclamos ante la inoportuna emisión de los conceptos técnicos.</t>
  </si>
  <si>
    <t>Imprecisión en la aplicación del proceso de evaluación técnica y económica de  proyectos de fondos.</t>
  </si>
  <si>
    <t xml:space="preserve">Puede suceder que se conceptue como favorable un proyecto que no cumpla con los criterios técnicos de evaluación establecidos. </t>
  </si>
  <si>
    <t>- Base de datos desactualizada de precios del mercado como referencia.
-Omisión de parámetros o elementos técnicos del proyecto.
-Desactualizado conocimiento de la normatividad vigente aplicable.</t>
  </si>
  <si>
    <t>- Emisión de conceptos con mala calidad técnica.
- La nación a través de los fondos puede asignar recursos a proyectos inapropiados que no cumplen con los requisitos de calidad.</t>
  </si>
  <si>
    <t>Presión indebida en la evaluación técnica de proyectos con posibilidad de beneficio propio o para terceros.</t>
  </si>
  <si>
    <t>Posibilidad de ofrecer dadivas o coaccionar a un funcionario en su trabajo para  generar beneficios a nombre propio o de terceros que afectan el desarrollo normal del proceso.</t>
  </si>
  <si>
    <t xml:space="preserve">- Baja supervisión de los funcionarios y contratistas que ejecutan la evaluación de proyectos.
- Interéses personales del evaluador del proyecto.
- Influencia indebida de terceros sobre el evaluador.
- Falta de aplicación de código de integridad en la evaluación del proyecto (autocontrol).
</t>
  </si>
  <si>
    <t>- Alterar el orden establecido para la evaluación de proyectos
- Emisión de conceptos técnicos sin el cumplimiento de requisitos técnicos.
- Uso indebido de los público;  sanciones por parte de entes de control; deterioro de la imagen institucional.</t>
  </si>
  <si>
    <t>Contratar personal de apoyo para aumentar la capacidad del proceso.</t>
  </si>
  <si>
    <t>Cada vez que se requiere y se determina la necesidad de realizar contratación de personal para la evaluación de proyectos, en quienes se distribuye la carga de trabajo de acuerdo con el número de solicitudes presentadas a la UPME. Este control tiene como propósito aumentar la capacidad del proceso ante un alto volumen de solicitudes permitiendo al proceso cumplir con oportunidad.</t>
  </si>
  <si>
    <t>Solicitar el apoyo jurídico para revisar la posibilidad de informar a los usuarios ampliar el tiempo de evaluación.</t>
  </si>
  <si>
    <t>Jefe Oficina de Gestión de Proyectos</t>
  </si>
  <si>
    <t>Usar herramientas tecnológicas para la evaluación del proyecto.</t>
  </si>
  <si>
    <t>Para cada evaluación de proyectos es requerido utilizar herramientas de apoyo que permitan agilizar el procesamiento y análisis de información que permitan cumplir con oportunidad la entrega de los resultados. Entre estas herramientas se destacan el uso de Autocad para la revisiòn de planos, el uso de excel, el uso de la herramienta Orfeo para el control de los registros y solicitudes y el aplicativo de fondos (base de datos oracle) todos brindan herramientas para el control de la informaciòn del proceso.</t>
  </si>
  <si>
    <t>Usar la matriz de seguimiento de proyectos.</t>
  </si>
  <si>
    <t>Existe como contro una herramienta de seguimiento de proyectos, la cual permite realizar la asignación de evaluadores y el seguimiento al tiempo de evaluación para cada proyecto.</t>
  </si>
  <si>
    <t>Realizar seguimiento a los indicadores de oportunidad del proceso.</t>
  </si>
  <si>
    <t>Se realiza seguimiento trimestral a la gestiòn del proceso mediante el uso de indicadores de gestión al cumplimiento en la oportunidad de la emisión de conceptos, desarrollada la mediciòn, evaluaciòn y anàlisis permite la toma de decisiones frente a desviaciones que allì sean detectadas.</t>
  </si>
  <si>
    <t>Actualizar la información de la base de datos de precios asociada a costos de proyecto.</t>
  </si>
  <si>
    <t>Esta herramienta permite comparar los precios presentado por el solicitante vs los precios de mercado permitiendo identificar distorsiones en los costos del proyecto.</t>
  </si>
  <si>
    <t>Mantener revisión de las herramientas e instrumentos de evaluación de proyectos.</t>
  </si>
  <si>
    <t>Ayudas de memoria de reuniones. (actas, correos u otros).</t>
  </si>
  <si>
    <t>Aplicar las herramientas e instrumentos de evaluación para verificar el cuplimiento de requisitos.</t>
  </si>
  <si>
    <t>Aplicar los criterios de evaluación definidos en herramienta e instrumentos, lo cual permite verificar el total del cumplimiento de los requisitos definidos para cada Fondo.</t>
  </si>
  <si>
    <t>Participar activamente en la revisión de los proyectos normativos.</t>
  </si>
  <si>
    <t>La OGPF realiza la revisión y comentarios a la normatividad de carácter general que es es modificada por los entes reguladores de los fondos de apoyo financiero, lo cual tiene como propósito reducir el impacto de los cambios normativos.</t>
  </si>
  <si>
    <t>Aplicar niveles de autorización para la emisión de conceptos de evaluación de proyectos solicitantes de recursos en los fondos de apoyo financiero.</t>
  </si>
  <si>
    <t>Existe una cadena de elaboración, revisión y aprobación de los conceptos de evaluación de  proyectos solicitantes de recursos en los fondos de apoyo financiero, que de acuerdo al volumen se ejecuta en actividades clave y de forma aleatoria a itéms clave de la evaluación, tiene como propòsito garantizar la calidad del proceso e identificar posibles desviaciones.</t>
  </si>
  <si>
    <t>Participar activamente en jornadas de formación y sensibilización en tema de evaluación de proyectos de fondos.</t>
  </si>
  <si>
    <t>La OGPF participa en actividades de capacitación con el propósito de reducir las brechas de conocimiento existentes, aumentar la capacidad del proceso y reducir fallos por desconocimiento de los mètodos de evaluaciòn y la normatividad aplicable al proceso.</t>
  </si>
  <si>
    <t>Realizar seguimiento al cumplimiento de las obligaciones de contratistas de OGPF.</t>
  </si>
  <si>
    <t>Se realiza seguimiento al avance en la evaluación de los proyectos y al cumplimiento de las obligaciones contractuales ejecutados a través de los mecanismos de supervisión de los contratos.</t>
  </si>
  <si>
    <t>Aplicar formato resumen de visita (acta reuniones).</t>
  </si>
  <si>
    <t>Existe el método de control mediante el cual no se participa de manera individual en la atención con clientes externos del proceso,  asistiendo mínimo dos personas de la OGPF a cada reunión, con el propósito de evitar las presiones indebidas y los ofrecimientos indebidos por parte de terceros.</t>
  </si>
  <si>
    <r>
      <t>CÓDIGO:</t>
    </r>
    <r>
      <rPr>
        <sz val="12"/>
        <color rgb="FFFF0000"/>
        <rFont val="Calibri"/>
      </rPr>
      <t xml:space="preserve"> </t>
    </r>
  </si>
  <si>
    <r>
      <t xml:space="preserve">1. Políticos.
</t>
    </r>
    <r>
      <rPr>
        <sz val="10"/>
        <color theme="1"/>
        <rFont val="Calibri"/>
        <family val="2"/>
      </rPr>
      <t xml:space="preserve">Desarticulaciòn sectorial e intersectorial
Participaciòn activa en la formulaciòn del PND
</t>
    </r>
    <r>
      <rPr>
        <b/>
        <sz val="10"/>
        <color theme="1"/>
        <rFont val="Calibri"/>
        <family val="2"/>
      </rPr>
      <t xml:space="preserve">
2. Económicos y financieros.
</t>
    </r>
    <r>
      <rPr>
        <sz val="10"/>
        <color theme="1"/>
        <rFont val="Calibri"/>
        <family val="2"/>
      </rPr>
      <t xml:space="preserve">Recorte presupuestal que conllevarìa a que no se contratarà el personal requerido
</t>
    </r>
    <r>
      <rPr>
        <b/>
        <sz val="10"/>
        <color theme="1"/>
        <rFont val="Calibri"/>
        <family val="2"/>
      </rPr>
      <t xml:space="preserve">
3. Sociales y culturales.
</t>
    </r>
    <r>
      <rPr>
        <sz val="10"/>
        <color theme="1"/>
        <rFont val="Calibri"/>
        <family val="2"/>
      </rPr>
      <t xml:space="preserve">Oposiciòn por parte de la comunidad a los proyectos de generaciòn y transmisiòn de energìa
Posibilidades de mayor capacitación de la comunidad que se beneficia de los proyectos con fondos de financiaciòn del estado.
</t>
    </r>
    <r>
      <rPr>
        <b/>
        <sz val="10"/>
        <color theme="1"/>
        <rFont val="Calibri"/>
        <family val="2"/>
      </rPr>
      <t xml:space="preserve">
4. Tecnológicos.
</t>
    </r>
    <r>
      <rPr>
        <sz val="10"/>
        <color theme="1"/>
        <rFont val="Calibri"/>
        <family val="2"/>
      </rPr>
      <t xml:space="preserve">No incluir las nuevas tecnologias en la formulaciòn de los planes 
Tecnologìa avanzada en la generaciòn con fuentes no convencionales a un costo menor.
Nuevas tecnologias que permitan incrementar la eficiencia energética.
</t>
    </r>
    <r>
      <rPr>
        <b/>
        <sz val="10"/>
        <color theme="1"/>
        <rFont val="Calibri"/>
        <family val="2"/>
      </rPr>
      <t xml:space="preserve">
5. Ambientales.
</t>
    </r>
    <r>
      <rPr>
        <sz val="10"/>
        <color theme="1"/>
        <rFont val="Calibri"/>
        <family val="2"/>
      </rPr>
      <t xml:space="preserve">No tratamiento de los desechos de energìas renovables
Deficiencia en los lineamientos para las compensaciones ambientales  aplicables en los proyectos.
</t>
    </r>
    <r>
      <rPr>
        <b/>
        <sz val="10"/>
        <color theme="1"/>
        <rFont val="Calibri"/>
        <family val="2"/>
      </rPr>
      <t xml:space="preserve">
6. Legales y reglamentarios.
</t>
    </r>
    <r>
      <rPr>
        <sz val="10"/>
        <color theme="1"/>
        <rFont val="Calibri"/>
        <family val="2"/>
      </rPr>
      <t>Demoras en la regulaciòn por parte de la CREG</t>
    </r>
  </si>
  <si>
    <r>
      <rPr>
        <b/>
        <sz val="10"/>
        <color theme="1"/>
        <rFont val="Calibri"/>
        <family val="2"/>
      </rPr>
      <t>1. Estratégicos</t>
    </r>
    <r>
      <rPr>
        <sz val="10"/>
        <color theme="1"/>
        <rFont val="Calibri"/>
        <family val="2"/>
      </rPr>
      <t xml:space="preserve">.
Ausencia de comitès primarios  para informar sobre defición estatègica
Bajo nivel de transversalidad entre entidades del sector que conduzca a trabajo colaborativo y sinergias entre entidades del sector.
</t>
    </r>
    <r>
      <rPr>
        <b/>
        <sz val="10"/>
        <color theme="1"/>
        <rFont val="Calibri"/>
        <family val="2"/>
      </rPr>
      <t>2. Estructura organizaciona</t>
    </r>
    <r>
      <rPr>
        <sz val="10"/>
        <color theme="1"/>
        <rFont val="Calibri"/>
        <family val="2"/>
      </rPr>
      <t xml:space="preserve">l.
Se encuetran definidos grupos de trabajo al interior de la Subdirección de Energía que permiten la organziación del trabajo.
</t>
    </r>
    <r>
      <rPr>
        <b/>
        <sz val="10"/>
        <color theme="1"/>
        <rFont val="Calibri"/>
        <family val="2"/>
      </rPr>
      <t>3. Financieros</t>
    </r>
    <r>
      <rPr>
        <sz val="10"/>
        <color theme="1"/>
        <rFont val="Calibri"/>
        <family val="2"/>
      </rPr>
      <t xml:space="preserve">.
Recursos en su mayoria generados por el sector no por el presupuesto general de la Naciòn
</t>
    </r>
    <r>
      <rPr>
        <b/>
        <sz val="10"/>
        <color theme="1"/>
        <rFont val="Calibri"/>
        <family val="2"/>
      </rPr>
      <t>4. Personal</t>
    </r>
    <r>
      <rPr>
        <sz val="10"/>
        <color theme="1"/>
        <rFont val="Calibri"/>
        <family val="2"/>
      </rPr>
      <t xml:space="preserve">.
Personal con alto nivel de formaciòn tècnica 
Número limitado de personal para apoyar los procesos y tareas adicionales, delegadas por MME- capacidades
Limitaciones en formaciòn y capacitaciòn (se indaga sobre necesidades pero no se formula el programa atendiendo esos requerimientos).
Formaciòn y entrenamiento en el puesto de trabajo insuficiente frente al conocimiento institucional y sectorial.
</t>
    </r>
    <r>
      <rPr>
        <b/>
        <sz val="10"/>
        <color theme="1"/>
        <rFont val="Calibri"/>
        <family val="2"/>
      </rPr>
      <t>5. Tecnología</t>
    </r>
    <r>
      <rPr>
        <sz val="10"/>
        <color theme="1"/>
        <rFont val="Calibri"/>
        <family val="2"/>
      </rPr>
      <t xml:space="preserve">.
Soporte y desarrollo de aplicativos tecnológicos que apoyen la planeaciòn y el seguimiento de proyectos.
</t>
    </r>
    <r>
      <rPr>
        <b/>
        <sz val="10"/>
        <color theme="1"/>
        <rFont val="Calibri"/>
        <family val="2"/>
      </rPr>
      <t>6. Comunicación Interna</t>
    </r>
    <r>
      <rPr>
        <sz val="10"/>
        <color theme="1"/>
        <rFont val="Calibri"/>
        <family val="2"/>
      </rPr>
      <t xml:space="preserve">.
Algunos temas interno se conocen  solo por medios externos
Debilidad para ejecutar comités primarios de la subdirección de energía eléctrica.
</t>
    </r>
    <r>
      <rPr>
        <b/>
        <sz val="10"/>
        <color theme="1"/>
        <rFont val="Calibri"/>
        <family val="2"/>
      </rPr>
      <t>7. Procesos</t>
    </r>
    <r>
      <rPr>
        <sz val="10"/>
        <color theme="1"/>
        <rFont val="Calibri"/>
        <family val="2"/>
      </rPr>
      <t>.
Interrelaciòn con otros procesos en la que se deben determinar acuerdos de intercambio y gestión de la información.</t>
    </r>
  </si>
  <si>
    <r>
      <rPr>
        <b/>
        <sz val="10"/>
        <color theme="1"/>
        <rFont val="Calibri"/>
        <family val="2"/>
      </rPr>
      <t>1. Diseño del Proceso</t>
    </r>
    <r>
      <rPr>
        <sz val="10"/>
        <color theme="1"/>
        <rFont val="Calibri"/>
        <family val="2"/>
      </rPr>
      <t xml:space="preserve">.
Integralidad del PEI de Energia
</t>
    </r>
    <r>
      <rPr>
        <b/>
        <sz val="10"/>
        <color theme="1"/>
        <rFont val="Calibri"/>
        <family val="2"/>
      </rPr>
      <t>2. Interacciones con con otros procesos</t>
    </r>
    <r>
      <rPr>
        <sz val="10"/>
        <color theme="1"/>
        <rFont val="Calibri"/>
        <family val="2"/>
      </rPr>
      <t xml:space="preserve">.
Es necesario normalizar con lineamientos precisos sobre la interrelaciòn de  los procesos
</t>
    </r>
    <r>
      <rPr>
        <b/>
        <sz val="10"/>
        <color theme="1"/>
        <rFont val="Calibri"/>
        <family val="2"/>
      </rPr>
      <t>3. Transversalidad</t>
    </r>
    <r>
      <rPr>
        <sz val="10"/>
        <color theme="1"/>
        <rFont val="Calibri"/>
        <family val="2"/>
      </rPr>
      <t xml:space="preserve">.
El proceso es insumo e interactua con otros procesos misionales de la UPME.
</t>
    </r>
    <r>
      <rPr>
        <b/>
        <sz val="10"/>
        <color theme="1"/>
        <rFont val="Calibri"/>
        <family val="2"/>
      </rPr>
      <t>4. Procedimientos asociados</t>
    </r>
    <r>
      <rPr>
        <sz val="10"/>
        <color theme="1"/>
        <rFont val="Calibri"/>
        <family val="2"/>
      </rPr>
      <t xml:space="preserve">.
PEI de Energia en proceso de actualizaciòn y revisión en el diseño de procesos y procedimientos.
</t>
    </r>
    <r>
      <rPr>
        <b/>
        <sz val="10"/>
        <color theme="1"/>
        <rFont val="Calibri"/>
        <family val="2"/>
      </rPr>
      <t>5. Comunicación entre los procesos</t>
    </r>
    <r>
      <rPr>
        <sz val="10"/>
        <color theme="1"/>
        <rFont val="Calibri"/>
        <family val="2"/>
      </rPr>
      <t xml:space="preserve">.
Debe definirse aspectos a comunicar.
Debe determinarse las cualidades y caracteristicas de la información.
</t>
    </r>
    <r>
      <rPr>
        <b/>
        <sz val="10"/>
        <color theme="1"/>
        <rFont val="Calibri"/>
        <family val="2"/>
      </rPr>
      <t>6. Activos de seguridad digital del proceso</t>
    </r>
    <r>
      <rPr>
        <sz val="10"/>
        <color theme="1"/>
        <rFont val="Calibri"/>
        <family val="2"/>
      </rPr>
      <t xml:space="preserve">.
</t>
    </r>
  </si>
  <si>
    <t>PLANEACION ESTRATEGICA E INTEGRAL ENERGIA</t>
  </si>
  <si>
    <t>Formular de manera oportuna la planeación de la expansión del sistema eléctrico para atender la demanda de energía nacional bajo criterios de confiabilidad y de conformidad con los requerimientos legales.</t>
  </si>
  <si>
    <t xml:space="preserve">Inoportunidad en la definición de los proyectos de transmisión </t>
  </si>
  <si>
    <t>Inoportunidad en la definición de los proyectos de transmisión que permitan atender el servicio de energía eléctrica con criterios de confiabilidad y  conformidad con la normatividad.</t>
  </si>
  <si>
    <t>• Debido a que no se cuenta con información adecuadas sobre el crecimiento de la demanda vegetativa(interna).
• Debido a que no se cuenta con información adecuada sobre el crecimiento de la demanda industrial (externa).
• Cambios en la operación del sistema interconectado nacional en el corto plazo.
• Aspectos regulatorios relacionados con el esquema de la expansión de la generación particularmente el cargo por confiabilidad.
• No contar con acceso a la información para la elaboración del Plan de Expansión y Generación.</t>
  </si>
  <si>
    <t>•  Afectación de la imagen institucional;  
• Incremento en los costos de restricciones;  
• demanda eléctrica no atendida; 
• desabastecimiento energético.</t>
  </si>
  <si>
    <t>Inoportunidad en la identificación de requerimientos energéticos futuros del país (generación).</t>
  </si>
  <si>
    <t>Inoportunidad en la identificación de requerimientos energéticos futuros del país para la atención del servicio de energía eléctrica con criterios de confiabiliad y de conformidad con la normatividad.</t>
  </si>
  <si>
    <t>• Debido a que no se cuenta con información adecuadas sobre el crecimiento de la demanda vegetativa(interna).
• Debido a que no se cuenta con información adecuadas sobre el crecimiento de la demanda  industrial (externa).
• Cambios en la operación del sistema interconectado nacional en el corto plazo.
• Aspectos regulatorios relacionados con el esquema de la expansión de la generación particularmente el cargo por confiabilidad.
• No contar con acceso a la información para la elaboración del Plan de Expansión y Generación.</t>
  </si>
  <si>
    <t>• Afectación de la imagen institucional.
• Incremento en los costos de restricciones.  demanda eléctrica no atendida.
• Desabastecimiento energético.
• Acciones legales por parte de terceros interesados en los proyectos.</t>
  </si>
  <si>
    <t>Inorportunidad en la formulación de los planes.</t>
  </si>
  <si>
    <t>Inoportunidad en la formulación del plan de expansión de cobertura de energia eléctrica y  plan de expansión de generación y transmisión.</t>
  </si>
  <si>
    <t>- Debido a que no se cuenta con la información de forma oportuna y con criterios de calidad.
- Baja capacidad tecnologica para adaptarse a los cambios normativos y regulatorios.
- Baja capacidad humana para ejecutar las actividades de formulación.</t>
  </si>
  <si>
    <t>Inoportunidad en la formulación de política por parte de Minminas o DNP;  Atraso en las obras de transmisión;  desabastecimiento de energia eléctrica. 
Afectación de la imagen institucional.</t>
  </si>
  <si>
    <t>Imprecisión en la emisión de los conceptos de conexión.</t>
  </si>
  <si>
    <t>Puede suceder que debido a información errónea se presente el modelaje o estrucutra incorrecta de un proyecto o puede suceder que no se revise de forma adecuada un proyecto para emitir el permiso de conexión.</t>
  </si>
  <si>
    <t>• Información errónea.
• Documentación mal presentada por parte del interesado.
• No solicitud de aclaración de la información presentada por el interesado.
• Demora en la emisión del concepto.</t>
  </si>
  <si>
    <t>• Aumento del nùmero de Peticiones, Quejas, Reclamos y Solcitudes.
• Emitir conceptos favorables a proyectos que no cumplen con el total de los requisitos.
• Dificultades en la operación del Sistema Eléctrico Colombiano.</t>
  </si>
  <si>
    <t>Imprecisión y baja calidad en la Planeación de la Expansión de la Cobertura del Servicio de Energía Eléctrica y del Índice de Cobertura.</t>
  </si>
  <si>
    <t>Puede suceder que debido a una recolección, tratamiento o análisis inadecuado de datos e información de variables requeridas para la planeación y calculo de la cobertura del servicio de energía eléctrica se emitan e indiquen impresiciones sobre la cobertura del servicio de energía eléctrica del país.</t>
  </si>
  <si>
    <t>• No contar con herramienta disponible para el reporte de información de viviendas y usuarios con servicio de energía.
• No actualización de la información base para el cálculo de la cobertura del servicio de energía eléctrica.
• No reporte por parte de los entes territoriales y operadores de red de la información de viviendas y usuarios con servicio de energía electrica, información requerida para el calculo del índice de cobertura.</t>
  </si>
  <si>
    <t>• Inadecuado impacto de las políticas públicas y medidas establecidas para ampliar la cobertura del servicio de energía electrica del país.</t>
  </si>
  <si>
    <t xml:space="preserve">Manipulación de informacion del proceso con favorecimiento propio o a particulares </t>
  </si>
  <si>
    <t>Puede suceder que se manipule de manera inadecuada la información generada en el proceso o que sea utilizada la existente para favorecer o beneficiar los intereses propios o de particulares.</t>
  </si>
  <si>
    <t>• Dificultad en la definiciòn de retos de la UPME en una estructura de proyecto, con planificación, seguimiento y control.
• Interèses personales o de agentes externos que buscan un beneficio en la informaciòn administrada por el proceso.
• Bajo conocimieno en las caracteristicas de la inforamciòn para su adecuado  tratamiento, almacenamiento, clasificaciòn, consulta y uso.</t>
  </si>
  <si>
    <t>• Uso indebido de los recursos públicos.  
• Investigaciones y sanciones por parte de entes de control.
• Deterioro de la imagen institucional.</t>
  </si>
  <si>
    <t>Presion indebida para la emision de conceptos de conexión.</t>
  </si>
  <si>
    <t>Puede suceder que exista presión indebida por tercero para que sean emitidos conceptos tècnicos con el propósito de obtener beneficios particulares.</t>
  </si>
  <si>
    <t>• Interés de agentes del sector eléctrico en la emisión de un concepto de conexión favorable.
• Inadecuados procesos de control en la emisión de los conceptos de conexión.
• Inadecuados mecanismos de ordenación y transparencia en el proceso de evaluación.</t>
  </si>
  <si>
    <t>• Emisiòn de conceptos de conexiòn sin el cumplimiento de requisitos
• Sanciones e investigaciones disciplinarias, fiscales y penales.
• Aumento del nùmero de Peticiones, Quejas, Reclamos y Solcitudes.</t>
  </si>
  <si>
    <t>Emisión errónea de conceptos a los Planes de Expansión de Cobertura de Operador de Red -PECOR</t>
  </si>
  <si>
    <t>Puede suceder que se emitan conceptos inadecuados o no acertados sobre la información presentada en los PECOR.</t>
  </si>
  <si>
    <t>• Información incompleta o inadecuada entregada en el PECOR por los operadores de red.
• Inadecuada comparación técnica de las alternativas mediante las cuales se ejecuta la evaluación.</t>
  </si>
  <si>
    <t>• Conceptos PECOR sin el cumplimiento de los requisitos definidos por la regulaciòn y la UPME.
• Impacto en la remuneración del operador de red.
• Sanciones e investigaciones disciplinarias, fiscales y penales.
• Quejas y reclamos</t>
  </si>
  <si>
    <t>Solicitar informacion de demanda. (Acuerdo de nivel de servicio para la entrega del información)</t>
  </si>
  <si>
    <t>Realiza solicitud a la subdirección de demanda acerca de la información de las proyecciones de demanda de energía eléctrica, documento en excel con los datos, el cual es solicitado por el subdirector de energía eléctrica a la subdirección de demanda en el primer trimestre del año. Esta informacion es utilizada para la elaboración del Plan de Expansión de Generación -Transmisión.</t>
  </si>
  <si>
    <t>Solicitar información a los operadores de red.</t>
  </si>
  <si>
    <t>Se tiene determinado en regulación la entrega de información por parte de los operadores de red al 15 de Junio de cada vigencia. En los casos en que no es reportada se solicita al operador la entrega de la inforamcipon sobre el credimiento de la demanda de energía electrica.</t>
  </si>
  <si>
    <t>Revisar regulación relacionada con la operación del sistema.</t>
  </si>
  <si>
    <t xml:space="preserve">Revisar los requisitos y criterios operativos definidos en la regulación, los cuales influyen en el proceso de elaboración del Plan de Expansión de Transmisión. </t>
  </si>
  <si>
    <t>Construir tabla de revisión regulatoria para los criterios de operación.</t>
  </si>
  <si>
    <t>Grupo de Transmisión</t>
  </si>
  <si>
    <t>Tabla de criterios regulatorios.</t>
  </si>
  <si>
    <t>Contar con herramientas informáticas para elaboración del Plan.</t>
  </si>
  <si>
    <t>Disponer de las herramientas como Digsilent y Power Factory para efectuar modelamiento que permite realizar los calculos para la elaboración del Plan de Expansión de Transmisión.</t>
  </si>
  <si>
    <t>Extraer información de generación de energía eléctrica de Xm.</t>
  </si>
  <si>
    <t>Extraer información de base de datos de Xm y adecuarla a las necesidades de las actividades de planeamiento.</t>
  </si>
  <si>
    <t xml:space="preserve">Definir roles y tiempos para la extracción de la información de generación. (Acuerdo de Nivel de Servicio). </t>
  </si>
  <si>
    <t>Debido a los lineamientos de seguridad de la información y el formato de la información *ftp*, se han establecido roles para la descarga y transferencia de la información mediante la cual garantizar el acceso a esta información. Al inicio de la elaboración de productos del grupo de generación y de acuerdo a la demanda de estos, la coordinación solicitará al Jefe de la Oficina de Gestión de Ia Información lo requerido de las bases de datos, la cual deberá ser entregada máximo a los dos dias siguientes la solicitud.</t>
  </si>
  <si>
    <t>Determinar acuedo de servicio con la Oficina de Gestión de la Información</t>
  </si>
  <si>
    <t>Subdirector de Energía</t>
  </si>
  <si>
    <t>Acuerdo de Gestión</t>
  </si>
  <si>
    <t>Revisar la información de la calidad y homogeneidad de los datos</t>
  </si>
  <si>
    <t>Se realiza revisión y verificación de las bases de datos para vericar se aplique criterios unificados respecto a las unidades de las variables.</t>
  </si>
  <si>
    <t>Disponer de las herramientas como SDDP, OPTGEN, PLEXOS para efectuar modelamiento que permite realizar los calculos para la elaboración del Plan de Expansión de Generación.</t>
  </si>
  <si>
    <t>Solicitar la información de cobertura e infraestructura georeferenciada a los operadores de red</t>
  </si>
  <si>
    <t>Solicitad de información a los operadores de red  (redes, viviendas sin servicio, subestaciones) con el propósito de contar con información completa para la elaboración del plan.</t>
  </si>
  <si>
    <t>Realizar solicitudes de  y mesas técnicas para consolidar información de la cobertura.</t>
  </si>
  <si>
    <t>Mesas técnicas con entidades (MME, IPSE, SSPD y DANE) para obtener información requerida para el planeamiento de la cobertura de energía eléctrica.</t>
  </si>
  <si>
    <r>
      <t xml:space="preserve">Solicitar a la Oficina de Gestión de Fondos Información para el planeamiento de la cobertura. </t>
    </r>
    <r>
      <rPr>
        <b/>
        <sz val="11"/>
        <rFont val="Arial"/>
        <family val="2"/>
      </rPr>
      <t>(Acuerdo de Niveles de Servicio).</t>
    </r>
  </si>
  <si>
    <t>Solicitar la Información de los PERS y la información resultante de los proyectos evaluados en la Oficina de Gestión de Proyectos de Fondos. Esta información es ingresada por la OGPF en la herramienta SITIOS y en SIPERS de manera permanente la cual se tiene acceso en la Subdirección de Energía.</t>
  </si>
  <si>
    <t>Contar con herramientas informáticas para elaboración del Plan de Cobertura.</t>
  </si>
  <si>
    <t>Disponer de las herramientas como Arcgis, Matlab y Hommer para efectuar modelamiento que permite realizar los calculos para la elaboración del Plan Indicativo de Expansión de la Cobertura</t>
  </si>
  <si>
    <t>Solicitar cuando se requiera la contratación de personal de apoyo.</t>
  </si>
  <si>
    <t>Solicitar cuando se requiera la contratación de personal de apoyo para gestionar actividades especificas en la elaboración de planes o para liberar cargas de trabajo de funcionarios de la Subdirección que se deban dedicar a la formulación de planes esto en consideración a la falta de capacidades.</t>
  </si>
  <si>
    <t>Controles de revisión y verificación en la emisión de conceptos.</t>
  </si>
  <si>
    <t>Aplicar niverles de revisión y verificación por parte del Coordinador del grupo de transmisión y el el Subdirector de Energía Eléctrica, al trabajo ejecutado por los profesionales del grupo de trabajo de transmisión.</t>
  </si>
  <si>
    <t>Solicitar al operador de red revisar la informaciòn entregada en la solicitud.</t>
  </si>
  <si>
    <t>Realizar solicitudes para que el operador de red  revise y aclarare la información entregada en la solicitud de permiso de conexión.</t>
  </si>
  <si>
    <t>Solicitar información de cobertura e infraestructura georeferenciada a los operadores de red</t>
  </si>
  <si>
    <t>Solicitar de información a los operadores de red  (redes, viviendas sin servicio, subestaciones) con el propósito de contar con información completa para la elaboración del plan.</t>
  </si>
  <si>
    <t>Realizar solicitudes y mesas técnicas para consolidar información de la cobertura.</t>
  </si>
  <si>
    <t>Aplicar el control de Gestión con responsables en la Elaboración, Revisión y Aprobación de documentos.</t>
  </si>
  <si>
    <t>En las actividades de la Subdirección de Energía esta determinado que los Profesionales elaboran documentos y conceptos técnicos, los cuales son verificados por los coordinadores de los grupos de trabajo y finalmente avalados por el Subdirector de Energía. Este control busca garantizar que la información verificada y revisada por varios actores para evitar el favorecimiento propio o a particulares.</t>
  </si>
  <si>
    <t>Efectuar comparación de información</t>
  </si>
  <si>
    <t>En este control se realiza la comparación del estudio de conexión contra el modelamiento, lo cual permite identificar si hay modificación o alteración de información. Es aplicado por los profesionales y revisado por el coordinador del grupo de transmisión de energía eléctrica esto es registrado en los documentos de evaluación de la solicitudde permiso de conexión.</t>
  </si>
  <si>
    <t>Solicitar soporte técnico para la administración de datos e información a la OGI Oficina de Gestión de la información</t>
  </si>
  <si>
    <t>Este control se aplica cada vez que se requiere a través de correo electrónico o los medios dispuestos por la Oficina de Gestión de la Información, en los que se les solicita apoyo para el manejo y administración de datos e información, tiene como propósito se apliquen las políticas de información de la entidad apoyandose en el conocimiento de esta otra dependencia para resolver inquietudes. Estas solicitudes son realizada por los Coordinadores de la Subdirección de Energía o por el Subdirector de Energía</t>
  </si>
  <si>
    <t>Aplicar controles de acceso a la información del proceso.</t>
  </si>
  <si>
    <t>Existe controles especificos para la manipulación y consulta de información en el grupo de  generación de energái electrica,  se tiene un control para el acceso de las mediciones de viento para temas de energía eólica en la cual la descarga es administrada por un sola persona con acceso. Evitando de esta forma se altere o manipule de manera inadecuada la información.</t>
  </si>
  <si>
    <t>Almacenar información en repositorio institucional</t>
  </si>
  <si>
    <t>Este control es aplicado como regla en la cual se almacena información del proceso en el repositorio institucional para velar por la protección preservación y  conservación de la información del proceso. En los casos de alteración o manipulación de información esta podrá ser recuperada a través de los mecanismos de protección.</t>
  </si>
  <si>
    <t>Solicitar acompañamiento a la Secretaría General y a la Oficina de Gestión de la Información para el entendimiento y adecuada aplicación de los conceptos de revisión de información publica, clasificada y reservada, datos abiertos, datos personales, acuerdos de confidencialidad e imparcialidad.</t>
  </si>
  <si>
    <t>Correo electrónico o Memorando de solcitud.</t>
  </si>
  <si>
    <t>Aplicar acuerdos de confidencialidad e integridad de la información.</t>
  </si>
  <si>
    <t>De acuerdo con las Políticas Institucionales de Información la Subdirección de Energía  velará por que sean suscritos de los acuerdos de confidencialidad en los casos en los que sea requerido, es control tiene como propósito velar por el adecuado uso de la información administrada por la UPME</t>
  </si>
  <si>
    <t>Revisar la aplicación de acuerdos de confidencialidad de la información en la Subdirección de Energía</t>
  </si>
  <si>
    <t>Registros de la revisión de los acuerdos de confidencialidad en las actividades ejecutadas en la Subdirección de Energía Eléctrica.</t>
  </si>
  <si>
    <t>Evaluar en orden de recepción las solicitudes de permiso de conexión.</t>
  </si>
  <si>
    <t xml:space="preserve">Este control implica que las solicitudes de permiso de conexiòn son evaluadas en orden de ingreso a la entiedad, teniendose como herramienta para asegurar esto un control de radiados de Orfeo. Con esto se evita </t>
  </si>
  <si>
    <t xml:space="preserve">Establecer un mecanismo  para la recepcion de información  respecto al tema de solicitudes de permisos de conexión
(Micrositio conceptos de conexión). </t>
  </si>
  <si>
    <t>Micrositio conceptos de conexión</t>
  </si>
  <si>
    <t>Utilizar los canales de atención formales.</t>
  </si>
  <si>
    <t>Este control se ha definido con el propósito de los evaluadores de conceptos de conexión y otros profesionales de la subdirección, indiquen a los usuarios los mecanismos de atención formales mediante los cuales se deben realizar la comunicación con la entidad. Esto se ejecuta con el propósito de que no se atiendan inquietudes, solicitudes y evitar las presiones indebidas de los operadores a los evaluadores.</t>
  </si>
  <si>
    <t>Aplicar mecanismo de atención a los solicitantes de permisos  de conexión.</t>
  </si>
  <si>
    <t xml:space="preserve">Este control busca que el evaluador de conceptos de conexión no tenga interación directa con los solicitantes, en este caso la atención es efectuada siempre que el promotor realice solicitud formal, siendo esta atendida únicamente por el Director General o el Subdirector(a) de Energía siempre que sea autorizada. </t>
  </si>
  <si>
    <t>Aplicar control de revisión y verificación en la emisión de conceptos.</t>
  </si>
  <si>
    <t>Aplicar niveles de revisión y verificación por parte del Coordinador del grupo de transmisión y el Subdirector de Energía Eléctrica, al trabajo ejecutado por los profesionales del grupo de trabajo de transmisión.</t>
  </si>
  <si>
    <t>Revisión de la información entregada en el PECOR</t>
  </si>
  <si>
    <t>Este control implica que al inicio del proceso se verifique la completitud y adecuación de la información entregada en el PECOR por el Operador de Red, este mecanismo tiene como propósito sea verificada la información para evitar emitir un concepto erróneo acerca de un PECOR</t>
  </si>
  <si>
    <t>Emitir nota en oficio de evaluación PECOR al Operador de Red.</t>
  </si>
  <si>
    <t>En la emisión de oficio de evaluación se ha incluido un párrafo en el cuerpo de carta para la evaluación del PECOR en los casos en que es rechazada la solicitud, esta permite aclarar al operador de red solicitante las condiciones del proceso ejecutado y las aclaraciones pertinentes, este control busca evitar posibles quejas y reclamos innecesarios y orientar al operador a realizar el proceso de manera adecuada.</t>
  </si>
  <si>
    <t>Comparar informaciòn entregada en los PECOR</t>
  </si>
  <si>
    <t>Efectuar comparaciòn de la informaciòn entregada en el PECOR, con informaciòn de la base de datos para contrastar informaciòn de viviendas, subestaciones, redes e informaciòn referenciada permite identificar errores en la documentaciòn presentada por el PECOR la cual debe ser aclarada por el operador de RED, de esta forma se realiza una adecuada comparaciòn tècnica de las alternativas mediante las cuales se ejecuta la evaluaciòn.</t>
  </si>
  <si>
    <t>PLANEACION ESTRATEGICA E INTEGRAL HIDROCARBUROS</t>
  </si>
  <si>
    <r>
      <t xml:space="preserve">1. Políticos.
</t>
    </r>
    <r>
      <rPr>
        <sz val="10"/>
        <color theme="1"/>
        <rFont val="Calibri"/>
        <family val="2"/>
        <scheme val="minor"/>
      </rPr>
      <t xml:space="preserve">- Inestabilidad Jurídica y cambios en la normatividad que afectan la ejecución normal del proceso.
- Se genera afectación en tiempos y reprocesos proceso por cambios de gobierno.
- Asignación y delegaciones de funciones afectan la capacidad de la organización.
</t>
    </r>
    <r>
      <rPr>
        <b/>
        <sz val="10"/>
        <color theme="1"/>
        <rFont val="Calibri"/>
        <family val="2"/>
        <scheme val="minor"/>
      </rPr>
      <t xml:space="preserve">
2. Económicos y financieros.
</t>
    </r>
    <r>
      <rPr>
        <sz val="10"/>
        <color theme="1"/>
        <rFont val="Calibri"/>
        <family val="2"/>
        <scheme val="minor"/>
      </rPr>
      <t xml:space="preserve">- Variación en variables macroeconomicas que generan cambios o análisis de la planeación (tasa de cambio, inflación)
- Actualización de Información de los mercados de hidrocarburos.
- Recortes presupuestales por efectos macroeconómicos.
</t>
    </r>
    <r>
      <rPr>
        <b/>
        <sz val="10"/>
        <color theme="1"/>
        <rFont val="Calibri"/>
        <family val="2"/>
        <scheme val="minor"/>
      </rPr>
      <t xml:space="preserve">
3. Sociales y culturales.
</t>
    </r>
    <r>
      <rPr>
        <sz val="10"/>
        <color theme="1"/>
        <rFont val="Calibri"/>
        <family val="2"/>
        <scheme val="minor"/>
      </rPr>
      <t xml:space="preserve">- Elementos sociales y culturales que son de importante análisis para la elaboración de la planeación del sector.
- Condiciones del país y de las comunidades en la planeación del sector.
- Conocimiento de la población  frente a la explotación del sector hidrocarburos.
</t>
    </r>
    <r>
      <rPr>
        <b/>
        <sz val="10"/>
        <color theme="1"/>
        <rFont val="Calibri"/>
        <family val="2"/>
        <scheme val="minor"/>
      </rPr>
      <t xml:space="preserve">
4. Tecnológicos.
</t>
    </r>
    <r>
      <rPr>
        <sz val="10"/>
        <color theme="1"/>
        <rFont val="Calibri"/>
        <family val="2"/>
        <scheme val="minor"/>
      </rPr>
      <t xml:space="preserve">- Acceso a la información.
- Identificación de avances tecnológicos del sector hidrocarburos y su incorporación en la planeación estratégica e integral del sector.
</t>
    </r>
    <r>
      <rPr>
        <b/>
        <sz val="10"/>
        <color theme="1"/>
        <rFont val="Calibri"/>
        <family val="2"/>
        <scheme val="minor"/>
      </rPr>
      <t xml:space="preserve">
5. Ambientales.
</t>
    </r>
    <r>
      <rPr>
        <sz val="10"/>
        <color theme="1"/>
        <rFont val="Calibri"/>
        <family val="2"/>
        <scheme val="minor"/>
      </rPr>
      <t xml:space="preserve">- Cambios en las políticas ambientales y de desarrollo sostenible del país.
- Cambios en la legislación ambiental en el desarrollo de proyectos del sector hidrocarburos.
</t>
    </r>
    <r>
      <rPr>
        <b/>
        <sz val="10"/>
        <color theme="1"/>
        <rFont val="Calibri"/>
        <family val="2"/>
        <scheme val="minor"/>
      </rPr>
      <t xml:space="preserve">
6. Legales y reglamentarios.
</t>
    </r>
    <r>
      <rPr>
        <sz val="10"/>
        <color theme="1"/>
        <rFont val="Calibri"/>
        <family val="2"/>
        <scheme val="minor"/>
      </rPr>
      <t>- Cambios normativos y legales la ejecución del proceso.</t>
    </r>
  </si>
  <si>
    <r>
      <rPr>
        <b/>
        <sz val="10"/>
        <color theme="1"/>
        <rFont val="Calibri"/>
        <family val="2"/>
        <scheme val="minor"/>
      </rPr>
      <t>1. Estratégicos</t>
    </r>
    <r>
      <rPr>
        <sz val="10"/>
        <color theme="1"/>
        <rFont val="Calibri"/>
        <family val="2"/>
        <scheme val="minor"/>
      </rPr>
      <t xml:space="preserve">.
- Entendimiento de las estrategias y de la visión conjunta del sector minero energético.
- Cambio de direccionamiento estratégico que no da continuidad al proceso.
- Procesos de transformación del sector minero energético (Misión de transformación energética).
- </t>
    </r>
    <r>
      <rPr>
        <sz val="10"/>
        <color rgb="FFFF0000"/>
        <rFont val="Calibri"/>
        <family val="2"/>
        <scheme val="minor"/>
      </rPr>
      <t>Co-construcción</t>
    </r>
    <r>
      <rPr>
        <sz val="10"/>
        <color theme="1"/>
        <rFont val="Calibri"/>
        <family val="2"/>
        <scheme val="minor"/>
      </rPr>
      <t xml:space="preserve"> de lineamientos estratégicos del sector minero energético.
</t>
    </r>
    <r>
      <rPr>
        <b/>
        <sz val="10"/>
        <color theme="1"/>
        <rFont val="Calibri"/>
        <family val="2"/>
        <scheme val="minor"/>
      </rPr>
      <t>2. Estructura organizaciona</t>
    </r>
    <r>
      <rPr>
        <sz val="10"/>
        <color theme="1"/>
        <rFont val="Calibri"/>
        <family val="2"/>
        <scheme val="minor"/>
      </rPr>
      <t xml:space="preserve">l.
- Necesidad de revisar la capacidad de la estructura para atender las funciones asignada y delegadas.
- Disponibilidad de espacios fisicos y virtuales de trabajo colaborativo.
</t>
    </r>
    <r>
      <rPr>
        <b/>
        <sz val="10"/>
        <color theme="1"/>
        <rFont val="Calibri"/>
        <family val="2"/>
        <scheme val="minor"/>
      </rPr>
      <t>3. Financieros</t>
    </r>
    <r>
      <rPr>
        <sz val="10"/>
        <color theme="1"/>
        <rFont val="Calibri"/>
        <family val="2"/>
        <scheme val="minor"/>
      </rPr>
      <t xml:space="preserve">.
- Priorización de las necesidades a través recursos de inversión.
- Incertidumbre del costo de las iniciativas requeridas para el desarrollo del proceso.
</t>
    </r>
    <r>
      <rPr>
        <b/>
        <sz val="10"/>
        <color theme="1"/>
        <rFont val="Calibri"/>
        <family val="2"/>
        <scheme val="minor"/>
      </rPr>
      <t>4. Personal</t>
    </r>
    <r>
      <rPr>
        <sz val="10"/>
        <color theme="1"/>
        <rFont val="Calibri"/>
        <family val="2"/>
        <scheme val="minor"/>
      </rPr>
      <t xml:space="preserve">.
- Competencias técnica y experiencia del personal.
- Trabajo en equipo.
- Distribución de cargas de trabajo.
- Seguimieto al cumplimiento de los compromisos laborales.
</t>
    </r>
    <r>
      <rPr>
        <b/>
        <sz val="10"/>
        <color theme="1"/>
        <rFont val="Calibri"/>
        <family val="2"/>
        <scheme val="minor"/>
      </rPr>
      <t>5. Tecnología</t>
    </r>
    <r>
      <rPr>
        <sz val="10"/>
        <color theme="1"/>
        <rFont val="Calibri"/>
        <family val="2"/>
        <scheme val="minor"/>
      </rPr>
      <t xml:space="preserve">.
- Incorporación de tecnología en las actividades del proceso.
- Necesidades de automatización y mejora tecnológicas en  trámites, servicios y procesos.
- Obsolecencia y modernización tecnologíca de las herramientas, equipos móviles, estaciones de trabajo e instrumentos colaborativos.
</t>
    </r>
    <r>
      <rPr>
        <b/>
        <sz val="10"/>
        <color theme="1"/>
        <rFont val="Calibri"/>
        <family val="2"/>
        <scheme val="minor"/>
      </rPr>
      <t>6. Comunicación Interna</t>
    </r>
    <r>
      <rPr>
        <sz val="10"/>
        <color theme="1"/>
        <rFont val="Calibri"/>
        <family val="2"/>
        <scheme val="minor"/>
      </rPr>
      <t xml:space="preserve">.
- Dificultad para generar mensajes con una visión integrada que generan particularidades y diferencias entre las dependencias de acuerdo a su objeto misional.
- Inadecuada comunicación e interacción que puede generar retrasos o conflictos internos.
</t>
    </r>
    <r>
      <rPr>
        <b/>
        <sz val="10"/>
        <color theme="1"/>
        <rFont val="Calibri"/>
        <family val="2"/>
        <scheme val="minor"/>
      </rPr>
      <t>7. Procesos</t>
    </r>
    <r>
      <rPr>
        <sz val="10"/>
        <color theme="1"/>
        <rFont val="Calibri"/>
        <family val="2"/>
        <scheme val="minor"/>
      </rPr>
      <t>.
- Tiempos de gestión en los procesos contractuales, con elementos de incertidumbre que afectan el proceso.</t>
    </r>
  </si>
  <si>
    <r>
      <rPr>
        <b/>
        <sz val="10"/>
        <color theme="1"/>
        <rFont val="Calibri"/>
        <family val="2"/>
        <scheme val="minor"/>
      </rPr>
      <t>1. Diseño del Proceso</t>
    </r>
    <r>
      <rPr>
        <sz val="10"/>
        <color theme="1"/>
        <rFont val="Calibri"/>
        <family val="2"/>
        <scheme val="minor"/>
      </rPr>
      <t xml:space="preserve">.
- Claridad en la descripción del proceso que determine lineamientos.
</t>
    </r>
    <r>
      <rPr>
        <b/>
        <sz val="10"/>
        <color theme="1"/>
        <rFont val="Calibri"/>
        <family val="2"/>
        <scheme val="minor"/>
      </rPr>
      <t>2. Interacciones con con otros procesos</t>
    </r>
    <r>
      <rPr>
        <sz val="10"/>
        <color theme="1"/>
        <rFont val="Calibri"/>
        <family val="2"/>
        <scheme val="minor"/>
      </rPr>
      <t xml:space="preserve">.
- Interrelación con el proceso de Demanda y Prospectiva, PEI Energía y PEI Minería.
- Necesidades de trabajo y comunicación conjuntos en temáticas que afectan de manera transversal el desarrollo de los procesos y unificación de criterios.
- Determinación de acuerdos de servicio para la adecuada interacción del proceso.
</t>
    </r>
    <r>
      <rPr>
        <b/>
        <sz val="10"/>
        <color theme="1"/>
        <rFont val="Calibri"/>
        <family val="2"/>
        <scheme val="minor"/>
      </rPr>
      <t>3. Transversalidad</t>
    </r>
    <r>
      <rPr>
        <sz val="10"/>
        <color theme="1"/>
        <rFont val="Calibri"/>
        <family val="2"/>
        <scheme val="minor"/>
      </rPr>
      <t>.
-</t>
    </r>
    <r>
      <rPr>
        <sz val="10"/>
        <rFont val="Calibri"/>
        <family val="2"/>
        <scheme val="minor"/>
      </rPr>
      <t xml:space="preserve"> Revisar aspectos ambientales, sociales, sector transporte, comunidades y enfoque diferencial (genero, diversidad de genero, afrodescendientes) </t>
    </r>
    <r>
      <rPr>
        <sz val="10"/>
        <color theme="1"/>
        <rFont val="Calibri"/>
        <family val="2"/>
        <scheme val="minor"/>
      </rPr>
      <t xml:space="preserve">en los que los procesos misionales deben trabajar de manera conjunta.
</t>
    </r>
    <r>
      <rPr>
        <b/>
        <sz val="10"/>
        <color theme="1"/>
        <rFont val="Calibri"/>
        <family val="2"/>
        <scheme val="minor"/>
      </rPr>
      <t>4. Procedimientos asociados</t>
    </r>
    <r>
      <rPr>
        <sz val="10"/>
        <color theme="1"/>
        <rFont val="Calibri"/>
        <family val="2"/>
        <scheme val="minor"/>
      </rPr>
      <t xml:space="preserve">.
- Procedimiento de elaboracion de documentos de hidrocarburos
- Procedimiento de elaboración plan de gas.
</t>
    </r>
    <r>
      <rPr>
        <b/>
        <sz val="10"/>
        <color theme="1"/>
        <rFont val="Calibri"/>
        <family val="2"/>
        <scheme val="minor"/>
      </rPr>
      <t>5. Comunicación entre los procesos</t>
    </r>
    <r>
      <rPr>
        <sz val="10"/>
        <color theme="1"/>
        <rFont val="Calibri"/>
        <family val="2"/>
        <scheme val="minor"/>
      </rPr>
      <t xml:space="preserve">.
- Bajo nivel de comunicación.
</t>
    </r>
    <r>
      <rPr>
        <b/>
        <sz val="10"/>
        <color theme="1"/>
        <rFont val="Calibri"/>
        <family val="2"/>
        <scheme val="minor"/>
      </rPr>
      <t>6. Activos de seguridad digital del proceso</t>
    </r>
    <r>
      <rPr>
        <sz val="10"/>
        <color theme="1"/>
        <rFont val="Calibri"/>
        <family val="2"/>
        <scheme val="minor"/>
      </rPr>
      <t xml:space="preserve">.
- SIPG  Sistema de Información de Petroleo y Gas.
- Expedientes virtuales en repositorio institucional y Orfeo.
</t>
    </r>
  </si>
  <si>
    <t>Proponer lineamientos y esquemas de planeaciòn  para asegurar el abastecimiento de hidrocarburos y la confiabilidad del sistema de manera oportuna y conforme a los requisitos establecidos.</t>
  </si>
  <si>
    <t>Inoportunidad en la entrega de los lineamientos.</t>
  </si>
  <si>
    <t>Puede suceder que no entreguen los lineamientos en los tiempos establecidos</t>
  </si>
  <si>
    <t>-Debido a retrasos en la entrega de la información por parte de los proveedores internos o externos.
- Cambios normativos y regulatorios que retrasan la ejecución del proceso.
- Falta de acceso a datos e información especializada.
- Falta de estudios sobre fenómenos del sector de hidrocarburos.</t>
  </si>
  <si>
    <t>- Pérdida de credibilidad;  afectación de la imagen institucional.
Podrìa llevarse el paìs a un desabastecimiento.
-Afectación de la imagen institucional.
-Demoras en el proceso.</t>
  </si>
  <si>
    <t>Lineamientos no conformes y señales erróneas en la planificación del sector hidrocarburos.</t>
  </si>
  <si>
    <t>Puede suceder que se entreguen señales inadecuadas en infraestructura y suministro de los energéticos o para asegurar el abastecimiento y la confiabilidad.</t>
  </si>
  <si>
    <t>-No contar con la información requerida en el proceso.
-Información que no cuenta con los niveles de calidad requeridos.
-Errores en cálculos o análisis.
-Influencia indebida de los agentes del sector hidrocarburos.</t>
  </si>
  <si>
    <t>- Desabastecimiento de hidrocarburos en el país.
- Perdida de confiabilidad y seguridad energética del país.
- Realización inversiones innecesarias y con bajo impacto para el país.</t>
  </si>
  <si>
    <t>Bajo nivel de calidad en la información para proyección de precios.</t>
  </si>
  <si>
    <t>Puede suceder que la proyección de precios no cuente con todos los escenarios  posibles o que no se cuente con información de más alto nivel.</t>
  </si>
  <si>
    <t>-Limitaciones presupuestales y de capacidad de los recursos humanos de la entidad.
-Alta rotación de personal que desempeña la función.
-Personas involucradas que no utilizan las herramientas o no cumplern las funciones asignadas.
- Variables macroreconómicas y geopolíticas que afectan los precios de los hidrocarburos.
- Inadecauda aplicación y desactualización de las metodologías para efectuar la proyección de precios.</t>
  </si>
  <si>
    <t xml:space="preserve">-Señales erronéas para tomar decisones sobre el uso de los recursos energéticos.
- Especulación de precios de hidrocarburos.
- Proyección de precios no ajustada a la realidad del mercado.
- Impacto en la factibilidad de proyectos del sector de hidrocarburos determinados en la planeación. </t>
  </si>
  <si>
    <t>Incumplimiento en la elaboración de conceptos técnicos de hidrocarburos.</t>
  </si>
  <si>
    <t>Puede suceder que se incumpla en la elaboración y publicacion de los conceptos técnicos asociados con: la asignación de cupos de cobustible; proeccion de precios de combustiles; elaboración del listado de grandes consumidores individuales no intermediarios de ACPM; entre otros.</t>
  </si>
  <si>
    <t>-Inadecuado procesamiento de información.
-Inoportunidad en la entrega de información y baja calidad de las fuentes de información.
- Demoras en la elaboración, revisión y/o aprobación de conceptos técnicos de hidrocarburos.
-Desconocimiento de la normatividad vigente aplicable al proceso.</t>
  </si>
  <si>
    <t>-Peticiones, quejas y reclamos por parte de los usuarios y clientes de los conceptos.
-Perjuicio económico a las partes interesadas.
-Demandas contra la entidad.
-Daño a la imagen institucional.</t>
  </si>
  <si>
    <t>Uso indebido de la información con beneficio a nombre propio o de un tercero.</t>
  </si>
  <si>
    <t>Posibilidad de alterar o entregar información para beneficiar los intereses propios o de un tercero afectando las propiedad integridad, disponibilidad y confiabilidad de la información.</t>
  </si>
  <si>
    <t>- Manipulación indebida de la información para beneficios a nombre propio o para terceros.
- Entrega de información confidencial sin autorización del propietario.
- Desconocimiento y no aplicación de los acuerdos de confidencialidad de la información.
- Presiones externas políticas y/o económicas en solicitudes de información.</t>
  </si>
  <si>
    <t>- Beneficio indebido por el uso inadecuado e inapropiado de la información.
- Demandas y acciones jurídicas                                                                                                                                                                                                                                      - Sanciones de organismos de vigilancia y control.                                                                                                                          - Detrimento de la imagen institucional.                                                                     - Investigaciones y sanciones disciplinarias, penales y fiscales.</t>
  </si>
  <si>
    <t>Realizar solicitudes a las fuentes de información para obtener la información de manera oportuna.</t>
  </si>
  <si>
    <t>Este control tiene como propósito reducir los retrasos en la entrega de información por parte de proveedores internos y externos. Es aplicado de acuerdo con las necesidades de información, es elaborado por los Profesionales de la dependencia y verificado por el Subdirector(a) de Hidrocarburos. El registro de esta actividad son los oficios, memorandos o correos electrónicos de solicitud de información.</t>
  </si>
  <si>
    <t>Revisar marco normativo para la elaboración de planes.</t>
  </si>
  <si>
    <t>Este control tiene el propósito de verificar que los planes elaborados en la Subdirección de Hidrocarburos consideren la los cambios normativos y regulatorios que puedan llegar a retrasar la elaboración de planes y documentos técnicos. La revisión del marco normativo es realizada por los profesionales del área, verificada por el Subdirector(a) de Hidrocarburos y tiene el acompañamiento del área jurídica de la entidad. El registro que demuestra la aplicación de este control es o un Capitulo Normativo y los registros de elaboración, revisión y aprobación.</t>
  </si>
  <si>
    <t>Adquirir información de proveedores especializados del sector de hidrocarburos.</t>
  </si>
  <si>
    <t>Este control tiene el propósito de reducir la brecha de información y de suplir las necesidades de este insumo para la planeación del Sector de Hidrocarburos. La Subdirección planifica la adquisición de fuentes especializadas de información a través de suscripciones o compra de bases de datos, en este proceso participan los Profesionales de la Subdirección y se realiza seguimiento a las adquisiciones por parte del responsable de esta dependencia.</t>
  </si>
  <si>
    <t>Identificar necesidades de estudios del sector hidrocarburos.</t>
  </si>
  <si>
    <t>Este control es aplicado cuando se cuanta con una necesidad de información especializada para la elaboración de documentos técnicos o planes del sector hidrocarburos, puede ser desarrollado por los profesionales de la Subdirección de Hidrocarburos o en algunos casos Contratado, en todos los casos se verifica su alineación y articulación con los objetivos de la Subdirección de Hidrocarburos, de la UPME y del sector. Los estudios son revisados y verificados por los Profesionales como pares y del Subdirector(a) de Hidrocarburos.</t>
  </si>
  <si>
    <t>Seguimiento a las actividades del Plan de Acción Subdirección de Hidrocarburos.</t>
  </si>
  <si>
    <t>Este control busca realizar seguimiento al cumplimiento del plan de actividades definidas para cada vigencia, se realiza de manera trimestral y permite tomar medidas frente a los retrasos o desviaciones identificadas.</t>
  </si>
  <si>
    <t>Consultar fuentes de información oficial. (Suscripciones, SICOM, DANE,  entre otros).</t>
  </si>
  <si>
    <t>Este control busca garantizar que la información consultada y utilizada sea información oficial y confiable, así se mitiga la posiblidad de determinar lineamientos no conformes y señales erroneas en los en los planes del sector hidrodrocarburos. Para esto la entidad realiza procesos de adquisición de suscripcións y solicitudes de información a entes y organizaciones para la obtención de información o la consulta en los sitios oficiales de la información.</t>
  </si>
  <si>
    <t>Identificar las necesidades de capacitación, formación y actualización en herramientas para el análisis de información, elaboración de planes y documentos técnicos.</t>
  </si>
  <si>
    <t>Subdirector de Hidrocarburos.</t>
  </si>
  <si>
    <t xml:space="preserve">Correo electrónico de la solicitud a Talento Humano, entregando las necesidades de </t>
  </si>
  <si>
    <t>Revisar los mecanismos para acceder a la información (Proveedoes de información, repositorios y otros mecanismos).</t>
  </si>
  <si>
    <t>Evidencias de la identificación de necesidades de información.</t>
  </si>
  <si>
    <t>Validar trabajos y actividades ejecutadas a través de reunión interna o Comité Primario de la  Subdirección de Hidrocarburos,</t>
  </si>
  <si>
    <t>Realizar reuniones internas de trabajo con el propósito de realizar ejercicios de seguimiento y revisión en los avances del trabajado planificado por el equipo de la Subdirección de Hidrocarburos, este control tiene como propósito eliminar érrores en cálculos o análisis.</t>
  </si>
  <si>
    <t>Aplicar mecanismos para facilitar la comunicación y divulgación de los lineamienos de planeación en subsector hidrocarburos.</t>
  </si>
  <si>
    <t>Lineamientos de Planeación del Subsector Hidrocarburos.</t>
  </si>
  <si>
    <t>Determinar criterios e instrumentos para la elaboración de planes.</t>
  </si>
  <si>
    <t>Para la elaboración de los Planes, la Subdirección de Hidrocarburos determina y define criterios e instrumentos metodológicos, este control tiene como propósito que el trabajo sea realizado con rigurosidad con el fin de eliminar errores en cálculos o análisis.</t>
  </si>
  <si>
    <t>Publicar para recepcionar comentarios y observaciones de las partes interesadas para validar la conformidad de los producto.</t>
  </si>
  <si>
    <t>Este es un mecanismo de control que busca la participación de la ciudadanía y de las partes interesadas en la construcción de la planeación del sector hidrocarburos, tiene como propósito considerar aspectos y puntos de vista que permitan revisar los lineamientos y señales de la planificación elaborada por la UPME. Se realiza con la revisión de los documentos y la autorización del Director General de publicar los documentos preliminares de la planeación en la página web de la entidad.</t>
  </si>
  <si>
    <t>Aplicar niveles de autorización en la verificación de las proyecciones de precios.</t>
  </si>
  <si>
    <t>Se aplica un control de gestión donde un Profesional elaborá y autocontrola el trabajo realizado en la proyección de precios, luego es revisado y aprobado el documento por el Subdirector(a) de Hidrocarburos..</t>
  </si>
  <si>
    <t>Identificar las necesidades de capacitación, formación y actualización en herramientas para análisis de información, elaboración de planes y documentos técnicos.</t>
  </si>
  <si>
    <t>Acceder y consultar a fuentes de información especializadas en precios de hidrocaruros.</t>
  </si>
  <si>
    <t>Este control es aplicado cuando la entidad tiene acceso a suscripciones y a fuentes de información especializada que permiten la consulta de información especializada necesaria y requerida para la proyección de precios de hidrocarburos. Para esto</t>
  </si>
  <si>
    <t>Revisar y socializar entre pares la proyección de precios</t>
  </si>
  <si>
    <t>Presentaciones 
Registros de soclialización</t>
  </si>
  <si>
    <t>Realizar solicitudes de información para la proyección de precios a agentes del sector.</t>
  </si>
  <si>
    <t>Este control se aplica con el propósito de obtener información de calidad y de fuentes confiables que permitan elaborar con calidad la proyección de precios. Las solicitudes son elaboradas por el profesional asignada y revisadas por el Subdirector(a) de Hidrocarburos.</t>
  </si>
  <si>
    <t>Revisar la aplicación de metodologías para la proyección y cálculo de precios.</t>
  </si>
  <si>
    <t>Este control se aplica con el propósito de verificar la conveniencia y adecuación de la metodologías y cálculos aplicados para obtener la proyección de precios, busca garantizar la calidad en el procesamiento de información y la obtención de resultados.  Para esto el profesional de la subdirección de hidrocarburos sigue los métodos establecidos y verifica la variación y desviación de datos con el propósito de emitir proyecciones de precios. Registro de ello se presenta las fuentes de datos consultadas, las comparaciones realizadas, los mecanismos de cálculo y proyecciones efectuados.</t>
  </si>
  <si>
    <t>Revisar marco normativo en el marco de la proyección de precios de hidrocarburos..</t>
  </si>
  <si>
    <t>Este control tiene el propósito de verificar que las proyecciones de precios elaboradas en la Subdirección de Hidrocarburos consideren los cambios normativos y regulatorios que puedan llegar a retrasar la elaboración de planes y documentos técnicos. La revisión del marco normativo es realizada por los profesionales del área, verificada por el Subdirector(a) de Hidrocarburos y tiene el acompañamiento del área jurídica de la entidad. El registro que demuestra la aplicación de este control son los apartes normativos presentados en los documentos de proyecciones de precios.</t>
  </si>
  <si>
    <t xml:space="preserve">Realizar solicitud de información a agentes del sector de hidrocarburos y a proveedores de información para la emisión de conceptos técnicos. </t>
  </si>
  <si>
    <t>Este control se desarrolla con el propósito de obtener información por parte de agentes del sector de hidrocarburos y de proveedores de información para cumplir con la elaboración de los conceptos técnicos emitidos por la Subdirección de Hidrocarburos en cumplimiento de requisitos legales. Las solicitudes de información son elaboradas por los profesionales de la Subdirección en periodos determinados y son revisadas por el Subdirector(a) de Hidrocarburos.</t>
  </si>
  <si>
    <t>Revisar el normograma del proceso de la Subdirección de Hidrocarburos.</t>
  </si>
  <si>
    <t>Normograma del proceso revisado y actualizado.</t>
  </si>
  <si>
    <t>Este control se aplica con el propósito garantizar el adecuado procesamiento de la información, para esto el profesional que elabora un concepto técnico solicita revisión a un par quien lo revisa, para luego ser remitido al Subdirector(a) de Hidrocarburos para su Vo.Bo. de esta manera se detectan desviaciones preliminarmente a la emisión del concepto.</t>
  </si>
  <si>
    <t>Publicar a consulta los ajustes normativos internos (Resoluciones UPME).</t>
  </si>
  <si>
    <t>De acuerdo con la normativa son publicados a consulta de las partes interesadas las propuestas de actos administrativos generales y abstractos o de reglamentos, elaborados en el marco de la competencia de la UPME, con el propósito de garantizar el derecho a la competencia y proteger un interés general. Este control permite a la UPME garantizar el acceso a la información y realizar ajustes de acuerdo a los comentarios y observaciones que sean emitidas por los usuarios de los conceptos técnicos.</t>
  </si>
  <si>
    <t>Realizar seguimiento a los datos de operación del trámites de asignación de cupos.</t>
  </si>
  <si>
    <t>Este control permite el seguimiento al número de solicitudes de los trámites registrado en la plataforma SUIT, permite llevar un control sobre el número de las solicitudes atendidas y sobre los derechos de petición que se hayan interpuesto en un periodo por los usuarios, permitiendo tomar acciones para prevenir las causas del riesgo. Estos datos son reportados por Profesional de la Subdirección y revisados por la Subdirección de Hidrocarburos y reportados al Grupo de Trabajo de Planeación.</t>
  </si>
  <si>
    <t>Aplicar los acuerdos de confidencialidad de la información.</t>
  </si>
  <si>
    <t>De acuerdo con las Políticas Institucionales de Información la Subdirección de Hidrocarburos velará por que sean suscritos de los acuerdos de confidencialidad en los casos en los que sea requerido, es control tiene como propósito velar por el adecuado uso de la información administrada por la UPME.</t>
  </si>
  <si>
    <t>Definir acuerdos de nivel de servicio para la entrega de información.</t>
  </si>
  <si>
    <t>Acuerdos de nivel de servicio del proceso.</t>
  </si>
  <si>
    <t>Presentar la manifestación de conflictos de interés.</t>
  </si>
  <si>
    <t xml:space="preserve">Este control permite se identifique y manifiesten por parte de los servidores públicos los posibles conflictos de interés, para ello en la herramienta SIGEP cada funcionario registra el manifiesto de sus posibles conflictos de interés, este control tiene como propósito que se conozcan las situaciones en las que los intereses personales pueden influir en el cumplimiento de sus funciones y responsabilidades, en beneficio particular, afectando el interés público, por eso la manifestación de conflictos de interés permite puedan ser advertidos y gestionados en forma preventiva, evitando que favorezcan interés ajenos al bien común. </t>
  </si>
  <si>
    <t>Promover al interior de la Subdirección de Hidrocarburos la realización del curso de ética e integridad de la DAFP.</t>
  </si>
  <si>
    <t>Este control se desarrolla cuando se han elaborado documentos técnicos de proyecciones de precios o cuando se dan respuestas a solicitudes de información, consiste en la verificación de la información a ser emitida por parte de un Profesional par o el Subdirector(a) de Hidrocarburos.</t>
  </si>
  <si>
    <t>8. ¿Dar lugar al detrimento de calidad de vida de la comunidad por la pérdida del bien, servicios o recursos públicos?</t>
  </si>
  <si>
    <t>Incompleta</t>
  </si>
  <si>
    <t>Detectar</t>
  </si>
  <si>
    <r>
      <t xml:space="preserve">1. Políticos.
</t>
    </r>
    <r>
      <rPr>
        <sz val="10"/>
        <color theme="1"/>
        <rFont val="Calibri"/>
        <family val="2"/>
      </rPr>
      <t xml:space="preserve">-Modificación del modelo de desarrollo económico del país
-Política minera de estado.
</t>
    </r>
    <r>
      <rPr>
        <b/>
        <sz val="10"/>
        <color theme="1"/>
        <rFont val="Calibri"/>
        <family val="2"/>
      </rPr>
      <t xml:space="preserve">
2. Económicos y financieros.
</t>
    </r>
    <r>
      <rPr>
        <sz val="10"/>
        <color theme="1"/>
        <rFont val="Calibri"/>
        <family val="2"/>
      </rPr>
      <t xml:space="preserve">- Caída en los precios internacionales de minerales
- Políticas arancelarias de países compradores
- Crecimiento de la demanda 
</t>
    </r>
    <r>
      <rPr>
        <b/>
        <sz val="10"/>
        <color theme="1"/>
        <rFont val="Calibri"/>
        <family val="2"/>
      </rPr>
      <t xml:space="preserve">
3. Sociales y culturales.
</t>
    </r>
    <r>
      <rPr>
        <sz val="10"/>
        <color theme="1"/>
        <rFont val="Calibri"/>
        <family val="2"/>
      </rPr>
      <t xml:space="preserve">- Conflictos sociales y territoriales
- Incremento de la explotación ilicita de minerales
- Mejorar relacionamiento con los territorios (confianza legítima)
</t>
    </r>
    <r>
      <rPr>
        <b/>
        <sz val="10"/>
        <color theme="1"/>
        <rFont val="Calibri"/>
        <family val="2"/>
      </rPr>
      <t xml:space="preserve">
4. Tecnológicos.
</t>
    </r>
    <r>
      <rPr>
        <sz val="10"/>
        <color theme="1"/>
        <rFont val="Calibri"/>
        <family val="2"/>
      </rPr>
      <t xml:space="preserve">- Innovación tecnológica en la transición energética
- Innovación tecnológica en la transición energética
 Integración de los sistemas de información
</t>
    </r>
    <r>
      <rPr>
        <b/>
        <sz val="10"/>
        <color theme="1"/>
        <rFont val="Calibri"/>
        <family val="2"/>
      </rPr>
      <t xml:space="preserve">
5. Ambientales.
</t>
    </r>
    <r>
      <rPr>
        <sz val="10"/>
        <color theme="1"/>
        <rFont val="Calibri"/>
        <family val="2"/>
      </rPr>
      <t xml:space="preserve">- Compromisos frente al cambio climático y Objetivos de Desarrollo Sostenible ODS.
- Capacidad de adaptación y respuesta a compromisos ambientales
</t>
    </r>
    <r>
      <rPr>
        <b/>
        <sz val="10"/>
        <color theme="1"/>
        <rFont val="Calibri"/>
        <family val="2"/>
      </rPr>
      <t xml:space="preserve">
6. Legales y reglamentarios.
</t>
    </r>
    <r>
      <rPr>
        <sz val="10"/>
        <color theme="1"/>
        <rFont val="Calibri"/>
        <family val="2"/>
      </rPr>
      <t>-Inseguridad jurídica
- Revisión código de minas y normatividad asociada (ambiental, tributaria , social, etc)</t>
    </r>
    <r>
      <rPr>
        <b/>
        <sz val="10"/>
        <color theme="1"/>
        <rFont val="Calibri"/>
        <family val="2"/>
      </rPr>
      <t xml:space="preserve">
</t>
    </r>
  </si>
  <si>
    <r>
      <rPr>
        <b/>
        <sz val="10"/>
        <color theme="1"/>
        <rFont val="Calibri"/>
        <family val="2"/>
      </rPr>
      <t>1. Estratégicos</t>
    </r>
    <r>
      <rPr>
        <sz val="10"/>
        <color theme="1"/>
        <rFont val="Calibri"/>
        <family val="2"/>
      </rPr>
      <t xml:space="preserve">.
-Existencia de lineamientos estratégicos.
-Falta de apropiación de lineamientos estratégicos a todos los niveles.
</t>
    </r>
    <r>
      <rPr>
        <b/>
        <sz val="10"/>
        <color theme="1"/>
        <rFont val="Calibri"/>
        <family val="2"/>
      </rPr>
      <t>2. Estructura organizaciona</t>
    </r>
    <r>
      <rPr>
        <sz val="10"/>
        <color theme="1"/>
        <rFont val="Calibri"/>
        <family val="2"/>
      </rPr>
      <t xml:space="preserve">l.
- Cambios en la estructura organizacional.
</t>
    </r>
    <r>
      <rPr>
        <b/>
        <sz val="10"/>
        <color theme="1"/>
        <rFont val="Calibri"/>
        <family val="2"/>
      </rPr>
      <t>3. Financieros</t>
    </r>
    <r>
      <rPr>
        <sz val="10"/>
        <color theme="1"/>
        <rFont val="Calibri"/>
        <family val="2"/>
      </rPr>
      <t xml:space="preserve">.
-Ejecución presupuestal
-Limitaciones presupuestales
</t>
    </r>
    <r>
      <rPr>
        <b/>
        <sz val="10"/>
        <color theme="1"/>
        <rFont val="Calibri"/>
        <family val="2"/>
      </rPr>
      <t>4. Personal</t>
    </r>
    <r>
      <rPr>
        <sz val="10"/>
        <color theme="1"/>
        <rFont val="Calibri"/>
        <family val="2"/>
      </rPr>
      <t xml:space="preserve">.
-Personal idóneo
-Cantidad limitada de personal para desarrollar funciones
-No hay claridad de funciones y responsabilidades
</t>
    </r>
    <r>
      <rPr>
        <b/>
        <sz val="10"/>
        <color theme="1"/>
        <rFont val="Calibri"/>
        <family val="2"/>
      </rPr>
      <t>5. Tecnología</t>
    </r>
    <r>
      <rPr>
        <sz val="10"/>
        <color theme="1"/>
        <rFont val="Calibri"/>
        <family val="2"/>
      </rPr>
      <t xml:space="preserve">.
-Ausencia de analítica de datos (bases de datos, infraestructura tecnológica, acceso a la información y modelos)
</t>
    </r>
    <r>
      <rPr>
        <b/>
        <sz val="10"/>
        <color theme="1"/>
        <rFont val="Calibri"/>
        <family val="2"/>
      </rPr>
      <t>6. Comunicación Interna</t>
    </r>
    <r>
      <rPr>
        <sz val="10"/>
        <color theme="1"/>
        <rFont val="Calibri"/>
        <family val="2"/>
      </rPr>
      <t xml:space="preserve">.
-Existencia de los medios.
-Baja efectividad en el mensaje.
</t>
    </r>
    <r>
      <rPr>
        <b/>
        <sz val="10"/>
        <color theme="1"/>
        <rFont val="Calibri"/>
        <family val="2"/>
      </rPr>
      <t>7. Procesos</t>
    </r>
    <r>
      <rPr>
        <sz val="10"/>
        <color theme="1"/>
        <rFont val="Calibri"/>
        <family val="2"/>
      </rPr>
      <t>. 
-  Definiciòn de acuerdos de servicio para compartir y recibir informaciòn con otros procesos.</t>
    </r>
  </si>
  <si>
    <r>
      <rPr>
        <b/>
        <sz val="10"/>
        <color theme="1"/>
        <rFont val="Calibri"/>
        <family val="2"/>
      </rPr>
      <t>1. Diseño del Proceso</t>
    </r>
    <r>
      <rPr>
        <sz val="10"/>
        <color theme="1"/>
        <rFont val="Calibri"/>
        <family val="2"/>
      </rPr>
      <t xml:space="preserve">.
- Establecidos los procedimientos para dar cumplimiento a las funciones de la Subdirecciòn de Minerìa.
</t>
    </r>
    <r>
      <rPr>
        <b/>
        <sz val="10"/>
        <color theme="1"/>
        <rFont val="Calibri"/>
        <family val="2"/>
      </rPr>
      <t>2. Interacciones con con otros procesos</t>
    </r>
    <r>
      <rPr>
        <sz val="10"/>
        <color theme="1"/>
        <rFont val="Calibri"/>
        <family val="2"/>
      </rPr>
      <t xml:space="preserve">.
-Bajo nivel de articulación con otros procesos misionales
</t>
    </r>
    <r>
      <rPr>
        <b/>
        <sz val="10"/>
        <color theme="1"/>
        <rFont val="Calibri"/>
        <family val="2"/>
      </rPr>
      <t>3. Transversalidad</t>
    </r>
    <r>
      <rPr>
        <sz val="10"/>
        <color theme="1"/>
        <rFont val="Calibri"/>
        <family val="2"/>
      </rPr>
      <t xml:space="preserve">.
-Mayor participación en factores de transversalidad
</t>
    </r>
    <r>
      <rPr>
        <b/>
        <sz val="10"/>
        <color theme="1"/>
        <rFont val="Calibri"/>
        <family val="2"/>
      </rPr>
      <t>4. Procedimientos asociados</t>
    </r>
    <r>
      <rPr>
        <sz val="10"/>
        <color theme="1"/>
        <rFont val="Calibri"/>
        <family val="2"/>
      </rPr>
      <t xml:space="preserve">.
-Debe complementarse con procedimiento del SIMCO.
</t>
    </r>
    <r>
      <rPr>
        <b/>
        <sz val="10"/>
        <color theme="1"/>
        <rFont val="Calibri"/>
        <family val="2"/>
      </rPr>
      <t>5. Comunicación entre los procesos</t>
    </r>
    <r>
      <rPr>
        <sz val="10"/>
        <color theme="1"/>
        <rFont val="Calibri"/>
        <family val="2"/>
      </rPr>
      <t xml:space="preserve">.
-Ausencia de protocolos de comunicación
</t>
    </r>
    <r>
      <rPr>
        <b/>
        <sz val="10"/>
        <color theme="1"/>
        <rFont val="Calibri"/>
        <family val="2"/>
      </rPr>
      <t/>
    </r>
  </si>
  <si>
    <t>PLANEACION ESTRATEGICA INTEGRAL DE MINERIA</t>
  </si>
  <si>
    <t>Orientar el desarrollo integral del sector minero a través de la elaboración de planes, estudios y la construcción de información, en forma coherente y oportuna, como insumo para la toma de decisiones de política pública y normativa sectorial.</t>
  </si>
  <si>
    <t>Inoportunidad en la entrega de los planes y estudios.</t>
  </si>
  <si>
    <t>Puede suceder que los planes y/o estudios no se elaboren, no se hagan a tiempo o no se adopten.</t>
  </si>
  <si>
    <t>- Debido a cambios de política.
- Cambios en directrices o lineamientos 
- Demora en los tramites de adopción por parte del MME.
- Demora en los procesos de contratación.
- Dificultad en la consecución de información.
- Dificultades para levantar información primaria en campo.</t>
  </si>
  <si>
    <t>- No se actualiza los planes con oportunidad a las realidades y necesidades del sector.
- Los estudios no son entregados en los tiempo requeridos para la planeación y toma de decisiones sectoriales de manera oportuna.</t>
  </si>
  <si>
    <t>Incoherencia en la formulación de los planes y/o elaboración de estudios.</t>
  </si>
  <si>
    <t>Puede suceder que los planes  represente la realidad del sector de minero en temas ambientales, sociales, técnicos o económicos (conocimiento integral) y que por tal razón la formulación del plan no tenga coherencia.
Puede suceder que los estudios no correspondan a las necesidades del sector minero o no se encuentren dentro de la planeación estratégica institucional, sectorial y nacional.</t>
  </si>
  <si>
    <t xml:space="preserve">-Debido a que la información de insumo presente bajo nivel de calidad o sea insuficiente.
- Debido a que no se hayan considerado todos los aspectos o que la interrelación entre las variables sea precaria.
- Complejidad del sector que impide una visión estratégica integral del sector.
</t>
  </si>
  <si>
    <t>- No se actualiza los planes a las realidades y necesidades del sector.
- Los estudios no generan insumos coherentes para la planeación y toma de decisiones sectoriales.</t>
  </si>
  <si>
    <t>Inoportunidad en la fijación de precios base para la liquidación de regalías</t>
  </si>
  <si>
    <t>Puede suceder que no se cumpla con los tiempos establecidos en la normatividad para emitir las resoluciones de precios.</t>
  </si>
  <si>
    <t>- Los titulares o compradores no entregan la información o no la entregan oportunamente debido a que no es obligación. 
- Inoportunidad en la entrega de la información  por parte de la ANM.
- Cambios en la normatividad, metodologias o parámetros establecidos sin una adecuada transición.
- Dificultad en la obtención de la información sobre parámetros nacionales e internacionales de precios y fletes.</t>
  </si>
  <si>
    <t>- Incumplimiento en la expedición de las resoluciones en los tiempos establecidos en la normatividad legal vigente.
- Demandas por parte de empresarios;  
- Investigaciones por parte de entes de control y vigilancia. 
- Afecta la imagen institucional y sectorial.</t>
  </si>
  <si>
    <t>Incohererencia  o inconformidad en la fijación de precios base para la liquidación de regalías</t>
  </si>
  <si>
    <t>Puede suceder que los precios no correspondan al valor real de acuerdo con la metodología aplicada.
Puede suceder que la UPME sea  involucrada en demandas  en solidaridad por aplicación  de metodologias definidas por parte de la ANM.</t>
  </si>
  <si>
    <t xml:space="preserve">- Confiabilidad y volumen de la  información requerida como insumo del proceso.
- Ausencia de mecanismos formales para  verificar o validar la información requerida por parte de la autoridad minera y la UPME.
- Interpretación de la normatividad aplicable vigente.
- Fallos en la aplicación metodologia.
- Presunta ilegalidad en la metodologia ANM y Aplicación derivada por parte de la UPME.
</t>
  </si>
  <si>
    <t>- Demandas por parte de externos en contra de la entidad.
- Recaudo distorcionado de Regalias que afecta los ingresos y la inversión del estado.
-Investigaciones por parte de los entes de control.
- Afectación de la imagen institucional
- Costos asociados a la defensa judicial</t>
  </si>
  <si>
    <t>Uso indebido de la información con beneficio a nombre propio o de un tercero en la fijación de precios base para la liquidación de regalías</t>
  </si>
  <si>
    <t>- Manipulación indebida de la información para beneficios a nombre propio o para terceros.
- Entrega de información confidencial sin autorización del propietario.
- Desconocimiento y no aplicación de los acuerdos de confidencialidad de la información.
- Inadecuada aplicación de la normativa relacionada a la administración de la información.
- Presiones externas políticas y/o económicas en solicitudes de información.</t>
  </si>
  <si>
    <t>- Beneficio indebido por el uso inadecuado e inapropiado de la información.
- Demandas y acciones jurídicas                                                                                                                                                                                                                                      - Sanciones de organismos de vigilancia y control.                                                                                                                          - Detrimento de la imagen institucional.                                                                     - Investigaciones y sanciones disciplinarias, penales y fiscales.
- Perdida de información.</t>
  </si>
  <si>
    <t>Ampliación del horizonte del Plan Nacional de Desarrollo Minero superior al periodo de gobierno.</t>
  </si>
  <si>
    <t>Este control mitiga los cambios de política, directrices o lineamientos, permitiendo el trabajo de la planeación en el largo plazo para el levantamiento y consecución de información necesaria, el responsable de aplicación es el Subdirector y de verificarlo el Director General, esta acción se encuentra documentado en procedimiento.</t>
  </si>
  <si>
    <t>Realizar acciones  para consolidar un sistema de información, que permita el acceso a información actualizada para el planeamiento del sector minero.</t>
  </si>
  <si>
    <t>Subdirector de Minería</t>
  </si>
  <si>
    <t>Definición de periodos de elaboración y revisión de los planes.</t>
  </si>
  <si>
    <t xml:space="preserve">Este control mitiga los cambios de política, directrices o lineamientos, permitiendo el trabajo de la planeación en el largo plazo para el levantamiento y consecución de información necesaria, el responsable de aplicación es el Subdirector y se encuentra documentado en un procedimiento denominado planes y estudios subsectoriales. </t>
  </si>
  <si>
    <t>Definir ANS con proveedores de la información del proceso de Planeación Estratégica e Integral de Minerales.</t>
  </si>
  <si>
    <t>Estructuración y seguimiento al plan de acción de la Subdirección de Minería.</t>
  </si>
  <si>
    <t>Este control permite formula acciones en el corto plazo para periodos anuales y está articulada a la planeación estratégica. Este instrumento tiene un seguimiento trimestral en el cual los profesionales reportan sus avances de gestión y estos son controlados y verificados por el Subdirector del proceso, permite corregir desviaciones y detectar retrasos en la gestión.</t>
  </si>
  <si>
    <t>Realización de comités primarios de la Subdirección de Minería.</t>
  </si>
  <si>
    <t xml:space="preserve">
Este control permite el seguimiento a las metas de la Subdirección de Minería, verificar el trabajo y determinar los lineamientos y orientaciones para ejecutar las metas planificadas para la subdirección en el corto y mediano plazo. El responsable es el Subdirector y es documentado a través de actas, ayudas de memoria y registros de las reuniones.
</t>
  </si>
  <si>
    <t>Realizar seguimiento a la adquisición de información a través de actualización de suscripción y mejora de gobierno de datos de información.</t>
  </si>
  <si>
    <t>Este control busca sea gestionada la adquisición y obtención de información, su propósito es garantizar este insumo que permitan realizar una adecuada formulación de Planes y Estudios del Sector Minas. El responsable de este seguimiento es el Subdirector de Minería y de gestionar la adquisición y actualización los profesionales de la Subdirección de Minería.</t>
  </si>
  <si>
    <t>-Debido a que la información de insumo presente bajo nivel de calidad o sea insuficiente.
- Debido a que no se hayan considerado todos los aspectos o que la interrelación entre las variables sea precaria.
- Complejidad del sector que impide una visión estratégica integral del sector.</t>
  </si>
  <si>
    <t>Realizar acciones para promover la construcción participativa de los planes mineros.</t>
  </si>
  <si>
    <t>Este control es ejecutado a través de talleres y mesas de trabajo cuyo propósito es identificar las necesidades de los agentes del sector. El responsable de ejecutarlo es el profesional designado y se realiza seguimiento por parte del Subdirector frente a la ejecución de la actividad. Se ejecuta cada vez que es requerido y de acuerdo con la programación de actividades de la Subdirección de Minería.</t>
  </si>
  <si>
    <t xml:space="preserve">Formular e implementar actividades de </t>
  </si>
  <si>
    <t>Efectuar discusión y presentación de resultados parciales del proceso de planeación del sector.</t>
  </si>
  <si>
    <t>Se ejecuta el control a través de las acciones de socialización y divulgación con los diferentes agentes del sector, con el propósito de que se retroalimente el proceso por los partes interesados y otros. Se ejecuta cada vez que es que se cuenta con resultados parciales del proceso del sector a los cuales se les considere pertinente recibir retroalimentación.</t>
  </si>
  <si>
    <t xml:space="preserve">Ampliar cobertura de los temas de talleres y mesas de trabajo a actores interesados en particpar </t>
  </si>
  <si>
    <t>Verificar la articulación de la planeación minera con los lineamientos del Plan Nacional de Desarrollo, del Plan Estratégico Sectorial e Institucional.</t>
  </si>
  <si>
    <t>Se ha definido como control, que en el proceso de   elaboración y formulación de planes en la Subdirección de Minería, se verifica que los planes y estudios que se realicen estén alineados y articulados con el PND, PES y PEI vigente. Este control se aplica en el proceso iniciar de revisión documental y una vez finalizado el plan es realizado por los Profesionales de la Subdirección de Minería y verificado por el Subdirector de Minería.</t>
  </si>
  <si>
    <t>Verificar que el alcance de los estudios a realizarse en cada vigencia frente a las necesidades planificadas por el proceso de Planeación Estratégica e Integral de Minerales..</t>
  </si>
  <si>
    <t>Se ha definido como  control la acción de verificar la correspondencia y justificación en la elaboración de los estudios vs las necesidades determinadas en los proyectos de inversión,  los objetivos de la Subdirección de Minería y los Institucionales. Para ello cada profesional asignado como responsable elabora documentos técnicos articulando y justificando la necesidad de los estudios con respecto a la planificación estos documentos son verificados por el Subdirector de Minería. El control se ejecuta durante la planfiicación e inicio de los procesos contractuales.</t>
  </si>
  <si>
    <t>Realizar la aplicación de los instructivos determinados por la Subdirección de Minería para indicar los pasos a desarrollarse para fijar los precios base para la liquidación de regalías de los distintos minerales.</t>
  </si>
  <si>
    <t>Este control tiene como propósito que se apliquen los pasos definidos para fijar los precios base para la liquidación de regalías de los distintos minerales. Cada profesional responsable aplica los pasos determinados en los instructivos y lleva registro de sus evidencias. En este instrumento están definidas actividades de elaboración, revisión y aprobación del concepto técnico de fijación de precios base para la liquidación de regalía y la frecuencia de ejecución de las actividades.</t>
  </si>
  <si>
    <t>Realizar acciones para promover el acceso a información permanente que permita realizar con mayor oportunidad la fijaciónde precios base para la liquidación de Regalías.</t>
  </si>
  <si>
    <t>Efectuar solicitud oportuna de la información a los agentes del sector minero.</t>
  </si>
  <si>
    <t xml:space="preserve">Este control se ha definido para solicitar de manera oportuna y planificada a los agentes del sector minero la información que es insumo para efectuar la fijación de precios base para la liquidación de regalías. El profesional asignado es el responsable de elaborar la solicitud, la cual es verificada por el Subdirector de Minería y aprobada por el Director General. </t>
  </si>
  <si>
    <t>Efectuar solicitud oportuna de información a la Agencia Nacional de Minería.</t>
  </si>
  <si>
    <t xml:space="preserve">Este control se ha definido para solicitar de manera oportuna y planificada a la Agencia Nacional de Minería la información que es insumo para efectuar la fijación de precios base para la liquidación de regalías. El profesional asignado es el responsable de elaborar la solicitud, la cual es verificada por el Subdirector de Minería y aprobada por el Director General. </t>
  </si>
  <si>
    <t>Realizar seguimiento a la programación de actividades para la fijación de precios base para la liquidación de regalías.</t>
  </si>
  <si>
    <t xml:space="preserve">Se ha definido como instrumento de control un calendario en el que se han programado los hitos de cumplimiento de hitos en el proceso de fijación de precios base de regalías. Este control tiene como propósito alertar la oportunidad de la ejecución de las actividades a los responsables del proceso. Es un control automatizado a través de las herramientas colaborativas y es utilizado de acuerdo a la programación efectuada para la emisión de los conceptos técnicos y resoluciones de los distintos minerales. Esta herramienta permite al Profesional responsable y al Subdirector de Minería efectuar seguimiento al cumplimiento en los tiempos de los hitos clave del proceso. </t>
  </si>
  <si>
    <t>- Confiabilidad y volumen de la  información requerida como insumo del proceso.
- Ausencia de mecanismos formales para  verificar o validar la información requerida por parte de la autoridad minera y la UPME.
- Interpretación de la normatividad aplicable vigente.
- Fallos en la aplicación metodologia.
- Presunta ilegalidad en la metodologia ANM y Aplicación derivada por parte de la UPME.</t>
  </si>
  <si>
    <t>Aplicar niveles de autorización y verificación del concepto técnico.</t>
  </si>
  <si>
    <t>Existe un control mediante el cual se verifica que la información haya sido adecuadamente procesada y el concepto técnico bien elaborado por el profesional asignado. Esta verificación es realizada por el Subdirector Técnico o por un par delegado en la Subdirección de Minería. Se aplica cada vez que se emite un concepto técnico.</t>
  </si>
  <si>
    <t>Solicitar concepto júridico para evaluar la coherencia legal frente a cambios de las metodologias definidas por la ANM.</t>
  </si>
  <si>
    <t>Aplicar niveles de autorización y verificación del acto administrativo.</t>
  </si>
  <si>
    <t>Existe un control mediante el cual se verifica la adecuada elaboración del proyecto de acto administrativo, el cual es revisado por un Profesional de la dependencia, el Subdirector de Minería y el Asesor Jurídico previo a la aprobación del Director General de la UPME.</t>
  </si>
  <si>
    <t>Verificar el cálculo de fijación de precios base por parte de un par.</t>
  </si>
  <si>
    <t>Existe un control en el cual se hace verificación de los cálculos efectuado para la fijación de precios base para la liquidación de Regalías, en la que un par verifica la adecuada ejecución de los cálculos.</t>
  </si>
  <si>
    <t>Efectuar presentación técnica de los resultados de cálculo de fijación de precios base para la liquidación de regalías al Director General</t>
  </si>
  <si>
    <t xml:space="preserve">Efectuar la presentación técnicade los resultados de cálculo de fijación de precios base para la liquidación de regalías mediante la cual se presenta y sustenta al Director General las acciones efectuadas y se atienden las inquietudes que sean presentadas. El propósito de este control es verificar la información procesada y explicar los detalles de los calculos efectuados. Es preparada por el Profesional designado y ejecutado </t>
  </si>
  <si>
    <t>Revisar la gestión de datos e información por pares al interior del Subdirección de Minería.</t>
  </si>
  <si>
    <t>Existe un control en el cual se hace verificación de los datos e información, en la que un par verifica el adecuada tratamiento, la confiabilidad e integridad e la información.</t>
  </si>
  <si>
    <t>- Revisar un esquema de acceso y manejo a la información relacionada con la fijación de precios base de regalías.</t>
  </si>
  <si>
    <t>Aplicar los niveles de autorización para la emisión de información a terceros.</t>
  </si>
  <si>
    <t>Para la emisión de cualquier tipo de información esta surte el flujo de elaboración, revisión y aprobación, aplicandose como criterio que la revisión es efectuada por el Subdiretor de Minería y la emisión es autorizada por el Director General.</t>
  </si>
  <si>
    <t>- Solicitar apoyo a la Oficina de gestión de la información en los ajustes o cambios para la administración de la información.</t>
  </si>
  <si>
    <t>Aplicar los instructivos para el procesamiento y administración de la información.</t>
  </si>
  <si>
    <t>Aplicar y cumplir con los instructivos diseñados para el procesamiento, almacenamiento, admiistración y uso de la información definidos por la entidad.</t>
  </si>
  <si>
    <t>- Solicitar apoyo a la formación de capacidades y habilidades para el manejo de la información.</t>
  </si>
  <si>
    <t>Aplicar las políticas institucionales para la administración y gestión de la información.</t>
  </si>
  <si>
    <t xml:space="preserve">Aplicar y cumplir con las políticas institucionales de seguridad de la información, gestionando los datos e información acorde con los protocolos definidos por la Oficina de Gestión de la Información. </t>
  </si>
  <si>
    <t>8. ¿Dar lugar al detrimento de calidad de vida de la comunidad por la périda del bien, servicios o recursos públicos?</t>
  </si>
  <si>
    <t>Correos electronicos</t>
  </si>
  <si>
    <t>Correos y Oficios con elaboro reviso y aprobó.</t>
  </si>
  <si>
    <t>Se aplican instructivos</t>
  </si>
  <si>
    <t>Autorización para emisión de información, con unicidad de autorización en el Director General y revisión de la Subdirección.</t>
  </si>
  <si>
    <r>
      <t xml:space="preserve">1. Políticos.
</t>
    </r>
    <r>
      <rPr>
        <sz val="10"/>
        <color theme="1"/>
        <rFont val="Calibri"/>
      </rPr>
      <t xml:space="preserve">
</t>
    </r>
    <r>
      <rPr>
        <b/>
        <sz val="10"/>
        <color theme="1"/>
        <rFont val="Calibri"/>
      </rPr>
      <t xml:space="preserve">
2. Económicos y financieros.
</t>
    </r>
    <r>
      <rPr>
        <sz val="10"/>
        <color theme="1"/>
        <rFont val="Calibri"/>
      </rPr>
      <t xml:space="preserve">
</t>
    </r>
    <r>
      <rPr>
        <b/>
        <sz val="10"/>
        <color theme="1"/>
        <rFont val="Calibri"/>
      </rPr>
      <t xml:space="preserve">
3. Sociales y culturales.
</t>
    </r>
    <r>
      <rPr>
        <sz val="10"/>
        <color theme="1"/>
        <rFont val="Calibri"/>
      </rPr>
      <t xml:space="preserve">
</t>
    </r>
    <r>
      <rPr>
        <b/>
        <sz val="10"/>
        <color theme="1"/>
        <rFont val="Calibri"/>
      </rPr>
      <t xml:space="preserve">
4. Tecnológicos.
</t>
    </r>
    <r>
      <rPr>
        <sz val="10"/>
        <color theme="1"/>
        <rFont val="Calibri"/>
      </rPr>
      <t xml:space="preserve">Demoras en la atención de mantenimiento o soportes de las herramientas tecnologicas
</t>
    </r>
    <r>
      <rPr>
        <b/>
        <sz val="10"/>
        <color theme="1"/>
        <rFont val="Calibri"/>
      </rPr>
      <t xml:space="preserve">
5. Ambientales.
</t>
    </r>
    <r>
      <rPr>
        <sz val="10"/>
        <color theme="1"/>
        <rFont val="Calibri"/>
      </rPr>
      <t>Exposición a</t>
    </r>
    <r>
      <rPr>
        <b/>
        <sz val="10"/>
        <color theme="1"/>
        <rFont val="Calibri"/>
      </rPr>
      <t xml:space="preserve"> </t>
    </r>
    <r>
      <rPr>
        <sz val="10"/>
        <color theme="1"/>
        <rFont val="Calibri"/>
      </rPr>
      <t xml:space="preserve">Riesgos biologicos
</t>
    </r>
    <r>
      <rPr>
        <b/>
        <sz val="10"/>
        <color theme="1"/>
        <rFont val="Calibri"/>
      </rPr>
      <t xml:space="preserve">
6. Legales y reglamentarios.
</t>
    </r>
    <r>
      <rPr>
        <sz val="10"/>
        <color theme="1"/>
        <rFont val="Calibri"/>
      </rPr>
      <t>Nueva normatividad reglamentaria referente a  Atención al ciudadano</t>
    </r>
    <r>
      <rPr>
        <b/>
        <sz val="10"/>
        <color theme="1"/>
        <rFont val="Calibri"/>
      </rPr>
      <t xml:space="preserve">
</t>
    </r>
  </si>
  <si>
    <r>
      <rPr>
        <b/>
        <sz val="10"/>
        <color theme="1"/>
        <rFont val="Calibri"/>
      </rPr>
      <t>1. Estratégicos</t>
    </r>
    <r>
      <rPr>
        <sz val="10"/>
        <color theme="1"/>
        <rFont val="Calibri"/>
      </rPr>
      <t xml:space="preserve">.
Lineamientos respecto al proceso de atención y participación  ciudadana
Lineamientos y directrices respecto a modificaciones de la estructura organizacional
</t>
    </r>
    <r>
      <rPr>
        <b/>
        <sz val="10"/>
        <color theme="1"/>
        <rFont val="Calibri"/>
      </rPr>
      <t>2. Estructura organizaciona</t>
    </r>
    <r>
      <rPr>
        <sz val="10"/>
        <color theme="1"/>
        <rFont val="Calibri"/>
      </rPr>
      <t xml:space="preserve">l.
 Moficaciones al mapa de procesos de la Entidad
</t>
    </r>
    <r>
      <rPr>
        <b/>
        <sz val="10"/>
        <color theme="1"/>
        <rFont val="Calibri"/>
      </rPr>
      <t>3. Financieros</t>
    </r>
    <r>
      <rPr>
        <sz val="10"/>
        <color theme="1"/>
        <rFont val="Calibri"/>
      </rPr>
      <t xml:space="preserve">.
Falta de asignación de los recursos necesarios para la ejecución de actividades programadas y/o requeridas 
</t>
    </r>
    <r>
      <rPr>
        <b/>
        <sz val="10"/>
        <color theme="1"/>
        <rFont val="Calibri"/>
      </rPr>
      <t>4. Personal</t>
    </r>
    <r>
      <rPr>
        <sz val="10"/>
        <color theme="1"/>
        <rFont val="Calibri"/>
      </rPr>
      <t xml:space="preserve">.
Personal insuficiente para realizar de forma oportuna y óptima,  las actividades planificadas en atención y participación ciudadana
Falta de compromiso y/o apropiación de los funcionarios de la entidad respecto a la importancia y esencia del proceso de atención y participación  ciudadana
Asignación de funcionarios sin las competencias y/o conocimiento requerido para la ejecución de metas establecidas
</t>
    </r>
    <r>
      <rPr>
        <b/>
        <sz val="10"/>
        <color theme="1"/>
        <rFont val="Calibri"/>
      </rPr>
      <t>5. Tecnología</t>
    </r>
    <r>
      <rPr>
        <sz val="10"/>
        <color theme="1"/>
        <rFont val="Calibri"/>
      </rPr>
      <t xml:space="preserve">.
Herramientas tecnologicas que no  responden de manera optima a las exigencias actuales en materia de atención y participación ciudadana
Atención inoportuna de los requerimientos de soporte tecnologico o tecnico
</t>
    </r>
    <r>
      <rPr>
        <b/>
        <sz val="10"/>
        <color theme="1"/>
        <rFont val="Calibri"/>
      </rPr>
      <t>6. Comunicación Interna</t>
    </r>
    <r>
      <rPr>
        <sz val="10"/>
        <color theme="1"/>
        <rFont val="Calibri"/>
      </rPr>
      <t xml:space="preserve">.
</t>
    </r>
    <r>
      <rPr>
        <b/>
        <sz val="10"/>
        <color theme="1"/>
        <rFont val="Calibri"/>
      </rPr>
      <t>7. Procesos</t>
    </r>
    <r>
      <rPr>
        <sz val="10"/>
        <color theme="1"/>
        <rFont val="Calibri"/>
      </rPr>
      <t>.
No hay apropiación de lo que representa Atención al ciudadano de parte de los servidores publicos de la Entidad. Se tiene el concepto que es responsabilidad de un servidor en particular.</t>
    </r>
  </si>
  <si>
    <r>
      <rPr>
        <b/>
        <sz val="10"/>
        <color theme="1"/>
        <rFont val="Calibri"/>
      </rPr>
      <t>1. Diseño del Proceso</t>
    </r>
    <r>
      <rPr>
        <sz val="10"/>
        <color theme="1"/>
        <rFont val="Calibri"/>
      </rPr>
      <t xml:space="preserve">.
Procedimiento sin ajustar de acuerdo a las exigencias de las proceso 
</t>
    </r>
    <r>
      <rPr>
        <b/>
        <sz val="10"/>
        <color theme="1"/>
        <rFont val="Calibri"/>
      </rPr>
      <t>2. Interacciones con con otros procesos</t>
    </r>
    <r>
      <rPr>
        <sz val="10"/>
        <color theme="1"/>
        <rFont val="Calibri"/>
      </rPr>
      <t xml:space="preserve">.
Los procesos diferentes a atención y participación  ciudadana, no tienen claridad  del alcance y objetivos del proceso 
</t>
    </r>
    <r>
      <rPr>
        <b/>
        <sz val="10"/>
        <color theme="1"/>
        <rFont val="Calibri"/>
      </rPr>
      <t>3. Transversalidad</t>
    </r>
    <r>
      <rPr>
        <sz val="10"/>
        <color theme="1"/>
        <rFont val="Calibri"/>
      </rPr>
      <t xml:space="preserve">.
Se pueden presentar demoras en algunas respuestas de PQRS, debido a que los responsables asignados no dan prioridad a la atención de las mismas
</t>
    </r>
    <r>
      <rPr>
        <b/>
        <sz val="10"/>
        <color theme="1"/>
        <rFont val="Calibri"/>
      </rPr>
      <t>4. Procedimientos asociados</t>
    </r>
    <r>
      <rPr>
        <sz val="10"/>
        <color theme="1"/>
        <rFont val="Calibri"/>
      </rPr>
      <t xml:space="preserve">.
</t>
    </r>
    <r>
      <rPr>
        <b/>
        <sz val="10"/>
        <color theme="1"/>
        <rFont val="Calibri"/>
      </rPr>
      <t>5. Comunicación entre los procesos</t>
    </r>
    <r>
      <rPr>
        <sz val="10"/>
        <color theme="1"/>
        <rFont val="Calibri"/>
      </rPr>
      <t xml:space="preserve">.
</t>
    </r>
    <r>
      <rPr>
        <b/>
        <sz val="10"/>
        <color theme="1"/>
        <rFont val="Calibri"/>
      </rPr>
      <t>6. Activos de seguridad digital del proceso</t>
    </r>
    <r>
      <rPr>
        <sz val="10"/>
        <color theme="1"/>
        <rFont val="Calibri"/>
      </rPr>
      <t>.</t>
    </r>
  </si>
  <si>
    <t>Políticos.
Económicos y financieros.
Sociales y culturales.
Tecnológicos.
Ambientales.
Legales y reglamentarios.</t>
  </si>
  <si>
    <t>SERVICIO AL CIUDADANO</t>
  </si>
  <si>
    <t xml:space="preserve"> Promover y fortalecer los mecanismos, instancias y canales de participación ciudadana de manera efectiva.</t>
  </si>
  <si>
    <t>Incumplimiento de las actividades planificadas y requeridas por el proceso</t>
  </si>
  <si>
    <t>Incumplimiento de las actividades propuestas en los componentes del plan anticorrupción corespondientes atención y participación ciudadana
Incumplimiento de las actividades necesarias para abordar las politicas MIPG "Servicio al ciudadano y  
Participación ciudadana en la gestión pública"</t>
  </si>
  <si>
    <t>No se tiene claridad  del alcance y objetivos del proceso, por lo que no se le da la importancia requerida.
Falta de mayor visibilidad de las actividades  de sensibilización en lo referente a cultura de servicio al ciudadano
Falta de Capacitación oportuna y asertiva a los funcionarios, en cuanto a temas relacionados con atención y participación ciudadana 
Personal insuficiente para atender los compromisos de Atención y participación ciudadano
Personal asignado en los eventos de contingencias sin los conocimientos requeridos
Falta compromiso por parte de los funcionarios</t>
  </si>
  <si>
    <t>Incumplimiento de las metas y objetivos trazados
Perdida de imagen y credibilidad de la gestión de la  entidad
Reprocesos 
Ausencia del conocimiento de la Entidad
Sanciones disciplinarias
Hallazgos por parte de los organismos de control</t>
  </si>
  <si>
    <t>Respuestas extemporaneas o no contestación de PQRS</t>
  </si>
  <si>
    <t>Imcumplimiento de los terminos establecidos por la Ley para gestionar las PQRS</t>
  </si>
  <si>
    <t xml:space="preserve">Inadecuada trazabilidad de la gestión de los PQRS
Falta compromiso por parte de los funcionarios
Traslado o asignación errada de las PQRS
Concentración de la responsabilidad de respuesta de los PQRS en un servidor público
Masiva radicación de PQRS recurrentes 
</t>
  </si>
  <si>
    <t>Perdida de imagen y credibilidad de la gestión de la  entidad
Sanciones disciplinarias
Hallazgos por parte de los organismos de control
Insatisfacción de las partes interesedas</t>
  </si>
  <si>
    <t>Eliminación de registros de las PQRS radicadas</t>
  </si>
  <si>
    <t>Eliminación de registros  de PQRS con el objeto de  favorecimiento propio o de un tercero</t>
  </si>
  <si>
    <t xml:space="preserve">Falta de seguimiento y control  a la contestación de las PQRS
Personal asignado en los eventos de contingencias sin los conocimientos requeridos
Fallas de las herramientas tecnologicas
</t>
  </si>
  <si>
    <t>Respuestas incompletas o con información errada</t>
  </si>
  <si>
    <t>Información registrada en las respuestas a las PQRS, de forma errada o incompleta</t>
  </si>
  <si>
    <t>Falta de conocimiento de los temas solicitados en las PQRS 
Falta compromiso por parte de los funcionarios
Falta de aplicación del procedimiento en lo que refiere a la revisión y aprobación de las respuestas de PQRS</t>
  </si>
  <si>
    <t>Tutelas
Insatisfacción de las partes interesadas
Hallazgos por parte de los organismos de control
Sanciones disciplinarias</t>
  </si>
  <si>
    <t>No presentación de informes;  presentación extemporanea o con información incompleta</t>
  </si>
  <si>
    <t>No presentación de informes de las actividades relacionadas con participación y atención al ciudadano; presentación incompleta o extemporanea</t>
  </si>
  <si>
    <t xml:space="preserve">Desconocimiento de la normatividad relacionada
Información desactualizada, insumos insuficientes 
Concentración de carga laboral en un servidor publico
</t>
  </si>
  <si>
    <t xml:space="preserve">Elaboración de informes de seguimiento a las actividades contenidas en el Plan Anticorrupción </t>
  </si>
  <si>
    <t>Seguimiento  a las actividades contenidas en el Plan anticorrupción, permanente por parte del lider del proceso; por parte del Comité de Gestión y Desempeño periodicamente; y por parte de Control Interno cuatrimestralmente.</t>
  </si>
  <si>
    <t>Seguimiento a traves de Matriz. Elaboración de Informe semestral de PQRS. Elaboración Informe de PQRS-Control Interno</t>
  </si>
  <si>
    <t xml:space="preserve">Se realiza registro y seguimiento a las PQRS a traves de la "matriz de seguimiento de PQRS" (documento sin control (SGC)). 'Se elabora informe semestral  de PQRS por parte del servidor que cumple las funciones de servicio y atención al ciudadano. 'Control interno realiza Informe semestral de PQRS </t>
  </si>
  <si>
    <t xml:space="preserve">Seguimiento a traves de Matriz </t>
  </si>
  <si>
    <t>Se realiza registro y seguimiento a las PQRS a traves de la "matriz de seguimiento de PQRS" (documento sin control (SGC))</t>
  </si>
  <si>
    <t>Asignación de responsables en el Procedimiento "Gestión de atención de PQRS"</t>
  </si>
  <si>
    <t>Verificación de los contenidos de las respuestas por parte de los coordinadores, subdirectores o jefes de area, de acuerdo a lo establecido en el Procedimiento "Gestión de atención de PQRS"</t>
  </si>
  <si>
    <t>Elaboración de informes de seguimiento a las actividades contenidas en el Plan Anticorrupción . Verificación de la información contenida en los informes de atención al Ciudadano por parte del Coordinador del Proceso</t>
  </si>
  <si>
    <t>Seguimiento  a las actividades contenidas en el Plan anticorrupción, permanente por parte del lider del proceso; por parte del Comité de Gestión y Desempeño periodicamente; y por parte de Control Interno cuatrimestralmente. Verificación y visto bueno de la información contenida en los informes de atención al Ciudadano por parte del Coordinador del Proceso</t>
  </si>
  <si>
    <t>Informe por parte del lider del proceso
Informe por parte de Control Interno
Actas de reunión del Comité de Gestión y Desempeño</t>
  </si>
  <si>
    <t>No asignado</t>
  </si>
  <si>
    <t>Inadecuado</t>
  </si>
  <si>
    <t>Matriz de seguimiento PQRS diligenciada</t>
  </si>
  <si>
    <t>En Orfeo queda documentada la trazabilidad de verificación de las respuestas a PQRS
Respuesta definitiva cuenta con cuadro de aprobación o vistos bueno</t>
  </si>
  <si>
    <t>FORMATO MATRIZ DE RIESGOS DE GESTIÓN Y CORRUPCIÓN POR PROCESO
Parte 1: Contexto estratégico.</t>
  </si>
  <si>
    <t>Comunicación estratégica</t>
  </si>
  <si>
    <r>
      <t xml:space="preserve">1. Políticos.
</t>
    </r>
    <r>
      <rPr>
        <sz val="10"/>
        <rFont val="Calibri"/>
        <family val="2"/>
        <scheme val="minor"/>
      </rPr>
      <t xml:space="preserve">
Posibles afectaciones reputacionales sobre la entidad por agendas parlamentarias opuestas.
</t>
    </r>
    <r>
      <rPr>
        <b/>
        <sz val="10"/>
        <rFont val="Calibri"/>
        <family val="2"/>
        <scheme val="minor"/>
      </rPr>
      <t xml:space="preserve">
2. Económicos y financieros.
</t>
    </r>
    <r>
      <rPr>
        <sz val="10"/>
        <rFont val="Calibri"/>
        <family val="2"/>
        <scheme val="minor"/>
      </rPr>
      <t xml:space="preserve">
</t>
    </r>
    <r>
      <rPr>
        <b/>
        <sz val="10"/>
        <rFont val="Calibri"/>
        <family val="2"/>
        <scheme val="minor"/>
      </rPr>
      <t xml:space="preserve">
3. Sociales y culturales.
</t>
    </r>
    <r>
      <rPr>
        <sz val="10"/>
        <rFont val="Calibri"/>
        <family val="2"/>
        <scheme val="minor"/>
      </rPr>
      <t xml:space="preserve">
Posible circulación de información falsa por medios de comunicación que afecta la reputación de la entidad ante la comunidad y el sector energético.
Desconocimiento de la comunidad sobre la competencia y funciones de la UPME.
</t>
    </r>
    <r>
      <rPr>
        <b/>
        <sz val="10"/>
        <rFont val="Calibri"/>
        <family val="2"/>
        <scheme val="minor"/>
      </rPr>
      <t xml:space="preserve">
4. Tecnológicos.
</t>
    </r>
    <r>
      <rPr>
        <sz val="10"/>
        <rFont val="Calibri"/>
        <family val="2"/>
        <scheme val="minor"/>
      </rPr>
      <t xml:space="preserve">
</t>
    </r>
    <r>
      <rPr>
        <b/>
        <sz val="10"/>
        <rFont val="Calibri"/>
        <family val="2"/>
        <scheme val="minor"/>
      </rPr>
      <t xml:space="preserve">
5. Ambientales.
</t>
    </r>
    <r>
      <rPr>
        <sz val="10"/>
        <rFont val="Calibri"/>
        <family val="2"/>
        <scheme val="minor"/>
      </rPr>
      <t xml:space="preserve">
</t>
    </r>
    <r>
      <rPr>
        <b/>
        <sz val="10"/>
        <rFont val="Calibri"/>
        <family val="2"/>
        <scheme val="minor"/>
      </rPr>
      <t xml:space="preserve">
6. Legales y reglamentarios.
</t>
    </r>
    <r>
      <rPr>
        <sz val="10"/>
        <rFont val="Calibri"/>
        <family val="2"/>
        <scheme val="minor"/>
      </rPr>
      <t>No se ha realizado una articulación con el proceso de PQRS para coordinar respuesta a derechos de petición que ingresen por redes sociales desde un esquema de administración de contenidos descentralizado.</t>
    </r>
  </si>
  <si>
    <r>
      <rPr>
        <b/>
        <sz val="10"/>
        <rFont val="Calibri"/>
        <family val="2"/>
        <scheme val="minor"/>
      </rPr>
      <t>1. Estratégicos</t>
    </r>
    <r>
      <rPr>
        <sz val="10"/>
        <rFont val="Calibri"/>
        <family val="2"/>
        <scheme val="minor"/>
      </rPr>
      <t xml:space="preserve">.
Ausencia de un manual específico para el manejo de crisis mediáticas. 
</t>
    </r>
    <r>
      <rPr>
        <b/>
        <sz val="10"/>
        <rFont val="Calibri"/>
        <family val="2"/>
        <scheme val="minor"/>
      </rPr>
      <t>2. Estructura organizaciona</t>
    </r>
    <r>
      <rPr>
        <sz val="10"/>
        <rFont val="Calibri"/>
        <family val="2"/>
        <scheme val="minor"/>
      </rPr>
      <t xml:space="preserve">l.
Estructura organizacional limitada del área de comunicaciones como proceso estratégico.
</t>
    </r>
    <r>
      <rPr>
        <b/>
        <sz val="10"/>
        <rFont val="Calibri"/>
        <family val="2"/>
        <scheme val="minor"/>
      </rPr>
      <t>3. Financieros</t>
    </r>
    <r>
      <rPr>
        <sz val="10"/>
        <rFont val="Calibri"/>
        <family val="2"/>
        <scheme val="minor"/>
      </rPr>
      <t xml:space="preserve">.
</t>
    </r>
    <r>
      <rPr>
        <b/>
        <sz val="10"/>
        <rFont val="Calibri"/>
        <family val="2"/>
        <scheme val="minor"/>
      </rPr>
      <t>4. Personal</t>
    </r>
    <r>
      <rPr>
        <sz val="10"/>
        <rFont val="Calibri"/>
        <family val="2"/>
        <scheme val="minor"/>
      </rPr>
      <t xml:space="preserve">.
Posibles crisis mediáticas relacionadas a controversias por actuaciones administrativas (Escándalos de posible corrupción).
La capacidad de comunicaciones a realizar sobrepasa el personal para la gestión óptima de comunicaciones.
</t>
    </r>
    <r>
      <rPr>
        <b/>
        <sz val="10"/>
        <rFont val="Calibri"/>
        <family val="2"/>
        <scheme val="minor"/>
      </rPr>
      <t>5. Tecnología</t>
    </r>
    <r>
      <rPr>
        <sz val="10"/>
        <rFont val="Calibri"/>
        <family val="2"/>
        <scheme val="minor"/>
      </rPr>
      <t xml:space="preserve">.
Rezago tecnológico frente a prácticas de comunicación vigentes por la falta de una línea base a cargo del área de tecnología (Streaming por redes sociales).
</t>
    </r>
    <r>
      <rPr>
        <b/>
        <sz val="10"/>
        <rFont val="Calibri"/>
        <family val="2"/>
        <scheme val="minor"/>
      </rPr>
      <t>6. Comunicación Interna</t>
    </r>
    <r>
      <rPr>
        <sz val="10"/>
        <rFont val="Calibri"/>
        <family val="2"/>
        <scheme val="minor"/>
      </rPr>
      <t xml:space="preserve">.
Baja apropiación cultural de los funcionarios de la entidad frente al consumo de contenidos y canales.
Posibles afectaciones al sentido de identidad, trabajo en equipo y cohesion de cara a la reglamentación del teletrabajo.
</t>
    </r>
    <r>
      <rPr>
        <b/>
        <sz val="10"/>
        <rFont val="Calibri"/>
        <family val="2"/>
        <scheme val="minor"/>
      </rPr>
      <t>7. Procesos</t>
    </r>
    <r>
      <rPr>
        <sz val="10"/>
        <rFont val="Calibri"/>
        <family val="2"/>
        <scheme val="minor"/>
      </rPr>
      <t>.</t>
    </r>
  </si>
  <si>
    <r>
      <rPr>
        <b/>
        <sz val="10"/>
        <rFont val="Calibri"/>
        <family val="2"/>
        <scheme val="minor"/>
      </rPr>
      <t>1. Diseño del Proceso</t>
    </r>
    <r>
      <rPr>
        <sz val="10"/>
        <rFont val="Calibri"/>
        <family val="2"/>
        <scheme val="minor"/>
      </rPr>
      <t xml:space="preserve">.
Falta de claridad en el alcance de los procesos de comunicación estratégica, divulgación e información sectorial dentro del mapa de procesos aprobado en el sistema de gestión de calidad.
</t>
    </r>
    <r>
      <rPr>
        <b/>
        <sz val="10"/>
        <rFont val="Calibri"/>
        <family val="2"/>
        <scheme val="minor"/>
      </rPr>
      <t>2. Interacciones con otros procesos</t>
    </r>
    <r>
      <rPr>
        <sz val="10"/>
        <rFont val="Calibri"/>
        <family val="2"/>
        <scheme val="minor"/>
      </rPr>
      <t xml:space="preserve">.
Incumplimientos en los productos comunicacionales por retrasos de las subdirecciones en la entrega idónea de la información.
</t>
    </r>
    <r>
      <rPr>
        <b/>
        <sz val="10"/>
        <rFont val="Calibri"/>
        <family val="2"/>
        <scheme val="minor"/>
      </rPr>
      <t>3. Transversalidad</t>
    </r>
    <r>
      <rPr>
        <sz val="10"/>
        <rFont val="Calibri"/>
        <family val="2"/>
        <scheme val="minor"/>
      </rPr>
      <t xml:space="preserve">.
</t>
    </r>
    <r>
      <rPr>
        <b/>
        <sz val="10"/>
        <rFont val="Calibri"/>
        <family val="2"/>
        <scheme val="minor"/>
      </rPr>
      <t>4. Procedimientos asociados</t>
    </r>
    <r>
      <rPr>
        <sz val="10"/>
        <rFont val="Calibri"/>
        <family val="2"/>
        <scheme val="minor"/>
      </rPr>
      <t xml:space="preserve">.
</t>
    </r>
    <r>
      <rPr>
        <b/>
        <sz val="10"/>
        <rFont val="Calibri"/>
        <family val="2"/>
        <scheme val="minor"/>
      </rPr>
      <t>5. Comunicación entre los procesos</t>
    </r>
    <r>
      <rPr>
        <sz val="10"/>
        <rFont val="Calibri"/>
        <family val="2"/>
        <scheme val="minor"/>
      </rPr>
      <t xml:space="preserve">.
Entrega de información con poca antelación para realizar oportunamente las labores de diseño y diagramación de piezas comunicacionales y/o presentaciones.
</t>
    </r>
    <r>
      <rPr>
        <b/>
        <sz val="10"/>
        <rFont val="Calibri"/>
        <family val="2"/>
        <scheme val="minor"/>
      </rPr>
      <t>6. Activos de seguridad digital del proceso</t>
    </r>
    <r>
      <rPr>
        <sz val="10"/>
        <rFont val="Calibri"/>
        <family val="2"/>
        <scheme val="minor"/>
      </rPr>
      <t>.
Posibles hackeos sobre las redes sociales de la entidad por uso de estas en equipos personales.</t>
    </r>
  </si>
  <si>
    <t>Identificar, implementar y evaluar las tacticas, instancias y canales de comunicación estratégica de manera efectiva en linea con los objetivos estrategicos de la entidad.</t>
  </si>
  <si>
    <t>Posibles afectaciones reputacionales sobre la entidad por agendas parlamentarias opuestas.</t>
  </si>
  <si>
    <t>Hace referencia al daño que puede afectar negativamente a la reputación de la entidad ante otras entidades y la comunidad</t>
  </si>
  <si>
    <t xml:space="preserve">Ausencia de un manual específico para el manejo de crisis mediáticas. </t>
  </si>
  <si>
    <t>Posible circulación de información falsa por medios de comunicación que afecta la reputación de la entidad ante la comunidad y el sector energético.
Posibles crisis mediáticas relacionadas a controversias por actuaciones administrativas (Escándalos de posible corrupción)</t>
  </si>
  <si>
    <t>Incumplimientos en los productos comunicacionales por retrasos de las subdirecciones en la entrega idónea de la información.</t>
  </si>
  <si>
    <t xml:space="preserve">Los incumplimientos en los productos afectarían a las partes interesadas de la UPME para </t>
  </si>
  <si>
    <t>Entrega de información con poca antelación para realizar oportunamente las labores de diseño y diagramación de piezas comunicacionales y/o presentaciones.</t>
  </si>
  <si>
    <t>Falta de claridad en el mensaje que se pretende dar</t>
  </si>
  <si>
    <t>Estructura organizacional limitada del área de comunicaciones como proceso estratégico.</t>
  </si>
  <si>
    <t>Bajo empoderamiento de los procesos respecto a la importancia de las comunicaciones en un contexto estratégico.</t>
  </si>
  <si>
    <t>No se ha realizado una articulación con el proceso de PQRS para coordinar respuesta a derechos de petición que ingresen por redes sociales desde un esquema de administración de contenidos descentralizado.
La capacidad de comunicaciones es deficitaria en relación al personal para la gestión del proceso.
Falta de claridad en el alcance de los procesos de comunicación estratégica, divulgación e información sectorial dentro del mapa de procesos aprobado en el sistema de gestión de calidad.</t>
  </si>
  <si>
    <t>Desconocimiento de la comunidad sobre la competencia y funciones de la UPME.</t>
  </si>
  <si>
    <t>Posibles afectaciones al sentido de identidad, trabajo en equipo y cohesion de cara a la reglamentación del teletrabajo.</t>
  </si>
  <si>
    <t>La afectación al sentido de  identidad corporativa podria afectar la cultura de la organización en el “cómo hacer” y “cómo proceder”</t>
  </si>
  <si>
    <t>Dificultad de adaptación al teletrabajo por parte de los servidores públicos.
Baja apropiación cultural de los funcionarios de la entidad frente al consumo de contenidos y canales.</t>
  </si>
  <si>
    <t>Posibles incumplimientos de metas de la entidad.
Desmotivación de los servidores públicos.</t>
  </si>
  <si>
    <t>Afectaciones a la seguridad y disponibilidad de la información por perfiles institucionales de redes sociales en favor de particulares</t>
  </si>
  <si>
    <t>Las redes sociales son un medio de comunicación externa importante para las partes interesadas de la entidad. Afectar estas comunicaciones por este medio afectaría la credibilidad de la entidad sobre los productos y/o comunicaciones generados.</t>
  </si>
  <si>
    <t>Posibles hackeos sobre las redes sociales de la entidad por uso de estas en equipos personales.</t>
  </si>
  <si>
    <t>Fallas en la divulgación de la información misional de la entidad.</t>
  </si>
  <si>
    <t>Se cuenta con una guía metodológica general de crisis.</t>
  </si>
  <si>
    <t>Se diseñó una política editorial con unos niveles de servicios sugeridos.</t>
  </si>
  <si>
    <t>No se cuentan con controles.</t>
  </si>
  <si>
    <t>Campañas de comunicación Interna</t>
  </si>
  <si>
    <t>Inoportuna</t>
  </si>
  <si>
    <t>No es un control</t>
  </si>
  <si>
    <t>No Confiable</t>
  </si>
  <si>
    <t>No se investigan y resuelven oportunamente</t>
  </si>
  <si>
    <t>No existe</t>
  </si>
  <si>
    <t>No se ejecuta</t>
  </si>
  <si>
    <r>
      <t xml:space="preserve">1. Políticos.
</t>
    </r>
    <r>
      <rPr>
        <sz val="10"/>
        <rFont val="Calibri"/>
        <family val="2"/>
        <scheme val="minor"/>
      </rPr>
      <t xml:space="preserve">
</t>
    </r>
    <r>
      <rPr>
        <sz val="10"/>
        <color rgb="FFFF0000"/>
        <rFont val="Calibri"/>
        <family val="2"/>
        <scheme val="minor"/>
      </rPr>
      <t>Delegación de funciones no alineadas al Plan Estratégico Institucional que requieren una planificación integral para determinar su ejecución.</t>
    </r>
    <r>
      <rPr>
        <b/>
        <sz val="10"/>
        <rFont val="Calibri"/>
        <family val="2"/>
        <scheme val="minor"/>
      </rPr>
      <t xml:space="preserve">
2. Económicos y financieros.
</t>
    </r>
    <r>
      <rPr>
        <sz val="10"/>
        <rFont val="Calibri"/>
        <family val="2"/>
        <scheme val="minor"/>
      </rPr>
      <t xml:space="preserve">
</t>
    </r>
    <r>
      <rPr>
        <sz val="10"/>
        <color rgb="FFFF0000"/>
        <rFont val="Calibri"/>
        <family val="2"/>
        <scheme val="minor"/>
      </rPr>
      <t>Insuficiencia de los recursos económicos para el desarrollo del Plan estratégico Institucional.</t>
    </r>
    <r>
      <rPr>
        <b/>
        <sz val="10"/>
        <color rgb="FFFF0000"/>
        <rFont val="Calibri"/>
        <family val="2"/>
        <scheme val="minor"/>
      </rPr>
      <t xml:space="preserve">
</t>
    </r>
    <r>
      <rPr>
        <b/>
        <sz val="10"/>
        <rFont val="Calibri"/>
        <family val="2"/>
        <scheme val="minor"/>
      </rPr>
      <t xml:space="preserve">
3. Sociales y culturales.
</t>
    </r>
    <r>
      <rPr>
        <sz val="10"/>
        <color rgb="FFFF0000"/>
        <rFont val="Calibri"/>
        <family val="2"/>
        <scheme val="minor"/>
      </rPr>
      <t>Desconocimiento del contexto territorial al interior del país donde se demandan servicios de planeación minero energética.</t>
    </r>
    <r>
      <rPr>
        <b/>
        <sz val="10"/>
        <color rgb="FFFF0000"/>
        <rFont val="Calibri"/>
        <family val="2"/>
        <scheme val="minor"/>
      </rPr>
      <t xml:space="preserve">
</t>
    </r>
    <r>
      <rPr>
        <sz val="10"/>
        <color rgb="FFFF0000"/>
        <rFont val="Calibri"/>
        <family val="2"/>
        <scheme val="minor"/>
      </rPr>
      <t>Falta de participación activa de la comunidad y de involucramiento de las partes interesadas en el proceso de la planeación.</t>
    </r>
    <r>
      <rPr>
        <b/>
        <sz val="10"/>
        <color rgb="FFFF0000"/>
        <rFont val="Calibri"/>
        <family val="2"/>
        <scheme val="minor"/>
      </rPr>
      <t xml:space="preserve">
</t>
    </r>
    <r>
      <rPr>
        <b/>
        <sz val="10"/>
        <rFont val="Calibri"/>
        <family val="2"/>
        <scheme val="minor"/>
      </rPr>
      <t xml:space="preserve">
4. Tecnológicos.
</t>
    </r>
    <r>
      <rPr>
        <sz val="10"/>
        <rFont val="Calibri"/>
        <family val="2"/>
        <scheme val="minor"/>
      </rPr>
      <t xml:space="preserve">
</t>
    </r>
    <r>
      <rPr>
        <b/>
        <sz val="10"/>
        <rFont val="Calibri"/>
        <family val="2"/>
        <scheme val="minor"/>
      </rPr>
      <t xml:space="preserve">
5. Ambientales.
</t>
    </r>
    <r>
      <rPr>
        <sz val="10"/>
        <rFont val="Calibri"/>
        <family val="2"/>
        <scheme val="minor"/>
      </rPr>
      <t xml:space="preserve">
</t>
    </r>
    <r>
      <rPr>
        <sz val="10"/>
        <color rgb="FFFF0000"/>
        <rFont val="Calibri"/>
        <family val="2"/>
        <scheme val="minor"/>
      </rPr>
      <t xml:space="preserve">Dificultades en la articulación interinstitucional con  entidades y agremiaciones de los territorios </t>
    </r>
    <r>
      <rPr>
        <sz val="10"/>
        <rFont val="Calibri"/>
        <family val="2"/>
        <scheme val="minor"/>
      </rPr>
      <t xml:space="preserve">
</t>
    </r>
    <r>
      <rPr>
        <sz val="10"/>
        <color rgb="FFFF0000"/>
        <rFont val="Calibri"/>
        <family val="2"/>
        <scheme val="minor"/>
      </rPr>
      <t>Vulnerabilidad institucional para llevar a cabo actividades en el marco del COVID-19 para asegurar la continuidad del negocio.</t>
    </r>
    <r>
      <rPr>
        <b/>
        <sz val="10"/>
        <rFont val="Calibri"/>
        <family val="2"/>
        <scheme val="minor"/>
      </rPr>
      <t xml:space="preserve">
6. Legales y reglamentarios.
</t>
    </r>
  </si>
  <si>
    <r>
      <rPr>
        <b/>
        <sz val="10"/>
        <rFont val="Calibri"/>
        <family val="2"/>
        <scheme val="minor"/>
      </rPr>
      <t>1. Estratégicos</t>
    </r>
    <r>
      <rPr>
        <sz val="10"/>
        <rFont val="Calibri"/>
        <family val="2"/>
        <scheme val="minor"/>
      </rPr>
      <t xml:space="preserve">.
</t>
    </r>
    <r>
      <rPr>
        <sz val="10"/>
        <color rgb="FFFF0000"/>
        <rFont val="Calibri"/>
        <family val="2"/>
        <scheme val="minor"/>
      </rPr>
      <t>Falta de apropiación de la planeación estratégica por parte de todos los Servidores Públicos de la entidad.</t>
    </r>
    <r>
      <rPr>
        <sz val="10"/>
        <rFont val="Calibri"/>
        <family val="2"/>
        <scheme val="minor"/>
      </rPr>
      <t xml:space="preserve">
</t>
    </r>
    <r>
      <rPr>
        <sz val="10"/>
        <color rgb="FFFF0000"/>
        <rFont val="Calibri"/>
        <family val="2"/>
        <scheme val="minor"/>
      </rPr>
      <t xml:space="preserve">Incumplimiento de objetivos institucionales y sectoriales aplicables.
</t>
    </r>
    <r>
      <rPr>
        <sz val="10"/>
        <rFont val="Calibri"/>
        <family val="2"/>
        <scheme val="minor"/>
      </rPr>
      <t xml:space="preserve">
</t>
    </r>
    <r>
      <rPr>
        <b/>
        <sz val="10"/>
        <rFont val="Calibri"/>
        <family val="2"/>
        <scheme val="minor"/>
      </rPr>
      <t>2. Estructura organizaciona</t>
    </r>
    <r>
      <rPr>
        <sz val="10"/>
        <rFont val="Calibri"/>
        <family val="2"/>
        <scheme val="minor"/>
      </rPr>
      <t xml:space="preserve">l.
</t>
    </r>
    <r>
      <rPr>
        <sz val="10"/>
        <color rgb="FFFF0000"/>
        <rFont val="Calibri"/>
        <family val="2"/>
        <scheme val="minor"/>
      </rPr>
      <t>Insuficiencia en capacidades para realizar las acciones necesarias de  la planeación minero energética por parte de las dependencias misionales de la entidad.</t>
    </r>
    <r>
      <rPr>
        <sz val="10"/>
        <rFont val="Calibri"/>
        <family val="2"/>
        <scheme val="minor"/>
      </rPr>
      <t xml:space="preserve">
</t>
    </r>
    <r>
      <rPr>
        <b/>
        <sz val="10"/>
        <rFont val="Calibri"/>
        <family val="2"/>
        <scheme val="minor"/>
      </rPr>
      <t>3. Financieros</t>
    </r>
    <r>
      <rPr>
        <sz val="10"/>
        <rFont val="Calibri"/>
        <family val="2"/>
        <scheme val="minor"/>
      </rPr>
      <t xml:space="preserve">.
</t>
    </r>
    <r>
      <rPr>
        <sz val="10"/>
        <color rgb="FFFF0000"/>
        <rFont val="Calibri"/>
        <family val="2"/>
        <scheme val="minor"/>
      </rPr>
      <t>Cambios en la priorización de actividades que afecten la financiación de aquellas no programadas .</t>
    </r>
    <r>
      <rPr>
        <sz val="10"/>
        <rFont val="Calibri"/>
        <family val="2"/>
        <scheme val="minor"/>
      </rPr>
      <t xml:space="preserve">
</t>
    </r>
    <r>
      <rPr>
        <b/>
        <sz val="10"/>
        <rFont val="Calibri"/>
        <family val="2"/>
        <scheme val="minor"/>
      </rPr>
      <t>4. Personal</t>
    </r>
    <r>
      <rPr>
        <sz val="10"/>
        <rFont val="Calibri"/>
        <family val="2"/>
        <scheme val="minor"/>
      </rPr>
      <t xml:space="preserve">.
Falta de fortalecimiento de competencias para temas específicos del proceso.
</t>
    </r>
    <r>
      <rPr>
        <b/>
        <sz val="10"/>
        <rFont val="Calibri"/>
        <family val="2"/>
        <scheme val="minor"/>
      </rPr>
      <t>5. Tecnología</t>
    </r>
    <r>
      <rPr>
        <sz val="10"/>
        <rFont val="Calibri"/>
        <family val="2"/>
        <scheme val="minor"/>
      </rPr>
      <t xml:space="preserve">.
</t>
    </r>
    <r>
      <rPr>
        <sz val="10"/>
        <color rgb="FFFF0000"/>
        <rFont val="Calibri"/>
        <family val="2"/>
        <scheme val="minor"/>
      </rPr>
      <t xml:space="preserve">Se desconoce de la relación costo-beneficio que viabilice la adquisición de nuevas herramientas tecnológicas.
Falta de apropiación de las herramientas tecnológicas vigentes que optimicen su uso.
</t>
    </r>
    <r>
      <rPr>
        <sz val="10"/>
        <rFont val="Calibri"/>
        <family val="2"/>
        <scheme val="minor"/>
      </rPr>
      <t xml:space="preserve">
</t>
    </r>
    <r>
      <rPr>
        <b/>
        <sz val="10"/>
        <rFont val="Calibri"/>
        <family val="2"/>
        <scheme val="minor"/>
      </rPr>
      <t>6. Comunicación Interna</t>
    </r>
    <r>
      <rPr>
        <sz val="10"/>
        <rFont val="Calibri"/>
        <family val="2"/>
        <scheme val="minor"/>
      </rPr>
      <t xml:space="preserve">.
</t>
    </r>
    <r>
      <rPr>
        <sz val="10"/>
        <color rgb="FFFF0000"/>
        <rFont val="Calibri"/>
        <family val="2"/>
        <scheme val="minor"/>
      </rPr>
      <t xml:space="preserve">Demoras por parte de los procesos al momento de reportar información para los seguimientos.
</t>
    </r>
    <r>
      <rPr>
        <sz val="10"/>
        <rFont val="Calibri"/>
        <family val="2"/>
        <scheme val="minor"/>
      </rPr>
      <t xml:space="preserve">
</t>
    </r>
    <r>
      <rPr>
        <b/>
        <sz val="10"/>
        <rFont val="Calibri"/>
        <family val="2"/>
        <scheme val="minor"/>
      </rPr>
      <t>7. Procesos</t>
    </r>
    <r>
      <rPr>
        <sz val="10"/>
        <rFont val="Calibri"/>
        <family val="2"/>
        <scheme val="minor"/>
      </rPr>
      <t>.</t>
    </r>
  </si>
  <si>
    <r>
      <rPr>
        <b/>
        <sz val="10"/>
        <rFont val="Calibri"/>
        <family val="2"/>
        <scheme val="minor"/>
      </rPr>
      <t>1. Diseño del Proceso</t>
    </r>
    <r>
      <rPr>
        <sz val="10"/>
        <rFont val="Calibri"/>
        <family val="2"/>
        <scheme val="minor"/>
      </rPr>
      <t xml:space="preserve">.
</t>
    </r>
    <r>
      <rPr>
        <sz val="10"/>
        <color rgb="FFFF0000"/>
        <rFont val="Calibri"/>
        <family val="2"/>
        <scheme val="minor"/>
      </rPr>
      <t>Falta de tableros de control que permitan realizar seguimientos oportunos a la planeación estratégica institucional.</t>
    </r>
    <r>
      <rPr>
        <sz val="10"/>
        <rFont val="Calibri"/>
        <family val="2"/>
        <scheme val="minor"/>
      </rPr>
      <t xml:space="preserve">
</t>
    </r>
    <r>
      <rPr>
        <b/>
        <sz val="10"/>
        <rFont val="Calibri"/>
        <family val="2"/>
        <scheme val="minor"/>
      </rPr>
      <t>2. Interacciones con otros procesos</t>
    </r>
    <r>
      <rPr>
        <sz val="10"/>
        <rFont val="Calibri"/>
        <family val="2"/>
        <scheme val="minor"/>
      </rPr>
      <t xml:space="preserve">.
</t>
    </r>
    <r>
      <rPr>
        <sz val="10"/>
        <color rgb="FFFF0000"/>
        <rFont val="Calibri"/>
        <family val="2"/>
        <scheme val="minor"/>
      </rPr>
      <t>Diferencias en la presentación de la información a partir de la misma fuente para la articulación de los reportes de la gestión presupuestal.</t>
    </r>
    <r>
      <rPr>
        <sz val="10"/>
        <rFont val="Calibri"/>
        <family val="2"/>
        <scheme val="minor"/>
      </rPr>
      <t xml:space="preserve">
</t>
    </r>
    <r>
      <rPr>
        <b/>
        <sz val="10"/>
        <rFont val="Calibri"/>
        <family val="2"/>
        <scheme val="minor"/>
      </rPr>
      <t>3. Transversalidad</t>
    </r>
    <r>
      <rPr>
        <sz val="10"/>
        <rFont val="Calibri"/>
        <family val="2"/>
        <scheme val="minor"/>
      </rPr>
      <t xml:space="preserve">.
</t>
    </r>
    <r>
      <rPr>
        <b/>
        <sz val="10"/>
        <rFont val="Calibri"/>
        <family val="2"/>
        <scheme val="minor"/>
      </rPr>
      <t>4. Procedimientos asociados</t>
    </r>
    <r>
      <rPr>
        <sz val="10"/>
        <rFont val="Calibri"/>
        <family val="2"/>
        <scheme val="minor"/>
      </rPr>
      <t xml:space="preserve">.
</t>
    </r>
    <r>
      <rPr>
        <sz val="10"/>
        <color rgb="FFFF0000"/>
        <rFont val="Calibri"/>
        <family val="2"/>
        <scheme val="minor"/>
      </rPr>
      <t>Formulación de la planeación integral minero energética sin contemplar variables estratégicas.</t>
    </r>
    <r>
      <rPr>
        <sz val="10"/>
        <rFont val="Calibri"/>
        <family val="2"/>
        <scheme val="minor"/>
      </rPr>
      <t xml:space="preserve">
</t>
    </r>
    <r>
      <rPr>
        <b/>
        <sz val="10"/>
        <rFont val="Calibri"/>
        <family val="2"/>
        <scheme val="minor"/>
      </rPr>
      <t>5. Comunicación entre los procesos</t>
    </r>
    <r>
      <rPr>
        <sz val="10"/>
        <rFont val="Calibri"/>
        <family val="2"/>
        <scheme val="minor"/>
      </rPr>
      <t xml:space="preserve">.
</t>
    </r>
    <r>
      <rPr>
        <b/>
        <sz val="10"/>
        <rFont val="Calibri"/>
        <family val="2"/>
        <scheme val="minor"/>
      </rPr>
      <t>6. Activos de seguridad digital del proceso</t>
    </r>
    <r>
      <rPr>
        <sz val="10"/>
        <rFont val="Calibri"/>
        <family val="2"/>
        <scheme val="minor"/>
      </rPr>
      <t xml:space="preserve">.
</t>
    </r>
  </si>
  <si>
    <t>Direccionamiento Estratégico</t>
  </si>
  <si>
    <t>Formulación de la planeación integral minero energética sin contemplar variables estratégicas.</t>
  </si>
  <si>
    <t>Desconocer variables estratégicas implica posteriores cambios o presencia de eventos no previstos en la planeación integral minero energética.</t>
  </si>
  <si>
    <t>Desconocimiento de la oferta de valor de la entidad 
en territorio.
Baja participación de los grupos de interés en la fase de planeación.
Insuficiente capacidad de reacción institucional para incorporar en la planificación las nuevas funciones hacia la entidad.
Falta de apropiación de los servidores publicos sobre su aporte al cumplimiento de metas institucionales.</t>
  </si>
  <si>
    <t>Cambios en la priorización de actividades que afecten la financiación de aquellas no programadas .</t>
  </si>
  <si>
    <t>Generación de impactos poco significativos en el cumplimiento de las metas sectoriales y Plan Nacional de Desarrollo</t>
  </si>
  <si>
    <t>No cumplir con la misionalidad de la entidad, afectando el desarrollo del sector.</t>
  </si>
  <si>
    <t>Dificultades en la articulación interinstitucional con  entidades y agremiaciones de los territorios.</t>
  </si>
  <si>
    <t>Pérdida de credibilidad en el sector que conlleve a 
Insuficiencia de los recursos económicos para el desarrollo del Plan estratégico Institucional.</t>
  </si>
  <si>
    <t>Vulnerabilidad institucional para llevar a cabo actividades en el marco de emergencias sanitarias y económicas que se presenten para asegurar la continuidad del negocio.</t>
  </si>
  <si>
    <t xml:space="preserve">Afectaciones a las actividades planeadas desde el rubro de inversión que se han visto afectadas por la reducción en tiempos de ejecución y restricciones de los desplazamientos.
</t>
  </si>
  <si>
    <t>Reducción de alcances en diferentes proyectos que afectan la misionalidad de la entidad.</t>
  </si>
  <si>
    <t>Demoras en la ejecución de las actividades programadas de los proyectos de inversión.</t>
  </si>
  <si>
    <t>Los procedimientos actuales no tienen en cuenta de manera integral los aspectos legales, regulatorios y socio-ambientales en la fase de planeación para el desarrollo las actividades dentro de los tiempos establecidos.</t>
  </si>
  <si>
    <t>Falta de credibilidad en el sector.</t>
  </si>
  <si>
    <t>Obtener resultados en el FURAG que no evidencien la mejora continua en la entidad.</t>
  </si>
  <si>
    <t>Este riesgo conlleva a no aumentar la capacidad institucional para el cumplimiento de los requisitos del Modelo Integrado de Planeación y Gestión II a través de sus dimensiones.</t>
  </si>
  <si>
    <t>Falta de apropiación interna ante los Cambios metodológicos y reglamentarios en el marco del Modelo Integrado de Planeación y Gestión.
Demoras por parte de los procesos al momento de reportar información para los seguimientos.</t>
  </si>
  <si>
    <t>Falta de credibilidad en el sector.
Hallazgos disciplinarios.
Hallazgos de control interno.</t>
  </si>
  <si>
    <t>Incumplimiento de objetivos institucionales y sectoriales aplicables.</t>
  </si>
  <si>
    <t>Falta de apropiación de la planeación estratégica por parte de todos los Servidores Públicos de la entidad.
Falta de tableros de control que permitan realizar seguimientos oportunos a la planeación estratégica institucional.
Diferencias en la presentación de la información a partir de la misma fuente para la articulación de los reportes de la gestión presupuestal.</t>
  </si>
  <si>
    <t>Destinación inadecuada de recursos.</t>
  </si>
  <si>
    <t>Este riesgo conlleva a no dar la prioridad requerida a los proyectos de inversión. Es decir que se puedan a signar mas recursos a un proyecto que no lo requiera y menos a un proyecto que sí, Adicionalmente la limitación financiera por un inadecuado manejo no contribuiría a satisfacer a la mayor cantidad de partes interesadas posibles producto de nuestra misionalidad</t>
  </si>
  <si>
    <t>Ausencia de controles de verificación sobre la información de acciónes, actividades, productos y proyecto de inversión.</t>
  </si>
  <si>
    <t>Hallazgos disciplinarios y fiscales.
Incumplimiento de principios de económicos.</t>
  </si>
  <si>
    <t>Publicar el Plan Anual de Adquisiciones fuera del plazo establecido.</t>
  </si>
  <si>
    <t>Las Entidades Estatales tienen la obligación de publicar su PAA antes del 31 de enero de cada año, identificando los bienes y servicios con el Clasificador de Bienes y Servicios de Naciones Unidas (UNSPSC).</t>
  </si>
  <si>
    <t>No planificar adecuadamente las instancias para la identificación de necesidades de las dependencias que posteriormente serán objetos contractuales.</t>
  </si>
  <si>
    <t>Incumplimiento del manual de contratación.
No brindar la información con principios de transparencia.
Hallazgos disciplinarios</t>
  </si>
  <si>
    <t>Formular proyectos de inversión que no resuelvan los problemas que lo originan.</t>
  </si>
  <si>
    <t>La formulación de proyectos requiere una gestión administrativa desde su planificación y desde la asignación de presupuesto, no resolver los problemas determina la perdida de oportunidad para atender otras necesidades que puedan tener una prioridad alta.</t>
  </si>
  <si>
    <t>No desarrollar adecuadamente la metodología del marco lógico en la formulación del problema y definición del objetivo del proyecto.
No formular ni gestionar adecuadamente los productos o entregables de los proyectos de inversión.
No gestionar adecuadamente el seguimiento a los proyectos de inversión.
No estructurar adecuadamente el proyecto en la herramienta SUIFP</t>
  </si>
  <si>
    <t>Conceptos previos.
No validación Sectorial.
Destinación indebida de recursos.</t>
  </si>
  <si>
    <t xml:space="preserve">Omisión intensionada de información de plan anual de adquisiciones y actividades de proyectos de inversión dirigidas a las partes interesadas internas y externas </t>
  </si>
  <si>
    <t>Trata de un riesgo de corrupción que conlleva al privilegio en el uso de información para interés particular.</t>
  </si>
  <si>
    <t>Falta de verificación de aspectos de completitud y exactitud en el contenido de la información divulgada.
Inadecuada segregación de funciones de verificación.
Desconocimiento de roles.</t>
  </si>
  <si>
    <t>Investigaciones disciplinarias y penales.</t>
  </si>
  <si>
    <t>No se identifica control.</t>
  </si>
  <si>
    <t>Incluir enfoque territorial en la actualización del plan estratégico como en los planes misionales.</t>
  </si>
  <si>
    <t>Profesional Especializado GIT de Planeación. LM</t>
  </si>
  <si>
    <t>Proyectos de inversión con acciones específicas en los enfoque territorial.
Planes de misionales con nuevo capítulo de enfoque territorial.</t>
  </si>
  <si>
    <t xml:space="preserve">Espacios en el comité de dirección </t>
  </si>
  <si>
    <t>El comité de dirección es la instancia de para conocer, analizar, estudiar, recomendar, asesorar y decidir respecto de la formulación de políticas, normas, conceptos y procedimientos tanto para la administración de recursos humanos, fisicos y financieros de la unidad.</t>
  </si>
  <si>
    <t>Implementar la batería de indicadores de impacto.</t>
  </si>
  <si>
    <t>Profesional Especializado GIT de Planeación. LMG</t>
  </si>
  <si>
    <t>Cuadro de mando de indicadores de impacto con seguimiento.</t>
  </si>
  <si>
    <t>Matriz de Acuerdos de gestión sectoriales.</t>
  </si>
  <si>
    <t xml:space="preserve">El relacionamiento entre la UPME y las entidades sectoriales es parcialmente
articulado para la planeación y gestión del sector minero energético en el territorio.
Progresiva participación de la UPME propiciando acuerdos del SME con los
otros sectores para el relacionamiento territorial. </t>
  </si>
  <si>
    <t>Realizar asesoramiento a los lideres de proyectos de inversión sobre las contingencias que se pueden presentar en la ejecución de proyectos en la realización de levantamiento de información de campo o pruebas pilotos en los territorios.</t>
  </si>
  <si>
    <t>Procedimiento de formulación, ejecución y seguimiento de Proyectos de Inversión.
Seguimiento a los acuerdos de gestión en comité de dirección.</t>
  </si>
  <si>
    <t xml:space="preserve">Procedimieno que permite presentar e inscribir proyectos de inversión viables, que cumplan con los requisitos legales y normativos exigidos, para obtener financiamiento del Presupuesto General de la Nación, y poder desarrollarlos en el marco de Art 5° del Decreto 2844 de 2010 </t>
  </si>
  <si>
    <t>Incluir en los procedimientos del proceso que apliquen las consideraciones y lineamientos sobre los aspectos legales, regulatorios y socio-ambientales en la fase de planeación de proyectos de inversión.</t>
  </si>
  <si>
    <t>Profesional Especializado GIT de Planeación. LM y CS</t>
  </si>
  <si>
    <t>Procedimiento(s) actualizado(s) que aplique(n)</t>
  </si>
  <si>
    <t>Autodiagnósticos MIPG y Comité de Gestión y Desempeño Institucional.</t>
  </si>
  <si>
    <t>Herramienta de autodiagnóstico que permite a cada entidad pública desarrollar su propio ejercicio de valoración del estado de cada una de las dimensiones en las cuales se estructura MIPG.</t>
  </si>
  <si>
    <t>Realizar acompañamiento a los procesos sobre las actualizaciones del MIPG.</t>
  </si>
  <si>
    <t>Profesional Especializado GIT de Planeación. CFR</t>
  </si>
  <si>
    <t>Listas de asistencia</t>
  </si>
  <si>
    <t xml:space="preserve">Fichas técnicas de contratos </t>
  </si>
  <si>
    <t>“Formato” en el que se detallan todas las
características del bien y/o servicio a adquirir y dentro del cual se incluyen, entre otros, la composición,
características físicas y técnicas, modos de uso, códigos de las actividades, legislación aplicable, obligaciones
generales y/o específicas, plazo y forma de pago del bien y/o servicio, matriz de riesgos, lugar y plazo de
ejecución y forma de pago.</t>
  </si>
  <si>
    <t>Realizar sensibilización a los Servidores Públicos sobre el contenido del PEI 2019-2022</t>
  </si>
  <si>
    <t>Listas de asistencia y contenido de la sensibilización.</t>
  </si>
  <si>
    <t>Visto bueno de actividades del grupo interno de planeación, Visto bueno del comité de contratos y Visto bueno de solicitud de CDP</t>
  </si>
  <si>
    <t>Se dispone de diferentes instancias de acuerdo a la competencia y actividades de las diferentes entidades de la entidad, los vistos buenos relacionados involucran proceos como gestión contractual, planeación, gestión financiera, entre otros</t>
  </si>
  <si>
    <t>Fortalecer los controles de verificación sobre la información de acciones, actividades, productos y proyectos de inversión.</t>
  </si>
  <si>
    <t>Profesional Especializado GIT de Planeación. LM y LMG</t>
  </si>
  <si>
    <t>Formatos de verificaciones actualizados.</t>
  </si>
  <si>
    <t>Formato para identificación de necesidades de contratación para la elaboración del Plan Anual de Adquisiciones.</t>
  </si>
  <si>
    <t>El formato de identificación de necesidades permite estandarizar el modo en que se recibe la información relacionada a una adquisición, con esto se puede realizar una viabilización y planificación objetiva.</t>
  </si>
  <si>
    <t>Actualizar el formato para la identificación de necesidades de contratación.</t>
  </si>
  <si>
    <t>Formato de identificación de necesidades actualizado.</t>
  </si>
  <si>
    <t>Procedimiento de Gestión de proyectos de inversión y Socialización de la estructura y metodología para la formulación de proyectos de inversión.</t>
  </si>
  <si>
    <t>Actualizar el procedimiento de Gestión de proyectos de inversión desarrollando adecuadamente la metodología de marco lógico para la formulación del problema y definición de objetivos del proyecto.</t>
  </si>
  <si>
    <t>Procedimiento actualizado.</t>
  </si>
  <si>
    <t>Procedimiento de formulación, ejecución y seguimiento de Proyectos de Inversión</t>
  </si>
  <si>
    <t>Establecer el procedimiento de Consolidación y publicación del Plan Anual de Adquisiciones</t>
  </si>
  <si>
    <t>Procedimiento del Plan Anual de Adquisiciones</t>
  </si>
  <si>
    <t>4. ¿Afecta el cumplimiento de la misión del sector al que pertenece la entidad?</t>
  </si>
  <si>
    <t>Formular y realizar seguimiento la ejecución de estrategias, políticas, planes, programas y proyectos de la UPME con el fin de materializar la misión, objetivos institucionales y la visión de la organización, así como coordinar la implementación del Sistema de Gestión bajo el Modelo Integrado de Planeación y Gestión.</t>
  </si>
  <si>
    <t>Aceptar el riesgo.</t>
  </si>
  <si>
    <t>Reducir el Riesgo</t>
  </si>
  <si>
    <t>Reducir  el riesgo</t>
  </si>
  <si>
    <t>Reducir el riesgo.</t>
  </si>
  <si>
    <t>Solicitar incluir en el Plan institucional de capacitación de la vigencia, capacitaciones relacionadas con: cultura de servicio al ciudadano, normatividad, estrategia de rendición de cuentas, atención de PQRS. 
Campañas de sensibilización dirigidas  a todos los funcionarios, respecto a la importancia de la politica de atención al ciudadano</t>
  </si>
  <si>
    <t>Profesional de atención al ciudadano</t>
  </si>
  <si>
    <t>4/01/2021
01/04/2021</t>
  </si>
  <si>
    <t>30/01/2021
31/12/2021</t>
  </si>
  <si>
    <t>Solicitud de capacitación enviada a  secretaria General, con copia al coordinador de Talento Humano y al profesional con funciones de capacitación(emails, formato u oficio)
Soportes de las campañas como: banners, folletos, emails, piezas comunicaciones, etc</t>
  </si>
  <si>
    <t>Solicitar a Planeación incluir dentro del SGC el formato "matriz de seguimiento de PQRS"
'Actualizar el procedimiento "Gestión y seguimiento de PQRS" para incluir el formato "matriz de seguimiento de PQRS" y revisar flujograma del  procedimiento para ajustar actividades de los responsables
Solicitar incluir en el Plan institucional de capacitación de la vigencia, capacitaciones relacionadas con atención de PQRS
'Actualizar  las Resoluciones 024/2017 y 542/2018 y socilizarlas a todos los servidores responsables de la contestación de PQRS
'Solicitar a los jefes de las dependencia la distribución objetiva en la asignacion de responsables de dar respuesta a los PQRS</t>
  </si>
  <si>
    <t>4/01/2021
4/01/2021
4/01/2021
30/06/2021
04/01/2021</t>
  </si>
  <si>
    <t>30/01/2021
30/03/2021
30/01/2021
31/12/2021
30/01/2021</t>
  </si>
  <si>
    <t>Formato "matriz de seguimiento de PQRS" codificada e incluida en el SGC
'Procedimiento "Gestión y seguimiento de PQRS" Actualizado
Solicitud de capacitación enviada a  secretaria General, con copia al coordinador de Talento Humano y al profesional con funciones de capacitación(emails, formato u oficio)
'Acto adminsitrativo de actualizacion de las Resoluciones 024/2017 y 542/2018, expedido y socializado
'Email de solicitud por parte del Secretario General enviado a los subdirectores y jefes de dependencias</t>
  </si>
  <si>
    <t xml:space="preserve">Solicitar a Planeación incluir dentro del SGC el formato "matriz de seguimiento de PQRS"
'Actualizar el procedimiento "Gestión y seguimiento de PQRS" para incluir el formato "matriz de seguimiento de PQRS" y revisar flujograma del  procedimiento para ajustar actividades de los responsables
Campañas de sensibilización para  los servidores publicos, sobre los valores contenidos en el Codigo de integridad </t>
  </si>
  <si>
    <t>4/01/2021
01/04/2021
01/04/2021</t>
  </si>
  <si>
    <t>30/01/2021
31/12/2021
31/12/2021</t>
  </si>
  <si>
    <t>Formato "matriz de seguimiento de PQRS" codificada e incluida en el SGC
'Procedimiento "Gestión y seguimiento de PQRS" Actualizado
Piezas comunicacionales, como: banners, folletos, carteleras, etc</t>
  </si>
  <si>
    <t>Continuar con los controles existentes
Campañas de sensibilización dirigidas  a todos los funcionarios, respecto a la importancia de la politica de atención al ciudadano
Conformación de equipos interdisciplinarios cuando se amerite consensuar respuestas a PQRS sobre temas especificos</t>
  </si>
  <si>
    <t>Servidores designados para gestionar respuestas de PQRS, coordinadores, subdirectores o jefes de area</t>
  </si>
  <si>
    <t>Permanente</t>
  </si>
  <si>
    <t>Trazabilidad en Orfeo de la verificación de las respuestas a PQRS 
Soportes de las campañas como: banners, folletos, emails, piezas comunicaciones, etc
Respuesta definitiva cuenta con cuadro de aprobación o vistos bueno</t>
  </si>
  <si>
    <t xml:space="preserve">Continuar con los controles existentes, respecto a la elaboración de informes de seguimiento de las actividades del plan anticorrupción referentes a atención y participación ciudadana
Continuar con los controles existentes, respecto a la verificación y visto bueno de la información contenida en los informes de atención al Ciudadano </t>
  </si>
  <si>
    <t>Profesional de atención al ciudadano
Coordinador del Proceso</t>
  </si>
  <si>
    <t>I Semestre 2021</t>
  </si>
  <si>
    <t>II Semestre 2021</t>
  </si>
  <si>
    <t>Informe por parte del lider del proceso
Informes de atención y participación ciudadana aprobados con visto bueno del coordinador del proceso</t>
  </si>
  <si>
    <t>Establecer el manual específico de crisis mediáticas</t>
  </si>
  <si>
    <t>Jefe de la Oficina y profesionales del área</t>
  </si>
  <si>
    <t>Manual de Crisis</t>
  </si>
  <si>
    <t>Actualizar y aprobar la política editorial incluyendo los plazos y acuerdos definidos.</t>
  </si>
  <si>
    <t>Jefe de la Oficina y Profesional Especializado de Planeación.</t>
  </si>
  <si>
    <t>Política editorial aprobada y actualizada</t>
  </si>
  <si>
    <t>Coordinar entre OGI y la Secretaría Adminsitrativa la metodología para responder las PQRSD que llegan por redes sociales.</t>
  </si>
  <si>
    <t>Jefe de la Oficina y Secretario General.</t>
  </si>
  <si>
    <t>Acta de entrega.</t>
  </si>
  <si>
    <t>Realizar acciones de comunicación que fomenten la identidad, el trabajo en equipo y la cohesión desde el contexto de teletrabajo.</t>
  </si>
  <si>
    <t>Informe del plan de comunicaciones.</t>
  </si>
  <si>
    <t>Incluir como necesidad para el Plan Anual de Adquisiciones la compra de equipos de comunicación para la administración de redes sociales.</t>
  </si>
  <si>
    <t>Jefe de la Oficina,  profesionales del área y profesional de planeación.</t>
  </si>
  <si>
    <t>Plan de adquisiciones con la necesidad.</t>
  </si>
  <si>
    <r>
      <t xml:space="preserve">1. Políticos.
</t>
    </r>
    <r>
      <rPr>
        <sz val="10"/>
        <rFont val="Calibri"/>
        <family val="2"/>
        <scheme val="minor"/>
      </rPr>
      <t xml:space="preserve">
</t>
    </r>
    <r>
      <rPr>
        <b/>
        <sz val="10"/>
        <rFont val="Calibri"/>
        <family val="2"/>
        <scheme val="minor"/>
      </rPr>
      <t xml:space="preserve">
2. Económicos y financieros.
</t>
    </r>
    <r>
      <rPr>
        <sz val="10"/>
        <rFont val="Calibri"/>
        <family val="2"/>
        <scheme val="minor"/>
      </rPr>
      <t xml:space="preserve">
</t>
    </r>
    <r>
      <rPr>
        <b/>
        <sz val="10"/>
        <rFont val="Calibri"/>
        <family val="2"/>
        <scheme val="minor"/>
      </rPr>
      <t xml:space="preserve">
3. Sociales y culturales.
</t>
    </r>
    <r>
      <rPr>
        <sz val="10"/>
        <rFont val="Calibri"/>
        <family val="2"/>
        <scheme val="minor"/>
      </rPr>
      <t xml:space="preserve">
</t>
    </r>
    <r>
      <rPr>
        <b/>
        <sz val="10"/>
        <rFont val="Calibri"/>
        <family val="2"/>
        <scheme val="minor"/>
      </rPr>
      <t xml:space="preserve">
4. Tecnológicos.
</t>
    </r>
    <r>
      <rPr>
        <sz val="10"/>
        <rFont val="Calibri"/>
        <family val="2"/>
        <scheme val="minor"/>
      </rPr>
      <t xml:space="preserve">
</t>
    </r>
    <r>
      <rPr>
        <b/>
        <sz val="10"/>
        <rFont val="Calibri"/>
        <family val="2"/>
        <scheme val="minor"/>
      </rPr>
      <t xml:space="preserve">
5. Ambientales.
</t>
    </r>
    <r>
      <rPr>
        <sz val="10"/>
        <rFont val="Calibri"/>
        <family val="2"/>
        <scheme val="minor"/>
      </rPr>
      <t xml:space="preserve">
</t>
    </r>
    <r>
      <rPr>
        <b/>
        <sz val="10"/>
        <rFont val="Calibri"/>
        <family val="2"/>
        <scheme val="minor"/>
      </rPr>
      <t xml:space="preserve">
6. Legales y reglamentarios.
</t>
    </r>
  </si>
  <si>
    <r>
      <rPr>
        <b/>
        <sz val="10"/>
        <rFont val="Calibri"/>
        <family val="2"/>
        <scheme val="minor"/>
      </rPr>
      <t>1. Estratégicos</t>
    </r>
    <r>
      <rPr>
        <sz val="10"/>
        <rFont val="Calibri"/>
        <family val="2"/>
        <scheme val="minor"/>
      </rPr>
      <t xml:space="preserve">.
</t>
    </r>
    <r>
      <rPr>
        <b/>
        <sz val="10"/>
        <rFont val="Calibri"/>
        <family val="2"/>
        <scheme val="minor"/>
      </rPr>
      <t>2. Estructura organizaciona</t>
    </r>
    <r>
      <rPr>
        <sz val="10"/>
        <rFont val="Calibri"/>
        <family val="2"/>
        <scheme val="minor"/>
      </rPr>
      <t xml:space="preserve">l.
</t>
    </r>
    <r>
      <rPr>
        <b/>
        <sz val="10"/>
        <rFont val="Calibri"/>
        <family val="2"/>
        <scheme val="minor"/>
      </rPr>
      <t>3. Financieros</t>
    </r>
    <r>
      <rPr>
        <sz val="10"/>
        <rFont val="Calibri"/>
        <family val="2"/>
        <scheme val="minor"/>
      </rPr>
      <t xml:space="preserve">.
</t>
    </r>
    <r>
      <rPr>
        <b/>
        <sz val="10"/>
        <rFont val="Calibri"/>
        <family val="2"/>
        <scheme val="minor"/>
      </rPr>
      <t>4. Personal</t>
    </r>
    <r>
      <rPr>
        <sz val="10"/>
        <rFont val="Calibri"/>
        <family val="2"/>
        <scheme val="minor"/>
      </rPr>
      <t xml:space="preserve">.
Incumplimiento del procedimiento de divulgación por parte de algunos funcionarios.
Deficiencias en la integridad de la información suministrada para el cargue en página web.
Falta de socialización del procedimiento de divulgación en los funcionarios nuevos de la entidad.
</t>
    </r>
    <r>
      <rPr>
        <b/>
        <sz val="10"/>
        <rFont val="Calibri"/>
        <family val="2"/>
        <scheme val="minor"/>
      </rPr>
      <t>5. Tecnología</t>
    </r>
    <r>
      <rPr>
        <sz val="10"/>
        <rFont val="Calibri"/>
        <family val="2"/>
        <scheme val="minor"/>
      </rPr>
      <t xml:space="preserve">.
</t>
    </r>
    <r>
      <rPr>
        <b/>
        <sz val="10"/>
        <rFont val="Calibri"/>
        <family val="2"/>
        <scheme val="minor"/>
      </rPr>
      <t>6. Comunicación Interna</t>
    </r>
    <r>
      <rPr>
        <sz val="10"/>
        <rFont val="Calibri"/>
        <family val="2"/>
        <scheme val="minor"/>
      </rPr>
      <t xml:space="preserve">.
</t>
    </r>
    <r>
      <rPr>
        <b/>
        <sz val="10"/>
        <rFont val="Calibri"/>
        <family val="2"/>
        <scheme val="minor"/>
      </rPr>
      <t>7. Procesos</t>
    </r>
    <r>
      <rPr>
        <sz val="10"/>
        <rFont val="Calibri"/>
        <family val="2"/>
        <scheme val="minor"/>
      </rPr>
      <t>.</t>
    </r>
  </si>
  <si>
    <r>
      <rPr>
        <b/>
        <sz val="10"/>
        <rFont val="Calibri"/>
        <family val="2"/>
        <scheme val="minor"/>
      </rPr>
      <t>1. Diseño del Proceso</t>
    </r>
    <r>
      <rPr>
        <sz val="10"/>
        <rFont val="Calibri"/>
        <family val="2"/>
        <scheme val="minor"/>
      </rPr>
      <t xml:space="preserve">.
</t>
    </r>
    <r>
      <rPr>
        <b/>
        <sz val="10"/>
        <rFont val="Calibri"/>
        <family val="2"/>
        <scheme val="minor"/>
      </rPr>
      <t>2. Interacciones con otros procesos</t>
    </r>
    <r>
      <rPr>
        <sz val="10"/>
        <rFont val="Calibri"/>
        <family val="2"/>
        <scheme val="minor"/>
      </rPr>
      <t xml:space="preserve">.
Desconocimiento del alcance del proceso frente a otros como información sectorial o comunicación estratégica.
</t>
    </r>
    <r>
      <rPr>
        <b/>
        <sz val="10"/>
        <rFont val="Calibri"/>
        <family val="2"/>
        <scheme val="minor"/>
      </rPr>
      <t>3. Transversalidad</t>
    </r>
    <r>
      <rPr>
        <sz val="10"/>
        <rFont val="Calibri"/>
        <family val="2"/>
        <scheme val="minor"/>
      </rPr>
      <t xml:space="preserve">.
</t>
    </r>
    <r>
      <rPr>
        <b/>
        <sz val="10"/>
        <rFont val="Calibri"/>
        <family val="2"/>
        <scheme val="minor"/>
      </rPr>
      <t>4. Procedimientos asociados</t>
    </r>
    <r>
      <rPr>
        <sz val="10"/>
        <rFont val="Calibri"/>
        <family val="2"/>
        <scheme val="minor"/>
      </rPr>
      <t xml:space="preserve">.
El procedimiento actual no define las tipificaciones necesarias de las excepciones que conlleve a priorizar las fechas de las publicaciones.
</t>
    </r>
    <r>
      <rPr>
        <b/>
        <sz val="10"/>
        <rFont val="Calibri"/>
        <family val="2"/>
        <scheme val="minor"/>
      </rPr>
      <t>5. Comunicación entre los procesos</t>
    </r>
    <r>
      <rPr>
        <sz val="10"/>
        <rFont val="Calibri"/>
        <family val="2"/>
        <scheme val="minor"/>
      </rPr>
      <t xml:space="preserve">.
</t>
    </r>
    <r>
      <rPr>
        <b/>
        <sz val="10"/>
        <rFont val="Calibri"/>
        <family val="2"/>
        <scheme val="minor"/>
      </rPr>
      <t>6. Activos de seguridad digital del proceso</t>
    </r>
    <r>
      <rPr>
        <sz val="10"/>
        <rFont val="Calibri"/>
        <family val="2"/>
        <scheme val="minor"/>
      </rPr>
      <t xml:space="preserve">.
</t>
    </r>
  </si>
  <si>
    <t>Divulgación e información minero energética</t>
  </si>
  <si>
    <t>Comunicar la información oficial del sector mineroenergético generada por la entidad en forma oportuna y eficaz.</t>
  </si>
  <si>
    <t>Incumplimiento del procedimiento de de divulgación.</t>
  </si>
  <si>
    <t>No lograr comunicar oportunamente la información a las partes interesadas</t>
  </si>
  <si>
    <t>El procedimiento actual no define las tipificaciones necesarias de las excepciones que conlleve a priorizar las fechas de las publicaciones.
Posibles incumplimientos del procedimiento de divulgación por parte de los funcionarios responsables de la publicación.
Falta de socialización del procedimiento de divulgación en los funcionarios de la entidad.</t>
  </si>
  <si>
    <t>Demoras en la publicación.
Aumento del tiempo de respuesta.
Reprocesos en las solicitudes de divulgación.</t>
  </si>
  <si>
    <t>Incumplimientos de la normatividad de Transparencia y acceso a la información pública</t>
  </si>
  <si>
    <t>Incumplimiento de De acuerdo a la Ley 1712 de 2014,</t>
  </si>
  <si>
    <t>No se ha determinado en el procedimiento de divulgación el ciclo de vida de las publicaciones.</t>
  </si>
  <si>
    <t>Hallazgos de control interno.
Hallazgos disciplinarios.</t>
  </si>
  <si>
    <t>P-DI-04 Procedimiento Publicaciones Web</t>
  </si>
  <si>
    <t>Determina los lineamientos para realizar la publicación estandarizada de documentos, definiendo las interacciones entre los procesos</t>
  </si>
  <si>
    <t>Incluir en el procedimiento P-DI-04  Publicaciones Web, las tifipicaciones de las excepciones.
Socializar el procedimiento Socializar el P-DI-04 Procedimiento Publicaciones Web actualizado, unificando criterios para su aplicación.
Socializar el P-DI-04 Procedimiento Publicaciones Web a los funcionarios.</t>
  </si>
  <si>
    <t>Jefe de Oficina
'OGI
'OGI</t>
  </si>
  <si>
    <t>1/03/2021
30/03/2021
30/03/2021</t>
  </si>
  <si>
    <t>30/03/2021
30/04/2021
30/04/2021</t>
  </si>
  <si>
    <t>Procedimiento P-DI-04  Publicaciones Web con las tifipicaciones de las excepciones.
Acta de reunión.
Campaña de comunicación.</t>
  </si>
  <si>
    <t>Incluir en el P-DI-04 Procedimiento Publicaciones Web lineamientos asociados al ciclo de vida de las publicaciones</t>
  </si>
  <si>
    <t>Jefe de Oficina</t>
  </si>
  <si>
    <t>Procedimiento P-DI-04  Publicaciones Web con los lineamientos asociados al ciclo de vida de las publicaciones.</t>
  </si>
  <si>
    <r>
      <t xml:space="preserve">1. Políticos.
</t>
    </r>
    <r>
      <rPr>
        <sz val="10"/>
        <color theme="1"/>
        <rFont val="Calibri"/>
        <family val="2"/>
        <scheme val="minor"/>
      </rPr>
      <t xml:space="preserve">
</t>
    </r>
    <r>
      <rPr>
        <b/>
        <sz val="10"/>
        <color theme="1"/>
        <rFont val="Calibri"/>
        <family val="2"/>
        <scheme val="minor"/>
      </rPr>
      <t xml:space="preserve">
2. Económicos y financieros.
</t>
    </r>
    <r>
      <rPr>
        <sz val="10"/>
        <color theme="1"/>
        <rFont val="Calibri"/>
        <family val="2"/>
        <scheme val="minor"/>
      </rPr>
      <t xml:space="preserve">
</t>
    </r>
    <r>
      <rPr>
        <b/>
        <sz val="10"/>
        <color theme="1"/>
        <rFont val="Calibri"/>
        <family val="2"/>
        <scheme val="minor"/>
      </rPr>
      <t xml:space="preserve">
3. Sociales y culturales.
</t>
    </r>
    <r>
      <rPr>
        <sz val="10"/>
        <color theme="1"/>
        <rFont val="Calibri"/>
        <family val="2"/>
        <scheme val="minor"/>
      </rPr>
      <t xml:space="preserve">
</t>
    </r>
    <r>
      <rPr>
        <b/>
        <sz val="10"/>
        <color theme="1"/>
        <rFont val="Calibri"/>
        <family val="2"/>
        <scheme val="minor"/>
      </rPr>
      <t xml:space="preserve">
4. Tecnológicos.
</t>
    </r>
    <r>
      <rPr>
        <sz val="10"/>
        <color theme="1"/>
        <rFont val="Calibri"/>
        <family val="2"/>
        <scheme val="minor"/>
      </rPr>
      <t xml:space="preserve">Gobierno en Linea
</t>
    </r>
    <r>
      <rPr>
        <b/>
        <sz val="10"/>
        <color theme="1"/>
        <rFont val="Calibri"/>
        <family val="2"/>
        <scheme val="minor"/>
      </rPr>
      <t xml:space="preserve">
5. Ambientales.
</t>
    </r>
    <r>
      <rPr>
        <sz val="10"/>
        <color theme="1"/>
        <rFont val="Calibri"/>
        <family val="2"/>
        <scheme val="minor"/>
      </rPr>
      <t xml:space="preserve">Riesgos biologicos 
</t>
    </r>
    <r>
      <rPr>
        <b/>
        <sz val="10"/>
        <color theme="1"/>
        <rFont val="Calibri"/>
        <family val="2"/>
        <scheme val="minor"/>
      </rPr>
      <t xml:space="preserve">
6. Legales y reglamentarios.
</t>
    </r>
    <r>
      <rPr>
        <sz val="10"/>
        <color theme="1"/>
        <rFont val="Calibri"/>
        <family val="2"/>
        <scheme val="minor"/>
      </rPr>
      <t>Actualización de normatividad, ejm contractual</t>
    </r>
    <r>
      <rPr>
        <b/>
        <sz val="10"/>
        <color theme="1"/>
        <rFont val="Calibri"/>
        <family val="2"/>
        <scheme val="minor"/>
      </rPr>
      <t xml:space="preserve">
</t>
    </r>
  </si>
  <si>
    <r>
      <rPr>
        <b/>
        <sz val="10"/>
        <color theme="1"/>
        <rFont val="Calibri"/>
        <family val="2"/>
        <scheme val="minor"/>
      </rPr>
      <t>1. Estratégicos</t>
    </r>
    <r>
      <rPr>
        <sz val="10"/>
        <color theme="1"/>
        <rFont val="Calibri"/>
        <family val="2"/>
        <scheme val="minor"/>
      </rPr>
      <t xml:space="preserve">.
Cambio en la composición del Concejo Directivo
Cambio del Director 
Lineamientos estrategicos que afecten al proceso
</t>
    </r>
    <r>
      <rPr>
        <b/>
        <sz val="10"/>
        <color theme="1"/>
        <rFont val="Calibri"/>
        <family val="2"/>
        <scheme val="minor"/>
      </rPr>
      <t>2. Estructura organizaciona</t>
    </r>
    <r>
      <rPr>
        <sz val="10"/>
        <color theme="1"/>
        <rFont val="Calibri"/>
        <family val="2"/>
        <scheme val="minor"/>
      </rPr>
      <t xml:space="preserve">l.
Actualizaciones mapa de procesos
</t>
    </r>
    <r>
      <rPr>
        <b/>
        <sz val="10"/>
        <color theme="1"/>
        <rFont val="Calibri"/>
        <family val="2"/>
        <scheme val="minor"/>
      </rPr>
      <t>3. Financieros</t>
    </r>
    <r>
      <rPr>
        <sz val="10"/>
        <color theme="1"/>
        <rFont val="Calibri"/>
        <family val="2"/>
        <scheme val="minor"/>
      </rPr>
      <t xml:space="preserve">.
Indisponibilidad de recursos para abastecer bienes y servicios no programados
No asignación de nuevos recursos al presupuesto para la siguiente vigencia
</t>
    </r>
    <r>
      <rPr>
        <b/>
        <sz val="10"/>
        <color theme="1"/>
        <rFont val="Calibri"/>
        <family val="2"/>
        <scheme val="minor"/>
      </rPr>
      <t>4. Personal</t>
    </r>
    <r>
      <rPr>
        <sz val="10"/>
        <color theme="1"/>
        <rFont val="Calibri"/>
        <family val="2"/>
        <scheme val="minor"/>
      </rPr>
      <t xml:space="preserve">.
Asignación de nuevos funcionarios al proceso sin las competencias y/o capacitaciones requeridas
Desconocimiento de los lineamientos sobre la responsabilidad de los activos de la Entidad, por parte de los servidores publicos
</t>
    </r>
    <r>
      <rPr>
        <b/>
        <sz val="10"/>
        <color theme="1"/>
        <rFont val="Calibri"/>
        <family val="2"/>
        <scheme val="minor"/>
      </rPr>
      <t>5. Tecnología</t>
    </r>
    <r>
      <rPr>
        <sz val="10"/>
        <color theme="1"/>
        <rFont val="Calibri"/>
        <family val="2"/>
        <scheme val="minor"/>
      </rPr>
      <t xml:space="preserve">.
Infraestructura tecnologica obsoleta de acuerdo a las axigencias actuales de trabajo (ejm: trabajo en casa)
Implementación herramienta Seven-er con sistema complementario para administración de los activos de la Entidad
</t>
    </r>
    <r>
      <rPr>
        <b/>
        <sz val="10"/>
        <color theme="1"/>
        <rFont val="Calibri"/>
        <family val="2"/>
        <scheme val="minor"/>
      </rPr>
      <t>6. Comunicación Interna</t>
    </r>
    <r>
      <rPr>
        <sz val="10"/>
        <color theme="1"/>
        <rFont val="Calibri"/>
        <family val="2"/>
        <scheme val="minor"/>
      </rPr>
      <t xml:space="preserve">.
</t>
    </r>
    <r>
      <rPr>
        <b/>
        <sz val="10"/>
        <color theme="1"/>
        <rFont val="Calibri"/>
        <family val="2"/>
        <scheme val="minor"/>
      </rPr>
      <t>7. Procesos</t>
    </r>
    <r>
      <rPr>
        <sz val="10"/>
        <color theme="1"/>
        <rFont val="Calibri"/>
        <family val="2"/>
        <scheme val="minor"/>
      </rPr>
      <t>.</t>
    </r>
  </si>
  <si>
    <r>
      <rPr>
        <b/>
        <sz val="10"/>
        <color theme="1"/>
        <rFont val="Calibri"/>
        <family val="2"/>
        <scheme val="minor"/>
      </rPr>
      <t>1. Diseño del Proceso</t>
    </r>
    <r>
      <rPr>
        <sz val="10"/>
        <color theme="1"/>
        <rFont val="Calibri"/>
        <family val="2"/>
        <scheme val="minor"/>
      </rPr>
      <t xml:space="preserve">.
Actualización de procedimientos e instructivos
</t>
    </r>
    <r>
      <rPr>
        <b/>
        <sz val="10"/>
        <color theme="1"/>
        <rFont val="Calibri"/>
        <family val="2"/>
        <scheme val="minor"/>
      </rPr>
      <t>2. Interacciones con otros procesos</t>
    </r>
    <r>
      <rPr>
        <sz val="10"/>
        <color theme="1"/>
        <rFont val="Calibri"/>
        <family val="2"/>
        <scheme val="minor"/>
      </rPr>
      <t xml:space="preserve">.
Administración de Bienes y servicios necesarios, asignados a los funcionarios, para cumplimiento de actividades, incluyendo trabajo en casa
</t>
    </r>
    <r>
      <rPr>
        <b/>
        <sz val="10"/>
        <color theme="1"/>
        <rFont val="Calibri"/>
        <family val="2"/>
        <scheme val="minor"/>
      </rPr>
      <t>3. Transversalidad</t>
    </r>
    <r>
      <rPr>
        <sz val="10"/>
        <color theme="1"/>
        <rFont val="Calibri"/>
        <family val="2"/>
        <scheme val="minor"/>
      </rPr>
      <t xml:space="preserve">.
</t>
    </r>
    <r>
      <rPr>
        <b/>
        <sz val="10"/>
        <color theme="1"/>
        <rFont val="Calibri"/>
        <family val="2"/>
        <scheme val="minor"/>
      </rPr>
      <t>4. Procedimientos asociados</t>
    </r>
    <r>
      <rPr>
        <sz val="10"/>
        <color theme="1"/>
        <rFont val="Calibri"/>
        <family val="2"/>
        <scheme val="minor"/>
      </rPr>
      <t xml:space="preserve">.
</t>
    </r>
    <r>
      <rPr>
        <b/>
        <sz val="10"/>
        <color theme="1"/>
        <rFont val="Calibri"/>
        <family val="2"/>
        <scheme val="minor"/>
      </rPr>
      <t>5. Comunicación entre los procesos</t>
    </r>
    <r>
      <rPr>
        <sz val="10"/>
        <color theme="1"/>
        <rFont val="Calibri"/>
        <family val="2"/>
        <scheme val="minor"/>
      </rPr>
      <t xml:space="preserve">.
Limitaciones en cuanto a las herramientas tecnologicas que permitan una comunicación fluida y oportuna
</t>
    </r>
    <r>
      <rPr>
        <b/>
        <sz val="10"/>
        <color theme="1"/>
        <rFont val="Calibri"/>
        <family val="2"/>
        <scheme val="minor"/>
      </rPr>
      <t>6. Activos de seguridad digital del proceso</t>
    </r>
    <r>
      <rPr>
        <sz val="10"/>
        <color theme="1"/>
        <rFont val="Calibri"/>
        <family val="2"/>
        <scheme val="minor"/>
      </rPr>
      <t>.</t>
    </r>
  </si>
  <si>
    <t>GESTIÓN DE SERVICIOS ADMINISTRATIVOS</t>
  </si>
  <si>
    <t>Administrar y custodiar los bienes muebles e inmuebles  que se encuentran bajo responsabilidad de la UPME, con criterios de eficiencia, compromiso ambiental  y  bienestar.</t>
  </si>
  <si>
    <t xml:space="preserve">Insatisfacción en la provisión de bienes y servicios </t>
  </si>
  <si>
    <t>Insatisfacción de las partes interesadas respecto a la provisión de bienes y servicios, que procuren el confort, bienestar y seguridad a las instalaciones del a UPME</t>
  </si>
  <si>
    <t>Por demoras en la atención de requerimientos
Los bienes y servicios suministrados no cumplen con la calidad requerida
Los bienes y servicios suministrados no son funcionales
Planeación deficiente acorde con las necesidades de la UPME</t>
  </si>
  <si>
    <t>Detrimento patrimonial
Clima laboral inadecuado
Enfermedades laborales
Estrés laboral
Insatisfacción de las partes interesadas (usuarios)
Mala imagen institucional</t>
  </si>
  <si>
    <t>Deterioro prematuro de los bienes de la Entidad</t>
  </si>
  <si>
    <t>Instalaciones y activos de la Entidad deteriorados de forma prematura</t>
  </si>
  <si>
    <t xml:space="preserve">Mantenimientos deficientes
Planeación deficiente de los mantenimientos
Carencia de mantenimientos a la infraestructura
</t>
  </si>
  <si>
    <t xml:space="preserve">
Deterioro de los bienes de la UPME
Detrimento patrimonial
Siniestros
Mala imagen institucional
Insatisfacción de las partes interesadas</t>
  </si>
  <si>
    <t>Uso indebido de los activos de la Entidad</t>
  </si>
  <si>
    <t>Uso indebido por parte de los servidores publico, de los activos de la Entidad</t>
  </si>
  <si>
    <t xml:space="preserve">Desconocimiento de los lineamientos sobre la responsabilidad de los activos de la Entidad, por parte de los servidores publicos
Falta de apropiación y compromiso por parte de los servidores publicos respecto al buen uso de los activos
Inventarios de los servidores publicos desactualizados
</t>
  </si>
  <si>
    <t>Detrimentos
Procesos Disciplinarios
Entorpecimiento de las actividades a desarrollar por los servidores publicos</t>
  </si>
  <si>
    <t>Perdida de los activos de la Entidad</t>
  </si>
  <si>
    <t>Vandalismo o hurto que sufran los activos de la Entidad</t>
  </si>
  <si>
    <t>Inventarios desactualizados
Falta de lineamientos para el control de inventarios de la Entidad
Acciones para beneficio propio o de un tercero</t>
  </si>
  <si>
    <t>Detrimentos
Procesos Disciplinarios
Entorpecimiento de las actividades a desarrollar por los servidores publicos
Sobre costos</t>
  </si>
  <si>
    <t>Plan de Adquisiciones estructurado</t>
  </si>
  <si>
    <t>Plan anual de Adquisiciones estructurado respecto al presupuesto de funcionamiento</t>
  </si>
  <si>
    <t xml:space="preserve">Programación de mantenimientos dentro del Plan de Adquisiciones </t>
  </si>
  <si>
    <t xml:space="preserve">Inclusion de los mantenimientos dentro del Plan anual de Adquisiciones </t>
  </si>
  <si>
    <t>Inventario de los activos para  los servidores publicos</t>
  </si>
  <si>
    <t>Elaboración de inventario de los activos suministrados a los servidores publicos</t>
  </si>
  <si>
    <t>Inventario de los activos para  los servidores publicos. Tercerización seguridad de las instalaciones de la UPME</t>
  </si>
  <si>
    <t>Elaboración de inventario de los activos suministrados a los servidores publicos. Tercerización seguridad de las instalaciones de la UPME, a traves de vigilancia privada, circuito cerrado de vigilancia y control de acceso a las instalaciones</t>
  </si>
  <si>
    <t>PAA estructurado para rubro de funcionamiento</t>
  </si>
  <si>
    <t xml:space="preserve">Inventario individual firmado por las partes </t>
  </si>
  <si>
    <t>Actualizar el procedimiento de Gestion de servicios administrativos, para indicar que la fecha maxima estimada de gestón de entrega de los bienes solicitados por los procesos sea de maximo 4 dias calendario</t>
  </si>
  <si>
    <t>Coordinadora del Grupo interno de trabajo de gestion administrativa</t>
  </si>
  <si>
    <t>I trimestre 2021</t>
  </si>
  <si>
    <t>procedimiento de Gestion de servicios administrativos actualizado y socializado</t>
  </si>
  <si>
    <t>Elaborar formato de cronograma de mantenimientos 
'Actualizar el procedimiento de Gestion de servicios administrativos, en cuanto a la actividad de mantenimientos de los activos de la Entidad e incluir el cronograma de mantenimiento</t>
  </si>
  <si>
    <t>Procedimiento de Gestion de servicios administrativos actualizado y socializado</t>
  </si>
  <si>
    <t xml:space="preserve">Elaboración del Manual del buen uso de los activos de la Entidad
Campaña de sensibilización a los servidores sobre el buen uso de los activos de la Entidad
Actualizar minimo el 70% de los inventarios de bienes entregados a los servidores publicos de la Entidad </t>
  </si>
  <si>
    <t>Coordinadora del Grupo interno de trabajo de gestion administrativa
'Coordinadora del Grupo interno de trabajo de gestion administrativa con profesional de comunicaciones
'Tecnico con funciones de almacenista</t>
  </si>
  <si>
    <t>II trimestre 2021</t>
  </si>
  <si>
    <t xml:space="preserve">Manual del buen uso de los activos de la Entidad aprobado y socializado
Piezas comunicacionales campaña buen uso de los activos de la Entidad
inventarios servidores publicos actualizados </t>
  </si>
  <si>
    <t>Actualizar minimo el 70% de los inventarios de bienes entregados a los servidores publicos de la Entidad 
Continuar con los controles extistentes: Tercerización seguridad de las instalaciones de la UPME
Capacitar al tecnico con funciones de almacenista sobre el uso de las herramientas del sistema Seven-er para complementar las actividades de administración de activos
Campaña de sensibilización a los servidores sobre el buen uso de los activos de la Entidad</t>
  </si>
  <si>
    <t xml:space="preserve">Tecnico con funciones de almacenista
'Secretaria General
'Coordinadora del Grupo interno de trabajo de gestion administrativa
'Coordinadora del Grupo interno de trabajo de gestion administrativa con '
Profesional de comunicaciones </t>
  </si>
  <si>
    <t>inventarios servidores publicos actualizados 
Contrato de vigilancia privada formalizado 
Solicitudes de acompañamiento de soporte
Piezas comunicacionales campaña buen uso de los activos de la Entidad</t>
  </si>
  <si>
    <r>
      <t xml:space="preserve">1. Políticos.
</t>
    </r>
    <r>
      <rPr>
        <sz val="10"/>
        <rFont val="Calibri"/>
        <family val="2"/>
        <scheme val="minor"/>
      </rPr>
      <t xml:space="preserve">
</t>
    </r>
    <r>
      <rPr>
        <b/>
        <sz val="10"/>
        <rFont val="Calibri"/>
        <family val="2"/>
        <scheme val="minor"/>
      </rPr>
      <t xml:space="preserve">
2. Económicos y financieros.
</t>
    </r>
    <r>
      <rPr>
        <sz val="10"/>
        <rFont val="Calibri"/>
        <family val="2"/>
        <scheme val="minor"/>
      </rPr>
      <t xml:space="preserve">
</t>
    </r>
    <r>
      <rPr>
        <b/>
        <sz val="10"/>
        <rFont val="Calibri"/>
        <family val="2"/>
        <scheme val="minor"/>
      </rPr>
      <t xml:space="preserve">
3. Sociales y culturales.
</t>
    </r>
    <r>
      <rPr>
        <sz val="10"/>
        <color rgb="FFFF0000"/>
        <rFont val="Calibri"/>
        <family val="2"/>
        <scheme val="minor"/>
      </rPr>
      <t>Demoras en la entrega de información por parte del contratista para formalización del contrato.</t>
    </r>
    <r>
      <rPr>
        <b/>
        <sz val="10"/>
        <color rgb="FFFF0000"/>
        <rFont val="Calibri"/>
        <family val="2"/>
        <scheme val="minor"/>
      </rPr>
      <t xml:space="preserve">
</t>
    </r>
    <r>
      <rPr>
        <b/>
        <sz val="10"/>
        <rFont val="Calibri"/>
        <family val="2"/>
        <scheme val="minor"/>
      </rPr>
      <t xml:space="preserve">
4. Tecnológicos.
</t>
    </r>
    <r>
      <rPr>
        <sz val="10"/>
        <rFont val="Calibri"/>
        <family val="2"/>
        <scheme val="minor"/>
      </rPr>
      <t xml:space="preserve">
</t>
    </r>
    <r>
      <rPr>
        <b/>
        <sz val="10"/>
        <rFont val="Calibri"/>
        <family val="2"/>
        <scheme val="minor"/>
      </rPr>
      <t xml:space="preserve">
5. Ambientales.
</t>
    </r>
    <r>
      <rPr>
        <sz val="10"/>
        <rFont val="Calibri"/>
        <family val="2"/>
        <scheme val="minor"/>
      </rPr>
      <t xml:space="preserve">
</t>
    </r>
    <r>
      <rPr>
        <b/>
        <sz val="10"/>
        <rFont val="Calibri"/>
        <family val="2"/>
        <scheme val="minor"/>
      </rPr>
      <t xml:space="preserve">
6. Legales y reglamentarios.
</t>
    </r>
  </si>
  <si>
    <r>
      <rPr>
        <b/>
        <sz val="10"/>
        <rFont val="Calibri"/>
        <family val="2"/>
        <scheme val="minor"/>
      </rPr>
      <t>1. Estratégicos</t>
    </r>
    <r>
      <rPr>
        <sz val="10"/>
        <rFont val="Calibri"/>
        <family val="2"/>
        <scheme val="minor"/>
      </rPr>
      <t xml:space="preserve">.
</t>
    </r>
    <r>
      <rPr>
        <b/>
        <sz val="10"/>
        <rFont val="Calibri"/>
        <family val="2"/>
        <scheme val="minor"/>
      </rPr>
      <t>2. Estructura organizaciona</t>
    </r>
    <r>
      <rPr>
        <sz val="10"/>
        <rFont val="Calibri"/>
        <family val="2"/>
        <scheme val="minor"/>
      </rPr>
      <t xml:space="preserve">l.
</t>
    </r>
    <r>
      <rPr>
        <b/>
        <sz val="10"/>
        <rFont val="Calibri"/>
        <family val="2"/>
        <scheme val="minor"/>
      </rPr>
      <t>3. Financieros</t>
    </r>
    <r>
      <rPr>
        <sz val="10"/>
        <rFont val="Calibri"/>
        <family val="2"/>
        <scheme val="minor"/>
      </rPr>
      <t xml:space="preserve">.
</t>
    </r>
    <r>
      <rPr>
        <sz val="10"/>
        <color rgb="FFFF0000"/>
        <rFont val="Calibri"/>
        <family val="2"/>
        <scheme val="minor"/>
      </rPr>
      <t>Desconocimiento al momento de contemplar los diferentes costos o variables financieras que afectan el valor del contrato por parte del líder del área.</t>
    </r>
    <r>
      <rPr>
        <sz val="10"/>
        <rFont val="Calibri"/>
        <family val="2"/>
        <scheme val="minor"/>
      </rPr>
      <t xml:space="preserve">
</t>
    </r>
    <r>
      <rPr>
        <b/>
        <sz val="10"/>
        <rFont val="Calibri"/>
        <family val="2"/>
        <scheme val="minor"/>
      </rPr>
      <t>4. Personal</t>
    </r>
    <r>
      <rPr>
        <sz val="10"/>
        <rFont val="Calibri"/>
        <family val="2"/>
        <scheme val="minor"/>
      </rPr>
      <t xml:space="preserve">.
</t>
    </r>
    <r>
      <rPr>
        <sz val="10"/>
        <color rgb="FFFF0000"/>
        <rFont val="Calibri"/>
        <family val="2"/>
        <scheme val="minor"/>
      </rPr>
      <t xml:space="preserve">Los servidores públicos de los procesos no toman los documentos vigentes para establecer los estudios previos.
Desconocimiento por parte de los supervisores sobre sus responsabilidades durante la ejecución de los contratos
Desconocimiento del uso de la plataforma SECOP II por parte del equipo del proceso.
Desconocimiento de los futuros supervisores de contratos sobre la plataforma el SECOP II
</t>
    </r>
    <r>
      <rPr>
        <sz val="10"/>
        <rFont val="Calibri"/>
        <family val="2"/>
        <scheme val="minor"/>
      </rPr>
      <t xml:space="preserve">
</t>
    </r>
    <r>
      <rPr>
        <b/>
        <sz val="10"/>
        <rFont val="Calibri"/>
        <family val="2"/>
        <scheme val="minor"/>
      </rPr>
      <t>5. Tecnología</t>
    </r>
    <r>
      <rPr>
        <sz val="10"/>
        <rFont val="Calibri"/>
        <family val="2"/>
        <scheme val="minor"/>
      </rPr>
      <t xml:space="preserve">.
</t>
    </r>
    <r>
      <rPr>
        <b/>
        <sz val="10"/>
        <rFont val="Calibri"/>
        <family val="2"/>
        <scheme val="minor"/>
      </rPr>
      <t>6. Comunicación Interna</t>
    </r>
    <r>
      <rPr>
        <sz val="10"/>
        <rFont val="Calibri"/>
        <family val="2"/>
        <scheme val="minor"/>
      </rPr>
      <t xml:space="preserve">.
</t>
    </r>
    <r>
      <rPr>
        <b/>
        <sz val="10"/>
        <rFont val="Calibri"/>
        <family val="2"/>
        <scheme val="minor"/>
      </rPr>
      <t>7. Procesos</t>
    </r>
    <r>
      <rPr>
        <sz val="10"/>
        <rFont val="Calibri"/>
        <family val="2"/>
        <scheme val="minor"/>
      </rPr>
      <t>.</t>
    </r>
  </si>
  <si>
    <r>
      <rPr>
        <b/>
        <sz val="10"/>
        <rFont val="Calibri"/>
        <family val="2"/>
        <scheme val="minor"/>
      </rPr>
      <t>1. Diseño del Proceso</t>
    </r>
    <r>
      <rPr>
        <sz val="10"/>
        <rFont val="Calibri"/>
        <family val="2"/>
        <scheme val="minor"/>
      </rPr>
      <t xml:space="preserve">.
</t>
    </r>
    <r>
      <rPr>
        <b/>
        <sz val="10"/>
        <rFont val="Calibri"/>
        <family val="2"/>
        <scheme val="minor"/>
      </rPr>
      <t>2. Interacciones con otros procesos</t>
    </r>
    <r>
      <rPr>
        <sz val="10"/>
        <rFont val="Calibri"/>
        <family val="2"/>
        <scheme val="minor"/>
      </rPr>
      <t xml:space="preserve">.
</t>
    </r>
    <r>
      <rPr>
        <sz val="10"/>
        <color rgb="FFFF0000"/>
        <rFont val="Calibri"/>
        <family val="2"/>
        <scheme val="minor"/>
      </rPr>
      <t xml:space="preserve">Demoras de los procesos para la entrega de documentación precontractual.
</t>
    </r>
    <r>
      <rPr>
        <sz val="10"/>
        <rFont val="Calibri"/>
        <family val="2"/>
        <scheme val="minor"/>
      </rPr>
      <t xml:space="preserve">
</t>
    </r>
    <r>
      <rPr>
        <sz val="10"/>
        <color rgb="FFFF0000"/>
        <rFont val="Calibri"/>
        <family val="2"/>
        <scheme val="minor"/>
      </rPr>
      <t xml:space="preserve">Demoras en el inicio de la ejecución de contratos derivadas de inconsistencias en las pólizas de cumplimiento.
</t>
    </r>
    <r>
      <rPr>
        <sz val="10"/>
        <rFont val="Calibri"/>
        <family val="2"/>
        <scheme val="minor"/>
      </rPr>
      <t xml:space="preserve">
</t>
    </r>
    <r>
      <rPr>
        <sz val="10"/>
        <color rgb="FFFF0000"/>
        <rFont val="Calibri"/>
        <family val="2"/>
        <scheme val="minor"/>
      </rPr>
      <t xml:space="preserve">Dar cierre a los convenios sin el cumplimiento de los requisitos, afectando su liquidación. 
</t>
    </r>
    <r>
      <rPr>
        <sz val="10"/>
        <rFont val="Calibri"/>
        <family val="2"/>
        <scheme val="minor"/>
      </rPr>
      <t xml:space="preserve">
</t>
    </r>
    <r>
      <rPr>
        <b/>
        <sz val="10"/>
        <rFont val="Calibri"/>
        <family val="2"/>
        <scheme val="minor"/>
      </rPr>
      <t>3. Transversalidad</t>
    </r>
    <r>
      <rPr>
        <sz val="10"/>
        <rFont val="Calibri"/>
        <family val="2"/>
        <scheme val="minor"/>
      </rPr>
      <t xml:space="preserve">.
</t>
    </r>
    <r>
      <rPr>
        <b/>
        <sz val="10"/>
        <rFont val="Calibri"/>
        <family val="2"/>
        <scheme val="minor"/>
      </rPr>
      <t>4. Procedimientos asociados</t>
    </r>
    <r>
      <rPr>
        <sz val="10"/>
        <rFont val="Calibri"/>
        <family val="2"/>
        <scheme val="minor"/>
      </rPr>
      <t xml:space="preserve">.
Desactualización de los documentos del proceso.
</t>
    </r>
    <r>
      <rPr>
        <b/>
        <sz val="10"/>
        <rFont val="Calibri"/>
        <family val="2"/>
        <scheme val="minor"/>
      </rPr>
      <t>5. Comunicación entre los procesos</t>
    </r>
    <r>
      <rPr>
        <sz val="10"/>
        <rFont val="Calibri"/>
        <family val="2"/>
        <scheme val="minor"/>
      </rPr>
      <t xml:space="preserve">.
</t>
    </r>
    <r>
      <rPr>
        <b/>
        <sz val="10"/>
        <rFont val="Calibri"/>
        <family val="2"/>
        <scheme val="minor"/>
      </rPr>
      <t>6. Activos de seguridad digital del proceso</t>
    </r>
    <r>
      <rPr>
        <sz val="10"/>
        <rFont val="Calibri"/>
        <family val="2"/>
        <scheme val="minor"/>
      </rPr>
      <t xml:space="preserve">.
</t>
    </r>
  </si>
  <si>
    <t>Demoras en el inicio de los contratos.</t>
  </si>
  <si>
    <t>Generación de retrasos que afectan el cumplimiento del Plan Anual de adquisiciones y la satisfacción de las necesidades de los procesos</t>
  </si>
  <si>
    <t>Demoras en la entrega de información por parte del contratista para formalización del contrato.
Demoras en el inicio de la ejecución de contratos derivadas de inconsistencias en las pólizas de cumplimiento.</t>
  </si>
  <si>
    <t>Menor ejecución de contratos.</t>
  </si>
  <si>
    <t>Realizar la gestión contractual con falta de Eficacia y oportunidad</t>
  </si>
  <si>
    <t>No lograr el cumplimiento de las necesidades de los contratos ni lograrlos dentro de los plazos requeridos.</t>
  </si>
  <si>
    <t>Desconocimiento por parte de los supervisores sobre sus responsabilidades durante la ejecución de los contratos
Desconocimiento de los futuros supervisores de contratos sobre la plataforma del SECOP II</t>
  </si>
  <si>
    <t>No llevar a cabo la contratación.
Incumplimiento del presupuesto.</t>
  </si>
  <si>
    <t>Realizar convenios que no incluyan la totalidad de obligaciones.</t>
  </si>
  <si>
    <t>Los convenios al satisfacer necesidades de operación requiere el desarrollo de obligaciones y compromisos entre las partes que lo firman, no considerar la totalidad de obligaciones de los convenios puede afectar la satisfacción de necesidades de los procesos que dan a su origen.</t>
  </si>
  <si>
    <t xml:space="preserve">Desconocimiento de los servidores públicos sobre la importancia de incluir la totalidad de las obligaciones en los convenios. </t>
  </si>
  <si>
    <t>Inadecuada ejecución.
Suscripción de Otro sí.</t>
  </si>
  <si>
    <t>Favorecimiento a un contratista específico.</t>
  </si>
  <si>
    <t>Consolida los 4 factores para determinar la existencia de este como riesgo de corrupción: Acción u omisión, uso del poder, desviación de la atención y beneficio de un particular.</t>
  </si>
  <si>
    <t>Realizar un sondeo del mercado deficiente por parte del área líder.</t>
  </si>
  <si>
    <t>Hallazgos disciplinaros y fiscales.
Indebidas supervisiones.</t>
  </si>
  <si>
    <t>Actuaciones improvisadas por parte de los supervisores</t>
  </si>
  <si>
    <t>Realizar el seguimiento técnico, administrativo, financiero, contable y jurídico que, sobre el cumplimiento del objeto del contrato de forma inadecuada.</t>
  </si>
  <si>
    <t>Desconocimiento del supervisor sobre las diferentes situaciones jurídicas contractuales.</t>
  </si>
  <si>
    <t>Manual de contratación.</t>
  </si>
  <si>
    <t>El artículo 2.2.1.2.5.3 del Decreto 1082 de 2015 establece que las Entidades Estatales deben contar con un manual de contratación, el cual debe cumplir con los lineamientos que para el efecto señale Colombia Compra Eficiente</t>
  </si>
  <si>
    <t>No se cuentan con controles</t>
  </si>
  <si>
    <t>Plataforma SIGUEME.</t>
  </si>
  <si>
    <t>La plataforma que permite obtener la información vigente de la UPME a través de documentos aprobados mediante metodología planificada por el sistema de Gestión de calidad.</t>
  </si>
  <si>
    <t>Gestión Contractual</t>
  </si>
  <si>
    <t>Proveer a la entidad de bienes y servicios que contribuyan a su misionalidad con criterios de eficacia, oportunidad, integridad y transparencia.</t>
  </si>
  <si>
    <t>Sensibilizar a los servidores públicos de la Unidad sobre los requisitos, obligaciones y directrices para la entrega oportuna de información del futuro contratista.</t>
  </si>
  <si>
    <t>Grupo de Gestión Jurídica y Contractual.</t>
  </si>
  <si>
    <t>Publicación en pagina web.
Correos electrónicos a los servidores públicos.</t>
  </si>
  <si>
    <t>Capacitar a los servidores públicos en las actividades relacionadas a la supervisión contractual.
'Capacitar a los servidores públicos de la entidad para el uso de la Plataforma SECOP II</t>
  </si>
  <si>
    <t>Listados de asistencia.</t>
  </si>
  <si>
    <t>Actualizar el formato de estudios previos de convenios, incluyendo una lista de obligaciones para ser revisadas por el estructurador de los estudios previos.</t>
  </si>
  <si>
    <t>Formato de estudios previos de convenios actualizado.</t>
  </si>
  <si>
    <t>Capacitar a los formuladores en el uso de la herramienta SECOP II para la realización de sondeos de Mercado mediante este medio.
Generar la directriz a la entidad sobre el uso de la Herramienta SECOP II para la realización de sondeos de mercado.</t>
  </si>
  <si>
    <t>Solicitud de capacitacion a Agencia Nacional de Contratación Pública.
Listados de asistencia.
Circular.</t>
  </si>
  <si>
    <t>Crear el comité que trate las situaciones jurídicas contractuales.</t>
  </si>
  <si>
    <t>Acta de conformación del comité.
Actas de cada reunión.</t>
  </si>
  <si>
    <r>
      <rPr>
        <b/>
        <sz val="10"/>
        <rFont val="Calibri"/>
        <family val="2"/>
        <scheme val="minor"/>
      </rPr>
      <t>1. Diseño del Proceso</t>
    </r>
    <r>
      <rPr>
        <sz val="10"/>
        <rFont val="Calibri"/>
        <family val="2"/>
        <scheme val="minor"/>
      </rPr>
      <t xml:space="preserve">.
Ausencia de un catálogo de Servicios tecnológicos por parte del proceso.
</t>
    </r>
    <r>
      <rPr>
        <b/>
        <sz val="10"/>
        <rFont val="Calibri"/>
        <family val="2"/>
        <scheme val="minor"/>
      </rPr>
      <t>2. Interacciones con otros procesos</t>
    </r>
    <r>
      <rPr>
        <sz val="10"/>
        <rFont val="Calibri"/>
        <family val="2"/>
        <scheme val="minor"/>
      </rPr>
      <t xml:space="preserve">.
No se utiliza La mesa de servicios como único canal de recepción de requerimientos por parte de los procesos.
</t>
    </r>
    <r>
      <rPr>
        <b/>
        <sz val="10"/>
        <rFont val="Calibri"/>
        <family val="2"/>
        <scheme val="minor"/>
      </rPr>
      <t>3. Transversalidad</t>
    </r>
    <r>
      <rPr>
        <sz val="10"/>
        <rFont val="Calibri"/>
        <family val="2"/>
        <scheme val="minor"/>
      </rPr>
      <t xml:space="preserve">.
</t>
    </r>
    <r>
      <rPr>
        <b/>
        <sz val="10"/>
        <rFont val="Calibri"/>
        <family val="2"/>
        <scheme val="minor"/>
      </rPr>
      <t>4. Procedimientos asociados</t>
    </r>
    <r>
      <rPr>
        <sz val="10"/>
        <rFont val="Calibri"/>
        <family val="2"/>
        <scheme val="minor"/>
      </rPr>
      <t xml:space="preserve">.
No se cuentan con procedimientos actualizados que estandaricen gestión del proceso.
No se han establecido oficialmente los acuerdos de niveles de servicio.
</t>
    </r>
    <r>
      <rPr>
        <b/>
        <sz val="10"/>
        <rFont val="Calibri"/>
        <family val="2"/>
        <scheme val="minor"/>
      </rPr>
      <t>5. Comunicación entre los procesos</t>
    </r>
    <r>
      <rPr>
        <sz val="10"/>
        <rFont val="Calibri"/>
        <family val="2"/>
        <scheme val="minor"/>
      </rPr>
      <t xml:space="preserve">.
</t>
    </r>
    <r>
      <rPr>
        <b/>
        <sz val="10"/>
        <rFont val="Calibri"/>
        <family val="2"/>
        <scheme val="minor"/>
      </rPr>
      <t>6. Activos de seguridad digital del proceso</t>
    </r>
    <r>
      <rPr>
        <sz val="10"/>
        <rFont val="Calibri"/>
        <family val="2"/>
        <scheme val="minor"/>
      </rPr>
      <t xml:space="preserve">.
</t>
    </r>
  </si>
  <si>
    <r>
      <t xml:space="preserve">1. Políticos.
2. Económicos y financieros.
</t>
    </r>
    <r>
      <rPr>
        <sz val="10"/>
        <rFont val="Calibri"/>
        <family val="2"/>
        <scheme val="minor"/>
      </rPr>
      <t>Recortes presupuestales que afectan el desarrollo de las actividades.
Variación de la TRM que afecta las adquisiciones.</t>
    </r>
    <r>
      <rPr>
        <b/>
        <sz val="10"/>
        <rFont val="Calibri"/>
        <family val="2"/>
        <scheme val="minor"/>
      </rPr>
      <t xml:space="preserve">
3. Sociales y culturales.
4. Tecnológicos.
</t>
    </r>
    <r>
      <rPr>
        <sz val="10"/>
        <rFont val="Calibri"/>
        <family val="2"/>
        <scheme val="minor"/>
      </rPr>
      <t xml:space="preserve">
</t>
    </r>
    <r>
      <rPr>
        <sz val="10"/>
        <color rgb="FFFF0000"/>
        <rFont val="Calibri"/>
        <family val="2"/>
        <scheme val="minor"/>
      </rPr>
      <t>No contar con el servicio de soporte y garantia por parte del fabricante una vez se supere la vida útil.</t>
    </r>
    <r>
      <rPr>
        <sz val="10"/>
        <rFont val="Calibri"/>
        <family val="2"/>
        <scheme val="minor"/>
      </rPr>
      <t xml:space="preserve">
</t>
    </r>
    <r>
      <rPr>
        <b/>
        <sz val="10"/>
        <rFont val="Calibri"/>
        <family val="2"/>
        <scheme val="minor"/>
      </rPr>
      <t xml:space="preserve">5. Ambientales.
</t>
    </r>
    <r>
      <rPr>
        <sz val="10"/>
        <rFont val="Calibri"/>
        <family val="2"/>
        <scheme val="minor"/>
      </rPr>
      <t xml:space="preserve">
</t>
    </r>
    <r>
      <rPr>
        <b/>
        <sz val="10"/>
        <rFont val="Calibri"/>
        <family val="2"/>
        <scheme val="minor"/>
      </rPr>
      <t xml:space="preserve">6. Legales y reglamentarios.
</t>
    </r>
    <r>
      <rPr>
        <sz val="10"/>
        <rFont val="Calibri"/>
        <family val="2"/>
        <scheme val="minor"/>
      </rPr>
      <t>Actualizaciones normativas que conlleven a realizar modificaciones significativas a la implementación de la política de gobierno.</t>
    </r>
  </si>
  <si>
    <r>
      <rPr>
        <b/>
        <sz val="10"/>
        <rFont val="Calibri"/>
        <family val="2"/>
        <scheme val="minor"/>
      </rPr>
      <t>1. Estratégicos</t>
    </r>
    <r>
      <rPr>
        <sz val="10"/>
        <rFont val="Calibri"/>
        <family val="2"/>
        <scheme val="minor"/>
      </rPr>
      <t xml:space="preserve">.
</t>
    </r>
    <r>
      <rPr>
        <sz val="10"/>
        <color rgb="FFFF0000"/>
        <rFont val="Calibri"/>
        <family val="2"/>
        <scheme val="minor"/>
      </rPr>
      <t xml:space="preserve">Desconocimiento de la alta dirección sobre la importancia y metodología relacionado con el BIA.
</t>
    </r>
    <r>
      <rPr>
        <sz val="10"/>
        <rFont val="Calibri"/>
        <family val="2"/>
        <scheme val="minor"/>
      </rPr>
      <t xml:space="preserve">
</t>
    </r>
    <r>
      <rPr>
        <sz val="10"/>
        <color rgb="FFFF0000"/>
        <rFont val="Calibri"/>
        <family val="2"/>
        <scheme val="minor"/>
      </rPr>
      <t xml:space="preserve">Se concibe que la responsabilidad sobre la Continuidad del Negocio corresponde solamente al proceso Gestión TIC.
</t>
    </r>
    <r>
      <rPr>
        <sz val="10"/>
        <rFont val="Calibri"/>
        <family val="2"/>
        <scheme val="minor"/>
      </rPr>
      <t xml:space="preserve">
</t>
    </r>
    <r>
      <rPr>
        <sz val="10"/>
        <color rgb="FFFF0000"/>
        <rFont val="Calibri"/>
        <family val="2"/>
        <scheme val="minor"/>
      </rPr>
      <t>Falta de Continuidad de la ejecución del PETI por cambios en las necesidades, enfoques y prioridades de la administración.</t>
    </r>
    <r>
      <rPr>
        <sz val="10"/>
        <rFont val="Calibri"/>
        <family val="2"/>
        <scheme val="minor"/>
      </rPr>
      <t xml:space="preserve">
</t>
    </r>
    <r>
      <rPr>
        <sz val="10"/>
        <color rgb="FFFF0000"/>
        <rFont val="Calibri"/>
        <family val="2"/>
        <scheme val="minor"/>
      </rPr>
      <t xml:space="preserve">Falta de compromiso de los procesos de la entidad en la política de Gobierno digital.
</t>
    </r>
    <r>
      <rPr>
        <sz val="10"/>
        <rFont val="Calibri"/>
        <family val="2"/>
        <scheme val="minor"/>
      </rPr>
      <t xml:space="preserve">
falta de alineación de la arquitectura institucional de la UPME para el logro de las metas y objetivos institucionales.
Proyectos en los que sea necesario considerar el componente de tecnología, no considerar el acompañamiento del proceso.
</t>
    </r>
    <r>
      <rPr>
        <b/>
        <sz val="10"/>
        <rFont val="Calibri"/>
        <family val="2"/>
        <scheme val="minor"/>
      </rPr>
      <t>2. Estructura organizaciona</t>
    </r>
    <r>
      <rPr>
        <sz val="10"/>
        <rFont val="Calibri"/>
        <family val="2"/>
        <scheme val="minor"/>
      </rPr>
      <t xml:space="preserve">l.
</t>
    </r>
    <r>
      <rPr>
        <sz val="10"/>
        <color rgb="FFFF0000"/>
        <rFont val="Calibri"/>
        <family val="2"/>
        <scheme val="minor"/>
      </rPr>
      <t xml:space="preserve">
Resistencia al cambio por parte de los servidores públicos sobre el alcance de los procesos.
</t>
    </r>
    <r>
      <rPr>
        <sz val="10"/>
        <rFont val="Calibri"/>
        <family val="2"/>
        <scheme val="minor"/>
      </rPr>
      <t xml:space="preserve">
</t>
    </r>
    <r>
      <rPr>
        <b/>
        <sz val="10"/>
        <rFont val="Calibri"/>
        <family val="2"/>
        <scheme val="minor"/>
      </rPr>
      <t>3. Financieros</t>
    </r>
    <r>
      <rPr>
        <sz val="10"/>
        <rFont val="Calibri"/>
        <family val="2"/>
        <scheme val="minor"/>
      </rPr>
      <t xml:space="preserve">.
</t>
    </r>
    <r>
      <rPr>
        <sz val="10"/>
        <color rgb="FFFF0000"/>
        <rFont val="Calibri"/>
        <family val="2"/>
        <scheme val="minor"/>
      </rPr>
      <t xml:space="preserve">No contar  con el presupuesto para poder llevar a cabo el PETI.
</t>
    </r>
    <r>
      <rPr>
        <sz val="10"/>
        <rFont val="Calibri"/>
        <family val="2"/>
        <scheme val="minor"/>
      </rPr>
      <t xml:space="preserve">
</t>
    </r>
    <r>
      <rPr>
        <b/>
        <sz val="10"/>
        <rFont val="Calibri"/>
        <family val="2"/>
        <scheme val="minor"/>
      </rPr>
      <t>4. Personal</t>
    </r>
    <r>
      <rPr>
        <sz val="10"/>
        <rFont val="Calibri"/>
        <family val="2"/>
        <scheme val="minor"/>
      </rPr>
      <t xml:space="preserve">.
</t>
    </r>
    <r>
      <rPr>
        <sz val="10"/>
        <color rgb="FFFF0000"/>
        <rFont val="Calibri"/>
        <family val="2"/>
        <scheme val="minor"/>
      </rPr>
      <t>Desconocimiento por parte de los servidores públicos sobre los procesos internos desarrollados por el proceso.</t>
    </r>
    <r>
      <rPr>
        <sz val="10"/>
        <rFont val="Calibri"/>
        <family val="2"/>
        <scheme val="minor"/>
      </rPr>
      <t xml:space="preserve">
</t>
    </r>
    <r>
      <rPr>
        <b/>
        <sz val="10"/>
        <rFont val="Calibri"/>
        <family val="2"/>
        <scheme val="minor"/>
      </rPr>
      <t>5. Tecnología</t>
    </r>
    <r>
      <rPr>
        <sz val="10"/>
        <rFont val="Calibri"/>
        <family val="2"/>
        <scheme val="minor"/>
      </rPr>
      <t xml:space="preserve">.
</t>
    </r>
    <r>
      <rPr>
        <sz val="10"/>
        <color rgb="FFFF0000"/>
        <rFont val="Calibri"/>
        <family val="2"/>
        <scheme val="minor"/>
      </rPr>
      <t xml:space="preserve">
Obsolescencia de la infraestructura tecnológica de la entidad.
</t>
    </r>
    <r>
      <rPr>
        <sz val="10"/>
        <rFont val="Calibri"/>
        <family val="2"/>
        <scheme val="minor"/>
      </rPr>
      <t xml:space="preserve">
</t>
    </r>
    <r>
      <rPr>
        <b/>
        <sz val="10"/>
        <rFont val="Calibri"/>
        <family val="2"/>
        <scheme val="minor"/>
      </rPr>
      <t>6. Comunicación Interna</t>
    </r>
    <r>
      <rPr>
        <sz val="10"/>
        <rFont val="Calibri"/>
        <family val="2"/>
        <scheme val="minor"/>
      </rPr>
      <t xml:space="preserve">.
</t>
    </r>
    <r>
      <rPr>
        <b/>
        <sz val="10"/>
        <rFont val="Calibri"/>
        <family val="2"/>
        <scheme val="minor"/>
      </rPr>
      <t>7. Procesos</t>
    </r>
    <r>
      <rPr>
        <sz val="10"/>
        <rFont val="Calibri"/>
        <family val="2"/>
        <scheme val="minor"/>
      </rPr>
      <t xml:space="preserve">.
La implementación de los proyectos que se desarrollan en el marco del PETI no se </t>
    </r>
  </si>
  <si>
    <r>
      <rPr>
        <b/>
        <sz val="10"/>
        <rFont val="Calibri"/>
        <family val="2"/>
        <scheme val="minor"/>
      </rPr>
      <t>1. Diseño del Proceso</t>
    </r>
    <r>
      <rPr>
        <sz val="10"/>
        <rFont val="Calibri"/>
        <family val="2"/>
        <scheme val="minor"/>
      </rPr>
      <t xml:space="preserve">.
</t>
    </r>
    <r>
      <rPr>
        <sz val="10"/>
        <color rgb="FFFF0000"/>
        <rFont val="Calibri"/>
        <family val="2"/>
        <scheme val="minor"/>
      </rPr>
      <t>Ausencia de un catálogo de Servicios</t>
    </r>
    <r>
      <rPr>
        <sz val="10"/>
        <rFont val="Calibri"/>
        <family val="2"/>
        <scheme val="minor"/>
      </rPr>
      <t xml:space="preserve">
</t>
    </r>
    <r>
      <rPr>
        <b/>
        <sz val="10"/>
        <rFont val="Calibri"/>
        <family val="2"/>
        <scheme val="minor"/>
      </rPr>
      <t>2. Interacciones con otros procesos</t>
    </r>
    <r>
      <rPr>
        <sz val="10"/>
        <rFont val="Calibri"/>
        <family val="2"/>
        <scheme val="minor"/>
      </rPr>
      <t xml:space="preserve">.
</t>
    </r>
    <r>
      <rPr>
        <sz val="10"/>
        <color rgb="FFFF0000"/>
        <rFont val="Calibri"/>
        <family val="2"/>
        <scheme val="minor"/>
      </rPr>
      <t xml:space="preserve">No se utiliza La mesa de servicios como único canal de recepción de requerimientos por parte de los procesos.
</t>
    </r>
    <r>
      <rPr>
        <sz val="10"/>
        <rFont val="Calibri"/>
        <family val="2"/>
        <scheme val="minor"/>
      </rPr>
      <t xml:space="preserve">
</t>
    </r>
    <r>
      <rPr>
        <b/>
        <sz val="10"/>
        <rFont val="Calibri"/>
        <family val="2"/>
        <scheme val="minor"/>
      </rPr>
      <t>3. Transversalidad</t>
    </r>
    <r>
      <rPr>
        <sz val="10"/>
        <rFont val="Calibri"/>
        <family val="2"/>
        <scheme val="minor"/>
      </rPr>
      <t xml:space="preserve">.
</t>
    </r>
    <r>
      <rPr>
        <b/>
        <sz val="10"/>
        <rFont val="Calibri"/>
        <family val="2"/>
        <scheme val="minor"/>
      </rPr>
      <t>4. Procedimientos asociados</t>
    </r>
    <r>
      <rPr>
        <sz val="10"/>
        <rFont val="Calibri"/>
        <family val="2"/>
        <scheme val="minor"/>
      </rPr>
      <t xml:space="preserve">.
</t>
    </r>
    <r>
      <rPr>
        <sz val="10"/>
        <color rgb="FFFF0000"/>
        <rFont val="Calibri"/>
        <family val="2"/>
        <scheme val="minor"/>
      </rPr>
      <t xml:space="preserve">
No se cuentan con procedimientos actualizados que estandaricen gestión del proceso.
No se han establecido oficialmente los acuerdos de niveles de servicio.
No se han definido los Acuerdos Operacionales del Servicio en el proceso.
</t>
    </r>
    <r>
      <rPr>
        <sz val="10"/>
        <rFont val="Calibri"/>
        <family val="2"/>
        <scheme val="minor"/>
      </rPr>
      <t xml:space="preserve">
</t>
    </r>
    <r>
      <rPr>
        <b/>
        <sz val="10"/>
        <rFont val="Calibri"/>
        <family val="2"/>
        <scheme val="minor"/>
      </rPr>
      <t>5. Comunicación entre los procesos</t>
    </r>
    <r>
      <rPr>
        <sz val="10"/>
        <rFont val="Calibri"/>
        <family val="2"/>
        <scheme val="minor"/>
      </rPr>
      <t xml:space="preserve">.
</t>
    </r>
    <r>
      <rPr>
        <b/>
        <sz val="10"/>
        <rFont val="Calibri"/>
        <family val="2"/>
        <scheme val="minor"/>
      </rPr>
      <t>6. Activos de seguridad digital del proceso</t>
    </r>
    <r>
      <rPr>
        <sz val="10"/>
        <rFont val="Calibri"/>
        <family val="2"/>
        <scheme val="minor"/>
      </rPr>
      <t xml:space="preserve">.
</t>
    </r>
  </si>
  <si>
    <t>Gestión TIC</t>
  </si>
  <si>
    <t>Liderar el gobierno y la estrategia de TICs, para contribuir al logro de los objetivos estratégicos de la UPME, gestionando las capacidades y servicios TI que generen valor a través de la disponibilidad oportuna de la información institucional y sectorial.</t>
  </si>
  <si>
    <t xml:space="preserve">Indisponibilidad de servicios críticos de la entidad </t>
  </si>
  <si>
    <t>Cada organización tiene de nido un negocio central que es el “core”, el motivo de su existencia, no asegurar la disponibilidad afectaría el objetivo de los procesos involucrados y la instatisfacción de las partes interesadas</t>
  </si>
  <si>
    <t>Desconocimiento de la alta dirección sobre la importancia y metodología relacionada con el BIA.
Se concibe que la responsabilidad sobre la Continuidad del Negocio corresponde solamente al proceso Gestión TIC.</t>
  </si>
  <si>
    <t>No contar con un DRP alineado a los requerimientos institucionales.
Ineficiencia en la administración de los recursos.</t>
  </si>
  <si>
    <t>Reprocesos en la implementación de los proyectos de la entidad que aplican componentes de tecnología</t>
  </si>
  <si>
    <t xml:space="preserve">El reproceso en los proyectos que aplican componentes de tecnología conlleva a la toma de acciones sobre los resultados de estos para que cumpla los requisitos generando posibles demoras y sobrecostos.
</t>
  </si>
  <si>
    <t>Falta de alineación de los proyectos con los lineamientos de la arquitectura institucional de la UPME.
No considerar el acompañamiento del proceso en Proyectos donde sea necesario el componente de tecnología.</t>
  </si>
  <si>
    <t>Pérdida de credibilidad del proceso en la entidad.
Sobrecostos de los proyectos.
Retrasos.</t>
  </si>
  <si>
    <t>Falta de Continuidad de la ejecución del PETI por cambios en las necesidades, enfoques y prioridades de la administración.</t>
  </si>
  <si>
    <t xml:space="preserve">Impactos adversos o poco significativos sobre la gestión estratégica de la entidad a través de  El Plan Estratégico de las Tecnologías de la Información y Comunicaciones </t>
  </si>
  <si>
    <t>Desconocimiento de la importancia de la política de Gobierno digital por parte de los servidores públicos.
Resistencia al cambio por parte de los servidores públicos sobre el alcance de los procesos.
No contar con el presupuesto para desarrollar el PETI.</t>
  </si>
  <si>
    <t>Retrasos en la prestación de los servicios del proceso</t>
  </si>
  <si>
    <t>Incumplimientos en los requisitos de los procesos y/o partes interesadas que reciben insumos o servicios de este.</t>
  </si>
  <si>
    <t>Desconocimiento por parte de los servidores públicos sobre los procedimientos asociados a la prestación de servicios de TI
No se utiliza la mesa de servicios como único canal de recepción de requerimientos por parte de los servidores públicos.
Ausencia de un catálogo de Servicios</t>
  </si>
  <si>
    <t>Pérdida de credibilidad del proceso en la entidad.</t>
  </si>
  <si>
    <t>Prestar los servicios bajo condiciones no controladas</t>
  </si>
  <si>
    <t>Aumento de salidas no conformes, no conformidades. Así mismo, estos incumplimientos pueden darse en los requisitos legales, en las partes interesadas y/o en la estrategia de la organización.</t>
  </si>
  <si>
    <t>No se cuenta con procedimientos que estandaricen la gestión del proceso.
No se han establecido oficialmente los acuerdos de niveles de servicio.
No se han definido los Acuerdos Operacionales del Servicio en el proceso.</t>
  </si>
  <si>
    <t>Pérdida de credibilidad del proceso en la entidad.
Hallazgos de control interno.
Incumplimientos de requisitos.
Afectación a los servicios de TI</t>
  </si>
  <si>
    <t xml:space="preserve">Indisponibilidad de servicios de TI de la entidad. </t>
  </si>
  <si>
    <t>Impactos adversos o poco significativos sobre la gestión de los procesos por ocasión de la ineficacia de los servicios TI de la entidad.</t>
  </si>
  <si>
    <t>Obsolescencia de la infraestructura tecnológica de la entidad.
No contar con el servicio de soporte y mantenimiento de las soluciones de TI
No se planifican adecuadamente los cambios en ítems de configuración de la infraestructura tecnológica a implementar. 
Ocurrencia de situaciones externas que afectan la continuidad de la prestación servicio</t>
  </si>
  <si>
    <t>Ineficiencia en la administración de los recursos.
Pérdida de credibilidad del proceso en la entidad.</t>
  </si>
  <si>
    <t>Otorgar privilegios o permisos para acceso a sistemas e información a particulares.</t>
  </si>
  <si>
    <t>Evento generador de acto de corrupción teniendo en cuenta que promueve la acción y/u omisión, el uso del poder, la desviación de lo público y el beneficio de un tercero.</t>
  </si>
  <si>
    <t>No se han definido ni estandarizado los responsables sobre los privilegios y permisos.
No se ajustan los permisos a los servidores públicos cuando se realizan cambios de estos en las dependencias o cuando se presentan novedades.
No se han planificado las interacciones con el proceso de gestión de Talento Humano cuando se presentan novedades de nómina.</t>
  </si>
  <si>
    <t>Herramienta de monitoreo NAGIOS</t>
  </si>
  <si>
    <t>Nagios es un sistema de monitorización de redes de código abierto ampliamente utilizado, que vigila los equipos (hardware) y servicios (software) que se especifiquen, alertando cuando el comportamiento de los mismos no sea el deseado.</t>
  </si>
  <si>
    <t>No se identifica control existente</t>
  </si>
  <si>
    <t>Seguimiento trimestral al Plan.</t>
  </si>
  <si>
    <t>Desarrollo de unos indicadores, un mapa de ruta, un plan de comunicación y una descripción de todos los demás aspectos (financieros, operativos, de manejo de riesgos, etc.) necesarios para la puesta en marcha y gestión del plan estratégico</t>
  </si>
  <si>
    <t>Procedimiento de TIC</t>
  </si>
  <si>
    <t xml:space="preserve">Establece las directrices del proceso para prestar los servicios en el marco de su objetivo. </t>
  </si>
  <si>
    <t>Socializar a la alta direción la importancia y metodología relacionada con el BIA y continuidad del negocio</t>
  </si>
  <si>
    <t>Presentación de la necesidad.
Acta de reunión.</t>
  </si>
  <si>
    <t>Sensibilizar a los servidores publicos sobre la importancia de la alineación de los proyectos con la arquitectura empresarial.
Realizar un análisis de implementación de arquitectura empresarial
Definir los roles y funciones en el escenario de arquitectura empresarial
Realizar una propuesta de implementación del modelo de Arquitectura Empresarial a la alta dirección.</t>
  </si>
  <si>
    <t>Jefe de Oficina.</t>
  </si>
  <si>
    <t>30/03/2021
30/05/2021
30/06/2021
30/06/2021</t>
  </si>
  <si>
    <t>30/06/2021
30/06/2021
30/09/2021
30/09/2021</t>
  </si>
  <si>
    <t>Lista de asistencia.
'Documento de análisis de implementación de la arquitetura empresarial
'Documento de los roles y funciones de arquitectura empresarial
'Documento Propuesta de implementación del modelo de Arquitectura Empresarial a la alta dirección.</t>
  </si>
  <si>
    <t>Sensibilizar a los servidores públicos sobre la importancia de la política de gobierno Digital
Presentación del Seguimiento del PETI al Comité de Gestión y Desempeño Institucional.</t>
  </si>
  <si>
    <t>Campaña de Sensibilizacion implementada</t>
  </si>
  <si>
    <t>Sensibilizar a los servidores públicos sobre los procedemientos asociados a la prestación de servicios de TI.
Sensibilizar a los servidores públicos sobre los beneficios de la mesa de servicios como único canal de recepción de requerimientos.
Crear el catálogo de Servicios.</t>
  </si>
  <si>
    <t xml:space="preserve">Lista de asistencia.
Publicaciones en intranet
Catalogo de Servicios </t>
  </si>
  <si>
    <t>Crear los procedimientos para la gestión de TIC
Establecer  Acuerdos de Niveles de Servicio.
Establecer acuerdos operacionales de servicio en el Proceso.</t>
  </si>
  <si>
    <t>Procedimientos para la gestión de TIC
Acuerdos de Niveles de Servicio
Acuerdos Operacionales de Servicio</t>
  </si>
  <si>
    <t>Establecer el plan de mantenimiento Evolutivo.
Crear los procedimientos para la gestión de TIC
Estructurar el DRP para mitigar los efectos de la causa</t>
  </si>
  <si>
    <t>Plan de mantenimiento Evolutivo
Procedimiento(s) del proceso
DRP estructurado</t>
  </si>
  <si>
    <t>Definir los responsables sobre otorgamiento de los privilegios y permisos.
Notificar al proceso de Gestión de Talento Humano sobre la importancia informar al proceso de gestión de TIC las novedades de nómina para actualización de permisos y privilegios de acceso.</t>
  </si>
  <si>
    <t>Procedimientos aplicables implementados.
Acta de reunión</t>
  </si>
  <si>
    <r>
      <t xml:space="preserve">1. Políticos.
</t>
    </r>
    <r>
      <rPr>
        <sz val="10"/>
        <color theme="1"/>
        <rFont val="Calibri"/>
        <family val="2"/>
        <scheme val="minor"/>
      </rPr>
      <t xml:space="preserve">
</t>
    </r>
    <r>
      <rPr>
        <b/>
        <sz val="10"/>
        <color theme="1"/>
        <rFont val="Calibri"/>
        <family val="2"/>
        <scheme val="minor"/>
      </rPr>
      <t xml:space="preserve">
2. Económicos y financieros.
</t>
    </r>
    <r>
      <rPr>
        <sz val="10"/>
        <color theme="1"/>
        <rFont val="Calibri"/>
        <family val="2"/>
        <scheme val="minor"/>
      </rPr>
      <t xml:space="preserve">
</t>
    </r>
    <r>
      <rPr>
        <b/>
        <sz val="10"/>
        <color theme="1"/>
        <rFont val="Calibri"/>
        <family val="2"/>
        <scheme val="minor"/>
      </rPr>
      <t xml:space="preserve">
3. Sociales y culturales.
</t>
    </r>
    <r>
      <rPr>
        <sz val="10"/>
        <color theme="1"/>
        <rFont val="Calibri"/>
        <family val="2"/>
        <scheme val="minor"/>
      </rPr>
      <t xml:space="preserve">
</t>
    </r>
    <r>
      <rPr>
        <b/>
        <sz val="10"/>
        <color theme="1"/>
        <rFont val="Calibri"/>
        <family val="2"/>
        <scheme val="minor"/>
      </rPr>
      <t xml:space="preserve">
4. Tecnológicos.
</t>
    </r>
    <r>
      <rPr>
        <sz val="10"/>
        <color theme="1"/>
        <rFont val="Calibri"/>
        <family val="2"/>
        <scheme val="minor"/>
      </rPr>
      <t xml:space="preserve">Fallas en el servicio de internet
Plataforma facilitada por el Distrito a las entidades Estatales para el control de los procesos disciplinarios
</t>
    </r>
    <r>
      <rPr>
        <b/>
        <sz val="10"/>
        <color theme="1"/>
        <rFont val="Calibri"/>
        <family val="2"/>
        <scheme val="minor"/>
      </rPr>
      <t xml:space="preserve">
5. Ambientales.
</t>
    </r>
    <r>
      <rPr>
        <sz val="10"/>
        <color theme="1"/>
        <rFont val="Calibri"/>
        <family val="2"/>
        <scheme val="minor"/>
      </rPr>
      <t xml:space="preserve">Riesgo biologico, virus
</t>
    </r>
    <r>
      <rPr>
        <b/>
        <sz val="10"/>
        <color theme="1"/>
        <rFont val="Calibri"/>
        <family val="2"/>
        <scheme val="minor"/>
      </rPr>
      <t xml:space="preserve">
6. Legales y reglamentarios.
</t>
    </r>
    <r>
      <rPr>
        <sz val="10"/>
        <color theme="1"/>
        <rFont val="Calibri"/>
        <family val="2"/>
        <scheme val="minor"/>
      </rPr>
      <t>Normatividad reglamentaria nueva respecto a temas de Talento Humano</t>
    </r>
  </si>
  <si>
    <r>
      <rPr>
        <b/>
        <sz val="10"/>
        <color theme="1"/>
        <rFont val="Calibri"/>
        <family val="2"/>
        <scheme val="minor"/>
      </rPr>
      <t>1. Estratégicos</t>
    </r>
    <r>
      <rPr>
        <sz val="10"/>
        <color theme="1"/>
        <rFont val="Calibri"/>
        <family val="2"/>
        <scheme val="minor"/>
      </rPr>
      <t xml:space="preserve">.
Lineamientos y directrices respecto a modificaciones de la estructura organizacional
Inclusión de nuevas politicas refentes a Talento Humano
</t>
    </r>
    <r>
      <rPr>
        <b/>
        <sz val="10"/>
        <color theme="1"/>
        <rFont val="Calibri"/>
        <family val="2"/>
        <scheme val="minor"/>
      </rPr>
      <t>2. Estructura organizaciona</t>
    </r>
    <r>
      <rPr>
        <sz val="10"/>
        <color theme="1"/>
        <rFont val="Calibri"/>
        <family val="2"/>
        <scheme val="minor"/>
      </rPr>
      <t xml:space="preserve">l.
Modificaciones en el organigrama en el organigrama 
</t>
    </r>
    <r>
      <rPr>
        <b/>
        <sz val="10"/>
        <color theme="1"/>
        <rFont val="Calibri"/>
        <family val="2"/>
        <scheme val="minor"/>
      </rPr>
      <t>3. Financieros</t>
    </r>
    <r>
      <rPr>
        <sz val="10"/>
        <color theme="1"/>
        <rFont val="Calibri"/>
        <family val="2"/>
        <scheme val="minor"/>
      </rPr>
      <t xml:space="preserve">.
Disminución del presupuesto para la ejecución de los planes de Talento Humano
</t>
    </r>
    <r>
      <rPr>
        <b/>
        <sz val="10"/>
        <color theme="1"/>
        <rFont val="Calibri"/>
        <family val="2"/>
        <scheme val="minor"/>
      </rPr>
      <t>4. Personal</t>
    </r>
    <r>
      <rPr>
        <sz val="10"/>
        <color theme="1"/>
        <rFont val="Calibri"/>
        <family val="2"/>
        <scheme val="minor"/>
      </rPr>
      <t xml:space="preserve">.
Funcionarios sin las competencias requeridas para la ejecucion de metas establecidas
Clima laboral deficiente, funcionarios desmotivados
Funcionarios con bajo nivel de integridad 
</t>
    </r>
    <r>
      <rPr>
        <b/>
        <sz val="10"/>
        <color theme="1"/>
        <rFont val="Calibri"/>
        <family val="2"/>
        <scheme val="minor"/>
      </rPr>
      <t>5. Tecnología</t>
    </r>
    <r>
      <rPr>
        <sz val="10"/>
        <color theme="1"/>
        <rFont val="Calibri"/>
        <family val="2"/>
        <scheme val="minor"/>
      </rPr>
      <t xml:space="preserve">.
Migración del software SIFAD al KACTUS 
(herramienta manejo proceso Talento Humano) 
</t>
    </r>
    <r>
      <rPr>
        <b/>
        <sz val="10"/>
        <color theme="1"/>
        <rFont val="Calibri"/>
        <family val="2"/>
        <scheme val="minor"/>
      </rPr>
      <t>6. Comunicación Interna</t>
    </r>
    <r>
      <rPr>
        <sz val="10"/>
        <color theme="1"/>
        <rFont val="Calibri"/>
        <family val="2"/>
        <scheme val="minor"/>
      </rPr>
      <t xml:space="preserve">.
</t>
    </r>
    <r>
      <rPr>
        <b/>
        <sz val="10"/>
        <color theme="1"/>
        <rFont val="Calibri"/>
        <family val="2"/>
        <scheme val="minor"/>
      </rPr>
      <t>7. Procesos</t>
    </r>
    <r>
      <rPr>
        <sz val="10"/>
        <color theme="1"/>
        <rFont val="Calibri"/>
        <family val="2"/>
        <scheme val="minor"/>
      </rPr>
      <t>.</t>
    </r>
  </si>
  <si>
    <r>
      <rPr>
        <b/>
        <sz val="10"/>
        <color theme="1"/>
        <rFont val="Calibri"/>
        <family val="2"/>
        <scheme val="minor"/>
      </rPr>
      <t>1. Diseño del Proceso</t>
    </r>
    <r>
      <rPr>
        <sz val="10"/>
        <color theme="1"/>
        <rFont val="Calibri"/>
        <family val="2"/>
        <scheme val="minor"/>
      </rPr>
      <t xml:space="preserve">.
Algunas de las actividades recurrentes realizadas desde el proceso de Talento Humano, no se encuentran documentadas a traves de procedimientos o instructivos.
</t>
    </r>
    <r>
      <rPr>
        <b/>
        <sz val="10"/>
        <color theme="1"/>
        <rFont val="Calibri"/>
        <family val="2"/>
        <scheme val="minor"/>
      </rPr>
      <t>2. Interacciones con con otros procesos</t>
    </r>
    <r>
      <rPr>
        <sz val="10"/>
        <color theme="1"/>
        <rFont val="Calibri"/>
        <family val="2"/>
        <scheme val="minor"/>
      </rPr>
      <t xml:space="preserve">.
</t>
    </r>
    <r>
      <rPr>
        <b/>
        <sz val="10"/>
        <color theme="1"/>
        <rFont val="Calibri"/>
        <family val="2"/>
        <scheme val="minor"/>
      </rPr>
      <t>3. Transversalidad</t>
    </r>
    <r>
      <rPr>
        <sz val="10"/>
        <color theme="1"/>
        <rFont val="Calibri"/>
        <family val="2"/>
        <scheme val="minor"/>
      </rPr>
      <t xml:space="preserve">.
</t>
    </r>
    <r>
      <rPr>
        <b/>
        <sz val="10"/>
        <color theme="1"/>
        <rFont val="Calibri"/>
        <family val="2"/>
        <scheme val="minor"/>
      </rPr>
      <t>4. Procedimientos asociados</t>
    </r>
    <r>
      <rPr>
        <sz val="10"/>
        <color theme="1"/>
        <rFont val="Calibri"/>
        <family val="2"/>
        <scheme val="minor"/>
      </rPr>
      <t xml:space="preserve">.
</t>
    </r>
    <r>
      <rPr>
        <b/>
        <sz val="10"/>
        <color theme="1"/>
        <rFont val="Calibri"/>
        <family val="2"/>
        <scheme val="minor"/>
      </rPr>
      <t>5. Comunicación entre los procesos</t>
    </r>
    <r>
      <rPr>
        <sz val="10"/>
        <color theme="1"/>
        <rFont val="Calibri"/>
        <family val="2"/>
        <scheme val="minor"/>
      </rPr>
      <t xml:space="preserve">.
</t>
    </r>
    <r>
      <rPr>
        <b/>
        <sz val="10"/>
        <color theme="1"/>
        <rFont val="Calibri"/>
        <family val="2"/>
        <scheme val="minor"/>
      </rPr>
      <t>6. Activos de seguridad digital del proceso</t>
    </r>
    <r>
      <rPr>
        <sz val="10"/>
        <color theme="1"/>
        <rFont val="Calibri"/>
        <family val="2"/>
        <scheme val="minor"/>
      </rPr>
      <t>.</t>
    </r>
  </si>
  <si>
    <t>Gestión de Talento Humano</t>
  </si>
  <si>
    <t>Administrar y gestionar talento humano integro y competente en función del cumplimiento de los objetivos de la UPME; dentro de un clima laboral saludable y en condiciones de bienestar.</t>
  </si>
  <si>
    <t>Vencimiento de terminos de los procesos disciplinarios</t>
  </si>
  <si>
    <t>Vencimiento de los terminos estipulados por la Ley para surtir cada una de las etapas de los procesos disciplinarios</t>
  </si>
  <si>
    <t>Desconocimiento del regimen disciplinario
Falta de control en los vencimientos de cada una de las etapas procesales
Personal sin las competencias requeridas respecto a normatividad vigente
Actuaciones en favor de un tercero</t>
  </si>
  <si>
    <t>Sanciones disciplinarias
Procesos disciplinarios archivados por prescripción de acciones
Hallazgos de entes de control</t>
  </si>
  <si>
    <t>Incumplimiento de los objetivos del Plan Institucional de Capacitaciones</t>
  </si>
  <si>
    <t>No se logran los objetivos trazados en la planificacion del Plan institucional de capacitaciones</t>
  </si>
  <si>
    <t>Disminución en el presupuesto asignado para capacitación 
Baja participación de los funcionarios en las capacitaciones planificadas
Contingencias generadas por factores externos y/o epidemiologicos
Plataformas tecnologicas no acondicionadas para desarrollar las actividades planificadas</t>
  </si>
  <si>
    <t>Servidores publicos sin las competencias necesarias para lograr los objetivos de la Entidad
Hallazgos de entes de control</t>
  </si>
  <si>
    <t>Historias laborales incompletas o desactualizadas</t>
  </si>
  <si>
    <t>Desactualización  de las hojas de vida de los funcionarios de la Entidad, o expedientes incompletos. Perdida de folios u expedientes</t>
  </si>
  <si>
    <t>No se ha designado un responsable para custodiar los expedientes de las hojas de vida de los funcionarios de la UPME
No existe un instructivo que indique la metodologia para la custodia y control de la informacion en las hojas de vida</t>
  </si>
  <si>
    <t>No contar con la información en el momento oportuno
Perdida de información 
Sanción disciplinaria (falta grave)
Hallazgo de entes de control</t>
  </si>
  <si>
    <t>Clima y entorno laboral inadecuado</t>
  </si>
  <si>
    <t xml:space="preserve">Desmotivación de los funcionarios de la Entidad; afectación del clima laboral </t>
  </si>
  <si>
    <t>Inasistencia a las actividades planificadas en el Plan de Bienestar
Recarga laboral</t>
  </si>
  <si>
    <t>Baja productividad
Incumplimiento de metas
Ruptura en la comunicación
Baja participación en las actividades corporativas
Personal desalineado con los objetivos de la Entidad</t>
  </si>
  <si>
    <t xml:space="preserve">Errores en el tramite de situaciones administrativas </t>
  </si>
  <si>
    <t>Inconsistencias en el tramite de situaciones administrativas tales como incapacidades, licencias, entre otras.</t>
  </si>
  <si>
    <t xml:space="preserve">Documentos allegados fuera de tiempos 
Novedades no reportadas
</t>
  </si>
  <si>
    <t xml:space="preserve">Reprocesos 
Liquidaciones erradas de nomina por falta de inclusión de novedades </t>
  </si>
  <si>
    <t>Expedición de certificaciones  con información alterada en favor de un tercero</t>
  </si>
  <si>
    <t>Elaboración de certificaciones laborales sin la transcripción de la información que reposa en la historia laboral, con el objetivo de beneficiar a un tercero</t>
  </si>
  <si>
    <t xml:space="preserve">No realizar filtros o controles de verificación de la información consignada en las certificaciones laborales
Información incompleta o desactualizada en las hojas de vida
Pago de dadivas a funcionarios que realizan las certificaciones (Delito de concusión art. 408 Codigo Penal, Ley 599/2000)
Funcionarios con bajo nivel de integridad 
</t>
  </si>
  <si>
    <t>Sanciones disciplinarias
Hallazgos de entes de control
Reprocesos</t>
  </si>
  <si>
    <t>Bitacora fisica para control de las etapas de los procesos</t>
  </si>
  <si>
    <t>Se cuenta con una bitacora fisica en donde el abogado sustanciador registra cada una de las actuaciones y vencimientos de los procesos</t>
  </si>
  <si>
    <t>Reporte  trimestral del PIC. Cronograma de seguimiento del PIC</t>
  </si>
  <si>
    <t>Reporte  trimestral detallado sobre el cumplimiento de metas establecidas en el PIC. 'Cronograma de seguimiento del PIC de la vigencia</t>
  </si>
  <si>
    <t xml:space="preserve">Lista de chequeo </t>
  </si>
  <si>
    <t>Para cada uno  de los expedientes se diligencia una lista de chequeo (formato sin control por el SGC)</t>
  </si>
  <si>
    <t>Ejecución del Plan de Bienestar e incentivos. Encuesta de clima laboral</t>
  </si>
  <si>
    <t>Seguimiento a la ejecución de las actividades contempladas dentro del Plan de Bienestar e incentivos. La encuesta se realiza de forma bianual una encuesta de clima laboral a todos los servidores de la UPME</t>
  </si>
  <si>
    <t>No se cuenta con controles existentes</t>
  </si>
  <si>
    <t>Cuadro de verificación de la información contenida en las certificaciones laborales</t>
  </si>
  <si>
    <t>El formato para certificaciones laborales cuenta con un espacio de verificación de la información contenida en las mismas, asi: quien elaboró, quien revisó y quien aprobó</t>
  </si>
  <si>
    <t>Bitacora diligenciada y actualizada</t>
  </si>
  <si>
    <t xml:space="preserve">Reporte  trimestral del PIC entregado a planeación </t>
  </si>
  <si>
    <t>Lista de chequeo diligenciada en cada uno de los expedientes de las hojas de vida</t>
  </si>
  <si>
    <t xml:space="preserve">Reporte  trimestral del plan de bienestar e incentivos  entregado a planeación </t>
  </si>
  <si>
    <t>Trazabilidad a traves del Sistema de Gestión Documental de la UPME
Certificaciones expedidas con visto bueno de responsables</t>
  </si>
  <si>
    <t>Diseño y elaboración del procedimiento de Control interno Disciplinario donde se incluya como instrumento de seguimiento y tarzabilidad la "bitacora de control de procesos disciplinarios"
Campañas de sensibilización para  los servidores publicos, sobre los valores contenidos en el Codigo de integridad 
Solicitud de inclusión en el PIC de la vigencia, actualización de competencias con enfasis en el Codigo general disciplinario, de los servidores publicos involucrados en el proceso disciplinario</t>
  </si>
  <si>
    <t>Profesional especializado con funciones  de control interno disciplinario
Coordinador de Talento Humano
'Profesional especializado con funciones  de control interno disciplinario</t>
  </si>
  <si>
    <t>1/01/2021
30/03/2021
1/01/2021</t>
  </si>
  <si>
    <t>31/01/2021
30/06/2021
31/01/2021</t>
  </si>
  <si>
    <t>Procedimiento elaborado y codificado en el SGC
Piezas comunicacionales, como: banners, folletos, carteleras, etc</t>
  </si>
  <si>
    <t>Elaboración de formato de compromiso de asistencia a capacitaciones. 
'Continuar con los controles existentes: Reporte  trimestral del PIC y cronograma de seguimiento del PIC</t>
  </si>
  <si>
    <t>Profesional con funciones de capacitación
Coordinador de Talento Humano</t>
  </si>
  <si>
    <t>4/01/2021
Permanentemente</t>
  </si>
  <si>
    <t>30/03/201
Permantentemente</t>
  </si>
  <si>
    <t>Formato de compromiso de asistencia a capacitaciones codificado y socializado
'Reporte  trimestral del PIC entregado a planeación 
Cronograma controlado y actualizado</t>
  </si>
  <si>
    <t>Elaboración de instructivo con la metodologia para gestionar las Hojas de vida de los servidores de la UPME</t>
  </si>
  <si>
    <t>Tecnico con funciones de custodia de hojas de vida</t>
  </si>
  <si>
    <t>Instructivo codificado y socializado</t>
  </si>
  <si>
    <t>Diseñar una encuesta estandar y ficha tecnica de la encuesta diseñada,  que permita  medir el impacto de las actividades desarrolladas, conforme al Plan de Bienestar e incentivos</t>
  </si>
  <si>
    <t>Coordinadora de Talento Humano</t>
  </si>
  <si>
    <t>I Trimestre de 2021</t>
  </si>
  <si>
    <t>Encuesta elaborada, codificada e incluida dentro del Plan de Bienestar e incentivos</t>
  </si>
  <si>
    <t>Elaborar circular donde se indique lineamientos sobre manejo de novedades de nomina y establecimiento de  fechas máximas para reporte de las mismas</t>
  </si>
  <si>
    <t>Profesional especializado de Talento humano con funciones de las certificaciones
Secretaria General
Coordinadora de Talento Humano</t>
  </si>
  <si>
    <t>Circular expedida y socializada</t>
  </si>
  <si>
    <t>Elaboración de instructivo con la metodologia para gestionar las Hojas de vida de los servidores de la UPME
Campañas de sensibilización para  los servidores publicos, sobre los valores contenidos en el Codigo de integridad 
Continuar con los controles existentes: Cuadro de verificación de la información contenida en las certificaciones laborales y trazabilidad de visto bueno a traves del sistema de gestión documental</t>
  </si>
  <si>
    <t xml:space="preserve">Tecnico con funciones de custodia de hojas de vida
Coordinador de Talento Humano
'Profesional especializado de Talento humano con funciones de las certificaciones
</t>
  </si>
  <si>
    <t>1/01/2021
01/04/2021</t>
  </si>
  <si>
    <t>30/06/2021
31/12/2021</t>
  </si>
  <si>
    <t>Instructivo codificado y socializado
Piezas comunicacionales, como: banners, folletos, carteleras, etc en coordinación con Comunicaciones.
Trazabilidad a traves del Sistema de Gestión Documental de la UPME. Certificaciones expedidas con visto bueno de responsables</t>
  </si>
  <si>
    <r>
      <t xml:space="preserve">1. Políticos.
</t>
    </r>
    <r>
      <rPr>
        <sz val="10"/>
        <color theme="1"/>
        <rFont val="Calibri"/>
        <family val="2"/>
        <scheme val="minor"/>
      </rPr>
      <t xml:space="preserve">
</t>
    </r>
    <r>
      <rPr>
        <b/>
        <sz val="10"/>
        <color theme="1"/>
        <rFont val="Calibri"/>
        <family val="2"/>
        <scheme val="minor"/>
      </rPr>
      <t xml:space="preserve">
2. Económicos y financieros.
</t>
    </r>
    <r>
      <rPr>
        <sz val="10"/>
        <color theme="1"/>
        <rFont val="Calibri"/>
        <family val="2"/>
        <scheme val="minor"/>
      </rPr>
      <t xml:space="preserve">Disminución fuentes de ingreso y presupuesto en general para asignación a Entidades publicas
</t>
    </r>
    <r>
      <rPr>
        <b/>
        <sz val="10"/>
        <color theme="1"/>
        <rFont val="Calibri"/>
        <family val="2"/>
        <scheme val="minor"/>
      </rPr>
      <t xml:space="preserve">
3. Sociales y culturales.
</t>
    </r>
    <r>
      <rPr>
        <sz val="10"/>
        <color theme="1"/>
        <rFont val="Calibri"/>
        <family val="2"/>
        <scheme val="minor"/>
      </rPr>
      <t xml:space="preserve">Vandalismo, terrorismo
</t>
    </r>
    <r>
      <rPr>
        <b/>
        <sz val="10"/>
        <color theme="1"/>
        <rFont val="Calibri"/>
        <family val="2"/>
        <scheme val="minor"/>
      </rPr>
      <t xml:space="preserve">
4. Tecnológicos.
</t>
    </r>
    <r>
      <rPr>
        <sz val="10"/>
        <color theme="1"/>
        <rFont val="Calibri"/>
        <family val="2"/>
        <scheme val="minor"/>
      </rPr>
      <t>Redes de datos e internet con fallas</t>
    </r>
    <r>
      <rPr>
        <b/>
        <sz val="10"/>
        <color theme="1"/>
        <rFont val="Calibri"/>
        <family val="2"/>
        <scheme val="minor"/>
      </rPr>
      <t xml:space="preserve"> 
</t>
    </r>
    <r>
      <rPr>
        <sz val="10"/>
        <color theme="1"/>
        <rFont val="Calibri"/>
        <family val="2"/>
        <scheme val="minor"/>
      </rPr>
      <t xml:space="preserve">
</t>
    </r>
    <r>
      <rPr>
        <b/>
        <sz val="10"/>
        <color theme="1"/>
        <rFont val="Calibri"/>
        <family val="2"/>
        <scheme val="minor"/>
      </rPr>
      <t xml:space="preserve">
5. Ambientales.</t>
    </r>
    <r>
      <rPr>
        <sz val="10"/>
        <color theme="1"/>
        <rFont val="Calibri"/>
        <family val="2"/>
        <scheme val="minor"/>
      </rPr>
      <t xml:space="preserve">
Terremoto
Microorganismos, insectos, plagas
</t>
    </r>
    <r>
      <rPr>
        <b/>
        <sz val="10"/>
        <color theme="1"/>
        <rFont val="Calibri"/>
        <family val="2"/>
        <scheme val="minor"/>
      </rPr>
      <t xml:space="preserve">
6. Legales y reglamentarios.
</t>
    </r>
    <r>
      <rPr>
        <sz val="10"/>
        <color theme="1"/>
        <rFont val="Calibri"/>
        <family val="2"/>
        <scheme val="minor"/>
      </rPr>
      <t>Cambio de normatividad refente a la gestión documental</t>
    </r>
  </si>
  <si>
    <r>
      <rPr>
        <b/>
        <sz val="10"/>
        <color theme="1"/>
        <rFont val="Calibri"/>
        <family val="2"/>
        <scheme val="minor"/>
      </rPr>
      <t>1. Estratégicos</t>
    </r>
    <r>
      <rPr>
        <sz val="10"/>
        <color theme="1"/>
        <rFont val="Calibri"/>
        <family val="2"/>
        <scheme val="minor"/>
      </rPr>
      <t xml:space="preserve">.
Lineamientos estrategicos
</t>
    </r>
    <r>
      <rPr>
        <b/>
        <sz val="10"/>
        <color theme="1"/>
        <rFont val="Calibri"/>
        <family val="2"/>
        <scheme val="minor"/>
      </rPr>
      <t>2. Estructura organizaciona</t>
    </r>
    <r>
      <rPr>
        <sz val="10"/>
        <color theme="1"/>
        <rFont val="Calibri"/>
        <family val="2"/>
        <scheme val="minor"/>
      </rPr>
      <t xml:space="preserve">l.
Cambio de politicas, procedimientos y mapa de procesos de la Entidad
</t>
    </r>
    <r>
      <rPr>
        <b/>
        <sz val="10"/>
        <color theme="1"/>
        <rFont val="Calibri"/>
        <family val="2"/>
        <scheme val="minor"/>
      </rPr>
      <t>3. Financieros</t>
    </r>
    <r>
      <rPr>
        <sz val="10"/>
        <color theme="1"/>
        <rFont val="Calibri"/>
        <family val="2"/>
        <scheme val="minor"/>
      </rPr>
      <t xml:space="preserve">.
Disminución en el presupuesto asignado para la gestión de archivos
</t>
    </r>
    <r>
      <rPr>
        <b/>
        <sz val="10"/>
        <color theme="1"/>
        <rFont val="Calibri"/>
        <family val="2"/>
        <scheme val="minor"/>
      </rPr>
      <t>4. Personal</t>
    </r>
    <r>
      <rPr>
        <sz val="10"/>
        <color theme="1"/>
        <rFont val="Calibri"/>
        <family val="2"/>
        <scheme val="minor"/>
      </rPr>
      <t xml:space="preserve">.
Personal insuficiente para abarcar todas las actividades de Gestión documental
Personal sin las competencias requeridas
Falta compromiso por parte de los funcionarios
</t>
    </r>
    <r>
      <rPr>
        <b/>
        <sz val="10"/>
        <color theme="1"/>
        <rFont val="Calibri"/>
        <family val="2"/>
        <scheme val="minor"/>
      </rPr>
      <t>5. Tecnología</t>
    </r>
    <r>
      <rPr>
        <sz val="10"/>
        <color theme="1"/>
        <rFont val="Calibri"/>
        <family val="2"/>
        <scheme val="minor"/>
      </rPr>
      <t xml:space="preserve">.
</t>
    </r>
    <r>
      <rPr>
        <b/>
        <sz val="10"/>
        <color theme="1"/>
        <rFont val="Calibri"/>
        <family val="2"/>
        <scheme val="minor"/>
      </rPr>
      <t>6. Comunicación Interna</t>
    </r>
    <r>
      <rPr>
        <sz val="10"/>
        <color theme="1"/>
        <rFont val="Calibri"/>
        <family val="2"/>
        <scheme val="minor"/>
      </rPr>
      <t xml:space="preserve">.
</t>
    </r>
    <r>
      <rPr>
        <b/>
        <sz val="10"/>
        <color theme="1"/>
        <rFont val="Calibri"/>
        <family val="2"/>
        <scheme val="minor"/>
      </rPr>
      <t>7. Procesos</t>
    </r>
    <r>
      <rPr>
        <sz val="10"/>
        <color theme="1"/>
        <rFont val="Calibri"/>
        <family val="2"/>
        <scheme val="minor"/>
      </rPr>
      <t>.</t>
    </r>
  </si>
  <si>
    <r>
      <rPr>
        <b/>
        <sz val="10"/>
        <color theme="1"/>
        <rFont val="Calibri"/>
        <family val="2"/>
        <scheme val="minor"/>
      </rPr>
      <t>1. Diseño del Proceso</t>
    </r>
    <r>
      <rPr>
        <sz val="10"/>
        <color theme="1"/>
        <rFont val="Calibri"/>
        <family val="2"/>
        <scheme val="minor"/>
      </rPr>
      <t xml:space="preserve">.
Actualización de la documentación pertinente al proceso
</t>
    </r>
    <r>
      <rPr>
        <b/>
        <sz val="10"/>
        <color theme="1"/>
        <rFont val="Calibri"/>
        <family val="2"/>
        <scheme val="minor"/>
      </rPr>
      <t>2. Interacciones con con otros procesos</t>
    </r>
    <r>
      <rPr>
        <sz val="10"/>
        <color theme="1"/>
        <rFont val="Calibri"/>
        <family val="2"/>
        <scheme val="minor"/>
      </rPr>
      <t xml:space="preserve">.
</t>
    </r>
    <r>
      <rPr>
        <b/>
        <sz val="10"/>
        <color theme="1"/>
        <rFont val="Calibri"/>
        <family val="2"/>
        <scheme val="minor"/>
      </rPr>
      <t>3. Transversalidad</t>
    </r>
    <r>
      <rPr>
        <sz val="10"/>
        <color theme="1"/>
        <rFont val="Calibri"/>
        <family val="2"/>
        <scheme val="minor"/>
      </rPr>
      <t xml:space="preserve">.
Documentación digitalizada de forma errada y cargada en el sistema para consulta
Radicación o distribución erronea de la correspondencia
</t>
    </r>
    <r>
      <rPr>
        <b/>
        <sz val="10"/>
        <color theme="1"/>
        <rFont val="Calibri"/>
        <family val="2"/>
        <scheme val="minor"/>
      </rPr>
      <t>4. Procedimientos asociados</t>
    </r>
    <r>
      <rPr>
        <sz val="10"/>
        <color theme="1"/>
        <rFont val="Calibri"/>
        <family val="2"/>
        <scheme val="minor"/>
      </rPr>
      <t xml:space="preserve">.
</t>
    </r>
    <r>
      <rPr>
        <b/>
        <sz val="10"/>
        <color theme="1"/>
        <rFont val="Calibri"/>
        <family val="2"/>
        <scheme val="minor"/>
      </rPr>
      <t>5. Comunicación entre los procesos</t>
    </r>
    <r>
      <rPr>
        <sz val="10"/>
        <color theme="1"/>
        <rFont val="Calibri"/>
        <family val="2"/>
        <scheme val="minor"/>
      </rPr>
      <t xml:space="preserve">.
</t>
    </r>
    <r>
      <rPr>
        <b/>
        <sz val="10"/>
        <color theme="1"/>
        <rFont val="Calibri"/>
        <family val="2"/>
        <scheme val="minor"/>
      </rPr>
      <t>6. Activos de seguridad digital del proceso</t>
    </r>
    <r>
      <rPr>
        <sz val="10"/>
        <color theme="1"/>
        <rFont val="Calibri"/>
        <family val="2"/>
        <scheme val="minor"/>
      </rPr>
      <t>.</t>
    </r>
  </si>
  <si>
    <t>GESTIÓN DOCUMENTAL</t>
  </si>
  <si>
    <t>Asegurar la conservación y disponibilidad de la memoria institucional de la UPME por medio de la generación de directrices y controles aplicables al archivo de gestión, archivo central y archivo historico.</t>
  </si>
  <si>
    <t>Deterioro de los documentos del archivo central, archivo  de gestión o del material bibliográfico del centro documental</t>
  </si>
  <si>
    <t>Propagación de microorganismos, plagas o insectos; humedades, goteras en los espacios destinados para el almacenamiento de los archivos o del material bibliográfico del centro documental</t>
  </si>
  <si>
    <t xml:space="preserve">Falta de aseo
Falta de mantenimiento de instalaciones
No se realizan fumigaciones </t>
  </si>
  <si>
    <t>Perdida de información
Sanciones disciplinarias
Multas</t>
  </si>
  <si>
    <t>Información suministrada de forma inoportuna por el proceso de Gestion Documental</t>
  </si>
  <si>
    <t>Requerimientos y solicitudes de documentación del archivo central gestionada con demoras</t>
  </si>
  <si>
    <t>Fallas en el internet
Caída del sistema o perdida de información de las bases de datos Dspace, Koha y ORFEO.
Personal insuficiente
Personal sin las competencias y/o capacitación  requeridas en el cargo</t>
  </si>
  <si>
    <t>Traumatismos en la gestión de los demás procesos de la Entidad</t>
  </si>
  <si>
    <t>Manejo  inadecuado de la Gestión documental por parte de los servidores publicos  de la UPME</t>
  </si>
  <si>
    <t>No se aplican de forma adecuada los procedimientos o la normatividad vigente para la gestión de los archivos</t>
  </si>
  <si>
    <t>Personal sin las competencias y/o capacitación  requeridas en el cargo
Falta compromiso por parte de los servidores publicos
No aplicación de las TRD por parte de los servidores publicos</t>
  </si>
  <si>
    <t>Perdida de información
Sanciones disciplinarias
Multas
Sanciones por parte de los entes de control</t>
  </si>
  <si>
    <t xml:space="preserve">Transferencias incompletas o que no se realizan de acuerdo a las TRD </t>
  </si>
  <si>
    <t>Las transferencias realizadas por las dependencias (archivo de gestión) al archivo central, se realizan de forma incompleta o no se realizan dentro de los tiempos programados</t>
  </si>
  <si>
    <t>Falta compromiso por parte de los servidores publicos
Falta de capacitación sobre el manejo de trasferencias</t>
  </si>
  <si>
    <t>Instalaciones destinadas al archivo de gestión con poco espacio
Sanciones disciplinarias</t>
  </si>
  <si>
    <t>Alteración o perdida de los expedientes que reposan en el archivo Central para favorecer a un tercero</t>
  </si>
  <si>
    <t>Expedientes del archivo central alterados o incompletos para beneficio de terceros</t>
  </si>
  <si>
    <t>No se realizar trazabilidad desde la entrega hasta la devolución (si es en fisico)
Intereses particulares de beneficio propio</t>
  </si>
  <si>
    <t>Sanciones disciplinarias
Perdida de memoria institucional</t>
  </si>
  <si>
    <t>Asignación o manejo errado de correspondencia general radicada en la UPME</t>
  </si>
  <si>
    <t>Distribuciones errada de la correspondencia a  las dependencias
Tratamiento de correspondencia errado (archivo sin respuesta a solicitudes, No radicación de documentos, Cargue errado de los datos al momento de radicar, entre otros)</t>
  </si>
  <si>
    <t>Falta compromiso por parte de los servidores publicos
No identificar adecuadamente el contenido de los sobres de correspondencia
Falta de capacitación sobre los diferentes temas que pueden ser radicados en la entidad</t>
  </si>
  <si>
    <t>Inoportunidad de las respuestas 
Reprocesos 
Hallazgos por parte de los entes de control
Tutelas</t>
  </si>
  <si>
    <t>No realizar trazabilidad a la  entrega de la correspondencia enviada</t>
  </si>
  <si>
    <t>No se anexa el reporte/guia de envio, al radicado de enviado de la correspondencia</t>
  </si>
  <si>
    <t>Falta compromiso por parte de los servidores publicos
Falta de inducción/reinducción sobre procedimientos y actividades propias del proceso</t>
  </si>
  <si>
    <t xml:space="preserve">Demandas
Insatisfacción de las partes interesadas
Reprocesos </t>
  </si>
  <si>
    <t>Mantenimientos periodicos a las instalaciones donde reposan lo archivos</t>
  </si>
  <si>
    <t>Mantenimientos periodicos a las instalaciones donde reposan lo archivos, que incluye control de plagas (roedores, insectos y hongos) y limpieza general</t>
  </si>
  <si>
    <t>Procedimiento de Gestión documental</t>
  </si>
  <si>
    <t xml:space="preserve">Dentro del Sistema de gestión de calidad se cuenta con el procedimiento de Gestión Documental que da las directrices respecto al manejo de los expedientes </t>
  </si>
  <si>
    <t>Sistema de Gestión Documental (plataforma) parametrizado con la funcionalidades implementadas
Tablas de Retención Documental TRD de la Upme
Procedimiento de Gestión documental</t>
  </si>
  <si>
    <t xml:space="preserve">Tipificación de los documentos por medio de Orfeo, de acuerdo a las TRD. Tablas de Retención Documental TRD elaboradas considerando los actos administrativos de estructura y la estructura de los procesos del Sistema de Gestión de la Calidad. 'Dentro del Sistema de gestión de calidad se cuenta con el procedimiento de Gestión Documental que da las directrices respecto al manejo de los expedientes </t>
  </si>
  <si>
    <t>Cronograma de transferencia documental de la vigencia. Formato unico de Inventario Documental de la UPME</t>
  </si>
  <si>
    <t>Para cada vigencia el profesional especializado con funciones de Gestión documental elabora y hace seguimiento al cronograma de Transferencias. Trazabilidad y control del inventario documental General  de la UPME por medio del FUID</t>
  </si>
  <si>
    <t>Formato de  prestamos. Matriz de control de prestamos</t>
  </si>
  <si>
    <t>Dentro del SGC se cuenta con un formato para controlar los documentos dados en prestamo de forma fisica, en el cual se registra la fecha de entrega, aquien se entrega y cuando lo devuelven. El responsable del proceso maneja matriz de trazabilidad de los los documentos dados en prestamo de forma fisica, en el cual se registra la fecha de entrega, aquien se entrega y cuando lo devuelven (documento sin control en el SGC)</t>
  </si>
  <si>
    <t>No se identifican controles existentes</t>
  </si>
  <si>
    <t>Procedimiento vigente disponible en Intranet</t>
  </si>
  <si>
    <t xml:space="preserve">Documentación tipificada y disponible en el sistema de gestión documental </t>
  </si>
  <si>
    <t>Cronograma de transferencias elaborado y socializado</t>
  </si>
  <si>
    <t>Formato de prestamos diligenciado y firmado por las partes</t>
  </si>
  <si>
    <t xml:space="preserve">Elaborar y socializar el plan de emergencias para el control del riesgo Gestión documental, donde se contemple la frecuencia de los mantenimientos, limpieza, control de plagas, formatos asociados, entre otros
</t>
  </si>
  <si>
    <t>Profesional especializado con funciones de Gestión Documental</t>
  </si>
  <si>
    <t>Plan de emergencias para el control del riesgo Gestión documental incluido dentro del SGC y socializado</t>
  </si>
  <si>
    <t>Sensibilización dirigida a los servidores publicos del proceso de Gestión documental, respecto al objetivo del proceso y a la importancia en la oportunidad de la información</t>
  </si>
  <si>
    <t xml:space="preserve">Profesional especializado con funciones de Gestión Documental
</t>
  </si>
  <si>
    <t xml:space="preserve">Lista de asistencia </t>
  </si>
  <si>
    <t>Solicitar incluir dentro del plan institucional de capacitaciones, formación a los servidores publicos referente a Gestión documental y normatividad relacionada
Sensibilización a los servidores publicos del la UPME, respecto a la importancia de una buena Gestión documental</t>
  </si>
  <si>
    <t>1/11/2020
30/03/2021</t>
  </si>
  <si>
    <t>10/01/2021
31/12/2021</t>
  </si>
  <si>
    <t xml:space="preserve">Solicitud de capacitación enviada a  secretaria General, con copia al coordinador de Talento Humano y al profesional con funciones de capacitación(emails, formato u oficio)
Piezas comunicacionales alusivas al tema </t>
  </si>
  <si>
    <t>Solicitar incluir dentro del plan institucional de capacitaciones, formación a los servidores publicos referente a la aplicación de las TRD
Continuar con los controles existentes: Cronograma de transferencia documental de la vigencia y FUID</t>
  </si>
  <si>
    <t>Profesional especializado con funciones de Gestión Documental
'Profesional especializado con funciones de Gestión Documental</t>
  </si>
  <si>
    <t>4/01/2021
Permanente</t>
  </si>
  <si>
    <t>30/03/2021
Permanente</t>
  </si>
  <si>
    <t>Solicitud de capacitación enviada a  secretaria General, con copia al coordinador de Talento Humano y al profesional con funciones de capacitación(emails, formato u oficio)
Trazabilidad del cronograma de transferencias socializado y el FUID actualizado</t>
  </si>
  <si>
    <t>Solicitar la codificación del formato "matriz de control de prestamos" y actualizar el procedimiento de Gestion documental, incluyendo dentro de los controles el diligenciamiento del formato mencionado junto con los responsables.</t>
  </si>
  <si>
    <t>Formato "matriz de control prestamos" codificado
Procedimiento Gestión documental actualizado</t>
  </si>
  <si>
    <t>Realizar reinducción a los funcionarios de correspondencia sobre los diferentes temas que pueden ser radicados en la Entidad y la dependencia interesada en el asunto
'Solicitar incluir dentro del plan institucional de capacitaciones, formación en lectura rapida dirigido al personal de correspondencia</t>
  </si>
  <si>
    <t>Lista de asistencia 
Solicitud de capacitación enviada a  secretaria General, con copia al coordinador de Talento Humano y al profesional con funciones de capacitación(emails, formato u oficio)</t>
  </si>
  <si>
    <t>Realizar reinducción a los funcionarios de correspondencia sobre el procedimiento y manejo de los soportes de la correspondencia enviada
Realizar revisión aleatoria de correspondencia enviada para verificar el anexo del envio</t>
  </si>
  <si>
    <t>Lista de asistencia 
Evidencia de la revisión realizada y los hallazgos encontrados, para retroalimentación del proceso</t>
  </si>
  <si>
    <r>
      <t xml:space="preserve">1. Políticos.
</t>
    </r>
    <r>
      <rPr>
        <sz val="10"/>
        <color theme="1"/>
        <rFont val="Calibri"/>
        <family val="2"/>
        <scheme val="minor"/>
      </rPr>
      <t xml:space="preserve">Cambio de Gobierno y lineamientos en cuanto a reestructuración de las Entidades que tienen que ver con el sector Minero energetico
</t>
    </r>
    <r>
      <rPr>
        <b/>
        <sz val="10"/>
        <color theme="1"/>
        <rFont val="Calibri"/>
        <family val="2"/>
        <scheme val="minor"/>
      </rPr>
      <t xml:space="preserve">
2. Económicos y financieros.
</t>
    </r>
    <r>
      <rPr>
        <sz val="10"/>
        <color theme="1"/>
        <rFont val="Calibri"/>
        <family val="2"/>
        <scheme val="minor"/>
      </rPr>
      <t xml:space="preserve">Disminución del presupuesto aprobado por el Congreso para la UPME
</t>
    </r>
    <r>
      <rPr>
        <b/>
        <sz val="10"/>
        <color theme="1"/>
        <rFont val="Calibri"/>
        <family val="2"/>
        <scheme val="minor"/>
      </rPr>
      <t xml:space="preserve">
3. Sociales y culturales.
</t>
    </r>
    <r>
      <rPr>
        <sz val="10"/>
        <color theme="1"/>
        <rFont val="Calibri"/>
        <family val="2"/>
        <scheme val="minor"/>
      </rPr>
      <t xml:space="preserve">
</t>
    </r>
    <r>
      <rPr>
        <b/>
        <sz val="10"/>
        <color theme="1"/>
        <rFont val="Calibri"/>
        <family val="2"/>
        <scheme val="minor"/>
      </rPr>
      <t xml:space="preserve">
4. Tecnológicos.
</t>
    </r>
    <r>
      <rPr>
        <sz val="10"/>
        <color theme="1"/>
        <rFont val="Calibri"/>
        <family val="2"/>
        <scheme val="minor"/>
      </rPr>
      <t xml:space="preserve">Proveedor de Internet 
Fallas en la plataforma de SIIF Nación
</t>
    </r>
    <r>
      <rPr>
        <b/>
        <sz val="10"/>
        <color theme="1"/>
        <rFont val="Calibri"/>
        <family val="2"/>
        <scheme val="minor"/>
      </rPr>
      <t xml:space="preserve">
5. Ambientales.
</t>
    </r>
    <r>
      <rPr>
        <sz val="10"/>
        <color theme="1"/>
        <rFont val="Calibri"/>
        <family val="2"/>
        <scheme val="minor"/>
      </rPr>
      <t xml:space="preserve">Riesgo biologico
</t>
    </r>
    <r>
      <rPr>
        <b/>
        <sz val="10"/>
        <color theme="1"/>
        <rFont val="Calibri"/>
        <family val="2"/>
        <scheme val="minor"/>
      </rPr>
      <t xml:space="preserve">
6. Legales y reglamentarios.
</t>
    </r>
    <r>
      <rPr>
        <sz val="10"/>
        <color theme="1"/>
        <rFont val="Calibri"/>
        <family val="2"/>
        <scheme val="minor"/>
      </rPr>
      <t xml:space="preserve">Cambios y/o actualización en cuanto a normatividad presupuestal, contable y/o  tributaria
</t>
    </r>
  </si>
  <si>
    <r>
      <rPr>
        <b/>
        <sz val="10"/>
        <color theme="1"/>
        <rFont val="Calibri"/>
        <family val="2"/>
        <scheme val="minor"/>
      </rPr>
      <t>1. Estratégicos</t>
    </r>
    <r>
      <rPr>
        <sz val="10"/>
        <color theme="1"/>
        <rFont val="Calibri"/>
        <family val="2"/>
        <scheme val="minor"/>
      </rPr>
      <t xml:space="preserve">.
Nombramientos de nueva adminsitración y/o secretaria general
Demoras en los tramites externos en materia presupuestal (Gestión con Ministerio, Departamento Nacional de Planeación, MInhacienda, Minenergia, Concejo directivo)
</t>
    </r>
    <r>
      <rPr>
        <b/>
        <sz val="10"/>
        <color theme="1"/>
        <rFont val="Calibri"/>
        <family val="2"/>
        <scheme val="minor"/>
      </rPr>
      <t>2. Estructura organizaciona</t>
    </r>
    <r>
      <rPr>
        <sz val="10"/>
        <color theme="1"/>
        <rFont val="Calibri"/>
        <family val="2"/>
        <scheme val="minor"/>
      </rPr>
      <t xml:space="preserve">l.
</t>
    </r>
    <r>
      <rPr>
        <b/>
        <sz val="10"/>
        <color theme="1"/>
        <rFont val="Calibri"/>
        <family val="2"/>
        <scheme val="minor"/>
      </rPr>
      <t>3. Financieros</t>
    </r>
    <r>
      <rPr>
        <sz val="10"/>
        <color theme="1"/>
        <rFont val="Calibri"/>
        <family val="2"/>
        <scheme val="minor"/>
      </rPr>
      <t xml:space="preserve">.
</t>
    </r>
    <r>
      <rPr>
        <b/>
        <sz val="10"/>
        <color theme="1"/>
        <rFont val="Calibri"/>
        <family val="2"/>
        <scheme val="minor"/>
      </rPr>
      <t>4. Personal</t>
    </r>
    <r>
      <rPr>
        <sz val="10"/>
        <color theme="1"/>
        <rFont val="Calibri"/>
        <family val="2"/>
        <scheme val="minor"/>
      </rPr>
      <t xml:space="preserve">.
Desactualización ó debilidades en los conocimientos de los funcionarios, respecto a normatividad presupuestal y de manejo de recursos
Limitación de personal asignado al area, considerando las nuevas actividades surgidas con la entrada al SCUN
</t>
    </r>
    <r>
      <rPr>
        <b/>
        <sz val="10"/>
        <color theme="1"/>
        <rFont val="Calibri"/>
        <family val="2"/>
        <scheme val="minor"/>
      </rPr>
      <t>5. Tecnología</t>
    </r>
    <r>
      <rPr>
        <sz val="10"/>
        <color theme="1"/>
        <rFont val="Calibri"/>
        <family val="2"/>
        <scheme val="minor"/>
      </rPr>
      <t xml:space="preserve">.
Permisos de conectividad de los funcionarios con el internet de la UPME , para trabajo en casa
Conexión intermitente con la plataforma Orfeo, o acceso a la pagina web y correo electronico de la UPME
</t>
    </r>
    <r>
      <rPr>
        <b/>
        <sz val="10"/>
        <color theme="1"/>
        <rFont val="Calibri"/>
        <family val="2"/>
        <scheme val="minor"/>
      </rPr>
      <t>6. Comunicación Interna</t>
    </r>
    <r>
      <rPr>
        <sz val="10"/>
        <color theme="1"/>
        <rFont val="Calibri"/>
        <family val="2"/>
        <scheme val="minor"/>
      </rPr>
      <t xml:space="preserve">.
</t>
    </r>
    <r>
      <rPr>
        <b/>
        <sz val="10"/>
        <color theme="1"/>
        <rFont val="Calibri"/>
        <family val="2"/>
        <scheme val="minor"/>
      </rPr>
      <t>7. Procesos</t>
    </r>
    <r>
      <rPr>
        <sz val="10"/>
        <color theme="1"/>
        <rFont val="Calibri"/>
        <family val="2"/>
        <scheme val="minor"/>
      </rPr>
      <t>.</t>
    </r>
  </si>
  <si>
    <r>
      <rPr>
        <b/>
        <sz val="10"/>
        <color theme="1"/>
        <rFont val="Calibri"/>
        <family val="2"/>
        <scheme val="minor"/>
      </rPr>
      <t>1. Diseño del Proceso</t>
    </r>
    <r>
      <rPr>
        <sz val="10"/>
        <color theme="1"/>
        <rFont val="Calibri"/>
        <family val="2"/>
        <scheme val="minor"/>
      </rPr>
      <t xml:space="preserve">.
Reestructuración del proceso de Gestión financiera respecto a procedimientos, responsables, flujogramas, entre otros
</t>
    </r>
    <r>
      <rPr>
        <b/>
        <sz val="10"/>
        <color theme="1"/>
        <rFont val="Calibri"/>
        <family val="2"/>
        <scheme val="minor"/>
      </rPr>
      <t>2. Interacciones con con otros procesos</t>
    </r>
    <r>
      <rPr>
        <sz val="10"/>
        <color theme="1"/>
        <rFont val="Calibri"/>
        <family val="2"/>
        <scheme val="minor"/>
      </rPr>
      <t xml:space="preserve">.
</t>
    </r>
    <r>
      <rPr>
        <b/>
        <sz val="10"/>
        <color theme="1"/>
        <rFont val="Calibri"/>
        <family val="2"/>
        <scheme val="minor"/>
      </rPr>
      <t>3. Transversalidad</t>
    </r>
    <r>
      <rPr>
        <sz val="10"/>
        <color theme="1"/>
        <rFont val="Calibri"/>
        <family val="2"/>
        <scheme val="minor"/>
      </rPr>
      <t xml:space="preserve">.
Cambios en los procedimientos del proceso  juridico y del proceso contractual
</t>
    </r>
    <r>
      <rPr>
        <b/>
        <sz val="10"/>
        <color theme="1"/>
        <rFont val="Calibri"/>
        <family val="2"/>
        <scheme val="minor"/>
      </rPr>
      <t>4. Procedimientos asociados</t>
    </r>
    <r>
      <rPr>
        <sz val="10"/>
        <color theme="1"/>
        <rFont val="Calibri"/>
        <family val="2"/>
        <scheme val="minor"/>
      </rPr>
      <t xml:space="preserve">.
</t>
    </r>
    <r>
      <rPr>
        <b/>
        <sz val="10"/>
        <color theme="1"/>
        <rFont val="Calibri"/>
        <family val="2"/>
        <scheme val="minor"/>
      </rPr>
      <t>5. Comunicación entre los procesos</t>
    </r>
    <r>
      <rPr>
        <sz val="10"/>
        <color theme="1"/>
        <rFont val="Calibri"/>
        <family val="2"/>
        <scheme val="minor"/>
      </rPr>
      <t xml:space="preserve">.
</t>
    </r>
    <r>
      <rPr>
        <b/>
        <sz val="10"/>
        <color theme="1"/>
        <rFont val="Calibri"/>
        <family val="2"/>
        <scheme val="minor"/>
      </rPr>
      <t>6. Activos de seguridad digital del proceso</t>
    </r>
    <r>
      <rPr>
        <sz val="10"/>
        <color theme="1"/>
        <rFont val="Calibri"/>
        <family val="2"/>
        <scheme val="minor"/>
      </rPr>
      <t>.</t>
    </r>
  </si>
  <si>
    <t>Gestión Financiera</t>
  </si>
  <si>
    <t>Recaudar, ejecutar y controlar los recursos financieros de la Entidad y presentar de forma oportuna, fidedigna, relevante y comparable la información financiera y presupuestal para la toma de decisiones, a partir de la clasificación, registro y análisis de los hechos económicos, sociales y ambientales de la entidad.</t>
  </si>
  <si>
    <t>Información presupuestal, contable, tributaria ó financiera errada ó inorportuna</t>
  </si>
  <si>
    <t xml:space="preserve">Presentación y publicación  de informes presupuestales, contables, tributarios o financieros, de forma extemporanea o con errores en los registros </t>
  </si>
  <si>
    <t>Desactualización del personal asignado al area Financiera
Falta de inducción 
Errores de digitación
Fallas en los controles establecidos para cada una de las actividades
Limitación de personal asignado al area
Conexión intermitente con la plataforma Orfeo, o acceso a la pagina web, correo electronico de la UPME y/o SIIF Nación</t>
  </si>
  <si>
    <t>Reprocesos
Demoras en el suministro de información financiera
Información no ajustada a la realidad
Hallazgos por parte de los entes de control
Sanciones disciplinarias</t>
  </si>
  <si>
    <t>Impactos presupuestales por efectos de reestructuracion del sector Minero Energetico</t>
  </si>
  <si>
    <t>Disminución del presupuesto aprobado por el Congreso para la UPME</t>
  </si>
  <si>
    <t>Cambio de Gobierno
Efectos colaterales causados por la situación economica actual del pais
Reforma de las Entidades aportantes del presupuesto de la UPME</t>
  </si>
  <si>
    <t xml:space="preserve">Disminución de recursos designados para la Gestión misional y adminsitrativa de la UPME
Reforma estructural interna
Incumplimiento de actividades establecidas por normatividad vigente, debido a personal insufiente
</t>
  </si>
  <si>
    <t xml:space="preserve">Perdida de información contable, presupuestal  o financiera </t>
  </si>
  <si>
    <t xml:space="preserve">Perdida de información contable, presupuestal  o financiera y documentación digital como soportes, registros, traslados, acuerdos, entre otros </t>
  </si>
  <si>
    <t xml:space="preserve">Desconocimiento de las directrices establecidas en los procedimientos
No aplicación de los procedimientos establecidos
Fallas tecnologicas
No se han establecido frecuencias de realización copias de seguridad
</t>
  </si>
  <si>
    <t>Hallazgos por parte de los entes de control
Sanciones disciplinarias
Reprocesos 
Demoras en el suministro de información</t>
  </si>
  <si>
    <t>Ordenes de pago con errores, duplicados o extemporaneos</t>
  </si>
  <si>
    <t>Ordenes de pago con errores de digitación, pagadas dos veces ó pagadas de forma extemporanea de acuerdo a lo establecido en procedimiento y circulares de pago (4 dias)</t>
  </si>
  <si>
    <t>Desconocimiento o no aplicación del procedimiento o normatividad referente
Errores de digitación
No se cuenta con una herramientas de verificación y control previo a la ejecución de pagos
Actuación para beneficio propio o a un tercero</t>
  </si>
  <si>
    <t xml:space="preserve">Reprocesos
Hallazgos adminsitrativos y de indole fiscal, por parte de los Entes de Control
Faltante de recursos financieros
Imagen negativa de la Entidad
Insatisfaccion de las partes interesadas
</t>
  </si>
  <si>
    <t>Plan de trabajo anual
Procedimientos para verificación de la información 
Sistemas de información 
SIIF, Chip, Orfeo, Muisca (Dian)</t>
  </si>
  <si>
    <t>Plan de trabajo anual donde se desagregan las actividades y fechas de vencimiento; el plan es monitoreado trimestralmente
Controles establecidos dentro de los Procedimientos del proceso, para verificación de la información 
Reportes generados para validar los tramites en los sistemas de información</t>
  </si>
  <si>
    <t>Procedimientos del proceso</t>
  </si>
  <si>
    <t>Procedimientos donde se estipula la obligatoriedad de alimentar los sistemas de información</t>
  </si>
  <si>
    <t>Seguimientos trimestrales del Plan anual de trabajo del proceso de Gestión financiera</t>
  </si>
  <si>
    <t xml:space="preserve">Registros y reportes en los sistemas de información, sobre las areas contable, financiera y presupuestal </t>
  </si>
  <si>
    <t>Continuar con los controles existentes: Elaboración y seguimiento del Plan de trabajo anual; Controles establecidos dentro de los Procedimientos del proceso, para verificación de la información; Reportes oportunos generados para validar los tramites, en los sistemas de información
Solicitar incluir dentro del PIC capacitaciones para actualización en temas relacionados con las areas contable, presupuestal y financiera</t>
  </si>
  <si>
    <t>Profesionales del grupo interno de trabajo de Gestión Financiera</t>
  </si>
  <si>
    <t>Seguimientos trimestrales del Plan anual de trabajo del proceso de Gestión financiera
Trazabilidad de la revisión por medio de emails y registros en Orfeo
Reportes oportunos generados para validar los tramites, en los sitemas de información
Solicitud de capacitación enviada a  secretaria General, con copia al coordinador de Talento Humano y al profesional con funciones de capacitación(emails, formato u oficio)</t>
  </si>
  <si>
    <t>Proponer la realización de mesas de trabajo, donde se analicen nuevas fuentes de ingresos para la UPME, teniendo en cuenta la normatividad aplicable</t>
  </si>
  <si>
    <t>Coordinador del grupo interno de trabajo de Gestión Financiera
Profesionales de presupuesto</t>
  </si>
  <si>
    <t>Documentos tecnicos y/o actas de reuniones</t>
  </si>
  <si>
    <t>Actualización de los procedimientos de Gestión financiero, respecto al manejo de expedientes virtuales de acuerdo a las TRD
Proponer a la secretaria general, se asigne un servidor exclusivo para salvaguardar la información que se genera en el proceso de Gestión Financiera 
Realizar verificación en los drive asignados, de la disponibilidad de la información generada por Gestión Financiera</t>
  </si>
  <si>
    <t>Profesionales del grupo interno de trabajo de Gestión Financiera
'Coordinador del grupo interno de trabajo de Gestión Financiera
'Coordinador del grupo interno de trabajo de Gestión Financiera</t>
  </si>
  <si>
    <t>1/01/2021
I trimestre 2021
I Trimestre 2021</t>
  </si>
  <si>
    <t>31/12/2021
I trimestre 2021
IV trimestre 2021</t>
  </si>
  <si>
    <t>Procedimientos actualizados y socializados 
Solcitud a traves de oficio y/o email
Reporte trimestral dentro del seguimiento del plan anual de trabajo</t>
  </si>
  <si>
    <t xml:space="preserve">Diseñar matriz de trazabilidad y control de las cuentas por pagar vs las ordenes de pago
Actualizar el procedimiento de  Tesoreria para incluir dentro de los controles la matriz de trazabilidad y control de las cuentas por pagar vs las ordenes de pago
Realizar reinducción en cuanto a la operatividad de los sistemas de información y controles establecidos
</t>
  </si>
  <si>
    <t>Profesionales del grupo interno de trabajo de Gestión Financiera
'Profesional especializado con funciones de tesoreria
'Coordinador del grupo interno de trabajo de Gestión Financiera</t>
  </si>
  <si>
    <t>I trimestre 2021
II trimestre 2021
30/06/2021</t>
  </si>
  <si>
    <t>I trimestre 2021
II trimestre 2021
30/09/2021</t>
  </si>
  <si>
    <t xml:space="preserve">Matriz de trazabilidad y control de las cuentas por pargar vs las ordenes de pago, diseñada y codificada dentro del SGC 
Procedimiento de tesoreria actualizado
Lista de asistencia </t>
  </si>
  <si>
    <r>
      <t xml:space="preserve">1. Políticos.
</t>
    </r>
    <r>
      <rPr>
        <sz val="10"/>
        <color theme="1"/>
        <rFont val="Calibri"/>
        <family val="2"/>
        <scheme val="minor"/>
      </rPr>
      <t xml:space="preserve">
</t>
    </r>
    <r>
      <rPr>
        <b/>
        <sz val="10"/>
        <color theme="1"/>
        <rFont val="Calibri"/>
        <family val="2"/>
        <scheme val="minor"/>
      </rPr>
      <t xml:space="preserve">
2. Económicos y financieros.
Materilización del daño antijuridico con condena</t>
    </r>
    <r>
      <rPr>
        <sz val="10"/>
        <color theme="1"/>
        <rFont val="Calibri"/>
        <family val="2"/>
        <scheme val="minor"/>
      </rPr>
      <t xml:space="preserve">
</t>
    </r>
    <r>
      <rPr>
        <b/>
        <sz val="10"/>
        <color theme="1"/>
        <rFont val="Calibri"/>
        <family val="2"/>
        <scheme val="minor"/>
      </rPr>
      <t xml:space="preserve">
3. Sociales y culturales.
</t>
    </r>
    <r>
      <rPr>
        <sz val="10"/>
        <color theme="1"/>
        <rFont val="Calibri"/>
        <family val="2"/>
        <scheme val="minor"/>
      </rPr>
      <t xml:space="preserve">Cierre temporal en los Juzgados
</t>
    </r>
    <r>
      <rPr>
        <b/>
        <sz val="10"/>
        <color theme="1"/>
        <rFont val="Calibri"/>
        <family val="2"/>
        <scheme val="minor"/>
      </rPr>
      <t xml:space="preserve">
4. Tecnológicos.
</t>
    </r>
    <r>
      <rPr>
        <sz val="10"/>
        <color theme="1"/>
        <rFont val="Calibri"/>
        <family val="2"/>
        <scheme val="minor"/>
      </rPr>
      <t xml:space="preserve">Software obsoletos en la Rama Judicial
</t>
    </r>
    <r>
      <rPr>
        <b/>
        <sz val="10"/>
        <color theme="1"/>
        <rFont val="Calibri"/>
        <family val="2"/>
        <scheme val="minor"/>
      </rPr>
      <t xml:space="preserve">
5. Ambientales.
</t>
    </r>
    <r>
      <rPr>
        <sz val="10"/>
        <color theme="1"/>
        <rFont val="Calibri"/>
        <family val="2"/>
        <scheme val="minor"/>
      </rPr>
      <t xml:space="preserve">
</t>
    </r>
    <r>
      <rPr>
        <b/>
        <sz val="10"/>
        <color theme="1"/>
        <rFont val="Calibri"/>
        <family val="2"/>
        <scheme val="minor"/>
      </rPr>
      <t xml:space="preserve">
6. Legales y reglamentarios.
</t>
    </r>
    <r>
      <rPr>
        <sz val="10"/>
        <color theme="1"/>
        <rFont val="Calibri"/>
        <family val="2"/>
        <scheme val="minor"/>
      </rPr>
      <t>Reglamentación nueva que afecte el desarrollo normal del proceso</t>
    </r>
  </si>
  <si>
    <r>
      <rPr>
        <b/>
        <sz val="10"/>
        <color theme="1"/>
        <rFont val="Calibri"/>
        <family val="2"/>
        <scheme val="minor"/>
      </rPr>
      <t>1. Estratégicos</t>
    </r>
    <r>
      <rPr>
        <sz val="10"/>
        <color theme="1"/>
        <rFont val="Calibri"/>
        <family val="2"/>
        <scheme val="minor"/>
      </rPr>
      <t xml:space="preserve">.
Cambio del Concejo Directivo
Nuevos lineamientos estratégicos 
</t>
    </r>
    <r>
      <rPr>
        <b/>
        <sz val="10"/>
        <color theme="1"/>
        <rFont val="Calibri"/>
        <family val="2"/>
        <scheme val="minor"/>
      </rPr>
      <t>2. Estructura organizaciona</t>
    </r>
    <r>
      <rPr>
        <sz val="10"/>
        <color theme="1"/>
        <rFont val="Calibri"/>
        <family val="2"/>
        <scheme val="minor"/>
      </rPr>
      <t xml:space="preserve">l.
Actualización mapa de procesos de la Entidad
</t>
    </r>
    <r>
      <rPr>
        <b/>
        <sz val="10"/>
        <color theme="1"/>
        <rFont val="Calibri"/>
        <family val="2"/>
        <scheme val="minor"/>
      </rPr>
      <t>3. Financieros</t>
    </r>
    <r>
      <rPr>
        <sz val="10"/>
        <color theme="1"/>
        <rFont val="Calibri"/>
        <family val="2"/>
        <scheme val="minor"/>
      </rPr>
      <t xml:space="preserve">.
Reducción del presupuesto destinado a personal
</t>
    </r>
    <r>
      <rPr>
        <b/>
        <sz val="10"/>
        <color theme="1"/>
        <rFont val="Calibri"/>
        <family val="2"/>
        <scheme val="minor"/>
      </rPr>
      <t>4. Personal</t>
    </r>
    <r>
      <rPr>
        <sz val="10"/>
        <color theme="1"/>
        <rFont val="Calibri"/>
        <family val="2"/>
        <scheme val="minor"/>
      </rPr>
      <t>.
Personal sin idoneidad para los cargos establecidos en el proceso</t>
    </r>
    <r>
      <rPr>
        <b/>
        <sz val="10"/>
        <color theme="1"/>
        <rFont val="Calibri"/>
        <family val="2"/>
        <scheme val="minor"/>
      </rPr>
      <t xml:space="preserve">
</t>
    </r>
    <r>
      <rPr>
        <sz val="10"/>
        <color theme="1"/>
        <rFont val="Calibri"/>
        <family val="2"/>
        <scheme val="minor"/>
      </rPr>
      <t xml:space="preserve">
No se cuenta con el personal suficiente para el desarrollo de las actividades del proceso
Rotación del personal y demora en cubrir las vacantes
Falta de capacitación en temas relacionados con otras areas de conocimiento afines a la misionalidad de la Entidad.
</t>
    </r>
    <r>
      <rPr>
        <b/>
        <sz val="10"/>
        <color theme="1"/>
        <rFont val="Calibri"/>
        <family val="2"/>
        <scheme val="minor"/>
      </rPr>
      <t>5. Tecnología</t>
    </r>
    <r>
      <rPr>
        <sz val="10"/>
        <color theme="1"/>
        <rFont val="Calibri"/>
        <family val="2"/>
        <scheme val="minor"/>
      </rPr>
      <t xml:space="preserve">.
</t>
    </r>
    <r>
      <rPr>
        <b/>
        <sz val="10"/>
        <color theme="1"/>
        <rFont val="Calibri"/>
        <family val="2"/>
        <scheme val="minor"/>
      </rPr>
      <t>6. Comunicación Interna</t>
    </r>
    <r>
      <rPr>
        <sz val="10"/>
        <color theme="1"/>
        <rFont val="Calibri"/>
        <family val="2"/>
        <scheme val="minor"/>
      </rPr>
      <t xml:space="preserve">.
No se han establecido terminos para gestión de solicitudes y requerimientos al proceso
</t>
    </r>
    <r>
      <rPr>
        <b/>
        <sz val="10"/>
        <color theme="1"/>
        <rFont val="Calibri"/>
        <family val="2"/>
        <scheme val="minor"/>
      </rPr>
      <t>7. Procesos</t>
    </r>
    <r>
      <rPr>
        <sz val="10"/>
        <color theme="1"/>
        <rFont val="Calibri"/>
        <family val="2"/>
        <scheme val="minor"/>
      </rPr>
      <t>.</t>
    </r>
  </si>
  <si>
    <r>
      <rPr>
        <b/>
        <sz val="10"/>
        <color theme="1"/>
        <rFont val="Calibri"/>
        <family val="2"/>
        <scheme val="minor"/>
      </rPr>
      <t>1. Diseño del Proceso</t>
    </r>
    <r>
      <rPr>
        <sz val="10"/>
        <color theme="1"/>
        <rFont val="Calibri"/>
        <family val="2"/>
        <scheme val="minor"/>
      </rPr>
      <t xml:space="preserve">.
Desactualización de procedimientos 
Dentro del procedimiento no se han establecido terminos para gestión de solicitudes y requerimientos al proceso
</t>
    </r>
    <r>
      <rPr>
        <b/>
        <sz val="10"/>
        <color theme="1"/>
        <rFont val="Calibri"/>
        <family val="2"/>
        <scheme val="minor"/>
      </rPr>
      <t>2. Interacciones con con otros procesos</t>
    </r>
    <r>
      <rPr>
        <sz val="10"/>
        <color theme="1"/>
        <rFont val="Calibri"/>
        <family val="2"/>
        <scheme val="minor"/>
      </rPr>
      <t xml:space="preserve">.
Inexistencia de un comité Juridico u otra figura que permita unificar conceptos juridicos y hacer doctrina institucional
</t>
    </r>
    <r>
      <rPr>
        <b/>
        <sz val="10"/>
        <color theme="1"/>
        <rFont val="Calibri"/>
        <family val="2"/>
        <scheme val="minor"/>
      </rPr>
      <t>3. Transversalidad</t>
    </r>
    <r>
      <rPr>
        <sz val="10"/>
        <color theme="1"/>
        <rFont val="Calibri"/>
        <family val="2"/>
        <scheme val="minor"/>
      </rPr>
      <t xml:space="preserve">.
</t>
    </r>
    <r>
      <rPr>
        <b/>
        <sz val="10"/>
        <color theme="1"/>
        <rFont val="Calibri"/>
        <family val="2"/>
        <scheme val="minor"/>
      </rPr>
      <t>4. Procedimientos asociados</t>
    </r>
    <r>
      <rPr>
        <sz val="10"/>
        <color theme="1"/>
        <rFont val="Calibri"/>
        <family val="2"/>
        <scheme val="minor"/>
      </rPr>
      <t xml:space="preserve">.
</t>
    </r>
    <r>
      <rPr>
        <b/>
        <sz val="10"/>
        <color theme="1"/>
        <rFont val="Calibri"/>
        <family val="2"/>
        <scheme val="minor"/>
      </rPr>
      <t>5. Comunicación entre los procesos</t>
    </r>
    <r>
      <rPr>
        <sz val="10"/>
        <color theme="1"/>
        <rFont val="Calibri"/>
        <family val="2"/>
        <scheme val="minor"/>
      </rPr>
      <t xml:space="preserve">.
No existe uniformidad para la solicitud de conceptos juridicos por parte de los otros procesos
No se ha establecido el alcance de gestión del proceso juridico en cuanto a la resolucion de requerimientos de los otros procesos, lo que ha ocasionado que lleguen solicitudes con temas que deben ser gestionados desde las otras areas
</t>
    </r>
    <r>
      <rPr>
        <b/>
        <sz val="10"/>
        <color theme="1"/>
        <rFont val="Calibri"/>
        <family val="2"/>
        <scheme val="minor"/>
      </rPr>
      <t>6. Activos de seguridad digital del proceso</t>
    </r>
    <r>
      <rPr>
        <sz val="10"/>
        <color theme="1"/>
        <rFont val="Calibri"/>
        <family val="2"/>
        <scheme val="minor"/>
      </rPr>
      <t xml:space="preserve">.
</t>
    </r>
  </si>
  <si>
    <t>GESTIÓN JURIDICA</t>
  </si>
  <si>
    <t>Asesorar y conceptuar sobre los asuntos jurídicos de competencia de la Entidad, representar a la UPME en los asuntos judiciales y extrajudiciales a través de asistencia jurídica especializada y gestionar la política de prevención del daño antijurídico</t>
  </si>
  <si>
    <t xml:space="preserve">Personal con competencias desactualizadas </t>
  </si>
  <si>
    <t>Profesional que no tenga los conocimientos tecnicos y juridicos asociados al caso</t>
  </si>
  <si>
    <t>Falta de capacitación y actualización de competencias
Falta de capacitación en temas relacionados con otras areas de conocimiento afines a la misionalidad de la Entidad.</t>
  </si>
  <si>
    <t>Perdida de los procesos
Vencimiento de terminos
Conceptos juridicos errados
Reprocesos</t>
  </si>
  <si>
    <t>Inadecuada defensa judicial y/o consultas juridicas</t>
  </si>
  <si>
    <t>Recomendaciones inadecuadas; defensa judicial inapropiada con posible afectación a los intereses de la UPME</t>
  </si>
  <si>
    <t xml:space="preserve">Conceptos juridicos encontrados entre los profesionales del area, sin conclusión oportuna sobre los temas
Personal sin las competencias requeridas
</t>
  </si>
  <si>
    <t>Perdida de los procesos
Vencimiento de terminos
Conceptos juridicos errados
Reprocesos
Falta de credibilidad del equipo Juridico
Imagen institucional debilitada</t>
  </si>
  <si>
    <t>Recepción de solicitudes y/o requerimientos de concepto, que no son de competencia del proceso juridico</t>
  </si>
  <si>
    <t>No se ha establecido el alcance de gestión del proceso juridico en cuanto a la resolucion de requerimientos de los otros procesos, lo que ha ocasionado que lleguen solicitudes con temas que deben ser gestionados desde las otras areas</t>
  </si>
  <si>
    <t xml:space="preserve">No existe uniformidad para la solicitud de conceptos juridicos por parte de los otros procesos
Desconocimiento de las competencias del proceso juridico, por parte de las dependencias 
</t>
  </si>
  <si>
    <t>Recarga laboral
Desatención de actividades propias del proceso</t>
  </si>
  <si>
    <t>Normatividad desarticulada y/o desactualizada</t>
  </si>
  <si>
    <t xml:space="preserve">Manejo de Normatividad y reglamentación derogada </t>
  </si>
  <si>
    <t>Normograma desactualizado</t>
  </si>
  <si>
    <t>Sanciones por desconocimiento de normatividad vigente</t>
  </si>
  <si>
    <t>Favorecimiento de terceros mediante la orientación de conceptos juridicos o procesos de defensa judicial</t>
  </si>
  <si>
    <t>Conceptos juridicos encaminados a beneficiar intereses particulares</t>
  </si>
  <si>
    <t xml:space="preserve">Manipulación de los abogados apoderados mediante dadivas
No existe una instancia donde se discutan y concluyan los conceptos juridicos
</t>
  </si>
  <si>
    <t xml:space="preserve">Sanciones
Detrimento
Tutelas
</t>
  </si>
  <si>
    <t>Revisión de los conceptos juridicos por parte de la Coordinadora del grupo de trabajo de Gestión Juridica y contractual</t>
  </si>
  <si>
    <t>Los conceptos juridicos son verificados y aprobados por parte de la Coordinadora del grupo de trabajo de Gestión Juridica y contractual</t>
  </si>
  <si>
    <t>Algunas veces se ejecuta</t>
  </si>
  <si>
    <t>Comunicaciones por medio de correo electronico</t>
  </si>
  <si>
    <t>Solicitar a Talento Humano  incluir en el PIC de la vigencia, capacitaciones relacionadas con otras areas de conocimeinto afines a la misionalidad de la Entidad y otros temas requeridos por el area.
Establecer un Comité Juridico  en donde se discutan temas juridicos relevantes que permitan afianzar las competencias de todos los miembros del proceso</t>
  </si>
  <si>
    <t xml:space="preserve">Coordinadora de Grupo interno de trabajo de gestión juridica y contractual
'Coordinadora de Grupo interno de trabajo de gestión juridica y contractual
</t>
  </si>
  <si>
    <t>04/01/2021
1/03/2021</t>
  </si>
  <si>
    <t>30/01/2021
30/03/2021</t>
  </si>
  <si>
    <t>Solicitud de capacitación enviada a  secretaria General, con copia al coordinador de Talento Humano y al profesional con funciones de capacitación(emails, formato u oficio)
Acto administrativo de conformación de Comité Juridico</t>
  </si>
  <si>
    <t>Establecer un Comité Juridico  en donde se discutan temas juridicos relevantes que permitan afianzar las competencias de todos los miembros del proceso
'Actualización del procedimiento de Gestión Juridica, en cuanto al seguimiento, verificación y aprobación de los conceptos juridicos por parte del Comité Juridico</t>
  </si>
  <si>
    <t>Coordinadora de Grupo interno de trabajo de gestión juridica y contractual
Secretaria General</t>
  </si>
  <si>
    <t>30/03/201</t>
  </si>
  <si>
    <t>Acto administrativo de conformación de Comité Juridico
'Procedimiento de Gestión Juridica actualizado</t>
  </si>
  <si>
    <t>Campaña de socialización y sensibilización a todas las dependencias sobre la competencia del proceso Juridico</t>
  </si>
  <si>
    <t>Coordinadora de Grupo interno de trabajo de gestión juridica y contractual
Profesional de comunicaciones</t>
  </si>
  <si>
    <t>Piezas comunicacionales de socialización y sensibilización</t>
  </si>
  <si>
    <t>Actualización del procedimiento de Gestión Juridica, para incluir la actividad de actualización del normograma de la UPME, estableciendo responsables, periodicidad y fuentes de consulta</t>
  </si>
  <si>
    <t>Coordinadora de Grupo interno de trabajo de gestión juridica y contractual</t>
  </si>
  <si>
    <t>Procedimiento de Gestión Juridica actualizado</t>
  </si>
  <si>
    <t xml:space="preserve">Establecer un Comité Juridico  en donde se discutan temas juridicos relevantes y se emitan conceptos
'Actualización del procedimiento de Gestión Juridica, en cuanto al seguimiento, verificación y aprobación de los conceptos juridicos por parte del Comité Juridico
Campañas de sensibilización para  los servidores publicos, sobre los valores contenidos en el Codigo de integridad </t>
  </si>
  <si>
    <t>Acto administrativo de conformación de Comité Juridico
'Procedimiento de Gestión Juridica actualizado
Piezas comunicacionales, como: banners, folletos, carteleras, en coordinación con comunicaciones</t>
  </si>
  <si>
    <r>
      <t xml:space="preserve">1. Políticos.
</t>
    </r>
    <r>
      <rPr>
        <sz val="10"/>
        <rFont val="Calibri"/>
        <family val="2"/>
        <scheme val="minor"/>
      </rPr>
      <t xml:space="preserve">
Cambios en los lineamientos de política pública del sector energético.</t>
    </r>
    <r>
      <rPr>
        <b/>
        <sz val="10"/>
        <rFont val="Calibri"/>
        <family val="2"/>
        <scheme val="minor"/>
      </rPr>
      <t xml:space="preserve">
2. Económicos y financieros.
</t>
    </r>
    <r>
      <rPr>
        <sz val="10"/>
        <rFont val="Calibri"/>
        <family val="2"/>
        <scheme val="minor"/>
      </rPr>
      <t xml:space="preserve">
</t>
    </r>
    <r>
      <rPr>
        <b/>
        <sz val="10"/>
        <rFont val="Calibri"/>
        <family val="2"/>
        <scheme val="minor"/>
      </rPr>
      <t xml:space="preserve">
3. Sociales y culturales.
</t>
    </r>
    <r>
      <rPr>
        <sz val="10"/>
        <rFont val="Calibri"/>
        <family val="2"/>
        <scheme val="minor"/>
      </rPr>
      <t>Desconocimiento sobre la entidad como fuente de información.</t>
    </r>
    <r>
      <rPr>
        <b/>
        <sz val="10"/>
        <rFont val="Calibri"/>
        <family val="2"/>
        <scheme val="minor"/>
      </rPr>
      <t xml:space="preserve">
4. Tecnológicos.
</t>
    </r>
    <r>
      <rPr>
        <sz val="10"/>
        <rFont val="Calibri"/>
        <family val="2"/>
        <scheme val="minor"/>
      </rPr>
      <t xml:space="preserve">
Cambios tecnológicos en las fuentes externas que conllevaron a generar cambios en el modo en que se  recibe la información en la entidad.
</t>
    </r>
    <r>
      <rPr>
        <b/>
        <sz val="10"/>
        <rFont val="Calibri"/>
        <family val="2"/>
        <scheme val="minor"/>
      </rPr>
      <t xml:space="preserve">
5. Ambientales.
</t>
    </r>
    <r>
      <rPr>
        <sz val="10"/>
        <rFont val="Calibri"/>
        <family val="2"/>
        <scheme val="minor"/>
      </rPr>
      <t xml:space="preserve">
</t>
    </r>
    <r>
      <rPr>
        <b/>
        <sz val="10"/>
        <rFont val="Calibri"/>
        <family val="2"/>
        <scheme val="minor"/>
      </rPr>
      <t xml:space="preserve">
6. Legales y reglamentarios.
</t>
    </r>
    <r>
      <rPr>
        <sz val="10"/>
        <rFont val="Calibri"/>
        <family val="2"/>
        <scheme val="minor"/>
      </rPr>
      <t>Cambios en los lineamientos de políticas y de directivas relacionados a arquitectectura, tecnología, seguridad de la información, interoperatividad, entre otros.</t>
    </r>
  </si>
  <si>
    <r>
      <rPr>
        <b/>
        <sz val="10"/>
        <rFont val="Calibri"/>
        <family val="2"/>
        <scheme val="minor"/>
      </rPr>
      <t>1. Estratégicos</t>
    </r>
    <r>
      <rPr>
        <sz val="10"/>
        <rFont val="Calibri"/>
        <family val="2"/>
        <scheme val="minor"/>
      </rPr>
      <t xml:space="preserve">.
</t>
    </r>
    <r>
      <rPr>
        <b/>
        <sz val="10"/>
        <rFont val="Calibri"/>
        <family val="2"/>
        <scheme val="minor"/>
      </rPr>
      <t>2. Estructura organizaciona</t>
    </r>
    <r>
      <rPr>
        <sz val="10"/>
        <rFont val="Calibri"/>
        <family val="2"/>
        <scheme val="minor"/>
      </rPr>
      <t xml:space="preserve">l.
No se ha planificado institucionalmente los recursos humanos para el procesamiento de la información en función de las necesidades de operación.
</t>
    </r>
    <r>
      <rPr>
        <b/>
        <sz val="10"/>
        <rFont val="Calibri"/>
        <family val="2"/>
        <scheme val="minor"/>
      </rPr>
      <t>3. Financieros</t>
    </r>
    <r>
      <rPr>
        <sz val="10"/>
        <rFont val="Calibri"/>
        <family val="2"/>
        <scheme val="minor"/>
      </rPr>
      <t xml:space="preserve">.
</t>
    </r>
    <r>
      <rPr>
        <b/>
        <sz val="10"/>
        <rFont val="Calibri"/>
        <family val="2"/>
        <scheme val="minor"/>
      </rPr>
      <t>4. Personal</t>
    </r>
    <r>
      <rPr>
        <sz val="10"/>
        <rFont val="Calibri"/>
        <family val="2"/>
        <scheme val="minor"/>
      </rPr>
      <t xml:space="preserve">.
No se han asignado funciones específicas sobre la gestión y procesamiento de la información bajo una perspectiva descentralizada en los demás procesos.
No se han desarrollado actividades que mejoren las competencias del personal en los temas específicos del proceso.
</t>
    </r>
    <r>
      <rPr>
        <b/>
        <sz val="10"/>
        <rFont val="Calibri"/>
        <family val="2"/>
        <scheme val="minor"/>
      </rPr>
      <t>5. Tecnología</t>
    </r>
    <r>
      <rPr>
        <sz val="10"/>
        <rFont val="Calibri"/>
        <family val="2"/>
        <scheme val="minor"/>
      </rPr>
      <t xml:space="preserve">.
No se cuenta con la capacidad tecnológica ni humana para el análisis de grandes volúmenes de información.
</t>
    </r>
    <r>
      <rPr>
        <b/>
        <sz val="10"/>
        <rFont val="Calibri"/>
        <family val="2"/>
        <scheme val="minor"/>
      </rPr>
      <t>6. Comunicación Interna</t>
    </r>
    <r>
      <rPr>
        <sz val="10"/>
        <rFont val="Calibri"/>
        <family val="2"/>
        <scheme val="minor"/>
      </rPr>
      <t xml:space="preserve">.
</t>
    </r>
    <r>
      <rPr>
        <b/>
        <sz val="10"/>
        <rFont val="Calibri"/>
        <family val="2"/>
        <scheme val="minor"/>
      </rPr>
      <t>7. Procesos</t>
    </r>
    <r>
      <rPr>
        <sz val="10"/>
        <rFont val="Calibri"/>
        <family val="2"/>
        <scheme val="minor"/>
      </rPr>
      <t>.</t>
    </r>
  </si>
  <si>
    <r>
      <rPr>
        <b/>
        <sz val="10"/>
        <rFont val="Calibri"/>
        <family val="2"/>
        <scheme val="minor"/>
      </rPr>
      <t>1. Diseño del Proceso</t>
    </r>
    <r>
      <rPr>
        <sz val="10"/>
        <rFont val="Calibri"/>
        <family val="2"/>
        <scheme val="minor"/>
      </rPr>
      <t xml:space="preserve">.
</t>
    </r>
    <r>
      <rPr>
        <b/>
        <sz val="10"/>
        <rFont val="Calibri"/>
        <family val="2"/>
        <scheme val="minor"/>
      </rPr>
      <t>2. Interacciones con otros procesos</t>
    </r>
    <r>
      <rPr>
        <sz val="10"/>
        <rFont val="Calibri"/>
        <family val="2"/>
        <scheme val="minor"/>
      </rPr>
      <t xml:space="preserve">.
Falta de oportunidad en la entrega de la información al proceso por parte de las fuentes.
No se han materializado los acuerdos interinstitucionales para la entrega de la información requerida como entrada en el proceso.
</t>
    </r>
    <r>
      <rPr>
        <b/>
        <sz val="10"/>
        <rFont val="Calibri"/>
        <family val="2"/>
        <scheme val="minor"/>
      </rPr>
      <t>3. Transversalidad</t>
    </r>
    <r>
      <rPr>
        <sz val="10"/>
        <rFont val="Calibri"/>
        <family val="2"/>
        <scheme val="minor"/>
      </rPr>
      <t xml:space="preserve">.
</t>
    </r>
    <r>
      <rPr>
        <b/>
        <sz val="10"/>
        <rFont val="Calibri"/>
        <family val="2"/>
        <scheme val="minor"/>
      </rPr>
      <t>4. Procedimientos asociados</t>
    </r>
    <r>
      <rPr>
        <sz val="10"/>
        <rFont val="Calibri"/>
        <family val="2"/>
        <scheme val="minor"/>
      </rPr>
      <t xml:space="preserve">.
Los procedimientos del proceso no se encuentran alineados en su totalidad al objetivo principal del proceso.
</t>
    </r>
    <r>
      <rPr>
        <b/>
        <sz val="10"/>
        <rFont val="Calibri"/>
        <family val="2"/>
        <scheme val="minor"/>
      </rPr>
      <t>5. Comunicación entre los procesos</t>
    </r>
    <r>
      <rPr>
        <sz val="10"/>
        <rFont val="Calibri"/>
        <family val="2"/>
        <scheme val="minor"/>
      </rPr>
      <t xml:space="preserve">.
</t>
    </r>
    <r>
      <rPr>
        <b/>
        <sz val="10"/>
        <rFont val="Calibri"/>
        <family val="2"/>
        <scheme val="minor"/>
      </rPr>
      <t>6. Activos de seguridad digital del proceso</t>
    </r>
    <r>
      <rPr>
        <sz val="10"/>
        <rFont val="Calibri"/>
        <family val="2"/>
        <scheme val="minor"/>
      </rPr>
      <t xml:space="preserve">.
</t>
    </r>
  </si>
  <si>
    <t>Información sectorial</t>
  </si>
  <si>
    <t>Establecer lineamientos y directrices para mantener la coherencia en el propósito de la entidad desde el enfoque de información con oportunidad y confiabilidad.</t>
  </si>
  <si>
    <t>Entrega de información a las partes interesadas con demoras</t>
  </si>
  <si>
    <t xml:space="preserve">Retrasos en la generación de boletines, reportes de infomación, precios base de minerales, anexo estadístico, resultados de indicadores, información para el plan indicativo de expansión de la cobertura, información de generación de energía electrica a las partes interesadas de acuerdo a los plazos planificados </t>
  </si>
  <si>
    <t>Posibles afectaciones sobre el proceso ante los posibles variaciones tecnológicas relacionadas al desarrollo de software
Falta de oportunidad en la entrega de la información al proceso por parte de las fuentes.
No se han materializado los acuerdos interinstitucionales para la entrega de la información requerida como entrada en el proceso.
Los procedimientos del proceso no se encuentran alineados en su totalidad al objetivo principal del proceso.</t>
  </si>
  <si>
    <t>Afectaciones a la toma de decisiones sectoriales.
Pérdida de credibilidad de la entidad en el sector.</t>
  </si>
  <si>
    <t>Generar información poco confiable o con análisis deficiente.</t>
  </si>
  <si>
    <t>Afectar a las partes interesadas con la calidad de la información que se genera en cuanto a completitud y/o exactitud para ser tomada como referente para la toma de decisiones.</t>
  </si>
  <si>
    <t>No se han desarrollado actividades que mejoren las competencias del personal en los temas específicos del proceso.
No se ha planificado institucionalmente los recursos humanos para el procesamiento de la información en función de las necesidades de operación.
No se han asignado funciones específicas sobre la gestión y procesamiento de la información bajo una perspectiva descentralizada en los demás procesos.</t>
  </si>
  <si>
    <t xml:space="preserve">Presentar información del sector con herramientas poco prácticas para las partes interesadas </t>
  </si>
  <si>
    <t>Afectar a las partes interesadas en el acceso y uso de la información que se genera.</t>
  </si>
  <si>
    <t>No se cuenta con la capacidad tecnológica ni humana para el análisis de grandes volúmenes de información.
Obsolecencia técnológica de herramientas de procesamiento de información.</t>
  </si>
  <si>
    <t>Afectaciones a los análisis sectoriales.</t>
  </si>
  <si>
    <t>Filtración de información institucional  para beneficios de un tercero</t>
  </si>
  <si>
    <t>Beneficiar a algún tercero a través de información que requiere tratamientos específicos.</t>
  </si>
  <si>
    <t>No contar con sistemas de seguridad eficientes.
No se tiene trazabilidad de la firmas de acuerdos de confidencialidad de la información que se maneja en el proceso.</t>
  </si>
  <si>
    <t>Asegurar la disposición de personal de apoyo para atender las situaciones que surjan por los posibles cambios ingeniería  de software
Realizar convenios con las fuentes de información acordando los plazos y condiciones para la entrega de información
Diagnósticar y Comunicar a la alta dirección el estado de las fuentes de información externa del proceso.
Asegurar que los procedimientos aplicables a las actividades del proceso se encuentren vigentes.</t>
  </si>
  <si>
    <t>Contrato del desarrollador de software
Convenios realizados.
Diagnóstico de fuentes de información.
Procedimientos actualizadios y vigentes.</t>
  </si>
  <si>
    <t>Diagnosticar el estado del proceso en función de las competencias de los servidores públicos relacionados con la información que se procesa.
'Enlistar las fuentes de información interna de la entidad e informar a estas las características y frecuencia en que se debe reportar.</t>
  </si>
  <si>
    <t>Diagnóstico de competencias del proceso socializado a talento humano.
'Listado de fuentes de información interna.
Notificación a los procesos sobre las características y frecuencia de entrega de información.</t>
  </si>
  <si>
    <t>Establecer un plan que incluya diagnóstico, ruta y descripción de necesidades relacionadas a Big Data.
Diagnosticar el estado de obsolescencia de las herramientas de procesamiento de información.</t>
  </si>
  <si>
    <t>Plan de adopción de Big Data.
Documento diagnóstico.</t>
  </si>
  <si>
    <t>Retroalimentar a los procesos de Gestión del talento humano, Gestión de Bienes y Servicios y Direcconamiento Estratégico sobre la importancia de la trazabilidad firmas de acuerdos de confidencialidad.</t>
  </si>
  <si>
    <t>Retroalimentación a los procesos de Gestión del talento humano, Gestión de Bienes y Servicios y Direcconamiento Estratégico</t>
  </si>
  <si>
    <r>
      <t xml:space="preserve">1. Políticos.
</t>
    </r>
    <r>
      <rPr>
        <sz val="10"/>
        <rFont val="Calibri"/>
        <family val="2"/>
        <scheme val="minor"/>
      </rPr>
      <t xml:space="preserve">
</t>
    </r>
    <r>
      <rPr>
        <b/>
        <sz val="10"/>
        <rFont val="Calibri"/>
        <family val="2"/>
        <scheme val="minor"/>
      </rPr>
      <t xml:space="preserve">
2. Económicos y financieros.
</t>
    </r>
    <r>
      <rPr>
        <sz val="10"/>
        <rFont val="Calibri"/>
        <family val="2"/>
        <scheme val="minor"/>
      </rPr>
      <t xml:space="preserve">
</t>
    </r>
    <r>
      <rPr>
        <b/>
        <sz val="10"/>
        <rFont val="Calibri"/>
        <family val="2"/>
        <scheme val="minor"/>
      </rPr>
      <t xml:space="preserve">
3. Sociales y culturales.
4. Tecnológicos.
</t>
    </r>
    <r>
      <rPr>
        <sz val="10"/>
        <rFont val="Calibri"/>
        <family val="2"/>
        <scheme val="minor"/>
      </rPr>
      <t xml:space="preserve">
</t>
    </r>
    <r>
      <rPr>
        <b/>
        <sz val="10"/>
        <rFont val="Calibri"/>
        <family val="2"/>
        <scheme val="minor"/>
      </rPr>
      <t xml:space="preserve">
5. Ambientales.
</t>
    </r>
    <r>
      <rPr>
        <sz val="10"/>
        <rFont val="Calibri"/>
        <family val="2"/>
        <scheme val="minor"/>
      </rPr>
      <t xml:space="preserve">
</t>
    </r>
    <r>
      <rPr>
        <b/>
        <sz val="10"/>
        <rFont val="Calibri"/>
        <family val="2"/>
        <scheme val="minor"/>
      </rPr>
      <t xml:space="preserve">
6. Legales y reglamentarios.
</t>
    </r>
    <r>
      <rPr>
        <sz val="10"/>
        <rFont val="Calibri"/>
        <family val="2"/>
        <scheme val="minor"/>
      </rPr>
      <t>Las herramientas de autodiagnósticos suministradas por el DAFP en algunos casos no contienen criterios objetivos para determinar el grado de cumplimiento.
Cambios metodológicos en herramientas tomadas para el desarrollo del sistema de gestión.</t>
    </r>
  </si>
  <si>
    <r>
      <rPr>
        <b/>
        <sz val="10"/>
        <rFont val="Calibri"/>
        <family val="2"/>
        <scheme val="minor"/>
      </rPr>
      <t>1. Estratégicos</t>
    </r>
    <r>
      <rPr>
        <sz val="10"/>
        <rFont val="Calibri"/>
        <family val="2"/>
        <scheme val="minor"/>
      </rPr>
      <t xml:space="preserve">.
</t>
    </r>
    <r>
      <rPr>
        <b/>
        <sz val="10"/>
        <rFont val="Calibri"/>
        <family val="2"/>
        <scheme val="minor"/>
      </rPr>
      <t>2. Estructura organizaciona</t>
    </r>
    <r>
      <rPr>
        <sz val="10"/>
        <rFont val="Calibri"/>
        <family val="2"/>
        <scheme val="minor"/>
      </rPr>
      <t xml:space="preserve">l.
</t>
    </r>
    <r>
      <rPr>
        <b/>
        <sz val="10"/>
        <rFont val="Calibri"/>
        <family val="2"/>
        <scheme val="minor"/>
      </rPr>
      <t>3. Financieros</t>
    </r>
    <r>
      <rPr>
        <sz val="10"/>
        <rFont val="Calibri"/>
        <family val="2"/>
        <scheme val="minor"/>
      </rPr>
      <t xml:space="preserve">.
</t>
    </r>
    <r>
      <rPr>
        <b/>
        <sz val="10"/>
        <rFont val="Calibri"/>
        <family val="2"/>
        <scheme val="minor"/>
      </rPr>
      <t>4. Personal</t>
    </r>
    <r>
      <rPr>
        <sz val="10"/>
        <rFont val="Calibri"/>
        <family val="2"/>
        <scheme val="minor"/>
      </rPr>
      <t xml:space="preserve">.
Falta de toma de conciencia sobre el control de documentos del sistema de gestión de calidad por parte de los procesos.
Desconocimiento por parte de algunos servidores públicos sobre la importancia y aplicación de los sistemas de gestión y control.
Desconocimiento por parte de algunos servidores públicos sobre las diferentes metodologías de análisis de causa para el establecimiento de planes de mejoramiento.
</t>
    </r>
    <r>
      <rPr>
        <b/>
        <sz val="10"/>
        <rFont val="Calibri"/>
        <family val="2"/>
        <scheme val="minor"/>
      </rPr>
      <t>5. Tecnología</t>
    </r>
    <r>
      <rPr>
        <sz val="10"/>
        <rFont val="Calibri"/>
        <family val="2"/>
        <scheme val="minor"/>
      </rPr>
      <t xml:space="preserve">.
El aplicativo para la documentación del Sistema de Gestión de calidad se encuentra desactualizado.
</t>
    </r>
    <r>
      <rPr>
        <b/>
        <sz val="10"/>
        <rFont val="Calibri"/>
        <family val="2"/>
        <scheme val="minor"/>
      </rPr>
      <t>6. Comunicación Interna</t>
    </r>
    <r>
      <rPr>
        <sz val="10"/>
        <rFont val="Calibri"/>
        <family val="2"/>
        <scheme val="minor"/>
      </rPr>
      <t xml:space="preserve">.
</t>
    </r>
    <r>
      <rPr>
        <b/>
        <sz val="10"/>
        <rFont val="Calibri"/>
        <family val="2"/>
        <scheme val="minor"/>
      </rPr>
      <t>7. Procesos</t>
    </r>
    <r>
      <rPr>
        <sz val="10"/>
        <rFont val="Calibri"/>
        <family val="2"/>
        <scheme val="minor"/>
      </rPr>
      <t>.</t>
    </r>
  </si>
  <si>
    <r>
      <rPr>
        <b/>
        <sz val="10"/>
        <rFont val="Calibri"/>
        <family val="2"/>
        <scheme val="minor"/>
      </rPr>
      <t>1. Diseño del Proceso</t>
    </r>
    <r>
      <rPr>
        <sz val="10"/>
        <rFont val="Calibri"/>
        <family val="2"/>
        <scheme val="minor"/>
      </rPr>
      <t xml:space="preserve">.
</t>
    </r>
    <r>
      <rPr>
        <b/>
        <sz val="10"/>
        <rFont val="Calibri"/>
        <family val="2"/>
        <scheme val="minor"/>
      </rPr>
      <t>2. Interacciones con otros procesos</t>
    </r>
    <r>
      <rPr>
        <sz val="10"/>
        <rFont val="Calibri"/>
        <family val="2"/>
        <scheme val="minor"/>
      </rPr>
      <t xml:space="preserve">.
No se han socializado a los procesos el contexto de la organización (DOFA) para su respectiva toma de decisiones.
</t>
    </r>
    <r>
      <rPr>
        <b/>
        <sz val="10"/>
        <rFont val="Calibri"/>
        <family val="2"/>
        <scheme val="minor"/>
      </rPr>
      <t>3. Transversalidad</t>
    </r>
    <r>
      <rPr>
        <sz val="10"/>
        <rFont val="Calibri"/>
        <family val="2"/>
        <scheme val="minor"/>
      </rPr>
      <t xml:space="preserve">.
</t>
    </r>
    <r>
      <rPr>
        <b/>
        <sz val="10"/>
        <rFont val="Calibri"/>
        <family val="2"/>
        <scheme val="minor"/>
      </rPr>
      <t>4. Procedimientos asociados</t>
    </r>
    <r>
      <rPr>
        <sz val="10"/>
        <rFont val="Calibri"/>
        <family val="2"/>
        <scheme val="minor"/>
      </rPr>
      <t xml:space="preserve">.
No se ha estandarizado los lineamientos para establecer y realizar seguimiento a los planes de mejoramiento.
</t>
    </r>
    <r>
      <rPr>
        <b/>
        <sz val="10"/>
        <rFont val="Calibri"/>
        <family val="2"/>
        <scheme val="minor"/>
      </rPr>
      <t>5. Comunicación entre los procesos</t>
    </r>
    <r>
      <rPr>
        <sz val="10"/>
        <rFont val="Calibri"/>
        <family val="2"/>
        <scheme val="minor"/>
      </rPr>
      <t xml:space="preserve">.
</t>
    </r>
    <r>
      <rPr>
        <b/>
        <sz val="10"/>
        <rFont val="Calibri"/>
        <family val="2"/>
        <scheme val="minor"/>
      </rPr>
      <t>6. Activos de seguridad digital del proceso</t>
    </r>
    <r>
      <rPr>
        <sz val="10"/>
        <rFont val="Calibri"/>
        <family val="2"/>
        <scheme val="minor"/>
      </rPr>
      <t xml:space="preserve">.
</t>
    </r>
  </si>
  <si>
    <t>Planes de Mejora no eficaces</t>
  </si>
  <si>
    <t>Este riesgo se relaciona al incumplimiento de planes de acción o al poco impacto que tiene el plan de acción sobre las causas identificadas.</t>
  </si>
  <si>
    <t>No se ha estandarizado los lineamientos para establecer y realizar seguimiento a los planes de mejoramiento.
Falta de cultura por parte de los procesos para establecer planes de mejoramiento producto de fuentes de medición y evaluación.
Desconocimiento por parte de algunos servidores públicos sobre la importancia y aplicación de los sistemas de gestión y control.
Desconocimiento por parte de algunos servidores públicos sobre las diferentes metodologías de análisis de causa para el establecimiento de planes de mejoramiento.</t>
  </si>
  <si>
    <t>Ineficiencia de procesos.
Pérdida de credibilidad de los servidores públicos sobre el Sistema de Gestión.</t>
  </si>
  <si>
    <t>Establecer sistemas de gestión y control que no sean adecuados, eficaces y convenientes</t>
  </si>
  <si>
    <t xml:space="preserve">El sistema de Gestión es Conveniente porque contribuye a la estrategia .
El sistema de Gestión es Eficaz cuando contribuye a los planes de acción o al plan estratégico
El sistema de Gestión  es Adecuado porque se ajusta a las capacidades de operación y necesidades de los procesos.
</t>
  </si>
  <si>
    <t>Las herramientas de autodiagnósticos suministradas por el DAFP en algunos casos no contienen criterios objetivos para determinar el grado de cumplimiento.
Cambios metodológicos en herramientas de gestión de riesgos tomadas para el desarrollo del sistema de gestión.</t>
  </si>
  <si>
    <t>Ineficiencia de procesos.
Pérdida de credibilidad de los servidores públicos sobre el Sistema de Gestión.
Desgaste administrativo.</t>
  </si>
  <si>
    <t>Establecer inadecuadamente el programa de auditoría de calidad.</t>
  </si>
  <si>
    <t>Conlleva a no dar cumplimiento al apartado 9,2 de la norma ISO 9001:2015</t>
  </si>
  <si>
    <t>Las personas que administran el programa  no cuentan con la competencia para establecer estos documentos.
No considerar en el establecimiento del programa de auditoría los requisitos de la norma ISO 9001:2015 en el apartado 9,2</t>
  </si>
  <si>
    <t>No cumplir los objetivos de auditoría.</t>
  </si>
  <si>
    <t>Incumplimientos en los objetivos de auditorías internas.</t>
  </si>
  <si>
    <t>Desconocimiento de los servidores públicos sobre la importancia y beneficios de las auditorías internas sobre los procesos.</t>
  </si>
  <si>
    <t>Desconocimiento del estado y desempeño del sistema de Gestión.</t>
  </si>
  <si>
    <t>Utilización de documentación con información obsoleta o no vigente por parte de los procesos.</t>
  </si>
  <si>
    <t>Conlleva a no dar cumplimiento al apartado 7,5  de la norma ISO 9001:2015</t>
  </si>
  <si>
    <t>Falta de toma de conciencia sobre el control de documentos del sistema de gestión de calidad por parte de los procesos.
El aplicativo para la documentación del Sistema de Gestión de calidad se encuentra desactualizado.</t>
  </si>
  <si>
    <t>Hallazgos de auditoría.
Falta de dinamización del sistema de Gestión.
Incumplimientos normativos</t>
  </si>
  <si>
    <t>Materialización de los riesgos en los procesos.</t>
  </si>
  <si>
    <t>Conlleva a no dar cumplimiento al apartado 6,1 de la norma ISO 9001:2015, así como las generalidades de la planeación anticorrupción.</t>
  </si>
  <si>
    <t>No se ha estandarizado los lineamientos para establecer y realizar seguimiento a los planes de mejoramiento.
No se han socializado a los procesos el contexto de la organización (DOFA) para su respectiva toma de decisiones.
Desconocimiento de la metodología de administración de riesgos.
Inadecuada identificación de controles para tratar riesgos residuales e ineficacia.</t>
  </si>
  <si>
    <t>Hallazgos disciplinarios y fiscales.
Pérdida de recursos.
Afectación a la imagen institucional.</t>
  </si>
  <si>
    <t>Los mecanismos de medición, seguimiento y control no son considerados para la toma de decisiones.</t>
  </si>
  <si>
    <t xml:space="preserve">Se cuentan con indicadores, diganosticos y seguimientos a planes de acción, entre otros. No tomar esta información como insumo para la toma de decisiones aumenta la probabilidad de no lograr objetivos </t>
  </si>
  <si>
    <t>Desconocimiento por parte de algunos servidores públicos sobre la importancia y aplicación de los mecanismos de medición, seguimiento y control.</t>
  </si>
  <si>
    <t>Falta de dinamización del sistema de Gestión.
Ineficiencia de procesos.
Pérdida de credibilidad de los servidores públicos sobre el Sistema de Gestión.
Desgaste administrativo.</t>
  </si>
  <si>
    <t>Existencia de conflictos de interéses para llevar a cabo las auditorías.</t>
  </si>
  <si>
    <t xml:space="preserve">La imparcialidad es necesaria para generar resultados objetivos </t>
  </si>
  <si>
    <t>El procedimiento de auditorías internas no contempla las posibles situaciones de conflictos de intereses.</t>
  </si>
  <si>
    <t>No lograr la objetividad en los informes de auditoría.
Pérdida de credibilidad de los servidores públicos sobre el Sistema de Gestión.
Procesos disciplinarios.</t>
  </si>
  <si>
    <t>Manipulación de la información producto de los mecanismos de medición, seguimiento y control.</t>
  </si>
  <si>
    <t>La información que maneja el proceso respecto al desempeño de la entidad podria verse afectada para favorecer o perjuducar el desempeño real.</t>
  </si>
  <si>
    <t>Falta de claridad sobre la aplicación de las responsabilidades, roles de las líneas de defensa.
Falta de apropiación del sistema de Control Interno.
Los procedimientos de auditorías, administración de riesgos, indicadores y planes de mejoramiento no contemplan explícitamente los roles para su gestión.</t>
  </si>
  <si>
    <t>Pérdida de credibilidad de los servidores públicos sobre el Sistema de Gestión.
Procesos disciplinarios.</t>
  </si>
  <si>
    <t>Formato de plan de mejoramiento.</t>
  </si>
  <si>
    <t>Se establece para planificar y hacer seguimiento a las acciones que surjan de incumplimiento de los estandares y controles. Sin embargo el documento actual es del proceso de Monitoreo y Control y no cumple las directrices de ISO 9001:2015 en su apartado 10,2</t>
  </si>
  <si>
    <t>No se identifican controles existentes.</t>
  </si>
  <si>
    <t>Procedimiento de auditorías codigo P-CI-02</t>
  </si>
  <si>
    <t>EL procedimiento contiene las directrices para establecer y desarrollar un programa de auditoría en función de unos objetivos de auditoría</t>
  </si>
  <si>
    <t>Sistema SIGUEME.</t>
  </si>
  <si>
    <t>Es un sistema de información donde reposan todos los documentos oficiales de la entidad para el sistema de gestión de calidad.</t>
  </si>
  <si>
    <t>Asistencia técnica del proceso de Mejora Continua</t>
  </si>
  <si>
    <t>Se realiza visita a los procesos con el fin de apoyarlos metodologicamente en la planificación de la gestión de riegos a través de su adecuada identificación</t>
  </si>
  <si>
    <t>El procedimiento contiene las directrices para establecer y desarrollar un programa de auditoría en función de unos objetivos de auditoría</t>
  </si>
  <si>
    <t>MEJORA CONTINUA</t>
  </si>
  <si>
    <t>Establecer lineamientos y directrices para promover el mejoramiento continuo de la entidad a partir de los requisitos de las partes interesadas y de los resultados de los mecanismos de seguimiento de la gestión.</t>
  </si>
  <si>
    <t>Actualizar el procedimiento de acciones correctivas y de mejora.
Realizar capacitaciones que fomenten la cultura de establecer planes de mejoramiento producto de fuentes de medición y evaluación. Asi como metodologías de análisis de causa.
Realizar capacitaciones enfocadas en la importancia y aplicación de los sistemas de gestión y control</t>
  </si>
  <si>
    <t>Profesional Especializado LG</t>
  </si>
  <si>
    <t>1/03/2021
30/03/202
1/03/2021</t>
  </si>
  <si>
    <t>30/03/2021
30/06/2021
30/03/2021</t>
  </si>
  <si>
    <t>Procedimiento actualizado
Listados de asistencia
Listados de asistencia</t>
  </si>
  <si>
    <t>Realizar capacitaciones enfocadas en la importancia y aplicación de los sistemas de gestión y control
Realizar capacitaciones relacionadas a los cambios de la metodología de gestión de riesgos.</t>
  </si>
  <si>
    <t>Listados de asistencia</t>
  </si>
  <si>
    <t>Capacitar al equipo de Planeacion sobre la adecuada programación de las auditorías.
Incluir en el formato de programa de auditorías las consideraciones requeridas por el apartado 9,2 de la norma ISO 9001:2015</t>
  </si>
  <si>
    <t>Realizar capacitaciones enfocadas en la importancia y aplicación de los sistemas de gestión y control, enfocados en auditorías internas</t>
  </si>
  <si>
    <t>Capacitar a los servidores públicos sobre la importacia de realizar control a la información documentada.</t>
  </si>
  <si>
    <t xml:space="preserve">Establecer el procedimiento de gestión de riesgos
Actualizar el DOFA institucional para la vigencia 2021
Socializar el DOFA institucional.
Socializar la metodología de identificación y seguimiento de riesgos </t>
  </si>
  <si>
    <t>Profesional Especializado LG
'Grupo GIT 
'Profesional Especializado LG
'Profesional Especializado LG</t>
  </si>
  <si>
    <t>3/03/2021
1/03/2021
1/03/2021
1/03/2021</t>
  </si>
  <si>
    <t>30/03/2021
30/05/2021
30/05/2021
30/05/2021</t>
  </si>
  <si>
    <t>Procedimiento actualizado
DOFA Actualizado,
Listados de asistencia
Listados de asistencia</t>
  </si>
  <si>
    <t>Realizar capacitaciones enfocadas en la importancia y aplicación de los mecanismos de medición, seguimiento y control</t>
  </si>
  <si>
    <t>Establecer el procedimiento de auditorías internas de gestión, incluyendo las posibles situaciones de conflictos de interes.</t>
  </si>
  <si>
    <t>Procedimiento de auditorías internas de calidad.</t>
  </si>
  <si>
    <t xml:space="preserve">Capacitar a los servidores públicos sobre las líneas de defensa.
Capacitar a los servidores públicos sobre las generalidades del sistema de control interno.
Actualizar los procedimientos de auditorías internas, administración de riesgos, indicadores y planes de mejoramiento incluyendo las líneas de defensa </t>
  </si>
  <si>
    <t>1/03/2021
1/03/2021
1/03/2021</t>
  </si>
  <si>
    <t>30/04/2021
30/04/2021
30/05/2021</t>
  </si>
  <si>
    <t xml:space="preserve">Listado de asistencia
Listado de asistencia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</si>
</sst>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111" x14ac:knownFonts="1">
    <font>
      <sz val="11"/>
      <color theme="1"/>
      <name val="Arial"/>
    </font>
    <font>
      <sz val="11"/>
      <color theme="1"/>
      <name val="Calibri"/>
      <family val="2"/>
      <scheme val="minor"/>
    </font>
    <font>
      <sz val="11"/>
      <color theme="1"/>
      <name val="Calibri"/>
      <family val="2"/>
      <scheme val="minor"/>
    </font>
    <font>
      <sz val="11"/>
      <name val="Arial"/>
      <family val="2"/>
    </font>
    <font>
      <b/>
      <sz val="16"/>
      <color theme="1"/>
      <name val="Calibri"/>
      <family val="2"/>
    </font>
    <font>
      <sz val="11"/>
      <color theme="1"/>
      <name val="Calibri"/>
      <family val="2"/>
    </font>
    <font>
      <b/>
      <sz val="14"/>
      <color theme="1"/>
      <name val="Arial"/>
      <family val="2"/>
    </font>
    <font>
      <sz val="14"/>
      <color theme="1"/>
      <name val="Arial"/>
      <family val="2"/>
    </font>
    <font>
      <b/>
      <sz val="14"/>
      <color theme="1"/>
      <name val="Calibri"/>
      <family val="2"/>
    </font>
    <font>
      <b/>
      <sz val="10"/>
      <color theme="0"/>
      <name val="Arial"/>
      <family val="2"/>
    </font>
    <font>
      <sz val="9"/>
      <color theme="1"/>
      <name val="Calibri"/>
      <family val="2"/>
    </font>
    <font>
      <b/>
      <sz val="10"/>
      <color theme="1"/>
      <name val="Calibri"/>
      <family val="2"/>
    </font>
    <font>
      <sz val="10"/>
      <color theme="1"/>
      <name val="Calibri"/>
      <family val="2"/>
    </font>
    <font>
      <sz val="12"/>
      <color theme="1"/>
      <name val="Calibri"/>
      <family val="2"/>
    </font>
    <font>
      <b/>
      <sz val="11"/>
      <color theme="0"/>
      <name val="Arial"/>
      <family val="2"/>
    </font>
    <font>
      <b/>
      <sz val="11"/>
      <color theme="0"/>
      <name val="Calibri"/>
      <family val="2"/>
    </font>
    <font>
      <b/>
      <sz val="9"/>
      <color theme="0"/>
      <name val="Calibri"/>
      <family val="2"/>
    </font>
    <font>
      <sz val="10"/>
      <color theme="1"/>
      <name val="Arial"/>
      <family val="2"/>
    </font>
    <font>
      <b/>
      <sz val="24"/>
      <color theme="1"/>
      <name val="Calibri"/>
      <family val="2"/>
    </font>
    <font>
      <sz val="18"/>
      <color theme="1"/>
      <name val="Calibri"/>
      <family val="2"/>
    </font>
    <font>
      <b/>
      <sz val="14"/>
      <color theme="0"/>
      <name val="Calibri"/>
      <family val="2"/>
    </font>
    <font>
      <b/>
      <sz val="10"/>
      <color theme="0"/>
      <name val="Calibri"/>
      <family val="2"/>
    </font>
    <font>
      <b/>
      <sz val="8"/>
      <color theme="0"/>
      <name val="Calibri"/>
      <family val="2"/>
    </font>
    <font>
      <b/>
      <sz val="20"/>
      <color theme="1"/>
      <name val="Calibri"/>
      <family val="2"/>
    </font>
    <font>
      <b/>
      <sz val="11"/>
      <color theme="1"/>
      <name val="Calibri"/>
      <family val="2"/>
    </font>
    <font>
      <sz val="14"/>
      <color theme="1"/>
      <name val="Calibri"/>
      <family val="2"/>
    </font>
    <font>
      <b/>
      <sz val="18"/>
      <color theme="1"/>
      <name val="Calibri"/>
      <family val="2"/>
    </font>
    <font>
      <b/>
      <sz val="12"/>
      <color theme="1"/>
      <name val="Calibri"/>
      <family val="2"/>
    </font>
    <font>
      <b/>
      <sz val="22"/>
      <color theme="1"/>
      <name val="Calibri"/>
      <family val="2"/>
    </font>
    <font>
      <b/>
      <sz val="11"/>
      <color theme="1"/>
      <name val="Arial"/>
      <family val="2"/>
    </font>
    <font>
      <b/>
      <sz val="11"/>
      <name val="Arial"/>
      <family val="2"/>
    </font>
    <font>
      <b/>
      <sz val="11"/>
      <color rgb="FFFF0000"/>
      <name val="Arial"/>
      <family val="2"/>
    </font>
    <font>
      <sz val="12"/>
      <color rgb="FFFF0000"/>
      <name val="Calibri"/>
      <family val="2"/>
    </font>
    <font>
      <sz val="11"/>
      <name val="Calibri"/>
      <family val="2"/>
    </font>
    <font>
      <sz val="11"/>
      <color theme="1"/>
      <name val="Arial"/>
      <family val="2"/>
    </font>
    <font>
      <sz val="10"/>
      <color theme="1"/>
      <name val="Calibri"/>
      <family val="2"/>
    </font>
    <font>
      <sz val="10"/>
      <color theme="1"/>
      <name val="Arial"/>
      <family val="2"/>
    </font>
    <font>
      <sz val="16"/>
      <color theme="1"/>
      <name val="Calibri"/>
      <family val="2"/>
    </font>
    <font>
      <b/>
      <sz val="11"/>
      <color theme="0"/>
      <name val="Calibri"/>
      <family val="2"/>
      <scheme val="minor"/>
    </font>
    <font>
      <sz val="36"/>
      <color theme="1"/>
      <name val="Calibri"/>
      <family val="2"/>
      <scheme val="minor"/>
    </font>
    <font>
      <b/>
      <sz val="14"/>
      <color theme="1"/>
      <name val="Calibri"/>
      <family val="2"/>
      <scheme val="minor"/>
    </font>
    <font>
      <sz val="14"/>
      <color theme="1"/>
      <name val="Calibri"/>
      <family val="2"/>
      <scheme val="minor"/>
    </font>
    <font>
      <b/>
      <sz val="14"/>
      <color theme="0"/>
      <name val="Calibri"/>
      <family val="2"/>
      <scheme val="minor"/>
    </font>
    <font>
      <b/>
      <sz val="10"/>
      <color theme="0"/>
      <name val="Calibri"/>
      <family val="2"/>
      <scheme val="minor"/>
    </font>
    <font>
      <b/>
      <sz val="11"/>
      <color indexed="81"/>
      <name val="Tahoma"/>
      <family val="2"/>
    </font>
    <font>
      <sz val="11"/>
      <color indexed="81"/>
      <name val="Tahoma"/>
      <family val="2"/>
    </font>
    <font>
      <sz val="12"/>
      <color indexed="81"/>
      <name val="Tahoma"/>
      <family val="2"/>
    </font>
    <font>
      <sz val="11"/>
      <color theme="1"/>
      <name val="Arial"/>
    </font>
    <font>
      <b/>
      <sz val="11"/>
      <color theme="1"/>
      <name val="Calibri"/>
      <family val="2"/>
      <scheme val="minor"/>
    </font>
    <font>
      <sz val="11"/>
      <name val="Calibri"/>
      <family val="2"/>
      <scheme val="minor"/>
    </font>
    <font>
      <b/>
      <sz val="10"/>
      <color theme="0"/>
      <name val="Arial"/>
      <family val="2"/>
      <charset val="1"/>
    </font>
    <font>
      <sz val="9"/>
      <color theme="1"/>
      <name val="Calibri"/>
      <family val="2"/>
      <scheme val="minor"/>
    </font>
    <font>
      <b/>
      <sz val="10"/>
      <color theme="1"/>
      <name val="Calibri"/>
      <family val="2"/>
      <scheme val="minor"/>
    </font>
    <font>
      <sz val="10"/>
      <color theme="1"/>
      <name val="Calibri"/>
      <family val="2"/>
      <scheme val="minor"/>
    </font>
    <font>
      <b/>
      <sz val="16"/>
      <color theme="1"/>
      <name val="Calibri"/>
      <family val="2"/>
      <scheme val="minor"/>
    </font>
    <font>
      <sz val="12"/>
      <color theme="1"/>
      <name val="Calibri"/>
      <family val="2"/>
      <scheme val="minor"/>
    </font>
    <font>
      <b/>
      <sz val="12"/>
      <color theme="1"/>
      <name val="Calibri"/>
      <family val="2"/>
      <scheme val="minor"/>
    </font>
    <font>
      <b/>
      <sz val="9"/>
      <color theme="0"/>
      <name val="Calibri"/>
      <family val="2"/>
      <scheme val="minor"/>
    </font>
    <font>
      <sz val="10"/>
      <name val="Arial"/>
      <family val="2"/>
    </font>
    <font>
      <sz val="10"/>
      <color indexed="81"/>
      <name val="Tahoma"/>
      <family val="2"/>
    </font>
    <font>
      <b/>
      <sz val="24"/>
      <color theme="1"/>
      <name val="Calibri"/>
      <family val="2"/>
      <scheme val="minor"/>
    </font>
    <font>
      <sz val="18"/>
      <color theme="1"/>
      <name val="Calibri"/>
      <family val="2"/>
      <scheme val="minor"/>
    </font>
    <font>
      <b/>
      <sz val="8"/>
      <color theme="0"/>
      <name val="Calibri"/>
      <family val="2"/>
      <scheme val="minor"/>
    </font>
    <font>
      <b/>
      <sz val="12"/>
      <color theme="0"/>
      <name val="Calibri"/>
      <family val="2"/>
      <scheme val="minor"/>
    </font>
    <font>
      <b/>
      <sz val="12"/>
      <color theme="1"/>
      <name val="Arial"/>
      <family val="2"/>
    </font>
    <font>
      <sz val="14"/>
      <color indexed="81"/>
      <name val="Tahoma"/>
      <family val="2"/>
    </font>
    <font>
      <b/>
      <sz val="20"/>
      <color theme="1"/>
      <name val="Calibri"/>
      <family val="2"/>
      <scheme val="minor"/>
    </font>
    <font>
      <sz val="12"/>
      <color rgb="FFFF0000"/>
      <name val="Calibri"/>
      <family val="2"/>
      <scheme val="minor"/>
    </font>
    <font>
      <b/>
      <sz val="9"/>
      <color indexed="81"/>
      <name val="Tahoma"/>
      <family val="2"/>
    </font>
    <font>
      <sz val="10"/>
      <name val="Calibri"/>
      <family val="2"/>
    </font>
    <font>
      <b/>
      <sz val="8"/>
      <color theme="1"/>
      <name val="Calibri"/>
      <family val="2"/>
    </font>
    <font>
      <sz val="8"/>
      <color theme="1"/>
      <name val="Calibri"/>
      <family val="2"/>
    </font>
    <font>
      <sz val="8"/>
      <name val="Calibri"/>
      <family val="2"/>
    </font>
    <font>
      <b/>
      <sz val="8"/>
      <name val="Calibri"/>
      <family val="2"/>
    </font>
    <font>
      <sz val="12"/>
      <name val="Arial"/>
      <family val="2"/>
    </font>
    <font>
      <b/>
      <sz val="9"/>
      <color theme="1"/>
      <name val="Calibri"/>
      <family val="2"/>
      <scheme val="minor"/>
    </font>
    <font>
      <sz val="11"/>
      <name val="Arial"/>
    </font>
    <font>
      <sz val="10"/>
      <color theme="1"/>
      <name val="Calibri"/>
    </font>
    <font>
      <b/>
      <sz val="10"/>
      <color theme="1"/>
      <name val="Calibri"/>
    </font>
    <font>
      <b/>
      <sz val="9"/>
      <color theme="1"/>
      <name val="Calibri"/>
    </font>
    <font>
      <b/>
      <sz val="10"/>
      <color theme="0"/>
      <name val="Arial"/>
    </font>
    <font>
      <sz val="11"/>
      <color theme="1"/>
      <name val="Calibri"/>
    </font>
    <font>
      <b/>
      <sz val="14"/>
      <color theme="1"/>
      <name val="Calibri"/>
    </font>
    <font>
      <b/>
      <sz val="16"/>
      <color theme="1"/>
      <name val="Calibri"/>
    </font>
    <font>
      <sz val="12"/>
      <color theme="1"/>
      <name val="Calibri"/>
    </font>
    <font>
      <b/>
      <sz val="11"/>
      <color theme="0"/>
      <name val="Arial"/>
    </font>
    <font>
      <b/>
      <sz val="12"/>
      <color theme="1"/>
      <name val="Calibri"/>
    </font>
    <font>
      <b/>
      <sz val="11"/>
      <color theme="0"/>
      <name val="Calibri"/>
    </font>
    <font>
      <b/>
      <sz val="9"/>
      <color theme="0"/>
      <name val="Calibri"/>
    </font>
    <font>
      <sz val="10"/>
      <color theme="1"/>
      <name val="Arial"/>
    </font>
    <font>
      <b/>
      <sz val="24"/>
      <color theme="1"/>
      <name val="Calibri"/>
    </font>
    <font>
      <sz val="18"/>
      <color theme="1"/>
      <name val="Calibri"/>
    </font>
    <font>
      <b/>
      <sz val="14"/>
      <color theme="0"/>
      <name val="Calibri"/>
    </font>
    <font>
      <b/>
      <sz val="10"/>
      <color theme="0"/>
      <name val="Calibri"/>
    </font>
    <font>
      <b/>
      <sz val="8"/>
      <color theme="0"/>
      <name val="Calibri"/>
    </font>
    <font>
      <b/>
      <sz val="11"/>
      <color theme="1"/>
      <name val="Arial"/>
    </font>
    <font>
      <b/>
      <sz val="20"/>
      <color theme="1"/>
      <name val="Calibri"/>
    </font>
    <font>
      <sz val="12"/>
      <color rgb="FFFF0000"/>
      <name val="Calibri"/>
    </font>
    <font>
      <b/>
      <sz val="11"/>
      <color theme="1"/>
      <name val="Calibri"/>
    </font>
    <font>
      <sz val="14"/>
      <color theme="1"/>
      <name val="Calibri"/>
    </font>
    <font>
      <sz val="11"/>
      <color rgb="FFFF0000"/>
      <name val="Arial"/>
      <family val="2"/>
    </font>
    <font>
      <sz val="10"/>
      <color rgb="FFFF0000"/>
      <name val="Calibri"/>
      <family val="2"/>
      <scheme val="minor"/>
    </font>
    <font>
      <sz val="10"/>
      <name val="Calibri"/>
      <family val="2"/>
      <scheme val="minor"/>
    </font>
    <font>
      <sz val="9"/>
      <color theme="1"/>
      <name val="Calibri"/>
    </font>
    <font>
      <sz val="16"/>
      <color theme="1"/>
      <name val="Calibri"/>
    </font>
    <font>
      <b/>
      <sz val="10"/>
      <name val="Calibri"/>
      <family val="2"/>
      <scheme val="minor"/>
    </font>
    <font>
      <b/>
      <sz val="10"/>
      <color rgb="FFFF0000"/>
      <name val="Calibri"/>
      <family val="2"/>
      <scheme val="minor"/>
    </font>
    <font>
      <sz val="36"/>
      <color theme="1"/>
      <name val="Calibri"/>
    </font>
    <font>
      <b/>
      <sz val="12"/>
      <color theme="1"/>
      <name val="Arial"/>
    </font>
    <font>
      <b/>
      <sz val="10"/>
      <color rgb="FFFFFFFF"/>
      <name val="Arial"/>
    </font>
    <font>
      <b/>
      <sz val="9"/>
      <color indexed="81"/>
      <name val="Tahoma"/>
      <charset val="1"/>
    </font>
  </fonts>
  <fills count="34">
    <fill>
      <patternFill patternType="none"/>
    </fill>
    <fill>
      <patternFill patternType="gray125"/>
    </fill>
    <fill>
      <patternFill patternType="solid">
        <fgColor rgb="FFBEAE25"/>
        <bgColor rgb="FFBEAE25"/>
      </patternFill>
    </fill>
    <fill>
      <patternFill patternType="solid">
        <fgColor theme="0"/>
        <bgColor theme="0"/>
      </patternFill>
    </fill>
    <fill>
      <patternFill patternType="solid">
        <fgColor rgb="FFE5E5FF"/>
        <bgColor rgb="FFE5E5FF"/>
      </patternFill>
    </fill>
    <fill>
      <patternFill patternType="solid">
        <fgColor rgb="FFF2F2F2"/>
        <bgColor rgb="FFF2F2F2"/>
      </patternFill>
    </fill>
    <fill>
      <patternFill patternType="solid">
        <fgColor rgb="FFF4EFC4"/>
        <bgColor rgb="FFF4EFC4"/>
      </patternFill>
    </fill>
    <fill>
      <patternFill patternType="solid">
        <fgColor rgb="FFDDEBF7"/>
        <bgColor rgb="FFDDEBF7"/>
      </patternFill>
    </fill>
    <fill>
      <patternFill patternType="solid">
        <fgColor rgb="FF002060"/>
        <bgColor rgb="FF002060"/>
      </patternFill>
    </fill>
    <fill>
      <patternFill patternType="solid">
        <fgColor rgb="FFD9E2F3"/>
        <bgColor rgb="FFD9E2F3"/>
      </patternFill>
    </fill>
    <fill>
      <patternFill patternType="solid">
        <fgColor rgb="FFFEF2CB"/>
        <bgColor rgb="FFFEF2CB"/>
      </patternFill>
    </fill>
    <fill>
      <patternFill patternType="solid">
        <fgColor rgb="FFE2EFD9"/>
        <bgColor rgb="FFE2EFD9"/>
      </patternFill>
    </fill>
    <fill>
      <patternFill patternType="solid">
        <fgColor rgb="FFFBE4D5"/>
        <bgColor rgb="FFFBE4D5"/>
      </patternFill>
    </fill>
    <fill>
      <patternFill patternType="solid">
        <fgColor rgb="FFFFC000"/>
        <bgColor rgb="FFFFC000"/>
      </patternFill>
    </fill>
    <fill>
      <patternFill patternType="solid">
        <fgColor rgb="FFFF0000"/>
        <bgColor rgb="FFFF0000"/>
      </patternFill>
    </fill>
    <fill>
      <patternFill patternType="solid">
        <fgColor rgb="FFFFFF00"/>
        <bgColor rgb="FFFFFF00"/>
      </patternFill>
    </fill>
    <fill>
      <patternFill patternType="solid">
        <fgColor rgb="FF00CC00"/>
        <bgColor rgb="FF00CC00"/>
      </patternFill>
    </fill>
    <fill>
      <patternFill patternType="solid">
        <fgColor rgb="FFECECEC"/>
        <bgColor rgb="FFECECEC"/>
      </patternFill>
    </fill>
    <fill>
      <patternFill patternType="solid">
        <fgColor rgb="FF002060"/>
        <bgColor indexed="64"/>
      </patternFill>
    </fill>
    <fill>
      <patternFill patternType="solid">
        <fgColor rgb="FFF4EFC4"/>
        <bgColor indexed="64"/>
      </patternFill>
    </fill>
    <fill>
      <patternFill patternType="solid">
        <fgColor rgb="FFDDEBF7"/>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E5E5FF"/>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FFF00"/>
        <bgColor indexed="64"/>
      </patternFill>
    </fill>
    <fill>
      <patternFill patternType="solid">
        <fgColor rgb="FF00CC00"/>
        <bgColor indexed="64"/>
      </patternFill>
    </fill>
    <fill>
      <patternFill patternType="solid">
        <fgColor rgb="FFFFC000"/>
        <bgColor indexed="64"/>
      </patternFill>
    </fill>
    <fill>
      <patternFill patternType="solid">
        <fgColor rgb="FFFF0000"/>
        <bgColor indexed="64"/>
      </patternFill>
    </fill>
    <fill>
      <patternFill patternType="solid">
        <fgColor theme="7" tint="0.79998168889431442"/>
        <bgColor rgb="FFF4EFC4"/>
      </patternFill>
    </fill>
    <fill>
      <patternFill patternType="solid">
        <fgColor theme="5" tint="-0.249977111117893"/>
        <bgColor indexed="64"/>
      </patternFill>
    </fill>
  </fills>
  <borders count="142">
    <border>
      <left/>
      <right/>
      <top/>
      <bottom/>
      <diagonal/>
    </border>
    <border>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thin">
        <color rgb="FF000000"/>
      </top>
      <bottom/>
      <diagonal/>
    </border>
    <border>
      <left style="medium">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medium">
        <color rgb="FF000000"/>
      </left>
      <right style="thin">
        <color rgb="FF000000"/>
      </right>
      <top/>
      <bottom style="medium">
        <color rgb="FF000000"/>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thin">
        <color rgb="FF000000"/>
      </left>
      <right/>
      <top style="thin">
        <color rgb="FF000000"/>
      </top>
      <bottom style="medium">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bottom style="thin">
        <color rgb="FF000000"/>
      </bottom>
      <diagonal/>
    </border>
    <border>
      <left/>
      <right/>
      <top style="thin">
        <color rgb="FF000000"/>
      </top>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
      <left/>
      <right/>
      <top style="medium">
        <color rgb="FF000000"/>
      </top>
      <bottom/>
      <diagonal/>
    </border>
    <border>
      <left/>
      <right style="medium">
        <color rgb="FF000000"/>
      </right>
      <top style="medium">
        <color rgb="FF000000"/>
      </top>
      <bottom/>
      <diagonal/>
    </border>
    <border>
      <left style="thin">
        <color rgb="FF000000"/>
      </left>
      <right/>
      <top style="medium">
        <color rgb="FF000000"/>
      </top>
      <bottom/>
      <diagonal/>
    </border>
    <border>
      <left style="medium">
        <color rgb="FF000000"/>
      </left>
      <right/>
      <top style="medium">
        <color rgb="FF000000"/>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auto="1"/>
      </left>
      <right/>
      <top/>
      <bottom style="thin">
        <color auto="1"/>
      </bottom>
      <diagonal/>
    </border>
    <border>
      <left/>
      <right style="medium">
        <color indexed="64"/>
      </right>
      <top/>
      <bottom style="thin">
        <color auto="1"/>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rgb="FF000000"/>
      </left>
      <right style="thin">
        <color indexed="64"/>
      </right>
      <top style="thin">
        <color rgb="FF000000"/>
      </top>
      <bottom/>
      <diagonal/>
    </border>
    <border>
      <left/>
      <right style="thin">
        <color indexed="64"/>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auto="1"/>
      </right>
      <top style="medium">
        <color indexed="64"/>
      </top>
      <bottom/>
      <diagonal/>
    </border>
    <border>
      <left/>
      <right/>
      <top style="medium">
        <color auto="1"/>
      </top>
      <bottom style="thin">
        <color auto="1"/>
      </bottom>
      <diagonal/>
    </border>
    <border>
      <left style="medium">
        <color auto="1"/>
      </left>
      <right/>
      <top style="medium">
        <color auto="1"/>
      </top>
      <bottom style="thin">
        <color auto="1"/>
      </bottom>
      <diagonal/>
    </border>
    <border>
      <left/>
      <right style="medium">
        <color indexed="64"/>
      </right>
      <top style="medium">
        <color indexed="64"/>
      </top>
      <bottom style="thin">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medium">
        <color rgb="FF000000"/>
      </right>
      <top/>
      <bottom style="thin">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bottom style="medium">
        <color auto="1"/>
      </bottom>
      <diagonal/>
    </border>
    <border>
      <left/>
      <right/>
      <top/>
      <bottom style="medium">
        <color indexed="64"/>
      </bottom>
      <diagonal/>
    </border>
    <border>
      <left/>
      <right style="thin">
        <color indexed="64"/>
      </right>
      <top/>
      <bottom style="medium">
        <color auto="1"/>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top style="thin">
        <color indexed="64"/>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style="thin">
        <color rgb="FF000000"/>
      </left>
      <right style="thin">
        <color indexed="64"/>
      </right>
      <top/>
      <bottom style="thin">
        <color rgb="FF000000"/>
      </bottom>
      <diagonal/>
    </border>
    <border>
      <left style="thin">
        <color auto="1"/>
      </left>
      <right style="thin">
        <color auto="1"/>
      </right>
      <top style="medium">
        <color auto="1"/>
      </top>
      <bottom/>
      <diagonal/>
    </border>
    <border>
      <left style="thin">
        <color indexed="64"/>
      </left>
      <right style="medium">
        <color indexed="64"/>
      </right>
      <top style="medium">
        <color indexed="64"/>
      </top>
      <bottom/>
      <diagonal/>
    </border>
    <border>
      <left/>
      <right/>
      <top style="medium">
        <color auto="1"/>
      </top>
      <bottom/>
      <diagonal/>
    </border>
  </borders>
  <cellStyleXfs count="7">
    <xf numFmtId="0" fontId="0" fillId="0" borderId="0"/>
    <xf numFmtId="0" fontId="2" fillId="0" borderId="18"/>
    <xf numFmtId="0" fontId="58" fillId="0" borderId="18"/>
    <xf numFmtId="0" fontId="47" fillId="0" borderId="18"/>
    <xf numFmtId="0" fontId="47" fillId="0" borderId="18"/>
    <xf numFmtId="0" fontId="1" fillId="0" borderId="18"/>
    <xf numFmtId="0" fontId="47" fillId="0" borderId="18"/>
  </cellStyleXfs>
  <cellXfs count="1688">
    <xf numFmtId="0" fontId="0" fillId="0" borderId="0" xfId="0" applyFont="1" applyAlignment="1"/>
    <xf numFmtId="0" fontId="0" fillId="0" borderId="0" xfId="0" applyFont="1"/>
    <xf numFmtId="0" fontId="0" fillId="2" borderId="12" xfId="0" applyFont="1" applyFill="1" applyBorder="1"/>
    <xf numFmtId="0" fontId="0" fillId="4" borderId="16" xfId="0" applyFont="1" applyFill="1" applyBorder="1"/>
    <xf numFmtId="0" fontId="0" fillId="5" borderId="20" xfId="0" applyFont="1" applyFill="1" applyBorder="1"/>
    <xf numFmtId="0" fontId="0" fillId="6" borderId="21" xfId="0" applyFont="1" applyFill="1" applyBorder="1"/>
    <xf numFmtId="0" fontId="7" fillId="3" borderId="22" xfId="0" applyFont="1" applyFill="1" applyBorder="1" applyAlignment="1">
      <alignment vertical="center"/>
    </xf>
    <xf numFmtId="0" fontId="7" fillId="3" borderId="12" xfId="0" applyFont="1" applyFill="1" applyBorder="1" applyAlignment="1">
      <alignment vertical="center"/>
    </xf>
    <xf numFmtId="0" fontId="7" fillId="3" borderId="23" xfId="0" applyFont="1" applyFill="1" applyBorder="1" applyAlignment="1">
      <alignment vertical="center"/>
    </xf>
    <xf numFmtId="0" fontId="0" fillId="7" borderId="20" xfId="0" applyFont="1" applyFill="1" applyBorder="1"/>
    <xf numFmtId="0" fontId="9" fillId="8" borderId="30" xfId="0" applyFont="1" applyFill="1" applyBorder="1" applyAlignment="1">
      <alignment horizontal="center" vertical="center"/>
    </xf>
    <xf numFmtId="0" fontId="9" fillId="8" borderId="31" xfId="0" applyFont="1" applyFill="1" applyBorder="1" applyAlignment="1">
      <alignment horizontal="center" vertical="center"/>
    </xf>
    <xf numFmtId="0" fontId="10" fillId="5" borderId="34" xfId="0" applyFont="1" applyFill="1" applyBorder="1" applyAlignment="1">
      <alignment horizontal="center" vertical="center" wrapText="1"/>
    </xf>
    <xf numFmtId="0" fontId="5" fillId="0" borderId="9" xfId="0" applyFont="1" applyBorder="1" applyAlignment="1">
      <alignment vertical="center" wrapText="1"/>
    </xf>
    <xf numFmtId="0" fontId="5" fillId="0" borderId="0" xfId="0" applyFont="1" applyAlignment="1">
      <alignment vertical="center" wrapText="1"/>
    </xf>
    <xf numFmtId="0" fontId="5" fillId="0" borderId="34" xfId="0" applyFont="1" applyBorder="1" applyAlignment="1">
      <alignment vertical="center" wrapText="1"/>
    </xf>
    <xf numFmtId="0" fontId="15" fillId="8" borderId="34" xfId="0" applyFont="1" applyFill="1" applyBorder="1" applyAlignment="1">
      <alignment horizontal="center" vertical="center" wrapText="1"/>
    </xf>
    <xf numFmtId="0" fontId="16" fillId="8" borderId="34" xfId="0" applyFont="1" applyFill="1" applyBorder="1" applyAlignment="1">
      <alignment horizontal="center" vertical="center" wrapText="1"/>
    </xf>
    <xf numFmtId="0" fontId="5" fillId="9" borderId="34" xfId="0" applyFont="1" applyFill="1" applyBorder="1" applyAlignment="1">
      <alignment vertical="center" wrapText="1"/>
    </xf>
    <xf numFmtId="0" fontId="5" fillId="9" borderId="34" xfId="0" applyFont="1" applyFill="1" applyBorder="1" applyAlignment="1">
      <alignment horizontal="center" vertical="center" wrapText="1"/>
    </xf>
    <xf numFmtId="0" fontId="5" fillId="6" borderId="34" xfId="0" applyFont="1" applyFill="1" applyBorder="1" applyAlignment="1">
      <alignment horizontal="center" vertical="center"/>
    </xf>
    <xf numFmtId="0" fontId="5" fillId="5" borderId="34" xfId="0" applyFont="1" applyFill="1" applyBorder="1" applyAlignment="1">
      <alignment horizontal="center" vertical="center"/>
    </xf>
    <xf numFmtId="0" fontId="17" fillId="6" borderId="34" xfId="0" applyFont="1" applyFill="1" applyBorder="1" applyAlignment="1">
      <alignment horizontal="left" vertical="center" wrapText="1"/>
    </xf>
    <xf numFmtId="0" fontId="5" fillId="4" borderId="34" xfId="0" applyFont="1" applyFill="1" applyBorder="1" applyAlignment="1">
      <alignment horizontal="center" vertical="center" wrapText="1"/>
    </xf>
    <xf numFmtId="0" fontId="5" fillId="0" borderId="0" xfId="0" applyFont="1" applyAlignment="1">
      <alignment horizontal="center" vertical="center"/>
    </xf>
    <xf numFmtId="0" fontId="0" fillId="10" borderId="34" xfId="0" applyFont="1" applyFill="1" applyBorder="1" applyAlignment="1">
      <alignment horizontal="center" vertical="center"/>
    </xf>
    <xf numFmtId="0" fontId="5" fillId="0" borderId="0" xfId="0" applyFont="1" applyAlignment="1">
      <alignment horizontal="left" vertical="center"/>
    </xf>
    <xf numFmtId="0" fontId="5" fillId="0" borderId="0" xfId="0" applyFont="1" applyAlignment="1">
      <alignment horizontal="left"/>
    </xf>
    <xf numFmtId="0" fontId="15" fillId="8" borderId="52" xfId="0" applyFont="1" applyFill="1" applyBorder="1" applyAlignment="1">
      <alignment horizontal="center" vertical="center" wrapText="1"/>
    </xf>
    <xf numFmtId="0" fontId="24" fillId="11" borderId="52" xfId="0" applyFont="1" applyFill="1" applyBorder="1" applyAlignment="1">
      <alignment horizontal="center" vertical="center" wrapText="1"/>
    </xf>
    <xf numFmtId="0" fontId="5" fillId="4" borderId="34" xfId="0" applyFont="1" applyFill="1" applyBorder="1" applyAlignment="1">
      <alignment vertical="center" wrapText="1"/>
    </xf>
    <xf numFmtId="0" fontId="5" fillId="4" borderId="34" xfId="0" applyFont="1" applyFill="1" applyBorder="1" applyAlignment="1">
      <alignment horizontal="center" vertical="center"/>
    </xf>
    <xf numFmtId="0" fontId="5" fillId="0" borderId="0" xfId="0" applyFont="1" applyAlignment="1">
      <alignment vertical="center"/>
    </xf>
    <xf numFmtId="0" fontId="5" fillId="5" borderId="41" xfId="0" applyFont="1" applyFill="1" applyBorder="1" applyAlignment="1">
      <alignment horizontal="center" vertical="center"/>
    </xf>
    <xf numFmtId="0" fontId="24" fillId="11" borderId="58" xfId="0" applyFont="1" applyFill="1" applyBorder="1" applyAlignment="1">
      <alignment vertical="center" wrapText="1"/>
    </xf>
    <xf numFmtId="0" fontId="24" fillId="11" borderId="34" xfId="0" applyFont="1" applyFill="1" applyBorder="1" applyAlignment="1">
      <alignment horizontal="center" vertical="center" wrapText="1"/>
    </xf>
    <xf numFmtId="0" fontId="24" fillId="0" borderId="27" xfId="0" applyFont="1" applyBorder="1" applyAlignment="1">
      <alignment horizontal="center" vertical="center"/>
    </xf>
    <xf numFmtId="0" fontId="5" fillId="0" borderId="34" xfId="0" applyFont="1" applyBorder="1" applyAlignment="1">
      <alignment wrapText="1"/>
    </xf>
    <xf numFmtId="164" fontId="5" fillId="0" borderId="34" xfId="0" applyNumberFormat="1" applyFont="1" applyBorder="1" applyAlignment="1">
      <alignment vertical="center"/>
    </xf>
    <xf numFmtId="0" fontId="5" fillId="0" borderId="34" xfId="0" applyFont="1" applyBorder="1" applyAlignment="1">
      <alignment horizontal="center" vertical="center"/>
    </xf>
    <xf numFmtId="0" fontId="5" fillId="0" borderId="34" xfId="0" applyFont="1" applyBorder="1" applyAlignment="1">
      <alignment horizontal="left" vertical="center" wrapText="1"/>
    </xf>
    <xf numFmtId="0" fontId="5" fillId="0" borderId="34" xfId="0" applyFont="1" applyBorder="1" applyAlignment="1">
      <alignment vertical="center"/>
    </xf>
    <xf numFmtId="0" fontId="5" fillId="0" borderId="34" xfId="0" applyFont="1" applyBorder="1" applyAlignment="1">
      <alignment horizontal="left" vertical="top" wrapText="1"/>
    </xf>
    <xf numFmtId="0" fontId="5" fillId="0" borderId="34" xfId="0" applyFont="1" applyBorder="1" applyAlignment="1">
      <alignment horizontal="left" wrapText="1"/>
    </xf>
    <xf numFmtId="2" fontId="5" fillId="0" borderId="34" xfId="0" applyNumberFormat="1" applyFont="1" applyBorder="1" applyAlignment="1">
      <alignment vertical="center"/>
    </xf>
    <xf numFmtId="0" fontId="5" fillId="0" borderId="34" xfId="0" applyFont="1" applyBorder="1"/>
    <xf numFmtId="164" fontId="5" fillId="0" borderId="34" xfId="0" applyNumberFormat="1" applyFont="1" applyBorder="1"/>
    <xf numFmtId="0" fontId="21" fillId="8" borderId="45" xfId="0" applyFont="1" applyFill="1" applyBorder="1" applyAlignment="1">
      <alignment horizontal="center" vertical="center" wrapText="1"/>
    </xf>
    <xf numFmtId="0" fontId="21" fillId="8" borderId="34" xfId="0" applyFont="1" applyFill="1" applyBorder="1" applyAlignment="1">
      <alignment horizontal="center" vertical="center" wrapText="1"/>
    </xf>
    <xf numFmtId="0" fontId="21" fillId="8" borderId="34" xfId="0" applyFont="1" applyFill="1" applyBorder="1" applyAlignment="1">
      <alignment horizontal="center" vertical="center"/>
    </xf>
    <xf numFmtId="0" fontId="21" fillId="8" borderId="44" xfId="0" applyFont="1" applyFill="1" applyBorder="1" applyAlignment="1">
      <alignment horizontal="center" vertical="center" wrapText="1"/>
    </xf>
    <xf numFmtId="0" fontId="0" fillId="5" borderId="34" xfId="0" applyFont="1" applyFill="1" applyBorder="1" applyAlignment="1">
      <alignment horizontal="center" vertical="center"/>
    </xf>
    <xf numFmtId="0" fontId="0" fillId="7" borderId="34" xfId="0" applyFont="1" applyFill="1" applyBorder="1" applyAlignment="1">
      <alignment horizontal="left" vertical="center" wrapText="1"/>
    </xf>
    <xf numFmtId="0" fontId="0" fillId="7" borderId="44" xfId="0" applyFont="1" applyFill="1" applyBorder="1" applyAlignment="1">
      <alignment horizontal="left" wrapText="1"/>
    </xf>
    <xf numFmtId="0" fontId="0" fillId="7" borderId="34" xfId="0" applyFont="1" applyFill="1" applyBorder="1" applyAlignment="1">
      <alignment horizontal="left" wrapText="1"/>
    </xf>
    <xf numFmtId="0" fontId="0" fillId="7" borderId="34" xfId="0" applyFont="1" applyFill="1" applyBorder="1" applyAlignment="1">
      <alignment horizontal="left"/>
    </xf>
    <xf numFmtId="0" fontId="12" fillId="0" borderId="0" xfId="0" applyFont="1"/>
    <xf numFmtId="0" fontId="12" fillId="0" borderId="0" xfId="0" applyFont="1" applyAlignment="1">
      <alignment horizontal="center" vertical="center"/>
    </xf>
    <xf numFmtId="0" fontId="12" fillId="0" borderId="0" xfId="0" applyFont="1" applyAlignment="1">
      <alignment horizontal="center"/>
    </xf>
    <xf numFmtId="0" fontId="12" fillId="0" borderId="0" xfId="0" applyFont="1" applyAlignment="1">
      <alignment horizontal="left"/>
    </xf>
    <xf numFmtId="0" fontId="24" fillId="0" borderId="0" xfId="0" applyFont="1" applyAlignment="1">
      <alignment horizontal="center"/>
    </xf>
    <xf numFmtId="1" fontId="24" fillId="0" borderId="48" xfId="0" applyNumberFormat="1" applyFont="1" applyBorder="1" applyAlignment="1">
      <alignment horizontal="center" vertical="center"/>
    </xf>
    <xf numFmtId="1" fontId="24" fillId="0" borderId="27" xfId="0" applyNumberFormat="1" applyFont="1" applyBorder="1" applyAlignment="1">
      <alignment horizontal="center" vertical="center"/>
    </xf>
    <xf numFmtId="1" fontId="24" fillId="0" borderId="49" xfId="0" applyNumberFormat="1" applyFont="1" applyBorder="1" applyAlignment="1">
      <alignment horizontal="center" vertical="center"/>
    </xf>
    <xf numFmtId="1" fontId="24" fillId="0" borderId="32" xfId="0" applyNumberFormat="1" applyFont="1" applyBorder="1" applyAlignment="1">
      <alignment horizontal="center" vertical="center"/>
    </xf>
    <xf numFmtId="0" fontId="24" fillId="13" borderId="30" xfId="0" applyFont="1" applyFill="1" applyBorder="1" applyAlignment="1">
      <alignment horizontal="center" vertical="center"/>
    </xf>
    <xf numFmtId="0" fontId="24" fillId="13" borderId="31" xfId="0" applyFont="1" applyFill="1" applyBorder="1" applyAlignment="1">
      <alignment horizontal="center" vertical="center"/>
    </xf>
    <xf numFmtId="0" fontId="24" fillId="14" borderId="31" xfId="0" applyFont="1" applyFill="1" applyBorder="1" applyAlignment="1">
      <alignment horizontal="center" vertical="center"/>
    </xf>
    <xf numFmtId="0" fontId="24" fillId="14" borderId="61" xfId="0" applyFont="1" applyFill="1" applyBorder="1" applyAlignment="1">
      <alignment horizontal="center" vertical="center"/>
    </xf>
    <xf numFmtId="1" fontId="24" fillId="0" borderId="9" xfId="0" applyNumberFormat="1" applyFont="1" applyBorder="1" applyAlignment="1">
      <alignment horizontal="center" vertical="center"/>
    </xf>
    <xf numFmtId="0" fontId="24" fillId="15" borderId="45" xfId="0" applyFont="1" applyFill="1" applyBorder="1" applyAlignment="1">
      <alignment horizontal="center" vertical="center"/>
    </xf>
    <xf numFmtId="0" fontId="24" fillId="13" borderId="34" xfId="0" applyFont="1" applyFill="1" applyBorder="1" applyAlignment="1">
      <alignment horizontal="center" vertical="center"/>
    </xf>
    <xf numFmtId="0" fontId="24" fillId="14" borderId="34" xfId="0" applyFont="1" applyFill="1" applyBorder="1" applyAlignment="1">
      <alignment horizontal="center" vertical="center"/>
    </xf>
    <xf numFmtId="0" fontId="24" fillId="14" borderId="44" xfId="0" applyFont="1" applyFill="1" applyBorder="1" applyAlignment="1">
      <alignment horizontal="center" vertical="center"/>
    </xf>
    <xf numFmtId="0" fontId="24" fillId="16" borderId="45" xfId="0" applyFont="1" applyFill="1" applyBorder="1" applyAlignment="1">
      <alignment horizontal="center" vertical="center"/>
    </xf>
    <xf numFmtId="0" fontId="24" fillId="15" borderId="34" xfId="0" applyFont="1" applyFill="1" applyBorder="1" applyAlignment="1">
      <alignment horizontal="center" vertical="center"/>
    </xf>
    <xf numFmtId="0" fontId="24" fillId="16" borderId="34" xfId="0" applyFont="1" applyFill="1" applyBorder="1" applyAlignment="1">
      <alignment horizontal="center" vertical="center"/>
    </xf>
    <xf numFmtId="1" fontId="24" fillId="0" borderId="62" xfId="0" applyNumberFormat="1" applyFont="1" applyBorder="1" applyAlignment="1">
      <alignment horizontal="center" vertical="center"/>
    </xf>
    <xf numFmtId="0" fontId="24" fillId="16" borderId="38" xfId="0" applyFont="1" applyFill="1" applyBorder="1" applyAlignment="1">
      <alignment horizontal="center" vertical="center"/>
    </xf>
    <xf numFmtId="0" fontId="24" fillId="16" borderId="39" xfId="0" applyFont="1" applyFill="1" applyBorder="1" applyAlignment="1">
      <alignment horizontal="center" vertical="center"/>
    </xf>
    <xf numFmtId="0" fontId="24" fillId="15" borderId="39" xfId="0" applyFont="1" applyFill="1" applyBorder="1" applyAlignment="1">
      <alignment horizontal="center" vertical="center"/>
    </xf>
    <xf numFmtId="0" fontId="24" fillId="13" borderId="39" xfId="0" applyFont="1" applyFill="1" applyBorder="1" applyAlignment="1">
      <alignment horizontal="center" vertical="center"/>
    </xf>
    <xf numFmtId="0" fontId="24" fillId="14" borderId="40" xfId="0" applyFont="1" applyFill="1" applyBorder="1" applyAlignment="1">
      <alignment horizontal="center" vertical="center"/>
    </xf>
    <xf numFmtId="0" fontId="5" fillId="12" borderId="61" xfId="0" applyFont="1" applyFill="1" applyBorder="1"/>
    <xf numFmtId="0" fontId="5" fillId="0" borderId="44" xfId="0" applyFont="1" applyBorder="1" applyAlignment="1">
      <alignment wrapText="1"/>
    </xf>
    <xf numFmtId="0" fontId="5" fillId="0" borderId="40" xfId="0" applyFont="1" applyBorder="1" applyAlignment="1">
      <alignment wrapText="1"/>
    </xf>
    <xf numFmtId="164" fontId="5" fillId="0" borderId="34" xfId="0" applyNumberFormat="1" applyFont="1" applyBorder="1" applyAlignment="1">
      <alignment horizontal="center" vertical="center"/>
    </xf>
    <xf numFmtId="0" fontId="5" fillId="0" borderId="34" xfId="0" applyFont="1" applyBorder="1" applyAlignment="1">
      <alignment horizontal="left" vertical="center"/>
    </xf>
    <xf numFmtId="0" fontId="15" fillId="8" borderId="34" xfId="0" applyFont="1" applyFill="1" applyBorder="1" applyAlignment="1">
      <alignment horizontal="center" vertical="center"/>
    </xf>
    <xf numFmtId="1" fontId="24" fillId="0" borderId="34" xfId="0" applyNumberFormat="1" applyFont="1" applyBorder="1" applyAlignment="1">
      <alignment horizontal="center" vertical="center"/>
    </xf>
    <xf numFmtId="0" fontId="24" fillId="0" borderId="34" xfId="0" applyFont="1" applyBorder="1" applyAlignment="1">
      <alignment horizontal="center" vertical="center"/>
    </xf>
    <xf numFmtId="0" fontId="5" fillId="17" borderId="34" xfId="0" applyFont="1" applyFill="1" applyBorder="1" applyAlignment="1">
      <alignment horizontal="center" vertical="center" wrapText="1"/>
    </xf>
    <xf numFmtId="0" fontId="5" fillId="17" borderId="34" xfId="0" applyFont="1" applyFill="1" applyBorder="1" applyAlignment="1">
      <alignment horizontal="center" vertical="center"/>
    </xf>
    <xf numFmtId="0" fontId="5" fillId="17" borderId="34" xfId="0" applyFont="1" applyFill="1" applyBorder="1" applyAlignment="1">
      <alignment vertical="center"/>
    </xf>
    <xf numFmtId="0" fontId="5" fillId="9" borderId="34" xfId="0" applyFont="1" applyFill="1" applyBorder="1" applyAlignment="1">
      <alignment vertical="center"/>
    </xf>
    <xf numFmtId="0" fontId="5" fillId="9" borderId="34" xfId="0" quotePrefix="1" applyFont="1" applyFill="1" applyBorder="1" applyAlignment="1">
      <alignment vertical="center" wrapText="1"/>
    </xf>
    <xf numFmtId="0" fontId="5" fillId="0" borderId="34" xfId="0" applyFont="1" applyBorder="1" applyAlignment="1">
      <alignment horizontal="center" vertical="center" wrapText="1"/>
    </xf>
    <xf numFmtId="0" fontId="24" fillId="0" borderId="0" xfId="0" applyFont="1" applyAlignment="1">
      <alignment horizontal="center" vertical="center"/>
    </xf>
    <xf numFmtId="0" fontId="35" fillId="6" borderId="34" xfId="0" applyFont="1" applyFill="1" applyBorder="1" applyAlignment="1">
      <alignment vertical="top" wrapText="1"/>
    </xf>
    <xf numFmtId="0" fontId="36" fillId="6" borderId="34" xfId="0" quotePrefix="1" applyFont="1" applyFill="1" applyBorder="1" applyAlignment="1">
      <alignment horizontal="left" vertical="center" wrapText="1"/>
    </xf>
    <xf numFmtId="0" fontId="11" fillId="6" borderId="34" xfId="0" applyFont="1" applyFill="1" applyBorder="1" applyAlignment="1">
      <alignment vertical="top" wrapText="1"/>
    </xf>
    <xf numFmtId="0" fontId="0" fillId="0" borderId="0" xfId="0" applyFont="1" applyAlignment="1"/>
    <xf numFmtId="0" fontId="5" fillId="9" borderId="34" xfId="0" applyFont="1" applyFill="1" applyBorder="1" applyAlignment="1">
      <alignment horizontal="left" vertical="center" wrapText="1"/>
    </xf>
    <xf numFmtId="0" fontId="0" fillId="0" borderId="0" xfId="0" applyFont="1" applyAlignment="1">
      <alignment horizontal="center"/>
    </xf>
    <xf numFmtId="0" fontId="5" fillId="0" borderId="0" xfId="0" applyFont="1" applyAlignment="1">
      <alignment horizontal="center"/>
    </xf>
    <xf numFmtId="0" fontId="15" fillId="8" borderId="60" xfId="0" applyFont="1" applyFill="1" applyBorder="1" applyAlignment="1">
      <alignment horizontal="center" vertical="center" wrapText="1"/>
    </xf>
    <xf numFmtId="0" fontId="15" fillId="8" borderId="21" xfId="0" applyFont="1" applyFill="1" applyBorder="1" applyAlignment="1">
      <alignment horizontal="center"/>
    </xf>
    <xf numFmtId="0" fontId="21" fillId="8" borderId="70" xfId="0" applyFont="1" applyFill="1" applyBorder="1" applyAlignment="1">
      <alignment horizontal="center" vertical="center"/>
    </xf>
    <xf numFmtId="0" fontId="21" fillId="8" borderId="70" xfId="0" applyFont="1" applyFill="1" applyBorder="1" applyAlignment="1">
      <alignment horizontal="center" vertical="center" wrapText="1"/>
    </xf>
    <xf numFmtId="0" fontId="22" fillId="8" borderId="70" xfId="0" applyFont="1" applyFill="1" applyBorder="1" applyAlignment="1">
      <alignment horizontal="center" vertical="center" wrapText="1"/>
    </xf>
    <xf numFmtId="0" fontId="0" fillId="6" borderId="70" xfId="0" applyFont="1" applyFill="1" applyBorder="1" applyAlignment="1">
      <alignment horizontal="left" vertical="center" wrapText="1"/>
    </xf>
    <xf numFmtId="0" fontId="0" fillId="10" borderId="70" xfId="0" applyFont="1" applyFill="1" applyBorder="1" applyAlignment="1">
      <alignment horizontal="center" vertical="center"/>
    </xf>
    <xf numFmtId="2" fontId="0" fillId="10" borderId="70" xfId="0" applyNumberFormat="1" applyFont="1" applyFill="1" applyBorder="1" applyAlignment="1">
      <alignment horizontal="center" vertical="center"/>
    </xf>
    <xf numFmtId="0" fontId="0" fillId="6" borderId="70" xfId="0" applyFont="1" applyFill="1" applyBorder="1" applyAlignment="1">
      <alignment vertical="center" wrapText="1"/>
    </xf>
    <xf numFmtId="164" fontId="0" fillId="6" borderId="70" xfId="0" applyNumberFormat="1" applyFont="1" applyFill="1" applyBorder="1" applyAlignment="1">
      <alignment vertical="center"/>
    </xf>
    <xf numFmtId="0" fontId="0" fillId="7" borderId="70" xfId="0" applyFont="1" applyFill="1" applyBorder="1"/>
    <xf numFmtId="0" fontId="34" fillId="6" borderId="70" xfId="0" applyFont="1" applyFill="1" applyBorder="1" applyAlignment="1">
      <alignment horizontal="left" vertical="center" wrapText="1"/>
    </xf>
    <xf numFmtId="0" fontId="34" fillId="6" borderId="70" xfId="0" applyFont="1" applyFill="1" applyBorder="1" applyAlignment="1">
      <alignment vertical="center" wrapText="1"/>
    </xf>
    <xf numFmtId="0" fontId="0" fillId="7" borderId="70" xfId="0" applyFont="1" applyFill="1" applyBorder="1" applyAlignment="1">
      <alignment wrapText="1"/>
    </xf>
    <xf numFmtId="0" fontId="17" fillId="6" borderId="34" xfId="0" quotePrefix="1" applyFont="1" applyFill="1" applyBorder="1" applyAlignment="1">
      <alignment horizontal="left" vertical="center" wrapText="1"/>
    </xf>
    <xf numFmtId="0" fontId="34" fillId="6" borderId="70" xfId="0" applyFont="1" applyFill="1" applyBorder="1" applyAlignment="1">
      <alignment horizontal="justify" vertical="center" wrapText="1"/>
    </xf>
    <xf numFmtId="0" fontId="3" fillId="6" borderId="70" xfId="0" applyFont="1" applyFill="1" applyBorder="1" applyAlignment="1">
      <alignment horizontal="left" vertical="center" wrapText="1"/>
    </xf>
    <xf numFmtId="0" fontId="0" fillId="10" borderId="34" xfId="0" applyFont="1" applyFill="1" applyBorder="1" applyAlignment="1">
      <alignment horizontal="left" vertical="center" wrapText="1"/>
    </xf>
    <xf numFmtId="0" fontId="0" fillId="10" borderId="34" xfId="0" applyFont="1" applyFill="1" applyBorder="1" applyAlignment="1">
      <alignment horizontal="justify" vertical="center" wrapText="1"/>
    </xf>
    <xf numFmtId="0" fontId="34" fillId="5" borderId="34" xfId="0" applyFont="1" applyFill="1" applyBorder="1" applyAlignment="1">
      <alignment horizontal="center" vertical="center" wrapText="1"/>
    </xf>
    <xf numFmtId="14" fontId="0" fillId="6" borderId="70" xfId="0" applyNumberFormat="1" applyFont="1" applyFill="1" applyBorder="1" applyAlignment="1">
      <alignment vertical="center" wrapText="1"/>
    </xf>
    <xf numFmtId="0" fontId="40" fillId="0" borderId="70" xfId="0" applyFont="1" applyBorder="1" applyAlignment="1">
      <alignment vertical="top" wrapText="1"/>
    </xf>
    <xf numFmtId="0" fontId="41" fillId="0" borderId="70" xfId="0" applyFont="1" applyBorder="1" applyAlignment="1">
      <alignment vertical="top" wrapText="1"/>
    </xf>
    <xf numFmtId="0" fontId="0" fillId="0" borderId="0" xfId="0" applyAlignment="1">
      <alignment vertical="top" wrapText="1"/>
    </xf>
    <xf numFmtId="0" fontId="38" fillId="18" borderId="88" xfId="0" applyFont="1" applyFill="1" applyBorder="1" applyAlignment="1">
      <alignment horizontal="center" vertical="top" wrapText="1"/>
    </xf>
    <xf numFmtId="0" fontId="43" fillId="18" borderId="89" xfId="0" applyFont="1" applyFill="1" applyBorder="1" applyAlignment="1">
      <alignment horizontal="center" vertical="center" wrapText="1"/>
    </xf>
    <xf numFmtId="0" fontId="43" fillId="18" borderId="75" xfId="0" applyFont="1" applyFill="1" applyBorder="1" applyAlignment="1">
      <alignment horizontal="center" vertical="center" wrapText="1"/>
    </xf>
    <xf numFmtId="0" fontId="43" fillId="18" borderId="90" xfId="0" applyFont="1" applyFill="1" applyBorder="1" applyAlignment="1">
      <alignment horizontal="center" vertical="center" wrapText="1"/>
    </xf>
    <xf numFmtId="0" fontId="34" fillId="19" borderId="70" xfId="0" applyFont="1" applyFill="1" applyBorder="1" applyAlignment="1">
      <alignment horizontal="left" vertical="center" wrapText="1"/>
    </xf>
    <xf numFmtId="0" fontId="34" fillId="19" borderId="70" xfId="0" quotePrefix="1" applyFont="1" applyFill="1" applyBorder="1" applyAlignment="1">
      <alignment vertical="center" wrapText="1"/>
    </xf>
    <xf numFmtId="14" fontId="34" fillId="19" borderId="70" xfId="0" applyNumberFormat="1" applyFont="1" applyFill="1" applyBorder="1" applyAlignment="1">
      <alignment vertical="center" wrapText="1"/>
    </xf>
    <xf numFmtId="0" fontId="34" fillId="19" borderId="70" xfId="0" applyFont="1" applyFill="1" applyBorder="1" applyAlignment="1">
      <alignment vertical="center" wrapText="1"/>
    </xf>
    <xf numFmtId="0" fontId="34" fillId="20" borderId="70" xfId="0" applyFont="1" applyFill="1" applyBorder="1" applyAlignment="1">
      <alignment vertical="top" wrapText="1"/>
    </xf>
    <xf numFmtId="0" fontId="34" fillId="0" borderId="70" xfId="0" applyFont="1" applyBorder="1" applyAlignment="1">
      <alignment horizontal="center" vertical="center" wrapText="1"/>
    </xf>
    <xf numFmtId="0" fontId="43" fillId="18" borderId="78" xfId="0" applyFont="1" applyFill="1" applyBorder="1" applyAlignment="1">
      <alignment horizontal="center" vertical="center" wrapText="1"/>
    </xf>
    <xf numFmtId="0" fontId="43" fillId="18" borderId="91" xfId="0" applyFont="1" applyFill="1" applyBorder="1" applyAlignment="1">
      <alignment horizontal="center" vertical="center" wrapText="1"/>
    </xf>
    <xf numFmtId="0" fontId="0" fillId="0" borderId="0" xfId="0" applyAlignment="1">
      <alignment vertical="center" wrapText="1"/>
    </xf>
    <xf numFmtId="0" fontId="29" fillId="0" borderId="70" xfId="0" applyFont="1" applyBorder="1" applyAlignment="1">
      <alignment horizontal="center" vertical="center"/>
    </xf>
    <xf numFmtId="2" fontId="34" fillId="0" borderId="70" xfId="0" applyNumberFormat="1" applyFont="1" applyBorder="1" applyAlignment="1">
      <alignment horizontal="center" vertical="center" wrapText="1"/>
    </xf>
    <xf numFmtId="0" fontId="5" fillId="6" borderId="52" xfId="0" applyFont="1" applyFill="1" applyBorder="1" applyAlignment="1">
      <alignment horizontal="center" vertical="center"/>
    </xf>
    <xf numFmtId="0" fontId="17" fillId="6" borderId="52" xfId="0" applyFont="1" applyFill="1" applyBorder="1" applyAlignment="1">
      <alignment horizontal="center" vertical="center" wrapText="1"/>
    </xf>
    <xf numFmtId="0" fontId="17" fillId="6" borderId="52" xfId="0" quotePrefix="1" applyFont="1" applyFill="1" applyBorder="1" applyAlignment="1">
      <alignment horizontal="left" vertical="center" wrapText="1"/>
    </xf>
    <xf numFmtId="0" fontId="17" fillId="6" borderId="92" xfId="0" quotePrefix="1" applyFont="1" applyFill="1" applyBorder="1" applyAlignment="1">
      <alignment horizontal="left" vertical="center" wrapText="1"/>
    </xf>
    <xf numFmtId="0" fontId="34" fillId="0" borderId="75" xfId="0" applyFont="1" applyBorder="1" applyAlignment="1">
      <alignment horizontal="center" vertical="center" wrapText="1"/>
    </xf>
    <xf numFmtId="0" fontId="29" fillId="0" borderId="75" xfId="0" applyFont="1" applyBorder="1" applyAlignment="1">
      <alignment horizontal="center" vertical="center"/>
    </xf>
    <xf numFmtId="2" fontId="34" fillId="0" borderId="75" xfId="0" applyNumberFormat="1" applyFont="1" applyBorder="1" applyAlignment="1">
      <alignment horizontal="center" vertical="center" wrapText="1"/>
    </xf>
    <xf numFmtId="0" fontId="2" fillId="0" borderId="18" xfId="1"/>
    <xf numFmtId="0" fontId="50" fillId="18" borderId="97" xfId="1" applyFont="1" applyFill="1" applyBorder="1" applyAlignment="1">
      <alignment horizontal="center" vertical="center"/>
    </xf>
    <xf numFmtId="0" fontId="50" fillId="18" borderId="98" xfId="1" applyFont="1" applyFill="1" applyBorder="1" applyAlignment="1">
      <alignment horizontal="center" vertical="center"/>
    </xf>
    <xf numFmtId="0" fontId="51" fillId="21" borderId="70" xfId="1" applyFont="1" applyFill="1" applyBorder="1" applyAlignment="1">
      <alignment horizontal="center" vertical="center" wrapText="1"/>
    </xf>
    <xf numFmtId="0" fontId="52" fillId="19" borderId="70" xfId="1" applyFont="1" applyFill="1" applyBorder="1" applyAlignment="1">
      <alignment vertical="top" wrapText="1"/>
    </xf>
    <xf numFmtId="0" fontId="53" fillId="19" borderId="70" xfId="1" applyFont="1" applyFill="1" applyBorder="1" applyAlignment="1">
      <alignment vertical="top" wrapText="1"/>
    </xf>
    <xf numFmtId="0" fontId="38" fillId="18" borderId="70" xfId="1" applyFont="1" applyFill="1" applyBorder="1" applyAlignment="1">
      <alignment horizontal="center" vertical="center" wrapText="1"/>
    </xf>
    <xf numFmtId="0" fontId="57" fillId="18" borderId="70" xfId="1" applyFont="1" applyFill="1" applyBorder="1" applyAlignment="1">
      <alignment horizontal="center" vertical="center" wrapText="1"/>
    </xf>
    <xf numFmtId="0" fontId="2" fillId="22" borderId="70" xfId="1" applyFill="1" applyBorder="1" applyAlignment="1">
      <alignment vertical="center" wrapText="1"/>
    </xf>
    <xf numFmtId="0" fontId="2" fillId="22" borderId="70" xfId="1" applyFill="1" applyBorder="1" applyAlignment="1">
      <alignment horizontal="center" vertical="center" wrapText="1"/>
    </xf>
    <xf numFmtId="0" fontId="2" fillId="19" borderId="70" xfId="1" applyFill="1" applyBorder="1" applyAlignment="1">
      <alignment horizontal="center" vertical="center"/>
    </xf>
    <xf numFmtId="0" fontId="58" fillId="19" borderId="70" xfId="2" applyFill="1" applyBorder="1" applyAlignment="1">
      <alignment horizontal="left" vertical="center" wrapText="1"/>
    </xf>
    <xf numFmtId="0" fontId="2" fillId="21" borderId="70" xfId="1" applyFill="1" applyBorder="1" applyAlignment="1">
      <alignment horizontal="center" vertical="center"/>
    </xf>
    <xf numFmtId="0" fontId="58" fillId="19" borderId="70" xfId="2" quotePrefix="1" applyFill="1" applyBorder="1" applyAlignment="1">
      <alignment horizontal="justify" vertical="center" wrapText="1"/>
    </xf>
    <xf numFmtId="0" fontId="2" fillId="23" borderId="70" xfId="1" applyFill="1" applyBorder="1" applyAlignment="1">
      <alignment horizontal="center" vertical="center" wrapText="1"/>
    </xf>
    <xf numFmtId="0" fontId="58" fillId="19" borderId="70" xfId="1" applyFont="1" applyFill="1" applyBorder="1" applyAlignment="1">
      <alignment horizontal="left" vertical="center" wrapText="1"/>
    </xf>
    <xf numFmtId="0" fontId="58" fillId="19" borderId="70" xfId="1" quotePrefix="1" applyFont="1" applyFill="1" applyBorder="1" applyAlignment="1">
      <alignment horizontal="justify" vertical="center" wrapText="1"/>
    </xf>
    <xf numFmtId="0" fontId="2" fillId="0" borderId="18" xfId="1" applyAlignment="1">
      <alignment horizontal="center" vertical="center"/>
    </xf>
    <xf numFmtId="0" fontId="38" fillId="18" borderId="105" xfId="1" applyFont="1" applyFill="1" applyBorder="1" applyAlignment="1">
      <alignment horizontal="center" vertical="center" wrapText="1"/>
    </xf>
    <xf numFmtId="0" fontId="38" fillId="18" borderId="109" xfId="1" applyFont="1" applyFill="1" applyBorder="1" applyAlignment="1">
      <alignment horizontal="center"/>
    </xf>
    <xf numFmtId="0" fontId="43" fillId="18" borderId="89" xfId="1" applyFont="1" applyFill="1" applyBorder="1" applyAlignment="1">
      <alignment horizontal="center" vertical="center" wrapText="1"/>
    </xf>
    <xf numFmtId="0" fontId="43" fillId="18" borderId="75" xfId="1" applyFont="1" applyFill="1" applyBorder="1" applyAlignment="1">
      <alignment horizontal="center" vertical="center" wrapText="1"/>
    </xf>
    <xf numFmtId="0" fontId="43" fillId="18" borderId="75" xfId="1" applyFont="1" applyFill="1" applyBorder="1" applyAlignment="1">
      <alignment horizontal="center" vertical="center"/>
    </xf>
    <xf numFmtId="0" fontId="43" fillId="18" borderId="90" xfId="1" applyFont="1" applyFill="1" applyBorder="1" applyAlignment="1">
      <alignment horizontal="center" vertical="center" wrapText="1"/>
    </xf>
    <xf numFmtId="0" fontId="43" fillId="18" borderId="110" xfId="1" applyFont="1" applyFill="1" applyBorder="1" applyAlignment="1">
      <alignment horizontal="center" vertical="center" wrapText="1"/>
    </xf>
    <xf numFmtId="0" fontId="43" fillId="18" borderId="80" xfId="1" applyFont="1" applyFill="1" applyBorder="1" applyAlignment="1">
      <alignment horizontal="center" vertical="center" wrapText="1"/>
    </xf>
    <xf numFmtId="0" fontId="62" fillId="18" borderId="75" xfId="1" applyFont="1" applyFill="1" applyBorder="1" applyAlignment="1">
      <alignment horizontal="center" vertical="center" wrapText="1"/>
    </xf>
    <xf numFmtId="0" fontId="63" fillId="18" borderId="75" xfId="1" applyFont="1" applyFill="1" applyBorder="1" applyAlignment="1">
      <alignment horizontal="center" vertical="center" wrapText="1"/>
    </xf>
    <xf numFmtId="0" fontId="38" fillId="18" borderId="78" xfId="1" applyFont="1" applyFill="1" applyBorder="1" applyAlignment="1">
      <alignment horizontal="center" vertical="center" wrapText="1"/>
    </xf>
    <xf numFmtId="0" fontId="43" fillId="18" borderId="78" xfId="1" applyFont="1" applyFill="1" applyBorder="1" applyAlignment="1">
      <alignment horizontal="center" vertical="center" wrapText="1"/>
    </xf>
    <xf numFmtId="0" fontId="43" fillId="18" borderId="91" xfId="1" applyFont="1" applyFill="1" applyBorder="1" applyAlignment="1">
      <alignment horizontal="center" vertical="center" wrapText="1"/>
    </xf>
    <xf numFmtId="0" fontId="53" fillId="0" borderId="18" xfId="1" applyFont="1" applyAlignment="1">
      <alignment horizontal="center" vertical="center"/>
    </xf>
    <xf numFmtId="0" fontId="3" fillId="19" borderId="70" xfId="1" applyFont="1" applyFill="1" applyBorder="1" applyAlignment="1">
      <alignment horizontal="left" vertical="center" wrapText="1"/>
    </xf>
    <xf numFmtId="0" fontId="34" fillId="19" borderId="70" xfId="1" applyFont="1" applyFill="1" applyBorder="1" applyAlignment="1">
      <alignment horizontal="left" vertical="center" wrapText="1"/>
    </xf>
    <xf numFmtId="0" fontId="34" fillId="24" borderId="70" xfId="1" applyFont="1" applyFill="1" applyBorder="1" applyAlignment="1">
      <alignment horizontal="center" vertical="center"/>
    </xf>
    <xf numFmtId="2" fontId="34" fillId="24" borderId="70" xfId="1" applyNumberFormat="1" applyFont="1" applyFill="1" applyBorder="1" applyAlignment="1">
      <alignment horizontal="center" vertical="center"/>
    </xf>
    <xf numFmtId="0" fontId="34" fillId="19" borderId="70" xfId="1" quotePrefix="1" applyFont="1" applyFill="1" applyBorder="1" applyAlignment="1">
      <alignment vertical="center" wrapText="1"/>
    </xf>
    <xf numFmtId="14" fontId="34" fillId="19" borderId="70" xfId="1" applyNumberFormat="1" applyFont="1" applyFill="1" applyBorder="1" applyAlignment="1">
      <alignment vertical="center"/>
    </xf>
    <xf numFmtId="0" fontId="34" fillId="19" borderId="70" xfId="1" applyFont="1" applyFill="1" applyBorder="1" applyAlignment="1">
      <alignment vertical="center" wrapText="1"/>
    </xf>
    <xf numFmtId="0" fontId="34" fillId="25" borderId="70" xfId="1" applyFont="1" applyFill="1" applyBorder="1" applyAlignment="1">
      <alignment vertical="center" wrapText="1"/>
    </xf>
    <xf numFmtId="0" fontId="34" fillId="20" borderId="70" xfId="1" applyFont="1" applyFill="1" applyBorder="1"/>
    <xf numFmtId="0" fontId="34" fillId="0" borderId="18" xfId="1" applyFont="1"/>
    <xf numFmtId="0" fontId="3" fillId="19" borderId="70" xfId="1" applyFont="1" applyFill="1" applyBorder="1" applyAlignment="1">
      <alignment vertical="center" wrapText="1"/>
    </xf>
    <xf numFmtId="49" fontId="34" fillId="25" borderId="70" xfId="1" applyNumberFormat="1" applyFont="1" applyFill="1" applyBorder="1" applyAlignment="1">
      <alignment vertical="center" wrapText="1"/>
    </xf>
    <xf numFmtId="0" fontId="3" fillId="19" borderId="70" xfId="1" quotePrefix="1" applyFont="1" applyFill="1" applyBorder="1" applyAlignment="1">
      <alignment horizontal="left" vertical="center" wrapText="1"/>
    </xf>
    <xf numFmtId="0" fontId="34" fillId="19" borderId="70" xfId="1" quotePrefix="1" applyFont="1" applyFill="1" applyBorder="1" applyAlignment="1">
      <alignment horizontal="left" vertical="center" wrapText="1"/>
    </xf>
    <xf numFmtId="0" fontId="34" fillId="25" borderId="70" xfId="1" quotePrefix="1" applyFont="1" applyFill="1" applyBorder="1" applyAlignment="1">
      <alignment vertical="center" wrapText="1"/>
    </xf>
    <xf numFmtId="0" fontId="34" fillId="20" borderId="70" xfId="1" applyFont="1" applyFill="1" applyBorder="1" applyAlignment="1">
      <alignment wrapText="1"/>
    </xf>
    <xf numFmtId="0" fontId="34" fillId="0" borderId="18" xfId="1" applyFont="1" applyAlignment="1">
      <alignment wrapText="1"/>
    </xf>
    <xf numFmtId="0" fontId="34" fillId="19" borderId="111" xfId="1" applyFont="1" applyFill="1" applyBorder="1" applyAlignment="1">
      <alignment vertical="center" wrapText="1"/>
    </xf>
    <xf numFmtId="0" fontId="34" fillId="19" borderId="112" xfId="1" quotePrefix="1" applyFont="1" applyFill="1" applyBorder="1" applyAlignment="1">
      <alignment vertical="center" wrapText="1"/>
    </xf>
    <xf numFmtId="0" fontId="2" fillId="0" borderId="18" xfId="1" applyAlignment="1">
      <alignment horizontal="left" vertical="center"/>
    </xf>
    <xf numFmtId="0" fontId="2" fillId="0" borderId="18" xfId="1" applyAlignment="1">
      <alignment horizontal="center"/>
    </xf>
    <xf numFmtId="0" fontId="48" fillId="0" borderId="18" xfId="1" applyFont="1"/>
    <xf numFmtId="0" fontId="2" fillId="0" borderId="18" xfId="1" applyAlignment="1">
      <alignment horizontal="left"/>
    </xf>
    <xf numFmtId="0" fontId="56" fillId="0" borderId="18" xfId="1" applyFont="1"/>
    <xf numFmtId="0" fontId="2" fillId="0" borderId="18" xfId="1" applyFont="1"/>
    <xf numFmtId="0" fontId="38" fillId="18" borderId="75" xfId="1" applyFont="1" applyFill="1" applyBorder="1" applyAlignment="1">
      <alignment horizontal="center" vertical="center" wrapText="1"/>
    </xf>
    <xf numFmtId="0" fontId="48" fillId="26" borderId="75" xfId="1" applyFont="1" applyFill="1" applyBorder="1" applyAlignment="1">
      <alignment horizontal="center" vertical="center" wrapText="1"/>
    </xf>
    <xf numFmtId="0" fontId="2" fillId="23" borderId="70" xfId="1" applyFill="1" applyBorder="1" applyAlignment="1">
      <alignment vertical="center" wrapText="1"/>
    </xf>
    <xf numFmtId="0" fontId="2" fillId="23" borderId="70" xfId="1" applyFill="1" applyBorder="1" applyAlignment="1">
      <alignment horizontal="center" vertical="center"/>
    </xf>
    <xf numFmtId="0" fontId="53" fillId="0" borderId="18" xfId="1" applyFont="1"/>
    <xf numFmtId="0" fontId="43" fillId="18" borderId="111" xfId="1" applyFont="1" applyFill="1" applyBorder="1" applyAlignment="1">
      <alignment horizontal="center" vertical="center" wrapText="1"/>
    </xf>
    <xf numFmtId="0" fontId="43" fillId="18" borderId="70" xfId="1" applyFont="1" applyFill="1" applyBorder="1" applyAlignment="1">
      <alignment horizontal="center" vertical="center" wrapText="1"/>
    </xf>
    <xf numFmtId="0" fontId="43" fillId="18" borderId="70" xfId="1" applyFont="1" applyFill="1" applyBorder="1" applyAlignment="1">
      <alignment horizontal="center" vertical="center"/>
    </xf>
    <xf numFmtId="0" fontId="43" fillId="18" borderId="112" xfId="1" applyFont="1" applyFill="1" applyBorder="1" applyAlignment="1">
      <alignment horizontal="center" vertical="center" wrapText="1"/>
    </xf>
    <xf numFmtId="0" fontId="34" fillId="24" borderId="70" xfId="1" applyFont="1" applyFill="1" applyBorder="1" applyAlignment="1">
      <alignment horizontal="left" vertical="center" wrapText="1"/>
    </xf>
    <xf numFmtId="0" fontId="34" fillId="21" borderId="70" xfId="1" applyFont="1" applyFill="1" applyBorder="1" applyAlignment="1">
      <alignment horizontal="center" vertical="center"/>
    </xf>
    <xf numFmtId="0" fontId="34" fillId="21" borderId="70" xfId="1" applyFont="1" applyFill="1" applyBorder="1" applyAlignment="1">
      <alignment horizontal="center" vertical="center" wrapText="1"/>
    </xf>
    <xf numFmtId="0" fontId="34" fillId="20" borderId="70" xfId="1" applyFont="1" applyFill="1" applyBorder="1" applyAlignment="1">
      <alignment horizontal="left" vertical="center" wrapText="1"/>
    </xf>
    <xf numFmtId="0" fontId="34" fillId="20" borderId="112" xfId="1" applyFont="1" applyFill="1" applyBorder="1" applyAlignment="1">
      <alignment horizontal="left" wrapText="1"/>
    </xf>
    <xf numFmtId="0" fontId="3" fillId="20" borderId="70" xfId="1" applyFont="1" applyFill="1" applyBorder="1" applyAlignment="1">
      <alignment horizontal="left" vertical="center" wrapText="1"/>
    </xf>
    <xf numFmtId="0" fontId="3" fillId="20" borderId="70" xfId="1" quotePrefix="1" applyFont="1" applyFill="1" applyBorder="1" applyAlignment="1">
      <alignment horizontal="left" vertical="center" wrapText="1"/>
    </xf>
    <xf numFmtId="0" fontId="34" fillId="20" borderId="70" xfId="1" applyFont="1" applyFill="1" applyBorder="1" applyAlignment="1">
      <alignment horizontal="left" wrapText="1"/>
    </xf>
    <xf numFmtId="0" fontId="34" fillId="20" borderId="70" xfId="1" applyFont="1" applyFill="1" applyBorder="1" applyAlignment="1">
      <alignment horizontal="left"/>
    </xf>
    <xf numFmtId="0" fontId="53" fillId="0" borderId="18" xfId="1" applyFont="1" applyAlignment="1">
      <alignment horizontal="center"/>
    </xf>
    <xf numFmtId="0" fontId="53" fillId="0" borderId="18" xfId="1" applyFont="1" applyAlignment="1">
      <alignment horizontal="left"/>
    </xf>
    <xf numFmtId="0" fontId="0" fillId="0" borderId="18" xfId="3" applyFont="1" applyAlignment="1"/>
    <xf numFmtId="0" fontId="9" fillId="8" borderId="30" xfId="3" applyFont="1" applyFill="1" applyBorder="1" applyAlignment="1">
      <alignment horizontal="center" vertical="center"/>
    </xf>
    <xf numFmtId="0" fontId="9" fillId="8" borderId="31" xfId="3" applyFont="1" applyFill="1" applyBorder="1" applyAlignment="1">
      <alignment horizontal="center" vertical="center"/>
    </xf>
    <xf numFmtId="0" fontId="10" fillId="5" borderId="34" xfId="3" applyFont="1" applyFill="1" applyBorder="1" applyAlignment="1">
      <alignment horizontal="center" vertical="center" wrapText="1"/>
    </xf>
    <xf numFmtId="0" fontId="11" fillId="6" borderId="34" xfId="3" applyFont="1" applyFill="1" applyBorder="1" applyAlignment="1">
      <alignment vertical="top" wrapText="1"/>
    </xf>
    <xf numFmtId="0" fontId="12" fillId="6" borderId="34" xfId="3" applyFont="1" applyFill="1" applyBorder="1" applyAlignment="1">
      <alignment vertical="top" wrapText="1"/>
    </xf>
    <xf numFmtId="0" fontId="15" fillId="8" borderId="34" xfId="3" applyFont="1" applyFill="1" applyBorder="1" applyAlignment="1">
      <alignment horizontal="center" vertical="center" wrapText="1"/>
    </xf>
    <xf numFmtId="0" fontId="16" fillId="8" borderId="34" xfId="3" applyFont="1" applyFill="1" applyBorder="1" applyAlignment="1">
      <alignment horizontal="center" vertical="center" wrapText="1"/>
    </xf>
    <xf numFmtId="0" fontId="5" fillId="9" borderId="34" xfId="3" applyFont="1" applyFill="1" applyBorder="1" applyAlignment="1">
      <alignment horizontal="left" vertical="center" wrapText="1"/>
    </xf>
    <xf numFmtId="0" fontId="5" fillId="6" borderId="34" xfId="3" applyFont="1" applyFill="1" applyBorder="1" applyAlignment="1">
      <alignment horizontal="center" vertical="center"/>
    </xf>
    <xf numFmtId="49" fontId="17" fillId="6" borderId="34" xfId="3" applyNumberFormat="1" applyFont="1" applyFill="1" applyBorder="1" applyAlignment="1">
      <alignment horizontal="left" vertical="center" wrapText="1"/>
    </xf>
    <xf numFmtId="0" fontId="5" fillId="5" borderId="34" xfId="3" applyFont="1" applyFill="1" applyBorder="1" applyAlignment="1">
      <alignment horizontal="center" vertical="center"/>
    </xf>
    <xf numFmtId="49" fontId="17" fillId="6" borderId="34" xfId="3" quotePrefix="1" applyNumberFormat="1" applyFont="1" applyFill="1" applyBorder="1" applyAlignment="1">
      <alignment horizontal="left" vertical="center" wrapText="1"/>
    </xf>
    <xf numFmtId="0" fontId="5" fillId="4" borderId="34" xfId="3" applyFont="1" applyFill="1" applyBorder="1" applyAlignment="1">
      <alignment horizontal="center" vertical="center" wrapText="1"/>
    </xf>
    <xf numFmtId="0" fontId="5" fillId="9" borderId="34" xfId="3" applyFont="1" applyFill="1" applyBorder="1" applyAlignment="1">
      <alignment vertical="center" wrapText="1"/>
    </xf>
    <xf numFmtId="49" fontId="17" fillId="6" borderId="34" xfId="3" applyNumberFormat="1" applyFont="1" applyFill="1" applyBorder="1" applyAlignment="1">
      <alignment horizontal="center" vertical="center" wrapText="1"/>
    </xf>
    <xf numFmtId="0" fontId="5" fillId="0" borderId="18" xfId="3" applyFont="1" applyAlignment="1">
      <alignment horizontal="center" vertical="center"/>
    </xf>
    <xf numFmtId="0" fontId="15" fillId="8" borderId="70" xfId="3" applyFont="1" applyFill="1" applyBorder="1" applyAlignment="1">
      <alignment horizontal="center" vertical="center" wrapText="1"/>
    </xf>
    <xf numFmtId="0" fontId="15" fillId="8" borderId="70" xfId="3" applyFont="1" applyFill="1" applyBorder="1" applyAlignment="1">
      <alignment horizontal="center"/>
    </xf>
    <xf numFmtId="0" fontId="21" fillId="8" borderId="70" xfId="3" applyFont="1" applyFill="1" applyBorder="1" applyAlignment="1">
      <alignment horizontal="center" vertical="center" wrapText="1"/>
    </xf>
    <xf numFmtId="0" fontId="21" fillId="8" borderId="70" xfId="3" applyFont="1" applyFill="1" applyBorder="1" applyAlignment="1">
      <alignment horizontal="center" vertical="center"/>
    </xf>
    <xf numFmtId="0" fontId="22" fillId="8" borderId="70" xfId="3" applyFont="1" applyFill="1" applyBorder="1" applyAlignment="1">
      <alignment horizontal="center" vertical="center" wrapText="1"/>
    </xf>
    <xf numFmtId="0" fontId="34" fillId="6" borderId="70" xfId="3" applyFont="1" applyFill="1" applyBorder="1" applyAlignment="1">
      <alignment horizontal="justify" vertical="center" wrapText="1"/>
    </xf>
    <xf numFmtId="0" fontId="0" fillId="10" borderId="70" xfId="3" applyFont="1" applyFill="1" applyBorder="1" applyAlignment="1">
      <alignment horizontal="center" vertical="center"/>
    </xf>
    <xf numFmtId="2" fontId="0" fillId="10" borderId="70" xfId="3" applyNumberFormat="1" applyFont="1" applyFill="1" applyBorder="1" applyAlignment="1">
      <alignment horizontal="center" vertical="center"/>
    </xf>
    <xf numFmtId="0" fontId="34" fillId="6" borderId="70" xfId="3" applyFont="1" applyFill="1" applyBorder="1" applyAlignment="1">
      <alignment horizontal="left" vertical="center" wrapText="1"/>
    </xf>
    <xf numFmtId="0" fontId="34" fillId="6" borderId="70" xfId="3" applyFont="1" applyFill="1" applyBorder="1" applyAlignment="1">
      <alignment vertical="center" wrapText="1"/>
    </xf>
    <xf numFmtId="164" fontId="0" fillId="6" borderId="70" xfId="3" applyNumberFormat="1" applyFont="1" applyFill="1" applyBorder="1" applyAlignment="1">
      <alignment vertical="center"/>
    </xf>
    <xf numFmtId="0" fontId="0" fillId="7" borderId="70" xfId="3" applyFont="1" applyFill="1" applyBorder="1"/>
    <xf numFmtId="0" fontId="0" fillId="6" borderId="70" xfId="3" applyFont="1" applyFill="1" applyBorder="1" applyAlignment="1">
      <alignment horizontal="left" vertical="center" wrapText="1"/>
    </xf>
    <xf numFmtId="0" fontId="0" fillId="6" borderId="70" xfId="3" applyFont="1" applyFill="1" applyBorder="1" applyAlignment="1">
      <alignment vertical="center" wrapText="1"/>
    </xf>
    <xf numFmtId="0" fontId="3" fillId="6" borderId="70" xfId="3" applyFont="1" applyFill="1" applyBorder="1" applyAlignment="1">
      <alignment vertical="center" wrapText="1"/>
    </xf>
    <xf numFmtId="0" fontId="0" fillId="7" borderId="70" xfId="3" applyFont="1" applyFill="1" applyBorder="1" applyAlignment="1">
      <alignment wrapText="1"/>
    </xf>
    <xf numFmtId="14" fontId="0" fillId="6" borderId="70" xfId="3" applyNumberFormat="1" applyFont="1" applyFill="1" applyBorder="1" applyAlignment="1">
      <alignment vertical="center" wrapText="1"/>
    </xf>
    <xf numFmtId="0" fontId="0" fillId="6" borderId="70" xfId="3" applyFont="1" applyFill="1" applyBorder="1" applyAlignment="1">
      <alignment horizontal="justify" vertical="center" wrapText="1"/>
    </xf>
    <xf numFmtId="0" fontId="5" fillId="0" borderId="18" xfId="3" applyFont="1" applyAlignment="1">
      <alignment horizontal="left" vertical="center"/>
    </xf>
    <xf numFmtId="0" fontId="5" fillId="0" borderId="18" xfId="3" applyFont="1" applyAlignment="1">
      <alignment horizontal="center"/>
    </xf>
    <xf numFmtId="0" fontId="5" fillId="0" borderId="18" xfId="3" applyFont="1" applyAlignment="1">
      <alignment horizontal="left"/>
    </xf>
    <xf numFmtId="0" fontId="15" fillId="8" borderId="52" xfId="3" applyFont="1" applyFill="1" applyBorder="1" applyAlignment="1">
      <alignment horizontal="center" vertical="center" wrapText="1"/>
    </xf>
    <xf numFmtId="0" fontId="5" fillId="4" borderId="34" xfId="3" applyFont="1" applyFill="1" applyBorder="1" applyAlignment="1">
      <alignment vertical="center" wrapText="1"/>
    </xf>
    <xf numFmtId="0" fontId="5" fillId="4" borderId="34" xfId="3" applyFont="1" applyFill="1" applyBorder="1" applyAlignment="1">
      <alignment horizontal="center" vertical="center"/>
    </xf>
    <xf numFmtId="0" fontId="21" fillId="8" borderId="45" xfId="3" applyFont="1" applyFill="1" applyBorder="1" applyAlignment="1">
      <alignment horizontal="center" vertical="center" wrapText="1"/>
    </xf>
    <xf numFmtId="0" fontId="21" fillId="8" borderId="34" xfId="3" applyFont="1" applyFill="1" applyBorder="1" applyAlignment="1">
      <alignment horizontal="center" vertical="center" wrapText="1"/>
    </xf>
    <xf numFmtId="0" fontId="21" fillId="8" borderId="34" xfId="3" applyFont="1" applyFill="1" applyBorder="1" applyAlignment="1">
      <alignment horizontal="left" vertical="center" wrapText="1"/>
    </xf>
    <xf numFmtId="0" fontId="21" fillId="8" borderId="34" xfId="3" applyFont="1" applyFill="1" applyBorder="1" applyAlignment="1">
      <alignment horizontal="center" vertical="center"/>
    </xf>
    <xf numFmtId="0" fontId="21" fillId="8" borderId="44" xfId="3" applyFont="1" applyFill="1" applyBorder="1" applyAlignment="1">
      <alignment horizontal="center" vertical="center" wrapText="1"/>
    </xf>
    <xf numFmtId="0" fontId="0" fillId="10" borderId="34" xfId="3" applyFont="1" applyFill="1" applyBorder="1" applyAlignment="1">
      <alignment horizontal="left" vertical="center" wrapText="1"/>
    </xf>
    <xf numFmtId="0" fontId="0" fillId="10" borderId="34" xfId="3" applyFont="1" applyFill="1" applyBorder="1" applyAlignment="1">
      <alignment horizontal="justify" vertical="center" wrapText="1"/>
    </xf>
    <xf numFmtId="0" fontId="0" fillId="5" borderId="34" xfId="3" applyFont="1" applyFill="1" applyBorder="1" applyAlignment="1">
      <alignment horizontal="center" vertical="center"/>
    </xf>
    <xf numFmtId="0" fontId="0" fillId="5" borderId="34" xfId="3" applyFont="1" applyFill="1" applyBorder="1" applyAlignment="1">
      <alignment horizontal="center" vertical="center" wrapText="1"/>
    </xf>
    <xf numFmtId="0" fontId="0" fillId="10" borderId="34" xfId="3" applyFont="1" applyFill="1" applyBorder="1" applyAlignment="1">
      <alignment horizontal="center" vertical="center"/>
    </xf>
    <xf numFmtId="0" fontId="0" fillId="7" borderId="34" xfId="3" applyFont="1" applyFill="1" applyBorder="1" applyAlignment="1">
      <alignment horizontal="left" vertical="center" wrapText="1"/>
    </xf>
    <xf numFmtId="0" fontId="0" fillId="7" borderId="44" xfId="3" applyFont="1" applyFill="1" applyBorder="1" applyAlignment="1">
      <alignment horizontal="left" wrapText="1"/>
    </xf>
    <xf numFmtId="0" fontId="0" fillId="7" borderId="34" xfId="3" applyFont="1" applyFill="1" applyBorder="1" applyAlignment="1">
      <alignment horizontal="left" wrapText="1"/>
    </xf>
    <xf numFmtId="0" fontId="0" fillId="7" borderId="34" xfId="3" applyFont="1" applyFill="1" applyBorder="1" applyAlignment="1">
      <alignment horizontal="left"/>
    </xf>
    <xf numFmtId="0" fontId="0" fillId="10" borderId="52" xfId="3" applyFont="1" applyFill="1" applyBorder="1" applyAlignment="1">
      <alignment horizontal="left" vertical="center" wrapText="1"/>
    </xf>
    <xf numFmtId="0" fontId="0" fillId="10" borderId="52" xfId="3" applyFont="1" applyFill="1" applyBorder="1" applyAlignment="1">
      <alignment horizontal="justify" vertical="center" wrapText="1"/>
    </xf>
    <xf numFmtId="0" fontId="0" fillId="5" borderId="52" xfId="3" applyFont="1" applyFill="1" applyBorder="1" applyAlignment="1">
      <alignment horizontal="center" vertical="center"/>
    </xf>
    <xf numFmtId="0" fontId="0" fillId="5" borderId="52" xfId="3" applyFont="1" applyFill="1" applyBorder="1" applyAlignment="1">
      <alignment horizontal="center" vertical="center" wrapText="1"/>
    </xf>
    <xf numFmtId="0" fontId="0" fillId="10" borderId="52" xfId="3" applyFont="1" applyFill="1" applyBorder="1" applyAlignment="1">
      <alignment horizontal="center" vertical="center"/>
    </xf>
    <xf numFmtId="0" fontId="0" fillId="7" borderId="52" xfId="3" applyFont="1" applyFill="1" applyBorder="1" applyAlignment="1">
      <alignment horizontal="left"/>
    </xf>
    <xf numFmtId="0" fontId="0" fillId="7" borderId="49" xfId="3" applyFont="1" applyFill="1" applyBorder="1" applyAlignment="1">
      <alignment horizontal="left" wrapText="1"/>
    </xf>
    <xf numFmtId="0" fontId="0" fillId="10" borderId="70" xfId="3" applyFont="1" applyFill="1" applyBorder="1" applyAlignment="1">
      <alignment horizontal="left" vertical="center" wrapText="1"/>
    </xf>
    <xf numFmtId="0" fontId="0" fillId="10" borderId="70" xfId="3" applyFont="1" applyFill="1" applyBorder="1" applyAlignment="1">
      <alignment horizontal="justify" vertical="center" wrapText="1"/>
    </xf>
    <xf numFmtId="0" fontId="0" fillId="5" borderId="70" xfId="3" applyFont="1" applyFill="1" applyBorder="1" applyAlignment="1">
      <alignment horizontal="center" vertical="center"/>
    </xf>
    <xf numFmtId="0" fontId="0" fillId="5" borderId="70" xfId="3" applyFont="1" applyFill="1" applyBorder="1" applyAlignment="1">
      <alignment horizontal="center" vertical="center" wrapText="1"/>
    </xf>
    <xf numFmtId="0" fontId="0" fillId="7" borderId="70" xfId="3" applyFont="1" applyFill="1" applyBorder="1" applyAlignment="1">
      <alignment horizontal="left" vertical="center" wrapText="1"/>
    </xf>
    <xf numFmtId="0" fontId="0" fillId="7" borderId="70" xfId="3" applyFont="1" applyFill="1" applyBorder="1" applyAlignment="1">
      <alignment horizontal="left" wrapText="1"/>
    </xf>
    <xf numFmtId="0" fontId="12" fillId="0" borderId="18" xfId="3" applyFont="1"/>
    <xf numFmtId="0" fontId="12" fillId="0" borderId="18" xfId="3" applyFont="1" applyAlignment="1">
      <alignment horizontal="left" vertical="center"/>
    </xf>
    <xf numFmtId="0" fontId="12" fillId="0" borderId="18" xfId="3" applyFont="1" applyAlignment="1">
      <alignment horizontal="center" vertical="center"/>
    </xf>
    <xf numFmtId="0" fontId="12" fillId="0" borderId="18" xfId="3" applyFont="1" applyAlignment="1">
      <alignment horizontal="center"/>
    </xf>
    <xf numFmtId="0" fontId="12" fillId="0" borderId="18" xfId="3" applyFont="1" applyAlignment="1">
      <alignment horizontal="left"/>
    </xf>
    <xf numFmtId="0" fontId="0" fillId="0" borderId="18" xfId="3" applyFont="1" applyAlignment="1">
      <alignment horizontal="left"/>
    </xf>
    <xf numFmtId="0" fontId="75" fillId="21" borderId="70" xfId="1" applyFont="1" applyFill="1" applyBorder="1" applyAlignment="1">
      <alignment horizontal="center" vertical="center" wrapText="1"/>
    </xf>
    <xf numFmtId="0" fontId="58" fillId="19" borderId="70" xfId="2" applyFill="1" applyBorder="1" applyAlignment="1">
      <alignment horizontal="justify" vertical="center" wrapText="1"/>
    </xf>
    <xf numFmtId="49" fontId="58" fillId="19" borderId="70" xfId="2" quotePrefix="1" applyNumberFormat="1" applyFill="1" applyBorder="1" applyAlignment="1">
      <alignment horizontal="left" vertical="center" wrapText="1"/>
    </xf>
    <xf numFmtId="0" fontId="58" fillId="19" borderId="70" xfId="1" applyFont="1" applyFill="1" applyBorder="1" applyAlignment="1">
      <alignment horizontal="justify" vertical="center" wrapText="1"/>
    </xf>
    <xf numFmtId="49" fontId="58" fillId="19" borderId="70" xfId="1" quotePrefix="1" applyNumberFormat="1" applyFont="1" applyFill="1" applyBorder="1" applyAlignment="1">
      <alignment horizontal="left" vertical="center" wrapText="1"/>
    </xf>
    <xf numFmtId="0" fontId="38" fillId="18" borderId="70" xfId="1" applyFont="1" applyFill="1" applyBorder="1" applyAlignment="1">
      <alignment horizontal="center"/>
    </xf>
    <xf numFmtId="0" fontId="62" fillId="18" borderId="70" xfId="1" applyFont="1" applyFill="1" applyBorder="1" applyAlignment="1">
      <alignment horizontal="center" vertical="center" wrapText="1"/>
    </xf>
    <xf numFmtId="0" fontId="34" fillId="19" borderId="70" xfId="1" applyFont="1" applyFill="1" applyBorder="1" applyAlignment="1">
      <alignment horizontal="justify" vertical="center" wrapText="1"/>
    </xf>
    <xf numFmtId="0" fontId="34" fillId="19" borderId="70" xfId="1" quotePrefix="1" applyFont="1" applyFill="1" applyBorder="1" applyAlignment="1">
      <alignment horizontal="justify" vertical="center" wrapText="1"/>
    </xf>
    <xf numFmtId="0" fontId="3" fillId="19" borderId="70" xfId="1" applyFont="1" applyFill="1" applyBorder="1" applyAlignment="1">
      <alignment horizontal="justify" vertical="center" wrapText="1"/>
    </xf>
    <xf numFmtId="0" fontId="34" fillId="19" borderId="70" xfId="1" applyFont="1" applyFill="1" applyBorder="1" applyAlignment="1">
      <alignment horizontal="justify" vertical="top" wrapText="1"/>
    </xf>
    <xf numFmtId="0" fontId="2" fillId="27" borderId="77" xfId="1" applyFill="1" applyBorder="1" applyAlignment="1">
      <alignment horizontal="center" vertical="center"/>
    </xf>
    <xf numFmtId="0" fontId="2" fillId="27" borderId="70" xfId="1" applyFill="1" applyBorder="1" applyAlignment="1">
      <alignment horizontal="center" vertical="center"/>
    </xf>
    <xf numFmtId="0" fontId="2" fillId="0" borderId="18" xfId="1" applyAlignment="1">
      <alignment vertical="center"/>
    </xf>
    <xf numFmtId="0" fontId="34" fillId="24" borderId="70" xfId="1" applyFont="1" applyFill="1" applyBorder="1" applyAlignment="1">
      <alignment horizontal="center" vertical="center" wrapText="1"/>
    </xf>
    <xf numFmtId="0" fontId="34" fillId="24" borderId="70" xfId="1" applyFont="1" applyFill="1" applyBorder="1" applyAlignment="1">
      <alignment horizontal="justify" vertical="center" wrapText="1"/>
    </xf>
    <xf numFmtId="0" fontId="0" fillId="0" borderId="18" xfId="4" applyFont="1" applyAlignment="1"/>
    <xf numFmtId="0" fontId="77" fillId="6" borderId="34" xfId="4" applyFont="1" applyFill="1" applyBorder="1" applyAlignment="1">
      <alignment vertical="top" wrapText="1"/>
    </xf>
    <xf numFmtId="0" fontId="78" fillId="6" borderId="34" xfId="4" applyFont="1" applyFill="1" applyBorder="1" applyAlignment="1">
      <alignment vertical="top" wrapText="1"/>
    </xf>
    <xf numFmtId="0" fontId="79" fillId="5" borderId="34" xfId="4" applyFont="1" applyFill="1" applyBorder="1" applyAlignment="1">
      <alignment horizontal="center" vertical="center" wrapText="1"/>
    </xf>
    <xf numFmtId="0" fontId="80" fillId="8" borderId="30" xfId="4" applyFont="1" applyFill="1" applyBorder="1" applyAlignment="1">
      <alignment horizontal="center" vertical="center"/>
    </xf>
    <xf numFmtId="0" fontId="80" fillId="8" borderId="31" xfId="4" applyFont="1" applyFill="1" applyBorder="1" applyAlignment="1">
      <alignment horizontal="center" vertical="center"/>
    </xf>
    <xf numFmtId="0" fontId="87" fillId="8" borderId="34" xfId="3" applyFont="1" applyFill="1" applyBorder="1" applyAlignment="1">
      <alignment horizontal="center" vertical="center" wrapText="1"/>
    </xf>
    <xf numFmtId="0" fontId="88" fillId="8" borderId="34" xfId="3" applyFont="1" applyFill="1" applyBorder="1" applyAlignment="1">
      <alignment horizontal="center" vertical="center" wrapText="1"/>
    </xf>
    <xf numFmtId="0" fontId="81" fillId="9" borderId="34" xfId="3" applyFont="1" applyFill="1" applyBorder="1" applyAlignment="1">
      <alignment vertical="center" wrapText="1"/>
    </xf>
    <xf numFmtId="0" fontId="81" fillId="9" borderId="34" xfId="3" applyFont="1" applyFill="1" applyBorder="1" applyAlignment="1">
      <alignment horizontal="center" vertical="center" wrapText="1"/>
    </xf>
    <xf numFmtId="0" fontId="81" fillId="6" borderId="34" xfId="3" applyFont="1" applyFill="1" applyBorder="1" applyAlignment="1">
      <alignment horizontal="center" vertical="center"/>
    </xf>
    <xf numFmtId="0" fontId="89" fillId="6" borderId="34" xfId="3" applyFont="1" applyFill="1" applyBorder="1" applyAlignment="1">
      <alignment horizontal="left" vertical="center" wrapText="1"/>
    </xf>
    <xf numFmtId="0" fontId="81" fillId="5" borderId="34" xfId="3" applyFont="1" applyFill="1" applyBorder="1" applyAlignment="1">
      <alignment horizontal="center" vertical="center"/>
    </xf>
    <xf numFmtId="0" fontId="89" fillId="6" borderId="34" xfId="3" quotePrefix="1" applyFont="1" applyFill="1" applyBorder="1" applyAlignment="1">
      <alignment horizontal="left" vertical="center" wrapText="1"/>
    </xf>
    <xf numFmtId="0" fontId="81" fillId="4" borderId="34" xfId="3" applyFont="1" applyFill="1" applyBorder="1" applyAlignment="1">
      <alignment horizontal="center" vertical="center" wrapText="1"/>
    </xf>
    <xf numFmtId="0" fontId="81" fillId="0" borderId="18" xfId="3" applyFont="1" applyAlignment="1">
      <alignment horizontal="center" vertical="center"/>
    </xf>
    <xf numFmtId="0" fontId="87" fillId="8" borderId="114" xfId="3" applyFont="1" applyFill="1" applyBorder="1" applyAlignment="1">
      <alignment horizontal="center"/>
    </xf>
    <xf numFmtId="0" fontId="93" fillId="8" borderId="34" xfId="3" applyFont="1" applyFill="1" applyBorder="1" applyAlignment="1">
      <alignment horizontal="center" vertical="center" wrapText="1"/>
    </xf>
    <xf numFmtId="0" fontId="93" fillId="8" borderId="34" xfId="3" applyFont="1" applyFill="1" applyBorder="1" applyAlignment="1">
      <alignment horizontal="center" vertical="center"/>
    </xf>
    <xf numFmtId="0" fontId="94" fillId="8" borderId="34" xfId="3" applyFont="1" applyFill="1" applyBorder="1" applyAlignment="1">
      <alignment horizontal="center" vertical="center" wrapText="1"/>
    </xf>
    <xf numFmtId="0" fontId="93" fillId="8" borderId="66" xfId="3" applyFont="1" applyFill="1" applyBorder="1" applyAlignment="1">
      <alignment horizontal="center" vertical="center" wrapText="1"/>
    </xf>
    <xf numFmtId="0" fontId="93" fillId="8" borderId="39" xfId="3" applyFont="1" applyFill="1" applyBorder="1" applyAlignment="1">
      <alignment horizontal="center" vertical="center" wrapText="1"/>
    </xf>
    <xf numFmtId="0" fontId="93" fillId="8" borderId="40" xfId="3" applyFont="1" applyFill="1" applyBorder="1" applyAlignment="1">
      <alignment horizontal="center" vertical="center" wrapText="1"/>
    </xf>
    <xf numFmtId="0" fontId="93" fillId="8" borderId="115" xfId="3" applyFont="1" applyFill="1" applyBorder="1" applyAlignment="1">
      <alignment horizontal="center" vertical="center" wrapText="1"/>
    </xf>
    <xf numFmtId="0" fontId="0" fillId="6" borderId="34" xfId="3" applyFont="1" applyFill="1" applyBorder="1" applyAlignment="1">
      <alignment vertical="center" wrapText="1"/>
    </xf>
    <xf numFmtId="0" fontId="0" fillId="6" borderId="34" xfId="3" applyFont="1" applyFill="1" applyBorder="1" applyAlignment="1">
      <alignment horizontal="left" vertical="center" wrapText="1"/>
    </xf>
    <xf numFmtId="2" fontId="0" fillId="10" borderId="34" xfId="3" applyNumberFormat="1" applyFont="1" applyFill="1" applyBorder="1" applyAlignment="1">
      <alignment horizontal="center" vertical="center"/>
    </xf>
    <xf numFmtId="0" fontId="0" fillId="6" borderId="34" xfId="3" quotePrefix="1" applyFont="1" applyFill="1" applyBorder="1" applyAlignment="1">
      <alignment vertical="center" wrapText="1"/>
    </xf>
    <xf numFmtId="164" fontId="0" fillId="6" borderId="34" xfId="3" applyNumberFormat="1" applyFont="1" applyFill="1" applyBorder="1" applyAlignment="1">
      <alignment vertical="center"/>
    </xf>
    <xf numFmtId="0" fontId="0" fillId="7" borderId="56" xfId="3" applyFont="1" applyFill="1" applyBorder="1"/>
    <xf numFmtId="0" fontId="0" fillId="7" borderId="41" xfId="3" applyFont="1" applyFill="1" applyBorder="1"/>
    <xf numFmtId="0" fontId="0" fillId="7" borderId="116" xfId="3" applyFont="1" applyFill="1" applyBorder="1"/>
    <xf numFmtId="0" fontId="0" fillId="7" borderId="117" xfId="3" applyFont="1" applyFill="1" applyBorder="1"/>
    <xf numFmtId="0" fontId="0" fillId="7" borderId="11" xfId="3" applyFont="1" applyFill="1" applyBorder="1"/>
    <xf numFmtId="0" fontId="0" fillId="7" borderId="34" xfId="3" applyFont="1" applyFill="1" applyBorder="1"/>
    <xf numFmtId="0" fontId="0" fillId="7" borderId="44" xfId="3" applyFont="1" applyFill="1" applyBorder="1"/>
    <xf numFmtId="0" fontId="0" fillId="7" borderId="118" xfId="3" applyFont="1" applyFill="1" applyBorder="1"/>
    <xf numFmtId="0" fontId="0" fillId="6" borderId="34" xfId="3" quotePrefix="1" applyFont="1" applyFill="1" applyBorder="1" applyAlignment="1">
      <alignment horizontal="left" vertical="center" wrapText="1"/>
    </xf>
    <xf numFmtId="0" fontId="0" fillId="7" borderId="11" xfId="3" applyFont="1" applyFill="1" applyBorder="1" applyAlignment="1">
      <alignment wrapText="1"/>
    </xf>
    <xf numFmtId="0" fontId="0" fillId="7" borderId="34" xfId="3" applyFont="1" applyFill="1" applyBorder="1" applyAlignment="1">
      <alignment wrapText="1"/>
    </xf>
    <xf numFmtId="0" fontId="0" fillId="7" borderId="44" xfId="3" applyFont="1" applyFill="1" applyBorder="1" applyAlignment="1">
      <alignment wrapText="1"/>
    </xf>
    <xf numFmtId="0" fontId="0" fillId="7" borderId="118" xfId="3" applyFont="1" applyFill="1" applyBorder="1" applyAlignment="1">
      <alignment wrapText="1"/>
    </xf>
    <xf numFmtId="0" fontId="81" fillId="0" borderId="18" xfId="3" applyFont="1" applyAlignment="1">
      <alignment horizontal="left" vertical="center"/>
    </xf>
    <xf numFmtId="0" fontId="81" fillId="0" borderId="18" xfId="3" applyFont="1" applyAlignment="1">
      <alignment horizontal="center"/>
    </xf>
    <xf numFmtId="0" fontId="81" fillId="0" borderId="18" xfId="3" applyFont="1" applyAlignment="1">
      <alignment horizontal="left"/>
    </xf>
    <xf numFmtId="0" fontId="87" fillId="8" borderId="52" xfId="3" applyFont="1" applyFill="1" applyBorder="1" applyAlignment="1">
      <alignment horizontal="center" vertical="center" wrapText="1"/>
    </xf>
    <xf numFmtId="0" fontId="98" fillId="11" borderId="52" xfId="3" applyFont="1" applyFill="1" applyBorder="1" applyAlignment="1">
      <alignment horizontal="center" vertical="center" wrapText="1"/>
    </xf>
    <xf numFmtId="0" fontId="84" fillId="4" borderId="34" xfId="3" applyFont="1" applyFill="1" applyBorder="1" applyAlignment="1">
      <alignment horizontal="center" vertical="center" wrapText="1"/>
    </xf>
    <xf numFmtId="0" fontId="84" fillId="5" borderId="34" xfId="3" applyFont="1" applyFill="1" applyBorder="1" applyAlignment="1">
      <alignment horizontal="center" vertical="center"/>
    </xf>
    <xf numFmtId="0" fontId="84" fillId="4" borderId="34" xfId="3" applyFont="1" applyFill="1" applyBorder="1" applyAlignment="1">
      <alignment horizontal="center" vertical="center"/>
    </xf>
    <xf numFmtId="0" fontId="84" fillId="0" borderId="18" xfId="3" applyFont="1" applyAlignment="1">
      <alignment horizontal="center" vertical="center"/>
    </xf>
    <xf numFmtId="0" fontId="93" fillId="8" borderId="45" xfId="3" applyFont="1" applyFill="1" applyBorder="1" applyAlignment="1">
      <alignment horizontal="center" vertical="center" wrapText="1"/>
    </xf>
    <xf numFmtId="0" fontId="93" fillId="8" borderId="34" xfId="3" applyFont="1" applyFill="1" applyBorder="1" applyAlignment="1">
      <alignment vertical="center" wrapText="1"/>
    </xf>
    <xf numFmtId="0" fontId="93" fillId="8" borderId="44" xfId="3" applyFont="1" applyFill="1" applyBorder="1" applyAlignment="1">
      <alignment horizontal="center" vertical="center" wrapText="1"/>
    </xf>
    <xf numFmtId="0" fontId="0" fillId="10" borderId="34" xfId="3" applyFont="1" applyFill="1" applyBorder="1" applyAlignment="1">
      <alignment vertical="center" wrapText="1"/>
    </xf>
    <xf numFmtId="49" fontId="0" fillId="7" borderId="34" xfId="3" applyNumberFormat="1" applyFont="1" applyFill="1" applyBorder="1" applyAlignment="1">
      <alignment horizontal="left" vertical="center" wrapText="1"/>
    </xf>
    <xf numFmtId="49" fontId="0" fillId="7" borderId="44" xfId="3" applyNumberFormat="1" applyFont="1" applyFill="1" applyBorder="1" applyAlignment="1">
      <alignment horizontal="left" wrapText="1"/>
    </xf>
    <xf numFmtId="0" fontId="0" fillId="15" borderId="34" xfId="3" applyFont="1" applyFill="1" applyBorder="1" applyAlignment="1">
      <alignment horizontal="center" vertical="center"/>
    </xf>
    <xf numFmtId="49" fontId="0" fillId="7" borderId="34" xfId="3" applyNumberFormat="1" applyFont="1" applyFill="1" applyBorder="1" applyAlignment="1">
      <alignment horizontal="left" wrapText="1"/>
    </xf>
    <xf numFmtId="49" fontId="0" fillId="7" borderId="34" xfId="3" applyNumberFormat="1" applyFont="1" applyFill="1" applyBorder="1" applyAlignment="1">
      <alignment horizontal="left"/>
    </xf>
    <xf numFmtId="0" fontId="77" fillId="0" borderId="18" xfId="3" applyFont="1"/>
    <xf numFmtId="0" fontId="77" fillId="0" borderId="18" xfId="3" applyFont="1" applyAlignment="1">
      <alignment vertical="center"/>
    </xf>
    <xf numFmtId="0" fontId="77" fillId="0" borderId="18" xfId="3" applyFont="1" applyAlignment="1">
      <alignment horizontal="center" vertical="center"/>
    </xf>
    <xf numFmtId="0" fontId="77" fillId="0" borderId="18" xfId="3" applyFont="1" applyAlignment="1">
      <alignment horizontal="center"/>
    </xf>
    <xf numFmtId="0" fontId="77" fillId="0" borderId="18" xfId="3" applyFont="1" applyAlignment="1">
      <alignment horizontal="left"/>
    </xf>
    <xf numFmtId="0" fontId="5" fillId="9" borderId="34" xfId="3" applyFont="1" applyFill="1" applyBorder="1" applyAlignment="1">
      <alignment horizontal="center" vertical="center" wrapText="1"/>
    </xf>
    <xf numFmtId="0" fontId="17" fillId="6" borderId="34" xfId="3" applyFont="1" applyFill="1" applyBorder="1" applyAlignment="1">
      <alignment horizontal="left" vertical="center" wrapText="1"/>
    </xf>
    <xf numFmtId="0" fontId="17" fillId="6" borderId="34" xfId="3" applyFont="1" applyFill="1" applyBorder="1" applyAlignment="1">
      <alignment horizontal="justify" vertical="center" wrapText="1"/>
    </xf>
    <xf numFmtId="0" fontId="17" fillId="6" borderId="34" xfId="3" applyFont="1" applyFill="1" applyBorder="1" applyAlignment="1">
      <alignment vertical="center" wrapText="1"/>
    </xf>
    <xf numFmtId="0" fontId="17" fillId="6" borderId="34" xfId="3" quotePrefix="1" applyFont="1" applyFill="1" applyBorder="1" applyAlignment="1">
      <alignment horizontal="justify" vertical="center" wrapText="1"/>
    </xf>
    <xf numFmtId="0" fontId="15" fillId="8" borderId="60" xfId="3" applyFont="1" applyFill="1" applyBorder="1" applyAlignment="1">
      <alignment horizontal="center" vertical="center" wrapText="1"/>
    </xf>
    <xf numFmtId="0" fontId="15" fillId="8" borderId="21" xfId="3" applyFont="1" applyFill="1" applyBorder="1" applyAlignment="1">
      <alignment horizontal="center"/>
    </xf>
    <xf numFmtId="0" fontId="100" fillId="6" borderId="70" xfId="3" applyFont="1" applyFill="1" applyBorder="1" applyAlignment="1">
      <alignment horizontal="left" vertical="center" wrapText="1"/>
    </xf>
    <xf numFmtId="0" fontId="100" fillId="6" borderId="70" xfId="3" applyFont="1" applyFill="1" applyBorder="1" applyAlignment="1">
      <alignment vertical="center" wrapText="1"/>
    </xf>
    <xf numFmtId="0" fontId="0" fillId="6" borderId="70" xfId="3" applyFont="1" applyFill="1" applyBorder="1" applyAlignment="1">
      <alignment wrapText="1"/>
    </xf>
    <xf numFmtId="0" fontId="24" fillId="11" borderId="52" xfId="3" applyFont="1" applyFill="1" applyBorder="1" applyAlignment="1">
      <alignment horizontal="center" vertical="center" wrapText="1"/>
    </xf>
    <xf numFmtId="0" fontId="5" fillId="4" borderId="34" xfId="3" applyFont="1" applyFill="1" applyBorder="1" applyAlignment="1">
      <alignment horizontal="left" vertical="center" wrapText="1"/>
    </xf>
    <xf numFmtId="0" fontId="5" fillId="5" borderId="41" xfId="3" applyFont="1" applyFill="1" applyBorder="1" applyAlignment="1">
      <alignment horizontal="center" vertical="center"/>
    </xf>
    <xf numFmtId="0" fontId="5" fillId="0" borderId="18" xfId="3" applyFont="1" applyAlignment="1">
      <alignment vertical="center"/>
    </xf>
    <xf numFmtId="0" fontId="0" fillId="10" borderId="34" xfId="3" applyFont="1" applyFill="1" applyBorder="1" applyAlignment="1">
      <alignment horizontal="center" vertical="center" wrapText="1"/>
    </xf>
    <xf numFmtId="0" fontId="0" fillId="7" borderId="44" xfId="3" applyFont="1" applyFill="1" applyBorder="1" applyAlignment="1">
      <alignment horizontal="left"/>
    </xf>
    <xf numFmtId="0" fontId="0" fillId="7" borderId="44" xfId="3" applyFont="1" applyFill="1" applyBorder="1" applyAlignment="1">
      <alignment horizontal="left" vertical="center" wrapText="1"/>
    </xf>
    <xf numFmtId="0" fontId="0" fillId="5" borderId="11" xfId="3" applyFont="1" applyFill="1" applyBorder="1" applyAlignment="1">
      <alignment horizontal="center" vertical="center"/>
    </xf>
    <xf numFmtId="0" fontId="2" fillId="0" borderId="18" xfId="1" quotePrefix="1"/>
    <xf numFmtId="0" fontId="58" fillId="19" borderId="70" xfId="2" quotePrefix="1" applyFill="1" applyBorder="1" applyAlignment="1">
      <alignment horizontal="left" vertical="center" wrapText="1"/>
    </xf>
    <xf numFmtId="0" fontId="43" fillId="18" borderId="119" xfId="1" applyFont="1" applyFill="1" applyBorder="1" applyAlignment="1">
      <alignment horizontal="center" vertical="center" wrapText="1"/>
    </xf>
    <xf numFmtId="0" fontId="43" fillId="18" borderId="120" xfId="1" applyFont="1" applyFill="1" applyBorder="1" applyAlignment="1">
      <alignment horizontal="center" vertical="center" wrapText="1"/>
    </xf>
    <xf numFmtId="0" fontId="43" fillId="18" borderId="121" xfId="1" applyFont="1" applyFill="1" applyBorder="1" applyAlignment="1">
      <alignment horizontal="center" vertical="center" wrapText="1"/>
    </xf>
    <xf numFmtId="0" fontId="43" fillId="18" borderId="122" xfId="1" applyFont="1" applyFill="1" applyBorder="1" applyAlignment="1">
      <alignment horizontal="center" vertical="center" wrapText="1"/>
    </xf>
    <xf numFmtId="0" fontId="34" fillId="20" borderId="83" xfId="1" applyFont="1" applyFill="1" applyBorder="1"/>
    <xf numFmtId="0" fontId="34" fillId="20" borderId="77" xfId="1" applyFont="1" applyFill="1" applyBorder="1"/>
    <xf numFmtId="0" fontId="34" fillId="20" borderId="85" xfId="1" applyFont="1" applyFill="1" applyBorder="1"/>
    <xf numFmtId="0" fontId="34" fillId="20" borderId="88" xfId="1" applyFont="1" applyFill="1" applyBorder="1"/>
    <xf numFmtId="0" fontId="34" fillId="20" borderId="102" xfId="1" applyFont="1" applyFill="1" applyBorder="1"/>
    <xf numFmtId="0" fontId="34" fillId="20" borderId="112" xfId="1" applyFont="1" applyFill="1" applyBorder="1"/>
    <xf numFmtId="0" fontId="34" fillId="20" borderId="123" xfId="1" applyFont="1" applyFill="1" applyBorder="1"/>
    <xf numFmtId="49" fontId="3" fillId="19" borderId="70" xfId="1" applyNumberFormat="1" applyFont="1" applyFill="1" applyBorder="1" applyAlignment="1">
      <alignment horizontal="left" vertical="center" wrapText="1"/>
    </xf>
    <xf numFmtId="49" fontId="34" fillId="19" borderId="70" xfId="1" quotePrefix="1" applyNumberFormat="1" applyFont="1" applyFill="1" applyBorder="1" applyAlignment="1">
      <alignment horizontal="justify" vertical="center" wrapText="1"/>
    </xf>
    <xf numFmtId="0" fontId="34" fillId="20" borderId="102" xfId="1" applyFont="1" applyFill="1" applyBorder="1" applyAlignment="1">
      <alignment wrapText="1"/>
    </xf>
    <xf numFmtId="0" fontId="34" fillId="20" borderId="112" xfId="1" applyFont="1" applyFill="1" applyBorder="1" applyAlignment="1">
      <alignment wrapText="1"/>
    </xf>
    <xf numFmtId="0" fontId="34" fillId="20" borderId="123" xfId="1" applyFont="1" applyFill="1" applyBorder="1" applyAlignment="1">
      <alignment wrapText="1"/>
    </xf>
    <xf numFmtId="49" fontId="3" fillId="19" borderId="70" xfId="1" applyNumberFormat="1" applyFont="1" applyFill="1" applyBorder="1" applyAlignment="1">
      <alignment vertical="center" wrapText="1"/>
    </xf>
    <xf numFmtId="49" fontId="3" fillId="19" borderId="70" xfId="1" applyNumberFormat="1" applyFont="1" applyFill="1" applyBorder="1" applyAlignment="1">
      <alignment horizontal="justify" vertical="center" wrapText="1"/>
    </xf>
    <xf numFmtId="49" fontId="34" fillId="19" borderId="70" xfId="1" applyNumberFormat="1" applyFont="1" applyFill="1" applyBorder="1" applyAlignment="1">
      <alignment horizontal="justify" vertical="center" wrapText="1"/>
    </xf>
    <xf numFmtId="14" fontId="34" fillId="19" borderId="70" xfId="1" applyNumberFormat="1" applyFont="1" applyFill="1" applyBorder="1" applyAlignment="1">
      <alignment horizontal="justify" vertical="center"/>
    </xf>
    <xf numFmtId="0" fontId="2" fillId="23" borderId="70" xfId="1" applyFill="1" applyBorder="1" applyAlignment="1">
      <alignment horizontal="left" vertical="center" wrapText="1"/>
    </xf>
    <xf numFmtId="0" fontId="3" fillId="20" borderId="70" xfId="1" quotePrefix="1" applyFont="1" applyFill="1" applyBorder="1" applyAlignment="1">
      <alignment horizontal="left" vertical="center"/>
    </xf>
    <xf numFmtId="0" fontId="3" fillId="20" borderId="112" xfId="1" applyFont="1" applyFill="1" applyBorder="1" applyAlignment="1">
      <alignment horizontal="left" wrapText="1"/>
    </xf>
    <xf numFmtId="0" fontId="53" fillId="0" borderId="18" xfId="1" applyFont="1" applyAlignment="1">
      <alignment horizontal="justify" vertical="center"/>
    </xf>
    <xf numFmtId="49" fontId="58" fillId="6" borderId="34" xfId="3" quotePrefix="1" applyNumberFormat="1" applyFont="1" applyFill="1" applyBorder="1" applyAlignment="1">
      <alignment horizontal="left" vertical="center" wrapText="1"/>
    </xf>
    <xf numFmtId="0" fontId="17" fillId="6" borderId="34" xfId="3" applyFont="1" applyFill="1" applyBorder="1" applyAlignment="1">
      <alignment horizontal="center" vertical="center" wrapText="1"/>
    </xf>
    <xf numFmtId="0" fontId="17" fillId="6" borderId="34" xfId="3" quotePrefix="1" applyFont="1" applyFill="1" applyBorder="1" applyAlignment="1">
      <alignment horizontal="left" vertical="center" wrapText="1"/>
    </xf>
    <xf numFmtId="0" fontId="21" fillId="8" borderId="70" xfId="3" applyFont="1" applyFill="1" applyBorder="1" applyAlignment="1">
      <alignment horizontal="justify" vertical="center" wrapText="1"/>
    </xf>
    <xf numFmtId="0" fontId="3" fillId="6" borderId="70" xfId="3" applyFont="1" applyFill="1" applyBorder="1" applyAlignment="1">
      <alignment horizontal="justify" vertical="center" wrapText="1"/>
    </xf>
    <xf numFmtId="0" fontId="3" fillId="6" borderId="70" xfId="3" applyFont="1" applyFill="1" applyBorder="1" applyAlignment="1">
      <alignment horizontal="left" vertical="center" wrapText="1"/>
    </xf>
    <xf numFmtId="164" fontId="3" fillId="6" borderId="70" xfId="3" applyNumberFormat="1" applyFont="1" applyFill="1" applyBorder="1" applyAlignment="1">
      <alignment vertical="center"/>
    </xf>
    <xf numFmtId="49" fontId="34" fillId="6" borderId="70" xfId="3" quotePrefix="1" applyNumberFormat="1" applyFont="1" applyFill="1" applyBorder="1" applyAlignment="1">
      <alignment horizontal="justify" vertical="center" wrapText="1"/>
    </xf>
    <xf numFmtId="49" fontId="34" fillId="6" borderId="70" xfId="3" applyNumberFormat="1" applyFont="1" applyFill="1" applyBorder="1" applyAlignment="1">
      <alignment horizontal="justify" vertical="center" wrapText="1"/>
    </xf>
    <xf numFmtId="49" fontId="0" fillId="6" borderId="70" xfId="3" applyNumberFormat="1" applyFont="1" applyFill="1" applyBorder="1" applyAlignment="1">
      <alignment horizontal="left" vertical="center" wrapText="1"/>
    </xf>
    <xf numFmtId="49" fontId="34" fillId="6" borderId="70" xfId="3" applyNumberFormat="1" applyFont="1" applyFill="1" applyBorder="1" applyAlignment="1">
      <alignment horizontal="left" vertical="center" wrapText="1"/>
    </xf>
    <xf numFmtId="49" fontId="3" fillId="6" borderId="70" xfId="3" applyNumberFormat="1" applyFont="1" applyFill="1" applyBorder="1" applyAlignment="1">
      <alignment horizontal="left" vertical="center" wrapText="1"/>
    </xf>
    <xf numFmtId="49" fontId="34" fillId="6" borderId="70" xfId="3" quotePrefix="1" applyNumberFormat="1" applyFont="1" applyFill="1" applyBorder="1" applyAlignment="1">
      <alignment horizontal="left" vertical="center" wrapText="1"/>
    </xf>
    <xf numFmtId="0" fontId="5" fillId="0" borderId="18" xfId="3" applyFont="1" applyAlignment="1">
      <alignment horizontal="justify"/>
    </xf>
    <xf numFmtId="0" fontId="0" fillId="0" borderId="18" xfId="3" applyFont="1" applyAlignment="1">
      <alignment horizontal="justify"/>
    </xf>
    <xf numFmtId="0" fontId="34" fillId="5" borderId="34" xfId="3" applyFont="1" applyFill="1" applyBorder="1" applyAlignment="1">
      <alignment horizontal="center" vertical="center" wrapText="1"/>
    </xf>
    <xf numFmtId="0" fontId="80" fillId="8" borderId="30" xfId="3" applyFont="1" applyFill="1" applyBorder="1" applyAlignment="1">
      <alignment horizontal="center" vertical="center"/>
    </xf>
    <xf numFmtId="0" fontId="80" fillId="8" borderId="31" xfId="3" applyFont="1" applyFill="1" applyBorder="1" applyAlignment="1">
      <alignment horizontal="center" vertical="center"/>
    </xf>
    <xf numFmtId="0" fontId="103" fillId="5" borderId="34" xfId="3" applyFont="1" applyFill="1" applyBorder="1" applyAlignment="1">
      <alignment horizontal="center" vertical="center" wrapText="1"/>
    </xf>
    <xf numFmtId="0" fontId="78" fillId="6" borderId="34" xfId="3" applyFont="1" applyFill="1" applyBorder="1" applyAlignment="1">
      <alignment vertical="top" wrapText="1"/>
    </xf>
    <xf numFmtId="0" fontId="77" fillId="6" borderId="34" xfId="3" applyFont="1" applyFill="1" applyBorder="1" applyAlignment="1">
      <alignment vertical="top" wrapText="1"/>
    </xf>
    <xf numFmtId="0" fontId="81" fillId="0" borderId="9" xfId="3" applyFont="1" applyBorder="1" applyAlignment="1">
      <alignment vertical="center" wrapText="1"/>
    </xf>
    <xf numFmtId="0" fontId="81" fillId="0" borderId="18" xfId="3" applyFont="1" applyAlignment="1">
      <alignment vertical="center" wrapText="1"/>
    </xf>
    <xf numFmtId="0" fontId="81" fillId="0" borderId="34" xfId="3" applyFont="1" applyBorder="1" applyAlignment="1">
      <alignment vertical="center" wrapText="1"/>
    </xf>
    <xf numFmtId="0" fontId="0" fillId="4" borderId="34" xfId="3" applyFont="1" applyFill="1" applyBorder="1" applyAlignment="1">
      <alignment horizontal="center" vertical="center"/>
    </xf>
    <xf numFmtId="0" fontId="0" fillId="4" borderId="34" xfId="3" applyFont="1" applyFill="1" applyBorder="1" applyAlignment="1">
      <alignment horizontal="left" vertical="center" wrapText="1"/>
    </xf>
    <xf numFmtId="0" fontId="0" fillId="0" borderId="34" xfId="3" applyFont="1" applyBorder="1" applyAlignment="1">
      <alignment horizontal="center" vertical="center"/>
    </xf>
    <xf numFmtId="1" fontId="0" fillId="10" borderId="34" xfId="3" applyNumberFormat="1" applyFont="1" applyFill="1" applyBorder="1" applyAlignment="1">
      <alignment horizontal="center" vertical="center"/>
    </xf>
    <xf numFmtId="0" fontId="0" fillId="0" borderId="18" xfId="3" applyFont="1"/>
    <xf numFmtId="0" fontId="0" fillId="4" borderId="34" xfId="3" applyFont="1" applyFill="1" applyBorder="1" applyAlignment="1">
      <alignment horizontal="center" vertical="center" wrapText="1"/>
    </xf>
    <xf numFmtId="2" fontId="0" fillId="10" borderId="34" xfId="3" applyNumberFormat="1" applyFont="1" applyFill="1" applyBorder="1" applyAlignment="1">
      <alignment horizontal="center" vertical="center" wrapText="1"/>
    </xf>
    <xf numFmtId="0" fontId="0" fillId="0" borderId="18" xfId="3" applyFont="1" applyAlignment="1">
      <alignment wrapText="1"/>
    </xf>
    <xf numFmtId="0" fontId="0" fillId="10" borderId="45" xfId="3" applyFont="1" applyFill="1" applyBorder="1" applyAlignment="1">
      <alignment horizontal="center" vertical="center"/>
    </xf>
    <xf numFmtId="0" fontId="0" fillId="7" borderId="34" xfId="3" quotePrefix="1" applyFont="1" applyFill="1" applyBorder="1" applyAlignment="1">
      <alignment horizontal="left" vertical="center" wrapText="1"/>
    </xf>
    <xf numFmtId="0" fontId="2" fillId="0" borderId="18" xfId="1" applyAlignment="1">
      <alignment horizontal="center" vertical="center" wrapText="1"/>
    </xf>
    <xf numFmtId="0" fontId="105" fillId="19" borderId="70" xfId="1" applyFont="1" applyFill="1" applyBorder="1" applyAlignment="1">
      <alignment vertical="top" wrapText="1"/>
    </xf>
    <xf numFmtId="0" fontId="102" fillId="19" borderId="70" xfId="1" applyFont="1" applyFill="1" applyBorder="1" applyAlignment="1">
      <alignment vertical="top" wrapText="1"/>
    </xf>
    <xf numFmtId="0" fontId="2" fillId="0" borderId="18" xfId="1" applyAlignment="1">
      <alignment wrapText="1"/>
    </xf>
    <xf numFmtId="0" fontId="2" fillId="19" borderId="70" xfId="1" applyFill="1" applyBorder="1" applyAlignment="1">
      <alignment horizontal="center" vertical="center" wrapText="1"/>
    </xf>
    <xf numFmtId="0" fontId="58" fillId="19" borderId="70" xfId="2" applyFill="1" applyBorder="1" applyAlignment="1">
      <alignment horizontal="center" vertical="center" wrapText="1"/>
    </xf>
    <xf numFmtId="0" fontId="2" fillId="21" borderId="70" xfId="1" applyFill="1" applyBorder="1" applyAlignment="1">
      <alignment horizontal="center" vertical="center" wrapText="1"/>
    </xf>
    <xf numFmtId="0" fontId="58" fillId="19" borderId="70" xfId="1" applyFont="1" applyFill="1" applyBorder="1" applyAlignment="1">
      <alignment horizontal="center" vertical="center" wrapText="1"/>
    </xf>
    <xf numFmtId="0" fontId="34" fillId="23" borderId="70" xfId="1" applyFont="1" applyFill="1" applyBorder="1" applyAlignment="1">
      <alignment horizontal="center" vertical="center"/>
    </xf>
    <xf numFmtId="0" fontId="34" fillId="23" borderId="70" xfId="1" applyFont="1" applyFill="1" applyBorder="1" applyAlignment="1">
      <alignment horizontal="left" vertical="center" wrapText="1"/>
    </xf>
    <xf numFmtId="0" fontId="34" fillId="0" borderId="70" xfId="1" applyFont="1" applyBorder="1" applyAlignment="1">
      <alignment horizontal="center" vertical="center"/>
    </xf>
    <xf numFmtId="1" fontId="34" fillId="24" borderId="70" xfId="1" applyNumberFormat="1" applyFont="1" applyFill="1" applyBorder="1" applyAlignment="1">
      <alignment horizontal="center" vertical="center"/>
    </xf>
    <xf numFmtId="0" fontId="34" fillId="23" borderId="70" xfId="1" applyFont="1" applyFill="1" applyBorder="1" applyAlignment="1">
      <alignment horizontal="center" vertical="center" wrapText="1"/>
    </xf>
    <xf numFmtId="2" fontId="34" fillId="24" borderId="70" xfId="1" applyNumberFormat="1" applyFont="1" applyFill="1" applyBorder="1" applyAlignment="1">
      <alignment horizontal="center" vertical="center" wrapText="1"/>
    </xf>
    <xf numFmtId="0" fontId="3" fillId="23" borderId="70" xfId="1" applyFont="1" applyFill="1" applyBorder="1" applyAlignment="1">
      <alignment horizontal="center" vertical="center" wrapText="1"/>
    </xf>
    <xf numFmtId="0" fontId="34" fillId="24" borderId="111" xfId="1" applyFont="1" applyFill="1" applyBorder="1" applyAlignment="1">
      <alignment horizontal="center" vertical="center"/>
    </xf>
    <xf numFmtId="0" fontId="34" fillId="24" borderId="70" xfId="1" quotePrefix="1" applyNumberFormat="1" applyFont="1" applyFill="1" applyBorder="1" applyAlignment="1">
      <alignment horizontal="left" vertical="center" wrapText="1"/>
    </xf>
    <xf numFmtId="0" fontId="34" fillId="24" borderId="70" xfId="1" quotePrefix="1" applyFont="1" applyFill="1" applyBorder="1" applyAlignment="1">
      <alignment horizontal="left" vertical="center" wrapText="1"/>
    </xf>
    <xf numFmtId="0" fontId="43" fillId="18" borderId="128" xfId="1" applyFont="1" applyFill="1" applyBorder="1" applyAlignment="1">
      <alignment horizontal="center" vertical="center" wrapText="1"/>
    </xf>
    <xf numFmtId="0" fontId="43" fillId="18" borderId="120" xfId="1" applyFont="1" applyFill="1" applyBorder="1" applyAlignment="1">
      <alignment horizontal="center" vertical="center"/>
    </xf>
    <xf numFmtId="0" fontId="43" fillId="18" borderId="129" xfId="1" applyFont="1" applyFill="1" applyBorder="1" applyAlignment="1">
      <alignment horizontal="center" vertical="center" wrapText="1"/>
    </xf>
    <xf numFmtId="0" fontId="62" fillId="18" borderId="120" xfId="1" applyFont="1" applyFill="1" applyBorder="1" applyAlignment="1">
      <alignment horizontal="center" vertical="center" wrapText="1"/>
    </xf>
    <xf numFmtId="0" fontId="34" fillId="23" borderId="124" xfId="1" applyFont="1" applyFill="1" applyBorder="1" applyAlignment="1">
      <alignment horizontal="center" vertical="center"/>
    </xf>
    <xf numFmtId="0" fontId="34" fillId="23" borderId="76" xfId="1" applyFont="1" applyFill="1" applyBorder="1" applyAlignment="1">
      <alignment horizontal="left" vertical="center" wrapText="1"/>
    </xf>
    <xf numFmtId="0" fontId="34" fillId="21" borderId="76" xfId="1" applyFont="1" applyFill="1" applyBorder="1" applyAlignment="1">
      <alignment horizontal="center" vertical="center" wrapText="1"/>
    </xf>
    <xf numFmtId="0" fontId="34" fillId="23" borderId="76" xfId="1" applyFont="1" applyFill="1" applyBorder="1" applyAlignment="1">
      <alignment horizontal="center" vertical="center"/>
    </xf>
    <xf numFmtId="0" fontId="34" fillId="0" borderId="130" xfId="1" applyFont="1" applyBorder="1" applyAlignment="1">
      <alignment horizontal="center" vertical="center"/>
    </xf>
    <xf numFmtId="0" fontId="34" fillId="21" borderId="131" xfId="1" applyFont="1" applyFill="1" applyBorder="1" applyAlignment="1">
      <alignment horizontal="center" vertical="center"/>
    </xf>
    <xf numFmtId="0" fontId="3" fillId="19" borderId="83" xfId="1" applyFont="1" applyFill="1" applyBorder="1" applyAlignment="1">
      <alignment horizontal="left" vertical="center" wrapText="1"/>
    </xf>
    <xf numFmtId="0" fontId="34" fillId="24" borderId="77" xfId="1" applyFont="1" applyFill="1" applyBorder="1" applyAlignment="1">
      <alignment horizontal="center" vertical="center"/>
    </xf>
    <xf numFmtId="2" fontId="34" fillId="24" borderId="77" xfId="1" applyNumberFormat="1" applyFont="1" applyFill="1" applyBorder="1" applyAlignment="1">
      <alignment horizontal="center" vertical="center"/>
    </xf>
    <xf numFmtId="2" fontId="34" fillId="24" borderId="85" xfId="1" applyNumberFormat="1" applyFont="1" applyFill="1" applyBorder="1" applyAlignment="1">
      <alignment horizontal="center" vertical="center"/>
    </xf>
    <xf numFmtId="2" fontId="34" fillId="24" borderId="93" xfId="1" applyNumberFormat="1" applyFont="1" applyFill="1" applyBorder="1" applyAlignment="1">
      <alignment horizontal="center" vertical="center"/>
    </xf>
    <xf numFmtId="2" fontId="34" fillId="24" borderId="76" xfId="1" applyNumberFormat="1" applyFont="1" applyFill="1" applyBorder="1" applyAlignment="1">
      <alignment horizontal="center" vertical="center"/>
    </xf>
    <xf numFmtId="1" fontId="34" fillId="24" borderId="76" xfId="1" applyNumberFormat="1" applyFont="1" applyFill="1" applyBorder="1" applyAlignment="1">
      <alignment horizontal="center" vertical="center"/>
    </xf>
    <xf numFmtId="0" fontId="34" fillId="19" borderId="83" xfId="1" applyFont="1" applyFill="1" applyBorder="1" applyAlignment="1">
      <alignment horizontal="left" vertical="center" wrapText="1"/>
    </xf>
    <xf numFmtId="0" fontId="34" fillId="19" borderId="77" xfId="1" quotePrefix="1" applyFont="1" applyFill="1" applyBorder="1" applyAlignment="1">
      <alignment vertical="center" wrapText="1"/>
    </xf>
    <xf numFmtId="14" fontId="34" fillId="19" borderId="77" xfId="1" applyNumberFormat="1" applyFont="1" applyFill="1" applyBorder="1" applyAlignment="1">
      <alignment vertical="center"/>
    </xf>
    <xf numFmtId="0" fontId="34" fillId="19" borderId="85" xfId="1" applyFont="1" applyFill="1" applyBorder="1" applyAlignment="1">
      <alignment vertical="center" wrapText="1"/>
    </xf>
    <xf numFmtId="0" fontId="34" fillId="23" borderId="89" xfId="1" applyFont="1" applyFill="1" applyBorder="1" applyAlignment="1">
      <alignment horizontal="center" vertical="center" wrapText="1"/>
    </xf>
    <xf numFmtId="0" fontId="34" fillId="23" borderId="75" xfId="1" applyFont="1" applyFill="1" applyBorder="1" applyAlignment="1">
      <alignment horizontal="left" vertical="center" wrapText="1"/>
    </xf>
    <xf numFmtId="0" fontId="34" fillId="21" borderId="75" xfId="1" applyFont="1" applyFill="1" applyBorder="1" applyAlignment="1">
      <alignment horizontal="center" vertical="center" wrapText="1"/>
    </xf>
    <xf numFmtId="0" fontId="34" fillId="23" borderId="75" xfId="1" applyFont="1" applyFill="1" applyBorder="1" applyAlignment="1">
      <alignment horizontal="center" vertical="center"/>
    </xf>
    <xf numFmtId="0" fontId="34" fillId="23" borderId="75" xfId="1" applyFont="1" applyFill="1" applyBorder="1" applyAlignment="1">
      <alignment horizontal="center" vertical="center" wrapText="1"/>
    </xf>
    <xf numFmtId="0" fontId="34" fillId="0" borderId="90" xfId="1" applyFont="1" applyBorder="1" applyAlignment="1">
      <alignment horizontal="center" vertical="center"/>
    </xf>
    <xf numFmtId="0" fontId="34" fillId="21" borderId="91" xfId="1" applyFont="1" applyFill="1" applyBorder="1" applyAlignment="1">
      <alignment horizontal="center" vertical="center" wrapText="1"/>
    </xf>
    <xf numFmtId="0" fontId="3" fillId="19" borderId="102" xfId="1" applyFont="1" applyFill="1" applyBorder="1" applyAlignment="1">
      <alignment horizontal="left" vertical="center" wrapText="1"/>
    </xf>
    <xf numFmtId="2" fontId="34" fillId="24" borderId="112" xfId="1" applyNumberFormat="1" applyFont="1" applyFill="1" applyBorder="1" applyAlignment="1">
      <alignment horizontal="center" vertical="center"/>
    </xf>
    <xf numFmtId="2" fontId="34" fillId="24" borderId="80" xfId="1" applyNumberFormat="1" applyFont="1" applyFill="1" applyBorder="1" applyAlignment="1">
      <alignment horizontal="center" vertical="center" wrapText="1"/>
    </xf>
    <xf numFmtId="2" fontId="34" fillId="24" borderId="75" xfId="1" applyNumberFormat="1" applyFont="1" applyFill="1" applyBorder="1" applyAlignment="1">
      <alignment horizontal="center" vertical="center" wrapText="1"/>
    </xf>
    <xf numFmtId="1" fontId="34" fillId="24" borderId="75" xfId="1" applyNumberFormat="1" applyFont="1" applyFill="1" applyBorder="1" applyAlignment="1">
      <alignment horizontal="center" vertical="center"/>
    </xf>
    <xf numFmtId="2" fontId="34" fillId="24" borderId="75" xfId="1" applyNumberFormat="1" applyFont="1" applyFill="1" applyBorder="1" applyAlignment="1">
      <alignment horizontal="center" vertical="center"/>
    </xf>
    <xf numFmtId="0" fontId="34" fillId="19" borderId="102" xfId="1" quotePrefix="1" applyFont="1" applyFill="1" applyBorder="1" applyAlignment="1">
      <alignment horizontal="left" vertical="center" wrapText="1"/>
    </xf>
    <xf numFmtId="0" fontId="34" fillId="19" borderId="102" xfId="1" applyFont="1" applyFill="1" applyBorder="1" applyAlignment="1">
      <alignment vertical="center" wrapText="1"/>
    </xf>
    <xf numFmtId="0" fontId="34" fillId="19" borderId="75" xfId="1" applyFont="1" applyFill="1" applyBorder="1" applyAlignment="1">
      <alignment horizontal="left" vertical="center" wrapText="1"/>
    </xf>
    <xf numFmtId="0" fontId="34" fillId="19" borderId="112" xfId="1" applyFont="1" applyFill="1" applyBorder="1" applyAlignment="1">
      <alignment vertical="center" wrapText="1"/>
    </xf>
    <xf numFmtId="0" fontId="3" fillId="23" borderId="89" xfId="1" applyFont="1" applyFill="1" applyBorder="1" applyAlignment="1">
      <alignment horizontal="center" vertical="center" wrapText="1"/>
    </xf>
    <xf numFmtId="0" fontId="34" fillId="19" borderId="102" xfId="1" applyFont="1" applyFill="1" applyBorder="1" applyAlignment="1">
      <alignment horizontal="left" vertical="center" wrapText="1"/>
    </xf>
    <xf numFmtId="0" fontId="34" fillId="23" borderId="132" xfId="1" applyFont="1" applyFill="1" applyBorder="1" applyAlignment="1">
      <alignment horizontal="center" vertical="center" wrapText="1"/>
    </xf>
    <xf numFmtId="0" fontId="34" fillId="23" borderId="78" xfId="1" applyFont="1" applyFill="1" applyBorder="1" applyAlignment="1">
      <alignment horizontal="left" vertical="center" wrapText="1"/>
    </xf>
    <xf numFmtId="0" fontId="3" fillId="19" borderId="102" xfId="1" quotePrefix="1" applyFont="1" applyFill="1" applyBorder="1" applyAlignment="1">
      <alignment vertical="center" wrapText="1"/>
    </xf>
    <xf numFmtId="0" fontId="3" fillId="19" borderId="112" xfId="1" quotePrefix="1" applyFont="1" applyFill="1" applyBorder="1" applyAlignment="1">
      <alignment vertical="center" wrapText="1"/>
    </xf>
    <xf numFmtId="0" fontId="2" fillId="21" borderId="77" xfId="1" applyFill="1" applyBorder="1" applyAlignment="1">
      <alignment horizontal="center" vertical="center"/>
    </xf>
    <xf numFmtId="0" fontId="2" fillId="21" borderId="70" xfId="1" applyFill="1" applyBorder="1"/>
    <xf numFmtId="0" fontId="34" fillId="24" borderId="70" xfId="1" quotePrefix="1" applyNumberFormat="1" applyFont="1" applyFill="1" applyBorder="1" applyAlignment="1">
      <alignment horizontal="center" vertical="center" wrapText="1"/>
    </xf>
    <xf numFmtId="0" fontId="34" fillId="24" borderId="70" xfId="1" quotePrefix="1" applyFont="1" applyFill="1" applyBorder="1" applyAlignment="1">
      <alignment horizontal="center" vertical="center" wrapText="1"/>
    </xf>
    <xf numFmtId="0" fontId="34" fillId="20" borderId="112" xfId="1" applyFont="1" applyFill="1" applyBorder="1" applyAlignment="1">
      <alignment horizontal="left"/>
    </xf>
    <xf numFmtId="0" fontId="34" fillId="20" borderId="70" xfId="1" quotePrefix="1" applyFont="1" applyFill="1" applyBorder="1" applyAlignment="1">
      <alignment horizontal="left" wrapText="1"/>
    </xf>
    <xf numFmtId="0" fontId="34" fillId="20" borderId="112" xfId="1" applyFont="1" applyFill="1" applyBorder="1" applyAlignment="1">
      <alignment horizontal="left" vertical="center" wrapText="1"/>
    </xf>
    <xf numFmtId="0" fontId="3" fillId="20" borderId="112" xfId="1" applyFont="1" applyFill="1" applyBorder="1" applyAlignment="1">
      <alignment horizontal="left" vertical="center" wrapText="1"/>
    </xf>
    <xf numFmtId="0" fontId="0" fillId="0" borderId="18" xfId="3" applyFont="1" applyAlignment="1"/>
    <xf numFmtId="0" fontId="40" fillId="0" borderId="70" xfId="5" applyFont="1" applyBorder="1" applyAlignment="1">
      <alignment vertical="top" wrapText="1"/>
    </xf>
    <xf numFmtId="0" fontId="41" fillId="0" borderId="70" xfId="5" applyFont="1" applyBorder="1" applyAlignment="1">
      <alignment vertical="top" wrapText="1"/>
    </xf>
    <xf numFmtId="0" fontId="1" fillId="0" borderId="18" xfId="5" applyAlignment="1">
      <alignment vertical="top" wrapText="1"/>
    </xf>
    <xf numFmtId="0" fontId="38" fillId="18" borderId="88" xfId="5" applyFont="1" applyFill="1" applyBorder="1" applyAlignment="1">
      <alignment horizontal="center" vertical="top" wrapText="1"/>
    </xf>
    <xf numFmtId="0" fontId="43" fillId="18" borderId="89" xfId="5" applyFont="1" applyFill="1" applyBorder="1" applyAlignment="1">
      <alignment horizontal="center" vertical="center" wrapText="1"/>
    </xf>
    <xf numFmtId="0" fontId="43" fillId="18" borderId="75" xfId="5" applyFont="1" applyFill="1" applyBorder="1" applyAlignment="1">
      <alignment horizontal="center" vertical="center" wrapText="1"/>
    </xf>
    <xf numFmtId="0" fontId="43" fillId="18" borderId="90" xfId="5" applyFont="1" applyFill="1" applyBorder="1" applyAlignment="1">
      <alignment horizontal="center" vertical="center" wrapText="1"/>
    </xf>
    <xf numFmtId="0" fontId="43" fillId="18" borderId="78" xfId="5" applyFont="1" applyFill="1" applyBorder="1" applyAlignment="1">
      <alignment horizontal="center" vertical="center" wrapText="1"/>
    </xf>
    <xf numFmtId="0" fontId="43" fillId="18" borderId="91" xfId="5" applyFont="1" applyFill="1" applyBorder="1" applyAlignment="1">
      <alignment horizontal="center" vertical="center" wrapText="1"/>
    </xf>
    <xf numFmtId="0" fontId="1" fillId="0" borderId="18" xfId="5" applyAlignment="1">
      <alignment vertical="center" wrapText="1"/>
    </xf>
    <xf numFmtId="0" fontId="1" fillId="19" borderId="70" xfId="5" applyFill="1" applyBorder="1" applyAlignment="1">
      <alignment horizontal="center" vertical="center"/>
    </xf>
    <xf numFmtId="49" fontId="58" fillId="24" borderId="75" xfId="2" quotePrefix="1" applyNumberFormat="1" applyFill="1" applyBorder="1" applyAlignment="1">
      <alignment horizontal="center" vertical="center" wrapText="1"/>
    </xf>
    <xf numFmtId="0" fontId="34" fillId="24" borderId="75" xfId="5" applyFont="1" applyFill="1" applyBorder="1" applyAlignment="1">
      <alignment horizontal="center" vertical="center" wrapText="1"/>
    </xf>
    <xf numFmtId="0" fontId="64" fillId="0" borderId="70" xfId="5" applyFont="1" applyBorder="1" applyAlignment="1">
      <alignment horizontal="center" vertical="center"/>
    </xf>
    <xf numFmtId="0" fontId="1" fillId="24" borderId="70" xfId="5" applyFill="1" applyBorder="1" applyAlignment="1">
      <alignment horizontal="center" vertical="center" wrapText="1"/>
    </xf>
    <xf numFmtId="2" fontId="34" fillId="24" borderId="70" xfId="5" applyNumberFormat="1" applyFont="1" applyFill="1" applyBorder="1" applyAlignment="1">
      <alignment horizontal="center" vertical="center"/>
    </xf>
    <xf numFmtId="0" fontId="29" fillId="0" borderId="70" xfId="5" applyFont="1" applyBorder="1" applyAlignment="1">
      <alignment horizontal="center" vertical="center"/>
    </xf>
    <xf numFmtId="0" fontId="34" fillId="24" borderId="70" xfId="5" applyFont="1" applyFill="1" applyBorder="1" applyAlignment="1">
      <alignment horizontal="left" vertical="center" wrapText="1"/>
    </xf>
    <xf numFmtId="0" fontId="34" fillId="24" borderId="70" xfId="5" quotePrefix="1" applyFont="1" applyFill="1" applyBorder="1" applyAlignment="1">
      <alignment vertical="center" wrapText="1"/>
    </xf>
    <xf numFmtId="14" fontId="34" fillId="24" borderId="70" xfId="5" applyNumberFormat="1" applyFont="1" applyFill="1" applyBorder="1" applyAlignment="1">
      <alignment vertical="center"/>
    </xf>
    <xf numFmtId="0" fontId="34" fillId="24" borderId="70" xfId="5" applyFont="1" applyFill="1" applyBorder="1" applyAlignment="1">
      <alignment vertical="center" wrapText="1"/>
    </xf>
    <xf numFmtId="0" fontId="34" fillId="22" borderId="70" xfId="5" applyFont="1" applyFill="1" applyBorder="1" applyAlignment="1">
      <alignment vertical="top" wrapText="1"/>
    </xf>
    <xf numFmtId="0" fontId="58" fillId="19" borderId="70" xfId="5" applyFont="1" applyFill="1" applyBorder="1" applyAlignment="1">
      <alignment horizontal="left" vertical="center" wrapText="1"/>
    </xf>
    <xf numFmtId="0" fontId="58" fillId="19" borderId="70" xfId="5" quotePrefix="1" applyFont="1" applyFill="1" applyBorder="1" applyAlignment="1">
      <alignment horizontal="justify" vertical="center" wrapText="1"/>
    </xf>
    <xf numFmtId="0" fontId="1" fillId="24" borderId="75" xfId="5" applyFill="1" applyBorder="1" applyAlignment="1">
      <alignment horizontal="center" vertical="center" wrapText="1"/>
    </xf>
    <xf numFmtId="0" fontId="34" fillId="24" borderId="111" xfId="5" applyFont="1" applyFill="1" applyBorder="1" applyAlignment="1">
      <alignment vertical="center" wrapText="1"/>
    </xf>
    <xf numFmtId="0" fontId="34" fillId="24" borderId="112" xfId="5" quotePrefix="1" applyFont="1" applyFill="1" applyBorder="1" applyAlignment="1">
      <alignment vertical="center" wrapText="1"/>
    </xf>
    <xf numFmtId="0" fontId="1" fillId="22" borderId="70" xfId="5" applyFill="1" applyBorder="1" applyAlignment="1">
      <alignment vertical="top" wrapText="1"/>
    </xf>
    <xf numFmtId="0" fontId="40" fillId="0" borderId="70" xfId="6" applyFont="1" applyBorder="1" applyAlignment="1">
      <alignment vertical="top" wrapText="1"/>
    </xf>
    <xf numFmtId="0" fontId="41" fillId="0" borderId="70" xfId="6" applyFont="1" applyBorder="1" applyAlignment="1">
      <alignment vertical="top" wrapText="1"/>
    </xf>
    <xf numFmtId="0" fontId="47" fillId="0" borderId="18" xfId="6" applyAlignment="1">
      <alignment vertical="top" wrapText="1"/>
    </xf>
    <xf numFmtId="0" fontId="38" fillId="18" borderId="88" xfId="6" applyFont="1" applyFill="1" applyBorder="1" applyAlignment="1">
      <alignment horizontal="center" vertical="top" wrapText="1"/>
    </xf>
    <xf numFmtId="0" fontId="43" fillId="18" borderId="89" xfId="6" applyFont="1" applyFill="1" applyBorder="1" applyAlignment="1">
      <alignment horizontal="center" vertical="top" wrapText="1"/>
    </xf>
    <xf numFmtId="0" fontId="43" fillId="18" borderId="75" xfId="6" applyFont="1" applyFill="1" applyBorder="1" applyAlignment="1">
      <alignment horizontal="center" vertical="top" wrapText="1"/>
    </xf>
    <xf numFmtId="0" fontId="43" fillId="18" borderId="90" xfId="6" applyFont="1" applyFill="1" applyBorder="1" applyAlignment="1">
      <alignment horizontal="center" vertical="top" wrapText="1"/>
    </xf>
    <xf numFmtId="0" fontId="43" fillId="18" borderId="78" xfId="6" applyFont="1" applyFill="1" applyBorder="1" applyAlignment="1">
      <alignment horizontal="center" vertical="top" wrapText="1"/>
    </xf>
    <xf numFmtId="0" fontId="43" fillId="18" borderId="89" xfId="6" applyFont="1" applyFill="1" applyBorder="1" applyAlignment="1">
      <alignment horizontal="center" vertical="center" wrapText="1"/>
    </xf>
    <xf numFmtId="0" fontId="43" fillId="18" borderId="75" xfId="6" applyFont="1" applyFill="1" applyBorder="1" applyAlignment="1">
      <alignment horizontal="center" vertical="center" wrapText="1"/>
    </xf>
    <xf numFmtId="0" fontId="43" fillId="18" borderId="90" xfId="6" applyFont="1" applyFill="1" applyBorder="1" applyAlignment="1">
      <alignment horizontal="center" vertical="center" wrapText="1"/>
    </xf>
    <xf numFmtId="0" fontId="43" fillId="18" borderId="91" xfId="6" applyFont="1" applyFill="1" applyBorder="1" applyAlignment="1">
      <alignment horizontal="center" vertical="top" wrapText="1"/>
    </xf>
    <xf numFmtId="0" fontId="5" fillId="6" borderId="34" xfId="6" applyFont="1" applyFill="1" applyBorder="1" applyAlignment="1">
      <alignment horizontal="center" vertical="center"/>
    </xf>
    <xf numFmtId="49" fontId="17" fillId="6" borderId="34" xfId="6" applyNumberFormat="1" applyFont="1" applyFill="1" applyBorder="1" applyAlignment="1">
      <alignment horizontal="left" vertical="center" wrapText="1"/>
    </xf>
    <xf numFmtId="49" fontId="17" fillId="6" borderId="34" xfId="6" quotePrefix="1" applyNumberFormat="1" applyFont="1" applyFill="1" applyBorder="1" applyAlignment="1">
      <alignment horizontal="left" vertical="center" wrapText="1"/>
    </xf>
    <xf numFmtId="0" fontId="34" fillId="0" borderId="70" xfId="6" applyFont="1" applyBorder="1" applyAlignment="1">
      <alignment horizontal="center" vertical="center" wrapText="1"/>
    </xf>
    <xf numFmtId="0" fontId="34" fillId="0" borderId="70" xfId="6" applyFont="1" applyBorder="1" applyAlignment="1">
      <alignment horizontal="center" vertical="center"/>
    </xf>
    <xf numFmtId="2" fontId="34" fillId="0" borderId="70" xfId="6" applyNumberFormat="1" applyFont="1" applyBorder="1" applyAlignment="1">
      <alignment horizontal="center" vertical="center" wrapText="1"/>
    </xf>
    <xf numFmtId="0" fontId="34" fillId="0" borderId="70" xfId="6" applyFont="1" applyBorder="1" applyAlignment="1">
      <alignment vertical="center" wrapText="1"/>
    </xf>
    <xf numFmtId="0" fontId="34" fillId="19" borderId="70" xfId="6" applyFont="1" applyFill="1" applyBorder="1" applyAlignment="1">
      <alignment horizontal="left" vertical="center" wrapText="1"/>
    </xf>
    <xf numFmtId="0" fontId="34" fillId="19" borderId="70" xfId="6" quotePrefix="1" applyFont="1" applyFill="1" applyBorder="1" applyAlignment="1">
      <alignment vertical="center" wrapText="1"/>
    </xf>
    <xf numFmtId="14" fontId="34" fillId="19" borderId="70" xfId="6" applyNumberFormat="1" applyFont="1" applyFill="1" applyBorder="1" applyAlignment="1">
      <alignment vertical="center" wrapText="1"/>
    </xf>
    <xf numFmtId="0" fontId="34" fillId="19" borderId="70" xfId="6" applyFont="1" applyFill="1" applyBorder="1" applyAlignment="1">
      <alignment vertical="center" wrapText="1"/>
    </xf>
    <xf numFmtId="0" fontId="34" fillId="20" borderId="70" xfId="6" applyFont="1" applyFill="1" applyBorder="1" applyAlignment="1">
      <alignment vertical="top" wrapText="1"/>
    </xf>
    <xf numFmtId="0" fontId="34" fillId="6" borderId="70" xfId="6" applyFont="1" applyFill="1" applyBorder="1" applyAlignment="1">
      <alignment horizontal="left" vertical="center" wrapText="1"/>
    </xf>
    <xf numFmtId="0" fontId="34" fillId="6" borderId="70" xfId="6" applyFont="1" applyFill="1" applyBorder="1" applyAlignment="1">
      <alignment vertical="center" wrapText="1"/>
    </xf>
    <xf numFmtId="164" fontId="0" fillId="6" borderId="70" xfId="6" applyNumberFormat="1" applyFont="1" applyFill="1" applyBorder="1" applyAlignment="1">
      <alignment vertical="center"/>
    </xf>
    <xf numFmtId="0" fontId="5" fillId="6" borderId="52" xfId="6" applyFont="1" applyFill="1" applyBorder="1" applyAlignment="1">
      <alignment horizontal="center" vertical="center"/>
    </xf>
    <xf numFmtId="49" fontId="17" fillId="6" borderId="52" xfId="6" applyNumberFormat="1" applyFont="1" applyFill="1" applyBorder="1" applyAlignment="1">
      <alignment horizontal="left" vertical="center" wrapText="1"/>
    </xf>
    <xf numFmtId="49" fontId="17" fillId="6" borderId="52" xfId="6" quotePrefix="1" applyNumberFormat="1" applyFont="1" applyFill="1" applyBorder="1" applyAlignment="1">
      <alignment horizontal="left" vertical="center" wrapText="1"/>
    </xf>
    <xf numFmtId="0" fontId="34" fillId="0" borderId="75" xfId="6" applyFont="1" applyBorder="1" applyAlignment="1">
      <alignment horizontal="center" vertical="center" wrapText="1"/>
    </xf>
    <xf numFmtId="0" fontId="34" fillId="0" borderId="75" xfId="6" applyFont="1" applyBorder="1" applyAlignment="1">
      <alignment horizontal="center" vertical="center"/>
    </xf>
    <xf numFmtId="2" fontId="34" fillId="0" borderId="75" xfId="6" applyNumberFormat="1" applyFont="1" applyBorder="1" applyAlignment="1">
      <alignment horizontal="center" vertical="center" wrapText="1"/>
    </xf>
    <xf numFmtId="0" fontId="34" fillId="0" borderId="75" xfId="6" applyFont="1" applyBorder="1" applyAlignment="1">
      <alignment vertical="center" wrapText="1"/>
    </xf>
    <xf numFmtId="0" fontId="34" fillId="6" borderId="75" xfId="6" applyFont="1" applyFill="1" applyBorder="1" applyAlignment="1">
      <alignment horizontal="left" vertical="center" wrapText="1"/>
    </xf>
    <xf numFmtId="0" fontId="0" fillId="6" borderId="70" xfId="6" applyFont="1" applyFill="1" applyBorder="1" applyAlignment="1">
      <alignment vertical="center" wrapText="1"/>
    </xf>
    <xf numFmtId="0" fontId="1" fillId="19" borderId="70" xfId="5" applyFill="1" applyBorder="1" applyAlignment="1">
      <alignment horizontal="left" vertical="center" wrapText="1"/>
    </xf>
    <xf numFmtId="0" fontId="48" fillId="30" borderId="75" xfId="5" applyFont="1" applyFill="1" applyBorder="1" applyAlignment="1">
      <alignment horizontal="center" vertical="center" wrapText="1"/>
    </xf>
    <xf numFmtId="0" fontId="1" fillId="24" borderId="70" xfId="5" applyFill="1" applyBorder="1" applyAlignment="1">
      <alignment vertical="center" wrapText="1"/>
    </xf>
    <xf numFmtId="0" fontId="1" fillId="19" borderId="70" xfId="5" applyFill="1" applyBorder="1" applyAlignment="1">
      <alignment horizontal="center" vertical="center" wrapText="1"/>
    </xf>
    <xf numFmtId="0" fontId="48" fillId="31" borderId="70" xfId="5" applyFont="1" applyFill="1" applyBorder="1" applyAlignment="1">
      <alignment horizontal="center" vertical="center" wrapText="1"/>
    </xf>
    <xf numFmtId="0" fontId="82" fillId="0" borderId="34" xfId="3" applyFont="1" applyBorder="1" applyAlignment="1">
      <alignment vertical="top" wrapText="1"/>
    </xf>
    <xf numFmtId="0" fontId="99" fillId="0" borderId="34" xfId="3" applyFont="1" applyBorder="1" applyAlignment="1">
      <alignment vertical="top" wrapText="1"/>
    </xf>
    <xf numFmtId="0" fontId="81" fillId="0" borderId="18" xfId="3" applyFont="1" applyAlignment="1">
      <alignment vertical="top" wrapText="1"/>
    </xf>
    <xf numFmtId="0" fontId="87" fillId="8" borderId="117" xfId="3" applyFont="1" applyFill="1" applyBorder="1" applyAlignment="1">
      <alignment horizontal="center" vertical="top" wrapText="1"/>
    </xf>
    <xf numFmtId="0" fontId="93" fillId="8" borderId="48" xfId="3" applyFont="1" applyFill="1" applyBorder="1" applyAlignment="1">
      <alignment horizontal="center" vertical="center" wrapText="1"/>
    </xf>
    <xf numFmtId="0" fontId="93" fillId="8" borderId="52" xfId="3" applyFont="1" applyFill="1" applyBorder="1" applyAlignment="1">
      <alignment horizontal="center" vertical="center" wrapText="1"/>
    </xf>
    <xf numFmtId="0" fontId="93" fillId="8" borderId="49" xfId="3" applyFont="1" applyFill="1" applyBorder="1" applyAlignment="1">
      <alignment horizontal="center" vertical="center" wrapText="1"/>
    </xf>
    <xf numFmtId="0" fontId="93" fillId="8" borderId="50" xfId="3" applyFont="1" applyFill="1" applyBorder="1" applyAlignment="1">
      <alignment horizontal="center" vertical="center" wrapText="1"/>
    </xf>
    <xf numFmtId="0" fontId="93" fillId="8" borderId="135" xfId="3" applyFont="1" applyFill="1" applyBorder="1" applyAlignment="1">
      <alignment horizontal="center" vertical="center" wrapText="1"/>
    </xf>
    <xf numFmtId="49" fontId="89" fillId="6" borderId="34" xfId="3" quotePrefix="1" applyNumberFormat="1" applyFont="1" applyFill="1" applyBorder="1" applyAlignment="1">
      <alignment vertical="center" wrapText="1"/>
    </xf>
    <xf numFmtId="49" fontId="89" fillId="10" borderId="34" xfId="3" quotePrefix="1" applyNumberFormat="1" applyFont="1" applyFill="1" applyBorder="1" applyAlignment="1">
      <alignment horizontal="center" vertical="center" wrapText="1"/>
    </xf>
    <xf numFmtId="0" fontId="108" fillId="0" borderId="34" xfId="3" applyFont="1" applyBorder="1" applyAlignment="1">
      <alignment horizontal="center" vertical="center"/>
    </xf>
    <xf numFmtId="0" fontId="95" fillId="0" borderId="34" xfId="3" applyFont="1" applyBorder="1" applyAlignment="1">
      <alignment horizontal="center" vertical="center"/>
    </xf>
    <xf numFmtId="0" fontId="89" fillId="10" borderId="52" xfId="3" applyFont="1" applyFill="1" applyBorder="1" applyAlignment="1">
      <alignment horizontal="center" vertical="center" wrapText="1"/>
    </xf>
    <xf numFmtId="0" fontId="0" fillId="10" borderId="34" xfId="3" quotePrefix="1" applyFont="1" applyFill="1" applyBorder="1" applyAlignment="1">
      <alignment vertical="center" wrapText="1"/>
    </xf>
    <xf numFmtId="164" fontId="0" fillId="10" borderId="34" xfId="3" applyNumberFormat="1" applyFont="1" applyFill="1" applyBorder="1" applyAlignment="1">
      <alignment vertical="center"/>
    </xf>
    <xf numFmtId="0" fontId="0" fillId="9" borderId="34" xfId="3" applyFont="1" applyFill="1" applyBorder="1" applyAlignment="1">
      <alignment vertical="top" wrapText="1"/>
    </xf>
    <xf numFmtId="0" fontId="81" fillId="6" borderId="34" xfId="3" applyFont="1" applyFill="1" applyBorder="1" applyAlignment="1">
      <alignment horizontal="left" vertical="center" wrapText="1"/>
    </xf>
    <xf numFmtId="49" fontId="89" fillId="6" borderId="34" xfId="3" quotePrefix="1" applyNumberFormat="1" applyFont="1" applyFill="1" applyBorder="1" applyAlignment="1">
      <alignment horizontal="left" vertical="center" wrapText="1"/>
    </xf>
    <xf numFmtId="0" fontId="81" fillId="10" borderId="34" xfId="3" applyFont="1" applyFill="1" applyBorder="1" applyAlignment="1">
      <alignment horizontal="center" vertical="center" wrapText="1"/>
    </xf>
    <xf numFmtId="0" fontId="81" fillId="6" borderId="34" xfId="3" applyFont="1" applyFill="1" applyBorder="1" applyAlignment="1">
      <alignment horizontal="center" vertical="center" wrapText="1"/>
    </xf>
    <xf numFmtId="49" fontId="89" fillId="6" borderId="34" xfId="3" quotePrefix="1" applyNumberFormat="1" applyFont="1" applyFill="1" applyBorder="1" applyAlignment="1">
      <alignment horizontal="center" vertical="center" wrapText="1"/>
    </xf>
    <xf numFmtId="0" fontId="81" fillId="9" borderId="34" xfId="3" applyFont="1" applyFill="1" applyBorder="1" applyAlignment="1">
      <alignment vertical="top" wrapText="1"/>
    </xf>
    <xf numFmtId="0" fontId="40" fillId="0" borderId="70" xfId="3" applyFont="1" applyBorder="1" applyAlignment="1">
      <alignment vertical="top" wrapText="1"/>
    </xf>
    <xf numFmtId="0" fontId="41" fillId="0" borderId="70" xfId="3" applyFont="1" applyBorder="1" applyAlignment="1">
      <alignment vertical="top" wrapText="1"/>
    </xf>
    <xf numFmtId="0" fontId="47" fillId="0" borderId="18" xfId="3" applyAlignment="1">
      <alignment vertical="top" wrapText="1"/>
    </xf>
    <xf numFmtId="0" fontId="38" fillId="18" borderId="88" xfId="3" applyFont="1" applyFill="1" applyBorder="1" applyAlignment="1">
      <alignment horizontal="center" vertical="top" wrapText="1"/>
    </xf>
    <xf numFmtId="0" fontId="47" fillId="0" borderId="18" xfId="3" applyAlignment="1">
      <alignment horizontal="center" vertical="top" wrapText="1"/>
    </xf>
    <xf numFmtId="0" fontId="43" fillId="18" borderId="89" xfId="3" applyFont="1" applyFill="1" applyBorder="1" applyAlignment="1">
      <alignment horizontal="center" vertical="center" wrapText="1"/>
    </xf>
    <xf numFmtId="0" fontId="43" fillId="18" borderId="75" xfId="3" applyFont="1" applyFill="1" applyBorder="1" applyAlignment="1">
      <alignment horizontal="center" vertical="center" wrapText="1"/>
    </xf>
    <xf numFmtId="0" fontId="43" fillId="18" borderId="90" xfId="3" applyFont="1" applyFill="1" applyBorder="1" applyAlignment="1">
      <alignment horizontal="center" vertical="center" wrapText="1"/>
    </xf>
    <xf numFmtId="0" fontId="43" fillId="18" borderId="78" xfId="3" applyFont="1" applyFill="1" applyBorder="1" applyAlignment="1">
      <alignment horizontal="center" vertical="center" wrapText="1"/>
    </xf>
    <xf numFmtId="0" fontId="43" fillId="18" borderId="91" xfId="3" applyFont="1" applyFill="1" applyBorder="1" applyAlignment="1">
      <alignment horizontal="center" vertical="center" wrapText="1"/>
    </xf>
    <xf numFmtId="0" fontId="47" fillId="0" borderId="18" xfId="3" applyAlignment="1">
      <alignment horizontal="center" vertical="center" wrapText="1"/>
    </xf>
    <xf numFmtId="0" fontId="47" fillId="19" borderId="70" xfId="3" applyFill="1" applyBorder="1" applyAlignment="1">
      <alignment horizontal="center" vertical="center"/>
    </xf>
    <xf numFmtId="0" fontId="58" fillId="6" borderId="34" xfId="3" applyFont="1" applyFill="1" applyBorder="1" applyAlignment="1">
      <alignment horizontal="justify" vertical="center" wrapText="1"/>
    </xf>
    <xf numFmtId="0" fontId="47" fillId="24" borderId="70" xfId="3" applyFill="1" applyBorder="1" applyAlignment="1">
      <alignment horizontal="center" vertical="center" wrapText="1"/>
    </xf>
    <xf numFmtId="0" fontId="29" fillId="0" borderId="70" xfId="3" applyFont="1" applyBorder="1" applyAlignment="1">
      <alignment horizontal="center" vertical="center"/>
    </xf>
    <xf numFmtId="2" fontId="34" fillId="24" borderId="70" xfId="3" applyNumberFormat="1" applyFont="1" applyFill="1" applyBorder="1" applyAlignment="1">
      <alignment vertical="center"/>
    </xf>
    <xf numFmtId="0" fontId="34" fillId="24" borderId="70" xfId="3" applyFont="1" applyFill="1" applyBorder="1" applyAlignment="1">
      <alignment vertical="center" wrapText="1"/>
    </xf>
    <xf numFmtId="0" fontId="34" fillId="32" borderId="70" xfId="3" applyFont="1" applyFill="1" applyBorder="1" applyAlignment="1">
      <alignment horizontal="left" vertical="center" wrapText="1"/>
    </xf>
    <xf numFmtId="0" fontId="0" fillId="32" borderId="70" xfId="3" applyFont="1" applyFill="1" applyBorder="1" applyAlignment="1">
      <alignment vertical="center" wrapText="1"/>
    </xf>
    <xf numFmtId="164" fontId="0" fillId="32" borderId="70" xfId="3" applyNumberFormat="1" applyFont="1" applyFill="1" applyBorder="1" applyAlignment="1">
      <alignment vertical="center"/>
    </xf>
    <xf numFmtId="0" fontId="34" fillId="32" borderId="70" xfId="3" applyFont="1" applyFill="1" applyBorder="1" applyAlignment="1">
      <alignment vertical="center" wrapText="1"/>
    </xf>
    <xf numFmtId="0" fontId="34" fillId="22" borderId="70" xfId="3" applyFont="1" applyFill="1" applyBorder="1" applyAlignment="1">
      <alignment vertical="top" wrapText="1"/>
    </xf>
    <xf numFmtId="0" fontId="34" fillId="24" borderId="70" xfId="3" applyFont="1" applyFill="1" applyBorder="1" applyAlignment="1">
      <alignment horizontal="left" vertical="center" wrapText="1"/>
    </xf>
    <xf numFmtId="0" fontId="34" fillId="24" borderId="70" xfId="3" quotePrefix="1" applyFont="1" applyFill="1" applyBorder="1" applyAlignment="1">
      <alignment vertical="center" wrapText="1"/>
    </xf>
    <xf numFmtId="14" fontId="34" fillId="24" borderId="70" xfId="3" applyNumberFormat="1" applyFont="1" applyFill="1" applyBorder="1" applyAlignment="1">
      <alignment vertical="center"/>
    </xf>
    <xf numFmtId="2" fontId="34" fillId="24" borderId="70" xfId="3" applyNumberFormat="1" applyFont="1" applyFill="1" applyBorder="1" applyAlignment="1">
      <alignment horizontal="center" vertical="center"/>
    </xf>
    <xf numFmtId="0" fontId="47" fillId="24" borderId="70" xfId="3" applyFill="1" applyBorder="1" applyAlignment="1">
      <alignment vertical="center" wrapText="1"/>
    </xf>
    <xf numFmtId="0" fontId="47" fillId="0" borderId="18" xfId="3" applyAlignment="1">
      <alignment vertical="center" wrapText="1"/>
    </xf>
    <xf numFmtId="0" fontId="1" fillId="19" borderId="70" xfId="5" applyFill="1" applyBorder="1" applyAlignment="1">
      <alignment vertical="center"/>
    </xf>
    <xf numFmtId="49" fontId="58" fillId="24" borderId="70" xfId="2" quotePrefix="1" applyNumberFormat="1" applyFill="1" applyBorder="1" applyAlignment="1">
      <alignment horizontal="center" vertical="center" wrapText="1"/>
    </xf>
    <xf numFmtId="0" fontId="34" fillId="24" borderId="70" xfId="5" applyFont="1" applyFill="1" applyBorder="1" applyAlignment="1">
      <alignment horizontal="center" vertical="center" wrapText="1"/>
    </xf>
    <xf numFmtId="0" fontId="34" fillId="24" borderId="70" xfId="5" applyFont="1" applyFill="1" applyBorder="1" applyAlignment="1">
      <alignment horizontal="justify" vertical="center" wrapText="1"/>
    </xf>
    <xf numFmtId="0" fontId="34" fillId="24" borderId="70" xfId="5" quotePrefix="1" applyFont="1" applyFill="1" applyBorder="1" applyAlignment="1">
      <alignment horizontal="left" vertical="center" wrapText="1"/>
    </xf>
    <xf numFmtId="14" fontId="34" fillId="24" borderId="70" xfId="5" applyNumberFormat="1" applyFont="1" applyFill="1" applyBorder="1" applyAlignment="1">
      <alignment horizontal="justify" vertical="center"/>
    </xf>
    <xf numFmtId="0" fontId="3" fillId="32" borderId="70" xfId="3" applyFont="1" applyFill="1" applyBorder="1" applyAlignment="1">
      <alignment horizontal="left" vertical="center" wrapText="1"/>
    </xf>
    <xf numFmtId="0" fontId="3" fillId="32" borderId="70" xfId="3" applyFont="1" applyFill="1" applyBorder="1" applyAlignment="1">
      <alignment vertical="center" wrapText="1"/>
    </xf>
    <xf numFmtId="164" fontId="3" fillId="32" borderId="70" xfId="3" applyNumberFormat="1" applyFont="1" applyFill="1" applyBorder="1" applyAlignment="1">
      <alignment vertical="center"/>
    </xf>
    <xf numFmtId="0" fontId="47" fillId="19" borderId="70" xfId="3" applyFill="1" applyBorder="1" applyAlignment="1">
      <alignment horizontal="left" vertical="center" wrapText="1"/>
    </xf>
    <xf numFmtId="0" fontId="29" fillId="31" borderId="70" xfId="3" applyFont="1" applyFill="1" applyBorder="1" applyAlignment="1">
      <alignment horizontal="center" vertical="center" wrapText="1"/>
    </xf>
    <xf numFmtId="0" fontId="47" fillId="22" borderId="70" xfId="3" applyFill="1" applyBorder="1" applyAlignment="1">
      <alignment vertical="top" wrapText="1"/>
    </xf>
    <xf numFmtId="0" fontId="47" fillId="19" borderId="75" xfId="3" applyFill="1" applyBorder="1" applyAlignment="1">
      <alignment horizontal="center" vertical="center"/>
    </xf>
    <xf numFmtId="0" fontId="17" fillId="6" borderId="52" xfId="3" applyFont="1" applyFill="1" applyBorder="1" applyAlignment="1">
      <alignment horizontal="left" vertical="center" wrapText="1"/>
    </xf>
    <xf numFmtId="0" fontId="47" fillId="19" borderId="75" xfId="3" applyFill="1" applyBorder="1" applyAlignment="1">
      <alignment horizontal="left" vertical="center" wrapText="1"/>
    </xf>
    <xf numFmtId="49" fontId="58" fillId="19" borderId="75" xfId="2" quotePrefix="1" applyNumberFormat="1" applyFill="1" applyBorder="1" applyAlignment="1">
      <alignment horizontal="left" vertical="center" wrapText="1"/>
    </xf>
    <xf numFmtId="0" fontId="47" fillId="24" borderId="75" xfId="3" applyFill="1" applyBorder="1" applyAlignment="1">
      <alignment horizontal="center" vertical="center" wrapText="1"/>
    </xf>
    <xf numFmtId="0" fontId="29" fillId="31" borderId="75" xfId="3" applyFont="1" applyFill="1" applyBorder="1" applyAlignment="1">
      <alignment horizontal="center" vertical="center" wrapText="1"/>
    </xf>
    <xf numFmtId="2" fontId="34" fillId="24" borderId="75" xfId="3" applyNumberFormat="1" applyFont="1" applyFill="1" applyBorder="1" applyAlignment="1">
      <alignment horizontal="center" vertical="center"/>
    </xf>
    <xf numFmtId="0" fontId="29" fillId="0" borderId="75" xfId="3" applyFont="1" applyBorder="1" applyAlignment="1">
      <alignment horizontal="center" vertical="center"/>
    </xf>
    <xf numFmtId="0" fontId="34" fillId="24" borderId="75" xfId="3" applyFont="1" applyFill="1" applyBorder="1" applyAlignment="1">
      <alignment vertical="center" wrapText="1"/>
    </xf>
    <xf numFmtId="0" fontId="34" fillId="32" borderId="75" xfId="3" applyFont="1" applyFill="1" applyBorder="1" applyAlignment="1">
      <alignment horizontal="left" vertical="center" wrapText="1"/>
    </xf>
    <xf numFmtId="0" fontId="3" fillId="32" borderId="75" xfId="3" applyFont="1" applyFill="1" applyBorder="1" applyAlignment="1">
      <alignment vertical="center" wrapText="1"/>
    </xf>
    <xf numFmtId="164" fontId="0" fillId="32" borderId="75" xfId="3" applyNumberFormat="1" applyFont="1" applyFill="1" applyBorder="1" applyAlignment="1">
      <alignment vertical="center"/>
    </xf>
    <xf numFmtId="49" fontId="0" fillId="32" borderId="70" xfId="3" applyNumberFormat="1" applyFont="1" applyFill="1" applyBorder="1" applyAlignment="1">
      <alignment horizontal="left" vertical="center" wrapText="1"/>
    </xf>
    <xf numFmtId="0" fontId="47" fillId="22" borderId="102" xfId="3" applyFill="1" applyBorder="1" applyAlignment="1">
      <alignment vertical="top" wrapText="1"/>
    </xf>
    <xf numFmtId="49" fontId="3" fillId="32" borderId="70" xfId="3" applyNumberFormat="1" applyFont="1" applyFill="1" applyBorder="1" applyAlignment="1">
      <alignment horizontal="left" vertical="center" wrapText="1"/>
    </xf>
    <xf numFmtId="49" fontId="34" fillId="32" borderId="70" xfId="3" quotePrefix="1" applyNumberFormat="1" applyFont="1" applyFill="1" applyBorder="1" applyAlignment="1">
      <alignment horizontal="left" vertical="center" wrapText="1"/>
    </xf>
    <xf numFmtId="0" fontId="87" fillId="8" borderId="114" xfId="3" applyFont="1" applyFill="1" applyBorder="1" applyAlignment="1">
      <alignment horizontal="center" wrapText="1"/>
    </xf>
    <xf numFmtId="0" fontId="93" fillId="8" borderId="48" xfId="3" applyFont="1" applyFill="1" applyBorder="1" applyAlignment="1">
      <alignment horizontal="center" vertical="top" wrapText="1"/>
    </xf>
    <xf numFmtId="0" fontId="93" fillId="8" borderId="52" xfId="3" applyFont="1" applyFill="1" applyBorder="1" applyAlignment="1">
      <alignment horizontal="center" vertical="top" wrapText="1"/>
    </xf>
    <xf numFmtId="0" fontId="93" fillId="8" borderId="49" xfId="3" applyFont="1" applyFill="1" applyBorder="1" applyAlignment="1">
      <alignment horizontal="center" vertical="top" wrapText="1"/>
    </xf>
    <xf numFmtId="0" fontId="93" fillId="8" borderId="50" xfId="3" applyFont="1" applyFill="1" applyBorder="1" applyAlignment="1">
      <alignment horizontal="center" vertical="top" wrapText="1"/>
    </xf>
    <xf numFmtId="0" fontId="93" fillId="8" borderId="38" xfId="3" applyFont="1" applyFill="1" applyBorder="1" applyAlignment="1">
      <alignment horizontal="center" vertical="center" wrapText="1"/>
    </xf>
    <xf numFmtId="0" fontId="109" fillId="8" borderId="40" xfId="3" applyFont="1" applyFill="1" applyBorder="1" applyAlignment="1">
      <alignment horizontal="center" vertical="center" wrapText="1"/>
    </xf>
    <xf numFmtId="0" fontId="0" fillId="0" borderId="34" xfId="3" applyFont="1" applyBorder="1" applyAlignment="1">
      <alignment vertical="top" wrapText="1"/>
    </xf>
    <xf numFmtId="2" fontId="0" fillId="0" borderId="34" xfId="3" applyNumberFormat="1" applyFont="1" applyBorder="1" applyAlignment="1">
      <alignment vertical="top" wrapText="1"/>
    </xf>
    <xf numFmtId="2" fontId="0" fillId="15" borderId="34" xfId="3" applyNumberFormat="1" applyFont="1" applyFill="1" applyBorder="1" applyAlignment="1">
      <alignment vertical="top" wrapText="1"/>
    </xf>
    <xf numFmtId="2" fontId="0" fillId="16" borderId="34" xfId="3" applyNumberFormat="1" applyFont="1" applyFill="1" applyBorder="1" applyAlignment="1">
      <alignment vertical="top" wrapText="1"/>
    </xf>
    <xf numFmtId="164" fontId="0" fillId="6" borderId="34" xfId="3" applyNumberFormat="1" applyFont="1" applyFill="1" applyBorder="1" applyAlignment="1">
      <alignment vertical="center" wrapText="1"/>
    </xf>
    <xf numFmtId="0" fontId="0" fillId="7" borderId="46" xfId="3" applyFont="1" applyFill="1" applyBorder="1" applyAlignment="1">
      <alignment wrapText="1"/>
    </xf>
    <xf numFmtId="0" fontId="0" fillId="7" borderId="41" xfId="3" applyFont="1" applyFill="1" applyBorder="1" applyAlignment="1">
      <alignment wrapText="1"/>
    </xf>
    <xf numFmtId="0" fontId="0" fillId="7" borderId="116" xfId="3" applyFont="1" applyFill="1" applyBorder="1" applyAlignment="1">
      <alignment wrapText="1"/>
    </xf>
    <xf numFmtId="0" fontId="0" fillId="7" borderId="117" xfId="3" applyFont="1" applyFill="1" applyBorder="1" applyAlignment="1">
      <alignment wrapText="1"/>
    </xf>
    <xf numFmtId="2" fontId="0" fillId="14" borderId="34" xfId="3" applyNumberFormat="1" applyFont="1" applyFill="1" applyBorder="1" applyAlignment="1">
      <alignment vertical="top" wrapText="1"/>
    </xf>
    <xf numFmtId="0" fontId="0" fillId="7" borderId="45" xfId="3" applyFont="1" applyFill="1" applyBorder="1" applyAlignment="1">
      <alignment wrapText="1"/>
    </xf>
    <xf numFmtId="0" fontId="43" fillId="18" borderId="89" xfId="5" applyFont="1" applyFill="1" applyBorder="1" applyAlignment="1">
      <alignment horizontal="center" vertical="top" wrapText="1"/>
    </xf>
    <xf numFmtId="0" fontId="43" fillId="18" borderId="75" xfId="5" applyFont="1" applyFill="1" applyBorder="1" applyAlignment="1">
      <alignment horizontal="center" vertical="top" wrapText="1"/>
    </xf>
    <xf numFmtId="0" fontId="43" fillId="18" borderId="90" xfId="5" applyFont="1" applyFill="1" applyBorder="1" applyAlignment="1">
      <alignment horizontal="center" vertical="top" wrapText="1"/>
    </xf>
    <xf numFmtId="0" fontId="43" fillId="18" borderId="78" xfId="5" applyFont="1" applyFill="1" applyBorder="1" applyAlignment="1">
      <alignment horizontal="center" vertical="top" wrapText="1"/>
    </xf>
    <xf numFmtId="0" fontId="43" fillId="18" borderId="91" xfId="5" applyFont="1" applyFill="1" applyBorder="1" applyAlignment="1">
      <alignment horizontal="center" vertical="top" wrapText="1"/>
    </xf>
    <xf numFmtId="0" fontId="34" fillId="0" borderId="70" xfId="5" applyFont="1" applyBorder="1" applyAlignment="1">
      <alignment vertical="top" wrapText="1"/>
    </xf>
    <xf numFmtId="0" fontId="34" fillId="28" borderId="70" xfId="5" applyFont="1" applyFill="1" applyBorder="1" applyAlignment="1">
      <alignment vertical="top" wrapText="1"/>
    </xf>
    <xf numFmtId="2" fontId="34" fillId="0" borderId="70" xfId="5" applyNumberFormat="1" applyFont="1" applyBorder="1" applyAlignment="1">
      <alignment vertical="top" wrapText="1"/>
    </xf>
    <xf numFmtId="2" fontId="34" fillId="29" borderId="70" xfId="5" applyNumberFormat="1" applyFont="1" applyFill="1" applyBorder="1" applyAlignment="1">
      <alignment vertical="top" wrapText="1"/>
    </xf>
    <xf numFmtId="0" fontId="34" fillId="19" borderId="70" xfId="5" applyFont="1" applyFill="1" applyBorder="1" applyAlignment="1">
      <alignment horizontal="left" vertical="center" wrapText="1"/>
    </xf>
    <xf numFmtId="0" fontId="34" fillId="19" borderId="70" xfId="5" quotePrefix="1" applyFont="1" applyFill="1" applyBorder="1" applyAlignment="1">
      <alignment vertical="center" wrapText="1"/>
    </xf>
    <xf numFmtId="14" fontId="34" fillId="19" borderId="70" xfId="5" applyNumberFormat="1" applyFont="1" applyFill="1" applyBorder="1" applyAlignment="1">
      <alignment vertical="center"/>
    </xf>
    <xf numFmtId="0" fontId="34" fillId="19" borderId="70" xfId="5" applyFont="1" applyFill="1" applyBorder="1" applyAlignment="1">
      <alignment vertical="center" wrapText="1"/>
    </xf>
    <xf numFmtId="0" fontId="34" fillId="20" borderId="70" xfId="5" applyFont="1" applyFill="1" applyBorder="1" applyAlignment="1">
      <alignment vertical="top" wrapText="1"/>
    </xf>
    <xf numFmtId="0" fontId="34" fillId="29" borderId="70" xfId="5" applyFont="1" applyFill="1" applyBorder="1" applyAlignment="1">
      <alignment vertical="top" wrapText="1"/>
    </xf>
    <xf numFmtId="0" fontId="34" fillId="19" borderId="70" xfId="5" quotePrefix="1" applyFont="1" applyFill="1" applyBorder="1" applyAlignment="1">
      <alignment horizontal="left" vertical="center" wrapText="1"/>
    </xf>
    <xf numFmtId="0" fontId="34" fillId="33" borderId="70" xfId="5" applyFont="1" applyFill="1" applyBorder="1" applyAlignment="1">
      <alignment vertical="top" wrapText="1"/>
    </xf>
    <xf numFmtId="2" fontId="34" fillId="33" borderId="70" xfId="5" applyNumberFormat="1" applyFont="1" applyFill="1" applyBorder="1" applyAlignment="1">
      <alignment vertical="top" wrapText="1"/>
    </xf>
    <xf numFmtId="2" fontId="34" fillId="28" borderId="70" xfId="5" applyNumberFormat="1" applyFont="1" applyFill="1" applyBorder="1" applyAlignment="1">
      <alignment vertical="top" wrapText="1"/>
    </xf>
    <xf numFmtId="0" fontId="40" fillId="0" borderId="70" xfId="5" applyFont="1" applyBorder="1" applyAlignment="1">
      <alignment horizontal="center" vertical="center" wrapText="1"/>
    </xf>
    <xf numFmtId="0" fontId="41" fillId="0" borderId="70" xfId="5" applyFont="1" applyBorder="1" applyAlignment="1">
      <alignment horizontal="center" vertical="center" wrapText="1"/>
    </xf>
    <xf numFmtId="0" fontId="1" fillId="0" borderId="18" xfId="5" applyAlignment="1">
      <alignment horizontal="center" vertical="center" wrapText="1"/>
    </xf>
    <xf numFmtId="0" fontId="38" fillId="18" borderId="88" xfId="5" applyFont="1" applyFill="1" applyBorder="1" applyAlignment="1">
      <alignment horizontal="center" vertical="center" wrapText="1"/>
    </xf>
    <xf numFmtId="0" fontId="34" fillId="0" borderId="70" xfId="5" applyFont="1" applyBorder="1" applyAlignment="1">
      <alignment horizontal="center" vertical="center" wrapText="1"/>
    </xf>
    <xf numFmtId="0" fontId="34" fillId="31" borderId="70" xfId="5" applyFont="1" applyFill="1" applyBorder="1" applyAlignment="1">
      <alignment horizontal="center" vertical="center" wrapText="1"/>
    </xf>
    <xf numFmtId="2" fontId="34" fillId="0" borderId="70" xfId="5" applyNumberFormat="1" applyFont="1" applyBorder="1" applyAlignment="1">
      <alignment horizontal="center" vertical="center" wrapText="1"/>
    </xf>
    <xf numFmtId="2" fontId="34" fillId="31" borderId="70" xfId="5" applyNumberFormat="1" applyFont="1" applyFill="1" applyBorder="1" applyAlignment="1">
      <alignment horizontal="center" vertical="center" wrapText="1"/>
    </xf>
    <xf numFmtId="0" fontId="34" fillId="19" borderId="84" xfId="5" applyFont="1" applyFill="1" applyBorder="1" applyAlignment="1">
      <alignment horizontal="left" vertical="center" wrapText="1"/>
    </xf>
    <xf numFmtId="0" fontId="34" fillId="19" borderId="77" xfId="5" quotePrefix="1" applyFont="1" applyFill="1" applyBorder="1" applyAlignment="1">
      <alignment vertical="center" wrapText="1"/>
    </xf>
    <xf numFmtId="14" fontId="34" fillId="19" borderId="77" xfId="5" applyNumberFormat="1" applyFont="1" applyFill="1" applyBorder="1" applyAlignment="1">
      <alignment vertical="center"/>
    </xf>
    <xf numFmtId="0" fontId="34" fillId="19" borderId="85" xfId="5" applyFont="1" applyFill="1" applyBorder="1" applyAlignment="1">
      <alignment vertical="center" wrapText="1"/>
    </xf>
    <xf numFmtId="0" fontId="34" fillId="20" borderId="70" xfId="5" applyFont="1" applyFill="1" applyBorder="1" applyAlignment="1">
      <alignment horizontal="center" vertical="center" wrapText="1"/>
    </xf>
    <xf numFmtId="0" fontId="34" fillId="30" borderId="70" xfId="5" applyFont="1" applyFill="1" applyBorder="1" applyAlignment="1">
      <alignment horizontal="center" vertical="center" wrapText="1"/>
    </xf>
    <xf numFmtId="2" fontId="34" fillId="28" borderId="70" xfId="5" applyNumberFormat="1" applyFont="1" applyFill="1" applyBorder="1" applyAlignment="1">
      <alignment horizontal="center" vertical="center" wrapText="1"/>
    </xf>
    <xf numFmtId="0" fontId="34" fillId="19" borderId="111" xfId="5" quotePrefix="1" applyFont="1" applyFill="1" applyBorder="1" applyAlignment="1">
      <alignment horizontal="left" vertical="center" wrapText="1"/>
    </xf>
    <xf numFmtId="0" fontId="34" fillId="19" borderId="112" xfId="5" quotePrefix="1" applyFont="1" applyFill="1" applyBorder="1" applyAlignment="1">
      <alignment vertical="center" wrapText="1"/>
    </xf>
    <xf numFmtId="0" fontId="34" fillId="19" borderId="111" xfId="5" applyFont="1" applyFill="1" applyBorder="1" applyAlignment="1">
      <alignment vertical="center" wrapText="1"/>
    </xf>
    <xf numFmtId="2" fontId="34" fillId="30" borderId="70" xfId="5" applyNumberFormat="1" applyFont="1" applyFill="1" applyBorder="1" applyAlignment="1">
      <alignment horizontal="center" vertical="center" wrapText="1"/>
    </xf>
    <xf numFmtId="0" fontId="34" fillId="19" borderId="112" xfId="5" applyFont="1" applyFill="1" applyBorder="1" applyAlignment="1">
      <alignment vertical="center" wrapText="1"/>
    </xf>
    <xf numFmtId="0" fontId="3" fillId="19" borderId="111" xfId="5" applyFont="1" applyFill="1" applyBorder="1" applyAlignment="1">
      <alignment horizontal="left" vertical="center" wrapText="1"/>
    </xf>
    <xf numFmtId="0" fontId="34" fillId="19" borderId="111" xfId="5" applyFont="1" applyFill="1" applyBorder="1" applyAlignment="1">
      <alignment horizontal="left" vertical="center" wrapText="1"/>
    </xf>
    <xf numFmtId="0" fontId="34" fillId="28" borderId="70" xfId="5" applyFont="1" applyFill="1" applyBorder="1" applyAlignment="1">
      <alignment horizontal="center" vertical="center" wrapText="1"/>
    </xf>
    <xf numFmtId="2" fontId="34" fillId="29" borderId="70" xfId="5" applyNumberFormat="1" applyFont="1" applyFill="1" applyBorder="1" applyAlignment="1">
      <alignment horizontal="center" vertical="center" wrapText="1"/>
    </xf>
    <xf numFmtId="0" fontId="3" fillId="19" borderId="111" xfId="5" quotePrefix="1" applyFont="1" applyFill="1" applyBorder="1" applyAlignment="1">
      <alignment vertical="center" wrapText="1"/>
    </xf>
    <xf numFmtId="0" fontId="3" fillId="19" borderId="112" xfId="5" quotePrefix="1" applyFont="1" applyFill="1" applyBorder="1" applyAlignment="1">
      <alignment vertical="center" wrapText="1"/>
    </xf>
    <xf numFmtId="0" fontId="1" fillId="0" borderId="18" xfId="5"/>
    <xf numFmtId="0" fontId="50" fillId="18" borderId="97" xfId="5" applyFont="1" applyFill="1" applyBorder="1" applyAlignment="1">
      <alignment horizontal="center" vertical="center"/>
    </xf>
    <xf numFmtId="0" fontId="50" fillId="18" borderId="98" xfId="5" applyFont="1" applyFill="1" applyBorder="1" applyAlignment="1">
      <alignment horizontal="center" vertical="center"/>
    </xf>
    <xf numFmtId="0" fontId="1" fillId="0" borderId="18" xfId="5" applyAlignment="1">
      <alignment horizontal="center" vertical="center"/>
    </xf>
    <xf numFmtId="0" fontId="105" fillId="19" borderId="70" xfId="5" applyFont="1" applyFill="1" applyBorder="1" applyAlignment="1">
      <alignment vertical="top" wrapText="1"/>
    </xf>
    <xf numFmtId="0" fontId="102" fillId="19" borderId="70" xfId="5" applyFont="1" applyFill="1" applyBorder="1" applyAlignment="1">
      <alignment vertical="top" wrapText="1"/>
    </xf>
    <xf numFmtId="0" fontId="38" fillId="18" borderId="70" xfId="5" applyFont="1" applyFill="1" applyBorder="1" applyAlignment="1">
      <alignment horizontal="center" vertical="center" wrapText="1"/>
    </xf>
    <xf numFmtId="0" fontId="57" fillId="18" borderId="70" xfId="5" applyFont="1" applyFill="1" applyBorder="1" applyAlignment="1">
      <alignment horizontal="center" vertical="center" wrapText="1"/>
    </xf>
    <xf numFmtId="0" fontId="1" fillId="22" borderId="70" xfId="5" applyFill="1" applyBorder="1" applyAlignment="1">
      <alignment vertical="center" wrapText="1"/>
    </xf>
    <xf numFmtId="0" fontId="1" fillId="22" borderId="70" xfId="5" applyFill="1" applyBorder="1" applyAlignment="1">
      <alignment horizontal="center" vertical="center" wrapText="1"/>
    </xf>
    <xf numFmtId="0" fontId="58" fillId="19" borderId="70" xfId="5" applyFont="1" applyFill="1" applyBorder="1" applyAlignment="1">
      <alignment horizontal="center" vertical="center" wrapText="1"/>
    </xf>
    <xf numFmtId="0" fontId="1" fillId="21" borderId="70" xfId="5" applyFill="1" applyBorder="1" applyAlignment="1">
      <alignment horizontal="center" vertical="center"/>
    </xf>
    <xf numFmtId="0" fontId="58" fillId="19" borderId="70" xfId="5" applyFont="1" applyFill="1" applyBorder="1" applyAlignment="1">
      <alignment horizontal="justify" vertical="center" wrapText="1"/>
    </xf>
    <xf numFmtId="0" fontId="1" fillId="23" borderId="70" xfId="5" applyFill="1" applyBorder="1" applyAlignment="1">
      <alignment horizontal="center" vertical="center" wrapText="1"/>
    </xf>
    <xf numFmtId="0" fontId="38" fillId="18" borderId="105" xfId="5" applyFont="1" applyFill="1" applyBorder="1" applyAlignment="1">
      <alignment horizontal="center" vertical="center" wrapText="1"/>
    </xf>
    <xf numFmtId="0" fontId="38" fillId="18" borderId="109" xfId="5" applyFont="1" applyFill="1" applyBorder="1" applyAlignment="1">
      <alignment horizontal="center"/>
    </xf>
    <xf numFmtId="0" fontId="43" fillId="18" borderId="75" xfId="5" applyFont="1" applyFill="1" applyBorder="1" applyAlignment="1">
      <alignment horizontal="center" vertical="center"/>
    </xf>
    <xf numFmtId="0" fontId="43" fillId="18" borderId="110" xfId="5" applyFont="1" applyFill="1" applyBorder="1" applyAlignment="1">
      <alignment horizontal="center" vertical="center" wrapText="1"/>
    </xf>
    <xf numFmtId="0" fontId="43" fillId="18" borderId="80" xfId="5" applyFont="1" applyFill="1" applyBorder="1" applyAlignment="1">
      <alignment horizontal="center" vertical="center" wrapText="1"/>
    </xf>
    <xf numFmtId="0" fontId="62" fillId="18" borderId="75" xfId="5" applyFont="1" applyFill="1" applyBorder="1" applyAlignment="1">
      <alignment horizontal="center" vertical="center" wrapText="1"/>
    </xf>
    <xf numFmtId="0" fontId="53" fillId="0" borderId="18" xfId="5" applyFont="1" applyAlignment="1">
      <alignment horizontal="center" vertical="center"/>
    </xf>
    <xf numFmtId="0" fontId="34" fillId="23" borderId="97" xfId="5" applyFont="1" applyFill="1" applyBorder="1" applyAlignment="1">
      <alignment horizontal="center" vertical="center"/>
    </xf>
    <xf numFmtId="0" fontId="34" fillId="23" borderId="98" xfId="5" applyFont="1" applyFill="1" applyBorder="1" applyAlignment="1">
      <alignment horizontal="left" vertical="center" wrapText="1"/>
    </xf>
    <xf numFmtId="0" fontId="34" fillId="21" borderId="98" xfId="5" applyFont="1" applyFill="1" applyBorder="1" applyAlignment="1">
      <alignment horizontal="center" vertical="center" wrapText="1"/>
    </xf>
    <xf numFmtId="0" fontId="34" fillId="23" borderId="98" xfId="5" applyFont="1" applyFill="1" applyBorder="1" applyAlignment="1">
      <alignment horizontal="center" vertical="center"/>
    </xf>
    <xf numFmtId="0" fontId="34" fillId="0" borderId="98" xfId="5" applyFont="1" applyBorder="1" applyAlignment="1">
      <alignment horizontal="center" vertical="center"/>
    </xf>
    <xf numFmtId="0" fontId="34" fillId="21" borderId="98" xfId="5" applyFont="1" applyFill="1" applyBorder="1" applyAlignment="1">
      <alignment horizontal="center" vertical="center"/>
    </xf>
    <xf numFmtId="0" fontId="3" fillId="19" borderId="98" xfId="5" applyFont="1" applyFill="1" applyBorder="1" applyAlignment="1">
      <alignment horizontal="left" vertical="center" wrapText="1"/>
    </xf>
    <xf numFmtId="0" fontId="34" fillId="19" borderId="98" xfId="5" applyFont="1" applyFill="1" applyBorder="1" applyAlignment="1">
      <alignment horizontal="left" vertical="center" wrapText="1"/>
    </xf>
    <xf numFmtId="0" fontId="34" fillId="24" borderId="98" xfId="5" applyFont="1" applyFill="1" applyBorder="1" applyAlignment="1">
      <alignment horizontal="center" vertical="center"/>
    </xf>
    <xf numFmtId="2" fontId="34" fillId="24" borderId="98" xfId="5" applyNumberFormat="1" applyFont="1" applyFill="1" applyBorder="1" applyAlignment="1">
      <alignment horizontal="center" vertical="center"/>
    </xf>
    <xf numFmtId="1" fontId="34" fillId="24" borderId="98" xfId="5" applyNumberFormat="1" applyFont="1" applyFill="1" applyBorder="1" applyAlignment="1">
      <alignment horizontal="center" vertical="center"/>
    </xf>
    <xf numFmtId="0" fontId="34" fillId="19" borderId="98" xfId="5" quotePrefix="1" applyFont="1" applyFill="1" applyBorder="1" applyAlignment="1">
      <alignment vertical="center" wrapText="1"/>
    </xf>
    <xf numFmtId="14" fontId="34" fillId="19" borderId="98" xfId="5" applyNumberFormat="1" applyFont="1" applyFill="1" applyBorder="1" applyAlignment="1">
      <alignment vertical="center" wrapText="1"/>
    </xf>
    <xf numFmtId="0" fontId="34" fillId="19" borderId="98" xfId="5" applyFont="1" applyFill="1" applyBorder="1" applyAlignment="1">
      <alignment vertical="center" wrapText="1"/>
    </xf>
    <xf numFmtId="0" fontId="34" fillId="20" borderId="98" xfId="5" applyFont="1" applyFill="1" applyBorder="1"/>
    <xf numFmtId="0" fontId="34" fillId="20" borderId="104" xfId="5" applyFont="1" applyFill="1" applyBorder="1"/>
    <xf numFmtId="0" fontId="34" fillId="0" borderId="18" xfId="5" applyFont="1"/>
    <xf numFmtId="0" fontId="34" fillId="23" borderId="128" xfId="5" applyFont="1" applyFill="1" applyBorder="1" applyAlignment="1">
      <alignment horizontal="center" vertical="center" wrapText="1"/>
    </xf>
    <xf numFmtId="0" fontId="34" fillId="23" borderId="120" xfId="5" applyFont="1" applyFill="1" applyBorder="1" applyAlignment="1">
      <alignment horizontal="left" vertical="center" wrapText="1"/>
    </xf>
    <xf numFmtId="0" fontId="34" fillId="21" borderId="120" xfId="5" applyFont="1" applyFill="1" applyBorder="1" applyAlignment="1">
      <alignment horizontal="center" vertical="center" wrapText="1"/>
    </xf>
    <xf numFmtId="0" fontId="34" fillId="23" borderId="120" xfId="5" applyFont="1" applyFill="1" applyBorder="1" applyAlignment="1">
      <alignment horizontal="center" vertical="center"/>
    </xf>
    <xf numFmtId="0" fontId="34" fillId="23" borderId="120" xfId="5" applyFont="1" applyFill="1" applyBorder="1" applyAlignment="1">
      <alignment horizontal="center" vertical="center" wrapText="1"/>
    </xf>
    <xf numFmtId="0" fontId="34" fillId="0" borderId="120" xfId="5" applyFont="1" applyBorder="1" applyAlignment="1">
      <alignment horizontal="center" vertical="center"/>
    </xf>
    <xf numFmtId="0" fontId="3" fillId="19" borderId="120" xfId="5" applyFont="1" applyFill="1" applyBorder="1" applyAlignment="1">
      <alignment horizontal="left" vertical="center" wrapText="1"/>
    </xf>
    <xf numFmtId="0" fontId="34" fillId="19" borderId="120" xfId="5" applyFont="1" applyFill="1" applyBorder="1" applyAlignment="1">
      <alignment horizontal="left" vertical="center" wrapText="1"/>
    </xf>
    <xf numFmtId="0" fontId="34" fillId="24" borderId="120" xfId="5" applyFont="1" applyFill="1" applyBorder="1" applyAlignment="1">
      <alignment horizontal="center" vertical="center"/>
    </xf>
    <xf numFmtId="2" fontId="34" fillId="24" borderId="120" xfId="5" applyNumberFormat="1" applyFont="1" applyFill="1" applyBorder="1" applyAlignment="1">
      <alignment horizontal="center" vertical="center"/>
    </xf>
    <xf numFmtId="2" fontId="34" fillId="24" borderId="120" xfId="5" applyNumberFormat="1" applyFont="1" applyFill="1" applyBorder="1" applyAlignment="1">
      <alignment horizontal="center" vertical="center" wrapText="1"/>
    </xf>
    <xf numFmtId="1" fontId="34" fillId="24" borderId="120" xfId="5" applyNumberFormat="1" applyFont="1" applyFill="1" applyBorder="1" applyAlignment="1">
      <alignment horizontal="center" vertical="center"/>
    </xf>
    <xf numFmtId="0" fontId="34" fillId="19" borderId="120" xfId="5" quotePrefix="1" applyFont="1" applyFill="1" applyBorder="1" applyAlignment="1">
      <alignment horizontal="left" vertical="center" wrapText="1"/>
    </xf>
    <xf numFmtId="0" fontId="34" fillId="19" borderId="120" xfId="5" quotePrefix="1" applyFont="1" applyFill="1" applyBorder="1" applyAlignment="1">
      <alignment vertical="center" wrapText="1"/>
    </xf>
    <xf numFmtId="14" fontId="34" fillId="19" borderId="120" xfId="5" applyNumberFormat="1" applyFont="1" applyFill="1" applyBorder="1" applyAlignment="1">
      <alignment vertical="center"/>
    </xf>
    <xf numFmtId="0" fontId="34" fillId="19" borderId="120" xfId="5" applyFont="1" applyFill="1" applyBorder="1" applyAlignment="1">
      <alignment vertical="center" wrapText="1"/>
    </xf>
    <xf numFmtId="0" fontId="34" fillId="20" borderId="120" xfId="5" applyFont="1" applyFill="1" applyBorder="1" applyAlignment="1">
      <alignment wrapText="1"/>
    </xf>
    <xf numFmtId="0" fontId="34" fillId="20" borderId="121" xfId="5" applyFont="1" applyFill="1" applyBorder="1" applyAlignment="1">
      <alignment wrapText="1"/>
    </xf>
    <xf numFmtId="0" fontId="34" fillId="0" borderId="18" xfId="5" applyFont="1" applyAlignment="1">
      <alignment wrapText="1"/>
    </xf>
    <xf numFmtId="0" fontId="1" fillId="0" borderId="18" xfId="5" applyAlignment="1">
      <alignment horizontal="left" vertical="center"/>
    </xf>
    <xf numFmtId="0" fontId="1" fillId="0" borderId="18" xfId="5" applyAlignment="1">
      <alignment horizontal="center"/>
    </xf>
    <xf numFmtId="0" fontId="1" fillId="0" borderId="18" xfId="5" applyAlignment="1">
      <alignment horizontal="left"/>
    </xf>
    <xf numFmtId="0" fontId="38" fillId="18" borderId="75" xfId="5" applyFont="1" applyFill="1" applyBorder="1" applyAlignment="1">
      <alignment horizontal="center" vertical="center" wrapText="1"/>
    </xf>
    <xf numFmtId="0" fontId="48" fillId="26" borderId="75" xfId="5" applyFont="1" applyFill="1" applyBorder="1" applyAlignment="1">
      <alignment horizontal="center" vertical="center" wrapText="1"/>
    </xf>
    <xf numFmtId="0" fontId="1" fillId="23" borderId="70" xfId="5" applyFill="1" applyBorder="1" applyAlignment="1">
      <alignment vertical="center" wrapText="1"/>
    </xf>
    <xf numFmtId="0" fontId="1" fillId="27" borderId="77" xfId="5" applyFill="1" applyBorder="1" applyAlignment="1">
      <alignment horizontal="center" vertical="center"/>
    </xf>
    <xf numFmtId="0" fontId="1" fillId="27" borderId="70" xfId="5" applyFill="1" applyBorder="1" applyAlignment="1">
      <alignment horizontal="center" vertical="center"/>
    </xf>
    <xf numFmtId="0" fontId="1" fillId="23" borderId="70" xfId="5" applyFill="1" applyBorder="1" applyAlignment="1">
      <alignment horizontal="center" vertical="center"/>
    </xf>
    <xf numFmtId="0" fontId="1" fillId="0" borderId="18" xfId="5" applyAlignment="1">
      <alignment vertical="center"/>
    </xf>
    <xf numFmtId="0" fontId="1" fillId="21" borderId="77" xfId="5" applyFill="1" applyBorder="1" applyAlignment="1">
      <alignment horizontal="center" vertical="center"/>
    </xf>
    <xf numFmtId="0" fontId="53" fillId="0" borderId="18" xfId="5" applyFont="1"/>
    <xf numFmtId="0" fontId="43" fillId="18" borderId="111" xfId="5" applyFont="1" applyFill="1" applyBorder="1" applyAlignment="1">
      <alignment horizontal="center" vertical="center" wrapText="1"/>
    </xf>
    <xf numFmtId="0" fontId="43" fillId="18" borderId="70" xfId="5" applyFont="1" applyFill="1" applyBorder="1" applyAlignment="1">
      <alignment horizontal="center" vertical="center" wrapText="1"/>
    </xf>
    <xf numFmtId="0" fontId="43" fillId="18" borderId="70" xfId="5" applyFont="1" applyFill="1" applyBorder="1" applyAlignment="1">
      <alignment horizontal="center" vertical="center"/>
    </xf>
    <xf numFmtId="0" fontId="43" fillId="18" borderId="112" xfId="5" applyFont="1" applyFill="1" applyBorder="1" applyAlignment="1">
      <alignment horizontal="center" vertical="center" wrapText="1"/>
    </xf>
    <xf numFmtId="0" fontId="34" fillId="24" borderId="111" xfId="5" applyFont="1" applyFill="1" applyBorder="1" applyAlignment="1">
      <alignment horizontal="center" vertical="center"/>
    </xf>
    <xf numFmtId="0" fontId="34" fillId="24" borderId="70" xfId="5" quotePrefix="1" applyNumberFormat="1" applyFont="1" applyFill="1" applyBorder="1" applyAlignment="1">
      <alignment horizontal="center" vertical="center" wrapText="1"/>
    </xf>
    <xf numFmtId="0" fontId="34" fillId="21" borderId="70" xfId="5" applyFont="1" applyFill="1" applyBorder="1" applyAlignment="1">
      <alignment horizontal="center" vertical="center"/>
    </xf>
    <xf numFmtId="0" fontId="34" fillId="21" borderId="70" xfId="5" applyFont="1" applyFill="1" applyBorder="1" applyAlignment="1">
      <alignment horizontal="center" vertical="center" wrapText="1"/>
    </xf>
    <xf numFmtId="0" fontId="34" fillId="24" borderId="70" xfId="5" applyFont="1" applyFill="1" applyBorder="1" applyAlignment="1">
      <alignment horizontal="center" vertical="center"/>
    </xf>
    <xf numFmtId="0" fontId="34" fillId="20" borderId="70" xfId="5" applyFont="1" applyFill="1" applyBorder="1" applyAlignment="1">
      <alignment horizontal="left" vertical="center" wrapText="1"/>
    </xf>
    <xf numFmtId="0" fontId="34" fillId="20" borderId="112" xfId="5" applyFont="1" applyFill="1" applyBorder="1" applyAlignment="1">
      <alignment horizontal="left" wrapText="1"/>
    </xf>
    <xf numFmtId="0" fontId="34" fillId="24" borderId="70" xfId="5" quotePrefix="1" applyFont="1" applyFill="1" applyBorder="1" applyAlignment="1">
      <alignment horizontal="center" vertical="center" wrapText="1"/>
    </xf>
    <xf numFmtId="0" fontId="3" fillId="20" borderId="70" xfId="5" quotePrefix="1" applyFont="1" applyFill="1" applyBorder="1" applyAlignment="1">
      <alignment horizontal="left" vertical="center" wrapText="1"/>
    </xf>
    <xf numFmtId="0" fontId="53" fillId="0" borderId="18" xfId="5" applyFont="1" applyAlignment="1">
      <alignment horizontal="center"/>
    </xf>
    <xf numFmtId="0" fontId="53" fillId="0" borderId="18" xfId="5" applyFont="1" applyAlignment="1">
      <alignment horizontal="left"/>
    </xf>
    <xf numFmtId="0" fontId="43" fillId="18" borderId="128" xfId="5" applyFont="1" applyFill="1" applyBorder="1" applyAlignment="1">
      <alignment horizontal="center" vertical="center" wrapText="1"/>
    </xf>
    <xf numFmtId="0" fontId="43" fillId="18" borderId="120" xfId="5" applyFont="1" applyFill="1" applyBorder="1" applyAlignment="1">
      <alignment horizontal="center" vertical="center" wrapText="1"/>
    </xf>
    <xf numFmtId="0" fontId="43" fillId="18" borderId="121" xfId="5" applyFont="1" applyFill="1" applyBorder="1" applyAlignment="1">
      <alignment horizontal="center" vertical="center" wrapText="1"/>
    </xf>
    <xf numFmtId="0" fontId="43" fillId="18" borderId="122" xfId="5" applyFont="1" applyFill="1" applyBorder="1" applyAlignment="1">
      <alignment horizontal="center" vertical="center" wrapText="1"/>
    </xf>
    <xf numFmtId="2" fontId="34" fillId="30" borderId="70" xfId="5" applyNumberFormat="1" applyFont="1" applyFill="1" applyBorder="1" applyAlignment="1">
      <alignment vertical="top" wrapText="1"/>
    </xf>
    <xf numFmtId="14" fontId="34" fillId="19" borderId="77" xfId="5" applyNumberFormat="1" applyFont="1" applyFill="1" applyBorder="1" applyAlignment="1">
      <alignment vertical="center" wrapText="1"/>
    </xf>
    <xf numFmtId="0" fontId="34" fillId="20" borderId="84" xfId="5" applyFont="1" applyFill="1" applyBorder="1"/>
    <xf numFmtId="0" fontId="34" fillId="20" borderId="77" xfId="5" applyFont="1" applyFill="1" applyBorder="1"/>
    <xf numFmtId="0" fontId="34" fillId="20" borderId="85" xfId="5" applyFont="1" applyFill="1" applyBorder="1"/>
    <xf numFmtId="0" fontId="34" fillId="20" borderId="88" xfId="5" applyFont="1" applyFill="1" applyBorder="1"/>
    <xf numFmtId="0" fontId="34" fillId="20" borderId="111" xfId="5" applyFont="1" applyFill="1" applyBorder="1" applyAlignment="1">
      <alignment wrapText="1"/>
    </xf>
    <xf numFmtId="0" fontId="34" fillId="20" borderId="70" xfId="5" applyFont="1" applyFill="1" applyBorder="1" applyAlignment="1">
      <alignment wrapText="1"/>
    </xf>
    <xf numFmtId="0" fontId="34" fillId="20" borderId="112" xfId="5" applyFont="1" applyFill="1" applyBorder="1" applyAlignment="1">
      <alignment wrapText="1"/>
    </xf>
    <xf numFmtId="0" fontId="34" fillId="20" borderId="123" xfId="5" applyFont="1" applyFill="1" applyBorder="1" applyAlignment="1">
      <alignment wrapText="1"/>
    </xf>
    <xf numFmtId="0" fontId="51" fillId="21" borderId="70" xfId="5" applyFont="1" applyFill="1" applyBorder="1" applyAlignment="1">
      <alignment horizontal="center" vertical="center" wrapText="1"/>
    </xf>
    <xf numFmtId="0" fontId="52" fillId="19" borderId="70" xfId="5" applyFont="1" applyFill="1" applyBorder="1" applyAlignment="1">
      <alignment vertical="top" wrapText="1"/>
    </xf>
    <xf numFmtId="0" fontId="53" fillId="19" borderId="70" xfId="5" applyFont="1" applyFill="1" applyBorder="1" applyAlignment="1">
      <alignment vertical="top" wrapText="1"/>
    </xf>
    <xf numFmtId="0" fontId="1" fillId="0" borderId="101" xfId="5" applyBorder="1" applyAlignment="1">
      <alignment vertical="center" wrapText="1"/>
    </xf>
    <xf numFmtId="0" fontId="1" fillId="0" borderId="70" xfId="5" applyBorder="1" applyAlignment="1">
      <alignment vertical="center" wrapText="1"/>
    </xf>
    <xf numFmtId="0" fontId="62" fillId="18" borderId="70" xfId="5" applyFont="1" applyFill="1" applyBorder="1" applyAlignment="1">
      <alignment horizontal="center" vertical="center" wrapText="1"/>
    </xf>
    <xf numFmtId="0" fontId="34" fillId="23" borderId="70" xfId="5" applyFont="1" applyFill="1" applyBorder="1" applyAlignment="1">
      <alignment horizontal="center" vertical="center"/>
    </xf>
    <xf numFmtId="0" fontId="34" fillId="23" borderId="70" xfId="5" applyFont="1" applyFill="1" applyBorder="1" applyAlignment="1">
      <alignment horizontal="left" vertical="center" wrapText="1"/>
    </xf>
    <xf numFmtId="0" fontId="34" fillId="0" borderId="70" xfId="5" applyFont="1" applyBorder="1" applyAlignment="1">
      <alignment horizontal="center" vertical="center"/>
    </xf>
    <xf numFmtId="1" fontId="34" fillId="24" borderId="70" xfId="5" applyNumberFormat="1" applyFont="1" applyFill="1" applyBorder="1" applyAlignment="1">
      <alignment horizontal="center" vertical="center"/>
    </xf>
    <xf numFmtId="0" fontId="34" fillId="23" borderId="70" xfId="5" applyFont="1" applyFill="1" applyBorder="1" applyAlignment="1">
      <alignment horizontal="center" vertical="center" wrapText="1"/>
    </xf>
    <xf numFmtId="2" fontId="34" fillId="24" borderId="70" xfId="5" applyNumberFormat="1" applyFont="1" applyFill="1" applyBorder="1" applyAlignment="1">
      <alignment horizontal="center" vertical="center" wrapText="1"/>
    </xf>
    <xf numFmtId="0" fontId="3" fillId="19" borderId="70" xfId="5" applyFont="1" applyFill="1" applyBorder="1" applyAlignment="1">
      <alignment horizontal="left" vertical="center" wrapText="1"/>
    </xf>
    <xf numFmtId="0" fontId="34" fillId="20" borderId="70" xfId="5" applyFont="1" applyFill="1" applyBorder="1" applyAlignment="1">
      <alignment horizontal="left" wrapText="1"/>
    </xf>
    <xf numFmtId="0" fontId="38" fillId="18" borderId="109" xfId="5" applyFont="1" applyFill="1" applyBorder="1" applyAlignment="1">
      <alignment horizontal="center" wrapText="1"/>
    </xf>
    <xf numFmtId="0" fontId="34" fillId="20" borderId="84" xfId="5" applyFont="1" applyFill="1" applyBorder="1" applyAlignment="1">
      <alignment wrapText="1"/>
    </xf>
    <xf numFmtId="0" fontId="34" fillId="20" borderId="77" xfId="5" applyFont="1" applyFill="1" applyBorder="1" applyAlignment="1">
      <alignment wrapText="1"/>
    </xf>
    <xf numFmtId="0" fontId="34" fillId="20" borderId="85" xfId="5" applyFont="1" applyFill="1" applyBorder="1" applyAlignment="1">
      <alignment wrapText="1"/>
    </xf>
    <xf numFmtId="0" fontId="34" fillId="20" borderId="88" xfId="5" applyFont="1" applyFill="1" applyBorder="1" applyAlignment="1">
      <alignment wrapText="1"/>
    </xf>
    <xf numFmtId="14" fontId="34" fillId="19" borderId="70" xfId="5" applyNumberFormat="1" applyFont="1" applyFill="1" applyBorder="1" applyAlignment="1">
      <alignment vertical="center" wrapText="1"/>
    </xf>
    <xf numFmtId="0" fontId="43" fillId="18" borderId="120" xfId="5" applyFont="1" applyFill="1" applyBorder="1" applyAlignment="1">
      <alignment horizontal="center" vertical="center"/>
    </xf>
    <xf numFmtId="0" fontId="43" fillId="18" borderId="129" xfId="5" applyFont="1" applyFill="1" applyBorder="1" applyAlignment="1">
      <alignment horizontal="center" vertical="center" wrapText="1"/>
    </xf>
    <xf numFmtId="0" fontId="43" fillId="18" borderId="119" xfId="5" applyFont="1" applyFill="1" applyBorder="1" applyAlignment="1">
      <alignment horizontal="center" vertical="center" wrapText="1"/>
    </xf>
    <xf numFmtId="0" fontId="62" fillId="18" borderId="120" xfId="5" applyFont="1" applyFill="1" applyBorder="1" applyAlignment="1">
      <alignment horizontal="center" vertical="center" wrapText="1"/>
    </xf>
    <xf numFmtId="0" fontId="34" fillId="23" borderId="124" xfId="5" applyFont="1" applyFill="1" applyBorder="1" applyAlignment="1">
      <alignment horizontal="center" vertical="center"/>
    </xf>
    <xf numFmtId="0" fontId="34" fillId="23" borderId="76" xfId="5" applyFont="1" applyFill="1" applyBorder="1" applyAlignment="1">
      <alignment horizontal="left" vertical="center" wrapText="1"/>
    </xf>
    <xf numFmtId="0" fontId="34" fillId="21" borderId="76" xfId="5" applyFont="1" applyFill="1" applyBorder="1" applyAlignment="1">
      <alignment horizontal="center" vertical="center" wrapText="1"/>
    </xf>
    <xf numFmtId="0" fontId="34" fillId="23" borderId="76" xfId="5" applyFont="1" applyFill="1" applyBorder="1" applyAlignment="1">
      <alignment horizontal="center" vertical="center"/>
    </xf>
    <xf numFmtId="0" fontId="34" fillId="0" borderId="130" xfId="5" applyFont="1" applyBorder="1" applyAlignment="1">
      <alignment horizontal="center" vertical="center"/>
    </xf>
    <xf numFmtId="0" fontId="34" fillId="21" borderId="131" xfId="5" applyFont="1" applyFill="1" applyBorder="1" applyAlignment="1">
      <alignment horizontal="center" vertical="center"/>
    </xf>
    <xf numFmtId="0" fontId="3" fillId="19" borderId="83" xfId="5" applyFont="1" applyFill="1" applyBorder="1" applyAlignment="1">
      <alignment horizontal="left" vertical="center" wrapText="1"/>
    </xf>
    <xf numFmtId="0" fontId="34" fillId="19" borderId="77" xfId="5" applyFont="1" applyFill="1" applyBorder="1" applyAlignment="1">
      <alignment horizontal="left" vertical="center" wrapText="1"/>
    </xf>
    <xf numFmtId="0" fontId="34" fillId="24" borderId="77" xfId="5" applyFont="1" applyFill="1" applyBorder="1" applyAlignment="1">
      <alignment horizontal="center" vertical="center"/>
    </xf>
    <xf numFmtId="2" fontId="34" fillId="24" borderId="77" xfId="5" applyNumberFormat="1" applyFont="1" applyFill="1" applyBorder="1" applyAlignment="1">
      <alignment horizontal="center" vertical="center"/>
    </xf>
    <xf numFmtId="2" fontId="34" fillId="24" borderId="85" xfId="5" applyNumberFormat="1" applyFont="1" applyFill="1" applyBorder="1" applyAlignment="1">
      <alignment horizontal="center" vertical="center"/>
    </xf>
    <xf numFmtId="2" fontId="34" fillId="24" borderId="93" xfId="5" applyNumberFormat="1" applyFont="1" applyFill="1" applyBorder="1" applyAlignment="1">
      <alignment horizontal="center" vertical="center"/>
    </xf>
    <xf numFmtId="2" fontId="34" fillId="24" borderId="76" xfId="5" applyNumberFormat="1" applyFont="1" applyFill="1" applyBorder="1" applyAlignment="1">
      <alignment horizontal="center" vertical="center"/>
    </xf>
    <xf numFmtId="1" fontId="34" fillId="24" borderId="76" xfId="5" applyNumberFormat="1" applyFont="1" applyFill="1" applyBorder="1" applyAlignment="1">
      <alignment horizontal="center" vertical="center"/>
    </xf>
    <xf numFmtId="0" fontId="34" fillId="0" borderId="76" xfId="5" applyFont="1" applyBorder="1" applyAlignment="1">
      <alignment horizontal="center" vertical="center"/>
    </xf>
    <xf numFmtId="0" fontId="34" fillId="23" borderId="89" xfId="5" applyFont="1" applyFill="1" applyBorder="1" applyAlignment="1">
      <alignment horizontal="center" vertical="center" wrapText="1"/>
    </xf>
    <xf numFmtId="0" fontId="34" fillId="23" borderId="75" xfId="5" applyFont="1" applyFill="1" applyBorder="1" applyAlignment="1">
      <alignment horizontal="left" vertical="center" wrapText="1"/>
    </xf>
    <xf numFmtId="0" fontId="34" fillId="21" borderId="75" xfId="5" applyFont="1" applyFill="1" applyBorder="1" applyAlignment="1">
      <alignment horizontal="center" vertical="center" wrapText="1"/>
    </xf>
    <xf numFmtId="0" fontId="34" fillId="23" borderId="75" xfId="5" applyFont="1" applyFill="1" applyBorder="1" applyAlignment="1">
      <alignment horizontal="center" vertical="center"/>
    </xf>
    <xf numFmtId="0" fontId="34" fillId="23" borderId="75" xfId="5" applyFont="1" applyFill="1" applyBorder="1" applyAlignment="1">
      <alignment horizontal="center" vertical="center" wrapText="1"/>
    </xf>
    <xf numFmtId="0" fontId="34" fillId="0" borderId="90" xfId="5" applyFont="1" applyBorder="1" applyAlignment="1">
      <alignment horizontal="center" vertical="center"/>
    </xf>
    <xf numFmtId="0" fontId="34" fillId="21" borderId="91" xfId="5" applyFont="1" applyFill="1" applyBorder="1" applyAlignment="1">
      <alignment horizontal="center" vertical="center" wrapText="1"/>
    </xf>
    <xf numFmtId="0" fontId="3" fillId="19" borderId="102" xfId="5" applyFont="1" applyFill="1" applyBorder="1" applyAlignment="1">
      <alignment horizontal="left" vertical="center" wrapText="1"/>
    </xf>
    <xf numFmtId="2" fontId="34" fillId="24" borderId="112" xfId="5" applyNumberFormat="1" applyFont="1" applyFill="1" applyBorder="1" applyAlignment="1">
      <alignment horizontal="center" vertical="center"/>
    </xf>
    <xf numFmtId="2" fontId="34" fillId="24" borderId="80" xfId="5" applyNumberFormat="1" applyFont="1" applyFill="1" applyBorder="1" applyAlignment="1">
      <alignment horizontal="center" vertical="center" wrapText="1"/>
    </xf>
    <xf numFmtId="2" fontId="34" fillId="24" borderId="75" xfId="5" applyNumberFormat="1" applyFont="1" applyFill="1" applyBorder="1" applyAlignment="1">
      <alignment horizontal="center" vertical="center" wrapText="1"/>
    </xf>
    <xf numFmtId="1" fontId="34" fillId="24" borderId="75" xfId="5" applyNumberFormat="1" applyFont="1" applyFill="1" applyBorder="1" applyAlignment="1">
      <alignment horizontal="center" vertical="center"/>
    </xf>
    <xf numFmtId="2" fontId="34" fillId="24" borderId="75" xfId="5" applyNumberFormat="1" applyFont="1" applyFill="1" applyBorder="1" applyAlignment="1">
      <alignment horizontal="center" vertical="center"/>
    </xf>
    <xf numFmtId="0" fontId="34" fillId="0" borderId="75" xfId="5" applyFont="1" applyBorder="1" applyAlignment="1">
      <alignment horizontal="center" vertical="center"/>
    </xf>
    <xf numFmtId="0" fontId="3" fillId="23" borderId="89" xfId="5" applyFont="1" applyFill="1" applyBorder="1" applyAlignment="1">
      <alignment horizontal="center" vertical="center" wrapText="1"/>
    </xf>
    <xf numFmtId="0" fontId="1" fillId="21" borderId="70" xfId="5" applyFill="1" applyBorder="1"/>
    <xf numFmtId="0" fontId="34" fillId="24" borderId="70" xfId="5" quotePrefix="1" applyNumberFormat="1" applyFont="1" applyFill="1" applyBorder="1" applyAlignment="1">
      <alignment horizontal="left" vertical="center" wrapText="1"/>
    </xf>
    <xf numFmtId="0" fontId="3" fillId="20" borderId="70" xfId="5" applyFont="1" applyFill="1" applyBorder="1" applyAlignment="1">
      <alignment horizontal="left" vertical="center" wrapText="1"/>
    </xf>
    <xf numFmtId="2" fontId="34" fillId="31" borderId="70" xfId="5" applyNumberFormat="1" applyFont="1" applyFill="1" applyBorder="1" applyAlignment="1">
      <alignment vertical="top" wrapText="1"/>
    </xf>
    <xf numFmtId="0" fontId="34" fillId="0" borderId="113" xfId="5" applyFont="1" applyBorder="1" applyAlignment="1">
      <alignment horizontal="center" vertical="center"/>
    </xf>
    <xf numFmtId="0" fontId="34" fillId="0" borderId="78" xfId="5" applyFont="1" applyBorder="1" applyAlignment="1">
      <alignment horizontal="center" vertical="center"/>
    </xf>
    <xf numFmtId="0" fontId="34" fillId="20" borderId="112" xfId="5" applyFont="1" applyFill="1" applyBorder="1" applyAlignment="1">
      <alignment horizontal="left"/>
    </xf>
    <xf numFmtId="0" fontId="34" fillId="20" borderId="70" xfId="5" quotePrefix="1" applyFont="1" applyFill="1" applyBorder="1" applyAlignment="1">
      <alignment horizontal="left" wrapText="1"/>
    </xf>
    <xf numFmtId="0" fontId="3" fillId="19" borderId="70" xfId="5" applyFont="1" applyFill="1" applyBorder="1" applyAlignment="1">
      <alignment vertical="center" wrapText="1"/>
    </xf>
    <xf numFmtId="0" fontId="3" fillId="23" borderId="70" xfId="5" applyFont="1" applyFill="1" applyBorder="1" applyAlignment="1">
      <alignment horizontal="center" vertical="center" wrapText="1"/>
    </xf>
    <xf numFmtId="0" fontId="3" fillId="19" borderId="70" xfId="5" quotePrefix="1" applyFont="1" applyFill="1" applyBorder="1" applyAlignment="1">
      <alignment vertical="center" wrapText="1"/>
    </xf>
    <xf numFmtId="0" fontId="34" fillId="20" borderId="70" xfId="5" quotePrefix="1" applyFont="1" applyFill="1" applyBorder="1" applyAlignment="1">
      <alignment horizontal="left" vertical="center" wrapText="1"/>
    </xf>
    <xf numFmtId="0" fontId="34" fillId="20" borderId="112" xfId="5" applyFont="1" applyFill="1" applyBorder="1" applyAlignment="1">
      <alignment horizontal="left" vertical="center" wrapText="1"/>
    </xf>
    <xf numFmtId="0" fontId="34" fillId="24" borderId="70" xfId="5" quotePrefix="1" applyFont="1" applyFill="1" applyBorder="1" applyAlignment="1">
      <alignment horizontal="left" vertical="top" wrapText="1"/>
    </xf>
    <xf numFmtId="0" fontId="60" fillId="0" borderId="70" xfId="5" applyFont="1" applyBorder="1" applyAlignment="1">
      <alignment vertical="center"/>
    </xf>
    <xf numFmtId="0" fontId="34" fillId="23" borderId="76" xfId="5" applyFont="1" applyFill="1" applyBorder="1" applyAlignment="1">
      <alignment horizontal="left" vertical="top" wrapText="1"/>
    </xf>
    <xf numFmtId="0" fontId="34" fillId="19" borderId="83" xfId="5" applyFont="1" applyFill="1" applyBorder="1" applyAlignment="1">
      <alignment horizontal="left" vertical="center" wrapText="1"/>
    </xf>
    <xf numFmtId="0" fontId="34" fillId="19" borderId="102" xfId="5" quotePrefix="1" applyFont="1" applyFill="1" applyBorder="1" applyAlignment="1">
      <alignment horizontal="left" vertical="center" wrapText="1"/>
    </xf>
    <xf numFmtId="0" fontId="34" fillId="19" borderId="102" xfId="5" applyFont="1" applyFill="1" applyBorder="1" applyAlignment="1">
      <alignment vertical="center" wrapText="1"/>
    </xf>
    <xf numFmtId="0" fontId="43" fillId="18" borderId="97" xfId="5" applyFont="1" applyFill="1" applyBorder="1" applyAlignment="1">
      <alignment horizontal="center" vertical="center" wrapText="1"/>
    </xf>
    <xf numFmtId="0" fontId="43" fillId="18" borderId="98" xfId="5" applyFont="1" applyFill="1" applyBorder="1" applyAlignment="1">
      <alignment horizontal="center" vertical="center" wrapText="1"/>
    </xf>
    <xf numFmtId="0" fontId="43" fillId="18" borderId="98" xfId="5" applyFont="1" applyFill="1" applyBorder="1" applyAlignment="1">
      <alignment horizontal="center" vertical="center"/>
    </xf>
    <xf numFmtId="0" fontId="62" fillId="18" borderId="98" xfId="5" applyFont="1" applyFill="1" applyBorder="1" applyAlignment="1">
      <alignment horizontal="center" vertical="center" wrapText="1"/>
    </xf>
    <xf numFmtId="0" fontId="34" fillId="23" borderId="111" xfId="5" applyFont="1" applyFill="1" applyBorder="1" applyAlignment="1">
      <alignment horizontal="center" vertical="center"/>
    </xf>
    <xf numFmtId="0" fontId="34" fillId="23" borderId="111" xfId="5" applyFont="1" applyFill="1" applyBorder="1" applyAlignment="1">
      <alignment horizontal="center" vertical="center" wrapText="1"/>
    </xf>
    <xf numFmtId="0" fontId="3" fillId="23" borderId="111" xfId="5" applyFont="1" applyFill="1" applyBorder="1" applyAlignment="1">
      <alignment horizontal="center" vertical="center" wrapText="1"/>
    </xf>
    <xf numFmtId="0" fontId="34" fillId="19" borderId="70" xfId="5" applyFont="1" applyFill="1" applyBorder="1" applyAlignment="1">
      <alignment horizontal="center" vertical="center" wrapText="1"/>
    </xf>
    <xf numFmtId="0" fontId="34" fillId="19" borderId="70" xfId="5" quotePrefix="1" applyFont="1" applyFill="1" applyBorder="1" applyAlignment="1">
      <alignment horizontal="center" vertical="center" wrapText="1"/>
    </xf>
    <xf numFmtId="14" fontId="34" fillId="19" borderId="70" xfId="5" applyNumberFormat="1" applyFont="1" applyFill="1" applyBorder="1" applyAlignment="1">
      <alignment horizontal="center" vertical="center" wrapText="1"/>
    </xf>
    <xf numFmtId="14" fontId="34" fillId="19" borderId="70" xfId="5" applyNumberFormat="1" applyFont="1" applyFill="1" applyBorder="1" applyAlignment="1">
      <alignment horizontal="center" vertical="center"/>
    </xf>
    <xf numFmtId="0" fontId="3" fillId="19" borderId="70" xfId="5" applyFont="1" applyFill="1" applyBorder="1" applyAlignment="1">
      <alignment horizontal="center" vertical="center" wrapText="1"/>
    </xf>
    <xf numFmtId="0" fontId="34" fillId="19" borderId="120" xfId="5" applyFont="1" applyFill="1" applyBorder="1" applyAlignment="1">
      <alignment horizontal="center" vertical="center" wrapText="1"/>
    </xf>
    <xf numFmtId="0" fontId="34" fillId="19" borderId="120" xfId="5" quotePrefix="1" applyFont="1" applyFill="1" applyBorder="1" applyAlignment="1">
      <alignment horizontal="center" vertical="center" wrapText="1"/>
    </xf>
    <xf numFmtId="14" fontId="34" fillId="19" borderId="120" xfId="5" applyNumberFormat="1" applyFont="1" applyFill="1" applyBorder="1" applyAlignment="1">
      <alignment horizontal="center" vertical="center" wrapText="1"/>
    </xf>
    <xf numFmtId="0" fontId="0" fillId="3" borderId="2" xfId="0" applyFont="1" applyFill="1" applyBorder="1" applyAlignment="1">
      <alignment horizontal="left" vertical="center" wrapText="1"/>
    </xf>
    <xf numFmtId="0" fontId="3" fillId="0" borderId="3" xfId="0" applyFont="1" applyBorder="1"/>
    <xf numFmtId="0" fontId="3" fillId="0" borderId="4" xfId="0" applyFont="1" applyBorder="1"/>
    <xf numFmtId="0" fontId="3" fillId="0" borderId="5" xfId="0" applyFont="1" applyBorder="1"/>
    <xf numFmtId="0" fontId="0" fillId="0" borderId="0" xfId="0" applyFont="1" applyAlignment="1"/>
    <xf numFmtId="0" fontId="3" fillId="0" borderId="1" xfId="0" applyFont="1" applyBorder="1"/>
    <xf numFmtId="0" fontId="3" fillId="0" borderId="6" xfId="0" applyFont="1" applyBorder="1"/>
    <xf numFmtId="0" fontId="3" fillId="0" borderId="7" xfId="0" applyFont="1" applyBorder="1"/>
    <xf numFmtId="0" fontId="3" fillId="0" borderId="8" xfId="0" applyFont="1" applyBorder="1"/>
    <xf numFmtId="0" fontId="6" fillId="3" borderId="13" xfId="0" applyFont="1" applyFill="1" applyBorder="1" applyAlignment="1">
      <alignment horizontal="center" vertical="center"/>
    </xf>
    <xf numFmtId="0" fontId="3" fillId="0" borderId="14" xfId="0" applyFont="1" applyBorder="1"/>
    <xf numFmtId="0" fontId="3" fillId="0" borderId="15" xfId="0" applyFont="1" applyBorder="1"/>
    <xf numFmtId="0" fontId="7" fillId="3" borderId="17" xfId="0" applyFont="1" applyFill="1" applyBorder="1" applyAlignment="1">
      <alignment horizontal="left" vertical="center"/>
    </xf>
    <xf numFmtId="0" fontId="3" fillId="0" borderId="18" xfId="0" applyFont="1" applyBorder="1"/>
    <xf numFmtId="0" fontId="3" fillId="0" borderId="19" xfId="0" applyFont="1" applyBorder="1"/>
    <xf numFmtId="0" fontId="7" fillId="3" borderId="24" xfId="0" applyFont="1" applyFill="1" applyBorder="1" applyAlignment="1">
      <alignment horizontal="left" vertical="center"/>
    </xf>
    <xf numFmtId="0" fontId="3" fillId="0" borderId="25" xfId="0" applyFont="1" applyBorder="1"/>
    <xf numFmtId="0" fontId="3" fillId="0" borderId="26" xfId="0" applyFont="1" applyBorder="1"/>
    <xf numFmtId="0" fontId="0" fillId="0" borderId="0" xfId="0" applyFont="1" applyAlignment="1">
      <alignment horizontal="center"/>
    </xf>
    <xf numFmtId="0" fontId="4" fillId="0" borderId="2" xfId="0" applyFont="1" applyBorder="1" applyAlignment="1">
      <alignment horizontal="center" vertical="center"/>
    </xf>
    <xf numFmtId="0" fontId="5" fillId="0" borderId="2" xfId="0" applyFont="1" applyBorder="1" applyAlignment="1">
      <alignment horizontal="left" vertical="center"/>
    </xf>
    <xf numFmtId="0" fontId="5" fillId="0" borderId="9" xfId="0" applyFont="1" applyBorder="1" applyAlignment="1">
      <alignment horizontal="left"/>
    </xf>
    <xf numFmtId="0" fontId="3" fillId="0" borderId="10" xfId="0" applyFont="1" applyBorder="1"/>
    <xf numFmtId="0" fontId="3" fillId="0" borderId="11" xfId="0" applyFont="1" applyBorder="1"/>
    <xf numFmtId="0" fontId="0" fillId="0" borderId="2" xfId="0" applyFont="1" applyBorder="1" applyAlignment="1">
      <alignment horizontal="left" vertical="center" wrapText="1"/>
    </xf>
    <xf numFmtId="0" fontId="0" fillId="3" borderId="2" xfId="0" applyFont="1" applyFill="1" applyBorder="1" applyAlignment="1">
      <alignment vertical="center" wrapText="1"/>
    </xf>
    <xf numFmtId="0" fontId="9" fillId="8" borderId="32" xfId="0" applyFont="1" applyFill="1" applyBorder="1" applyAlignment="1">
      <alignment horizontal="center" vertical="center"/>
    </xf>
    <xf numFmtId="0" fontId="3" fillId="0" borderId="33" xfId="0" applyFont="1" applyBorder="1"/>
    <xf numFmtId="0" fontId="35" fillId="6" borderId="9" xfId="0" applyFont="1" applyFill="1" applyBorder="1" applyAlignment="1">
      <alignment horizontal="left" vertical="top" wrapText="1"/>
    </xf>
    <xf numFmtId="0" fontId="5" fillId="0" borderId="1" xfId="0" applyFont="1" applyBorder="1" applyAlignment="1">
      <alignment horizontal="center"/>
    </xf>
    <xf numFmtId="0" fontId="8" fillId="0" borderId="2" xfId="0" applyFont="1" applyBorder="1" applyAlignment="1">
      <alignment horizontal="center" vertical="center"/>
    </xf>
    <xf numFmtId="0" fontId="5" fillId="0" borderId="27" xfId="0" applyFont="1" applyBorder="1" applyAlignment="1">
      <alignment horizontal="left" vertical="center"/>
    </xf>
    <xf numFmtId="0" fontId="3" fillId="0" borderId="28" xfId="0" applyFont="1" applyBorder="1"/>
    <xf numFmtId="0" fontId="9" fillId="8" borderId="13" xfId="0" applyFont="1" applyFill="1" applyBorder="1" applyAlignment="1">
      <alignment horizontal="center" vertical="center"/>
    </xf>
    <xf numFmtId="0" fontId="3" fillId="0" borderId="29" xfId="0" applyFont="1" applyBorder="1"/>
    <xf numFmtId="0" fontId="14" fillId="8" borderId="9" xfId="0" applyFont="1" applyFill="1" applyBorder="1" applyAlignment="1">
      <alignment horizontal="center" vertical="center"/>
    </xf>
    <xf numFmtId="0" fontId="15" fillId="8" borderId="9" xfId="0" applyFont="1" applyFill="1" applyBorder="1" applyAlignment="1">
      <alignment horizontal="center"/>
    </xf>
    <xf numFmtId="0" fontId="15" fillId="8" borderId="9" xfId="0" applyFont="1" applyFill="1" applyBorder="1" applyAlignment="1">
      <alignment horizontal="center" vertical="center"/>
    </xf>
    <xf numFmtId="0" fontId="5" fillId="0" borderId="0" xfId="0" applyFont="1" applyAlignment="1">
      <alignment horizontal="center"/>
    </xf>
    <xf numFmtId="0" fontId="4" fillId="0" borderId="0" xfId="0" applyFont="1" applyAlignment="1">
      <alignment horizontal="center" vertical="center"/>
    </xf>
    <xf numFmtId="0" fontId="13" fillId="0" borderId="27" xfId="0" applyFont="1" applyBorder="1" applyAlignment="1">
      <alignment horizontal="left" vertical="center"/>
    </xf>
    <xf numFmtId="0" fontId="4" fillId="0" borderId="9" xfId="0" applyFont="1" applyBorder="1" applyAlignment="1">
      <alignment horizontal="left" vertical="center"/>
    </xf>
    <xf numFmtId="0" fontId="37" fillId="0" borderId="9" xfId="0" applyFont="1" applyBorder="1" applyAlignment="1">
      <alignment horizontal="left" vertical="center"/>
    </xf>
    <xf numFmtId="0" fontId="15" fillId="8" borderId="74" xfId="0" applyFont="1" applyFill="1" applyBorder="1" applyAlignment="1">
      <alignment horizontal="center"/>
    </xf>
    <xf numFmtId="0" fontId="3" fillId="0" borderId="71" xfId="0" applyFont="1" applyBorder="1"/>
    <xf numFmtId="0" fontId="3" fillId="0" borderId="72" xfId="0" applyFont="1" applyBorder="1"/>
    <xf numFmtId="0" fontId="5" fillId="0" borderId="2" xfId="0" applyFont="1" applyBorder="1" applyAlignment="1">
      <alignment horizontal="center" vertical="center"/>
    </xf>
    <xf numFmtId="0" fontId="18" fillId="0" borderId="2" xfId="0" applyFont="1" applyBorder="1" applyAlignment="1">
      <alignment horizontal="center" vertical="center"/>
    </xf>
    <xf numFmtId="0" fontId="19" fillId="0" borderId="27" xfId="0" applyFont="1" applyBorder="1" applyAlignment="1">
      <alignment horizontal="left"/>
    </xf>
    <xf numFmtId="0" fontId="20" fillId="8" borderId="74" xfId="0" applyFont="1" applyFill="1" applyBorder="1" applyAlignment="1">
      <alignment horizontal="center" vertical="center" wrapText="1"/>
    </xf>
    <xf numFmtId="0" fontId="15" fillId="8" borderId="73" xfId="0" applyFont="1" applyFill="1" applyBorder="1" applyAlignment="1">
      <alignment horizontal="center"/>
    </xf>
    <xf numFmtId="0" fontId="15" fillId="8" borderId="71" xfId="0" applyFont="1" applyFill="1" applyBorder="1" applyAlignment="1">
      <alignment horizontal="center"/>
    </xf>
    <xf numFmtId="2" fontId="0" fillId="10" borderId="70" xfId="0" applyNumberFormat="1" applyFont="1" applyFill="1" applyBorder="1" applyAlignment="1">
      <alignment horizontal="center" vertical="center"/>
    </xf>
    <xf numFmtId="0" fontId="3" fillId="0" borderId="70" xfId="0" applyFont="1" applyBorder="1"/>
    <xf numFmtId="0" fontId="0" fillId="0" borderId="70" xfId="0" applyFont="1" applyBorder="1" applyAlignment="1">
      <alignment horizontal="center" vertical="center"/>
    </xf>
    <xf numFmtId="0" fontId="34" fillId="5" borderId="70" xfId="0" applyFont="1" applyFill="1" applyBorder="1" applyAlignment="1">
      <alignment horizontal="center" vertical="center" wrapText="1"/>
    </xf>
    <xf numFmtId="0" fontId="0" fillId="4" borderId="70" xfId="0" applyFont="1" applyFill="1" applyBorder="1" applyAlignment="1">
      <alignment horizontal="center" vertical="center"/>
    </xf>
    <xf numFmtId="0" fontId="0" fillId="5" borderId="70" xfId="0" applyFont="1" applyFill="1" applyBorder="1" applyAlignment="1">
      <alignment horizontal="center" vertical="center"/>
    </xf>
    <xf numFmtId="1" fontId="0" fillId="10" borderId="70" xfId="0" applyNumberFormat="1" applyFont="1" applyFill="1" applyBorder="1" applyAlignment="1">
      <alignment horizontal="center" vertical="center"/>
    </xf>
    <xf numFmtId="0" fontId="0" fillId="4" borderId="75" xfId="0" applyFont="1" applyFill="1" applyBorder="1" applyAlignment="1">
      <alignment horizontal="center" vertical="center" wrapText="1"/>
    </xf>
    <xf numFmtId="0" fontId="0" fillId="4" borderId="76" xfId="0" applyFont="1" applyFill="1" applyBorder="1" applyAlignment="1">
      <alignment horizontal="center" vertical="center" wrapText="1"/>
    </xf>
    <xf numFmtId="0" fontId="0" fillId="4" borderId="77" xfId="0" applyFont="1" applyFill="1" applyBorder="1" applyAlignment="1">
      <alignment horizontal="center" vertical="center" wrapText="1"/>
    </xf>
    <xf numFmtId="0" fontId="0" fillId="4" borderId="70" xfId="0" applyFont="1" applyFill="1" applyBorder="1" applyAlignment="1">
      <alignment horizontal="left" vertical="center" wrapText="1"/>
    </xf>
    <xf numFmtId="0" fontId="0" fillId="5" borderId="70" xfId="0" applyFont="1" applyFill="1" applyBorder="1" applyAlignment="1">
      <alignment horizontal="center" vertical="center" wrapText="1"/>
    </xf>
    <xf numFmtId="0" fontId="3" fillId="0" borderId="70" xfId="0" applyFont="1" applyBorder="1" applyAlignment="1">
      <alignment horizontal="center"/>
    </xf>
    <xf numFmtId="1" fontId="0" fillId="10" borderId="75" xfId="0" applyNumberFormat="1" applyFont="1" applyFill="1" applyBorder="1" applyAlignment="1">
      <alignment horizontal="center" vertical="center"/>
    </xf>
    <xf numFmtId="1" fontId="0" fillId="10" borderId="76" xfId="0" applyNumberFormat="1" applyFont="1" applyFill="1" applyBorder="1" applyAlignment="1">
      <alignment horizontal="center" vertical="center"/>
    </xf>
    <xf numFmtId="1" fontId="0" fillId="10" borderId="77" xfId="0" applyNumberFormat="1" applyFont="1" applyFill="1" applyBorder="1" applyAlignment="1">
      <alignment horizontal="center" vertical="center"/>
    </xf>
    <xf numFmtId="0" fontId="0" fillId="4" borderId="70" xfId="0" applyFont="1" applyFill="1" applyBorder="1" applyAlignment="1">
      <alignment horizontal="center" vertical="center" wrapText="1"/>
    </xf>
    <xf numFmtId="2" fontId="0" fillId="10" borderId="70" xfId="0" applyNumberFormat="1" applyFont="1" applyFill="1" applyBorder="1" applyAlignment="1">
      <alignment horizontal="center" vertical="center" wrapText="1"/>
    </xf>
    <xf numFmtId="0" fontId="34" fillId="5" borderId="75" xfId="0" applyFont="1" applyFill="1" applyBorder="1" applyAlignment="1">
      <alignment horizontal="center" vertical="center" wrapText="1"/>
    </xf>
    <xf numFmtId="0" fontId="0" fillId="5" borderId="76" xfId="0" applyFont="1" applyFill="1" applyBorder="1" applyAlignment="1">
      <alignment horizontal="center" vertical="center" wrapText="1"/>
    </xf>
    <xf numFmtId="0" fontId="0" fillId="5" borderId="77" xfId="0" applyFont="1" applyFill="1" applyBorder="1" applyAlignment="1">
      <alignment horizontal="center" vertical="center" wrapText="1"/>
    </xf>
    <xf numFmtId="0" fontId="0" fillId="5" borderId="75" xfId="0" applyFont="1" applyFill="1" applyBorder="1" applyAlignment="1">
      <alignment horizontal="center" vertical="center" wrapText="1"/>
    </xf>
    <xf numFmtId="0" fontId="0" fillId="4" borderId="75" xfId="0" applyFont="1" applyFill="1" applyBorder="1" applyAlignment="1">
      <alignment horizontal="center" vertical="center"/>
    </xf>
    <xf numFmtId="0" fontId="0" fillId="4" borderId="76" xfId="0" applyFont="1" applyFill="1" applyBorder="1" applyAlignment="1">
      <alignment horizontal="center" vertical="center"/>
    </xf>
    <xf numFmtId="0" fontId="0" fillId="4" borderId="77" xfId="0" applyFont="1" applyFill="1" applyBorder="1" applyAlignment="1">
      <alignment horizontal="center" vertical="center"/>
    </xf>
    <xf numFmtId="0" fontId="0" fillId="0" borderId="75" xfId="0" applyFont="1" applyBorder="1" applyAlignment="1">
      <alignment horizontal="center" vertical="center"/>
    </xf>
    <xf numFmtId="0" fontId="0" fillId="0" borderId="76" xfId="0" applyFont="1" applyBorder="1" applyAlignment="1">
      <alignment horizontal="center" vertical="center"/>
    </xf>
    <xf numFmtId="0" fontId="0" fillId="0" borderId="77" xfId="0" applyFont="1" applyBorder="1" applyAlignment="1">
      <alignment horizontal="center" vertical="center"/>
    </xf>
    <xf numFmtId="2" fontId="0" fillId="10" borderId="75" xfId="0" applyNumberFormat="1" applyFont="1" applyFill="1" applyBorder="1" applyAlignment="1">
      <alignment horizontal="center" vertical="center"/>
    </xf>
    <xf numFmtId="2" fontId="0" fillId="10" borderId="76" xfId="0" applyNumberFormat="1" applyFont="1" applyFill="1" applyBorder="1" applyAlignment="1">
      <alignment horizontal="center" vertical="center"/>
    </xf>
    <xf numFmtId="2" fontId="0" fillId="10" borderId="77" xfId="0" applyNumberFormat="1" applyFont="1" applyFill="1" applyBorder="1" applyAlignment="1">
      <alignment horizontal="center" vertical="center"/>
    </xf>
    <xf numFmtId="2" fontId="0" fillId="10" borderId="75" xfId="0" applyNumberFormat="1" applyFont="1" applyFill="1" applyBorder="1" applyAlignment="1">
      <alignment horizontal="center" vertical="center" wrapText="1"/>
    </xf>
    <xf numFmtId="2" fontId="0" fillId="10" borderId="76" xfId="0" applyNumberFormat="1" applyFont="1" applyFill="1" applyBorder="1" applyAlignment="1">
      <alignment horizontal="center" vertical="center" wrapText="1"/>
    </xf>
    <xf numFmtId="2" fontId="0" fillId="10" borderId="77" xfId="0" applyNumberFormat="1" applyFont="1" applyFill="1" applyBorder="1" applyAlignment="1">
      <alignment horizontal="center" vertical="center" wrapText="1"/>
    </xf>
    <xf numFmtId="0" fontId="5" fillId="0" borderId="2" xfId="0" applyFont="1" applyBorder="1" applyAlignment="1">
      <alignment horizontal="center"/>
    </xf>
    <xf numFmtId="0" fontId="23" fillId="0" borderId="2" xfId="0" applyFont="1" applyBorder="1" applyAlignment="1">
      <alignment horizontal="center" vertical="center"/>
    </xf>
    <xf numFmtId="0" fontId="13" fillId="0" borderId="2" xfId="0" applyFont="1" applyBorder="1" applyAlignment="1">
      <alignment horizontal="left" vertical="center"/>
    </xf>
    <xf numFmtId="0" fontId="15" fillId="8" borderId="54" xfId="0" applyFont="1" applyFill="1" applyBorder="1" applyAlignment="1">
      <alignment horizontal="center" vertical="center" wrapText="1"/>
    </xf>
    <xf numFmtId="0" fontId="3" fillId="0" borderId="55" xfId="0" applyFont="1" applyBorder="1"/>
    <xf numFmtId="0" fontId="3" fillId="0" borderId="56" xfId="0" applyFont="1" applyBorder="1"/>
    <xf numFmtId="0" fontId="5" fillId="0" borderId="27" xfId="0" applyFont="1" applyBorder="1" applyAlignment="1">
      <alignment horizontal="center" vertical="center" wrapText="1"/>
    </xf>
    <xf numFmtId="0" fontId="24" fillId="11" borderId="9" xfId="0" applyFont="1" applyFill="1" applyBorder="1" applyAlignment="1">
      <alignment horizontal="center" vertical="center" wrapText="1"/>
    </xf>
    <xf numFmtId="0" fontId="3" fillId="0" borderId="57" xfId="0" applyFont="1" applyBorder="1"/>
    <xf numFmtId="0" fontId="5" fillId="0" borderId="27" xfId="0" applyFont="1" applyBorder="1" applyAlignment="1">
      <alignment horizontal="center" vertical="center"/>
    </xf>
    <xf numFmtId="0" fontId="5" fillId="0" borderId="27" xfId="0" applyFont="1" applyBorder="1" applyAlignment="1">
      <alignment horizontal="left" vertical="center" wrapText="1"/>
    </xf>
    <xf numFmtId="0" fontId="5" fillId="0" borderId="27" xfId="0" applyFont="1" applyBorder="1" applyAlignment="1">
      <alignment horizontal="left" vertical="top" wrapText="1"/>
    </xf>
    <xf numFmtId="0" fontId="24" fillId="0" borderId="27" xfId="0" applyFont="1" applyBorder="1" applyAlignment="1">
      <alignment horizontal="center" vertical="center"/>
    </xf>
    <xf numFmtId="2" fontId="5" fillId="0" borderId="27" xfId="0" applyNumberFormat="1" applyFont="1" applyBorder="1" applyAlignment="1">
      <alignment horizontal="center" vertical="center"/>
    </xf>
    <xf numFmtId="0" fontId="3" fillId="0" borderId="42" xfId="0" applyFont="1" applyBorder="1"/>
    <xf numFmtId="0" fontId="5" fillId="0" borderId="27" xfId="0" applyFont="1" applyBorder="1" applyAlignment="1">
      <alignment horizontal="center"/>
    </xf>
    <xf numFmtId="164" fontId="5" fillId="0" borderId="27" xfId="0" applyNumberFormat="1" applyFont="1" applyBorder="1" applyAlignment="1">
      <alignment horizontal="center"/>
    </xf>
    <xf numFmtId="0" fontId="5" fillId="0" borderId="27" xfId="0" applyFont="1" applyBorder="1" applyAlignment="1">
      <alignment horizontal="center" wrapText="1"/>
    </xf>
    <xf numFmtId="0" fontId="12" fillId="0" borderId="2" xfId="0" applyFont="1" applyBorder="1" applyAlignment="1">
      <alignment horizontal="center"/>
    </xf>
    <xf numFmtId="0" fontId="25" fillId="0" borderId="2" xfId="0" applyFont="1" applyBorder="1" applyAlignment="1">
      <alignment horizontal="left" vertical="center"/>
    </xf>
    <xf numFmtId="0" fontId="0" fillId="0" borderId="9" xfId="0" applyFont="1" applyBorder="1" applyAlignment="1">
      <alignment horizontal="left" vertical="center"/>
    </xf>
    <xf numFmtId="0" fontId="21" fillId="8" borderId="35" xfId="0" applyFont="1" applyFill="1" applyBorder="1" applyAlignment="1">
      <alignment horizontal="center" vertical="center" wrapText="1"/>
    </xf>
    <xf numFmtId="0" fontId="3" fillId="0" borderId="36" xfId="0" applyFont="1" applyBorder="1"/>
    <xf numFmtId="0" fontId="21" fillId="8" borderId="32" xfId="0" applyFont="1" applyFill="1" applyBorder="1" applyAlignment="1">
      <alignment horizontal="center" vertical="center" wrapText="1"/>
    </xf>
    <xf numFmtId="0" fontId="21" fillId="8" borderId="32" xfId="0" applyFont="1" applyFill="1" applyBorder="1" applyAlignment="1">
      <alignment horizontal="center" vertical="center"/>
    </xf>
    <xf numFmtId="0" fontId="21" fillId="8" borderId="32" xfId="0" applyFont="1" applyFill="1" applyBorder="1" applyAlignment="1">
      <alignment horizontal="center"/>
    </xf>
    <xf numFmtId="0" fontId="3" fillId="0" borderId="37" xfId="0" applyFont="1" applyBorder="1"/>
    <xf numFmtId="0" fontId="0" fillId="10" borderId="48" xfId="0" applyFont="1" applyFill="1" applyBorder="1" applyAlignment="1">
      <alignment horizontal="center" vertical="center"/>
    </xf>
    <xf numFmtId="0" fontId="3" fillId="0" borderId="43" xfId="0" applyFont="1" applyBorder="1"/>
    <xf numFmtId="0" fontId="0" fillId="10" borderId="27" xfId="0" applyFont="1" applyFill="1" applyBorder="1" applyAlignment="1">
      <alignment horizontal="center" vertical="center" wrapText="1"/>
    </xf>
    <xf numFmtId="0" fontId="3" fillId="0" borderId="46" xfId="0" applyFont="1" applyBorder="1"/>
    <xf numFmtId="0" fontId="0" fillId="10" borderId="51" xfId="0" applyFont="1" applyFill="1" applyBorder="1" applyAlignment="1">
      <alignment horizontal="center" vertical="center"/>
    </xf>
    <xf numFmtId="0" fontId="0" fillId="10" borderId="46" xfId="0" applyFont="1" applyFill="1" applyBorder="1" applyAlignment="1">
      <alignment horizontal="center" vertical="center"/>
    </xf>
    <xf numFmtId="0" fontId="0" fillId="10" borderId="52" xfId="0" applyFont="1" applyFill="1" applyBorder="1" applyAlignment="1">
      <alignment horizontal="center" vertical="center" wrapText="1"/>
    </xf>
    <xf numFmtId="0" fontId="0" fillId="10" borderId="53" xfId="0" applyFont="1" applyFill="1" applyBorder="1" applyAlignment="1">
      <alignment horizontal="center" vertical="center" wrapText="1"/>
    </xf>
    <xf numFmtId="0" fontId="0" fillId="10" borderId="41" xfId="0" applyFont="1" applyFill="1" applyBorder="1" applyAlignment="1">
      <alignment horizontal="center" vertical="center" wrapText="1"/>
    </xf>
    <xf numFmtId="0" fontId="5" fillId="6" borderId="70" xfId="0" applyFont="1" applyFill="1" applyBorder="1" applyAlignment="1">
      <alignment horizontal="center" vertical="center"/>
    </xf>
    <xf numFmtId="0" fontId="17" fillId="6" borderId="70" xfId="0" applyFont="1" applyFill="1" applyBorder="1" applyAlignment="1">
      <alignment horizontal="center" vertical="center" wrapText="1"/>
    </xf>
    <xf numFmtId="0" fontId="17" fillId="6" borderId="70" xfId="0" quotePrefix="1" applyFont="1" applyFill="1" applyBorder="1" applyAlignment="1">
      <alignment horizontal="left" vertical="center" wrapText="1"/>
    </xf>
    <xf numFmtId="0" fontId="36" fillId="6" borderId="70" xfId="0" quotePrefix="1" applyFont="1" applyFill="1" applyBorder="1" applyAlignment="1">
      <alignment horizontal="left" vertical="center" wrapText="1"/>
    </xf>
    <xf numFmtId="0" fontId="34" fillId="0" borderId="70" xfId="0" applyFont="1" applyBorder="1" applyAlignment="1">
      <alignment horizontal="center" vertical="center" wrapText="1"/>
    </xf>
    <xf numFmtId="0" fontId="29" fillId="0" borderId="70" xfId="0" applyFont="1" applyBorder="1" applyAlignment="1">
      <alignment horizontal="center" vertical="center"/>
    </xf>
    <xf numFmtId="2" fontId="34" fillId="0" borderId="70" xfId="0" applyNumberFormat="1" applyFont="1" applyBorder="1" applyAlignment="1">
      <alignment horizontal="center" vertical="center" wrapText="1"/>
    </xf>
    <xf numFmtId="0" fontId="0" fillId="0" borderId="70" xfId="0" applyBorder="1" applyAlignment="1">
      <alignment horizontal="center" vertical="top" wrapText="1"/>
    </xf>
    <xf numFmtId="0" fontId="39" fillId="0" borderId="78" xfId="0" applyFont="1" applyBorder="1" applyAlignment="1">
      <alignment horizontal="center" vertical="center" wrapText="1"/>
    </xf>
    <xf numFmtId="0" fontId="39" fillId="0" borderId="79" xfId="0" applyFont="1" applyBorder="1" applyAlignment="1">
      <alignment horizontal="center" vertical="center" wrapText="1"/>
    </xf>
    <xf numFmtId="0" fontId="39" fillId="0" borderId="80" xfId="0" applyFont="1" applyBorder="1" applyAlignment="1">
      <alignment horizontal="center" vertical="center" wrapText="1"/>
    </xf>
    <xf numFmtId="0" fontId="39" fillId="0" borderId="81" xfId="0" applyFont="1" applyBorder="1" applyAlignment="1">
      <alignment horizontal="center" vertical="center" wrapText="1"/>
    </xf>
    <xf numFmtId="0" fontId="39" fillId="0" borderId="82" xfId="0" applyFont="1" applyBorder="1" applyAlignment="1">
      <alignment horizontal="center" vertical="center" wrapText="1"/>
    </xf>
    <xf numFmtId="0" fontId="39" fillId="0" borderId="83" xfId="0" applyFont="1" applyBorder="1" applyAlignment="1">
      <alignment horizontal="center" vertical="center" wrapText="1"/>
    </xf>
    <xf numFmtId="0" fontId="42" fillId="18" borderId="84" xfId="0" applyFont="1" applyFill="1" applyBorder="1" applyAlignment="1">
      <alignment horizontal="center" vertical="top" wrapText="1"/>
    </xf>
    <xf numFmtId="0" fontId="42" fillId="18" borderId="77" xfId="0" applyFont="1" applyFill="1" applyBorder="1" applyAlignment="1">
      <alignment horizontal="center" vertical="top" wrapText="1"/>
    </xf>
    <xf numFmtId="0" fontId="42" fillId="18" borderId="85" xfId="0" applyFont="1" applyFill="1" applyBorder="1" applyAlignment="1">
      <alignment horizontal="center" vertical="top" wrapText="1"/>
    </xf>
    <xf numFmtId="0" fontId="38" fillId="18" borderId="82" xfId="0" applyFont="1" applyFill="1" applyBorder="1" applyAlignment="1">
      <alignment horizontal="center" vertical="top" wrapText="1"/>
    </xf>
    <xf numFmtId="0" fontId="38" fillId="18" borderId="86" xfId="0" applyFont="1" applyFill="1" applyBorder="1" applyAlignment="1">
      <alignment horizontal="center" vertical="top" wrapText="1"/>
    </xf>
    <xf numFmtId="0" fontId="38" fillId="18" borderId="87" xfId="0" applyFont="1" applyFill="1" applyBorder="1" applyAlignment="1">
      <alignment horizontal="center" vertical="top" wrapText="1"/>
    </xf>
    <xf numFmtId="0" fontId="38" fillId="18" borderId="84" xfId="0" applyFont="1" applyFill="1" applyBorder="1" applyAlignment="1">
      <alignment horizontal="center" vertical="top" wrapText="1"/>
    </xf>
    <xf numFmtId="0" fontId="38" fillId="18" borderId="77" xfId="0" applyFont="1" applyFill="1" applyBorder="1" applyAlignment="1">
      <alignment horizontal="center" vertical="top" wrapText="1"/>
    </xf>
    <xf numFmtId="0" fontId="38" fillId="18" borderId="85" xfId="0" applyFont="1" applyFill="1" applyBorder="1" applyAlignment="1">
      <alignment horizontal="center" vertical="top" wrapText="1"/>
    </xf>
    <xf numFmtId="0" fontId="5" fillId="0" borderId="63" xfId="0" applyFont="1" applyBorder="1" applyAlignment="1">
      <alignment horizontal="left" wrapText="1"/>
    </xf>
    <xf numFmtId="0" fontId="5" fillId="0" borderId="64" xfId="0" applyFont="1" applyBorder="1" applyAlignment="1">
      <alignment horizontal="left" wrapText="1"/>
    </xf>
    <xf numFmtId="0" fontId="3" fillId="0" borderId="65" xfId="0" applyFont="1" applyBorder="1"/>
    <xf numFmtId="0" fontId="3" fillId="0" borderId="66" xfId="0" applyFont="1" applyBorder="1"/>
    <xf numFmtId="0" fontId="26" fillId="0" borderId="35" xfId="0" applyFont="1" applyBorder="1" applyAlignment="1">
      <alignment horizontal="center" vertical="center"/>
    </xf>
    <xf numFmtId="0" fontId="4" fillId="0" borderId="60" xfId="0" applyFont="1" applyBorder="1" applyAlignment="1">
      <alignment horizontal="center" vertical="center" textRotation="90"/>
    </xf>
    <xf numFmtId="0" fontId="3" fillId="0" borderId="59" xfId="0" applyFont="1" applyBorder="1"/>
    <xf numFmtId="0" fontId="5" fillId="12" borderId="35" xfId="0" applyFont="1" applyFill="1" applyBorder="1" applyAlignment="1">
      <alignment horizontal="center"/>
    </xf>
    <xf numFmtId="0" fontId="27" fillId="0" borderId="2" xfId="0" applyFont="1" applyBorder="1" applyAlignment="1">
      <alignment horizontal="center" vertical="center"/>
    </xf>
    <xf numFmtId="0" fontId="4" fillId="0" borderId="27" xfId="0" applyFont="1" applyBorder="1" applyAlignment="1">
      <alignment horizontal="center" vertical="center" textRotation="90"/>
    </xf>
    <xf numFmtId="0" fontId="4" fillId="0" borderId="1" xfId="0" applyFont="1" applyBorder="1" applyAlignment="1">
      <alignment horizontal="center" vertical="center" textRotation="90"/>
    </xf>
    <xf numFmtId="0" fontId="28" fillId="0" borderId="2" xfId="0" applyFont="1" applyBorder="1" applyAlignment="1">
      <alignment horizontal="center" vertical="center"/>
    </xf>
    <xf numFmtId="0" fontId="5" fillId="0" borderId="9" xfId="0" applyFont="1" applyBorder="1" applyAlignment="1">
      <alignment horizontal="center"/>
    </xf>
    <xf numFmtId="0" fontId="15" fillId="8" borderId="67" xfId="0" applyFont="1" applyFill="1" applyBorder="1" applyAlignment="1">
      <alignment horizontal="center" vertical="center" wrapText="1"/>
    </xf>
    <xf numFmtId="0" fontId="15" fillId="8" borderId="50" xfId="0" applyFont="1" applyFill="1" applyBorder="1" applyAlignment="1">
      <alignment horizontal="center" vertical="center"/>
    </xf>
    <xf numFmtId="0" fontId="3" fillId="0" borderId="47" xfId="0" applyFont="1" applyBorder="1"/>
    <xf numFmtId="0" fontId="15" fillId="8" borderId="68" xfId="0" applyFont="1" applyFill="1" applyBorder="1" applyAlignment="1">
      <alignment horizontal="center" vertical="center"/>
    </xf>
    <xf numFmtId="0" fontId="3" fillId="0" borderId="69" xfId="0" applyFont="1" applyBorder="1"/>
    <xf numFmtId="0" fontId="26" fillId="0" borderId="6" xfId="0" applyFont="1" applyBorder="1" applyAlignment="1">
      <alignment horizontal="center"/>
    </xf>
    <xf numFmtId="0" fontId="26" fillId="0" borderId="6" xfId="0" applyFont="1" applyBorder="1" applyAlignment="1">
      <alignment horizontal="center" vertical="center"/>
    </xf>
    <xf numFmtId="0" fontId="53" fillId="19" borderId="101" xfId="1" applyFont="1" applyFill="1" applyBorder="1" applyAlignment="1">
      <alignment horizontal="left" vertical="top" wrapText="1"/>
    </xf>
    <xf numFmtId="0" fontId="53" fillId="19" borderId="102" xfId="1" applyFont="1" applyFill="1" applyBorder="1" applyAlignment="1">
      <alignment horizontal="left" vertical="top" wrapText="1"/>
    </xf>
    <xf numFmtId="0" fontId="2" fillId="0" borderId="93" xfId="1" applyBorder="1" applyAlignment="1">
      <alignment horizontal="center"/>
    </xf>
    <xf numFmtId="0" fontId="40" fillId="0" borderId="70" xfId="1" applyFont="1" applyBorder="1" applyAlignment="1">
      <alignment horizontal="center" vertical="center"/>
    </xf>
    <xf numFmtId="0" fontId="2" fillId="0" borderId="70" xfId="1" applyBorder="1" applyAlignment="1">
      <alignment horizontal="left" vertical="center"/>
    </xf>
    <xf numFmtId="0" fontId="49" fillId="0" borderId="70" xfId="1" applyFont="1" applyBorder="1" applyAlignment="1">
      <alignment horizontal="left" vertical="center"/>
    </xf>
    <xf numFmtId="0" fontId="50" fillId="18" borderId="94" xfId="1" applyFont="1" applyFill="1" applyBorder="1" applyAlignment="1">
      <alignment horizontal="center" vertical="center"/>
    </xf>
    <xf numFmtId="0" fontId="50" fillId="18" borderId="95" xfId="1" applyFont="1" applyFill="1" applyBorder="1" applyAlignment="1">
      <alignment horizontal="center" vertical="center"/>
    </xf>
    <xf numFmtId="0" fontId="50" fillId="18" borderId="96" xfId="1" applyFont="1" applyFill="1" applyBorder="1" applyAlignment="1">
      <alignment horizontal="center" vertical="center"/>
    </xf>
    <xf numFmtId="0" fontId="50" fillId="18" borderId="99" xfId="1" applyFont="1" applyFill="1" applyBorder="1" applyAlignment="1">
      <alignment horizontal="center" vertical="center"/>
    </xf>
    <xf numFmtId="0" fontId="50" fillId="18" borderId="100" xfId="1" applyFont="1" applyFill="1" applyBorder="1" applyAlignment="1">
      <alignment horizontal="center" vertical="center"/>
    </xf>
    <xf numFmtId="0" fontId="2" fillId="0" borderId="18" xfId="1" applyAlignment="1">
      <alignment horizontal="center"/>
    </xf>
    <xf numFmtId="0" fontId="2" fillId="0" borderId="82" xfId="1" applyBorder="1" applyAlignment="1">
      <alignment horizontal="center"/>
    </xf>
    <xf numFmtId="0" fontId="54" fillId="0" borderId="18" xfId="1" applyFont="1" applyBorder="1" applyAlignment="1">
      <alignment horizontal="center" vertical="center"/>
    </xf>
    <xf numFmtId="0" fontId="54" fillId="0" borderId="93" xfId="1" applyFont="1" applyBorder="1" applyAlignment="1">
      <alignment horizontal="center" vertical="center"/>
    </xf>
    <xf numFmtId="0" fontId="54" fillId="0" borderId="82" xfId="1" applyFont="1" applyBorder="1" applyAlignment="1">
      <alignment horizontal="center" vertical="center"/>
    </xf>
    <xf numFmtId="0" fontId="54" fillId="0" borderId="83" xfId="1" applyFont="1" applyBorder="1" applyAlignment="1">
      <alignment horizontal="center" vertical="center"/>
    </xf>
    <xf numFmtId="0" fontId="55" fillId="0" borderId="70" xfId="1" applyFont="1" applyBorder="1" applyAlignment="1">
      <alignment horizontal="left" vertical="center"/>
    </xf>
    <xf numFmtId="0" fontId="14" fillId="18" borderId="101" xfId="1" applyFont="1" applyFill="1" applyBorder="1" applyAlignment="1">
      <alignment horizontal="center" vertical="center"/>
    </xf>
    <xf numFmtId="0" fontId="14" fillId="18" borderId="103" xfId="1" applyFont="1" applyFill="1" applyBorder="1" applyAlignment="1">
      <alignment horizontal="center" vertical="center"/>
    </xf>
    <xf numFmtId="0" fontId="14" fillId="18" borderId="102" xfId="1" applyFont="1" applyFill="1" applyBorder="1" applyAlignment="1">
      <alignment horizontal="center" vertical="center"/>
    </xf>
    <xf numFmtId="0" fontId="56" fillId="0" borderId="101" xfId="1" applyFont="1" applyBorder="1" applyAlignment="1">
      <alignment horizontal="left" vertical="center"/>
    </xf>
    <xf numFmtId="0" fontId="56" fillId="0" borderId="103" xfId="1" applyFont="1" applyBorder="1" applyAlignment="1">
      <alignment horizontal="left" vertical="center"/>
    </xf>
    <xf numFmtId="0" fontId="56" fillId="0" borderId="102" xfId="1" applyFont="1" applyBorder="1" applyAlignment="1">
      <alignment horizontal="left" vertical="center"/>
    </xf>
    <xf numFmtId="0" fontId="38" fillId="18" borderId="101" xfId="1" applyFont="1" applyFill="1" applyBorder="1" applyAlignment="1">
      <alignment horizontal="center"/>
    </xf>
    <xf numFmtId="0" fontId="38" fillId="18" borderId="103" xfId="1" applyFont="1" applyFill="1" applyBorder="1" applyAlignment="1">
      <alignment horizontal="center"/>
    </xf>
    <xf numFmtId="0" fontId="38" fillId="18" borderId="102" xfId="1" applyFont="1" applyFill="1" applyBorder="1" applyAlignment="1">
      <alignment horizontal="center"/>
    </xf>
    <xf numFmtId="0" fontId="38" fillId="18" borderId="101" xfId="1" applyFont="1" applyFill="1" applyBorder="1" applyAlignment="1">
      <alignment horizontal="center" vertical="center"/>
    </xf>
    <xf numFmtId="0" fontId="38" fillId="18" borderId="103" xfId="1" applyFont="1" applyFill="1" applyBorder="1" applyAlignment="1">
      <alignment horizontal="center" vertical="center"/>
    </xf>
    <xf numFmtId="0" fontId="38" fillId="18" borderId="102" xfId="1" applyFont="1" applyFill="1" applyBorder="1" applyAlignment="1">
      <alignment horizontal="center" vertical="center"/>
    </xf>
    <xf numFmtId="0" fontId="38" fillId="18" borderId="70" xfId="1" applyFont="1" applyFill="1" applyBorder="1" applyAlignment="1">
      <alignment horizontal="center"/>
    </xf>
    <xf numFmtId="0" fontId="34" fillId="21" borderId="70" xfId="1" applyFont="1" applyFill="1" applyBorder="1" applyAlignment="1">
      <alignment horizontal="center" vertical="center" wrapText="1"/>
    </xf>
    <xf numFmtId="2" fontId="34" fillId="24" borderId="70" xfId="1" applyNumberFormat="1" applyFont="1" applyFill="1" applyBorder="1" applyAlignment="1">
      <alignment horizontal="center" vertical="center"/>
    </xf>
    <xf numFmtId="0" fontId="34" fillId="23" borderId="70" xfId="1" applyFont="1" applyFill="1" applyBorder="1" applyAlignment="1">
      <alignment horizontal="center" vertical="center"/>
    </xf>
    <xf numFmtId="0" fontId="2" fillId="0" borderId="70" xfId="1" applyBorder="1" applyAlignment="1">
      <alignment horizontal="center" vertical="center"/>
    </xf>
    <xf numFmtId="0" fontId="60" fillId="0" borderId="70" xfId="1" applyFont="1" applyBorder="1" applyAlignment="1">
      <alignment horizontal="center" vertical="center"/>
    </xf>
    <xf numFmtId="0" fontId="61" fillId="0" borderId="70" xfId="1" applyFont="1" applyBorder="1" applyAlignment="1">
      <alignment horizontal="left"/>
    </xf>
    <xf numFmtId="0" fontId="42" fillId="18" borderId="97" xfId="1" applyFont="1" applyFill="1" applyBorder="1" applyAlignment="1">
      <alignment horizontal="center" vertical="center" wrapText="1"/>
    </xf>
    <xf numFmtId="0" fontId="42" fillId="18" borderId="98" xfId="1" applyFont="1" applyFill="1" applyBorder="1" applyAlignment="1">
      <alignment horizontal="center" vertical="center" wrapText="1"/>
    </xf>
    <xf numFmtId="0" fontId="42" fillId="18" borderId="104" xfId="1" applyFont="1" applyFill="1" applyBorder="1" applyAlignment="1">
      <alignment horizontal="center" vertical="center" wrapText="1"/>
    </xf>
    <xf numFmtId="0" fontId="38" fillId="18" borderId="98" xfId="1" applyFont="1" applyFill="1" applyBorder="1" applyAlignment="1">
      <alignment horizontal="center"/>
    </xf>
    <xf numFmtId="0" fontId="38" fillId="18" borderId="104" xfId="1" applyFont="1" applyFill="1" applyBorder="1" applyAlignment="1">
      <alignment horizontal="center"/>
    </xf>
    <xf numFmtId="0" fontId="38" fillId="18" borderId="106" xfId="1" applyFont="1" applyFill="1" applyBorder="1" applyAlignment="1">
      <alignment horizontal="center"/>
    </xf>
    <xf numFmtId="0" fontId="38" fillId="18" borderId="107" xfId="1" applyFont="1" applyFill="1" applyBorder="1" applyAlignment="1">
      <alignment horizontal="center"/>
    </xf>
    <xf numFmtId="0" fontId="38" fillId="18" borderId="108" xfId="1" applyFont="1" applyFill="1" applyBorder="1" applyAlignment="1">
      <alignment horizontal="center"/>
    </xf>
    <xf numFmtId="0" fontId="34" fillId="23" borderId="70" xfId="1" applyFont="1" applyFill="1" applyBorder="1" applyAlignment="1">
      <alignment horizontal="center" vertical="center" wrapText="1"/>
    </xf>
    <xf numFmtId="0" fontId="34" fillId="23" borderId="70" xfId="1" applyFont="1" applyFill="1" applyBorder="1" applyAlignment="1">
      <alignment horizontal="left" vertical="center" wrapText="1"/>
    </xf>
    <xf numFmtId="0" fontId="64" fillId="0" borderId="70" xfId="1" applyFont="1" applyBorder="1" applyAlignment="1">
      <alignment horizontal="center" vertical="center"/>
    </xf>
    <xf numFmtId="1" fontId="34" fillId="24" borderId="70" xfId="1" applyNumberFormat="1" applyFont="1" applyFill="1" applyBorder="1" applyAlignment="1">
      <alignment horizontal="center" vertical="center"/>
    </xf>
    <xf numFmtId="0" fontId="34" fillId="21" borderId="70" xfId="1" applyFont="1" applyFill="1" applyBorder="1" applyAlignment="1">
      <alignment horizontal="center" vertical="center"/>
    </xf>
    <xf numFmtId="0" fontId="2" fillId="0" borderId="78" xfId="1" applyBorder="1" applyAlignment="1">
      <alignment horizontal="center"/>
    </xf>
    <xf numFmtId="0" fontId="2" fillId="0" borderId="79" xfId="1" applyBorder="1" applyAlignment="1">
      <alignment horizontal="center"/>
    </xf>
    <xf numFmtId="0" fontId="2" fillId="0" borderId="80" xfId="1" applyBorder="1" applyAlignment="1">
      <alignment horizontal="center"/>
    </xf>
    <xf numFmtId="0" fontId="2" fillId="0" borderId="113" xfId="1" applyBorder="1" applyAlignment="1">
      <alignment horizontal="center"/>
    </xf>
    <xf numFmtId="0" fontId="2" fillId="0" borderId="18" xfId="1" applyBorder="1" applyAlignment="1">
      <alignment horizontal="center"/>
    </xf>
    <xf numFmtId="0" fontId="66" fillId="0" borderId="78" xfId="1" applyFont="1" applyBorder="1" applyAlignment="1">
      <alignment horizontal="center" vertical="center"/>
    </xf>
    <xf numFmtId="0" fontId="66" fillId="0" borderId="79" xfId="1" applyFont="1" applyBorder="1" applyAlignment="1">
      <alignment horizontal="center" vertical="center"/>
    </xf>
    <xf numFmtId="0" fontId="66" fillId="0" borderId="80" xfId="1" applyFont="1" applyBorder="1" applyAlignment="1">
      <alignment horizontal="center" vertical="center"/>
    </xf>
    <xf numFmtId="0" fontId="66" fillId="0" borderId="113" xfId="1" applyFont="1" applyBorder="1" applyAlignment="1">
      <alignment horizontal="center" vertical="center"/>
    </xf>
    <xf numFmtId="0" fontId="66" fillId="0" borderId="18" xfId="1" applyFont="1" applyBorder="1" applyAlignment="1">
      <alignment horizontal="center" vertical="center"/>
    </xf>
    <xf numFmtId="0" fontId="66" fillId="0" borderId="93" xfId="1" applyFont="1" applyBorder="1" applyAlignment="1">
      <alignment horizontal="center" vertical="center"/>
    </xf>
    <xf numFmtId="0" fontId="55" fillId="0" borderId="78" xfId="1" applyFont="1" applyBorder="1" applyAlignment="1">
      <alignment horizontal="left" vertical="center"/>
    </xf>
    <xf numFmtId="0" fontId="55" fillId="0" borderId="79" xfId="1" applyFont="1" applyBorder="1" applyAlignment="1">
      <alignment horizontal="left" vertical="center"/>
    </xf>
    <xf numFmtId="0" fontId="55" fillId="0" borderId="80" xfId="1" applyFont="1" applyBorder="1" applyAlignment="1">
      <alignment horizontal="left" vertical="center"/>
    </xf>
    <xf numFmtId="0" fontId="55" fillId="0" borderId="81" xfId="1" applyFont="1" applyBorder="1" applyAlignment="1">
      <alignment horizontal="left" vertical="center"/>
    </xf>
    <xf numFmtId="0" fontId="55" fillId="0" borderId="82" xfId="1" applyFont="1" applyBorder="1" applyAlignment="1">
      <alignment horizontal="left" vertical="center"/>
    </xf>
    <xf numFmtId="0" fontId="55" fillId="0" borderId="83" xfId="1" applyFont="1" applyBorder="1" applyAlignment="1">
      <alignment horizontal="left" vertical="center"/>
    </xf>
    <xf numFmtId="0" fontId="55" fillId="0" borderId="113" xfId="1" applyFont="1" applyBorder="1" applyAlignment="1">
      <alignment horizontal="left" vertical="center"/>
    </xf>
    <xf numFmtId="0" fontId="55" fillId="0" borderId="18" xfId="1" applyFont="1" applyAlignment="1">
      <alignment horizontal="left" vertical="center"/>
    </xf>
    <xf numFmtId="0" fontId="38" fillId="18" borderId="82" xfId="1" applyFont="1" applyFill="1" applyBorder="1" applyAlignment="1">
      <alignment horizontal="center" vertical="center" wrapText="1"/>
    </xf>
    <xf numFmtId="0" fontId="38" fillId="18" borderId="83" xfId="1" applyFont="1" applyFill="1" applyBorder="1" applyAlignment="1">
      <alignment horizontal="center" vertical="center" wrapText="1"/>
    </xf>
    <xf numFmtId="0" fontId="53" fillId="0" borderId="70" xfId="1" applyFont="1" applyBorder="1" applyAlignment="1">
      <alignment horizontal="center"/>
    </xf>
    <xf numFmtId="0" fontId="66" fillId="0" borderId="70" xfId="1" applyFont="1" applyBorder="1" applyAlignment="1">
      <alignment horizontal="center" vertical="center"/>
    </xf>
    <xf numFmtId="0" fontId="41" fillId="0" borderId="70" xfId="1" applyFont="1" applyBorder="1" applyAlignment="1">
      <alignment horizontal="left" vertical="center"/>
    </xf>
    <xf numFmtId="0" fontId="34" fillId="0" borderId="101" xfId="1" applyFont="1" applyBorder="1" applyAlignment="1">
      <alignment horizontal="left" vertical="center"/>
    </xf>
    <xf numFmtId="0" fontId="34" fillId="0" borderId="103" xfId="1" applyFont="1" applyBorder="1" applyAlignment="1">
      <alignment horizontal="left" vertical="center"/>
    </xf>
    <xf numFmtId="0" fontId="43" fillId="18" borderId="97" xfId="1" applyFont="1" applyFill="1" applyBorder="1" applyAlignment="1">
      <alignment horizontal="center" vertical="center" wrapText="1"/>
    </xf>
    <xf numFmtId="0" fontId="43" fillId="18" borderId="98" xfId="1" applyFont="1" applyFill="1" applyBorder="1" applyAlignment="1">
      <alignment horizontal="center" vertical="center" wrapText="1"/>
    </xf>
    <xf numFmtId="0" fontId="43" fillId="18" borderId="98" xfId="1" applyFont="1" applyFill="1" applyBorder="1" applyAlignment="1">
      <alignment horizontal="center" vertical="center"/>
    </xf>
    <xf numFmtId="0" fontId="43" fillId="18" borderId="98" xfId="1" applyFont="1" applyFill="1" applyBorder="1" applyAlignment="1">
      <alignment horizontal="center"/>
    </xf>
    <xf numFmtId="0" fontId="43" fillId="18" borderId="104" xfId="1" applyFont="1" applyFill="1" applyBorder="1" applyAlignment="1">
      <alignment horizontal="center"/>
    </xf>
    <xf numFmtId="0" fontId="34" fillId="24" borderId="111" xfId="1" applyFont="1" applyFill="1" applyBorder="1" applyAlignment="1">
      <alignment horizontal="center" vertical="center"/>
    </xf>
    <xf numFmtId="0" fontId="34" fillId="24" borderId="70" xfId="1" applyFont="1" applyFill="1" applyBorder="1" applyAlignment="1">
      <alignment horizontal="center" vertical="center" wrapText="1"/>
    </xf>
    <xf numFmtId="0" fontId="34" fillId="24" borderId="70" xfId="1" quotePrefix="1" applyFont="1" applyFill="1" applyBorder="1" applyAlignment="1">
      <alignment horizontal="center" vertical="center" wrapText="1"/>
    </xf>
    <xf numFmtId="0" fontId="34" fillId="24" borderId="70" xfId="1" quotePrefix="1" applyNumberFormat="1" applyFont="1" applyFill="1" applyBorder="1" applyAlignment="1">
      <alignment horizontal="center" vertical="center" wrapText="1"/>
    </xf>
    <xf numFmtId="0" fontId="1" fillId="0" borderId="70" xfId="5" applyBorder="1" applyAlignment="1">
      <alignment horizontal="center" vertical="top" wrapText="1"/>
    </xf>
    <xf numFmtId="0" fontId="39" fillId="0" borderId="78" xfId="5" applyFont="1" applyBorder="1" applyAlignment="1">
      <alignment horizontal="center" vertical="center" wrapText="1"/>
    </xf>
    <xf numFmtId="0" fontId="39" fillId="0" borderId="79" xfId="5" applyFont="1" applyBorder="1" applyAlignment="1">
      <alignment horizontal="center" vertical="center" wrapText="1"/>
    </xf>
    <xf numFmtId="0" fontId="39" fillId="0" borderId="80" xfId="5" applyFont="1" applyBorder="1" applyAlignment="1">
      <alignment horizontal="center" vertical="center" wrapText="1"/>
    </xf>
    <xf numFmtId="0" fontId="39" fillId="0" borderId="81" xfId="5" applyFont="1" applyBorder="1" applyAlignment="1">
      <alignment horizontal="center" vertical="center" wrapText="1"/>
    </xf>
    <xf numFmtId="0" fontId="39" fillId="0" borderId="82" xfId="5" applyFont="1" applyBorder="1" applyAlignment="1">
      <alignment horizontal="center" vertical="center" wrapText="1"/>
    </xf>
    <xf numFmtId="0" fontId="39" fillId="0" borderId="83" xfId="5" applyFont="1" applyBorder="1" applyAlignment="1">
      <alignment horizontal="center" vertical="center" wrapText="1"/>
    </xf>
    <xf numFmtId="0" fontId="42" fillId="18" borderId="84" xfId="5" applyFont="1" applyFill="1" applyBorder="1" applyAlignment="1">
      <alignment horizontal="center" vertical="top" wrapText="1"/>
    </xf>
    <xf numFmtId="0" fontId="42" fillId="18" borderId="77" xfId="5" applyFont="1" applyFill="1" applyBorder="1" applyAlignment="1">
      <alignment horizontal="center" vertical="top" wrapText="1"/>
    </xf>
    <xf numFmtId="0" fontId="42" fillId="18" borderId="85" xfId="5" applyFont="1" applyFill="1" applyBorder="1" applyAlignment="1">
      <alignment horizontal="center" vertical="top" wrapText="1"/>
    </xf>
    <xf numFmtId="0" fontId="38" fillId="18" borderId="82" xfId="5" applyFont="1" applyFill="1" applyBorder="1" applyAlignment="1">
      <alignment horizontal="center" vertical="top" wrapText="1"/>
    </xf>
    <xf numFmtId="0" fontId="38" fillId="18" borderId="86" xfId="5" applyFont="1" applyFill="1" applyBorder="1" applyAlignment="1">
      <alignment horizontal="center" vertical="top" wrapText="1"/>
    </xf>
    <xf numFmtId="0" fontId="38" fillId="18" borderId="87" xfId="5" applyFont="1" applyFill="1" applyBorder="1" applyAlignment="1">
      <alignment horizontal="center" vertical="top" wrapText="1"/>
    </xf>
    <xf numFmtId="0" fontId="38" fillId="18" borderId="84" xfId="5" applyFont="1" applyFill="1" applyBorder="1" applyAlignment="1">
      <alignment horizontal="center" vertical="top" wrapText="1"/>
    </xf>
    <xf numFmtId="0" fontId="38" fillId="18" borderId="77" xfId="5" applyFont="1" applyFill="1" applyBorder="1" applyAlignment="1">
      <alignment horizontal="center" vertical="top" wrapText="1"/>
    </xf>
    <xf numFmtId="0" fontId="38" fillId="18" borderId="85" xfId="5" applyFont="1" applyFill="1" applyBorder="1" applyAlignment="1">
      <alignment horizontal="center" vertical="top" wrapText="1"/>
    </xf>
    <xf numFmtId="0" fontId="12" fillId="6" borderId="9" xfId="3" applyFont="1" applyFill="1" applyBorder="1" applyAlignment="1">
      <alignment horizontal="left" vertical="top" wrapText="1"/>
    </xf>
    <xf numFmtId="0" fontId="3" fillId="0" borderId="11" xfId="3" applyFont="1" applyBorder="1"/>
    <xf numFmtId="0" fontId="5" fillId="0" borderId="1" xfId="3" applyFont="1" applyBorder="1" applyAlignment="1">
      <alignment horizontal="center"/>
    </xf>
    <xf numFmtId="0" fontId="3" fillId="0" borderId="1" xfId="3" applyFont="1" applyBorder="1"/>
    <xf numFmtId="0" fontId="8" fillId="0" borderId="50" xfId="3" applyFont="1" applyBorder="1" applyAlignment="1">
      <alignment horizontal="center" vertical="center"/>
    </xf>
    <xf numFmtId="0" fontId="3" fillId="0" borderId="68" xfId="3" applyFont="1" applyBorder="1"/>
    <xf numFmtId="0" fontId="3" fillId="0" borderId="4" xfId="3" applyFont="1" applyBorder="1"/>
    <xf numFmtId="0" fontId="3" fillId="0" borderId="5" xfId="3" applyFont="1" applyBorder="1"/>
    <xf numFmtId="0" fontId="0" fillId="0" borderId="18" xfId="3" applyFont="1" applyAlignment="1"/>
    <xf numFmtId="0" fontId="3" fillId="0" borderId="67" xfId="3" applyFont="1" applyBorder="1"/>
    <xf numFmtId="0" fontId="3" fillId="0" borderId="69" xfId="3" applyFont="1" applyBorder="1"/>
    <xf numFmtId="0" fontId="3" fillId="0" borderId="56" xfId="3" applyFont="1" applyBorder="1"/>
    <xf numFmtId="0" fontId="5" fillId="0" borderId="52" xfId="3" applyFont="1" applyBorder="1" applyAlignment="1">
      <alignment horizontal="left" vertical="center"/>
    </xf>
    <xf numFmtId="0" fontId="3" fillId="0" borderId="41" xfId="3" applyFont="1" applyBorder="1"/>
    <xf numFmtId="0" fontId="9" fillId="8" borderId="13" xfId="3" applyFont="1" applyFill="1" applyBorder="1" applyAlignment="1">
      <alignment horizontal="center" vertical="center"/>
    </xf>
    <xf numFmtId="0" fontId="3" fillId="0" borderId="14" xfId="3" applyFont="1" applyBorder="1"/>
    <xf numFmtId="0" fontId="3" fillId="0" borderId="29" xfId="3" applyFont="1" applyBorder="1"/>
    <xf numFmtId="0" fontId="9" fillId="8" borderId="32" xfId="3" applyFont="1" applyFill="1" applyBorder="1" applyAlignment="1">
      <alignment horizontal="center" vertical="center"/>
    </xf>
    <xf numFmtId="0" fontId="3" fillId="0" borderId="33" xfId="3" applyFont="1" applyBorder="1"/>
    <xf numFmtId="0" fontId="5" fillId="0" borderId="18" xfId="3" applyFont="1" applyAlignment="1">
      <alignment horizontal="center"/>
    </xf>
    <xf numFmtId="0" fontId="4" fillId="0" borderId="18" xfId="3" applyFont="1" applyAlignment="1">
      <alignment horizontal="center" vertical="center"/>
    </xf>
    <xf numFmtId="0" fontId="13" fillId="0" borderId="52" xfId="3" applyFont="1" applyBorder="1" applyAlignment="1">
      <alignment horizontal="left" vertical="center"/>
    </xf>
    <xf numFmtId="0" fontId="14" fillId="8" borderId="9" xfId="3" applyFont="1" applyFill="1" applyBorder="1" applyAlignment="1">
      <alignment horizontal="center" vertical="center"/>
    </xf>
    <xf numFmtId="0" fontId="3" fillId="0" borderId="58" xfId="3" applyFont="1" applyBorder="1"/>
    <xf numFmtId="0" fontId="27" fillId="0" borderId="9" xfId="3" applyFont="1" applyBorder="1" applyAlignment="1">
      <alignment horizontal="left" vertical="center"/>
    </xf>
    <xf numFmtId="0" fontId="74" fillId="0" borderId="58" xfId="3" applyFont="1" applyBorder="1"/>
    <xf numFmtId="0" fontId="74" fillId="0" borderId="11" xfId="3" applyFont="1" applyBorder="1"/>
    <xf numFmtId="0" fontId="15" fillId="8" borderId="9" xfId="3" applyFont="1" applyFill="1" applyBorder="1" applyAlignment="1">
      <alignment horizontal="center"/>
    </xf>
    <xf numFmtId="0" fontId="15" fillId="8" borderId="9" xfId="3" applyFont="1" applyFill="1" applyBorder="1" applyAlignment="1">
      <alignment horizontal="center" vertical="center"/>
    </xf>
    <xf numFmtId="0" fontId="5" fillId="0" borderId="70" xfId="3" applyFont="1" applyBorder="1" applyAlignment="1">
      <alignment horizontal="center" vertical="center"/>
    </xf>
    <xf numFmtId="0" fontId="3" fillId="0" borderId="70" xfId="3" applyFont="1" applyBorder="1"/>
    <xf numFmtId="0" fontId="0" fillId="0" borderId="70" xfId="3" applyFont="1" applyBorder="1" applyAlignment="1"/>
    <xf numFmtId="0" fontId="18" fillId="0" borderId="70" xfId="3" applyFont="1" applyBorder="1" applyAlignment="1">
      <alignment horizontal="center" vertical="center"/>
    </xf>
    <xf numFmtId="0" fontId="19" fillId="0" borderId="70" xfId="3" applyFont="1" applyBorder="1" applyAlignment="1">
      <alignment horizontal="left"/>
    </xf>
    <xf numFmtId="0" fontId="20" fillId="8" borderId="70" xfId="3" applyFont="1" applyFill="1" applyBorder="1" applyAlignment="1">
      <alignment horizontal="center" vertical="center" wrapText="1"/>
    </xf>
    <xf numFmtId="0" fontId="15" fillId="8" borderId="70" xfId="3" applyFont="1" applyFill="1" applyBorder="1" applyAlignment="1">
      <alignment horizontal="center"/>
    </xf>
    <xf numFmtId="0" fontId="0" fillId="4" borderId="70" xfId="3" applyFont="1" applyFill="1" applyBorder="1" applyAlignment="1">
      <alignment horizontal="center" vertical="center"/>
    </xf>
    <xf numFmtId="0" fontId="0" fillId="4" borderId="70" xfId="3" applyFont="1" applyFill="1" applyBorder="1" applyAlignment="1">
      <alignment horizontal="left" vertical="center" wrapText="1"/>
    </xf>
    <xf numFmtId="0" fontId="0" fillId="5" borderId="70" xfId="3" applyFont="1" applyFill="1" applyBorder="1" applyAlignment="1">
      <alignment horizontal="center" vertical="center" wrapText="1"/>
    </xf>
    <xf numFmtId="0" fontId="0" fillId="0" borderId="70" xfId="3" applyFont="1" applyBorder="1" applyAlignment="1">
      <alignment horizontal="center" vertical="center"/>
    </xf>
    <xf numFmtId="0" fontId="0" fillId="5" borderId="70" xfId="3" applyFont="1" applyFill="1" applyBorder="1" applyAlignment="1">
      <alignment horizontal="center" vertical="center"/>
    </xf>
    <xf numFmtId="0" fontId="3" fillId="0" borderId="70" xfId="3" applyFont="1" applyBorder="1" applyAlignment="1"/>
    <xf numFmtId="2" fontId="0" fillId="10" borderId="70" xfId="3" applyNumberFormat="1" applyFont="1" applyFill="1" applyBorder="1" applyAlignment="1">
      <alignment horizontal="center" vertical="center"/>
    </xf>
    <xf numFmtId="1" fontId="0" fillId="10" borderId="70" xfId="3" applyNumberFormat="1" applyFont="1" applyFill="1" applyBorder="1" applyAlignment="1">
      <alignment horizontal="center" vertical="center"/>
    </xf>
    <xf numFmtId="0" fontId="0" fillId="4" borderId="70" xfId="3" applyFont="1" applyFill="1" applyBorder="1" applyAlignment="1">
      <alignment horizontal="center" vertical="center" wrapText="1"/>
    </xf>
    <xf numFmtId="2" fontId="0" fillId="10" borderId="70" xfId="3" applyNumberFormat="1" applyFont="1" applyFill="1" applyBorder="1" applyAlignment="1">
      <alignment horizontal="center" vertical="center" wrapText="1"/>
    </xf>
    <xf numFmtId="0" fontId="5" fillId="0" borderId="50" xfId="3" applyFont="1" applyBorder="1" applyAlignment="1">
      <alignment horizontal="center"/>
    </xf>
    <xf numFmtId="0" fontId="23" fillId="0" borderId="50" xfId="3" applyFont="1" applyBorder="1" applyAlignment="1">
      <alignment horizontal="center" vertical="center"/>
    </xf>
    <xf numFmtId="0" fontId="3" fillId="0" borderId="18" xfId="3" applyFont="1" applyBorder="1"/>
    <xf numFmtId="0" fontId="13" fillId="0" borderId="70" xfId="3" applyFont="1" applyBorder="1" applyAlignment="1">
      <alignment horizontal="left" vertical="center"/>
    </xf>
    <xf numFmtId="0" fontId="15" fillId="8" borderId="69" xfId="3" applyFont="1" applyFill="1" applyBorder="1" applyAlignment="1">
      <alignment horizontal="center" vertical="center" wrapText="1"/>
    </xf>
    <xf numFmtId="0" fontId="12" fillId="0" borderId="50" xfId="3" applyFont="1" applyBorder="1" applyAlignment="1">
      <alignment horizontal="center"/>
    </xf>
    <xf numFmtId="0" fontId="25" fillId="0" borderId="50" xfId="3" applyFont="1" applyBorder="1" applyAlignment="1">
      <alignment horizontal="left" vertical="center"/>
    </xf>
    <xf numFmtId="0" fontId="0" fillId="0" borderId="9" xfId="3" applyFont="1" applyBorder="1" applyAlignment="1">
      <alignment horizontal="left" vertical="center"/>
    </xf>
    <xf numFmtId="0" fontId="21" fillId="8" borderId="35" xfId="3" applyFont="1" applyFill="1" applyBorder="1" applyAlignment="1">
      <alignment horizontal="center" vertical="center" wrapText="1"/>
    </xf>
    <xf numFmtId="0" fontId="3" fillId="0" borderId="36" xfId="3" applyFont="1" applyBorder="1"/>
    <xf numFmtId="0" fontId="21" fillId="8" borderId="32" xfId="3" applyFont="1" applyFill="1" applyBorder="1" applyAlignment="1">
      <alignment horizontal="center" vertical="center" wrapText="1"/>
    </xf>
    <xf numFmtId="0" fontId="21" fillId="8" borderId="32" xfId="3" applyFont="1" applyFill="1" applyBorder="1" applyAlignment="1">
      <alignment horizontal="center" vertical="center"/>
    </xf>
    <xf numFmtId="0" fontId="21" fillId="8" borderId="32" xfId="3" applyFont="1" applyFill="1" applyBorder="1" applyAlignment="1">
      <alignment horizontal="center"/>
    </xf>
    <xf numFmtId="0" fontId="3" fillId="0" borderId="37" xfId="3" applyFont="1" applyBorder="1"/>
    <xf numFmtId="0" fontId="0" fillId="10" borderId="48" xfId="3" applyFont="1" applyFill="1" applyBorder="1" applyAlignment="1">
      <alignment horizontal="center" vertical="center"/>
    </xf>
    <xf numFmtId="0" fontId="3" fillId="0" borderId="51" xfId="3" applyFont="1" applyBorder="1"/>
    <xf numFmtId="0" fontId="3" fillId="0" borderId="46" xfId="3" applyFont="1" applyBorder="1"/>
    <xf numFmtId="0" fontId="0" fillId="10" borderId="52" xfId="3" applyFont="1" applyFill="1" applyBorder="1" applyAlignment="1">
      <alignment horizontal="center" vertical="center" wrapText="1"/>
    </xf>
    <xf numFmtId="0" fontId="3" fillId="0" borderId="53" xfId="3" applyFont="1" applyBorder="1"/>
    <xf numFmtId="0" fontId="0" fillId="10" borderId="70" xfId="3" applyFont="1" applyFill="1" applyBorder="1" applyAlignment="1">
      <alignment horizontal="center" vertical="center"/>
    </xf>
    <xf numFmtId="0" fontId="0" fillId="10" borderId="70" xfId="3" applyFont="1" applyFill="1" applyBorder="1" applyAlignment="1">
      <alignment horizontal="center" vertical="center" wrapText="1"/>
    </xf>
    <xf numFmtId="0" fontId="34" fillId="0" borderId="75" xfId="6" applyFont="1" applyBorder="1" applyAlignment="1">
      <alignment horizontal="center" vertical="center" wrapText="1"/>
    </xf>
    <xf numFmtId="0" fontId="34" fillId="0" borderId="77" xfId="6" applyFont="1" applyBorder="1" applyAlignment="1">
      <alignment horizontal="center" vertical="center" wrapText="1"/>
    </xf>
    <xf numFmtId="0" fontId="47" fillId="0" borderId="70" xfId="6" applyBorder="1" applyAlignment="1">
      <alignment horizontal="center" vertical="top" wrapText="1"/>
    </xf>
    <xf numFmtId="0" fontId="39" fillId="0" borderId="78" xfId="6" applyFont="1" applyBorder="1" applyAlignment="1">
      <alignment horizontal="center" vertical="center" wrapText="1"/>
    </xf>
    <xf numFmtId="0" fontId="39" fillId="0" borderId="79" xfId="6" applyFont="1" applyBorder="1" applyAlignment="1">
      <alignment horizontal="center" vertical="center" wrapText="1"/>
    </xf>
    <xf numFmtId="0" fontId="39" fillId="0" borderId="80" xfId="6" applyFont="1" applyBorder="1" applyAlignment="1">
      <alignment horizontal="center" vertical="center" wrapText="1"/>
    </xf>
    <xf numFmtId="0" fontId="39" fillId="0" borderId="81" xfId="6" applyFont="1" applyBorder="1" applyAlignment="1">
      <alignment horizontal="center" vertical="center" wrapText="1"/>
    </xf>
    <xf numFmtId="0" fontId="39" fillId="0" borderId="82" xfId="6" applyFont="1" applyBorder="1" applyAlignment="1">
      <alignment horizontal="center" vertical="center" wrapText="1"/>
    </xf>
    <xf numFmtId="0" fontId="39" fillId="0" borderId="83" xfId="6" applyFont="1" applyBorder="1" applyAlignment="1">
      <alignment horizontal="center" vertical="center" wrapText="1"/>
    </xf>
    <xf numFmtId="0" fontId="42" fillId="18" borderId="84" xfId="6" applyFont="1" applyFill="1" applyBorder="1" applyAlignment="1">
      <alignment horizontal="center" vertical="top" wrapText="1"/>
    </xf>
    <xf numFmtId="0" fontId="42" fillId="18" borderId="77" xfId="6" applyFont="1" applyFill="1" applyBorder="1" applyAlignment="1">
      <alignment horizontal="center" vertical="top" wrapText="1"/>
    </xf>
    <xf numFmtId="0" fontId="42" fillId="18" borderId="85" xfId="6" applyFont="1" applyFill="1" applyBorder="1" applyAlignment="1">
      <alignment horizontal="center" vertical="top" wrapText="1"/>
    </xf>
    <xf numFmtId="0" fontId="38" fillId="18" borderId="82" xfId="6" applyFont="1" applyFill="1" applyBorder="1" applyAlignment="1">
      <alignment horizontal="center" vertical="top" wrapText="1"/>
    </xf>
    <xf numFmtId="0" fontId="38" fillId="18" borderId="86" xfId="6" applyFont="1" applyFill="1" applyBorder="1" applyAlignment="1">
      <alignment horizontal="center" vertical="top" wrapText="1"/>
    </xf>
    <xf numFmtId="0" fontId="38" fillId="18" borderId="87" xfId="6" applyFont="1" applyFill="1" applyBorder="1" applyAlignment="1">
      <alignment horizontal="center" vertical="top" wrapText="1"/>
    </xf>
    <xf numFmtId="0" fontId="38" fillId="18" borderId="84" xfId="6" applyFont="1" applyFill="1" applyBorder="1" applyAlignment="1">
      <alignment horizontal="center" vertical="top" wrapText="1"/>
    </xf>
    <xf numFmtId="0" fontId="38" fillId="18" borderId="77" xfId="6" applyFont="1" applyFill="1" applyBorder="1" applyAlignment="1">
      <alignment horizontal="center" vertical="top" wrapText="1"/>
    </xf>
    <xf numFmtId="0" fontId="38" fillId="18" borderId="85" xfId="6" applyFont="1" applyFill="1" applyBorder="1" applyAlignment="1">
      <alignment horizontal="center" vertical="top" wrapText="1"/>
    </xf>
    <xf numFmtId="0" fontId="5" fillId="6" borderId="75" xfId="6" applyFont="1" applyFill="1" applyBorder="1" applyAlignment="1">
      <alignment horizontal="center" vertical="center"/>
    </xf>
    <xf numFmtId="0" fontId="5" fillId="6" borderId="77" xfId="6" applyFont="1" applyFill="1" applyBorder="1" applyAlignment="1">
      <alignment horizontal="center" vertical="center"/>
    </xf>
    <xf numFmtId="49" fontId="17" fillId="6" borderId="75" xfId="6" applyNumberFormat="1" applyFont="1" applyFill="1" applyBorder="1" applyAlignment="1">
      <alignment horizontal="center" vertical="center" wrapText="1"/>
    </xf>
    <xf numFmtId="49" fontId="17" fillId="6" borderId="77" xfId="6" applyNumberFormat="1" applyFont="1" applyFill="1" applyBorder="1" applyAlignment="1">
      <alignment horizontal="center" vertical="center" wrapText="1"/>
    </xf>
    <xf numFmtId="49" fontId="17" fillId="6" borderId="75" xfId="6" quotePrefix="1" applyNumberFormat="1" applyFont="1" applyFill="1" applyBorder="1" applyAlignment="1">
      <alignment horizontal="center" vertical="center" wrapText="1"/>
    </xf>
    <xf numFmtId="49" fontId="17" fillId="6" borderId="77" xfId="6" quotePrefix="1" applyNumberFormat="1" applyFont="1" applyFill="1" applyBorder="1" applyAlignment="1">
      <alignment horizontal="center" vertical="center" wrapText="1"/>
    </xf>
    <xf numFmtId="0" fontId="34" fillId="0" borderId="75" xfId="6" applyFont="1" applyBorder="1" applyAlignment="1">
      <alignment horizontal="center" vertical="center"/>
    </xf>
    <xf numFmtId="0" fontId="34" fillId="0" borderId="77" xfId="6" applyFont="1" applyBorder="1" applyAlignment="1">
      <alignment horizontal="center" vertical="center"/>
    </xf>
    <xf numFmtId="2" fontId="34" fillId="0" borderId="75" xfId="6" applyNumberFormat="1" applyFont="1" applyBorder="1" applyAlignment="1">
      <alignment horizontal="center" vertical="center" wrapText="1"/>
    </xf>
    <xf numFmtId="2" fontId="34" fillId="0" borderId="77" xfId="6" applyNumberFormat="1" applyFont="1" applyBorder="1" applyAlignment="1">
      <alignment horizontal="center" vertical="center" wrapText="1"/>
    </xf>
    <xf numFmtId="0" fontId="34" fillId="0" borderId="70" xfId="6" applyFont="1" applyBorder="1" applyAlignment="1">
      <alignment horizontal="center" vertical="center" wrapText="1"/>
    </xf>
    <xf numFmtId="0" fontId="53" fillId="19" borderId="101" xfId="1" applyFont="1" applyFill="1" applyBorder="1" applyAlignment="1">
      <alignment horizontal="left" vertical="center" wrapText="1"/>
    </xf>
    <xf numFmtId="0" fontId="53" fillId="19" borderId="102" xfId="1" applyFont="1" applyFill="1" applyBorder="1" applyAlignment="1">
      <alignment horizontal="left" vertical="center" wrapText="1"/>
    </xf>
    <xf numFmtId="0" fontId="40" fillId="0" borderId="101" xfId="1" applyFont="1" applyBorder="1" applyAlignment="1">
      <alignment horizontal="left" vertical="center"/>
    </xf>
    <xf numFmtId="0" fontId="40" fillId="0" borderId="103" xfId="1" applyFont="1" applyBorder="1" applyAlignment="1">
      <alignment horizontal="left" vertical="center"/>
    </xf>
    <xf numFmtId="0" fontId="40" fillId="0" borderId="102" xfId="1" applyFont="1" applyBorder="1" applyAlignment="1">
      <alignment horizontal="left" vertical="center"/>
    </xf>
    <xf numFmtId="0" fontId="2" fillId="0" borderId="75" xfId="1" applyBorder="1" applyAlignment="1">
      <alignment horizontal="center" vertical="center"/>
    </xf>
    <xf numFmtId="0" fontId="60" fillId="0" borderId="75" xfId="1" applyFont="1" applyBorder="1" applyAlignment="1">
      <alignment horizontal="center" vertical="center"/>
    </xf>
    <xf numFmtId="0" fontId="61" fillId="0" borderId="75" xfId="1" applyFont="1" applyBorder="1" applyAlignment="1">
      <alignment horizontal="left"/>
    </xf>
    <xf numFmtId="0" fontId="42" fillId="18" borderId="70" xfId="1" applyFont="1" applyFill="1" applyBorder="1" applyAlignment="1">
      <alignment horizontal="center" vertical="center" wrapText="1"/>
    </xf>
    <xf numFmtId="0" fontId="34" fillId="0" borderId="70" xfId="1" applyFont="1" applyBorder="1" applyAlignment="1">
      <alignment horizontal="center" vertical="center"/>
    </xf>
    <xf numFmtId="2" fontId="34" fillId="24" borderId="70" xfId="1" applyNumberFormat="1" applyFont="1" applyFill="1" applyBorder="1" applyAlignment="1">
      <alignment horizontal="center" vertical="center" wrapText="1"/>
    </xf>
    <xf numFmtId="0" fontId="3" fillId="23" borderId="70" xfId="1" applyFont="1" applyFill="1" applyBorder="1" applyAlignment="1">
      <alignment horizontal="center" vertical="center" wrapText="1"/>
    </xf>
    <xf numFmtId="0" fontId="34" fillId="24" borderId="70" xfId="1" applyFont="1" applyFill="1" applyBorder="1" applyAlignment="1">
      <alignment horizontal="left" vertical="center" wrapText="1"/>
    </xf>
    <xf numFmtId="0" fontId="34" fillId="24" borderId="70" xfId="1" quotePrefix="1" applyFont="1" applyFill="1" applyBorder="1" applyAlignment="1">
      <alignment horizontal="left" vertical="center" wrapText="1"/>
    </xf>
    <xf numFmtId="0" fontId="34" fillId="24" borderId="70" xfId="1" quotePrefix="1" applyNumberFormat="1" applyFont="1" applyFill="1" applyBorder="1" applyAlignment="1">
      <alignment horizontal="left" vertical="center" wrapText="1"/>
    </xf>
    <xf numFmtId="0" fontId="34" fillId="24" borderId="75" xfId="5" applyFont="1" applyFill="1" applyBorder="1" applyAlignment="1">
      <alignment horizontal="center" vertical="center" wrapText="1"/>
    </xf>
    <xf numFmtId="0" fontId="34" fillId="24" borderId="76" xfId="5" applyFont="1" applyFill="1" applyBorder="1" applyAlignment="1">
      <alignment horizontal="center" vertical="center" wrapText="1"/>
    </xf>
    <xf numFmtId="0" fontId="1" fillId="19" borderId="70" xfId="5" applyFill="1" applyBorder="1" applyAlignment="1">
      <alignment horizontal="center" vertical="center"/>
    </xf>
    <xf numFmtId="0" fontId="58" fillId="19" borderId="70" xfId="2" applyFill="1" applyBorder="1" applyAlignment="1">
      <alignment horizontal="center" vertical="center" wrapText="1"/>
    </xf>
    <xf numFmtId="49" fontId="58" fillId="19" borderId="70" xfId="2" quotePrefix="1" applyNumberFormat="1" applyFill="1" applyBorder="1" applyAlignment="1">
      <alignment horizontal="left" vertical="center" wrapText="1"/>
    </xf>
    <xf numFmtId="49" fontId="58" fillId="24" borderId="75" xfId="2" quotePrefix="1" applyNumberFormat="1" applyFill="1" applyBorder="1" applyAlignment="1">
      <alignment horizontal="center" vertical="center" wrapText="1"/>
    </xf>
    <xf numFmtId="49" fontId="58" fillId="24" borderId="76" xfId="2" quotePrefix="1" applyNumberFormat="1" applyFill="1" applyBorder="1" applyAlignment="1">
      <alignment horizontal="center" vertical="center" wrapText="1"/>
    </xf>
    <xf numFmtId="2" fontId="29" fillId="28" borderId="75" xfId="5" applyNumberFormat="1" applyFont="1" applyFill="1" applyBorder="1" applyAlignment="1">
      <alignment horizontal="center" vertical="center" wrapText="1"/>
    </xf>
    <xf numFmtId="2" fontId="29" fillId="28" borderId="76" xfId="5" applyNumberFormat="1" applyFont="1" applyFill="1" applyBorder="1" applyAlignment="1">
      <alignment horizontal="center" vertical="center" wrapText="1"/>
    </xf>
    <xf numFmtId="2" fontId="34" fillId="24" borderId="70" xfId="5" applyNumberFormat="1" applyFont="1" applyFill="1" applyBorder="1" applyAlignment="1">
      <alignment horizontal="center" vertical="center"/>
    </xf>
    <xf numFmtId="0" fontId="29" fillId="0" borderId="70" xfId="5" applyFont="1" applyBorder="1" applyAlignment="1">
      <alignment horizontal="center" vertical="center"/>
    </xf>
    <xf numFmtId="0" fontId="34" fillId="24" borderId="77" xfId="5" applyFont="1" applyFill="1" applyBorder="1" applyAlignment="1">
      <alignment horizontal="center" vertical="center" wrapText="1"/>
    </xf>
    <xf numFmtId="0" fontId="80" fillId="8" borderId="32" xfId="4" applyFont="1" applyFill="1" applyBorder="1" applyAlignment="1">
      <alignment horizontal="center" vertical="center"/>
    </xf>
    <xf numFmtId="0" fontId="76" fillId="0" borderId="33" xfId="4" applyFont="1" applyBorder="1"/>
    <xf numFmtId="0" fontId="77" fillId="6" borderId="9" xfId="4" applyFont="1" applyFill="1" applyBorder="1" applyAlignment="1">
      <alignment horizontal="left" vertical="top" wrapText="1"/>
    </xf>
    <xf numFmtId="0" fontId="76" fillId="0" borderId="11" xfId="4" applyFont="1" applyBorder="1"/>
    <xf numFmtId="0" fontId="81" fillId="0" borderId="1" xfId="4" applyFont="1" applyBorder="1" applyAlignment="1">
      <alignment horizontal="center"/>
    </xf>
    <xf numFmtId="0" fontId="76" fillId="0" borderId="1" xfId="4" applyFont="1" applyBorder="1"/>
    <xf numFmtId="0" fontId="82" fillId="0" borderId="50" xfId="4" applyFont="1" applyBorder="1" applyAlignment="1">
      <alignment horizontal="center" vertical="center"/>
    </xf>
    <xf numFmtId="0" fontId="76" fillId="0" borderId="68" xfId="4" applyFont="1" applyBorder="1"/>
    <xf numFmtId="0" fontId="76" fillId="0" borderId="4" xfId="4" applyFont="1" applyBorder="1"/>
    <xf numFmtId="0" fontId="76" fillId="0" borderId="5" xfId="4" applyFont="1" applyBorder="1"/>
    <xf numFmtId="0" fontId="0" fillId="0" borderId="18" xfId="4" applyFont="1" applyAlignment="1"/>
    <xf numFmtId="0" fontId="76" fillId="0" borderId="67" xfId="4" applyFont="1" applyBorder="1"/>
    <xf numFmtId="0" fontId="76" fillId="0" borderId="69" xfId="4" applyFont="1" applyBorder="1"/>
    <xf numFmtId="0" fontId="76" fillId="0" borderId="56" xfId="4" applyFont="1" applyBorder="1"/>
    <xf numFmtId="0" fontId="81" fillId="0" borderId="52" xfId="4" applyFont="1" applyBorder="1" applyAlignment="1">
      <alignment horizontal="left" vertical="center"/>
    </xf>
    <xf numFmtId="0" fontId="76" fillId="0" borderId="41" xfId="4" applyFont="1" applyBorder="1"/>
    <xf numFmtId="0" fontId="80" fillId="8" borderId="13" xfId="4" applyFont="1" applyFill="1" applyBorder="1" applyAlignment="1">
      <alignment horizontal="center" vertical="center"/>
    </xf>
    <xf numFmtId="0" fontId="76" fillId="0" borderId="14" xfId="4" applyFont="1" applyBorder="1"/>
    <xf numFmtId="0" fontId="76" fillId="0" borderId="29" xfId="4" applyFont="1" applyBorder="1"/>
    <xf numFmtId="0" fontId="81" fillId="0" borderId="18" xfId="3" applyFont="1" applyAlignment="1">
      <alignment horizontal="center"/>
    </xf>
    <xf numFmtId="0" fontId="76" fillId="0" borderId="69" xfId="3" applyFont="1" applyBorder="1"/>
    <xf numFmtId="0" fontId="83" fillId="0" borderId="18" xfId="3" applyFont="1" applyAlignment="1">
      <alignment horizontal="center" vertical="center"/>
    </xf>
    <xf numFmtId="0" fontId="76" fillId="0" borderId="1" xfId="3" applyFont="1" applyBorder="1"/>
    <xf numFmtId="0" fontId="76" fillId="0" borderId="56" xfId="3" applyFont="1" applyBorder="1"/>
    <xf numFmtId="0" fontId="84" fillId="0" borderId="52" xfId="3" applyFont="1" applyBorder="1" applyAlignment="1">
      <alignment horizontal="left" vertical="center"/>
    </xf>
    <xf numFmtId="0" fontId="76" fillId="0" borderId="41" xfId="3" applyFont="1" applyBorder="1"/>
    <xf numFmtId="0" fontId="85" fillId="8" borderId="9" xfId="3" applyFont="1" applyFill="1" applyBorder="1" applyAlignment="1">
      <alignment horizontal="center" vertical="center"/>
    </xf>
    <xf numFmtId="0" fontId="76" fillId="0" borderId="58" xfId="3" applyFont="1" applyBorder="1"/>
    <xf numFmtId="0" fontId="76" fillId="0" borderId="11" xfId="3" applyFont="1" applyBorder="1"/>
    <xf numFmtId="0" fontId="86" fillId="0" borderId="9" xfId="3" applyFont="1" applyBorder="1" applyAlignment="1">
      <alignment horizontal="left" vertical="center"/>
    </xf>
    <xf numFmtId="0" fontId="87" fillId="8" borderId="9" xfId="3" applyFont="1" applyFill="1" applyBorder="1" applyAlignment="1">
      <alignment horizontal="center"/>
    </xf>
    <xf numFmtId="0" fontId="87" fillId="8" borderId="9" xfId="3" applyFont="1" applyFill="1" applyBorder="1" applyAlignment="1">
      <alignment horizontal="center" vertical="center"/>
    </xf>
    <xf numFmtId="0" fontId="0" fillId="5" borderId="52" xfId="3" applyFont="1" applyFill="1" applyBorder="1" applyAlignment="1">
      <alignment horizontal="center" vertical="center" wrapText="1"/>
    </xf>
    <xf numFmtId="0" fontId="76" fillId="0" borderId="53" xfId="3" applyFont="1" applyBorder="1"/>
    <xf numFmtId="2" fontId="0" fillId="10" borderId="52" xfId="3" applyNumberFormat="1" applyFont="1" applyFill="1" applyBorder="1" applyAlignment="1">
      <alignment horizontal="center" vertical="center"/>
    </xf>
    <xf numFmtId="0" fontId="0" fillId="4" borderId="52" xfId="3" applyFont="1" applyFill="1" applyBorder="1" applyAlignment="1">
      <alignment horizontal="center" vertical="center"/>
    </xf>
    <xf numFmtId="0" fontId="81" fillId="0" borderId="50" xfId="3" applyFont="1" applyBorder="1" applyAlignment="1">
      <alignment horizontal="center" vertical="center"/>
    </xf>
    <xf numFmtId="0" fontId="76" fillId="0" borderId="68" xfId="3" applyFont="1" applyBorder="1"/>
    <xf numFmtId="0" fontId="76" fillId="0" borderId="4" xfId="3" applyFont="1" applyBorder="1"/>
    <xf numFmtId="0" fontId="76" fillId="0" borderId="5" xfId="3" applyFont="1" applyBorder="1"/>
    <xf numFmtId="0" fontId="76" fillId="0" borderId="67" xfId="3" applyFont="1" applyBorder="1"/>
    <xf numFmtId="0" fontId="90" fillId="0" borderId="50" xfId="3" applyFont="1" applyBorder="1" applyAlignment="1">
      <alignment horizontal="center" vertical="center"/>
    </xf>
    <xf numFmtId="0" fontId="91" fillId="0" borderId="52" xfId="3" applyFont="1" applyBorder="1" applyAlignment="1">
      <alignment horizontal="left"/>
    </xf>
    <xf numFmtId="0" fontId="92" fillId="8" borderId="9" xfId="3" applyFont="1" applyFill="1" applyBorder="1" applyAlignment="1">
      <alignment horizontal="center" vertical="center" wrapText="1"/>
    </xf>
    <xf numFmtId="0" fontId="87" fillId="8" borderId="36" xfId="3" applyFont="1" applyFill="1" applyBorder="1" applyAlignment="1">
      <alignment horizontal="center"/>
    </xf>
    <xf numFmtId="0" fontId="76" fillId="0" borderId="36" xfId="3" applyFont="1" applyBorder="1"/>
    <xf numFmtId="0" fontId="76" fillId="0" borderId="37" xfId="3" applyFont="1" applyBorder="1"/>
    <xf numFmtId="0" fontId="0" fillId="4" borderId="52" xfId="3" applyFont="1" applyFill="1" applyBorder="1" applyAlignment="1">
      <alignment horizontal="left" vertical="center" wrapText="1"/>
    </xf>
    <xf numFmtId="0" fontId="95" fillId="0" borderId="52" xfId="3" applyFont="1" applyBorder="1" applyAlignment="1">
      <alignment horizontal="center" vertical="center"/>
    </xf>
    <xf numFmtId="0" fontId="0" fillId="4" borderId="52" xfId="3" applyFont="1" applyFill="1" applyBorder="1" applyAlignment="1">
      <alignment horizontal="center" vertical="center" wrapText="1"/>
    </xf>
    <xf numFmtId="1" fontId="0" fillId="10" borderId="52" xfId="3" applyNumberFormat="1" applyFont="1" applyFill="1" applyBorder="1" applyAlignment="1">
      <alignment horizontal="center" vertical="center"/>
    </xf>
    <xf numFmtId="0" fontId="0" fillId="0" borderId="52" xfId="3" applyFont="1" applyBorder="1" applyAlignment="1">
      <alignment horizontal="center" vertical="center"/>
    </xf>
    <xf numFmtId="0" fontId="0" fillId="5" borderId="52" xfId="3" applyFont="1" applyFill="1" applyBorder="1" applyAlignment="1">
      <alignment horizontal="center" vertical="center"/>
    </xf>
    <xf numFmtId="2" fontId="0" fillId="10" borderId="52" xfId="3" applyNumberFormat="1" applyFont="1" applyFill="1" applyBorder="1" applyAlignment="1">
      <alignment horizontal="center" vertical="center" wrapText="1"/>
    </xf>
    <xf numFmtId="0" fontId="81" fillId="0" borderId="50" xfId="3" applyFont="1" applyBorder="1" applyAlignment="1">
      <alignment horizontal="center"/>
    </xf>
    <xf numFmtId="0" fontId="96" fillId="0" borderId="50" xfId="3" applyFont="1" applyBorder="1" applyAlignment="1">
      <alignment horizontal="center" vertical="center"/>
    </xf>
    <xf numFmtId="0" fontId="84" fillId="0" borderId="50" xfId="3" applyFont="1" applyBorder="1" applyAlignment="1">
      <alignment horizontal="left" vertical="center"/>
    </xf>
    <xf numFmtId="0" fontId="87" fillId="8" borderId="69" xfId="3" applyFont="1" applyFill="1" applyBorder="1" applyAlignment="1">
      <alignment horizontal="center" vertical="center" wrapText="1"/>
    </xf>
    <xf numFmtId="0" fontId="77" fillId="0" borderId="50" xfId="3" applyFont="1" applyBorder="1" applyAlignment="1">
      <alignment horizontal="center"/>
    </xf>
    <xf numFmtId="0" fontId="99" fillId="0" borderId="50" xfId="3" applyFont="1" applyBorder="1" applyAlignment="1">
      <alignment horizontal="left" vertical="center"/>
    </xf>
    <xf numFmtId="0" fontId="93" fillId="8" borderId="35" xfId="3" applyFont="1" applyFill="1" applyBorder="1" applyAlignment="1">
      <alignment horizontal="center" vertical="center" wrapText="1"/>
    </xf>
    <xf numFmtId="0" fontId="76" fillId="0" borderId="33" xfId="3" applyFont="1" applyBorder="1"/>
    <xf numFmtId="0" fontId="93" fillId="8" borderId="32" xfId="3" applyFont="1" applyFill="1" applyBorder="1" applyAlignment="1">
      <alignment horizontal="center" vertical="center" wrapText="1"/>
    </xf>
    <xf numFmtId="0" fontId="93" fillId="8" borderId="32" xfId="3" applyFont="1" applyFill="1" applyBorder="1" applyAlignment="1">
      <alignment horizontal="center" vertical="center"/>
    </xf>
    <xf numFmtId="0" fontId="93" fillId="8" borderId="32" xfId="3" applyFont="1" applyFill="1" applyBorder="1" applyAlignment="1">
      <alignment horizontal="center"/>
    </xf>
    <xf numFmtId="0" fontId="76" fillId="0" borderId="51" xfId="3" applyFont="1" applyBorder="1"/>
    <xf numFmtId="0" fontId="76" fillId="0" borderId="46" xfId="3" applyFont="1" applyBorder="1"/>
    <xf numFmtId="0" fontId="0" fillId="10" borderId="52" xfId="3" applyFont="1" applyFill="1" applyBorder="1" applyAlignment="1">
      <alignment horizontal="left" vertical="center" wrapText="1"/>
    </xf>
    <xf numFmtId="0" fontId="81" fillId="0" borderId="50" xfId="3" applyFont="1" applyBorder="1" applyAlignment="1">
      <alignment horizontal="center" vertical="top" wrapText="1"/>
    </xf>
    <xf numFmtId="0" fontId="107" fillId="0" borderId="50" xfId="3" applyFont="1" applyBorder="1" applyAlignment="1">
      <alignment horizontal="center" vertical="center" wrapText="1"/>
    </xf>
    <xf numFmtId="0" fontId="92" fillId="8" borderId="133" xfId="3" applyFont="1" applyFill="1" applyBorder="1" applyAlignment="1">
      <alignment horizontal="center" vertical="top" wrapText="1"/>
    </xf>
    <xf numFmtId="0" fontId="76" fillId="0" borderId="134" xfId="3" applyFont="1" applyBorder="1"/>
    <xf numFmtId="0" fontId="87" fillId="8" borderId="69" xfId="3" applyFont="1" applyFill="1" applyBorder="1" applyAlignment="1">
      <alignment horizontal="center" vertical="top" wrapText="1"/>
    </xf>
    <xf numFmtId="0" fontId="87" fillId="8" borderId="133" xfId="3" applyFont="1" applyFill="1" applyBorder="1" applyAlignment="1">
      <alignment horizontal="center" vertical="top" wrapText="1"/>
    </xf>
    <xf numFmtId="0" fontId="5" fillId="0" borderId="50" xfId="3" applyFont="1" applyBorder="1" applyAlignment="1">
      <alignment horizontal="center" vertical="center"/>
    </xf>
    <xf numFmtId="0" fontId="18" fillId="0" borderId="50" xfId="3" applyFont="1" applyBorder="1" applyAlignment="1">
      <alignment horizontal="center" vertical="center"/>
    </xf>
    <xf numFmtId="0" fontId="19" fillId="0" borderId="52" xfId="3" applyFont="1" applyBorder="1" applyAlignment="1">
      <alignment horizontal="left"/>
    </xf>
    <xf numFmtId="0" fontId="20" fillId="8" borderId="74" xfId="3" applyFont="1" applyFill="1" applyBorder="1" applyAlignment="1">
      <alignment horizontal="center" vertical="center" wrapText="1"/>
    </xf>
    <xf numFmtId="0" fontId="3" fillId="0" borderId="71" xfId="3" applyFont="1" applyBorder="1"/>
    <xf numFmtId="0" fontId="3" fillId="0" borderId="72" xfId="3" applyFont="1" applyBorder="1"/>
    <xf numFmtId="0" fontId="15" fillId="8" borderId="73" xfId="3" applyFont="1" applyFill="1" applyBorder="1" applyAlignment="1">
      <alignment horizontal="center"/>
    </xf>
    <xf numFmtId="0" fontId="15" fillId="8" borderId="71" xfId="3" applyFont="1" applyFill="1" applyBorder="1" applyAlignment="1">
      <alignment horizontal="center"/>
    </xf>
    <xf numFmtId="0" fontId="15" fillId="8" borderId="74" xfId="3" applyFont="1" applyFill="1" applyBorder="1" applyAlignment="1">
      <alignment horizontal="center"/>
    </xf>
    <xf numFmtId="0" fontId="0" fillId="5" borderId="70" xfId="3" applyFont="1" applyFill="1" applyBorder="1" applyAlignment="1">
      <alignment horizontal="left" vertical="center" wrapText="1"/>
    </xf>
    <xf numFmtId="0" fontId="3" fillId="0" borderId="70" xfId="3" applyFont="1" applyBorder="1" applyAlignment="1">
      <alignment horizontal="left"/>
    </xf>
    <xf numFmtId="0" fontId="0" fillId="4" borderId="70" xfId="3" applyFont="1" applyFill="1" applyBorder="1" applyAlignment="1">
      <alignment horizontal="justify" vertical="center" wrapText="1"/>
    </xf>
    <xf numFmtId="0" fontId="3" fillId="0" borderId="70" xfId="3" applyFont="1" applyBorder="1" applyAlignment="1">
      <alignment horizontal="justify"/>
    </xf>
    <xf numFmtId="0" fontId="13" fillId="0" borderId="50" xfId="3" applyFont="1" applyBorder="1" applyAlignment="1">
      <alignment horizontal="left" vertical="center"/>
    </xf>
    <xf numFmtId="0" fontId="0" fillId="10" borderId="51" xfId="3" applyFont="1" applyFill="1" applyBorder="1" applyAlignment="1">
      <alignment horizontal="center" vertical="center"/>
    </xf>
    <xf numFmtId="0" fontId="0" fillId="10" borderId="46" xfId="3" applyFont="1" applyFill="1" applyBorder="1" applyAlignment="1">
      <alignment horizontal="center" vertical="center"/>
    </xf>
    <xf numFmtId="0" fontId="0" fillId="10" borderId="53" xfId="3" applyFont="1" applyFill="1" applyBorder="1" applyAlignment="1">
      <alignment horizontal="center" vertical="center" wrapText="1"/>
    </xf>
    <xf numFmtId="0" fontId="0" fillId="10" borderId="41" xfId="3" applyFont="1" applyFill="1" applyBorder="1" applyAlignment="1">
      <alignment horizontal="center" vertical="center" wrapText="1"/>
    </xf>
    <xf numFmtId="0" fontId="47" fillId="24" borderId="75" xfId="3" applyFill="1" applyBorder="1" applyAlignment="1">
      <alignment horizontal="center" vertical="center" wrapText="1"/>
    </xf>
    <xf numFmtId="0" fontId="47" fillId="24" borderId="77" xfId="3" applyFill="1" applyBorder="1" applyAlignment="1">
      <alignment horizontal="center" vertical="center" wrapText="1"/>
    </xf>
    <xf numFmtId="0" fontId="47" fillId="0" borderId="70" xfId="3" applyBorder="1" applyAlignment="1">
      <alignment horizontal="center" vertical="top" wrapText="1"/>
    </xf>
    <xf numFmtId="0" fontId="39" fillId="0" borderId="78" xfId="3" applyFont="1" applyBorder="1" applyAlignment="1">
      <alignment horizontal="center" vertical="center" wrapText="1"/>
    </xf>
    <xf numFmtId="0" fontId="39" fillId="0" borderId="79" xfId="3" applyFont="1" applyBorder="1" applyAlignment="1">
      <alignment horizontal="center" vertical="center" wrapText="1"/>
    </xf>
    <xf numFmtId="0" fontId="39" fillId="0" borderId="80" xfId="3" applyFont="1" applyBorder="1" applyAlignment="1">
      <alignment horizontal="center" vertical="center" wrapText="1"/>
    </xf>
    <xf numFmtId="0" fontId="39" fillId="0" borderId="81" xfId="3" applyFont="1" applyBorder="1" applyAlignment="1">
      <alignment horizontal="center" vertical="center" wrapText="1"/>
    </xf>
    <xf numFmtId="0" fontId="39" fillId="0" borderId="82" xfId="3" applyFont="1" applyBorder="1" applyAlignment="1">
      <alignment horizontal="center" vertical="center" wrapText="1"/>
    </xf>
    <xf numFmtId="0" fontId="39" fillId="0" borderId="83" xfId="3" applyFont="1" applyBorder="1" applyAlignment="1">
      <alignment horizontal="center" vertical="center" wrapText="1"/>
    </xf>
    <xf numFmtId="0" fontId="42" fillId="18" borderId="84" xfId="3" applyFont="1" applyFill="1" applyBorder="1" applyAlignment="1">
      <alignment horizontal="center" vertical="top" wrapText="1"/>
    </xf>
    <xf numFmtId="0" fontId="42" fillId="18" borderId="77" xfId="3" applyFont="1" applyFill="1" applyBorder="1" applyAlignment="1">
      <alignment horizontal="center" vertical="top" wrapText="1"/>
    </xf>
    <xf numFmtId="0" fontId="42" fillId="18" borderId="85" xfId="3" applyFont="1" applyFill="1" applyBorder="1" applyAlignment="1">
      <alignment horizontal="center" vertical="top" wrapText="1"/>
    </xf>
    <xf numFmtId="0" fontId="38" fillId="18" borderId="82" xfId="3" applyFont="1" applyFill="1" applyBorder="1" applyAlignment="1">
      <alignment horizontal="center" vertical="top" wrapText="1"/>
    </xf>
    <xf numFmtId="0" fontId="38" fillId="18" borderId="86" xfId="3" applyFont="1" applyFill="1" applyBorder="1" applyAlignment="1">
      <alignment horizontal="center" vertical="top" wrapText="1"/>
    </xf>
    <xf numFmtId="0" fontId="38" fillId="18" borderId="87" xfId="3" applyFont="1" applyFill="1" applyBorder="1" applyAlignment="1">
      <alignment horizontal="center" vertical="top" wrapText="1"/>
    </xf>
    <xf numFmtId="0" fontId="38" fillId="18" borderId="84" xfId="3" applyFont="1" applyFill="1" applyBorder="1" applyAlignment="1">
      <alignment horizontal="center" vertical="top" wrapText="1"/>
    </xf>
    <xf numFmtId="0" fontId="38" fillId="18" borderId="77" xfId="3" applyFont="1" applyFill="1" applyBorder="1" applyAlignment="1">
      <alignment horizontal="center" vertical="top" wrapText="1"/>
    </xf>
    <xf numFmtId="0" fontId="38" fillId="18" borderId="85" xfId="3" applyFont="1" applyFill="1" applyBorder="1" applyAlignment="1">
      <alignment horizontal="center" vertical="top" wrapText="1"/>
    </xf>
    <xf numFmtId="0" fontId="47" fillId="19" borderId="136" xfId="3" applyFill="1" applyBorder="1" applyAlignment="1">
      <alignment horizontal="center" vertical="center"/>
    </xf>
    <xf numFmtId="0" fontId="47" fillId="19" borderId="137" xfId="3" applyFill="1" applyBorder="1" applyAlignment="1">
      <alignment horizontal="center" vertical="center"/>
    </xf>
    <xf numFmtId="0" fontId="17" fillId="6" borderId="52" xfId="3" applyFont="1" applyFill="1" applyBorder="1" applyAlignment="1">
      <alignment horizontal="center" vertical="center" wrapText="1"/>
    </xf>
    <xf numFmtId="0" fontId="17" fillId="6" borderId="41" xfId="3" applyFont="1" applyFill="1" applyBorder="1" applyAlignment="1">
      <alignment horizontal="center" vertical="center" wrapText="1"/>
    </xf>
    <xf numFmtId="0" fontId="58" fillId="6" borderId="92" xfId="3" applyFont="1" applyFill="1" applyBorder="1" applyAlignment="1">
      <alignment horizontal="center" vertical="center" wrapText="1"/>
    </xf>
    <xf numFmtId="0" fontId="58" fillId="6" borderId="138" xfId="3" applyFont="1" applyFill="1" applyBorder="1" applyAlignment="1">
      <alignment horizontal="center" vertical="center" wrapText="1"/>
    </xf>
    <xf numFmtId="0" fontId="29" fillId="0" borderId="75" xfId="3" applyFont="1" applyBorder="1" applyAlignment="1">
      <alignment horizontal="center" vertical="center"/>
    </xf>
    <xf numFmtId="0" fontId="29" fillId="0" borderId="77" xfId="3" applyFont="1" applyBorder="1" applyAlignment="1">
      <alignment horizontal="center" vertical="center"/>
    </xf>
    <xf numFmtId="2" fontId="34" fillId="24" borderId="75" xfId="3" applyNumberFormat="1" applyFont="1" applyFill="1" applyBorder="1" applyAlignment="1">
      <alignment horizontal="center" vertical="center"/>
    </xf>
    <xf numFmtId="2" fontId="34" fillId="24" borderId="77" xfId="3" applyNumberFormat="1" applyFont="1" applyFill="1" applyBorder="1" applyAlignment="1">
      <alignment horizontal="center" vertical="center"/>
    </xf>
    <xf numFmtId="0" fontId="55" fillId="0" borderId="101" xfId="1" applyFont="1" applyBorder="1" applyAlignment="1">
      <alignment horizontal="left" vertical="center"/>
    </xf>
    <xf numFmtId="0" fontId="55" fillId="0" borderId="103" xfId="1" applyFont="1" applyBorder="1" applyAlignment="1">
      <alignment horizontal="left" vertical="center"/>
    </xf>
    <xf numFmtId="0" fontId="55" fillId="0" borderId="102" xfId="1" applyFont="1" applyBorder="1" applyAlignment="1">
      <alignment horizontal="left" vertical="center"/>
    </xf>
    <xf numFmtId="0" fontId="38" fillId="18" borderId="100" xfId="1" applyFont="1" applyFill="1" applyBorder="1" applyAlignment="1">
      <alignment horizontal="center"/>
    </xf>
    <xf numFmtId="0" fontId="29" fillId="0" borderId="70" xfId="1" applyFont="1" applyBorder="1" applyAlignment="1">
      <alignment horizontal="center" vertical="center"/>
    </xf>
    <xf numFmtId="0" fontId="34" fillId="24" borderId="89" xfId="1" applyFont="1" applyFill="1" applyBorder="1" applyAlignment="1">
      <alignment horizontal="center" vertical="center"/>
    </xf>
    <xf numFmtId="0" fontId="34" fillId="24" borderId="124" xfId="1" applyFont="1" applyFill="1" applyBorder="1" applyAlignment="1">
      <alignment horizontal="center" vertical="center"/>
    </xf>
    <xf numFmtId="0" fontId="34" fillId="24" borderId="75" xfId="1" applyFont="1" applyFill="1" applyBorder="1" applyAlignment="1">
      <alignment horizontal="center" vertical="center" wrapText="1"/>
    </xf>
    <xf numFmtId="0" fontId="34" fillId="24" borderId="76" xfId="1" applyFont="1" applyFill="1" applyBorder="1" applyAlignment="1">
      <alignment horizontal="center" vertical="center" wrapText="1"/>
    </xf>
    <xf numFmtId="0" fontId="34" fillId="24" borderId="75" xfId="1" quotePrefix="1" applyFont="1" applyFill="1" applyBorder="1" applyAlignment="1">
      <alignment horizontal="center" vertical="center" wrapText="1"/>
    </xf>
    <xf numFmtId="0" fontId="34" fillId="24" borderId="76" xfId="1" quotePrefix="1" applyFont="1" applyFill="1" applyBorder="1" applyAlignment="1">
      <alignment horizontal="center" vertical="center" wrapText="1"/>
    </xf>
    <xf numFmtId="0" fontId="34" fillId="24" borderId="75" xfId="1" quotePrefix="1" applyFont="1" applyFill="1" applyBorder="1" applyAlignment="1">
      <alignment horizontal="left" vertical="center" wrapText="1"/>
    </xf>
    <xf numFmtId="0" fontId="34" fillId="24" borderId="76" xfId="1" quotePrefix="1" applyFont="1" applyFill="1" applyBorder="1" applyAlignment="1">
      <alignment horizontal="left" vertical="center" wrapText="1"/>
    </xf>
    <xf numFmtId="0" fontId="1" fillId="19" borderId="75" xfId="5" applyFill="1" applyBorder="1" applyAlignment="1">
      <alignment horizontal="center" vertical="center"/>
    </xf>
    <xf numFmtId="0" fontId="1" fillId="19" borderId="76" xfId="5" applyFill="1" applyBorder="1" applyAlignment="1">
      <alignment horizontal="center" vertical="center"/>
    </xf>
    <xf numFmtId="0" fontId="1" fillId="19" borderId="77" xfId="5" applyFill="1" applyBorder="1" applyAlignment="1">
      <alignment horizontal="center" vertical="center"/>
    </xf>
    <xf numFmtId="0" fontId="58" fillId="19" borderId="75" xfId="5" applyFont="1" applyFill="1" applyBorder="1" applyAlignment="1">
      <alignment horizontal="left" vertical="center" wrapText="1"/>
    </xf>
    <xf numFmtId="0" fontId="58" fillId="19" borderId="76" xfId="5" applyFont="1" applyFill="1" applyBorder="1" applyAlignment="1">
      <alignment horizontal="left" vertical="center" wrapText="1"/>
    </xf>
    <xf numFmtId="0" fontId="58" fillId="19" borderId="77" xfId="5" applyFont="1" applyFill="1" applyBorder="1" applyAlignment="1">
      <alignment horizontal="left" vertical="center" wrapText="1"/>
    </xf>
    <xf numFmtId="0" fontId="58" fillId="19" borderId="75" xfId="5" quotePrefix="1" applyFont="1" applyFill="1" applyBorder="1" applyAlignment="1">
      <alignment horizontal="left" vertical="center" wrapText="1"/>
    </xf>
    <xf numFmtId="0" fontId="58" fillId="19" borderId="76" xfId="5" quotePrefix="1" applyFont="1" applyFill="1" applyBorder="1" applyAlignment="1">
      <alignment horizontal="left" vertical="center" wrapText="1"/>
    </xf>
    <xf numFmtId="0" fontId="58" fillId="19" borderId="77" xfId="5" quotePrefix="1" applyFont="1" applyFill="1" applyBorder="1" applyAlignment="1">
      <alignment horizontal="left" vertical="center" wrapText="1"/>
    </xf>
    <xf numFmtId="0" fontId="58" fillId="19" borderId="75" xfId="2" quotePrefix="1" applyFill="1" applyBorder="1" applyAlignment="1">
      <alignment horizontal="left" vertical="center" wrapText="1"/>
    </xf>
    <xf numFmtId="0" fontId="58" fillId="19" borderId="76" xfId="2" quotePrefix="1" applyFill="1" applyBorder="1" applyAlignment="1">
      <alignment horizontal="left" vertical="center" wrapText="1"/>
    </xf>
    <xf numFmtId="0" fontId="58" fillId="19" borderId="77" xfId="2" quotePrefix="1" applyFill="1" applyBorder="1" applyAlignment="1">
      <alignment horizontal="left" vertical="center" wrapText="1"/>
    </xf>
    <xf numFmtId="49" fontId="58" fillId="24" borderId="77" xfId="2" quotePrefix="1" applyNumberFormat="1" applyFill="1" applyBorder="1" applyAlignment="1">
      <alignment horizontal="center" vertical="center" wrapText="1"/>
    </xf>
    <xf numFmtId="0" fontId="58" fillId="19" borderId="75" xfId="2" applyFill="1" applyBorder="1" applyAlignment="1">
      <alignment horizontal="left" vertical="center" wrapText="1"/>
    </xf>
    <xf numFmtId="0" fontId="58" fillId="19" borderId="77" xfId="2" applyFill="1" applyBorder="1" applyAlignment="1">
      <alignment horizontal="left" vertical="center" wrapText="1"/>
    </xf>
    <xf numFmtId="0" fontId="1" fillId="24" borderId="75" xfId="5" applyFill="1" applyBorder="1" applyAlignment="1">
      <alignment horizontal="center" vertical="center" wrapText="1"/>
    </xf>
    <xf numFmtId="0" fontId="1" fillId="24" borderId="77" xfId="5" applyFill="1" applyBorder="1" applyAlignment="1">
      <alignment horizontal="center" vertical="center" wrapText="1"/>
    </xf>
    <xf numFmtId="0" fontId="29" fillId="0" borderId="75" xfId="5" applyFont="1" applyBorder="1" applyAlignment="1">
      <alignment horizontal="center" vertical="center"/>
    </xf>
    <xf numFmtId="0" fontId="29" fillId="0" borderId="77" xfId="5" applyFont="1" applyBorder="1" applyAlignment="1">
      <alignment horizontal="center" vertical="center"/>
    </xf>
    <xf numFmtId="0" fontId="29" fillId="0" borderId="76" xfId="5" applyFont="1" applyBorder="1" applyAlignment="1">
      <alignment horizontal="center" vertical="center"/>
    </xf>
    <xf numFmtId="2" fontId="34" fillId="24" borderId="75" xfId="5" applyNumberFormat="1" applyFont="1" applyFill="1" applyBorder="1" applyAlignment="1">
      <alignment horizontal="center" vertical="center"/>
    </xf>
    <xf numFmtId="2" fontId="34" fillId="24" borderId="76" xfId="5" applyNumberFormat="1" applyFont="1" applyFill="1" applyBorder="1" applyAlignment="1">
      <alignment horizontal="center" vertical="center"/>
    </xf>
    <xf numFmtId="2" fontId="34" fillId="24" borderId="77" xfId="5" applyNumberFormat="1" applyFont="1" applyFill="1" applyBorder="1" applyAlignment="1">
      <alignment horizontal="center" vertical="center"/>
    </xf>
    <xf numFmtId="0" fontId="1" fillId="24" borderId="70" xfId="5" applyFill="1" applyBorder="1" applyAlignment="1">
      <alignment horizontal="center" vertical="center" wrapText="1"/>
    </xf>
    <xf numFmtId="0" fontId="58" fillId="19" borderId="70" xfId="5" applyFont="1" applyFill="1" applyBorder="1" applyAlignment="1">
      <alignment horizontal="left" vertical="center" wrapText="1"/>
    </xf>
    <xf numFmtId="0" fontId="58" fillId="19" borderId="70" xfId="5" quotePrefix="1" applyFont="1" applyFill="1" applyBorder="1" applyAlignment="1">
      <alignment horizontal="left" vertical="center" wrapText="1"/>
    </xf>
    <xf numFmtId="0" fontId="58" fillId="19" borderId="70" xfId="2" quotePrefix="1" applyFill="1" applyBorder="1" applyAlignment="1">
      <alignment horizontal="left" vertical="center" wrapText="1"/>
    </xf>
    <xf numFmtId="0" fontId="1" fillId="24" borderId="70" xfId="5" applyFill="1" applyBorder="1" applyAlignment="1">
      <alignment horizontal="center" vertical="center"/>
    </xf>
    <xf numFmtId="49" fontId="0" fillId="4" borderId="70" xfId="3" applyNumberFormat="1" applyFont="1" applyFill="1" applyBorder="1" applyAlignment="1">
      <alignment horizontal="left" vertical="center" wrapText="1"/>
    </xf>
    <xf numFmtId="0" fontId="3" fillId="0" borderId="70" xfId="3" applyFont="1" applyBorder="1" applyAlignment="1">
      <alignment horizontal="left" wrapText="1"/>
    </xf>
    <xf numFmtId="49" fontId="34" fillId="4" borderId="70" xfId="3" quotePrefix="1" applyNumberFormat="1" applyFont="1" applyFill="1" applyBorder="1" applyAlignment="1">
      <alignment horizontal="left" vertical="center" wrapText="1"/>
    </xf>
    <xf numFmtId="49" fontId="34" fillId="4" borderId="70" xfId="3" applyNumberFormat="1" applyFont="1" applyFill="1" applyBorder="1" applyAlignment="1">
      <alignment horizontal="left" vertical="center" wrapText="1"/>
    </xf>
    <xf numFmtId="0" fontId="34" fillId="4" borderId="70" xfId="3" quotePrefix="1" applyFont="1" applyFill="1" applyBorder="1" applyAlignment="1">
      <alignment horizontal="left" vertical="center" wrapText="1"/>
    </xf>
    <xf numFmtId="0" fontId="3" fillId="0" borderId="53" xfId="3" applyFont="1" applyBorder="1" applyAlignment="1">
      <alignment horizontal="left"/>
    </xf>
    <xf numFmtId="0" fontId="3" fillId="0" borderId="41" xfId="3" applyFont="1" applyBorder="1" applyAlignment="1">
      <alignment horizontal="left"/>
    </xf>
    <xf numFmtId="0" fontId="34" fillId="24" borderId="75" xfId="3" applyFont="1" applyFill="1" applyBorder="1" applyAlignment="1">
      <alignment horizontal="center" vertical="center" wrapText="1"/>
    </xf>
    <xf numFmtId="0" fontId="34" fillId="24" borderId="77" xfId="3" applyFont="1" applyFill="1" applyBorder="1" applyAlignment="1">
      <alignment horizontal="center" vertical="center" wrapText="1"/>
    </xf>
    <xf numFmtId="0" fontId="17" fillId="6" borderId="92" xfId="3" applyFont="1" applyFill="1" applyBorder="1" applyAlignment="1">
      <alignment horizontal="center" vertical="center" wrapText="1"/>
    </xf>
    <xf numFmtId="0" fontId="17" fillId="6" borderId="138" xfId="3" applyFont="1" applyFill="1" applyBorder="1" applyAlignment="1">
      <alignment horizontal="center" vertical="center" wrapText="1"/>
    </xf>
    <xf numFmtId="49" fontId="58" fillId="19" borderId="75" xfId="2" quotePrefix="1" applyNumberFormat="1" applyFill="1" applyBorder="1" applyAlignment="1">
      <alignment horizontal="center" vertical="center" wrapText="1"/>
    </xf>
    <xf numFmtId="49" fontId="58" fillId="19" borderId="77" xfId="2" quotePrefix="1" applyNumberFormat="1" applyFill="1" applyBorder="1" applyAlignment="1">
      <alignment horizontal="center" vertical="center" wrapText="1"/>
    </xf>
    <xf numFmtId="0" fontId="47" fillId="19" borderId="75" xfId="3" applyFill="1" applyBorder="1" applyAlignment="1">
      <alignment horizontal="left" vertical="center" wrapText="1"/>
    </xf>
    <xf numFmtId="0" fontId="47" fillId="19" borderId="77" xfId="3" applyFill="1" applyBorder="1" applyAlignment="1">
      <alignment horizontal="left" vertical="center" wrapText="1"/>
    </xf>
    <xf numFmtId="49" fontId="58" fillId="19" borderId="75" xfId="2" quotePrefix="1" applyNumberFormat="1" applyFill="1" applyBorder="1" applyAlignment="1">
      <alignment horizontal="left" vertical="center" wrapText="1"/>
    </xf>
    <xf numFmtId="49" fontId="58" fillId="19" borderId="77" xfId="2" quotePrefix="1" applyNumberFormat="1" applyFill="1" applyBorder="1" applyAlignment="1">
      <alignment horizontal="left" vertical="center" wrapText="1"/>
    </xf>
    <xf numFmtId="2" fontId="29" fillId="28" borderId="75" xfId="3" applyNumberFormat="1" applyFont="1" applyFill="1" applyBorder="1" applyAlignment="1">
      <alignment horizontal="center" vertical="center" wrapText="1"/>
    </xf>
    <xf numFmtId="2" fontId="29" fillId="28" borderId="77" xfId="3" applyNumberFormat="1" applyFont="1" applyFill="1" applyBorder="1" applyAlignment="1">
      <alignment horizontal="center" vertical="center" wrapText="1"/>
    </xf>
    <xf numFmtId="0" fontId="47" fillId="24" borderId="70" xfId="3" applyFill="1" applyBorder="1" applyAlignment="1">
      <alignment horizontal="center" vertical="center" wrapText="1"/>
    </xf>
    <xf numFmtId="0" fontId="29" fillId="30" borderId="75" xfId="3" applyFont="1" applyFill="1" applyBorder="1" applyAlignment="1">
      <alignment horizontal="center" vertical="center" wrapText="1"/>
    </xf>
    <xf numFmtId="0" fontId="29" fillId="30" borderId="77" xfId="3" applyFont="1" applyFill="1" applyBorder="1" applyAlignment="1">
      <alignment horizontal="center" vertical="center" wrapText="1"/>
    </xf>
    <xf numFmtId="0" fontId="47" fillId="19" borderId="70" xfId="3" applyFill="1" applyBorder="1" applyAlignment="1">
      <alignment horizontal="center" vertical="center"/>
    </xf>
    <xf numFmtId="0" fontId="17" fillId="6" borderId="70" xfId="3" applyFont="1" applyFill="1" applyBorder="1" applyAlignment="1">
      <alignment horizontal="center" vertical="center" wrapText="1"/>
    </xf>
    <xf numFmtId="0" fontId="47" fillId="19" borderId="70" xfId="3" applyFill="1" applyBorder="1" applyAlignment="1">
      <alignment horizontal="left" vertical="center" wrapText="1"/>
    </xf>
    <xf numFmtId="0" fontId="29" fillId="31" borderId="70" xfId="3" applyFont="1" applyFill="1" applyBorder="1" applyAlignment="1">
      <alignment horizontal="center" vertical="center" wrapText="1"/>
    </xf>
    <xf numFmtId="2" fontId="34" fillId="24" borderId="70" xfId="3" applyNumberFormat="1" applyFont="1" applyFill="1" applyBorder="1" applyAlignment="1">
      <alignment horizontal="center" vertical="center"/>
    </xf>
    <xf numFmtId="0" fontId="29" fillId="0" borderId="70" xfId="3" applyFont="1" applyBorder="1" applyAlignment="1">
      <alignment horizontal="center" vertical="center"/>
    </xf>
    <xf numFmtId="0" fontId="34" fillId="24" borderId="70" xfId="3" applyFont="1" applyFill="1" applyBorder="1" applyAlignment="1">
      <alignment horizontal="center" vertical="center" wrapText="1"/>
    </xf>
    <xf numFmtId="0" fontId="77" fillId="6" borderId="9" xfId="3" applyFont="1" applyFill="1" applyBorder="1" applyAlignment="1">
      <alignment horizontal="left" vertical="top" wrapText="1"/>
    </xf>
    <xf numFmtId="0" fontId="81" fillId="0" borderId="1" xfId="3" applyFont="1" applyBorder="1" applyAlignment="1">
      <alignment horizontal="center"/>
    </xf>
    <xf numFmtId="0" fontId="82" fillId="0" borderId="50" xfId="3" applyFont="1" applyBorder="1" applyAlignment="1">
      <alignment horizontal="center" vertical="center"/>
    </xf>
    <xf numFmtId="0" fontId="81" fillId="0" borderId="52" xfId="3" applyFont="1" applyBorder="1" applyAlignment="1">
      <alignment horizontal="left" vertical="center"/>
    </xf>
    <xf numFmtId="0" fontId="80" fillId="8" borderId="13" xfId="3" applyFont="1" applyFill="1" applyBorder="1" applyAlignment="1">
      <alignment horizontal="center" vertical="center"/>
    </xf>
    <xf numFmtId="0" fontId="76" fillId="0" borderId="14" xfId="3" applyFont="1" applyBorder="1"/>
    <xf numFmtId="0" fontId="76" fillId="0" borderId="29" xfId="3" applyFont="1" applyBorder="1"/>
    <xf numFmtId="0" fontId="80" fillId="8" borderId="32" xfId="3" applyFont="1" applyFill="1" applyBorder="1" applyAlignment="1">
      <alignment horizontal="center" vertical="center"/>
    </xf>
    <xf numFmtId="0" fontId="83" fillId="0" borderId="9" xfId="3" applyFont="1" applyBorder="1" applyAlignment="1">
      <alignment horizontal="left" vertical="center"/>
    </xf>
    <xf numFmtId="0" fontId="104" fillId="0" borderId="9" xfId="3" applyFont="1" applyBorder="1" applyAlignment="1">
      <alignment horizontal="left" vertical="center"/>
    </xf>
    <xf numFmtId="0" fontId="87" fillId="8" borderId="35" xfId="3" applyFont="1" applyFill="1" applyBorder="1" applyAlignment="1">
      <alignment horizontal="center" wrapText="1"/>
    </xf>
    <xf numFmtId="0" fontId="102" fillId="19" borderId="101" xfId="1" applyFont="1" applyFill="1" applyBorder="1" applyAlignment="1">
      <alignment horizontal="left" vertical="top" wrapText="1"/>
    </xf>
    <xf numFmtId="0" fontId="102" fillId="19" borderId="102" xfId="1" applyFont="1" applyFill="1" applyBorder="1" applyAlignment="1">
      <alignment horizontal="left" vertical="top" wrapText="1"/>
    </xf>
    <xf numFmtId="0" fontId="40" fillId="0" borderId="70" xfId="1" applyFont="1" applyBorder="1" applyAlignment="1">
      <alignment horizontal="center" vertical="center" wrapText="1"/>
    </xf>
    <xf numFmtId="0" fontId="2" fillId="0" borderId="18" xfId="1" applyAlignment="1">
      <alignment horizontal="center" wrapText="1"/>
    </xf>
    <xf numFmtId="0" fontId="2" fillId="0" borderId="82" xfId="1" applyBorder="1" applyAlignment="1">
      <alignment horizontal="center" wrapText="1"/>
    </xf>
    <xf numFmtId="0" fontId="54" fillId="0" borderId="18" xfId="1" applyFont="1" applyBorder="1" applyAlignment="1">
      <alignment horizontal="center" vertical="center" wrapText="1"/>
    </xf>
    <xf numFmtId="0" fontId="54" fillId="0" borderId="93" xfId="1" applyFont="1" applyBorder="1" applyAlignment="1">
      <alignment horizontal="center" vertical="center" wrapText="1"/>
    </xf>
    <xf numFmtId="0" fontId="54" fillId="0" borderId="82" xfId="1" applyFont="1" applyBorder="1" applyAlignment="1">
      <alignment horizontal="center" vertical="center" wrapText="1"/>
    </xf>
    <xf numFmtId="0" fontId="54" fillId="0" borderId="83" xfId="1" applyFont="1" applyBorder="1" applyAlignment="1">
      <alignment horizontal="center" vertical="center" wrapText="1"/>
    </xf>
    <xf numFmtId="0" fontId="55" fillId="0" borderId="70" xfId="1" applyFont="1" applyBorder="1" applyAlignment="1">
      <alignment horizontal="left" vertical="center" wrapText="1"/>
    </xf>
    <xf numFmtId="0" fontId="14" fillId="18" borderId="101" xfId="1" applyFont="1" applyFill="1" applyBorder="1" applyAlignment="1">
      <alignment horizontal="left" vertical="center" wrapText="1"/>
    </xf>
    <xf numFmtId="0" fontId="14" fillId="18" borderId="103" xfId="1" applyFont="1" applyFill="1" applyBorder="1" applyAlignment="1">
      <alignment horizontal="left" vertical="center" wrapText="1"/>
    </xf>
    <xf numFmtId="0" fontId="14" fillId="18" borderId="102" xfId="1" applyFont="1" applyFill="1" applyBorder="1" applyAlignment="1">
      <alignment horizontal="left" vertical="center" wrapText="1"/>
    </xf>
    <xf numFmtId="0" fontId="64" fillId="0" borderId="101" xfId="1" applyFont="1" applyBorder="1" applyAlignment="1">
      <alignment horizontal="left" vertical="center" wrapText="1"/>
    </xf>
    <xf numFmtId="0" fontId="64" fillId="0" borderId="103" xfId="1" applyFont="1" applyBorder="1" applyAlignment="1">
      <alignment horizontal="left" vertical="center" wrapText="1"/>
    </xf>
    <xf numFmtId="0" fontId="64" fillId="0" borderId="102" xfId="1" applyFont="1" applyBorder="1" applyAlignment="1">
      <alignment horizontal="left" vertical="center" wrapText="1"/>
    </xf>
    <xf numFmtId="0" fontId="38" fillId="18" borderId="101" xfId="1" applyFont="1" applyFill="1" applyBorder="1" applyAlignment="1">
      <alignment horizontal="left" wrapText="1"/>
    </xf>
    <xf numFmtId="0" fontId="38" fillId="18" borderId="103" xfId="1" applyFont="1" applyFill="1" applyBorder="1" applyAlignment="1">
      <alignment horizontal="left" wrapText="1"/>
    </xf>
    <xf numFmtId="0" fontId="38" fillId="18" borderId="102" xfId="1" applyFont="1" applyFill="1" applyBorder="1" applyAlignment="1">
      <alignment horizontal="left" wrapText="1"/>
    </xf>
    <xf numFmtId="0" fontId="38" fillId="18" borderId="101" xfId="1" applyFont="1" applyFill="1" applyBorder="1" applyAlignment="1">
      <alignment horizontal="center" vertical="center" wrapText="1"/>
    </xf>
    <xf numFmtId="0" fontId="38" fillId="18" borderId="103" xfId="1" applyFont="1" applyFill="1" applyBorder="1" applyAlignment="1">
      <alignment horizontal="center" vertical="center" wrapText="1"/>
    </xf>
    <xf numFmtId="0" fontId="38" fillId="18" borderId="102" xfId="1" applyFont="1" applyFill="1" applyBorder="1" applyAlignment="1">
      <alignment horizontal="center" vertical="center" wrapText="1"/>
    </xf>
    <xf numFmtId="0" fontId="38" fillId="18" borderId="70" xfId="1" applyFont="1" applyFill="1" applyBorder="1" applyAlignment="1">
      <alignment horizontal="center" wrapText="1"/>
    </xf>
    <xf numFmtId="0" fontId="64" fillId="0" borderId="101" xfId="1" applyFont="1" applyBorder="1" applyAlignment="1">
      <alignment horizontal="left" vertical="center"/>
    </xf>
    <xf numFmtId="0" fontId="64" fillId="0" borderId="103" xfId="1" applyFont="1" applyBorder="1" applyAlignment="1">
      <alignment horizontal="left" vertical="center"/>
    </xf>
    <xf numFmtId="0" fontId="64" fillId="0" borderId="102" xfId="1" applyFont="1" applyBorder="1" applyAlignment="1">
      <alignment horizontal="left" vertical="center"/>
    </xf>
    <xf numFmtId="0" fontId="60" fillId="0" borderId="78" xfId="1" applyFont="1" applyBorder="1" applyAlignment="1">
      <alignment horizontal="center" vertical="center"/>
    </xf>
    <xf numFmtId="0" fontId="60" fillId="0" borderId="79" xfId="1" applyFont="1" applyBorder="1" applyAlignment="1">
      <alignment horizontal="center" vertical="center"/>
    </xf>
    <xf numFmtId="0" fontId="60" fillId="0" borderId="80" xfId="1" applyFont="1" applyBorder="1" applyAlignment="1">
      <alignment horizontal="center" vertical="center"/>
    </xf>
    <xf numFmtId="0" fontId="60" fillId="0" borderId="113" xfId="1" applyFont="1" applyBorder="1" applyAlignment="1">
      <alignment horizontal="center" vertical="center"/>
    </xf>
    <xf numFmtId="0" fontId="60" fillId="0" borderId="18" xfId="1" applyFont="1" applyBorder="1" applyAlignment="1">
      <alignment horizontal="center" vertical="center"/>
    </xf>
    <xf numFmtId="0" fontId="60" fillId="0" borderId="93" xfId="1" applyFont="1" applyBorder="1" applyAlignment="1">
      <alignment horizontal="center" vertical="center"/>
    </xf>
    <xf numFmtId="0" fontId="60" fillId="0" borderId="125" xfId="1" applyFont="1" applyBorder="1" applyAlignment="1">
      <alignment horizontal="center" vertical="center"/>
    </xf>
    <xf numFmtId="0" fontId="60" fillId="0" borderId="126" xfId="1" applyFont="1" applyBorder="1" applyAlignment="1">
      <alignment horizontal="center" vertical="center"/>
    </xf>
    <xf numFmtId="0" fontId="60" fillId="0" borderId="127" xfId="1" applyFont="1" applyBorder="1" applyAlignment="1">
      <alignment horizontal="center" vertical="center"/>
    </xf>
    <xf numFmtId="0" fontId="34" fillId="0" borderId="101" xfId="1" applyFont="1" applyBorder="1" applyAlignment="1">
      <alignment horizontal="left" vertical="center" wrapText="1"/>
    </xf>
    <xf numFmtId="0" fontId="34" fillId="0" borderId="103" xfId="1" applyFont="1" applyBorder="1" applyAlignment="1">
      <alignment horizontal="left" vertical="center" wrapText="1"/>
    </xf>
    <xf numFmtId="0" fontId="1" fillId="0" borderId="70" xfId="5" applyBorder="1" applyAlignment="1">
      <alignment horizontal="center" vertical="center" wrapText="1"/>
    </xf>
    <xf numFmtId="0" fontId="42" fillId="18" borderId="84" xfId="5" applyFont="1" applyFill="1" applyBorder="1" applyAlignment="1">
      <alignment horizontal="center" vertical="center" wrapText="1"/>
    </xf>
    <xf numFmtId="0" fontId="42" fillId="18" borderId="77" xfId="5" applyFont="1" applyFill="1" applyBorder="1" applyAlignment="1">
      <alignment horizontal="center" vertical="center" wrapText="1"/>
    </xf>
    <xf numFmtId="0" fontId="42" fillId="18" borderId="85" xfId="5" applyFont="1" applyFill="1" applyBorder="1" applyAlignment="1">
      <alignment horizontal="center" vertical="center" wrapText="1"/>
    </xf>
    <xf numFmtId="0" fontId="38" fillId="18" borderId="82" xfId="5" applyFont="1" applyFill="1" applyBorder="1" applyAlignment="1">
      <alignment horizontal="center" vertical="center" wrapText="1"/>
    </xf>
    <xf numFmtId="0" fontId="38" fillId="18" borderId="86" xfId="5" applyFont="1" applyFill="1" applyBorder="1" applyAlignment="1">
      <alignment horizontal="center" vertical="center" wrapText="1"/>
    </xf>
    <xf numFmtId="0" fontId="38" fillId="18" borderId="87" xfId="5" applyFont="1" applyFill="1" applyBorder="1" applyAlignment="1">
      <alignment horizontal="center" vertical="center" wrapText="1"/>
    </xf>
    <xf numFmtId="0" fontId="38" fillId="18" borderId="84" xfId="5" applyFont="1" applyFill="1" applyBorder="1" applyAlignment="1">
      <alignment horizontal="center" vertical="center" wrapText="1"/>
    </xf>
    <xf numFmtId="0" fontId="38" fillId="18" borderId="77" xfId="5" applyFont="1" applyFill="1" applyBorder="1" applyAlignment="1">
      <alignment horizontal="center" vertical="center" wrapText="1"/>
    </xf>
    <xf numFmtId="0" fontId="38" fillId="18" borderId="85" xfId="5" applyFont="1" applyFill="1" applyBorder="1" applyAlignment="1">
      <alignment horizontal="center" vertical="center" wrapText="1"/>
    </xf>
    <xf numFmtId="0" fontId="102" fillId="19" borderId="101" xfId="5" applyFont="1" applyFill="1" applyBorder="1" applyAlignment="1">
      <alignment horizontal="left" vertical="top" wrapText="1"/>
    </xf>
    <xf numFmtId="0" fontId="102" fillId="19" borderId="102" xfId="5" applyFont="1" applyFill="1" applyBorder="1" applyAlignment="1">
      <alignment horizontal="left" vertical="top" wrapText="1"/>
    </xf>
    <xf numFmtId="0" fontId="1" fillId="0" borderId="93" xfId="5" applyBorder="1" applyAlignment="1">
      <alignment horizontal="center"/>
    </xf>
    <xf numFmtId="0" fontId="40" fillId="0" borderId="70" xfId="5" applyFont="1" applyBorder="1" applyAlignment="1">
      <alignment horizontal="center" vertical="center" wrapText="1"/>
    </xf>
    <xf numFmtId="0" fontId="40" fillId="0" borderId="70" xfId="5" applyFont="1" applyBorder="1" applyAlignment="1">
      <alignment horizontal="center" vertical="center"/>
    </xf>
    <xf numFmtId="0" fontId="1" fillId="0" borderId="70" xfId="5" applyBorder="1" applyAlignment="1">
      <alignment horizontal="left" vertical="center"/>
    </xf>
    <xf numFmtId="0" fontId="49" fillId="0" borderId="70" xfId="5" applyFont="1" applyBorder="1" applyAlignment="1">
      <alignment horizontal="left" vertical="center"/>
    </xf>
    <xf numFmtId="0" fontId="50" fillId="18" borderId="94" xfId="5" applyFont="1" applyFill="1" applyBorder="1" applyAlignment="1">
      <alignment horizontal="center" vertical="center"/>
    </xf>
    <xf numFmtId="0" fontId="50" fillId="18" borderId="95" xfId="5" applyFont="1" applyFill="1" applyBorder="1" applyAlignment="1">
      <alignment horizontal="center" vertical="center"/>
    </xf>
    <xf numFmtId="0" fontId="50" fillId="18" borderId="96" xfId="5" applyFont="1" applyFill="1" applyBorder="1" applyAlignment="1">
      <alignment horizontal="center" vertical="center"/>
    </xf>
    <xf numFmtId="0" fontId="50" fillId="18" borderId="99" xfId="5" applyFont="1" applyFill="1" applyBorder="1" applyAlignment="1">
      <alignment horizontal="center" vertical="center"/>
    </xf>
    <xf numFmtId="0" fontId="50" fillId="18" borderId="100" xfId="5" applyFont="1" applyFill="1" applyBorder="1" applyAlignment="1">
      <alignment horizontal="center" vertical="center"/>
    </xf>
    <xf numFmtId="0" fontId="1" fillId="0" borderId="18" xfId="5" applyAlignment="1">
      <alignment horizontal="center"/>
    </xf>
    <xf numFmtId="0" fontId="1" fillId="0" borderId="82" xfId="5" applyBorder="1" applyAlignment="1">
      <alignment horizontal="center"/>
    </xf>
    <xf numFmtId="0" fontId="54" fillId="0" borderId="18" xfId="5" applyFont="1" applyBorder="1" applyAlignment="1">
      <alignment horizontal="center" vertical="center"/>
    </xf>
    <xf numFmtId="0" fontId="54" fillId="0" borderId="93" xfId="5" applyFont="1" applyBorder="1" applyAlignment="1">
      <alignment horizontal="center" vertical="center"/>
    </xf>
    <xf numFmtId="0" fontId="54" fillId="0" borderId="82" xfId="5" applyFont="1" applyBorder="1" applyAlignment="1">
      <alignment horizontal="center" vertical="center"/>
    </xf>
    <xf numFmtId="0" fontId="54" fillId="0" borderId="83" xfId="5" applyFont="1" applyBorder="1" applyAlignment="1">
      <alignment horizontal="center" vertical="center"/>
    </xf>
    <xf numFmtId="0" fontId="55" fillId="0" borderId="70" xfId="5" applyFont="1" applyBorder="1" applyAlignment="1">
      <alignment horizontal="left" vertical="center"/>
    </xf>
    <xf numFmtId="0" fontId="14" fillId="18" borderId="101" xfId="5" applyFont="1" applyFill="1" applyBorder="1" applyAlignment="1">
      <alignment horizontal="center" vertical="center"/>
    </xf>
    <xf numFmtId="0" fontId="14" fillId="18" borderId="103" xfId="5" applyFont="1" applyFill="1" applyBorder="1" applyAlignment="1">
      <alignment horizontal="center" vertical="center"/>
    </xf>
    <xf numFmtId="0" fontId="14" fillId="18" borderId="102" xfId="5" applyFont="1" applyFill="1" applyBorder="1" applyAlignment="1">
      <alignment horizontal="center" vertical="center"/>
    </xf>
    <xf numFmtId="0" fontId="64" fillId="0" borderId="101" xfId="5" applyFont="1" applyBorder="1" applyAlignment="1">
      <alignment horizontal="left" vertical="center"/>
    </xf>
    <xf numFmtId="0" fontId="64" fillId="0" borderId="103" xfId="5" applyFont="1" applyBorder="1" applyAlignment="1">
      <alignment horizontal="left" vertical="center"/>
    </xf>
    <xf numFmtId="0" fontId="64" fillId="0" borderId="102" xfId="5" applyFont="1" applyBorder="1" applyAlignment="1">
      <alignment horizontal="left" vertical="center"/>
    </xf>
    <xf numFmtId="0" fontId="38" fillId="18" borderId="101" xfId="5" applyFont="1" applyFill="1" applyBorder="1" applyAlignment="1">
      <alignment horizontal="center"/>
    </xf>
    <xf numFmtId="0" fontId="38" fillId="18" borderId="103" xfId="5" applyFont="1" applyFill="1" applyBorder="1" applyAlignment="1">
      <alignment horizontal="center"/>
    </xf>
    <xf numFmtId="0" fontId="38" fillId="18" borderId="102" xfId="5" applyFont="1" applyFill="1" applyBorder="1" applyAlignment="1">
      <alignment horizontal="center"/>
    </xf>
    <xf numFmtId="0" fontId="38" fillId="18" borderId="101" xfId="5" applyFont="1" applyFill="1" applyBorder="1" applyAlignment="1">
      <alignment horizontal="center" vertical="center"/>
    </xf>
    <xf numFmtId="0" fontId="38" fillId="18" borderId="103" xfId="5" applyFont="1" applyFill="1" applyBorder="1" applyAlignment="1">
      <alignment horizontal="center" vertical="center"/>
    </xf>
    <xf numFmtId="0" fontId="38" fillId="18" borderId="102" xfId="5" applyFont="1" applyFill="1" applyBorder="1" applyAlignment="1">
      <alignment horizontal="center" vertical="center"/>
    </xf>
    <xf numFmtId="0" fontId="38" fillId="18" borderId="70" xfId="5" applyFont="1" applyFill="1" applyBorder="1" applyAlignment="1">
      <alignment horizontal="center"/>
    </xf>
    <xf numFmtId="0" fontId="1" fillId="0" borderId="70" xfId="5" applyBorder="1" applyAlignment="1">
      <alignment horizontal="center" vertical="center"/>
    </xf>
    <xf numFmtId="0" fontId="60" fillId="0" borderId="70" xfId="5" applyFont="1" applyBorder="1" applyAlignment="1">
      <alignment horizontal="center" vertical="center"/>
    </xf>
    <xf numFmtId="0" fontId="61" fillId="0" borderId="70" xfId="5" applyFont="1" applyBorder="1" applyAlignment="1">
      <alignment horizontal="left"/>
    </xf>
    <xf numFmtId="0" fontId="42" fillId="18" borderId="97" xfId="5" applyFont="1" applyFill="1" applyBorder="1" applyAlignment="1">
      <alignment horizontal="center" vertical="center" wrapText="1"/>
    </xf>
    <xf numFmtId="0" fontId="42" fillId="18" borderId="98" xfId="5" applyFont="1" applyFill="1" applyBorder="1" applyAlignment="1">
      <alignment horizontal="center" vertical="center" wrapText="1"/>
    </xf>
    <xf numFmtId="0" fontId="42" fillId="18" borderId="104" xfId="5" applyFont="1" applyFill="1" applyBorder="1" applyAlignment="1">
      <alignment horizontal="center" vertical="center" wrapText="1"/>
    </xf>
    <xf numFmtId="0" fontId="38" fillId="18" borderId="98" xfId="5" applyFont="1" applyFill="1" applyBorder="1" applyAlignment="1">
      <alignment horizontal="center"/>
    </xf>
    <xf numFmtId="0" fontId="38" fillId="18" borderId="104" xfId="5" applyFont="1" applyFill="1" applyBorder="1" applyAlignment="1">
      <alignment horizontal="center"/>
    </xf>
    <xf numFmtId="0" fontId="38" fillId="18" borderId="106" xfId="5" applyFont="1" applyFill="1" applyBorder="1" applyAlignment="1">
      <alignment horizontal="center"/>
    </xf>
    <xf numFmtId="0" fontId="38" fillId="18" borderId="107" xfId="5" applyFont="1" applyFill="1" applyBorder="1" applyAlignment="1">
      <alignment horizontal="center"/>
    </xf>
    <xf numFmtId="0" fontId="38" fillId="18" borderId="108" xfId="5" applyFont="1" applyFill="1" applyBorder="1" applyAlignment="1">
      <alignment horizontal="center"/>
    </xf>
    <xf numFmtId="0" fontId="38" fillId="18" borderId="97" xfId="5" applyFont="1" applyFill="1" applyBorder="1" applyAlignment="1">
      <alignment horizontal="center"/>
    </xf>
    <xf numFmtId="0" fontId="1" fillId="0" borderId="78" xfId="5" applyBorder="1" applyAlignment="1">
      <alignment horizontal="center"/>
    </xf>
    <xf numFmtId="0" fontId="1" fillId="0" borderId="79" xfId="5" applyBorder="1" applyAlignment="1">
      <alignment horizontal="center"/>
    </xf>
    <xf numFmtId="0" fontId="1" fillId="0" borderId="80" xfId="5" applyBorder="1" applyAlignment="1">
      <alignment horizontal="center"/>
    </xf>
    <xf numFmtId="0" fontId="1" fillId="0" borderId="113" xfId="5" applyBorder="1" applyAlignment="1">
      <alignment horizontal="center"/>
    </xf>
    <xf numFmtId="0" fontId="1" fillId="0" borderId="18" xfId="5" applyBorder="1" applyAlignment="1">
      <alignment horizontal="center"/>
    </xf>
    <xf numFmtId="0" fontId="66" fillId="0" borderId="78" xfId="5" applyFont="1" applyBorder="1" applyAlignment="1">
      <alignment horizontal="center" vertical="center"/>
    </xf>
    <xf numFmtId="0" fontId="66" fillId="0" borderId="79" xfId="5" applyFont="1" applyBorder="1" applyAlignment="1">
      <alignment horizontal="center" vertical="center"/>
    </xf>
    <xf numFmtId="0" fontId="66" fillId="0" borderId="80" xfId="5" applyFont="1" applyBorder="1" applyAlignment="1">
      <alignment horizontal="center" vertical="center"/>
    </xf>
    <xf numFmtId="0" fontId="66" fillId="0" borderId="113" xfId="5" applyFont="1" applyBorder="1" applyAlignment="1">
      <alignment horizontal="center" vertical="center"/>
    </xf>
    <xf numFmtId="0" fontId="66" fillId="0" borderId="18" xfId="5" applyFont="1" applyBorder="1" applyAlignment="1">
      <alignment horizontal="center" vertical="center"/>
    </xf>
    <xf numFmtId="0" fontId="66" fillId="0" borderId="93" xfId="5" applyFont="1" applyBorder="1" applyAlignment="1">
      <alignment horizontal="center" vertical="center"/>
    </xf>
    <xf numFmtId="0" fontId="55" fillId="0" borderId="78" xfId="5" applyFont="1" applyBorder="1" applyAlignment="1">
      <alignment horizontal="left" vertical="center"/>
    </xf>
    <xf numFmtId="0" fontId="55" fillId="0" borderId="79" xfId="5" applyFont="1" applyBorder="1" applyAlignment="1">
      <alignment horizontal="left" vertical="center"/>
    </xf>
    <xf numFmtId="0" fontId="55" fillId="0" borderId="80" xfId="5" applyFont="1" applyBorder="1" applyAlignment="1">
      <alignment horizontal="left" vertical="center"/>
    </xf>
    <xf numFmtId="0" fontId="55" fillId="0" borderId="81" xfId="5" applyFont="1" applyBorder="1" applyAlignment="1">
      <alignment horizontal="left" vertical="center"/>
    </xf>
    <xf numFmtId="0" fontId="55" fillId="0" borderId="82" xfId="5" applyFont="1" applyBorder="1" applyAlignment="1">
      <alignment horizontal="left" vertical="center"/>
    </xf>
    <xf numFmtId="0" fontId="55" fillId="0" borderId="83" xfId="5" applyFont="1" applyBorder="1" applyAlignment="1">
      <alignment horizontal="left" vertical="center"/>
    </xf>
    <xf numFmtId="0" fontId="55" fillId="0" borderId="113" xfId="5" applyFont="1" applyBorder="1" applyAlignment="1">
      <alignment horizontal="left" vertical="center"/>
    </xf>
    <xf numFmtId="0" fontId="55" fillId="0" borderId="18" xfId="5" applyFont="1" applyAlignment="1">
      <alignment horizontal="left" vertical="center"/>
    </xf>
    <xf numFmtId="0" fontId="38" fillId="18" borderId="83" xfId="5" applyFont="1" applyFill="1" applyBorder="1" applyAlignment="1">
      <alignment horizontal="center" vertical="center" wrapText="1"/>
    </xf>
    <xf numFmtId="0" fontId="53" fillId="0" borderId="70" xfId="5" applyFont="1" applyBorder="1" applyAlignment="1">
      <alignment horizontal="center"/>
    </xf>
    <xf numFmtId="0" fontId="66" fillId="0" borderId="70" xfId="5" applyFont="1" applyBorder="1" applyAlignment="1">
      <alignment horizontal="center" vertical="center"/>
    </xf>
    <xf numFmtId="0" fontId="41" fillId="0" borderId="70" xfId="5" applyFont="1" applyBorder="1" applyAlignment="1">
      <alignment horizontal="left" vertical="center"/>
    </xf>
    <xf numFmtId="0" fontId="34" fillId="0" borderId="101" xfId="5" applyFont="1" applyBorder="1" applyAlignment="1">
      <alignment horizontal="left" vertical="center"/>
    </xf>
    <xf numFmtId="0" fontId="34" fillId="0" borderId="103" xfId="5" applyFont="1" applyBorder="1" applyAlignment="1">
      <alignment horizontal="left" vertical="center"/>
    </xf>
    <xf numFmtId="0" fontId="43" fillId="18" borderId="97" xfId="5" applyFont="1" applyFill="1" applyBorder="1" applyAlignment="1">
      <alignment horizontal="center" vertical="center" wrapText="1"/>
    </xf>
    <xf numFmtId="0" fontId="43" fillId="18" borderId="98" xfId="5" applyFont="1" applyFill="1" applyBorder="1" applyAlignment="1">
      <alignment horizontal="center" vertical="center" wrapText="1"/>
    </xf>
    <xf numFmtId="0" fontId="43" fillId="18" borderId="98" xfId="5" applyFont="1" applyFill="1" applyBorder="1" applyAlignment="1">
      <alignment horizontal="center" vertical="center"/>
    </xf>
    <xf numFmtId="0" fontId="43" fillId="18" borderId="98" xfId="5" applyFont="1" applyFill="1" applyBorder="1" applyAlignment="1">
      <alignment horizontal="center"/>
    </xf>
    <xf numFmtId="0" fontId="43" fillId="18" borderId="104" xfId="5" applyFont="1" applyFill="1" applyBorder="1" applyAlignment="1">
      <alignment horizontal="center"/>
    </xf>
    <xf numFmtId="0" fontId="53" fillId="19" borderId="101" xfId="5" applyFont="1" applyFill="1" applyBorder="1" applyAlignment="1">
      <alignment horizontal="left" vertical="top" wrapText="1"/>
    </xf>
    <xf numFmtId="0" fontId="53" fillId="19" borderId="102" xfId="5" applyFont="1" applyFill="1" applyBorder="1" applyAlignment="1">
      <alignment horizontal="left" vertical="top" wrapText="1"/>
    </xf>
    <xf numFmtId="0" fontId="54" fillId="0" borderId="101" xfId="5" applyFont="1" applyBorder="1" applyAlignment="1">
      <alignment horizontal="left" vertical="center"/>
    </xf>
    <xf numFmtId="0" fontId="54" fillId="0" borderId="103" xfId="5" applyFont="1" applyBorder="1" applyAlignment="1">
      <alignment horizontal="left" vertical="center"/>
    </xf>
    <xf numFmtId="0" fontId="54" fillId="0" borderId="102" xfId="5" applyFont="1" applyBorder="1" applyAlignment="1">
      <alignment horizontal="left" vertical="center"/>
    </xf>
    <xf numFmtId="0" fontId="55" fillId="0" borderId="101" xfId="5" applyFont="1" applyBorder="1" applyAlignment="1">
      <alignment horizontal="left" vertical="center"/>
    </xf>
    <xf numFmtId="0" fontId="55" fillId="0" borderId="103" xfId="5" applyFont="1" applyBorder="1" applyAlignment="1">
      <alignment horizontal="left" vertical="center"/>
    </xf>
    <xf numFmtId="0" fontId="55" fillId="0" borderId="102" xfId="5" applyFont="1" applyBorder="1" applyAlignment="1">
      <alignment horizontal="left" vertical="center"/>
    </xf>
    <xf numFmtId="0" fontId="42" fillId="18" borderId="70" xfId="5" applyFont="1" applyFill="1" applyBorder="1" applyAlignment="1">
      <alignment horizontal="center" vertical="center" wrapText="1"/>
    </xf>
    <xf numFmtId="0" fontId="38" fillId="18" borderId="107" xfId="5" applyFont="1" applyFill="1" applyBorder="1" applyAlignment="1">
      <alignment horizontal="center" wrapText="1"/>
    </xf>
    <xf numFmtId="0" fontId="38" fillId="18" borderId="106" xfId="5" applyFont="1" applyFill="1" applyBorder="1" applyAlignment="1">
      <alignment horizontal="center" wrapText="1"/>
    </xf>
    <xf numFmtId="0" fontId="38" fillId="18" borderId="108" xfId="5" applyFont="1" applyFill="1" applyBorder="1" applyAlignment="1">
      <alignment horizontal="center" wrapText="1"/>
    </xf>
    <xf numFmtId="0" fontId="38" fillId="18" borderId="97" xfId="5" applyFont="1" applyFill="1" applyBorder="1" applyAlignment="1">
      <alignment horizontal="center" wrapText="1"/>
    </xf>
    <xf numFmtId="0" fontId="38" fillId="18" borderId="98" xfId="5" applyFont="1" applyFill="1" applyBorder="1" applyAlignment="1">
      <alignment horizontal="center" wrapText="1"/>
    </xf>
    <xf numFmtId="0" fontId="38" fillId="18" borderId="104" xfId="5" applyFont="1" applyFill="1" applyBorder="1" applyAlignment="1">
      <alignment horizontal="center" wrapText="1"/>
    </xf>
    <xf numFmtId="0" fontId="60" fillId="0" borderId="78" xfId="5" applyFont="1" applyBorder="1" applyAlignment="1">
      <alignment horizontal="center" vertical="center"/>
    </xf>
    <xf numFmtId="0" fontId="60" fillId="0" borderId="79" xfId="5" applyFont="1" applyBorder="1" applyAlignment="1">
      <alignment horizontal="center" vertical="center"/>
    </xf>
    <xf numFmtId="0" fontId="60" fillId="0" borderId="80" xfId="5" applyFont="1" applyBorder="1" applyAlignment="1">
      <alignment horizontal="center" vertical="center"/>
    </xf>
    <xf numFmtId="0" fontId="60" fillId="0" borderId="113" xfId="5" applyFont="1" applyBorder="1" applyAlignment="1">
      <alignment horizontal="center" vertical="center"/>
    </xf>
    <xf numFmtId="0" fontId="60" fillId="0" borderId="18" xfId="5" applyFont="1" applyBorder="1" applyAlignment="1">
      <alignment horizontal="center" vertical="center"/>
    </xf>
    <xf numFmtId="0" fontId="60" fillId="0" borderId="93" xfId="5" applyFont="1" applyBorder="1" applyAlignment="1">
      <alignment horizontal="center" vertical="center"/>
    </xf>
    <xf numFmtId="0" fontId="60" fillId="0" borderId="125" xfId="5" applyFont="1" applyBorder="1" applyAlignment="1">
      <alignment horizontal="center" vertical="center"/>
    </xf>
    <xf numFmtId="0" fontId="60" fillId="0" borderId="126" xfId="5" applyFont="1" applyBorder="1" applyAlignment="1">
      <alignment horizontal="center" vertical="center"/>
    </xf>
    <xf numFmtId="0" fontId="60" fillId="0" borderId="127" xfId="5" applyFont="1" applyBorder="1" applyAlignment="1">
      <alignment horizontal="center" vertical="center"/>
    </xf>
    <xf numFmtId="0" fontId="102" fillId="18" borderId="94" xfId="5" applyFont="1" applyFill="1" applyBorder="1" applyAlignment="1">
      <alignment horizontal="center" vertical="center" wrapText="1"/>
    </xf>
    <xf numFmtId="0" fontId="1" fillId="0" borderId="101" xfId="5" applyFont="1" applyBorder="1" applyAlignment="1">
      <alignment horizontal="left" vertical="center"/>
    </xf>
    <xf numFmtId="0" fontId="1" fillId="0" borderId="103" xfId="5" applyFont="1" applyBorder="1" applyAlignment="1">
      <alignment horizontal="left" vertical="center"/>
    </xf>
    <xf numFmtId="0" fontId="1" fillId="0" borderId="102" xfId="5" applyFont="1" applyBorder="1" applyAlignment="1">
      <alignment horizontal="left" vertical="center"/>
    </xf>
    <xf numFmtId="0" fontId="34" fillId="24" borderId="111" xfId="5" applyFont="1" applyFill="1" applyBorder="1" applyAlignment="1">
      <alignment horizontal="center" vertical="center"/>
    </xf>
    <xf numFmtId="0" fontId="34" fillId="24" borderId="70" xfId="5" applyFont="1" applyFill="1" applyBorder="1" applyAlignment="1">
      <alignment horizontal="center" vertical="center" wrapText="1"/>
    </xf>
    <xf numFmtId="0" fontId="34" fillId="24" borderId="70" xfId="5" quotePrefix="1" applyFont="1" applyFill="1" applyBorder="1" applyAlignment="1">
      <alignment horizontal="center" vertical="center" wrapText="1"/>
    </xf>
    <xf numFmtId="0" fontId="53" fillId="0" borderId="101" xfId="5" applyFont="1" applyBorder="1" applyAlignment="1">
      <alignment horizontal="left" vertical="center"/>
    </xf>
    <xf numFmtId="0" fontId="53" fillId="0" borderId="103" xfId="5" applyFont="1" applyBorder="1" applyAlignment="1">
      <alignment horizontal="left" vertical="center"/>
    </xf>
    <xf numFmtId="0" fontId="53" fillId="0" borderId="102" xfId="5" applyFont="1" applyBorder="1" applyAlignment="1">
      <alignment horizontal="left" vertical="center"/>
    </xf>
    <xf numFmtId="0" fontId="42" fillId="18" borderId="105" xfId="5" applyFont="1" applyFill="1" applyBorder="1" applyAlignment="1">
      <alignment horizontal="center" vertical="center" wrapText="1"/>
    </xf>
    <xf numFmtId="0" fontId="42" fillId="18" borderId="139" xfId="5" applyFont="1" applyFill="1" applyBorder="1" applyAlignment="1">
      <alignment horizontal="center" vertical="center" wrapText="1"/>
    </xf>
    <xf numFmtId="0" fontId="42" fillId="18" borderId="140" xfId="5" applyFont="1" applyFill="1" applyBorder="1" applyAlignment="1">
      <alignment horizontal="center" vertical="center" wrapText="1"/>
    </xf>
    <xf numFmtId="0" fontId="38" fillId="18" borderId="139" xfId="5" applyFont="1" applyFill="1" applyBorder="1" applyAlignment="1">
      <alignment horizontal="center"/>
    </xf>
    <xf numFmtId="0" fontId="38" fillId="18" borderId="140" xfId="5" applyFont="1" applyFill="1" applyBorder="1" applyAlignment="1">
      <alignment horizontal="center"/>
    </xf>
    <xf numFmtId="0" fontId="38" fillId="18" borderId="141" xfId="5" applyFont="1" applyFill="1" applyBorder="1" applyAlignment="1">
      <alignment horizontal="center"/>
    </xf>
    <xf numFmtId="0" fontId="14" fillId="18" borderId="101" xfId="5" applyFont="1" applyFill="1" applyBorder="1" applyAlignment="1">
      <alignment horizontal="left" vertical="center"/>
    </xf>
    <xf numFmtId="0" fontId="14" fillId="18" borderId="103" xfId="5" applyFont="1" applyFill="1" applyBorder="1" applyAlignment="1">
      <alignment horizontal="left" vertical="center"/>
    </xf>
    <xf numFmtId="0" fontId="14" fillId="18" borderId="102" xfId="5" applyFont="1" applyFill="1" applyBorder="1" applyAlignment="1">
      <alignment horizontal="left" vertical="center"/>
    </xf>
    <xf numFmtId="0" fontId="38" fillId="18" borderId="101" xfId="5" applyFont="1" applyFill="1" applyBorder="1" applyAlignment="1">
      <alignment horizontal="left"/>
    </xf>
    <xf numFmtId="0" fontId="38" fillId="18" borderId="103" xfId="5" applyFont="1" applyFill="1" applyBorder="1" applyAlignment="1">
      <alignment horizontal="left"/>
    </xf>
    <xf numFmtId="0" fontId="38" fillId="18" borderId="102" xfId="5" applyFont="1" applyFill="1" applyBorder="1" applyAlignment="1">
      <alignment horizontal="left"/>
    </xf>
    <xf numFmtId="0" fontId="102" fillId="19" borderId="101" xfId="5" applyFont="1" applyFill="1" applyBorder="1" applyAlignment="1">
      <alignment horizontal="center" vertical="top" wrapText="1"/>
    </xf>
    <xf numFmtId="0" fontId="102" fillId="19" borderId="102" xfId="5" applyFont="1" applyFill="1" applyBorder="1" applyAlignment="1">
      <alignment horizontal="center" vertical="top" wrapText="1"/>
    </xf>
  </cellXfs>
  <cellStyles count="7">
    <cellStyle name="Normal" xfId="0" builtinId="0"/>
    <cellStyle name="Normal 2" xfId="1" xr:uid="{00000000-0005-0000-0000-000001000000}"/>
    <cellStyle name="Normal 2 2" xfId="2" xr:uid="{00000000-0005-0000-0000-000002000000}"/>
    <cellStyle name="Normal 3" xfId="3" xr:uid="{00000000-0005-0000-0000-000003000000}"/>
    <cellStyle name="Normal 4" xfId="4" xr:uid="{00000000-0005-0000-0000-000004000000}"/>
    <cellStyle name="Normal 5" xfId="5" xr:uid="{00000000-0005-0000-0000-000005000000}"/>
    <cellStyle name="Normal 6" xfId="6" xr:uid="{00000000-0005-0000-0000-000006000000}"/>
  </cellStyles>
  <dxfs count="468">
    <dxf>
      <fill>
        <patternFill>
          <bgColor rgb="FFFFC000"/>
        </patternFill>
      </fill>
    </dxf>
    <dxf>
      <fill>
        <patternFill>
          <bgColor rgb="FF00CC00"/>
        </patternFill>
      </fill>
    </dxf>
    <dxf>
      <fill>
        <patternFill>
          <bgColor rgb="FFFFFF00"/>
        </patternFill>
      </fill>
    </dxf>
    <dxf>
      <fill>
        <patternFill>
          <bgColor rgb="FFFF0000"/>
        </patternFill>
      </fill>
    </dxf>
    <dxf>
      <fill>
        <patternFill>
          <bgColor rgb="FFFFC000"/>
        </patternFill>
      </fill>
    </dxf>
    <dxf>
      <fill>
        <patternFill>
          <bgColor rgb="FF00CC00"/>
        </patternFill>
      </fill>
    </dxf>
    <dxf>
      <fill>
        <patternFill>
          <bgColor rgb="FFFFFF00"/>
        </patternFill>
      </fill>
    </dxf>
    <dxf>
      <fill>
        <patternFill>
          <bgColor rgb="FFFF0000"/>
        </patternFill>
      </fill>
    </dxf>
    <dxf>
      <fill>
        <patternFill>
          <bgColor rgb="FFFFC000"/>
        </patternFill>
      </fill>
    </dxf>
    <dxf>
      <fill>
        <patternFill>
          <bgColor rgb="FF00CC00"/>
        </patternFill>
      </fill>
    </dxf>
    <dxf>
      <fill>
        <patternFill>
          <bgColor rgb="FFFFFF00"/>
        </patternFill>
      </fill>
    </dxf>
    <dxf>
      <fill>
        <patternFill>
          <bgColor rgb="FFFF0000"/>
        </patternFill>
      </fill>
    </dxf>
    <dxf>
      <fill>
        <patternFill>
          <bgColor rgb="FFFFC000"/>
        </patternFill>
      </fill>
    </dxf>
    <dxf>
      <fill>
        <patternFill>
          <bgColor rgb="FF00CC00"/>
        </patternFill>
      </fill>
    </dxf>
    <dxf>
      <fill>
        <patternFill>
          <bgColor rgb="FFFFFF00"/>
        </patternFill>
      </fill>
    </dxf>
    <dxf>
      <fill>
        <patternFill>
          <bgColor rgb="FFFF0000"/>
        </patternFill>
      </fill>
    </dxf>
    <dxf>
      <fill>
        <patternFill>
          <bgColor rgb="FFFFC000"/>
        </patternFill>
      </fill>
    </dxf>
    <dxf>
      <fill>
        <patternFill>
          <bgColor rgb="FF00CC00"/>
        </patternFill>
      </fill>
    </dxf>
    <dxf>
      <fill>
        <patternFill>
          <bgColor rgb="FFFFFF00"/>
        </patternFill>
      </fill>
    </dxf>
    <dxf>
      <fill>
        <patternFill>
          <bgColor rgb="FFFF0000"/>
        </patternFill>
      </fill>
    </dxf>
    <dxf>
      <fill>
        <patternFill>
          <bgColor rgb="FFFFC000"/>
        </patternFill>
      </fill>
    </dxf>
    <dxf>
      <fill>
        <patternFill>
          <bgColor rgb="FF00CC00"/>
        </patternFill>
      </fill>
    </dxf>
    <dxf>
      <fill>
        <patternFill>
          <bgColor rgb="FFFFFF00"/>
        </patternFill>
      </fill>
    </dxf>
    <dxf>
      <fill>
        <patternFill>
          <bgColor rgb="FFFF0000"/>
        </patternFill>
      </fill>
    </dxf>
    <dxf>
      <fill>
        <patternFill>
          <bgColor rgb="FFFFC000"/>
        </patternFill>
      </fill>
    </dxf>
    <dxf>
      <fill>
        <patternFill>
          <bgColor rgb="FF00CC00"/>
        </patternFill>
      </fill>
    </dxf>
    <dxf>
      <fill>
        <patternFill>
          <bgColor rgb="FFFFFF00"/>
        </patternFill>
      </fill>
    </dxf>
    <dxf>
      <fill>
        <patternFill>
          <bgColor rgb="FFFF0000"/>
        </patternFill>
      </fill>
    </dxf>
    <dxf>
      <fill>
        <patternFill>
          <bgColor rgb="FFFFC000"/>
        </patternFill>
      </fill>
    </dxf>
    <dxf>
      <fill>
        <patternFill>
          <bgColor rgb="FF00CC00"/>
        </patternFill>
      </fill>
    </dxf>
    <dxf>
      <fill>
        <patternFill>
          <bgColor rgb="FFFFFF00"/>
        </patternFill>
      </fill>
    </dxf>
    <dxf>
      <fill>
        <patternFill>
          <bgColor rgb="FFFF0000"/>
        </patternFill>
      </fill>
    </dxf>
    <dxf>
      <fill>
        <patternFill>
          <bgColor rgb="FFFFC000"/>
        </patternFill>
      </fill>
    </dxf>
    <dxf>
      <fill>
        <patternFill>
          <bgColor rgb="FF00CC00"/>
        </patternFill>
      </fill>
    </dxf>
    <dxf>
      <fill>
        <patternFill>
          <bgColor rgb="FFFFFF00"/>
        </patternFill>
      </fill>
    </dxf>
    <dxf>
      <fill>
        <patternFill>
          <bgColor rgb="FFFF0000"/>
        </patternFill>
      </fill>
    </dxf>
    <dxf>
      <fill>
        <patternFill>
          <bgColor rgb="FFFFC000"/>
        </patternFill>
      </fill>
    </dxf>
    <dxf>
      <fill>
        <patternFill>
          <bgColor rgb="FF00CC00"/>
        </patternFill>
      </fill>
    </dxf>
    <dxf>
      <fill>
        <patternFill>
          <bgColor rgb="FFFFFF00"/>
        </patternFill>
      </fill>
    </dxf>
    <dxf>
      <fill>
        <patternFill>
          <bgColor rgb="FFFF0000"/>
        </patternFill>
      </fill>
    </dxf>
    <dxf>
      <fill>
        <patternFill>
          <bgColor rgb="FFFFC000"/>
        </patternFill>
      </fill>
    </dxf>
    <dxf>
      <fill>
        <patternFill>
          <bgColor rgb="FF00CC00"/>
        </patternFill>
      </fill>
    </dxf>
    <dxf>
      <fill>
        <patternFill>
          <bgColor rgb="FFFFFF00"/>
        </patternFill>
      </fill>
    </dxf>
    <dxf>
      <fill>
        <patternFill>
          <bgColor rgb="FFFF0000"/>
        </patternFill>
      </fill>
    </dxf>
    <dxf>
      <fill>
        <patternFill>
          <bgColor rgb="FFFFC000"/>
        </patternFill>
      </fill>
    </dxf>
    <dxf>
      <fill>
        <patternFill>
          <bgColor rgb="FF00CC00"/>
        </patternFill>
      </fill>
    </dxf>
    <dxf>
      <fill>
        <patternFill>
          <bgColor rgb="FFFFFF00"/>
        </patternFill>
      </fill>
    </dxf>
    <dxf>
      <fill>
        <patternFill>
          <bgColor rgb="FFFF0000"/>
        </patternFill>
      </fill>
    </dxf>
    <dxf>
      <fill>
        <patternFill>
          <bgColor rgb="FFFFC000"/>
        </patternFill>
      </fill>
    </dxf>
    <dxf>
      <fill>
        <patternFill>
          <bgColor rgb="FF00CC00"/>
        </patternFill>
      </fill>
    </dxf>
    <dxf>
      <fill>
        <patternFill>
          <bgColor rgb="FFFFFF00"/>
        </patternFill>
      </fill>
    </dxf>
    <dxf>
      <fill>
        <patternFill>
          <bgColor rgb="FFFF0000"/>
        </patternFill>
      </fill>
    </dxf>
    <dxf>
      <fill>
        <patternFill>
          <bgColor rgb="FFFFC000"/>
        </patternFill>
      </fill>
    </dxf>
    <dxf>
      <fill>
        <patternFill>
          <bgColor rgb="FF00CC00"/>
        </patternFill>
      </fill>
    </dxf>
    <dxf>
      <fill>
        <patternFill>
          <bgColor rgb="FFFFFF00"/>
        </patternFill>
      </fill>
    </dxf>
    <dxf>
      <fill>
        <patternFill>
          <bgColor rgb="FFFF0000"/>
        </patternFill>
      </fill>
    </dxf>
    <dxf>
      <fill>
        <patternFill>
          <bgColor rgb="FFFFC000"/>
        </patternFill>
      </fill>
    </dxf>
    <dxf>
      <fill>
        <patternFill>
          <bgColor rgb="FF00CC00"/>
        </patternFill>
      </fill>
    </dxf>
    <dxf>
      <fill>
        <patternFill>
          <bgColor rgb="FFFFFF00"/>
        </patternFill>
      </fill>
    </dxf>
    <dxf>
      <fill>
        <patternFill>
          <bgColor rgb="FFFF0000"/>
        </patternFill>
      </fill>
    </dxf>
    <dxf>
      <fill>
        <patternFill>
          <bgColor rgb="FFFFC000"/>
        </patternFill>
      </fill>
    </dxf>
    <dxf>
      <fill>
        <patternFill>
          <bgColor rgb="FF00CC00"/>
        </patternFill>
      </fill>
    </dxf>
    <dxf>
      <fill>
        <patternFill>
          <bgColor rgb="FFFFFF00"/>
        </patternFill>
      </fill>
    </dxf>
    <dxf>
      <fill>
        <patternFill>
          <bgColor rgb="FFFF0000"/>
        </patternFill>
      </fill>
    </dxf>
    <dxf>
      <fill>
        <patternFill>
          <bgColor rgb="FFFFC000"/>
        </patternFill>
      </fill>
    </dxf>
    <dxf>
      <fill>
        <patternFill>
          <bgColor rgb="FF00CC00"/>
        </patternFill>
      </fill>
    </dxf>
    <dxf>
      <fill>
        <patternFill>
          <bgColor rgb="FFFFFF00"/>
        </patternFill>
      </fill>
    </dxf>
    <dxf>
      <fill>
        <patternFill>
          <bgColor rgb="FFFF0000"/>
        </patternFill>
      </fill>
    </dxf>
    <dxf>
      <fill>
        <patternFill>
          <bgColor rgb="FFFFC000"/>
        </patternFill>
      </fill>
    </dxf>
    <dxf>
      <fill>
        <patternFill>
          <bgColor rgb="FF00CC00"/>
        </patternFill>
      </fill>
    </dxf>
    <dxf>
      <fill>
        <patternFill>
          <bgColor rgb="FFFFFF00"/>
        </patternFill>
      </fill>
    </dxf>
    <dxf>
      <fill>
        <patternFill>
          <bgColor rgb="FFFF0000"/>
        </patternFill>
      </fill>
    </dxf>
    <dxf>
      <fill>
        <patternFill>
          <bgColor rgb="FFFFC000"/>
        </patternFill>
      </fill>
    </dxf>
    <dxf>
      <fill>
        <patternFill>
          <bgColor rgb="FF00CC00"/>
        </patternFill>
      </fill>
    </dxf>
    <dxf>
      <fill>
        <patternFill>
          <bgColor rgb="FFFFFF00"/>
        </patternFill>
      </fill>
    </dxf>
    <dxf>
      <fill>
        <patternFill>
          <bgColor rgb="FFFF0000"/>
        </patternFill>
      </fill>
    </dxf>
    <dxf>
      <fill>
        <patternFill>
          <bgColor rgb="FFFFC000"/>
        </patternFill>
      </fill>
    </dxf>
    <dxf>
      <fill>
        <patternFill>
          <bgColor rgb="FF00CC00"/>
        </patternFill>
      </fill>
    </dxf>
    <dxf>
      <fill>
        <patternFill>
          <bgColor rgb="FFFFFF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00CC00"/>
        </patternFill>
      </fill>
    </dxf>
    <dxf>
      <fill>
        <patternFill>
          <bgColor rgb="FFFFFF00"/>
        </patternFill>
      </fill>
    </dxf>
    <dxf>
      <fill>
        <patternFill>
          <bgColor rgb="FFFF0000"/>
        </patternFill>
      </fill>
    </dxf>
    <dxf>
      <fill>
        <patternFill>
          <bgColor rgb="FFFFC000"/>
        </patternFill>
      </fill>
    </dxf>
    <dxf>
      <fill>
        <patternFill>
          <bgColor rgb="FF00CC00"/>
        </patternFill>
      </fill>
    </dxf>
    <dxf>
      <fill>
        <patternFill>
          <bgColor rgb="FFFFFF00"/>
        </patternFill>
      </fill>
    </dxf>
    <dxf>
      <fill>
        <patternFill>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bgColor rgb="FFFFC000"/>
        </patternFill>
      </fill>
    </dxf>
    <dxf>
      <fill>
        <patternFill>
          <bgColor rgb="FF00CC00"/>
        </patternFill>
      </fill>
    </dxf>
    <dxf>
      <fill>
        <patternFill>
          <bgColor rgb="FFFFFF00"/>
        </patternFill>
      </fill>
    </dxf>
    <dxf>
      <fill>
        <patternFill>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bgColor rgb="FFFFC000"/>
        </patternFill>
      </fill>
    </dxf>
    <dxf>
      <fill>
        <patternFill>
          <bgColor rgb="FF00CC00"/>
        </patternFill>
      </fill>
    </dxf>
    <dxf>
      <fill>
        <patternFill>
          <bgColor rgb="FFFFFF00"/>
        </patternFill>
      </fill>
    </dxf>
    <dxf>
      <fill>
        <patternFill>
          <bgColor rgb="FFFF0000"/>
        </patternFill>
      </fill>
    </dxf>
    <dxf>
      <fill>
        <patternFill>
          <bgColor rgb="FFFFC000"/>
        </patternFill>
      </fill>
    </dxf>
    <dxf>
      <fill>
        <patternFill>
          <bgColor rgb="FF00CC00"/>
        </patternFill>
      </fill>
    </dxf>
    <dxf>
      <fill>
        <patternFill>
          <bgColor rgb="FFFFFF00"/>
        </patternFill>
      </fill>
    </dxf>
    <dxf>
      <fill>
        <patternFill>
          <bgColor rgb="FFFF0000"/>
        </patternFill>
      </fill>
    </dxf>
    <dxf>
      <fill>
        <patternFill>
          <bgColor rgb="FFFFC000"/>
        </patternFill>
      </fill>
    </dxf>
    <dxf>
      <fill>
        <patternFill>
          <bgColor rgb="FF00CC00"/>
        </patternFill>
      </fill>
    </dxf>
    <dxf>
      <fill>
        <patternFill>
          <bgColor rgb="FFFFFF00"/>
        </patternFill>
      </fill>
    </dxf>
    <dxf>
      <fill>
        <patternFill>
          <bgColor rgb="FFFF0000"/>
        </patternFill>
      </fill>
    </dxf>
    <dxf>
      <fill>
        <patternFill>
          <bgColor rgb="FFFFC000"/>
        </patternFill>
      </fill>
    </dxf>
    <dxf>
      <fill>
        <patternFill>
          <bgColor rgb="FF00CC00"/>
        </patternFill>
      </fill>
    </dxf>
    <dxf>
      <fill>
        <patternFill>
          <bgColor rgb="FFFFFF00"/>
        </patternFill>
      </fill>
    </dxf>
    <dxf>
      <fill>
        <patternFill>
          <bgColor rgb="FFFF0000"/>
        </patternFill>
      </fill>
    </dxf>
    <dxf>
      <fill>
        <patternFill>
          <bgColor rgb="FFFFC000"/>
        </patternFill>
      </fill>
    </dxf>
    <dxf>
      <fill>
        <patternFill>
          <bgColor rgb="FF00CC00"/>
        </patternFill>
      </fill>
    </dxf>
    <dxf>
      <fill>
        <patternFill>
          <bgColor rgb="FFFFFF00"/>
        </patternFill>
      </fill>
    </dxf>
    <dxf>
      <fill>
        <patternFill>
          <bgColor rgb="FFFF0000"/>
        </patternFill>
      </fill>
    </dxf>
    <dxf>
      <fill>
        <patternFill>
          <bgColor rgb="FFFFC000"/>
        </patternFill>
      </fill>
    </dxf>
    <dxf>
      <fill>
        <patternFill>
          <bgColor rgb="FF00CC00"/>
        </patternFill>
      </fill>
    </dxf>
    <dxf>
      <fill>
        <patternFill>
          <bgColor rgb="FFFFFF00"/>
        </patternFill>
      </fill>
    </dxf>
    <dxf>
      <fill>
        <patternFill>
          <bgColor rgb="FFFF0000"/>
        </patternFill>
      </fill>
    </dxf>
    <dxf>
      <fill>
        <patternFill>
          <bgColor rgb="FFFFC000"/>
        </patternFill>
      </fill>
    </dxf>
    <dxf>
      <fill>
        <patternFill>
          <bgColor rgb="FF00CC00"/>
        </patternFill>
      </fill>
    </dxf>
    <dxf>
      <fill>
        <patternFill>
          <bgColor rgb="FFFFFF00"/>
        </patternFill>
      </fill>
    </dxf>
    <dxf>
      <fill>
        <patternFill>
          <bgColor rgb="FFFF0000"/>
        </patternFill>
      </fill>
    </dxf>
    <dxf>
      <fill>
        <patternFill>
          <bgColor rgb="FFFFC000"/>
        </patternFill>
      </fill>
    </dxf>
    <dxf>
      <fill>
        <patternFill>
          <bgColor rgb="FF00CC00"/>
        </patternFill>
      </fill>
    </dxf>
    <dxf>
      <fill>
        <patternFill>
          <bgColor rgb="FFFFFF00"/>
        </patternFill>
      </fill>
    </dxf>
    <dxf>
      <fill>
        <patternFill>
          <bgColor rgb="FFFF0000"/>
        </patternFill>
      </fill>
    </dxf>
    <dxf>
      <fill>
        <patternFill>
          <bgColor rgb="FFFFC000"/>
        </patternFill>
      </fill>
    </dxf>
    <dxf>
      <fill>
        <patternFill>
          <bgColor rgb="FF00CC00"/>
        </patternFill>
      </fill>
    </dxf>
    <dxf>
      <fill>
        <patternFill>
          <bgColor rgb="FFFFFF00"/>
        </patternFill>
      </fill>
    </dxf>
    <dxf>
      <fill>
        <patternFill>
          <bgColor rgb="FFFF0000"/>
        </patternFill>
      </fill>
    </dxf>
    <dxf>
      <fill>
        <patternFill>
          <bgColor rgb="FFFFC000"/>
        </patternFill>
      </fill>
    </dxf>
    <dxf>
      <fill>
        <patternFill>
          <bgColor rgb="FF00CC00"/>
        </patternFill>
      </fill>
    </dxf>
    <dxf>
      <fill>
        <patternFill>
          <bgColor rgb="FFFFFF00"/>
        </patternFill>
      </fill>
    </dxf>
    <dxf>
      <fill>
        <patternFill>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bgColor rgb="FFFFC000"/>
        </patternFill>
      </fill>
    </dxf>
    <dxf>
      <fill>
        <patternFill>
          <bgColor rgb="FF00CC00"/>
        </patternFill>
      </fill>
    </dxf>
    <dxf>
      <fill>
        <patternFill>
          <bgColor rgb="FFFFFF00"/>
        </patternFill>
      </fill>
    </dxf>
    <dxf>
      <fill>
        <patternFill>
          <bgColor rgb="FFFF0000"/>
        </patternFill>
      </fill>
    </dxf>
    <dxf>
      <fill>
        <patternFill>
          <bgColor rgb="FFFFC000"/>
        </patternFill>
      </fill>
    </dxf>
    <dxf>
      <fill>
        <patternFill>
          <bgColor rgb="FF00CC00"/>
        </patternFill>
      </fill>
    </dxf>
    <dxf>
      <fill>
        <patternFill>
          <bgColor rgb="FFFFFF00"/>
        </patternFill>
      </fill>
    </dxf>
    <dxf>
      <fill>
        <patternFill>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bgColor rgb="FFFFC000"/>
        </patternFill>
      </fill>
    </dxf>
    <dxf>
      <fill>
        <patternFill>
          <bgColor rgb="FF00CC00"/>
        </patternFill>
      </fill>
    </dxf>
    <dxf>
      <fill>
        <patternFill>
          <bgColor rgb="FFFFFF00"/>
        </patternFill>
      </fill>
    </dxf>
    <dxf>
      <fill>
        <patternFill>
          <bgColor rgb="FFFF0000"/>
        </patternFill>
      </fill>
    </dxf>
    <dxf>
      <fill>
        <patternFill>
          <bgColor rgb="FFFFC000"/>
        </patternFill>
      </fill>
    </dxf>
    <dxf>
      <fill>
        <patternFill>
          <bgColor rgb="FF00CC00"/>
        </patternFill>
      </fill>
    </dxf>
    <dxf>
      <fill>
        <patternFill>
          <bgColor rgb="FFFFFF00"/>
        </patternFill>
      </fill>
    </dxf>
    <dxf>
      <fill>
        <patternFill>
          <bgColor rgb="FFFF0000"/>
        </patternFill>
      </fill>
    </dxf>
    <dxf>
      <fill>
        <patternFill>
          <bgColor rgb="FFFFC000"/>
        </patternFill>
      </fill>
    </dxf>
    <dxf>
      <fill>
        <patternFill>
          <bgColor rgb="FF00CC00"/>
        </patternFill>
      </fill>
    </dxf>
    <dxf>
      <fill>
        <patternFill>
          <bgColor rgb="FFFFFF00"/>
        </patternFill>
      </fill>
    </dxf>
    <dxf>
      <fill>
        <patternFill>
          <bgColor rgb="FFFF0000"/>
        </patternFill>
      </fill>
    </dxf>
    <dxf>
      <fill>
        <patternFill>
          <bgColor rgb="FFFFC000"/>
        </patternFill>
      </fill>
    </dxf>
    <dxf>
      <fill>
        <patternFill>
          <bgColor rgb="FF00CC00"/>
        </patternFill>
      </fill>
    </dxf>
    <dxf>
      <fill>
        <patternFill>
          <bgColor rgb="FFFFFF00"/>
        </patternFill>
      </fill>
    </dxf>
    <dxf>
      <fill>
        <patternFill>
          <bgColor rgb="FFFF0000"/>
        </patternFill>
      </fill>
    </dxf>
    <dxf>
      <fill>
        <patternFill>
          <bgColor rgb="FFFFC000"/>
        </patternFill>
      </fill>
    </dxf>
    <dxf>
      <fill>
        <patternFill>
          <bgColor rgb="FF00CC00"/>
        </patternFill>
      </fill>
    </dxf>
    <dxf>
      <fill>
        <patternFill>
          <bgColor rgb="FFFFFF00"/>
        </patternFill>
      </fill>
    </dxf>
    <dxf>
      <fill>
        <patternFill>
          <bgColor rgb="FFFF0000"/>
        </patternFill>
      </fill>
    </dxf>
    <dxf>
      <fill>
        <patternFill>
          <bgColor rgb="FFFFC000"/>
        </patternFill>
      </fill>
    </dxf>
    <dxf>
      <fill>
        <patternFill>
          <bgColor rgb="FF00CC00"/>
        </patternFill>
      </fill>
    </dxf>
    <dxf>
      <fill>
        <patternFill>
          <bgColor rgb="FFFFFF00"/>
        </patternFill>
      </fill>
    </dxf>
    <dxf>
      <fill>
        <patternFill>
          <bgColor rgb="FFFF0000"/>
        </patternFill>
      </fill>
    </dxf>
    <dxf>
      <fill>
        <patternFill>
          <bgColor rgb="FFFFC000"/>
        </patternFill>
      </fill>
    </dxf>
    <dxf>
      <fill>
        <patternFill>
          <bgColor rgb="FF00CC00"/>
        </patternFill>
      </fill>
    </dxf>
    <dxf>
      <fill>
        <patternFill>
          <bgColor rgb="FFFFFF00"/>
        </patternFill>
      </fill>
    </dxf>
    <dxf>
      <fill>
        <patternFill>
          <bgColor rgb="FFFF0000"/>
        </patternFill>
      </fill>
    </dxf>
    <dxf>
      <fill>
        <patternFill>
          <bgColor rgb="FFFFC000"/>
        </patternFill>
      </fill>
    </dxf>
    <dxf>
      <fill>
        <patternFill>
          <bgColor rgb="FF00CC00"/>
        </patternFill>
      </fill>
    </dxf>
    <dxf>
      <fill>
        <patternFill>
          <bgColor rgb="FFFFFF00"/>
        </patternFill>
      </fill>
    </dxf>
    <dxf>
      <fill>
        <patternFill>
          <bgColor rgb="FFFF0000"/>
        </patternFill>
      </fill>
    </dxf>
    <dxf>
      <fill>
        <patternFill>
          <bgColor rgb="FFFFC000"/>
        </patternFill>
      </fill>
    </dxf>
    <dxf>
      <fill>
        <patternFill>
          <bgColor rgb="FF00CC00"/>
        </patternFill>
      </fill>
    </dxf>
    <dxf>
      <fill>
        <patternFill>
          <bgColor rgb="FFFFFF00"/>
        </patternFill>
      </fill>
    </dxf>
    <dxf>
      <fill>
        <patternFill>
          <bgColor rgb="FFFF0000"/>
        </patternFill>
      </fill>
    </dxf>
    <dxf>
      <fill>
        <patternFill>
          <bgColor rgb="FFFFC000"/>
        </patternFill>
      </fill>
    </dxf>
    <dxf>
      <fill>
        <patternFill>
          <bgColor rgb="FF00CC00"/>
        </patternFill>
      </fill>
    </dxf>
    <dxf>
      <fill>
        <patternFill>
          <bgColor rgb="FFFFFF00"/>
        </patternFill>
      </fill>
    </dxf>
    <dxf>
      <fill>
        <patternFill>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CC00"/>
          <bgColor rgb="FF00CC00"/>
        </patternFill>
      </fill>
    </dxf>
    <dxf>
      <fill>
        <patternFill patternType="solid">
          <fgColor rgb="FFFFFF00"/>
          <bgColor rgb="FFFFFF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10.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theme" Target="theme/theme1.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externalLink" Target="externalLinks/externalLink6.xml"/><Relationship Id="rId139" Type="http://schemas.openxmlformats.org/officeDocument/2006/relationships/externalLink" Target="externalLinks/externalLink11.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styles" Target="styles.xml"/><Relationship Id="rId155" Type="http://schemas.openxmlformats.org/officeDocument/2006/relationships/customXml" Target="../customXml/item3.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externalLink" Target="externalLinks/externalLink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12.xml"/><Relationship Id="rId145" Type="http://schemas.openxmlformats.org/officeDocument/2006/relationships/externalLink" Target="externalLinks/externalLink1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2.xml"/><Relationship Id="rId135" Type="http://schemas.openxmlformats.org/officeDocument/2006/relationships/externalLink" Target="externalLinks/externalLink7.xml"/><Relationship Id="rId151"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externalLink" Target="externalLinks/externalLink13.xml"/><Relationship Id="rId146" Type="http://schemas.openxmlformats.org/officeDocument/2006/relationships/externalLink" Target="externalLinks/externalLink1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3.xml"/><Relationship Id="rId136" Type="http://schemas.openxmlformats.org/officeDocument/2006/relationships/externalLink" Target="externalLinks/externalLink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externalLink" Target="externalLinks/externalLink1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externalLink" Target="externalLinks/externalLink1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4.xml"/><Relationship Id="rId153" Type="http://schemas.openxmlformats.org/officeDocument/2006/relationships/customXml" Target="../customXml/item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externalLink" Target="externalLinks/externalLink15.xml"/><Relationship Id="rId148"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5.xml"/><Relationship Id="rId154" Type="http://schemas.openxmlformats.org/officeDocument/2006/relationships/customXml" Target="../customXml/item2.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externalLink" Target="externalLinks/externalLink16.xml"/><Relationship Id="rId90" Type="http://schemas.openxmlformats.org/officeDocument/2006/relationships/worksheet" Target="worksheets/sheet9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314325</xdr:colOff>
      <xdr:row>0</xdr:row>
      <xdr:rowOff>114300</xdr:rowOff>
    </xdr:from>
    <xdr:ext cx="1685925" cy="6953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editAs="oneCell">
    <xdr:from>
      <xdr:col>0</xdr:col>
      <xdr:colOff>92823</xdr:colOff>
      <xdr:row>1</xdr:row>
      <xdr:rowOff>58836</xdr:rowOff>
    </xdr:from>
    <xdr:to>
      <xdr:col>0</xdr:col>
      <xdr:colOff>1432449</xdr:colOff>
      <xdr:row>3</xdr:row>
      <xdr:rowOff>50554</xdr:rowOff>
    </xdr:to>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92823" y="249336"/>
          <a:ext cx="1339626" cy="372718"/>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1034084</xdr:colOff>
      <xdr:row>0</xdr:row>
      <xdr:rowOff>0</xdr:rowOff>
    </xdr:from>
    <xdr:to>
      <xdr:col>1</xdr:col>
      <xdr:colOff>1876425</xdr:colOff>
      <xdr:row>1</xdr:row>
      <xdr:rowOff>142875</xdr:rowOff>
    </xdr:to>
    <xdr:pic>
      <xdr:nvPicPr>
        <xdr:cNvPr id="2" name="Imagen 1">
          <a:extLst>
            <a:ext uri="{FF2B5EF4-FFF2-40B4-BE49-F238E27FC236}">
              <a16:creationId xmlns:a16="http://schemas.microsoft.com/office/drawing/2014/main" id="{00000000-0008-0000-6500-000002000000}"/>
            </a:ext>
          </a:extLst>
        </xdr:cNvPr>
        <xdr:cNvPicPr>
          <a:picLocks noChangeAspect="1"/>
        </xdr:cNvPicPr>
      </xdr:nvPicPr>
      <xdr:blipFill>
        <a:blip xmlns:r="http://schemas.openxmlformats.org/officeDocument/2006/relationships" r:embed="rId1"/>
        <a:stretch>
          <a:fillRect/>
        </a:stretch>
      </xdr:blipFill>
      <xdr:spPr>
        <a:xfrm>
          <a:off x="1310309" y="0"/>
          <a:ext cx="842341" cy="381000"/>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720587</xdr:colOff>
      <xdr:row>0</xdr:row>
      <xdr:rowOff>107674</xdr:rowOff>
    </xdr:from>
    <xdr:to>
      <xdr:col>2</xdr:col>
      <xdr:colOff>1124796</xdr:colOff>
      <xdr:row>3</xdr:row>
      <xdr:rowOff>107674</xdr:rowOff>
    </xdr:to>
    <xdr:pic>
      <xdr:nvPicPr>
        <xdr:cNvPr id="2" name="Imagen 1">
          <a:extLst>
            <a:ext uri="{FF2B5EF4-FFF2-40B4-BE49-F238E27FC236}">
              <a16:creationId xmlns:a16="http://schemas.microsoft.com/office/drawing/2014/main" id="{00000000-0008-0000-6600-000002000000}"/>
            </a:ext>
          </a:extLst>
        </xdr:cNvPr>
        <xdr:cNvPicPr>
          <a:picLocks noChangeAspect="1"/>
        </xdr:cNvPicPr>
      </xdr:nvPicPr>
      <xdr:blipFill>
        <a:blip xmlns:r="http://schemas.openxmlformats.org/officeDocument/2006/relationships" r:embed="rId1"/>
        <a:stretch>
          <a:fillRect/>
        </a:stretch>
      </xdr:blipFill>
      <xdr:spPr>
        <a:xfrm>
          <a:off x="1149212" y="107674"/>
          <a:ext cx="2052034" cy="571500"/>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0</xdr:col>
      <xdr:colOff>92823</xdr:colOff>
      <xdr:row>1</xdr:row>
      <xdr:rowOff>58836</xdr:rowOff>
    </xdr:from>
    <xdr:to>
      <xdr:col>0</xdr:col>
      <xdr:colOff>1432449</xdr:colOff>
      <xdr:row>3</xdr:row>
      <xdr:rowOff>50554</xdr:rowOff>
    </xdr:to>
    <xdr:pic>
      <xdr:nvPicPr>
        <xdr:cNvPr id="2" name="Imagen 1">
          <a:extLst>
            <a:ext uri="{FF2B5EF4-FFF2-40B4-BE49-F238E27FC236}">
              <a16:creationId xmlns:a16="http://schemas.microsoft.com/office/drawing/2014/main" id="{00000000-0008-0000-6700-000002000000}"/>
            </a:ext>
          </a:extLst>
        </xdr:cNvPr>
        <xdr:cNvPicPr>
          <a:picLocks noChangeAspect="1"/>
        </xdr:cNvPicPr>
      </xdr:nvPicPr>
      <xdr:blipFill>
        <a:blip xmlns:r="http://schemas.openxmlformats.org/officeDocument/2006/relationships" r:embed="rId1"/>
        <a:stretch>
          <a:fillRect/>
        </a:stretch>
      </xdr:blipFill>
      <xdr:spPr>
        <a:xfrm>
          <a:off x="92823" y="249336"/>
          <a:ext cx="1339626" cy="372718"/>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0</xdr:col>
      <xdr:colOff>92823</xdr:colOff>
      <xdr:row>1</xdr:row>
      <xdr:rowOff>58836</xdr:rowOff>
    </xdr:from>
    <xdr:to>
      <xdr:col>0</xdr:col>
      <xdr:colOff>1432449</xdr:colOff>
      <xdr:row>3</xdr:row>
      <xdr:rowOff>50554</xdr:rowOff>
    </xdr:to>
    <xdr:pic>
      <xdr:nvPicPr>
        <xdr:cNvPr id="2" name="Imagen 1">
          <a:extLst>
            <a:ext uri="{FF2B5EF4-FFF2-40B4-BE49-F238E27FC236}">
              <a16:creationId xmlns:a16="http://schemas.microsoft.com/office/drawing/2014/main" id="{00000000-0008-0000-6800-000002000000}"/>
            </a:ext>
          </a:extLst>
        </xdr:cNvPr>
        <xdr:cNvPicPr>
          <a:picLocks noChangeAspect="1"/>
        </xdr:cNvPicPr>
      </xdr:nvPicPr>
      <xdr:blipFill>
        <a:blip xmlns:r="http://schemas.openxmlformats.org/officeDocument/2006/relationships" r:embed="rId1"/>
        <a:stretch>
          <a:fillRect/>
        </a:stretch>
      </xdr:blipFill>
      <xdr:spPr>
        <a:xfrm>
          <a:off x="92823" y="249336"/>
          <a:ext cx="1339626" cy="372718"/>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610585</xdr:colOff>
      <xdr:row>0</xdr:row>
      <xdr:rowOff>105103</xdr:rowOff>
    </xdr:from>
    <xdr:to>
      <xdr:col>2</xdr:col>
      <xdr:colOff>639792</xdr:colOff>
      <xdr:row>3</xdr:row>
      <xdr:rowOff>105103</xdr:rowOff>
    </xdr:to>
    <xdr:pic>
      <xdr:nvPicPr>
        <xdr:cNvPr id="2" name="Imagen 1">
          <a:extLst>
            <a:ext uri="{FF2B5EF4-FFF2-40B4-BE49-F238E27FC236}">
              <a16:creationId xmlns:a16="http://schemas.microsoft.com/office/drawing/2014/main" id="{00000000-0008-0000-6900-000002000000}"/>
            </a:ext>
          </a:extLst>
        </xdr:cNvPr>
        <xdr:cNvPicPr>
          <a:picLocks noChangeAspect="1"/>
        </xdr:cNvPicPr>
      </xdr:nvPicPr>
      <xdr:blipFill>
        <a:blip xmlns:r="http://schemas.openxmlformats.org/officeDocument/2006/relationships" r:embed="rId1"/>
        <a:stretch>
          <a:fillRect/>
        </a:stretch>
      </xdr:blipFill>
      <xdr:spPr>
        <a:xfrm>
          <a:off x="610585" y="105103"/>
          <a:ext cx="2048507" cy="571500"/>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1234108</xdr:colOff>
      <xdr:row>0</xdr:row>
      <xdr:rowOff>74543</xdr:rowOff>
    </xdr:from>
    <xdr:to>
      <xdr:col>2</xdr:col>
      <xdr:colOff>1903361</xdr:colOff>
      <xdr:row>3</xdr:row>
      <xdr:rowOff>74543</xdr:rowOff>
    </xdr:to>
    <xdr:pic>
      <xdr:nvPicPr>
        <xdr:cNvPr id="2" name="Imagen 1">
          <a:extLst>
            <a:ext uri="{FF2B5EF4-FFF2-40B4-BE49-F238E27FC236}">
              <a16:creationId xmlns:a16="http://schemas.microsoft.com/office/drawing/2014/main" id="{00000000-0008-0000-6A00-000002000000}"/>
            </a:ext>
          </a:extLst>
        </xdr:cNvPr>
        <xdr:cNvPicPr>
          <a:picLocks noChangeAspect="1"/>
        </xdr:cNvPicPr>
      </xdr:nvPicPr>
      <xdr:blipFill>
        <a:blip xmlns:r="http://schemas.openxmlformats.org/officeDocument/2006/relationships" r:embed="rId1"/>
        <a:stretch>
          <a:fillRect/>
        </a:stretch>
      </xdr:blipFill>
      <xdr:spPr>
        <a:xfrm>
          <a:off x="1596058" y="74543"/>
          <a:ext cx="2050378" cy="571500"/>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371475</xdr:colOff>
      <xdr:row>0</xdr:row>
      <xdr:rowOff>85725</xdr:rowOff>
    </xdr:from>
    <xdr:to>
      <xdr:col>2</xdr:col>
      <xdr:colOff>1147573</xdr:colOff>
      <xdr:row>3</xdr:row>
      <xdr:rowOff>57150</xdr:rowOff>
    </xdr:to>
    <xdr:pic>
      <xdr:nvPicPr>
        <xdr:cNvPr id="2" name="Imagen 1">
          <a:extLst>
            <a:ext uri="{FF2B5EF4-FFF2-40B4-BE49-F238E27FC236}">
              <a16:creationId xmlns:a16="http://schemas.microsoft.com/office/drawing/2014/main" id="{00000000-0008-0000-6B00-000002000000}"/>
            </a:ext>
          </a:extLst>
        </xdr:cNvPr>
        <xdr:cNvPicPr>
          <a:picLocks noChangeAspect="1"/>
        </xdr:cNvPicPr>
      </xdr:nvPicPr>
      <xdr:blipFill>
        <a:blip xmlns:r="http://schemas.openxmlformats.org/officeDocument/2006/relationships" r:embed="rId1"/>
        <a:stretch>
          <a:fillRect/>
        </a:stretch>
      </xdr:blipFill>
      <xdr:spPr>
        <a:xfrm>
          <a:off x="876300" y="85725"/>
          <a:ext cx="2052448" cy="571500"/>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1034084</xdr:colOff>
      <xdr:row>0</xdr:row>
      <xdr:rowOff>0</xdr:rowOff>
    </xdr:from>
    <xdr:to>
      <xdr:col>1</xdr:col>
      <xdr:colOff>1876425</xdr:colOff>
      <xdr:row>2</xdr:row>
      <xdr:rowOff>5440</xdr:rowOff>
    </xdr:to>
    <xdr:pic>
      <xdr:nvPicPr>
        <xdr:cNvPr id="2" name="Imagen 1">
          <a:extLst>
            <a:ext uri="{FF2B5EF4-FFF2-40B4-BE49-F238E27FC236}">
              <a16:creationId xmlns:a16="http://schemas.microsoft.com/office/drawing/2014/main" id="{00000000-0008-0000-6C00-000002000000}"/>
            </a:ext>
          </a:extLst>
        </xdr:cNvPr>
        <xdr:cNvPicPr>
          <a:picLocks noChangeAspect="1"/>
        </xdr:cNvPicPr>
      </xdr:nvPicPr>
      <xdr:blipFill>
        <a:blip xmlns:r="http://schemas.openxmlformats.org/officeDocument/2006/relationships" r:embed="rId1"/>
        <a:stretch>
          <a:fillRect/>
        </a:stretch>
      </xdr:blipFill>
      <xdr:spPr>
        <a:xfrm>
          <a:off x="1310309" y="0"/>
          <a:ext cx="842341" cy="491215"/>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720587</xdr:colOff>
      <xdr:row>0</xdr:row>
      <xdr:rowOff>107674</xdr:rowOff>
    </xdr:from>
    <xdr:to>
      <xdr:col>2</xdr:col>
      <xdr:colOff>1124796</xdr:colOff>
      <xdr:row>3</xdr:row>
      <xdr:rowOff>107674</xdr:rowOff>
    </xdr:to>
    <xdr:pic>
      <xdr:nvPicPr>
        <xdr:cNvPr id="2" name="Imagen 1">
          <a:extLst>
            <a:ext uri="{FF2B5EF4-FFF2-40B4-BE49-F238E27FC236}">
              <a16:creationId xmlns:a16="http://schemas.microsoft.com/office/drawing/2014/main" id="{00000000-0008-0000-6D00-000002000000}"/>
            </a:ext>
          </a:extLst>
        </xdr:cNvPr>
        <xdr:cNvPicPr>
          <a:picLocks noChangeAspect="1"/>
        </xdr:cNvPicPr>
      </xdr:nvPicPr>
      <xdr:blipFill>
        <a:blip xmlns:r="http://schemas.openxmlformats.org/officeDocument/2006/relationships" r:embed="rId1"/>
        <a:stretch>
          <a:fillRect/>
        </a:stretch>
      </xdr:blipFill>
      <xdr:spPr>
        <a:xfrm>
          <a:off x="1149212" y="107674"/>
          <a:ext cx="2052034" cy="571500"/>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92823</xdr:colOff>
      <xdr:row>1</xdr:row>
      <xdr:rowOff>58836</xdr:rowOff>
    </xdr:from>
    <xdr:to>
      <xdr:col>0</xdr:col>
      <xdr:colOff>1432449</xdr:colOff>
      <xdr:row>3</xdr:row>
      <xdr:rowOff>50554</xdr:rowOff>
    </xdr:to>
    <xdr:pic>
      <xdr:nvPicPr>
        <xdr:cNvPr id="2" name="Imagen 1">
          <a:extLst>
            <a:ext uri="{FF2B5EF4-FFF2-40B4-BE49-F238E27FC236}">
              <a16:creationId xmlns:a16="http://schemas.microsoft.com/office/drawing/2014/main" id="{00000000-0008-0000-6E00-000002000000}"/>
            </a:ext>
          </a:extLst>
        </xdr:cNvPr>
        <xdr:cNvPicPr>
          <a:picLocks noChangeAspect="1"/>
        </xdr:cNvPicPr>
      </xdr:nvPicPr>
      <xdr:blipFill>
        <a:blip xmlns:r="http://schemas.openxmlformats.org/officeDocument/2006/relationships" r:embed="rId1"/>
        <a:stretch>
          <a:fillRect/>
        </a:stretch>
      </xdr:blipFill>
      <xdr:spPr>
        <a:xfrm>
          <a:off x="92823" y="249336"/>
          <a:ext cx="1339626" cy="37271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610585</xdr:colOff>
      <xdr:row>0</xdr:row>
      <xdr:rowOff>105103</xdr:rowOff>
    </xdr:from>
    <xdr:to>
      <xdr:col>2</xdr:col>
      <xdr:colOff>639792</xdr:colOff>
      <xdr:row>3</xdr:row>
      <xdr:rowOff>105103</xdr:rowOff>
    </xdr:to>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610585" y="105103"/>
          <a:ext cx="2048507" cy="571500"/>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0</xdr:col>
      <xdr:colOff>610585</xdr:colOff>
      <xdr:row>0</xdr:row>
      <xdr:rowOff>105103</xdr:rowOff>
    </xdr:from>
    <xdr:to>
      <xdr:col>2</xdr:col>
      <xdr:colOff>485011</xdr:colOff>
      <xdr:row>3</xdr:row>
      <xdr:rowOff>105103</xdr:rowOff>
    </xdr:to>
    <xdr:pic>
      <xdr:nvPicPr>
        <xdr:cNvPr id="2" name="Imagen 1">
          <a:extLst>
            <a:ext uri="{FF2B5EF4-FFF2-40B4-BE49-F238E27FC236}">
              <a16:creationId xmlns:a16="http://schemas.microsoft.com/office/drawing/2014/main" id="{00000000-0008-0000-6F00-000002000000}"/>
            </a:ext>
          </a:extLst>
        </xdr:cNvPr>
        <xdr:cNvPicPr>
          <a:picLocks noChangeAspect="1"/>
        </xdr:cNvPicPr>
      </xdr:nvPicPr>
      <xdr:blipFill>
        <a:blip xmlns:r="http://schemas.openxmlformats.org/officeDocument/2006/relationships" r:embed="rId1"/>
        <a:stretch>
          <a:fillRect/>
        </a:stretch>
      </xdr:blipFill>
      <xdr:spPr>
        <a:xfrm>
          <a:off x="610585" y="105103"/>
          <a:ext cx="2046126" cy="571500"/>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1234108</xdr:colOff>
      <xdr:row>0</xdr:row>
      <xdr:rowOff>74543</xdr:rowOff>
    </xdr:from>
    <xdr:to>
      <xdr:col>2</xdr:col>
      <xdr:colOff>1903361</xdr:colOff>
      <xdr:row>3</xdr:row>
      <xdr:rowOff>74543</xdr:rowOff>
    </xdr:to>
    <xdr:pic>
      <xdr:nvPicPr>
        <xdr:cNvPr id="2" name="Imagen 1">
          <a:extLst>
            <a:ext uri="{FF2B5EF4-FFF2-40B4-BE49-F238E27FC236}">
              <a16:creationId xmlns:a16="http://schemas.microsoft.com/office/drawing/2014/main" id="{00000000-0008-0000-7000-000002000000}"/>
            </a:ext>
          </a:extLst>
        </xdr:cNvPr>
        <xdr:cNvPicPr>
          <a:picLocks noChangeAspect="1"/>
        </xdr:cNvPicPr>
      </xdr:nvPicPr>
      <xdr:blipFill>
        <a:blip xmlns:r="http://schemas.openxmlformats.org/officeDocument/2006/relationships" r:embed="rId1"/>
        <a:stretch>
          <a:fillRect/>
        </a:stretch>
      </xdr:blipFill>
      <xdr:spPr>
        <a:xfrm>
          <a:off x="1596058" y="74543"/>
          <a:ext cx="2050378" cy="571500"/>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371475</xdr:colOff>
      <xdr:row>0</xdr:row>
      <xdr:rowOff>85725</xdr:rowOff>
    </xdr:from>
    <xdr:to>
      <xdr:col>2</xdr:col>
      <xdr:colOff>1147573</xdr:colOff>
      <xdr:row>3</xdr:row>
      <xdr:rowOff>57150</xdr:rowOff>
    </xdr:to>
    <xdr:pic>
      <xdr:nvPicPr>
        <xdr:cNvPr id="2" name="Imagen 1">
          <a:extLst>
            <a:ext uri="{FF2B5EF4-FFF2-40B4-BE49-F238E27FC236}">
              <a16:creationId xmlns:a16="http://schemas.microsoft.com/office/drawing/2014/main" id="{00000000-0008-0000-7100-000002000000}"/>
            </a:ext>
          </a:extLst>
        </xdr:cNvPr>
        <xdr:cNvPicPr>
          <a:picLocks noChangeAspect="1"/>
        </xdr:cNvPicPr>
      </xdr:nvPicPr>
      <xdr:blipFill>
        <a:blip xmlns:r="http://schemas.openxmlformats.org/officeDocument/2006/relationships" r:embed="rId1"/>
        <a:stretch>
          <a:fillRect/>
        </a:stretch>
      </xdr:blipFill>
      <xdr:spPr>
        <a:xfrm>
          <a:off x="876300" y="85725"/>
          <a:ext cx="2052448" cy="571500"/>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1034084</xdr:colOff>
      <xdr:row>0</xdr:row>
      <xdr:rowOff>0</xdr:rowOff>
    </xdr:from>
    <xdr:to>
      <xdr:col>1</xdr:col>
      <xdr:colOff>1876425</xdr:colOff>
      <xdr:row>1</xdr:row>
      <xdr:rowOff>238125</xdr:rowOff>
    </xdr:to>
    <xdr:pic>
      <xdr:nvPicPr>
        <xdr:cNvPr id="2" name="Imagen 1">
          <a:extLst>
            <a:ext uri="{FF2B5EF4-FFF2-40B4-BE49-F238E27FC236}">
              <a16:creationId xmlns:a16="http://schemas.microsoft.com/office/drawing/2014/main" id="{00000000-0008-0000-7200-000002000000}"/>
            </a:ext>
          </a:extLst>
        </xdr:cNvPr>
        <xdr:cNvPicPr>
          <a:picLocks noChangeAspect="1"/>
        </xdr:cNvPicPr>
      </xdr:nvPicPr>
      <xdr:blipFill>
        <a:blip xmlns:r="http://schemas.openxmlformats.org/officeDocument/2006/relationships" r:embed="rId1"/>
        <a:stretch>
          <a:fillRect/>
        </a:stretch>
      </xdr:blipFill>
      <xdr:spPr>
        <a:xfrm>
          <a:off x="1310309" y="0"/>
          <a:ext cx="842341" cy="476250"/>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720587</xdr:colOff>
      <xdr:row>0</xdr:row>
      <xdr:rowOff>107674</xdr:rowOff>
    </xdr:from>
    <xdr:to>
      <xdr:col>2</xdr:col>
      <xdr:colOff>1124796</xdr:colOff>
      <xdr:row>3</xdr:row>
      <xdr:rowOff>107674</xdr:rowOff>
    </xdr:to>
    <xdr:pic>
      <xdr:nvPicPr>
        <xdr:cNvPr id="2" name="Imagen 1">
          <a:extLst>
            <a:ext uri="{FF2B5EF4-FFF2-40B4-BE49-F238E27FC236}">
              <a16:creationId xmlns:a16="http://schemas.microsoft.com/office/drawing/2014/main" id="{00000000-0008-0000-7300-000002000000}"/>
            </a:ext>
          </a:extLst>
        </xdr:cNvPr>
        <xdr:cNvPicPr>
          <a:picLocks noChangeAspect="1"/>
        </xdr:cNvPicPr>
      </xdr:nvPicPr>
      <xdr:blipFill>
        <a:blip xmlns:r="http://schemas.openxmlformats.org/officeDocument/2006/relationships" r:embed="rId1"/>
        <a:stretch>
          <a:fillRect/>
        </a:stretch>
      </xdr:blipFill>
      <xdr:spPr>
        <a:xfrm>
          <a:off x="1149212" y="107674"/>
          <a:ext cx="2052034" cy="571500"/>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92823</xdr:colOff>
      <xdr:row>1</xdr:row>
      <xdr:rowOff>87922</xdr:rowOff>
    </xdr:from>
    <xdr:to>
      <xdr:col>1</xdr:col>
      <xdr:colOff>287481</xdr:colOff>
      <xdr:row>3</xdr:row>
      <xdr:rowOff>50553</xdr:rowOff>
    </xdr:to>
    <xdr:pic>
      <xdr:nvPicPr>
        <xdr:cNvPr id="2" name="Imagen 1">
          <a:extLst>
            <a:ext uri="{FF2B5EF4-FFF2-40B4-BE49-F238E27FC236}">
              <a16:creationId xmlns:a16="http://schemas.microsoft.com/office/drawing/2014/main" id="{00000000-0008-0000-7400-000002000000}"/>
            </a:ext>
          </a:extLst>
        </xdr:cNvPr>
        <xdr:cNvPicPr>
          <a:picLocks noChangeAspect="1"/>
        </xdr:cNvPicPr>
      </xdr:nvPicPr>
      <xdr:blipFill>
        <a:blip xmlns:r="http://schemas.openxmlformats.org/officeDocument/2006/relationships" r:embed="rId1"/>
        <a:stretch>
          <a:fillRect/>
        </a:stretch>
      </xdr:blipFill>
      <xdr:spPr>
        <a:xfrm>
          <a:off x="92823" y="278422"/>
          <a:ext cx="1232883" cy="343631"/>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0</xdr:colOff>
      <xdr:row>0</xdr:row>
      <xdr:rowOff>111672</xdr:rowOff>
    </xdr:from>
    <xdr:to>
      <xdr:col>1</xdr:col>
      <xdr:colOff>727917</xdr:colOff>
      <xdr:row>3</xdr:row>
      <xdr:rowOff>111672</xdr:rowOff>
    </xdr:to>
    <xdr:pic>
      <xdr:nvPicPr>
        <xdr:cNvPr id="2" name="Imagen 1">
          <a:extLst>
            <a:ext uri="{FF2B5EF4-FFF2-40B4-BE49-F238E27FC236}">
              <a16:creationId xmlns:a16="http://schemas.microsoft.com/office/drawing/2014/main" id="{00000000-0008-0000-7500-000002000000}"/>
            </a:ext>
          </a:extLst>
        </xdr:cNvPr>
        <xdr:cNvPicPr>
          <a:picLocks noChangeAspect="1"/>
        </xdr:cNvPicPr>
      </xdr:nvPicPr>
      <xdr:blipFill>
        <a:blip xmlns:r="http://schemas.openxmlformats.org/officeDocument/2006/relationships" r:embed="rId1"/>
        <a:stretch>
          <a:fillRect/>
        </a:stretch>
      </xdr:blipFill>
      <xdr:spPr>
        <a:xfrm>
          <a:off x="0" y="111672"/>
          <a:ext cx="2032842" cy="571500"/>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1234108</xdr:colOff>
      <xdr:row>0</xdr:row>
      <xdr:rowOff>74543</xdr:rowOff>
    </xdr:from>
    <xdr:to>
      <xdr:col>2</xdr:col>
      <xdr:colOff>1832324</xdr:colOff>
      <xdr:row>3</xdr:row>
      <xdr:rowOff>74543</xdr:rowOff>
    </xdr:to>
    <xdr:pic>
      <xdr:nvPicPr>
        <xdr:cNvPr id="2" name="Imagen 1">
          <a:extLst>
            <a:ext uri="{FF2B5EF4-FFF2-40B4-BE49-F238E27FC236}">
              <a16:creationId xmlns:a16="http://schemas.microsoft.com/office/drawing/2014/main" id="{00000000-0008-0000-7600-000002000000}"/>
            </a:ext>
          </a:extLst>
        </xdr:cNvPr>
        <xdr:cNvPicPr>
          <a:picLocks noChangeAspect="1"/>
        </xdr:cNvPicPr>
      </xdr:nvPicPr>
      <xdr:blipFill>
        <a:blip xmlns:r="http://schemas.openxmlformats.org/officeDocument/2006/relationships" r:embed="rId1"/>
        <a:stretch>
          <a:fillRect/>
        </a:stretch>
      </xdr:blipFill>
      <xdr:spPr>
        <a:xfrm>
          <a:off x="1596058" y="74543"/>
          <a:ext cx="2055541" cy="571500"/>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720587</xdr:colOff>
      <xdr:row>0</xdr:row>
      <xdr:rowOff>107674</xdr:rowOff>
    </xdr:from>
    <xdr:to>
      <xdr:col>2</xdr:col>
      <xdr:colOff>1124796</xdr:colOff>
      <xdr:row>3</xdr:row>
      <xdr:rowOff>107674</xdr:rowOff>
    </xdr:to>
    <xdr:pic>
      <xdr:nvPicPr>
        <xdr:cNvPr id="2" name="Imagen 1">
          <a:extLst>
            <a:ext uri="{FF2B5EF4-FFF2-40B4-BE49-F238E27FC236}">
              <a16:creationId xmlns:a16="http://schemas.microsoft.com/office/drawing/2014/main" id="{00000000-0008-0000-7700-000002000000}"/>
            </a:ext>
          </a:extLst>
        </xdr:cNvPr>
        <xdr:cNvPicPr>
          <a:picLocks noChangeAspect="1"/>
        </xdr:cNvPicPr>
      </xdr:nvPicPr>
      <xdr:blipFill>
        <a:blip xmlns:r="http://schemas.openxmlformats.org/officeDocument/2006/relationships" r:embed="rId1"/>
        <a:stretch>
          <a:fillRect/>
        </a:stretch>
      </xdr:blipFill>
      <xdr:spPr>
        <a:xfrm>
          <a:off x="1149212" y="107674"/>
          <a:ext cx="2052034" cy="571500"/>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xdr:col>
      <xdr:colOff>371475</xdr:colOff>
      <xdr:row>0</xdr:row>
      <xdr:rowOff>85725</xdr:rowOff>
    </xdr:from>
    <xdr:to>
      <xdr:col>2</xdr:col>
      <xdr:colOff>1147573</xdr:colOff>
      <xdr:row>3</xdr:row>
      <xdr:rowOff>57150</xdr:rowOff>
    </xdr:to>
    <xdr:pic>
      <xdr:nvPicPr>
        <xdr:cNvPr id="2" name="Imagen 1">
          <a:extLst>
            <a:ext uri="{FF2B5EF4-FFF2-40B4-BE49-F238E27FC236}">
              <a16:creationId xmlns:a16="http://schemas.microsoft.com/office/drawing/2014/main" id="{00000000-0008-0000-7800-000002000000}"/>
            </a:ext>
          </a:extLst>
        </xdr:cNvPr>
        <xdr:cNvPicPr>
          <a:picLocks noChangeAspect="1"/>
        </xdr:cNvPicPr>
      </xdr:nvPicPr>
      <xdr:blipFill>
        <a:blip xmlns:r="http://schemas.openxmlformats.org/officeDocument/2006/relationships" r:embed="rId1"/>
        <a:stretch>
          <a:fillRect/>
        </a:stretch>
      </xdr:blipFill>
      <xdr:spPr>
        <a:xfrm>
          <a:off x="876300" y="85725"/>
          <a:ext cx="2052448" cy="571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265043</xdr:colOff>
      <xdr:row>0</xdr:row>
      <xdr:rowOff>82826</xdr:rowOff>
    </xdr:from>
    <xdr:to>
      <xdr:col>2</xdr:col>
      <xdr:colOff>356153</xdr:colOff>
      <xdr:row>3</xdr:row>
      <xdr:rowOff>82826</xdr:rowOff>
    </xdr:to>
    <xdr:pic>
      <xdr:nvPicPr>
        <xdr:cNvPr id="2" name="Imagen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265043" y="82826"/>
          <a:ext cx="1834185" cy="571500"/>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xdr:col>
      <xdr:colOff>1110284</xdr:colOff>
      <xdr:row>0</xdr:row>
      <xdr:rowOff>0</xdr:rowOff>
    </xdr:from>
    <xdr:to>
      <xdr:col>2</xdr:col>
      <xdr:colOff>742950</xdr:colOff>
      <xdr:row>1</xdr:row>
      <xdr:rowOff>601220</xdr:rowOff>
    </xdr:to>
    <xdr:pic>
      <xdr:nvPicPr>
        <xdr:cNvPr id="2" name="Imagen 1">
          <a:extLst>
            <a:ext uri="{FF2B5EF4-FFF2-40B4-BE49-F238E27FC236}">
              <a16:creationId xmlns:a16="http://schemas.microsoft.com/office/drawing/2014/main" id="{00000000-0008-0000-7900-000002000000}"/>
            </a:ext>
          </a:extLst>
        </xdr:cNvPr>
        <xdr:cNvPicPr>
          <a:picLocks noChangeAspect="1"/>
        </xdr:cNvPicPr>
      </xdr:nvPicPr>
      <xdr:blipFill>
        <a:blip xmlns:r="http://schemas.openxmlformats.org/officeDocument/2006/relationships" r:embed="rId1"/>
        <a:stretch>
          <a:fillRect/>
        </a:stretch>
      </xdr:blipFill>
      <xdr:spPr>
        <a:xfrm>
          <a:off x="1386509" y="0"/>
          <a:ext cx="1823416" cy="839345"/>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92823</xdr:colOff>
      <xdr:row>1</xdr:row>
      <xdr:rowOff>87922</xdr:rowOff>
    </xdr:from>
    <xdr:to>
      <xdr:col>1</xdr:col>
      <xdr:colOff>674434</xdr:colOff>
      <xdr:row>3</xdr:row>
      <xdr:rowOff>50553</xdr:rowOff>
    </xdr:to>
    <xdr:pic>
      <xdr:nvPicPr>
        <xdr:cNvPr id="2" name="Imagen 1">
          <a:extLst>
            <a:ext uri="{FF2B5EF4-FFF2-40B4-BE49-F238E27FC236}">
              <a16:creationId xmlns:a16="http://schemas.microsoft.com/office/drawing/2014/main" id="{00000000-0008-0000-7A00-000002000000}"/>
            </a:ext>
          </a:extLst>
        </xdr:cNvPr>
        <xdr:cNvPicPr>
          <a:picLocks noChangeAspect="1"/>
        </xdr:cNvPicPr>
      </xdr:nvPicPr>
      <xdr:blipFill>
        <a:blip xmlns:r="http://schemas.openxmlformats.org/officeDocument/2006/relationships" r:embed="rId1"/>
        <a:stretch>
          <a:fillRect/>
        </a:stretch>
      </xdr:blipFill>
      <xdr:spPr>
        <a:xfrm>
          <a:off x="92823" y="278422"/>
          <a:ext cx="1229311" cy="343631"/>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0</xdr:col>
      <xdr:colOff>0</xdr:colOff>
      <xdr:row>0</xdr:row>
      <xdr:rowOff>111672</xdr:rowOff>
    </xdr:from>
    <xdr:to>
      <xdr:col>2</xdr:col>
      <xdr:colOff>633551</xdr:colOff>
      <xdr:row>3</xdr:row>
      <xdr:rowOff>111672</xdr:rowOff>
    </xdr:to>
    <xdr:pic>
      <xdr:nvPicPr>
        <xdr:cNvPr id="2" name="Imagen 1">
          <a:extLst>
            <a:ext uri="{FF2B5EF4-FFF2-40B4-BE49-F238E27FC236}">
              <a16:creationId xmlns:a16="http://schemas.microsoft.com/office/drawing/2014/main" id="{00000000-0008-0000-7B00-000002000000}"/>
            </a:ext>
          </a:extLst>
        </xdr:cNvPr>
        <xdr:cNvPicPr>
          <a:picLocks noChangeAspect="1"/>
        </xdr:cNvPicPr>
      </xdr:nvPicPr>
      <xdr:blipFill>
        <a:blip xmlns:r="http://schemas.openxmlformats.org/officeDocument/2006/relationships" r:embed="rId1"/>
        <a:stretch>
          <a:fillRect/>
        </a:stretch>
      </xdr:blipFill>
      <xdr:spPr>
        <a:xfrm>
          <a:off x="0" y="111672"/>
          <a:ext cx="2052776" cy="571500"/>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1</xdr:col>
      <xdr:colOff>1438215</xdr:colOff>
      <xdr:row>0</xdr:row>
      <xdr:rowOff>60936</xdr:rowOff>
    </xdr:from>
    <xdr:to>
      <xdr:col>2</xdr:col>
      <xdr:colOff>1204663</xdr:colOff>
      <xdr:row>3</xdr:row>
      <xdr:rowOff>60936</xdr:rowOff>
    </xdr:to>
    <xdr:pic>
      <xdr:nvPicPr>
        <xdr:cNvPr id="2" name="Imagen 1">
          <a:extLst>
            <a:ext uri="{FF2B5EF4-FFF2-40B4-BE49-F238E27FC236}">
              <a16:creationId xmlns:a16="http://schemas.microsoft.com/office/drawing/2014/main" id="{00000000-0008-0000-7C00-000002000000}"/>
            </a:ext>
          </a:extLst>
        </xdr:cNvPr>
        <xdr:cNvPicPr>
          <a:picLocks noChangeAspect="1"/>
        </xdr:cNvPicPr>
      </xdr:nvPicPr>
      <xdr:blipFill>
        <a:blip xmlns:r="http://schemas.openxmlformats.org/officeDocument/2006/relationships" r:embed="rId1"/>
        <a:stretch>
          <a:fillRect/>
        </a:stretch>
      </xdr:blipFill>
      <xdr:spPr>
        <a:xfrm>
          <a:off x="1800165" y="60936"/>
          <a:ext cx="2052448" cy="571500"/>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1</xdr:col>
      <xdr:colOff>371475</xdr:colOff>
      <xdr:row>0</xdr:row>
      <xdr:rowOff>85725</xdr:rowOff>
    </xdr:from>
    <xdr:to>
      <xdr:col>2</xdr:col>
      <xdr:colOff>385573</xdr:colOff>
      <xdr:row>3</xdr:row>
      <xdr:rowOff>57150</xdr:rowOff>
    </xdr:to>
    <xdr:pic>
      <xdr:nvPicPr>
        <xdr:cNvPr id="2" name="Imagen 1">
          <a:extLst>
            <a:ext uri="{FF2B5EF4-FFF2-40B4-BE49-F238E27FC236}">
              <a16:creationId xmlns:a16="http://schemas.microsoft.com/office/drawing/2014/main" id="{00000000-0008-0000-7D00-000002000000}"/>
            </a:ext>
          </a:extLst>
        </xdr:cNvPr>
        <xdr:cNvPicPr>
          <a:picLocks noChangeAspect="1"/>
        </xdr:cNvPicPr>
      </xdr:nvPicPr>
      <xdr:blipFill>
        <a:blip xmlns:r="http://schemas.openxmlformats.org/officeDocument/2006/relationships" r:embed="rId1"/>
        <a:stretch>
          <a:fillRect/>
        </a:stretch>
      </xdr:blipFill>
      <xdr:spPr>
        <a:xfrm>
          <a:off x="876300" y="85725"/>
          <a:ext cx="2052448" cy="571500"/>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1</xdr:col>
      <xdr:colOff>720587</xdr:colOff>
      <xdr:row>0</xdr:row>
      <xdr:rowOff>107674</xdr:rowOff>
    </xdr:from>
    <xdr:to>
      <xdr:col>2</xdr:col>
      <xdr:colOff>1124796</xdr:colOff>
      <xdr:row>3</xdr:row>
      <xdr:rowOff>107674</xdr:rowOff>
    </xdr:to>
    <xdr:pic>
      <xdr:nvPicPr>
        <xdr:cNvPr id="2" name="Imagen 1">
          <a:extLst>
            <a:ext uri="{FF2B5EF4-FFF2-40B4-BE49-F238E27FC236}">
              <a16:creationId xmlns:a16="http://schemas.microsoft.com/office/drawing/2014/main" id="{00000000-0008-0000-7E00-000002000000}"/>
            </a:ext>
          </a:extLst>
        </xdr:cNvPr>
        <xdr:cNvPicPr>
          <a:picLocks noChangeAspect="1"/>
        </xdr:cNvPicPr>
      </xdr:nvPicPr>
      <xdr:blipFill>
        <a:blip xmlns:r="http://schemas.openxmlformats.org/officeDocument/2006/relationships" r:embed="rId1"/>
        <a:stretch>
          <a:fillRect/>
        </a:stretch>
      </xdr:blipFill>
      <xdr:spPr>
        <a:xfrm>
          <a:off x="1149212" y="107674"/>
          <a:ext cx="2052034" cy="571500"/>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1</xdr:col>
      <xdr:colOff>1396033</xdr:colOff>
      <xdr:row>0</xdr:row>
      <xdr:rowOff>141218</xdr:rowOff>
    </xdr:from>
    <xdr:to>
      <xdr:col>2</xdr:col>
      <xdr:colOff>1423578</xdr:colOff>
      <xdr:row>1</xdr:row>
      <xdr:rowOff>198368</xdr:rowOff>
    </xdr:to>
    <xdr:pic>
      <xdr:nvPicPr>
        <xdr:cNvPr id="2" name="Imagen 1">
          <a:extLst>
            <a:ext uri="{FF2B5EF4-FFF2-40B4-BE49-F238E27FC236}">
              <a16:creationId xmlns:a16="http://schemas.microsoft.com/office/drawing/2014/main" id="{00000000-0008-0000-7F00-000002000000}"/>
            </a:ext>
          </a:extLst>
        </xdr:cNvPr>
        <xdr:cNvPicPr>
          <a:picLocks noChangeAspect="1"/>
        </xdr:cNvPicPr>
      </xdr:nvPicPr>
      <xdr:blipFill>
        <a:blip xmlns:r="http://schemas.openxmlformats.org/officeDocument/2006/relationships" r:embed="rId1"/>
        <a:stretch>
          <a:fillRect/>
        </a:stretch>
      </xdr:blipFill>
      <xdr:spPr>
        <a:xfrm>
          <a:off x="1672258" y="141218"/>
          <a:ext cx="2056370" cy="571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720587</xdr:colOff>
      <xdr:row>0</xdr:row>
      <xdr:rowOff>107674</xdr:rowOff>
    </xdr:from>
    <xdr:to>
      <xdr:col>2</xdr:col>
      <xdr:colOff>1124796</xdr:colOff>
      <xdr:row>3</xdr:row>
      <xdr:rowOff>107674</xdr:rowOff>
    </xdr:to>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1149212" y="107674"/>
          <a:ext cx="2052034" cy="571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371475</xdr:colOff>
      <xdr:row>0</xdr:row>
      <xdr:rowOff>85725</xdr:rowOff>
    </xdr:from>
    <xdr:to>
      <xdr:col>2</xdr:col>
      <xdr:colOff>1147573</xdr:colOff>
      <xdr:row>3</xdr:row>
      <xdr:rowOff>57150</xdr:rowOff>
    </xdr:to>
    <xdr:pic>
      <xdr:nvPicPr>
        <xdr:cNvPr id="2" name="Imagen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876300" y="85725"/>
          <a:ext cx="2052448" cy="571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272083</xdr:colOff>
      <xdr:row>0</xdr:row>
      <xdr:rowOff>112643</xdr:rowOff>
    </xdr:from>
    <xdr:to>
      <xdr:col>2</xdr:col>
      <xdr:colOff>23403</xdr:colOff>
      <xdr:row>1</xdr:row>
      <xdr:rowOff>426968</xdr:rowOff>
    </xdr:to>
    <xdr:pic>
      <xdr:nvPicPr>
        <xdr:cNvPr id="2" name="Imagen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272083" y="112643"/>
          <a:ext cx="2056370" cy="8953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0</xdr:col>
      <xdr:colOff>85725</xdr:colOff>
      <xdr:row>1</xdr:row>
      <xdr:rowOff>57150</xdr:rowOff>
    </xdr:from>
    <xdr:ext cx="1333500" cy="400050"/>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xfrm>
          <a:off x="85725" y="238125"/>
          <a:ext cx="1333500" cy="400050"/>
        </a:xfrm>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609600</xdr:colOff>
      <xdr:row>0</xdr:row>
      <xdr:rowOff>104775</xdr:rowOff>
    </xdr:from>
    <xdr:ext cx="2047875" cy="571500"/>
    <xdr:pic>
      <xdr:nvPicPr>
        <xdr:cNvPr id="2" name="image1.pn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xfrm>
          <a:off x="609600" y="104775"/>
          <a:ext cx="2047875" cy="571500"/>
        </a:xfrm>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1</xdr:col>
      <xdr:colOff>1228725</xdr:colOff>
      <xdr:row>0</xdr:row>
      <xdr:rowOff>66675</xdr:rowOff>
    </xdr:from>
    <xdr:ext cx="2047875" cy="600075"/>
    <xdr:pic>
      <xdr:nvPicPr>
        <xdr:cNvPr id="2" name="image1.png">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xfrm>
          <a:off x="1590675" y="66675"/>
          <a:ext cx="2047875" cy="600075"/>
        </a:xfrm>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1</xdr:col>
      <xdr:colOff>714375</xdr:colOff>
      <xdr:row>0</xdr:row>
      <xdr:rowOff>104775</xdr:rowOff>
    </xdr:from>
    <xdr:ext cx="2047875" cy="571500"/>
    <xdr:pic>
      <xdr:nvPicPr>
        <xdr:cNvPr id="2" name="image1.png">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xfrm>
          <a:off x="1143000" y="104775"/>
          <a:ext cx="2047875" cy="5715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85725</xdr:colOff>
      <xdr:row>1</xdr:row>
      <xdr:rowOff>57150</xdr:rowOff>
    </xdr:from>
    <xdr:ext cx="1333500" cy="4000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1</xdr:col>
      <xdr:colOff>371475</xdr:colOff>
      <xdr:row>0</xdr:row>
      <xdr:rowOff>85725</xdr:rowOff>
    </xdr:from>
    <xdr:ext cx="2047875" cy="571500"/>
    <xdr:pic>
      <xdr:nvPicPr>
        <xdr:cNvPr id="2" name="image1.png">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xfrm>
          <a:off x="876300" y="85725"/>
          <a:ext cx="2047875" cy="571500"/>
        </a:xfrm>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twoCellAnchor editAs="oneCell">
    <xdr:from>
      <xdr:col>1</xdr:col>
      <xdr:colOff>81583</xdr:colOff>
      <xdr:row>0</xdr:row>
      <xdr:rowOff>169794</xdr:rowOff>
    </xdr:from>
    <xdr:to>
      <xdr:col>1</xdr:col>
      <xdr:colOff>2009775</xdr:colOff>
      <xdr:row>1</xdr:row>
      <xdr:rowOff>399141</xdr:rowOff>
    </xdr:to>
    <xdr:pic>
      <xdr:nvPicPr>
        <xdr:cNvPr id="2" name="Imagen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357808" y="169794"/>
          <a:ext cx="1928192" cy="84847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92823</xdr:colOff>
      <xdr:row>1</xdr:row>
      <xdr:rowOff>58836</xdr:rowOff>
    </xdr:from>
    <xdr:to>
      <xdr:col>0</xdr:col>
      <xdr:colOff>1432449</xdr:colOff>
      <xdr:row>3</xdr:row>
      <xdr:rowOff>50554</xdr:rowOff>
    </xdr:to>
    <xdr:pic>
      <xdr:nvPicPr>
        <xdr:cNvPr id="2" name="Imagen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92823" y="249336"/>
          <a:ext cx="1339626" cy="37271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610585</xdr:colOff>
      <xdr:row>0</xdr:row>
      <xdr:rowOff>105103</xdr:rowOff>
    </xdr:from>
    <xdr:to>
      <xdr:col>2</xdr:col>
      <xdr:colOff>639792</xdr:colOff>
      <xdr:row>3</xdr:row>
      <xdr:rowOff>105103</xdr:rowOff>
    </xdr:to>
    <xdr:pic>
      <xdr:nvPicPr>
        <xdr:cNvPr id="2" name="Imagen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610585" y="105103"/>
          <a:ext cx="2048507" cy="571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54474</xdr:colOff>
      <xdr:row>0</xdr:row>
      <xdr:rowOff>96524</xdr:rowOff>
    </xdr:from>
    <xdr:to>
      <xdr:col>2</xdr:col>
      <xdr:colOff>571500</xdr:colOff>
      <xdr:row>3</xdr:row>
      <xdr:rowOff>96524</xdr:rowOff>
    </xdr:to>
    <xdr:pic>
      <xdr:nvPicPr>
        <xdr:cNvPr id="2" name="Imagen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416424" y="96524"/>
          <a:ext cx="1898151" cy="571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720587</xdr:colOff>
      <xdr:row>0</xdr:row>
      <xdr:rowOff>107674</xdr:rowOff>
    </xdr:from>
    <xdr:to>
      <xdr:col>2</xdr:col>
      <xdr:colOff>1124796</xdr:colOff>
      <xdr:row>3</xdr:row>
      <xdr:rowOff>107674</xdr:rowOff>
    </xdr:to>
    <xdr:pic>
      <xdr:nvPicPr>
        <xdr:cNvPr id="2" name="Imagen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1301612" y="107674"/>
          <a:ext cx="2052034" cy="571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371475</xdr:colOff>
      <xdr:row>0</xdr:row>
      <xdr:rowOff>85725</xdr:rowOff>
    </xdr:from>
    <xdr:to>
      <xdr:col>2</xdr:col>
      <xdr:colOff>1147573</xdr:colOff>
      <xdr:row>3</xdr:row>
      <xdr:rowOff>57150</xdr:rowOff>
    </xdr:to>
    <xdr:pic>
      <xdr:nvPicPr>
        <xdr:cNvPr id="2" name="Imagen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876300" y="85725"/>
          <a:ext cx="2052448" cy="571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130568</xdr:colOff>
      <xdr:row>0</xdr:row>
      <xdr:rowOff>222861</xdr:rowOff>
    </xdr:from>
    <xdr:to>
      <xdr:col>2</xdr:col>
      <xdr:colOff>158113</xdr:colOff>
      <xdr:row>1</xdr:row>
      <xdr:rowOff>504825</xdr:rowOff>
    </xdr:to>
    <xdr:pic>
      <xdr:nvPicPr>
        <xdr:cNvPr id="2" name="Imagen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406793" y="222861"/>
          <a:ext cx="2056370" cy="96776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0</xdr:col>
      <xdr:colOff>85725</xdr:colOff>
      <xdr:row>1</xdr:row>
      <xdr:rowOff>57150</xdr:rowOff>
    </xdr:from>
    <xdr:ext cx="1333500" cy="400050"/>
    <xdr:pic>
      <xdr:nvPicPr>
        <xdr:cNvPr id="2" name="image1.png">
          <a:extLst>
            <a:ext uri="{FF2B5EF4-FFF2-40B4-BE49-F238E27FC236}">
              <a16:creationId xmlns:a16="http://schemas.microsoft.com/office/drawing/2014/main" id="{00000000-0008-0000-1D00-000002000000}"/>
            </a:ext>
          </a:extLst>
        </xdr:cNvPr>
        <xdr:cNvPicPr preferRelativeResize="0"/>
      </xdr:nvPicPr>
      <xdr:blipFill>
        <a:blip xmlns:r="http://schemas.openxmlformats.org/officeDocument/2006/relationships" r:embed="rId1" cstate="print"/>
        <a:stretch>
          <a:fillRect/>
        </a:stretch>
      </xdr:blipFill>
      <xdr:spPr>
        <a:xfrm>
          <a:off x="85725" y="238125"/>
          <a:ext cx="1333500" cy="400050"/>
        </a:xfrm>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0</xdr:col>
      <xdr:colOff>495300</xdr:colOff>
      <xdr:row>0</xdr:row>
      <xdr:rowOff>85725</xdr:rowOff>
    </xdr:from>
    <xdr:ext cx="1952625" cy="571500"/>
    <xdr:pic>
      <xdr:nvPicPr>
        <xdr:cNvPr id="2" name="image1.png">
          <a:extLst>
            <a:ext uri="{FF2B5EF4-FFF2-40B4-BE49-F238E27FC236}">
              <a16:creationId xmlns:a16="http://schemas.microsoft.com/office/drawing/2014/main" id="{00000000-0008-0000-1E00-000002000000}"/>
            </a:ext>
          </a:extLst>
        </xdr:cNvPr>
        <xdr:cNvPicPr preferRelativeResize="0"/>
      </xdr:nvPicPr>
      <xdr:blipFill>
        <a:blip xmlns:r="http://schemas.openxmlformats.org/officeDocument/2006/relationships" r:embed="rId1" cstate="print"/>
        <a:stretch>
          <a:fillRect/>
        </a:stretch>
      </xdr:blipFill>
      <xdr:spPr>
        <a:xfrm>
          <a:off x="495300" y="85725"/>
          <a:ext cx="1952625" cy="57150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609600</xdr:colOff>
      <xdr:row>0</xdr:row>
      <xdr:rowOff>104775</xdr:rowOff>
    </xdr:from>
    <xdr:ext cx="2047875" cy="57150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0.xml><?xml version="1.0" encoding="utf-8"?>
<xdr:wsDr xmlns:xdr="http://schemas.openxmlformats.org/drawingml/2006/spreadsheetDrawing" xmlns:a="http://schemas.openxmlformats.org/drawingml/2006/main">
  <xdr:oneCellAnchor>
    <xdr:from>
      <xdr:col>0</xdr:col>
      <xdr:colOff>142875</xdr:colOff>
      <xdr:row>0</xdr:row>
      <xdr:rowOff>95250</xdr:rowOff>
    </xdr:from>
    <xdr:ext cx="1666875" cy="600075"/>
    <xdr:pic>
      <xdr:nvPicPr>
        <xdr:cNvPr id="2" name="image1.png">
          <a:extLst>
            <a:ext uri="{FF2B5EF4-FFF2-40B4-BE49-F238E27FC236}">
              <a16:creationId xmlns:a16="http://schemas.microsoft.com/office/drawing/2014/main" id="{00000000-0008-0000-1F00-000002000000}"/>
            </a:ext>
          </a:extLst>
        </xdr:cNvPr>
        <xdr:cNvPicPr preferRelativeResize="0"/>
      </xdr:nvPicPr>
      <xdr:blipFill>
        <a:blip xmlns:r="http://schemas.openxmlformats.org/officeDocument/2006/relationships" r:embed="rId1" cstate="print"/>
        <a:stretch>
          <a:fillRect/>
        </a:stretch>
      </xdr:blipFill>
      <xdr:spPr>
        <a:xfrm>
          <a:off x="142875" y="95250"/>
          <a:ext cx="1666875" cy="600075"/>
        </a:xfrm>
        <a:prstGeom prst="rect">
          <a:avLst/>
        </a:prstGeom>
        <a:noFill/>
      </xdr:spPr>
    </xdr:pic>
    <xdr:clientData fLocksWithSheet="0"/>
  </xdr:oneCellAnchor>
</xdr:wsDr>
</file>

<file path=xl/drawings/drawing31.xml><?xml version="1.0" encoding="utf-8"?>
<xdr:wsDr xmlns:xdr="http://schemas.openxmlformats.org/drawingml/2006/spreadsheetDrawing" xmlns:a="http://schemas.openxmlformats.org/drawingml/2006/main">
  <xdr:oneCellAnchor>
    <xdr:from>
      <xdr:col>1</xdr:col>
      <xdr:colOff>714375</xdr:colOff>
      <xdr:row>0</xdr:row>
      <xdr:rowOff>104775</xdr:rowOff>
    </xdr:from>
    <xdr:ext cx="2047875" cy="571500"/>
    <xdr:pic>
      <xdr:nvPicPr>
        <xdr:cNvPr id="2" name="image1.png">
          <a:extLst>
            <a:ext uri="{FF2B5EF4-FFF2-40B4-BE49-F238E27FC236}">
              <a16:creationId xmlns:a16="http://schemas.microsoft.com/office/drawing/2014/main" id="{00000000-0008-0000-2000-000002000000}"/>
            </a:ext>
          </a:extLst>
        </xdr:cNvPr>
        <xdr:cNvPicPr preferRelativeResize="0"/>
      </xdr:nvPicPr>
      <xdr:blipFill>
        <a:blip xmlns:r="http://schemas.openxmlformats.org/officeDocument/2006/relationships" r:embed="rId1" cstate="print"/>
        <a:stretch>
          <a:fillRect/>
        </a:stretch>
      </xdr:blipFill>
      <xdr:spPr>
        <a:xfrm>
          <a:off x="1143000" y="104775"/>
          <a:ext cx="2047875" cy="571500"/>
        </a:xfrm>
        <a:prstGeom prst="rect">
          <a:avLst/>
        </a:prstGeom>
        <a:noFill/>
      </xdr:spPr>
    </xdr:pic>
    <xdr:clientData fLocksWithSheet="0"/>
  </xdr:oneCellAnchor>
</xdr:wsDr>
</file>

<file path=xl/drawings/drawing32.xml><?xml version="1.0" encoding="utf-8"?>
<xdr:wsDr xmlns:xdr="http://schemas.openxmlformats.org/drawingml/2006/spreadsheetDrawing" xmlns:a="http://schemas.openxmlformats.org/drawingml/2006/main">
  <xdr:oneCellAnchor>
    <xdr:from>
      <xdr:col>1</xdr:col>
      <xdr:colOff>371475</xdr:colOff>
      <xdr:row>0</xdr:row>
      <xdr:rowOff>85725</xdr:rowOff>
    </xdr:from>
    <xdr:ext cx="2047875" cy="571500"/>
    <xdr:pic>
      <xdr:nvPicPr>
        <xdr:cNvPr id="2" name="image1.png">
          <a:extLst>
            <a:ext uri="{FF2B5EF4-FFF2-40B4-BE49-F238E27FC236}">
              <a16:creationId xmlns:a16="http://schemas.microsoft.com/office/drawing/2014/main" id="{00000000-0008-0000-2100-000002000000}"/>
            </a:ext>
          </a:extLst>
        </xdr:cNvPr>
        <xdr:cNvPicPr preferRelativeResize="0"/>
      </xdr:nvPicPr>
      <xdr:blipFill>
        <a:blip xmlns:r="http://schemas.openxmlformats.org/officeDocument/2006/relationships" r:embed="rId1" cstate="print"/>
        <a:stretch>
          <a:fillRect/>
        </a:stretch>
      </xdr:blipFill>
      <xdr:spPr>
        <a:xfrm>
          <a:off x="876300" y="85725"/>
          <a:ext cx="2047875" cy="571500"/>
        </a:xfrm>
        <a:prstGeom prst="rect">
          <a:avLst/>
        </a:prstGeom>
        <a:noFill/>
      </xdr:spPr>
    </xdr:pic>
    <xdr:clientData fLocksWithSheet="0"/>
  </xdr:oneCellAnchor>
</xdr:wsDr>
</file>

<file path=xl/drawings/drawing33.xml><?xml version="1.0" encoding="utf-8"?>
<xdr:wsDr xmlns:xdr="http://schemas.openxmlformats.org/drawingml/2006/spreadsheetDrawing" xmlns:a="http://schemas.openxmlformats.org/drawingml/2006/main">
  <xdr:oneCellAnchor>
    <xdr:from>
      <xdr:col>0</xdr:col>
      <xdr:colOff>190500</xdr:colOff>
      <xdr:row>0</xdr:row>
      <xdr:rowOff>114300</xdr:rowOff>
    </xdr:from>
    <xdr:ext cx="2047875" cy="895350"/>
    <xdr:pic>
      <xdr:nvPicPr>
        <xdr:cNvPr id="2" name="image1.png">
          <a:extLst>
            <a:ext uri="{FF2B5EF4-FFF2-40B4-BE49-F238E27FC236}">
              <a16:creationId xmlns:a16="http://schemas.microsoft.com/office/drawing/2014/main" id="{00000000-0008-0000-2200-000002000000}"/>
            </a:ext>
          </a:extLst>
        </xdr:cNvPr>
        <xdr:cNvPicPr preferRelativeResize="0"/>
      </xdr:nvPicPr>
      <xdr:blipFill>
        <a:blip xmlns:r="http://schemas.openxmlformats.org/officeDocument/2006/relationships" r:embed="rId1" cstate="print"/>
        <a:stretch>
          <a:fillRect/>
        </a:stretch>
      </xdr:blipFill>
      <xdr:spPr>
        <a:xfrm>
          <a:off x="190500" y="114300"/>
          <a:ext cx="2047875" cy="895350"/>
        </a:xfrm>
        <a:prstGeom prst="rect">
          <a:avLst/>
        </a:prstGeom>
        <a:noFill/>
      </xdr:spPr>
    </xdr:pic>
    <xdr:clientData fLocksWithSheet="0"/>
  </xdr:oneCellAnchor>
</xdr:wsDr>
</file>

<file path=xl/drawings/drawing34.xml><?xml version="1.0" encoding="utf-8"?>
<xdr:wsDr xmlns:xdr="http://schemas.openxmlformats.org/drawingml/2006/spreadsheetDrawing" xmlns:a="http://schemas.openxmlformats.org/drawingml/2006/main">
  <xdr:oneCellAnchor>
    <xdr:from>
      <xdr:col>0</xdr:col>
      <xdr:colOff>85725</xdr:colOff>
      <xdr:row>1</xdr:row>
      <xdr:rowOff>57150</xdr:rowOff>
    </xdr:from>
    <xdr:ext cx="1333500" cy="400050"/>
    <xdr:pic>
      <xdr:nvPicPr>
        <xdr:cNvPr id="2" name="image1.png">
          <a:extLst>
            <a:ext uri="{FF2B5EF4-FFF2-40B4-BE49-F238E27FC236}">
              <a16:creationId xmlns:a16="http://schemas.microsoft.com/office/drawing/2014/main" id="{00000000-0008-0000-2300-000002000000}"/>
            </a:ext>
          </a:extLst>
        </xdr:cNvPr>
        <xdr:cNvPicPr preferRelativeResize="0"/>
      </xdr:nvPicPr>
      <xdr:blipFill>
        <a:blip xmlns:r="http://schemas.openxmlformats.org/officeDocument/2006/relationships" r:embed="rId1" cstate="print"/>
        <a:stretch>
          <a:fillRect/>
        </a:stretch>
      </xdr:blipFill>
      <xdr:spPr>
        <a:xfrm>
          <a:off x="85725" y="238125"/>
          <a:ext cx="1333500" cy="400050"/>
        </a:xfrm>
        <a:prstGeom prst="rect">
          <a:avLst/>
        </a:prstGeom>
        <a:noFill/>
      </xdr:spPr>
    </xdr:pic>
    <xdr:clientData fLocksWithSheet="0"/>
  </xdr:oneCellAnchor>
</xdr:wsDr>
</file>

<file path=xl/drawings/drawing35.xml><?xml version="1.0" encoding="utf-8"?>
<xdr:wsDr xmlns:xdr="http://schemas.openxmlformats.org/drawingml/2006/spreadsheetDrawing" xmlns:a="http://schemas.openxmlformats.org/drawingml/2006/main">
  <xdr:oneCellAnchor>
    <xdr:from>
      <xdr:col>0</xdr:col>
      <xdr:colOff>609600</xdr:colOff>
      <xdr:row>0</xdr:row>
      <xdr:rowOff>104775</xdr:rowOff>
    </xdr:from>
    <xdr:ext cx="2047875" cy="571500"/>
    <xdr:pic>
      <xdr:nvPicPr>
        <xdr:cNvPr id="2" name="image1.png">
          <a:extLst>
            <a:ext uri="{FF2B5EF4-FFF2-40B4-BE49-F238E27FC236}">
              <a16:creationId xmlns:a16="http://schemas.microsoft.com/office/drawing/2014/main" id="{00000000-0008-0000-2400-000002000000}"/>
            </a:ext>
          </a:extLst>
        </xdr:cNvPr>
        <xdr:cNvPicPr preferRelativeResize="0"/>
      </xdr:nvPicPr>
      <xdr:blipFill>
        <a:blip xmlns:r="http://schemas.openxmlformats.org/officeDocument/2006/relationships" r:embed="rId1" cstate="print"/>
        <a:stretch>
          <a:fillRect/>
        </a:stretch>
      </xdr:blipFill>
      <xdr:spPr>
        <a:xfrm>
          <a:off x="609600" y="104775"/>
          <a:ext cx="2047875" cy="571500"/>
        </a:xfrm>
        <a:prstGeom prst="rect">
          <a:avLst/>
        </a:prstGeom>
        <a:noFill/>
      </xdr:spPr>
    </xdr:pic>
    <xdr:clientData fLocksWithSheet="0"/>
  </xdr:oneCellAnchor>
</xdr:wsDr>
</file>

<file path=xl/drawings/drawing36.xml><?xml version="1.0" encoding="utf-8"?>
<xdr:wsDr xmlns:xdr="http://schemas.openxmlformats.org/drawingml/2006/spreadsheetDrawing" xmlns:a="http://schemas.openxmlformats.org/drawingml/2006/main">
  <xdr:oneCellAnchor>
    <xdr:from>
      <xdr:col>1</xdr:col>
      <xdr:colOff>1228725</xdr:colOff>
      <xdr:row>0</xdr:row>
      <xdr:rowOff>66675</xdr:rowOff>
    </xdr:from>
    <xdr:ext cx="2047875" cy="600075"/>
    <xdr:pic>
      <xdr:nvPicPr>
        <xdr:cNvPr id="2" name="image1.png">
          <a:extLst>
            <a:ext uri="{FF2B5EF4-FFF2-40B4-BE49-F238E27FC236}">
              <a16:creationId xmlns:a16="http://schemas.microsoft.com/office/drawing/2014/main" id="{00000000-0008-0000-2500-000002000000}"/>
            </a:ext>
          </a:extLst>
        </xdr:cNvPr>
        <xdr:cNvPicPr preferRelativeResize="0"/>
      </xdr:nvPicPr>
      <xdr:blipFill>
        <a:blip xmlns:r="http://schemas.openxmlformats.org/officeDocument/2006/relationships" r:embed="rId1" cstate="print"/>
        <a:stretch>
          <a:fillRect/>
        </a:stretch>
      </xdr:blipFill>
      <xdr:spPr>
        <a:xfrm>
          <a:off x="1590675" y="66675"/>
          <a:ext cx="2047875" cy="600075"/>
        </a:xfrm>
        <a:prstGeom prst="rect">
          <a:avLst/>
        </a:prstGeom>
        <a:noFill/>
      </xdr:spPr>
    </xdr:pic>
    <xdr:clientData fLocksWithSheet="0"/>
  </xdr:oneCellAnchor>
</xdr:wsDr>
</file>

<file path=xl/drawings/drawing37.xml><?xml version="1.0" encoding="utf-8"?>
<xdr:wsDr xmlns:xdr="http://schemas.openxmlformats.org/drawingml/2006/spreadsheetDrawing" xmlns:a="http://schemas.openxmlformats.org/drawingml/2006/main">
  <xdr:oneCellAnchor>
    <xdr:from>
      <xdr:col>1</xdr:col>
      <xdr:colOff>714375</xdr:colOff>
      <xdr:row>0</xdr:row>
      <xdr:rowOff>104775</xdr:rowOff>
    </xdr:from>
    <xdr:ext cx="2047875" cy="571500"/>
    <xdr:pic>
      <xdr:nvPicPr>
        <xdr:cNvPr id="2" name="image1.png">
          <a:extLst>
            <a:ext uri="{FF2B5EF4-FFF2-40B4-BE49-F238E27FC236}">
              <a16:creationId xmlns:a16="http://schemas.microsoft.com/office/drawing/2014/main" id="{00000000-0008-0000-2600-000002000000}"/>
            </a:ext>
          </a:extLst>
        </xdr:cNvPr>
        <xdr:cNvPicPr preferRelativeResize="0"/>
      </xdr:nvPicPr>
      <xdr:blipFill>
        <a:blip xmlns:r="http://schemas.openxmlformats.org/officeDocument/2006/relationships" r:embed="rId1" cstate="print"/>
        <a:stretch>
          <a:fillRect/>
        </a:stretch>
      </xdr:blipFill>
      <xdr:spPr>
        <a:xfrm>
          <a:off x="1143000" y="104775"/>
          <a:ext cx="2047875" cy="571500"/>
        </a:xfrm>
        <a:prstGeom prst="rect">
          <a:avLst/>
        </a:prstGeom>
        <a:noFill/>
      </xdr:spPr>
    </xdr:pic>
    <xdr:clientData fLocksWithSheet="0"/>
  </xdr:oneCellAnchor>
</xdr:wsDr>
</file>

<file path=xl/drawings/drawing38.xml><?xml version="1.0" encoding="utf-8"?>
<xdr:wsDr xmlns:xdr="http://schemas.openxmlformats.org/drawingml/2006/spreadsheetDrawing" xmlns:a="http://schemas.openxmlformats.org/drawingml/2006/main">
  <xdr:oneCellAnchor>
    <xdr:from>
      <xdr:col>1</xdr:col>
      <xdr:colOff>371475</xdr:colOff>
      <xdr:row>0</xdr:row>
      <xdr:rowOff>85725</xdr:rowOff>
    </xdr:from>
    <xdr:ext cx="2047875" cy="571500"/>
    <xdr:pic>
      <xdr:nvPicPr>
        <xdr:cNvPr id="2" name="image1.png">
          <a:extLst>
            <a:ext uri="{FF2B5EF4-FFF2-40B4-BE49-F238E27FC236}">
              <a16:creationId xmlns:a16="http://schemas.microsoft.com/office/drawing/2014/main" id="{00000000-0008-0000-2700-000002000000}"/>
            </a:ext>
          </a:extLst>
        </xdr:cNvPr>
        <xdr:cNvPicPr preferRelativeResize="0"/>
      </xdr:nvPicPr>
      <xdr:blipFill>
        <a:blip xmlns:r="http://schemas.openxmlformats.org/officeDocument/2006/relationships" r:embed="rId1" cstate="print"/>
        <a:stretch>
          <a:fillRect/>
        </a:stretch>
      </xdr:blipFill>
      <xdr:spPr>
        <a:xfrm>
          <a:off x="876300" y="85725"/>
          <a:ext cx="2047875" cy="571500"/>
        </a:xfrm>
        <a:prstGeom prst="rect">
          <a:avLst/>
        </a:prstGeom>
        <a:noFill/>
      </xdr:spPr>
    </xdr:pic>
    <xdr:clientData fLocksWithSheet="0"/>
  </xdr:oneCellAnchor>
</xdr:wsDr>
</file>

<file path=xl/drawings/drawing39.xml><?xml version="1.0" encoding="utf-8"?>
<xdr:wsDr xmlns:xdr="http://schemas.openxmlformats.org/drawingml/2006/spreadsheetDrawing" xmlns:a="http://schemas.openxmlformats.org/drawingml/2006/main">
  <xdr:twoCellAnchor editAs="oneCell">
    <xdr:from>
      <xdr:col>0</xdr:col>
      <xdr:colOff>214933</xdr:colOff>
      <xdr:row>0</xdr:row>
      <xdr:rowOff>160268</xdr:rowOff>
    </xdr:from>
    <xdr:to>
      <xdr:col>1</xdr:col>
      <xdr:colOff>1995078</xdr:colOff>
      <xdr:row>1</xdr:row>
      <xdr:rowOff>417443</xdr:rowOff>
    </xdr:to>
    <xdr:pic>
      <xdr:nvPicPr>
        <xdr:cNvPr id="2" name="Imagen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214933" y="160268"/>
          <a:ext cx="2056370" cy="9048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1228725</xdr:colOff>
      <xdr:row>0</xdr:row>
      <xdr:rowOff>66675</xdr:rowOff>
    </xdr:from>
    <xdr:ext cx="2047875" cy="60007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0.xml><?xml version="1.0" encoding="utf-8"?>
<xdr:wsDr xmlns:xdr="http://schemas.openxmlformats.org/drawingml/2006/spreadsheetDrawing" xmlns:a="http://schemas.openxmlformats.org/drawingml/2006/main">
  <xdr:twoCellAnchor editAs="oneCell">
    <xdr:from>
      <xdr:col>0</xdr:col>
      <xdr:colOff>92823</xdr:colOff>
      <xdr:row>1</xdr:row>
      <xdr:rowOff>58836</xdr:rowOff>
    </xdr:from>
    <xdr:to>
      <xdr:col>0</xdr:col>
      <xdr:colOff>1432449</xdr:colOff>
      <xdr:row>3</xdr:row>
      <xdr:rowOff>50554</xdr:rowOff>
    </xdr:to>
    <xdr:pic>
      <xdr:nvPicPr>
        <xdr:cNvPr id="2" name="Imagen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92823" y="249336"/>
          <a:ext cx="1339626" cy="37271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610585</xdr:colOff>
      <xdr:row>0</xdr:row>
      <xdr:rowOff>105103</xdr:rowOff>
    </xdr:from>
    <xdr:to>
      <xdr:col>2</xdr:col>
      <xdr:colOff>639792</xdr:colOff>
      <xdr:row>3</xdr:row>
      <xdr:rowOff>105103</xdr:rowOff>
    </xdr:to>
    <xdr:pic>
      <xdr:nvPicPr>
        <xdr:cNvPr id="2" name="Imagen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610585" y="105103"/>
          <a:ext cx="2048507" cy="571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79202</xdr:colOff>
      <xdr:row>0</xdr:row>
      <xdr:rowOff>56684</xdr:rowOff>
    </xdr:from>
    <xdr:to>
      <xdr:col>1</xdr:col>
      <xdr:colOff>1583531</xdr:colOff>
      <xdr:row>3</xdr:row>
      <xdr:rowOff>56684</xdr:rowOff>
    </xdr:to>
    <xdr:pic>
      <xdr:nvPicPr>
        <xdr:cNvPr id="2" name="Imagen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79202" y="56684"/>
          <a:ext cx="1866279" cy="571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720587</xdr:colOff>
      <xdr:row>0</xdr:row>
      <xdr:rowOff>107674</xdr:rowOff>
    </xdr:from>
    <xdr:to>
      <xdr:col>2</xdr:col>
      <xdr:colOff>1124796</xdr:colOff>
      <xdr:row>3</xdr:row>
      <xdr:rowOff>107674</xdr:rowOff>
    </xdr:to>
    <xdr:pic>
      <xdr:nvPicPr>
        <xdr:cNvPr id="2" name="Imagen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1149212" y="107674"/>
          <a:ext cx="2052034" cy="571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371475</xdr:colOff>
      <xdr:row>0</xdr:row>
      <xdr:rowOff>85725</xdr:rowOff>
    </xdr:from>
    <xdr:to>
      <xdr:col>2</xdr:col>
      <xdr:colOff>1147573</xdr:colOff>
      <xdr:row>3</xdr:row>
      <xdr:rowOff>57150</xdr:rowOff>
    </xdr:to>
    <xdr:pic>
      <xdr:nvPicPr>
        <xdr:cNvPr id="2" name="Imagen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876300" y="85725"/>
          <a:ext cx="2052448" cy="571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244868</xdr:colOff>
      <xdr:row>0</xdr:row>
      <xdr:rowOff>3786</xdr:rowOff>
    </xdr:from>
    <xdr:to>
      <xdr:col>1</xdr:col>
      <xdr:colOff>2025013</xdr:colOff>
      <xdr:row>1</xdr:row>
      <xdr:rowOff>438150</xdr:rowOff>
    </xdr:to>
    <xdr:pic>
      <xdr:nvPicPr>
        <xdr:cNvPr id="2" name="Imagen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244868" y="3786"/>
          <a:ext cx="2056370" cy="967764"/>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oneCellAnchor>
    <xdr:from>
      <xdr:col>0</xdr:col>
      <xdr:colOff>85725</xdr:colOff>
      <xdr:row>1</xdr:row>
      <xdr:rowOff>57150</xdr:rowOff>
    </xdr:from>
    <xdr:ext cx="1333500" cy="400050"/>
    <xdr:pic>
      <xdr:nvPicPr>
        <xdr:cNvPr id="2" name="image1.png">
          <a:extLst>
            <a:ext uri="{FF2B5EF4-FFF2-40B4-BE49-F238E27FC236}">
              <a16:creationId xmlns:a16="http://schemas.microsoft.com/office/drawing/2014/main" id="{00000000-0008-0000-2F00-000002000000}"/>
            </a:ext>
          </a:extLst>
        </xdr:cNvPr>
        <xdr:cNvPicPr preferRelativeResize="0"/>
      </xdr:nvPicPr>
      <xdr:blipFill>
        <a:blip xmlns:r="http://schemas.openxmlformats.org/officeDocument/2006/relationships" r:embed="rId1" cstate="print"/>
        <a:stretch>
          <a:fillRect/>
        </a:stretch>
      </xdr:blipFill>
      <xdr:spPr>
        <a:xfrm>
          <a:off x="85725" y="238125"/>
          <a:ext cx="1333500" cy="400050"/>
        </a:xfrm>
        <a:prstGeom prst="rect">
          <a:avLst/>
        </a:prstGeom>
        <a:noFill/>
      </xdr:spPr>
    </xdr:pic>
    <xdr:clientData fLocksWithSheet="0"/>
  </xdr:oneCellAnchor>
</xdr:wsDr>
</file>

<file path=xl/drawings/drawing47.xml><?xml version="1.0" encoding="utf-8"?>
<xdr:wsDr xmlns:xdr="http://schemas.openxmlformats.org/drawingml/2006/spreadsheetDrawing" xmlns:a="http://schemas.openxmlformats.org/drawingml/2006/main">
  <xdr:oneCellAnchor>
    <xdr:from>
      <xdr:col>0</xdr:col>
      <xdr:colOff>609600</xdr:colOff>
      <xdr:row>0</xdr:row>
      <xdr:rowOff>104775</xdr:rowOff>
    </xdr:from>
    <xdr:ext cx="2047875" cy="571500"/>
    <xdr:pic>
      <xdr:nvPicPr>
        <xdr:cNvPr id="2" name="image1.png">
          <a:extLst>
            <a:ext uri="{FF2B5EF4-FFF2-40B4-BE49-F238E27FC236}">
              <a16:creationId xmlns:a16="http://schemas.microsoft.com/office/drawing/2014/main" id="{00000000-0008-0000-3000-000002000000}"/>
            </a:ext>
          </a:extLst>
        </xdr:cNvPr>
        <xdr:cNvPicPr preferRelativeResize="0"/>
      </xdr:nvPicPr>
      <xdr:blipFill>
        <a:blip xmlns:r="http://schemas.openxmlformats.org/officeDocument/2006/relationships" r:embed="rId1" cstate="print"/>
        <a:stretch>
          <a:fillRect/>
        </a:stretch>
      </xdr:blipFill>
      <xdr:spPr>
        <a:xfrm>
          <a:off x="609600" y="104775"/>
          <a:ext cx="2047875" cy="571500"/>
        </a:xfrm>
        <a:prstGeom prst="rect">
          <a:avLst/>
        </a:prstGeom>
        <a:noFill/>
      </xdr:spPr>
    </xdr:pic>
    <xdr:clientData fLocksWithSheet="0"/>
  </xdr:oneCellAnchor>
</xdr:wsDr>
</file>

<file path=xl/drawings/drawing48.xml><?xml version="1.0" encoding="utf-8"?>
<xdr:wsDr xmlns:xdr="http://schemas.openxmlformats.org/drawingml/2006/spreadsheetDrawing" xmlns:a="http://schemas.openxmlformats.org/drawingml/2006/main">
  <xdr:oneCellAnchor>
    <xdr:from>
      <xdr:col>1</xdr:col>
      <xdr:colOff>1228725</xdr:colOff>
      <xdr:row>0</xdr:row>
      <xdr:rowOff>66675</xdr:rowOff>
    </xdr:from>
    <xdr:ext cx="2047875" cy="600075"/>
    <xdr:pic>
      <xdr:nvPicPr>
        <xdr:cNvPr id="2" name="image1.png">
          <a:extLst>
            <a:ext uri="{FF2B5EF4-FFF2-40B4-BE49-F238E27FC236}">
              <a16:creationId xmlns:a16="http://schemas.microsoft.com/office/drawing/2014/main" id="{00000000-0008-0000-3100-000002000000}"/>
            </a:ext>
          </a:extLst>
        </xdr:cNvPr>
        <xdr:cNvPicPr preferRelativeResize="0"/>
      </xdr:nvPicPr>
      <xdr:blipFill>
        <a:blip xmlns:r="http://schemas.openxmlformats.org/officeDocument/2006/relationships" r:embed="rId1" cstate="print"/>
        <a:stretch>
          <a:fillRect/>
        </a:stretch>
      </xdr:blipFill>
      <xdr:spPr>
        <a:xfrm>
          <a:off x="1590675" y="66675"/>
          <a:ext cx="2047875" cy="600075"/>
        </a:xfrm>
        <a:prstGeom prst="rect">
          <a:avLst/>
        </a:prstGeom>
        <a:noFill/>
      </xdr:spPr>
    </xdr:pic>
    <xdr:clientData fLocksWithSheet="0"/>
  </xdr:oneCellAnchor>
</xdr:wsDr>
</file>

<file path=xl/drawings/drawing49.xml><?xml version="1.0" encoding="utf-8"?>
<xdr:wsDr xmlns:xdr="http://schemas.openxmlformats.org/drawingml/2006/spreadsheetDrawing" xmlns:a="http://schemas.openxmlformats.org/drawingml/2006/main">
  <xdr:oneCellAnchor>
    <xdr:from>
      <xdr:col>1</xdr:col>
      <xdr:colOff>714375</xdr:colOff>
      <xdr:row>0</xdr:row>
      <xdr:rowOff>104775</xdr:rowOff>
    </xdr:from>
    <xdr:ext cx="2047875" cy="571500"/>
    <xdr:pic>
      <xdr:nvPicPr>
        <xdr:cNvPr id="2" name="image1.png">
          <a:extLst>
            <a:ext uri="{FF2B5EF4-FFF2-40B4-BE49-F238E27FC236}">
              <a16:creationId xmlns:a16="http://schemas.microsoft.com/office/drawing/2014/main" id="{00000000-0008-0000-3200-000002000000}"/>
            </a:ext>
          </a:extLst>
        </xdr:cNvPr>
        <xdr:cNvPicPr preferRelativeResize="0"/>
      </xdr:nvPicPr>
      <xdr:blipFill>
        <a:blip xmlns:r="http://schemas.openxmlformats.org/officeDocument/2006/relationships" r:embed="rId1" cstate="print"/>
        <a:stretch>
          <a:fillRect/>
        </a:stretch>
      </xdr:blipFill>
      <xdr:spPr>
        <a:xfrm>
          <a:off x="1143000" y="104775"/>
          <a:ext cx="2047875" cy="5715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714375</xdr:colOff>
      <xdr:row>0</xdr:row>
      <xdr:rowOff>104775</xdr:rowOff>
    </xdr:from>
    <xdr:ext cx="2047875" cy="5715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0.xml><?xml version="1.0" encoding="utf-8"?>
<xdr:wsDr xmlns:xdr="http://schemas.openxmlformats.org/drawingml/2006/spreadsheetDrawing" xmlns:a="http://schemas.openxmlformats.org/drawingml/2006/main">
  <xdr:oneCellAnchor>
    <xdr:from>
      <xdr:col>1</xdr:col>
      <xdr:colOff>371475</xdr:colOff>
      <xdr:row>0</xdr:row>
      <xdr:rowOff>85725</xdr:rowOff>
    </xdr:from>
    <xdr:ext cx="2047875" cy="571500"/>
    <xdr:pic>
      <xdr:nvPicPr>
        <xdr:cNvPr id="2" name="image1.png">
          <a:extLst>
            <a:ext uri="{FF2B5EF4-FFF2-40B4-BE49-F238E27FC236}">
              <a16:creationId xmlns:a16="http://schemas.microsoft.com/office/drawing/2014/main" id="{00000000-0008-0000-3300-000002000000}"/>
            </a:ext>
          </a:extLst>
        </xdr:cNvPr>
        <xdr:cNvPicPr preferRelativeResize="0"/>
      </xdr:nvPicPr>
      <xdr:blipFill>
        <a:blip xmlns:r="http://schemas.openxmlformats.org/officeDocument/2006/relationships" r:embed="rId1" cstate="print"/>
        <a:stretch>
          <a:fillRect/>
        </a:stretch>
      </xdr:blipFill>
      <xdr:spPr>
        <a:xfrm>
          <a:off x="876300" y="85725"/>
          <a:ext cx="2047875" cy="571500"/>
        </a:xfrm>
        <a:prstGeom prst="rect">
          <a:avLst/>
        </a:prstGeom>
        <a:noFill/>
      </xdr:spPr>
    </xdr:pic>
    <xdr:clientData fLocksWithSheet="0"/>
  </xdr:oneCellAnchor>
</xdr:wsDr>
</file>

<file path=xl/drawings/drawing51.xml><?xml version="1.0" encoding="utf-8"?>
<xdr:wsDr xmlns:xdr="http://schemas.openxmlformats.org/drawingml/2006/spreadsheetDrawing" xmlns:a="http://schemas.openxmlformats.org/drawingml/2006/main">
  <xdr:twoCellAnchor editAs="oneCell">
    <xdr:from>
      <xdr:col>0</xdr:col>
      <xdr:colOff>197243</xdr:colOff>
      <xdr:row>0</xdr:row>
      <xdr:rowOff>79986</xdr:rowOff>
    </xdr:from>
    <xdr:to>
      <xdr:col>1</xdr:col>
      <xdr:colOff>1695450</xdr:colOff>
      <xdr:row>1</xdr:row>
      <xdr:rowOff>448340</xdr:rowOff>
    </xdr:to>
    <xdr:pic>
      <xdr:nvPicPr>
        <xdr:cNvPr id="2" name="Imagen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xfrm>
          <a:off x="197243" y="79986"/>
          <a:ext cx="1774432" cy="835079"/>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oneCellAnchor>
    <xdr:from>
      <xdr:col>0</xdr:col>
      <xdr:colOff>85725</xdr:colOff>
      <xdr:row>1</xdr:row>
      <xdr:rowOff>57150</xdr:rowOff>
    </xdr:from>
    <xdr:ext cx="1333500" cy="400050"/>
    <xdr:pic>
      <xdr:nvPicPr>
        <xdr:cNvPr id="2" name="image1.png">
          <a:extLst>
            <a:ext uri="{FF2B5EF4-FFF2-40B4-BE49-F238E27FC236}">
              <a16:creationId xmlns:a16="http://schemas.microsoft.com/office/drawing/2014/main" id="{00000000-0008-0000-3500-000002000000}"/>
            </a:ext>
          </a:extLst>
        </xdr:cNvPr>
        <xdr:cNvPicPr preferRelativeResize="0"/>
      </xdr:nvPicPr>
      <xdr:blipFill>
        <a:blip xmlns:r="http://schemas.openxmlformats.org/officeDocument/2006/relationships" r:embed="rId1" cstate="print"/>
        <a:stretch>
          <a:fillRect/>
        </a:stretch>
      </xdr:blipFill>
      <xdr:spPr>
        <a:xfrm>
          <a:off x="85725" y="238125"/>
          <a:ext cx="1333500" cy="400050"/>
        </a:xfrm>
        <a:prstGeom prst="rect">
          <a:avLst/>
        </a:prstGeom>
        <a:noFill/>
      </xdr:spPr>
    </xdr:pic>
    <xdr:clientData fLocksWithSheet="0"/>
  </xdr:oneCellAnchor>
</xdr:wsDr>
</file>

<file path=xl/drawings/drawing53.xml><?xml version="1.0" encoding="utf-8"?>
<xdr:wsDr xmlns:xdr="http://schemas.openxmlformats.org/drawingml/2006/spreadsheetDrawing" xmlns:a="http://schemas.openxmlformats.org/drawingml/2006/main">
  <xdr:oneCellAnchor>
    <xdr:from>
      <xdr:col>0</xdr:col>
      <xdr:colOff>609600</xdr:colOff>
      <xdr:row>0</xdr:row>
      <xdr:rowOff>104775</xdr:rowOff>
    </xdr:from>
    <xdr:ext cx="2047875" cy="600075"/>
    <xdr:pic>
      <xdr:nvPicPr>
        <xdr:cNvPr id="2" name="image1.png">
          <a:extLst>
            <a:ext uri="{FF2B5EF4-FFF2-40B4-BE49-F238E27FC236}">
              <a16:creationId xmlns:a16="http://schemas.microsoft.com/office/drawing/2014/main" id="{00000000-0008-0000-3600-000002000000}"/>
            </a:ext>
          </a:extLst>
        </xdr:cNvPr>
        <xdr:cNvPicPr preferRelativeResize="0"/>
      </xdr:nvPicPr>
      <xdr:blipFill>
        <a:blip xmlns:r="http://schemas.openxmlformats.org/officeDocument/2006/relationships" r:embed="rId1" cstate="print"/>
        <a:stretch>
          <a:fillRect/>
        </a:stretch>
      </xdr:blipFill>
      <xdr:spPr>
        <a:xfrm>
          <a:off x="609600" y="104775"/>
          <a:ext cx="2047875" cy="600075"/>
        </a:xfrm>
        <a:prstGeom prst="rect">
          <a:avLst/>
        </a:prstGeom>
        <a:noFill/>
      </xdr:spPr>
    </xdr:pic>
    <xdr:clientData fLocksWithSheet="0"/>
  </xdr:oneCellAnchor>
</xdr:wsDr>
</file>

<file path=xl/drawings/drawing54.xml><?xml version="1.0" encoding="utf-8"?>
<xdr:wsDr xmlns:xdr="http://schemas.openxmlformats.org/drawingml/2006/spreadsheetDrawing" xmlns:a="http://schemas.openxmlformats.org/drawingml/2006/main">
  <xdr:oneCellAnchor>
    <xdr:from>
      <xdr:col>1</xdr:col>
      <xdr:colOff>1228725</xdr:colOff>
      <xdr:row>0</xdr:row>
      <xdr:rowOff>66675</xdr:rowOff>
    </xdr:from>
    <xdr:ext cx="2047875" cy="571500"/>
    <xdr:pic>
      <xdr:nvPicPr>
        <xdr:cNvPr id="2" name="image1.png">
          <a:extLst>
            <a:ext uri="{FF2B5EF4-FFF2-40B4-BE49-F238E27FC236}">
              <a16:creationId xmlns:a16="http://schemas.microsoft.com/office/drawing/2014/main" id="{00000000-0008-0000-3700-000002000000}"/>
            </a:ext>
          </a:extLst>
        </xdr:cNvPr>
        <xdr:cNvPicPr preferRelativeResize="0"/>
      </xdr:nvPicPr>
      <xdr:blipFill>
        <a:blip xmlns:r="http://schemas.openxmlformats.org/officeDocument/2006/relationships" r:embed="rId1" cstate="print"/>
        <a:stretch>
          <a:fillRect/>
        </a:stretch>
      </xdr:blipFill>
      <xdr:spPr>
        <a:xfrm>
          <a:off x="1590675" y="66675"/>
          <a:ext cx="2047875" cy="571500"/>
        </a:xfrm>
        <a:prstGeom prst="rect">
          <a:avLst/>
        </a:prstGeom>
        <a:noFill/>
      </xdr:spPr>
    </xdr:pic>
    <xdr:clientData fLocksWithSheet="0"/>
  </xdr:oneCellAnchor>
</xdr:wsDr>
</file>

<file path=xl/drawings/drawing55.xml><?xml version="1.0" encoding="utf-8"?>
<xdr:wsDr xmlns:xdr="http://schemas.openxmlformats.org/drawingml/2006/spreadsheetDrawing" xmlns:a="http://schemas.openxmlformats.org/drawingml/2006/main">
  <xdr:oneCellAnchor>
    <xdr:from>
      <xdr:col>1</xdr:col>
      <xdr:colOff>371475</xdr:colOff>
      <xdr:row>0</xdr:row>
      <xdr:rowOff>85725</xdr:rowOff>
    </xdr:from>
    <xdr:ext cx="2047875" cy="571500"/>
    <xdr:pic>
      <xdr:nvPicPr>
        <xdr:cNvPr id="2" name="image1.png">
          <a:extLst>
            <a:ext uri="{FF2B5EF4-FFF2-40B4-BE49-F238E27FC236}">
              <a16:creationId xmlns:a16="http://schemas.microsoft.com/office/drawing/2014/main" id="{00000000-0008-0000-3800-000002000000}"/>
            </a:ext>
          </a:extLst>
        </xdr:cNvPr>
        <xdr:cNvPicPr preferRelativeResize="0"/>
      </xdr:nvPicPr>
      <xdr:blipFill>
        <a:blip xmlns:r="http://schemas.openxmlformats.org/officeDocument/2006/relationships" r:embed="rId1" cstate="print"/>
        <a:stretch>
          <a:fillRect/>
        </a:stretch>
      </xdr:blipFill>
      <xdr:spPr>
        <a:xfrm>
          <a:off x="876300" y="85725"/>
          <a:ext cx="2047875" cy="571500"/>
        </a:xfrm>
        <a:prstGeom prst="rect">
          <a:avLst/>
        </a:prstGeom>
        <a:noFill/>
      </xdr:spPr>
    </xdr:pic>
    <xdr:clientData fLocksWithSheet="0"/>
  </xdr:oneCellAnchor>
</xdr:wsDr>
</file>

<file path=xl/drawings/drawing56.xml><?xml version="1.0" encoding="utf-8"?>
<xdr:wsDr xmlns:xdr="http://schemas.openxmlformats.org/drawingml/2006/spreadsheetDrawing" xmlns:a="http://schemas.openxmlformats.org/drawingml/2006/main">
  <xdr:oneCellAnchor>
    <xdr:from>
      <xdr:col>1</xdr:col>
      <xdr:colOff>1028700</xdr:colOff>
      <xdr:row>0</xdr:row>
      <xdr:rowOff>0</xdr:rowOff>
    </xdr:from>
    <xdr:ext cx="838200" cy="466725"/>
    <xdr:pic>
      <xdr:nvPicPr>
        <xdr:cNvPr id="2" name="image1.png">
          <a:extLst>
            <a:ext uri="{FF2B5EF4-FFF2-40B4-BE49-F238E27FC236}">
              <a16:creationId xmlns:a16="http://schemas.microsoft.com/office/drawing/2014/main" id="{00000000-0008-0000-3900-000002000000}"/>
            </a:ext>
          </a:extLst>
        </xdr:cNvPr>
        <xdr:cNvPicPr preferRelativeResize="0"/>
      </xdr:nvPicPr>
      <xdr:blipFill>
        <a:blip xmlns:r="http://schemas.openxmlformats.org/officeDocument/2006/relationships" r:embed="rId1" cstate="print"/>
        <a:stretch>
          <a:fillRect/>
        </a:stretch>
      </xdr:blipFill>
      <xdr:spPr>
        <a:xfrm>
          <a:off x="1304925" y="0"/>
          <a:ext cx="838200" cy="466725"/>
        </a:xfrm>
        <a:prstGeom prst="rect">
          <a:avLst/>
        </a:prstGeom>
        <a:noFill/>
      </xdr:spPr>
    </xdr:pic>
    <xdr:clientData fLocksWithSheet="0"/>
  </xdr:oneCellAnchor>
</xdr:wsDr>
</file>

<file path=xl/drawings/drawing57.xml><?xml version="1.0" encoding="utf-8"?>
<xdr:wsDr xmlns:xdr="http://schemas.openxmlformats.org/drawingml/2006/spreadsheetDrawing" xmlns:a="http://schemas.openxmlformats.org/drawingml/2006/main">
  <xdr:twoCellAnchor editAs="oneCell">
    <xdr:from>
      <xdr:col>0</xdr:col>
      <xdr:colOff>92823</xdr:colOff>
      <xdr:row>1</xdr:row>
      <xdr:rowOff>87922</xdr:rowOff>
    </xdr:from>
    <xdr:to>
      <xdr:col>1</xdr:col>
      <xdr:colOff>287481</xdr:colOff>
      <xdr:row>3</xdr:row>
      <xdr:rowOff>50553</xdr:rowOff>
    </xdr:to>
    <xdr:pic>
      <xdr:nvPicPr>
        <xdr:cNvPr id="2" name="Imagen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xfrm>
          <a:off x="92823" y="278422"/>
          <a:ext cx="1232883" cy="343631"/>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111672</xdr:rowOff>
    </xdr:from>
    <xdr:to>
      <xdr:col>1</xdr:col>
      <xdr:colOff>771320</xdr:colOff>
      <xdr:row>3</xdr:row>
      <xdr:rowOff>111672</xdr:rowOff>
    </xdr:to>
    <xdr:pic>
      <xdr:nvPicPr>
        <xdr:cNvPr id="2" name="Imagen 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1"/>
        <a:stretch>
          <a:fillRect/>
        </a:stretch>
      </xdr:blipFill>
      <xdr:spPr>
        <a:xfrm>
          <a:off x="0" y="111672"/>
          <a:ext cx="2047670" cy="57150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1234108</xdr:colOff>
      <xdr:row>0</xdr:row>
      <xdr:rowOff>74543</xdr:rowOff>
    </xdr:from>
    <xdr:to>
      <xdr:col>2</xdr:col>
      <xdr:colOff>1000556</xdr:colOff>
      <xdr:row>3</xdr:row>
      <xdr:rowOff>74543</xdr:rowOff>
    </xdr:to>
    <xdr:pic>
      <xdr:nvPicPr>
        <xdr:cNvPr id="2" name="Imagen 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1"/>
        <a:stretch>
          <a:fillRect/>
        </a:stretch>
      </xdr:blipFill>
      <xdr:spPr>
        <a:xfrm>
          <a:off x="1596058" y="74543"/>
          <a:ext cx="2052448" cy="571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371475</xdr:colOff>
      <xdr:row>0</xdr:row>
      <xdr:rowOff>85725</xdr:rowOff>
    </xdr:from>
    <xdr:ext cx="2047875" cy="571500"/>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0.xml><?xml version="1.0" encoding="utf-8"?>
<xdr:wsDr xmlns:xdr="http://schemas.openxmlformats.org/drawingml/2006/spreadsheetDrawing" xmlns:a="http://schemas.openxmlformats.org/drawingml/2006/main">
  <xdr:twoCellAnchor editAs="oneCell">
    <xdr:from>
      <xdr:col>1</xdr:col>
      <xdr:colOff>371475</xdr:colOff>
      <xdr:row>0</xdr:row>
      <xdr:rowOff>85725</xdr:rowOff>
    </xdr:from>
    <xdr:to>
      <xdr:col>2</xdr:col>
      <xdr:colOff>528448</xdr:colOff>
      <xdr:row>3</xdr:row>
      <xdr:rowOff>57150</xdr:rowOff>
    </xdr:to>
    <xdr:pic>
      <xdr:nvPicPr>
        <xdr:cNvPr id="2" name="Imagen 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1"/>
        <a:stretch>
          <a:fillRect/>
        </a:stretch>
      </xdr:blipFill>
      <xdr:spPr>
        <a:xfrm>
          <a:off x="876300" y="85725"/>
          <a:ext cx="2052448" cy="571500"/>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1396033</xdr:colOff>
      <xdr:row>0</xdr:row>
      <xdr:rowOff>141218</xdr:rowOff>
    </xdr:from>
    <xdr:to>
      <xdr:col>2</xdr:col>
      <xdr:colOff>1905431</xdr:colOff>
      <xdr:row>1</xdr:row>
      <xdr:rowOff>198368</xdr:rowOff>
    </xdr:to>
    <xdr:pic>
      <xdr:nvPicPr>
        <xdr:cNvPr id="2" name="Imagen 1">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1"/>
        <a:stretch>
          <a:fillRect/>
        </a:stretch>
      </xdr:blipFill>
      <xdr:spPr>
        <a:xfrm>
          <a:off x="1672258" y="141218"/>
          <a:ext cx="2052448" cy="571500"/>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92823</xdr:colOff>
      <xdr:row>1</xdr:row>
      <xdr:rowOff>87922</xdr:rowOff>
    </xdr:from>
    <xdr:to>
      <xdr:col>1</xdr:col>
      <xdr:colOff>287481</xdr:colOff>
      <xdr:row>3</xdr:row>
      <xdr:rowOff>50553</xdr:rowOff>
    </xdr:to>
    <xdr:pic>
      <xdr:nvPicPr>
        <xdr:cNvPr id="2" name="Imagen 1">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1"/>
        <a:stretch>
          <a:fillRect/>
        </a:stretch>
      </xdr:blipFill>
      <xdr:spPr>
        <a:xfrm>
          <a:off x="92823" y="278422"/>
          <a:ext cx="1232883" cy="343631"/>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0</xdr:colOff>
      <xdr:row>0</xdr:row>
      <xdr:rowOff>111672</xdr:rowOff>
    </xdr:from>
    <xdr:to>
      <xdr:col>1</xdr:col>
      <xdr:colOff>643599</xdr:colOff>
      <xdr:row>3</xdr:row>
      <xdr:rowOff>111672</xdr:rowOff>
    </xdr:to>
    <xdr:pic>
      <xdr:nvPicPr>
        <xdr:cNvPr id="2" name="Imagen 1">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1"/>
        <a:stretch>
          <a:fillRect/>
        </a:stretch>
      </xdr:blipFill>
      <xdr:spPr>
        <a:xfrm>
          <a:off x="0" y="111672"/>
          <a:ext cx="2053299" cy="571500"/>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1234108</xdr:colOff>
      <xdr:row>0</xdr:row>
      <xdr:rowOff>74543</xdr:rowOff>
    </xdr:from>
    <xdr:to>
      <xdr:col>2</xdr:col>
      <xdr:colOff>1000556</xdr:colOff>
      <xdr:row>3</xdr:row>
      <xdr:rowOff>74543</xdr:rowOff>
    </xdr:to>
    <xdr:pic>
      <xdr:nvPicPr>
        <xdr:cNvPr id="2" name="Imagen 1">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1"/>
        <a:stretch>
          <a:fillRect/>
        </a:stretch>
      </xdr:blipFill>
      <xdr:spPr>
        <a:xfrm>
          <a:off x="1596058" y="74543"/>
          <a:ext cx="2052448" cy="571500"/>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720587</xdr:colOff>
      <xdr:row>0</xdr:row>
      <xdr:rowOff>107674</xdr:rowOff>
    </xdr:from>
    <xdr:to>
      <xdr:col>2</xdr:col>
      <xdr:colOff>1124796</xdr:colOff>
      <xdr:row>3</xdr:row>
      <xdr:rowOff>107674</xdr:rowOff>
    </xdr:to>
    <xdr:pic>
      <xdr:nvPicPr>
        <xdr:cNvPr id="2" name="Imagen 1">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1"/>
        <a:stretch>
          <a:fillRect/>
        </a:stretch>
      </xdr:blipFill>
      <xdr:spPr>
        <a:xfrm>
          <a:off x="1149212" y="107674"/>
          <a:ext cx="2052034" cy="571500"/>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371475</xdr:colOff>
      <xdr:row>0</xdr:row>
      <xdr:rowOff>85725</xdr:rowOff>
    </xdr:from>
    <xdr:to>
      <xdr:col>1</xdr:col>
      <xdr:colOff>2423923</xdr:colOff>
      <xdr:row>3</xdr:row>
      <xdr:rowOff>57150</xdr:rowOff>
    </xdr:to>
    <xdr:pic>
      <xdr:nvPicPr>
        <xdr:cNvPr id="2" name="Imagen 1">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1"/>
        <a:stretch>
          <a:fillRect/>
        </a:stretch>
      </xdr:blipFill>
      <xdr:spPr>
        <a:xfrm>
          <a:off x="876300" y="85725"/>
          <a:ext cx="2052448" cy="571500"/>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1396033</xdr:colOff>
      <xdr:row>0</xdr:row>
      <xdr:rowOff>141218</xdr:rowOff>
    </xdr:from>
    <xdr:to>
      <xdr:col>2</xdr:col>
      <xdr:colOff>1423578</xdr:colOff>
      <xdr:row>1</xdr:row>
      <xdr:rowOff>198368</xdr:rowOff>
    </xdr:to>
    <xdr:pic>
      <xdr:nvPicPr>
        <xdr:cNvPr id="2" name="Imagen 1">
          <a:extLst>
            <a:ext uri="{FF2B5EF4-FFF2-40B4-BE49-F238E27FC236}">
              <a16:creationId xmlns:a16="http://schemas.microsoft.com/office/drawing/2014/main" id="{00000000-0008-0000-4400-000002000000}"/>
            </a:ext>
          </a:extLst>
        </xdr:cNvPr>
        <xdr:cNvPicPr>
          <a:picLocks noChangeAspect="1"/>
        </xdr:cNvPicPr>
      </xdr:nvPicPr>
      <xdr:blipFill>
        <a:blip xmlns:r="http://schemas.openxmlformats.org/officeDocument/2006/relationships" r:embed="rId1"/>
        <a:stretch>
          <a:fillRect/>
        </a:stretch>
      </xdr:blipFill>
      <xdr:spPr>
        <a:xfrm>
          <a:off x="1672258" y="141218"/>
          <a:ext cx="2056370" cy="571500"/>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92823</xdr:colOff>
      <xdr:row>1</xdr:row>
      <xdr:rowOff>87922</xdr:rowOff>
    </xdr:from>
    <xdr:to>
      <xdr:col>1</xdr:col>
      <xdr:colOff>287481</xdr:colOff>
      <xdr:row>3</xdr:row>
      <xdr:rowOff>50553</xdr:rowOff>
    </xdr:to>
    <xdr:pic>
      <xdr:nvPicPr>
        <xdr:cNvPr id="2" name="Imagen 1">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1"/>
        <a:stretch>
          <a:fillRect/>
        </a:stretch>
      </xdr:blipFill>
      <xdr:spPr>
        <a:xfrm>
          <a:off x="92823" y="278422"/>
          <a:ext cx="1232883" cy="343631"/>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0</xdr:colOff>
      <xdr:row>0</xdr:row>
      <xdr:rowOff>111672</xdr:rowOff>
    </xdr:from>
    <xdr:to>
      <xdr:col>2</xdr:col>
      <xdr:colOff>751793</xdr:colOff>
      <xdr:row>3</xdr:row>
      <xdr:rowOff>111672</xdr:rowOff>
    </xdr:to>
    <xdr:pic>
      <xdr:nvPicPr>
        <xdr:cNvPr id="2" name="Imagen 1">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1"/>
        <a:stretch>
          <a:fillRect/>
        </a:stretch>
      </xdr:blipFill>
      <xdr:spPr>
        <a:xfrm>
          <a:off x="0" y="111672"/>
          <a:ext cx="2047193" cy="571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138734</xdr:colOff>
      <xdr:row>0</xdr:row>
      <xdr:rowOff>93593</xdr:rowOff>
    </xdr:from>
    <xdr:to>
      <xdr:col>1</xdr:col>
      <xdr:colOff>1933576</xdr:colOff>
      <xdr:row>1</xdr:row>
      <xdr:rowOff>454761</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414959" y="93593"/>
          <a:ext cx="1794842" cy="789793"/>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1234108</xdr:colOff>
      <xdr:row>0</xdr:row>
      <xdr:rowOff>74543</xdr:rowOff>
    </xdr:from>
    <xdr:to>
      <xdr:col>2</xdr:col>
      <xdr:colOff>1000556</xdr:colOff>
      <xdr:row>3</xdr:row>
      <xdr:rowOff>74543</xdr:rowOff>
    </xdr:to>
    <xdr:pic>
      <xdr:nvPicPr>
        <xdr:cNvPr id="2" name="Imagen 1">
          <a:extLst>
            <a:ext uri="{FF2B5EF4-FFF2-40B4-BE49-F238E27FC236}">
              <a16:creationId xmlns:a16="http://schemas.microsoft.com/office/drawing/2014/main" id="{00000000-0008-0000-4700-000002000000}"/>
            </a:ext>
          </a:extLst>
        </xdr:cNvPr>
        <xdr:cNvPicPr>
          <a:picLocks noChangeAspect="1"/>
        </xdr:cNvPicPr>
      </xdr:nvPicPr>
      <xdr:blipFill>
        <a:blip xmlns:r="http://schemas.openxmlformats.org/officeDocument/2006/relationships" r:embed="rId1"/>
        <a:stretch>
          <a:fillRect/>
        </a:stretch>
      </xdr:blipFill>
      <xdr:spPr>
        <a:xfrm>
          <a:off x="1596058" y="74543"/>
          <a:ext cx="2052448" cy="571500"/>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720587</xdr:colOff>
      <xdr:row>0</xdr:row>
      <xdr:rowOff>107674</xdr:rowOff>
    </xdr:from>
    <xdr:to>
      <xdr:col>2</xdr:col>
      <xdr:colOff>1124796</xdr:colOff>
      <xdr:row>3</xdr:row>
      <xdr:rowOff>107674</xdr:rowOff>
    </xdr:to>
    <xdr:pic>
      <xdr:nvPicPr>
        <xdr:cNvPr id="2" name="Imagen 1">
          <a:extLst>
            <a:ext uri="{FF2B5EF4-FFF2-40B4-BE49-F238E27FC236}">
              <a16:creationId xmlns:a16="http://schemas.microsoft.com/office/drawing/2014/main" id="{00000000-0008-0000-4800-000002000000}"/>
            </a:ext>
          </a:extLst>
        </xdr:cNvPr>
        <xdr:cNvPicPr>
          <a:picLocks noChangeAspect="1"/>
        </xdr:cNvPicPr>
      </xdr:nvPicPr>
      <xdr:blipFill>
        <a:blip xmlns:r="http://schemas.openxmlformats.org/officeDocument/2006/relationships" r:embed="rId1"/>
        <a:stretch>
          <a:fillRect/>
        </a:stretch>
      </xdr:blipFill>
      <xdr:spPr>
        <a:xfrm>
          <a:off x="1149212" y="107674"/>
          <a:ext cx="2052034" cy="571500"/>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371475</xdr:colOff>
      <xdr:row>0</xdr:row>
      <xdr:rowOff>85725</xdr:rowOff>
    </xdr:from>
    <xdr:to>
      <xdr:col>2</xdr:col>
      <xdr:colOff>1147573</xdr:colOff>
      <xdr:row>3</xdr:row>
      <xdr:rowOff>57150</xdr:rowOff>
    </xdr:to>
    <xdr:pic>
      <xdr:nvPicPr>
        <xdr:cNvPr id="2" name="Imagen 1">
          <a:extLst>
            <a:ext uri="{FF2B5EF4-FFF2-40B4-BE49-F238E27FC236}">
              <a16:creationId xmlns:a16="http://schemas.microsoft.com/office/drawing/2014/main" id="{00000000-0008-0000-4900-000002000000}"/>
            </a:ext>
          </a:extLst>
        </xdr:cNvPr>
        <xdr:cNvPicPr>
          <a:picLocks noChangeAspect="1"/>
        </xdr:cNvPicPr>
      </xdr:nvPicPr>
      <xdr:blipFill>
        <a:blip xmlns:r="http://schemas.openxmlformats.org/officeDocument/2006/relationships" r:embed="rId1"/>
        <a:stretch>
          <a:fillRect/>
        </a:stretch>
      </xdr:blipFill>
      <xdr:spPr>
        <a:xfrm>
          <a:off x="876300" y="85725"/>
          <a:ext cx="2052448" cy="571500"/>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976934</xdr:colOff>
      <xdr:row>0</xdr:row>
      <xdr:rowOff>36443</xdr:rowOff>
    </xdr:from>
    <xdr:to>
      <xdr:col>2</xdr:col>
      <xdr:colOff>123826</xdr:colOff>
      <xdr:row>1</xdr:row>
      <xdr:rowOff>229444</xdr:rowOff>
    </xdr:to>
    <xdr:pic>
      <xdr:nvPicPr>
        <xdr:cNvPr id="2" name="Imagen 1">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1"/>
        <a:stretch>
          <a:fillRect/>
        </a:stretch>
      </xdr:blipFill>
      <xdr:spPr>
        <a:xfrm>
          <a:off x="1253159" y="36443"/>
          <a:ext cx="1337642" cy="583526"/>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92823</xdr:colOff>
      <xdr:row>1</xdr:row>
      <xdr:rowOff>58836</xdr:rowOff>
    </xdr:from>
    <xdr:to>
      <xdr:col>0</xdr:col>
      <xdr:colOff>1432449</xdr:colOff>
      <xdr:row>3</xdr:row>
      <xdr:rowOff>50554</xdr:rowOff>
    </xdr:to>
    <xdr:pic>
      <xdr:nvPicPr>
        <xdr:cNvPr id="2" name="Imagen 1">
          <a:extLst>
            <a:ext uri="{FF2B5EF4-FFF2-40B4-BE49-F238E27FC236}">
              <a16:creationId xmlns:a16="http://schemas.microsoft.com/office/drawing/2014/main" id="{00000000-0008-0000-4B00-000002000000}"/>
            </a:ext>
          </a:extLst>
        </xdr:cNvPr>
        <xdr:cNvPicPr>
          <a:picLocks noChangeAspect="1"/>
        </xdr:cNvPicPr>
      </xdr:nvPicPr>
      <xdr:blipFill>
        <a:blip xmlns:r="http://schemas.openxmlformats.org/officeDocument/2006/relationships" r:embed="rId1"/>
        <a:stretch>
          <a:fillRect/>
        </a:stretch>
      </xdr:blipFill>
      <xdr:spPr>
        <a:xfrm>
          <a:off x="92823" y="249336"/>
          <a:ext cx="1339626" cy="372718"/>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610585</xdr:colOff>
      <xdr:row>0</xdr:row>
      <xdr:rowOff>105103</xdr:rowOff>
    </xdr:from>
    <xdr:to>
      <xdr:col>2</xdr:col>
      <xdr:colOff>639792</xdr:colOff>
      <xdr:row>3</xdr:row>
      <xdr:rowOff>105103</xdr:rowOff>
    </xdr:to>
    <xdr:pic>
      <xdr:nvPicPr>
        <xdr:cNvPr id="2" name="Imagen 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1"/>
        <a:stretch>
          <a:fillRect/>
        </a:stretch>
      </xdr:blipFill>
      <xdr:spPr>
        <a:xfrm>
          <a:off x="610585" y="105103"/>
          <a:ext cx="2048507" cy="571500"/>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1234108</xdr:colOff>
      <xdr:row>0</xdr:row>
      <xdr:rowOff>74543</xdr:rowOff>
    </xdr:from>
    <xdr:to>
      <xdr:col>2</xdr:col>
      <xdr:colOff>1903361</xdr:colOff>
      <xdr:row>3</xdr:row>
      <xdr:rowOff>74543</xdr:rowOff>
    </xdr:to>
    <xdr:pic>
      <xdr:nvPicPr>
        <xdr:cNvPr id="2" name="Imagen 1">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a:stretch>
          <a:fillRect/>
        </a:stretch>
      </xdr:blipFill>
      <xdr:spPr>
        <a:xfrm>
          <a:off x="1596058" y="74543"/>
          <a:ext cx="2050378" cy="571500"/>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371475</xdr:colOff>
      <xdr:row>0</xdr:row>
      <xdr:rowOff>85725</xdr:rowOff>
    </xdr:from>
    <xdr:to>
      <xdr:col>2</xdr:col>
      <xdr:colOff>1147573</xdr:colOff>
      <xdr:row>3</xdr:row>
      <xdr:rowOff>57150</xdr:rowOff>
    </xdr:to>
    <xdr:pic>
      <xdr:nvPicPr>
        <xdr:cNvPr id="2" name="Imagen 1">
          <a:extLst>
            <a:ext uri="{FF2B5EF4-FFF2-40B4-BE49-F238E27FC236}">
              <a16:creationId xmlns:a16="http://schemas.microsoft.com/office/drawing/2014/main" id="{00000000-0008-0000-4E00-000002000000}"/>
            </a:ext>
          </a:extLst>
        </xdr:cNvPr>
        <xdr:cNvPicPr>
          <a:picLocks noChangeAspect="1"/>
        </xdr:cNvPicPr>
      </xdr:nvPicPr>
      <xdr:blipFill>
        <a:blip xmlns:r="http://schemas.openxmlformats.org/officeDocument/2006/relationships" r:embed="rId1"/>
        <a:stretch>
          <a:fillRect/>
        </a:stretch>
      </xdr:blipFill>
      <xdr:spPr>
        <a:xfrm>
          <a:off x="876300" y="85725"/>
          <a:ext cx="2052448" cy="571500"/>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1034084</xdr:colOff>
      <xdr:row>0</xdr:row>
      <xdr:rowOff>1</xdr:rowOff>
    </xdr:from>
    <xdr:to>
      <xdr:col>1</xdr:col>
      <xdr:colOff>1876425</xdr:colOff>
      <xdr:row>1</xdr:row>
      <xdr:rowOff>161926</xdr:rowOff>
    </xdr:to>
    <xdr:pic>
      <xdr:nvPicPr>
        <xdr:cNvPr id="2" name="Imagen 1">
          <a:extLst>
            <a:ext uri="{FF2B5EF4-FFF2-40B4-BE49-F238E27FC236}">
              <a16:creationId xmlns:a16="http://schemas.microsoft.com/office/drawing/2014/main" id="{00000000-0008-0000-4F00-000002000000}"/>
            </a:ext>
          </a:extLst>
        </xdr:cNvPr>
        <xdr:cNvPicPr>
          <a:picLocks noChangeAspect="1"/>
        </xdr:cNvPicPr>
      </xdr:nvPicPr>
      <xdr:blipFill>
        <a:blip xmlns:r="http://schemas.openxmlformats.org/officeDocument/2006/relationships" r:embed="rId1"/>
        <a:stretch>
          <a:fillRect/>
        </a:stretch>
      </xdr:blipFill>
      <xdr:spPr>
        <a:xfrm>
          <a:off x="1310309" y="1"/>
          <a:ext cx="842341" cy="400050"/>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92823</xdr:colOff>
      <xdr:row>1</xdr:row>
      <xdr:rowOff>87922</xdr:rowOff>
    </xdr:from>
    <xdr:to>
      <xdr:col>1</xdr:col>
      <xdr:colOff>287481</xdr:colOff>
      <xdr:row>3</xdr:row>
      <xdr:rowOff>50553</xdr:rowOff>
    </xdr:to>
    <xdr:pic>
      <xdr:nvPicPr>
        <xdr:cNvPr id="2" name="Imagen 1">
          <a:extLst>
            <a:ext uri="{FF2B5EF4-FFF2-40B4-BE49-F238E27FC236}">
              <a16:creationId xmlns:a16="http://schemas.microsoft.com/office/drawing/2014/main" id="{00000000-0008-0000-5000-000002000000}"/>
            </a:ext>
          </a:extLst>
        </xdr:cNvPr>
        <xdr:cNvPicPr>
          <a:picLocks noChangeAspect="1"/>
        </xdr:cNvPicPr>
      </xdr:nvPicPr>
      <xdr:blipFill>
        <a:blip xmlns:r="http://schemas.openxmlformats.org/officeDocument/2006/relationships" r:embed="rId1"/>
        <a:stretch>
          <a:fillRect/>
        </a:stretch>
      </xdr:blipFill>
      <xdr:spPr>
        <a:xfrm>
          <a:off x="92823" y="278422"/>
          <a:ext cx="1232883" cy="3436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171450</xdr:colOff>
      <xdr:row>0</xdr:row>
      <xdr:rowOff>180975</xdr:rowOff>
    </xdr:from>
    <xdr:ext cx="1438275" cy="63817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0</xdr:row>
      <xdr:rowOff>111672</xdr:rowOff>
    </xdr:from>
    <xdr:to>
      <xdr:col>2</xdr:col>
      <xdr:colOff>265689</xdr:colOff>
      <xdr:row>3</xdr:row>
      <xdr:rowOff>111672</xdr:rowOff>
    </xdr:to>
    <xdr:pic>
      <xdr:nvPicPr>
        <xdr:cNvPr id="2" name="Imagen 1">
          <a:extLst>
            <a:ext uri="{FF2B5EF4-FFF2-40B4-BE49-F238E27FC236}">
              <a16:creationId xmlns:a16="http://schemas.microsoft.com/office/drawing/2014/main" id="{00000000-0008-0000-5100-000002000000}"/>
            </a:ext>
          </a:extLst>
        </xdr:cNvPr>
        <xdr:cNvPicPr>
          <a:picLocks noChangeAspect="1"/>
        </xdr:cNvPicPr>
      </xdr:nvPicPr>
      <xdr:blipFill>
        <a:blip xmlns:r="http://schemas.openxmlformats.org/officeDocument/2006/relationships" r:embed="rId1"/>
        <a:stretch>
          <a:fillRect/>
        </a:stretch>
      </xdr:blipFill>
      <xdr:spPr>
        <a:xfrm>
          <a:off x="0" y="111672"/>
          <a:ext cx="2056389" cy="571500"/>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1234108</xdr:colOff>
      <xdr:row>0</xdr:row>
      <xdr:rowOff>74543</xdr:rowOff>
    </xdr:from>
    <xdr:to>
      <xdr:col>2</xdr:col>
      <xdr:colOff>1000556</xdr:colOff>
      <xdr:row>3</xdr:row>
      <xdr:rowOff>74543</xdr:rowOff>
    </xdr:to>
    <xdr:pic>
      <xdr:nvPicPr>
        <xdr:cNvPr id="2" name="Imagen 1">
          <a:extLst>
            <a:ext uri="{FF2B5EF4-FFF2-40B4-BE49-F238E27FC236}">
              <a16:creationId xmlns:a16="http://schemas.microsoft.com/office/drawing/2014/main" id="{00000000-0008-0000-5200-000002000000}"/>
            </a:ext>
          </a:extLst>
        </xdr:cNvPr>
        <xdr:cNvPicPr>
          <a:picLocks noChangeAspect="1"/>
        </xdr:cNvPicPr>
      </xdr:nvPicPr>
      <xdr:blipFill>
        <a:blip xmlns:r="http://schemas.openxmlformats.org/officeDocument/2006/relationships" r:embed="rId1"/>
        <a:stretch>
          <a:fillRect/>
        </a:stretch>
      </xdr:blipFill>
      <xdr:spPr>
        <a:xfrm>
          <a:off x="1596058" y="74543"/>
          <a:ext cx="2052448" cy="571500"/>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720587</xdr:colOff>
      <xdr:row>0</xdr:row>
      <xdr:rowOff>107674</xdr:rowOff>
    </xdr:from>
    <xdr:to>
      <xdr:col>2</xdr:col>
      <xdr:colOff>1124796</xdr:colOff>
      <xdr:row>3</xdr:row>
      <xdr:rowOff>107674</xdr:rowOff>
    </xdr:to>
    <xdr:pic>
      <xdr:nvPicPr>
        <xdr:cNvPr id="2" name="Imagen 1">
          <a:extLst>
            <a:ext uri="{FF2B5EF4-FFF2-40B4-BE49-F238E27FC236}">
              <a16:creationId xmlns:a16="http://schemas.microsoft.com/office/drawing/2014/main" id="{00000000-0008-0000-5300-000002000000}"/>
            </a:ext>
          </a:extLst>
        </xdr:cNvPr>
        <xdr:cNvPicPr>
          <a:picLocks noChangeAspect="1"/>
        </xdr:cNvPicPr>
      </xdr:nvPicPr>
      <xdr:blipFill>
        <a:blip xmlns:r="http://schemas.openxmlformats.org/officeDocument/2006/relationships" r:embed="rId1"/>
        <a:stretch>
          <a:fillRect/>
        </a:stretch>
      </xdr:blipFill>
      <xdr:spPr>
        <a:xfrm>
          <a:off x="1149212" y="107674"/>
          <a:ext cx="2052034" cy="571500"/>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371475</xdr:colOff>
      <xdr:row>0</xdr:row>
      <xdr:rowOff>85725</xdr:rowOff>
    </xdr:from>
    <xdr:to>
      <xdr:col>2</xdr:col>
      <xdr:colOff>1147573</xdr:colOff>
      <xdr:row>3</xdr:row>
      <xdr:rowOff>57150</xdr:rowOff>
    </xdr:to>
    <xdr:pic>
      <xdr:nvPicPr>
        <xdr:cNvPr id="2" name="Imagen 1">
          <a:extLst>
            <a:ext uri="{FF2B5EF4-FFF2-40B4-BE49-F238E27FC236}">
              <a16:creationId xmlns:a16="http://schemas.microsoft.com/office/drawing/2014/main" id="{00000000-0008-0000-5400-000002000000}"/>
            </a:ext>
          </a:extLst>
        </xdr:cNvPr>
        <xdr:cNvPicPr>
          <a:picLocks noChangeAspect="1"/>
        </xdr:cNvPicPr>
      </xdr:nvPicPr>
      <xdr:blipFill>
        <a:blip xmlns:r="http://schemas.openxmlformats.org/officeDocument/2006/relationships" r:embed="rId1"/>
        <a:stretch>
          <a:fillRect/>
        </a:stretch>
      </xdr:blipFill>
      <xdr:spPr>
        <a:xfrm>
          <a:off x="876300" y="85725"/>
          <a:ext cx="2052448" cy="571500"/>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1110284</xdr:colOff>
      <xdr:row>0</xdr:row>
      <xdr:rowOff>0</xdr:rowOff>
    </xdr:from>
    <xdr:to>
      <xdr:col>2</xdr:col>
      <xdr:colOff>104775</xdr:colOff>
      <xdr:row>2</xdr:row>
      <xdr:rowOff>100291</xdr:rowOff>
    </xdr:to>
    <xdr:pic>
      <xdr:nvPicPr>
        <xdr:cNvPr id="2" name="Imagen 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1"/>
        <a:stretch>
          <a:fillRect/>
        </a:stretch>
      </xdr:blipFill>
      <xdr:spPr>
        <a:xfrm>
          <a:off x="1386509" y="0"/>
          <a:ext cx="1185241" cy="576541"/>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60299</xdr:colOff>
      <xdr:row>1</xdr:row>
      <xdr:rowOff>55398</xdr:rowOff>
    </xdr:from>
    <xdr:to>
      <xdr:col>0</xdr:col>
      <xdr:colOff>1291091</xdr:colOff>
      <xdr:row>3</xdr:row>
      <xdr:rowOff>18029</xdr:rowOff>
    </xdr:to>
    <xdr:pic>
      <xdr:nvPicPr>
        <xdr:cNvPr id="2" name="Imagen 1">
          <a:extLst>
            <a:ext uri="{FF2B5EF4-FFF2-40B4-BE49-F238E27FC236}">
              <a16:creationId xmlns:a16="http://schemas.microsoft.com/office/drawing/2014/main" id="{00000000-0008-0000-5600-000002000000}"/>
            </a:ext>
          </a:extLst>
        </xdr:cNvPr>
        <xdr:cNvPicPr>
          <a:picLocks noChangeAspect="1"/>
        </xdr:cNvPicPr>
      </xdr:nvPicPr>
      <xdr:blipFill>
        <a:blip xmlns:r="http://schemas.openxmlformats.org/officeDocument/2006/relationships" r:embed="rId1"/>
        <a:stretch>
          <a:fillRect/>
        </a:stretch>
      </xdr:blipFill>
      <xdr:spPr>
        <a:xfrm>
          <a:off x="60299" y="245898"/>
          <a:ext cx="1230792" cy="343631"/>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0</xdr:colOff>
      <xdr:row>0</xdr:row>
      <xdr:rowOff>111672</xdr:rowOff>
    </xdr:from>
    <xdr:to>
      <xdr:col>2</xdr:col>
      <xdr:colOff>123877</xdr:colOff>
      <xdr:row>3</xdr:row>
      <xdr:rowOff>111672</xdr:rowOff>
    </xdr:to>
    <xdr:pic>
      <xdr:nvPicPr>
        <xdr:cNvPr id="2" name="Imagen 1">
          <a:extLst>
            <a:ext uri="{FF2B5EF4-FFF2-40B4-BE49-F238E27FC236}">
              <a16:creationId xmlns:a16="http://schemas.microsoft.com/office/drawing/2014/main" id="{00000000-0008-0000-5700-000002000000}"/>
            </a:ext>
          </a:extLst>
        </xdr:cNvPr>
        <xdr:cNvPicPr>
          <a:picLocks noChangeAspect="1"/>
        </xdr:cNvPicPr>
      </xdr:nvPicPr>
      <xdr:blipFill>
        <a:blip xmlns:r="http://schemas.openxmlformats.org/officeDocument/2006/relationships" r:embed="rId1"/>
        <a:stretch>
          <a:fillRect/>
        </a:stretch>
      </xdr:blipFill>
      <xdr:spPr>
        <a:xfrm>
          <a:off x="0" y="111672"/>
          <a:ext cx="2047927" cy="571500"/>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1234108</xdr:colOff>
      <xdr:row>0</xdr:row>
      <xdr:rowOff>74543</xdr:rowOff>
    </xdr:from>
    <xdr:to>
      <xdr:col>2</xdr:col>
      <xdr:colOff>1000556</xdr:colOff>
      <xdr:row>3</xdr:row>
      <xdr:rowOff>74543</xdr:rowOff>
    </xdr:to>
    <xdr:pic>
      <xdr:nvPicPr>
        <xdr:cNvPr id="2" name="Imagen 1">
          <a:extLst>
            <a:ext uri="{FF2B5EF4-FFF2-40B4-BE49-F238E27FC236}">
              <a16:creationId xmlns:a16="http://schemas.microsoft.com/office/drawing/2014/main" id="{00000000-0008-0000-5800-000002000000}"/>
            </a:ext>
          </a:extLst>
        </xdr:cNvPr>
        <xdr:cNvPicPr>
          <a:picLocks noChangeAspect="1"/>
        </xdr:cNvPicPr>
      </xdr:nvPicPr>
      <xdr:blipFill>
        <a:blip xmlns:r="http://schemas.openxmlformats.org/officeDocument/2006/relationships" r:embed="rId1"/>
        <a:stretch>
          <a:fillRect/>
        </a:stretch>
      </xdr:blipFill>
      <xdr:spPr>
        <a:xfrm>
          <a:off x="1596058" y="74543"/>
          <a:ext cx="2052448" cy="571500"/>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720587</xdr:colOff>
      <xdr:row>0</xdr:row>
      <xdr:rowOff>107674</xdr:rowOff>
    </xdr:from>
    <xdr:to>
      <xdr:col>2</xdr:col>
      <xdr:colOff>1124796</xdr:colOff>
      <xdr:row>3</xdr:row>
      <xdr:rowOff>107674</xdr:rowOff>
    </xdr:to>
    <xdr:pic>
      <xdr:nvPicPr>
        <xdr:cNvPr id="2" name="Imagen 1">
          <a:extLst>
            <a:ext uri="{FF2B5EF4-FFF2-40B4-BE49-F238E27FC236}">
              <a16:creationId xmlns:a16="http://schemas.microsoft.com/office/drawing/2014/main" id="{00000000-0008-0000-5900-000002000000}"/>
            </a:ext>
          </a:extLst>
        </xdr:cNvPr>
        <xdr:cNvPicPr>
          <a:picLocks noChangeAspect="1"/>
        </xdr:cNvPicPr>
      </xdr:nvPicPr>
      <xdr:blipFill>
        <a:blip xmlns:r="http://schemas.openxmlformats.org/officeDocument/2006/relationships" r:embed="rId1"/>
        <a:stretch>
          <a:fillRect/>
        </a:stretch>
      </xdr:blipFill>
      <xdr:spPr>
        <a:xfrm>
          <a:off x="1149212" y="107674"/>
          <a:ext cx="2052034" cy="571500"/>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371475</xdr:colOff>
      <xdr:row>0</xdr:row>
      <xdr:rowOff>85725</xdr:rowOff>
    </xdr:from>
    <xdr:to>
      <xdr:col>2</xdr:col>
      <xdr:colOff>1147573</xdr:colOff>
      <xdr:row>3</xdr:row>
      <xdr:rowOff>57150</xdr:rowOff>
    </xdr:to>
    <xdr:pic>
      <xdr:nvPicPr>
        <xdr:cNvPr id="2" name="Imagen 1">
          <a:extLst>
            <a:ext uri="{FF2B5EF4-FFF2-40B4-BE49-F238E27FC236}">
              <a16:creationId xmlns:a16="http://schemas.microsoft.com/office/drawing/2014/main" id="{00000000-0008-0000-5A00-000002000000}"/>
            </a:ext>
          </a:extLst>
        </xdr:cNvPr>
        <xdr:cNvPicPr>
          <a:picLocks noChangeAspect="1"/>
        </xdr:cNvPicPr>
      </xdr:nvPicPr>
      <xdr:blipFill>
        <a:blip xmlns:r="http://schemas.openxmlformats.org/officeDocument/2006/relationships" r:embed="rId1"/>
        <a:stretch>
          <a:fillRect/>
        </a:stretch>
      </xdr:blipFill>
      <xdr:spPr>
        <a:xfrm>
          <a:off x="876300" y="85725"/>
          <a:ext cx="2052448" cy="571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95250</xdr:rowOff>
    </xdr:from>
    <xdr:ext cx="1981200" cy="8477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0.xml><?xml version="1.0" encoding="utf-8"?>
<xdr:wsDr xmlns:xdr="http://schemas.openxmlformats.org/drawingml/2006/spreadsheetDrawing" xmlns:a="http://schemas.openxmlformats.org/drawingml/2006/main">
  <xdr:twoCellAnchor editAs="oneCell">
    <xdr:from>
      <xdr:col>1</xdr:col>
      <xdr:colOff>1034084</xdr:colOff>
      <xdr:row>0</xdr:row>
      <xdr:rowOff>0</xdr:rowOff>
    </xdr:from>
    <xdr:to>
      <xdr:col>1</xdr:col>
      <xdr:colOff>1876425</xdr:colOff>
      <xdr:row>1</xdr:row>
      <xdr:rowOff>205465</xdr:rowOff>
    </xdr:to>
    <xdr:pic>
      <xdr:nvPicPr>
        <xdr:cNvPr id="2" name="Imagen 1">
          <a:extLst>
            <a:ext uri="{FF2B5EF4-FFF2-40B4-BE49-F238E27FC236}">
              <a16:creationId xmlns:a16="http://schemas.microsoft.com/office/drawing/2014/main" id="{00000000-0008-0000-5B00-000002000000}"/>
            </a:ext>
          </a:extLst>
        </xdr:cNvPr>
        <xdr:cNvPicPr>
          <a:picLocks noChangeAspect="1"/>
        </xdr:cNvPicPr>
      </xdr:nvPicPr>
      <xdr:blipFill>
        <a:blip xmlns:r="http://schemas.openxmlformats.org/officeDocument/2006/relationships" r:embed="rId1"/>
        <a:stretch>
          <a:fillRect/>
        </a:stretch>
      </xdr:blipFill>
      <xdr:spPr>
        <a:xfrm>
          <a:off x="1310309" y="0"/>
          <a:ext cx="842341" cy="443590"/>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92823</xdr:colOff>
      <xdr:row>1</xdr:row>
      <xdr:rowOff>58836</xdr:rowOff>
    </xdr:from>
    <xdr:to>
      <xdr:col>0</xdr:col>
      <xdr:colOff>1432449</xdr:colOff>
      <xdr:row>3</xdr:row>
      <xdr:rowOff>50554</xdr:rowOff>
    </xdr:to>
    <xdr:pic>
      <xdr:nvPicPr>
        <xdr:cNvPr id="2" name="Imagen 1">
          <a:extLst>
            <a:ext uri="{FF2B5EF4-FFF2-40B4-BE49-F238E27FC236}">
              <a16:creationId xmlns:a16="http://schemas.microsoft.com/office/drawing/2014/main" id="{00000000-0008-0000-5C00-000002000000}"/>
            </a:ext>
          </a:extLst>
        </xdr:cNvPr>
        <xdr:cNvPicPr>
          <a:picLocks noChangeAspect="1"/>
        </xdr:cNvPicPr>
      </xdr:nvPicPr>
      <xdr:blipFill>
        <a:blip xmlns:r="http://schemas.openxmlformats.org/officeDocument/2006/relationships" r:embed="rId1"/>
        <a:stretch>
          <a:fillRect/>
        </a:stretch>
      </xdr:blipFill>
      <xdr:spPr>
        <a:xfrm>
          <a:off x="92823" y="249336"/>
          <a:ext cx="1339626" cy="372718"/>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610585</xdr:colOff>
      <xdr:row>0</xdr:row>
      <xdr:rowOff>105103</xdr:rowOff>
    </xdr:from>
    <xdr:to>
      <xdr:col>2</xdr:col>
      <xdr:colOff>639792</xdr:colOff>
      <xdr:row>3</xdr:row>
      <xdr:rowOff>105103</xdr:rowOff>
    </xdr:to>
    <xdr:pic>
      <xdr:nvPicPr>
        <xdr:cNvPr id="2" name="Imagen 1">
          <a:extLst>
            <a:ext uri="{FF2B5EF4-FFF2-40B4-BE49-F238E27FC236}">
              <a16:creationId xmlns:a16="http://schemas.microsoft.com/office/drawing/2014/main" id="{00000000-0008-0000-5D00-000002000000}"/>
            </a:ext>
          </a:extLst>
        </xdr:cNvPr>
        <xdr:cNvPicPr>
          <a:picLocks noChangeAspect="1"/>
        </xdr:cNvPicPr>
      </xdr:nvPicPr>
      <xdr:blipFill>
        <a:blip xmlns:r="http://schemas.openxmlformats.org/officeDocument/2006/relationships" r:embed="rId1"/>
        <a:stretch>
          <a:fillRect/>
        </a:stretch>
      </xdr:blipFill>
      <xdr:spPr>
        <a:xfrm>
          <a:off x="610585" y="105103"/>
          <a:ext cx="2048507" cy="571500"/>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1234108</xdr:colOff>
      <xdr:row>0</xdr:row>
      <xdr:rowOff>74543</xdr:rowOff>
    </xdr:from>
    <xdr:to>
      <xdr:col>2</xdr:col>
      <xdr:colOff>1903361</xdr:colOff>
      <xdr:row>3</xdr:row>
      <xdr:rowOff>74543</xdr:rowOff>
    </xdr:to>
    <xdr:pic>
      <xdr:nvPicPr>
        <xdr:cNvPr id="2" name="Imagen 1">
          <a:extLst>
            <a:ext uri="{FF2B5EF4-FFF2-40B4-BE49-F238E27FC236}">
              <a16:creationId xmlns:a16="http://schemas.microsoft.com/office/drawing/2014/main" id="{00000000-0008-0000-5E00-000002000000}"/>
            </a:ext>
          </a:extLst>
        </xdr:cNvPr>
        <xdr:cNvPicPr>
          <a:picLocks noChangeAspect="1"/>
        </xdr:cNvPicPr>
      </xdr:nvPicPr>
      <xdr:blipFill>
        <a:blip xmlns:r="http://schemas.openxmlformats.org/officeDocument/2006/relationships" r:embed="rId1"/>
        <a:stretch>
          <a:fillRect/>
        </a:stretch>
      </xdr:blipFill>
      <xdr:spPr>
        <a:xfrm>
          <a:off x="1596058" y="74543"/>
          <a:ext cx="2050378" cy="571500"/>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371475</xdr:colOff>
      <xdr:row>0</xdr:row>
      <xdr:rowOff>85725</xdr:rowOff>
    </xdr:from>
    <xdr:to>
      <xdr:col>1</xdr:col>
      <xdr:colOff>2423923</xdr:colOff>
      <xdr:row>3</xdr:row>
      <xdr:rowOff>57150</xdr:rowOff>
    </xdr:to>
    <xdr:pic>
      <xdr:nvPicPr>
        <xdr:cNvPr id="2" name="Imagen 1">
          <a:extLst>
            <a:ext uri="{FF2B5EF4-FFF2-40B4-BE49-F238E27FC236}">
              <a16:creationId xmlns:a16="http://schemas.microsoft.com/office/drawing/2014/main" id="{00000000-0008-0000-5F00-000002000000}"/>
            </a:ext>
          </a:extLst>
        </xdr:cNvPr>
        <xdr:cNvPicPr>
          <a:picLocks noChangeAspect="1"/>
        </xdr:cNvPicPr>
      </xdr:nvPicPr>
      <xdr:blipFill>
        <a:blip xmlns:r="http://schemas.openxmlformats.org/officeDocument/2006/relationships" r:embed="rId1"/>
        <a:stretch>
          <a:fillRect/>
        </a:stretch>
      </xdr:blipFill>
      <xdr:spPr>
        <a:xfrm>
          <a:off x="876300" y="85725"/>
          <a:ext cx="2052448" cy="571500"/>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1034084</xdr:colOff>
      <xdr:row>0</xdr:row>
      <xdr:rowOff>0</xdr:rowOff>
    </xdr:from>
    <xdr:to>
      <xdr:col>1</xdr:col>
      <xdr:colOff>1876425</xdr:colOff>
      <xdr:row>1</xdr:row>
      <xdr:rowOff>190500</xdr:rowOff>
    </xdr:to>
    <xdr:pic>
      <xdr:nvPicPr>
        <xdr:cNvPr id="2" name="Imagen 1">
          <a:extLst>
            <a:ext uri="{FF2B5EF4-FFF2-40B4-BE49-F238E27FC236}">
              <a16:creationId xmlns:a16="http://schemas.microsoft.com/office/drawing/2014/main" id="{00000000-0008-0000-6000-000002000000}"/>
            </a:ext>
          </a:extLst>
        </xdr:cNvPr>
        <xdr:cNvPicPr>
          <a:picLocks noChangeAspect="1"/>
        </xdr:cNvPicPr>
      </xdr:nvPicPr>
      <xdr:blipFill>
        <a:blip xmlns:r="http://schemas.openxmlformats.org/officeDocument/2006/relationships" r:embed="rId1"/>
        <a:stretch>
          <a:fillRect/>
        </a:stretch>
      </xdr:blipFill>
      <xdr:spPr>
        <a:xfrm>
          <a:off x="1310309" y="0"/>
          <a:ext cx="842341" cy="428625"/>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92823</xdr:colOff>
      <xdr:row>1</xdr:row>
      <xdr:rowOff>58836</xdr:rowOff>
    </xdr:from>
    <xdr:to>
      <xdr:col>0</xdr:col>
      <xdr:colOff>1432449</xdr:colOff>
      <xdr:row>3</xdr:row>
      <xdr:rowOff>50554</xdr:rowOff>
    </xdr:to>
    <xdr:pic>
      <xdr:nvPicPr>
        <xdr:cNvPr id="2" name="Imagen 1">
          <a:extLst>
            <a:ext uri="{FF2B5EF4-FFF2-40B4-BE49-F238E27FC236}">
              <a16:creationId xmlns:a16="http://schemas.microsoft.com/office/drawing/2014/main" id="{00000000-0008-0000-6100-000002000000}"/>
            </a:ext>
          </a:extLst>
        </xdr:cNvPr>
        <xdr:cNvPicPr>
          <a:picLocks noChangeAspect="1"/>
        </xdr:cNvPicPr>
      </xdr:nvPicPr>
      <xdr:blipFill>
        <a:blip xmlns:r="http://schemas.openxmlformats.org/officeDocument/2006/relationships" r:embed="rId1"/>
        <a:stretch>
          <a:fillRect/>
        </a:stretch>
      </xdr:blipFill>
      <xdr:spPr>
        <a:xfrm>
          <a:off x="92823" y="249336"/>
          <a:ext cx="1339626" cy="372718"/>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610585</xdr:colOff>
      <xdr:row>0</xdr:row>
      <xdr:rowOff>105103</xdr:rowOff>
    </xdr:from>
    <xdr:to>
      <xdr:col>2</xdr:col>
      <xdr:colOff>639792</xdr:colOff>
      <xdr:row>3</xdr:row>
      <xdr:rowOff>105103</xdr:rowOff>
    </xdr:to>
    <xdr:pic>
      <xdr:nvPicPr>
        <xdr:cNvPr id="2" name="Imagen 1">
          <a:extLst>
            <a:ext uri="{FF2B5EF4-FFF2-40B4-BE49-F238E27FC236}">
              <a16:creationId xmlns:a16="http://schemas.microsoft.com/office/drawing/2014/main" id="{00000000-0008-0000-6200-000002000000}"/>
            </a:ext>
          </a:extLst>
        </xdr:cNvPr>
        <xdr:cNvPicPr>
          <a:picLocks noChangeAspect="1"/>
        </xdr:cNvPicPr>
      </xdr:nvPicPr>
      <xdr:blipFill>
        <a:blip xmlns:r="http://schemas.openxmlformats.org/officeDocument/2006/relationships" r:embed="rId1"/>
        <a:stretch>
          <a:fillRect/>
        </a:stretch>
      </xdr:blipFill>
      <xdr:spPr>
        <a:xfrm>
          <a:off x="610585" y="105103"/>
          <a:ext cx="2048507" cy="571500"/>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1234108</xdr:colOff>
      <xdr:row>0</xdr:row>
      <xdr:rowOff>74543</xdr:rowOff>
    </xdr:from>
    <xdr:to>
      <xdr:col>2</xdr:col>
      <xdr:colOff>1903361</xdr:colOff>
      <xdr:row>3</xdr:row>
      <xdr:rowOff>74543</xdr:rowOff>
    </xdr:to>
    <xdr:pic>
      <xdr:nvPicPr>
        <xdr:cNvPr id="2" name="Imagen 1">
          <a:extLst>
            <a:ext uri="{FF2B5EF4-FFF2-40B4-BE49-F238E27FC236}">
              <a16:creationId xmlns:a16="http://schemas.microsoft.com/office/drawing/2014/main" id="{00000000-0008-0000-6300-000002000000}"/>
            </a:ext>
          </a:extLst>
        </xdr:cNvPr>
        <xdr:cNvPicPr>
          <a:picLocks noChangeAspect="1"/>
        </xdr:cNvPicPr>
      </xdr:nvPicPr>
      <xdr:blipFill>
        <a:blip xmlns:r="http://schemas.openxmlformats.org/officeDocument/2006/relationships" r:embed="rId1"/>
        <a:stretch>
          <a:fillRect/>
        </a:stretch>
      </xdr:blipFill>
      <xdr:spPr>
        <a:xfrm>
          <a:off x="1596058" y="74543"/>
          <a:ext cx="2050378" cy="571500"/>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371475</xdr:colOff>
      <xdr:row>0</xdr:row>
      <xdr:rowOff>85725</xdr:rowOff>
    </xdr:from>
    <xdr:to>
      <xdr:col>2</xdr:col>
      <xdr:colOff>214123</xdr:colOff>
      <xdr:row>3</xdr:row>
      <xdr:rowOff>57150</xdr:rowOff>
    </xdr:to>
    <xdr:pic>
      <xdr:nvPicPr>
        <xdr:cNvPr id="2" name="Imagen 1">
          <a:extLst>
            <a:ext uri="{FF2B5EF4-FFF2-40B4-BE49-F238E27FC236}">
              <a16:creationId xmlns:a16="http://schemas.microsoft.com/office/drawing/2014/main" id="{00000000-0008-0000-6400-000002000000}"/>
            </a:ext>
          </a:extLst>
        </xdr:cNvPr>
        <xdr:cNvPicPr>
          <a:picLocks noChangeAspect="1"/>
        </xdr:cNvPicPr>
      </xdr:nvPicPr>
      <xdr:blipFill>
        <a:blip xmlns:r="http://schemas.openxmlformats.org/officeDocument/2006/relationships" r:embed="rId1"/>
        <a:stretch>
          <a:fillRect/>
        </a:stretch>
      </xdr:blipFill>
      <xdr:spPr>
        <a:xfrm>
          <a:off x="876300" y="85725"/>
          <a:ext cx="2052448" cy="5715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gomez.UPME\Documents\UPME%202020\Documents\Mapas%20de%20riesgos\Mapa%20de%20riesgos%20CONVOCATORIA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sgomez.UPME\Documents\UPME%202020\Documents\Mapas%20de%20riesgos\Mapa%20de%20riesgos.%20Direccionamiento%20Estrat&#233;gico.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sgomez.UPME\Documents\UPME%202020\Documents\Mapas%20de%20riesgos\Mapa%20de%20Riesgos.%20Divulgaci&#243;n.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sgomez.UPME\Documents\UPME%202020\Documents\Mapas%20de%20riesgos\Mapa%20de%20riesgos.%20Gestion%20administrativa.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sgomez.UPME\Documents\UPME%202020\Documents\Mapas%20de%20riesgos\Mapa%20de%20riesgos.%20Gesti&#243;n%20Contractual.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sgomez.UPME\Documents\UPME%202020\Documents\Mapas%20de%20riesgos\Mapa%20de%20Riesgos.%20Gesti&#243;n%20de%20las%20TIC.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sgomez.UPME\Documents\UPME%202020\Documents\Mapas%20de%20riesgos\Mapa%20de%20riesgos.%20Gesti&#243;n%20Del%20Talento%20Human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sgomez.UPME\Documents\UPME%202020\Documents\Mapas%20de%20riesgos\Mapa%20de%20riesgos.%20Gesti&#243;n%20Documental.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sgomez.UPME\Documents\UPME%202020\Documents\Mapas%20de%20riesgos\Mapa%20de%20riesgos.%20Gesti&#243;n%20Financiera.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sgomez.UPME\Documents\UPME%202020\Documents\Mapas%20de%20riesgos\Mapa%20de%20riesgos.%20Gestion%20Juridica.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sgomez.UPME\Documents\UPME%202020\Documents\Mapas%20de%20riesgos\Mapa%20de%20riesgos.%20Informaci&#243;n%20sectori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omez.UPME\Documents\UPME%202020\Documents\Mapas%20de%20riesgos\Mapa%20de%20riesgos%20DEMANDA%20Y%20PROSPECTIVA.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sgomez.UPME\Documents\UPME%202020\Documents\Mapas%20de%20riesgos\Mapa%20de%20riesgos.%20Mejora%20Continu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omez.UPME\Documents\UPME%202020\Documents\Mapas%20de%20riesgos\Mapa%20de%20riesgos%20EVALUACI&#211;N%20Y%20CONTRO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sgomez.UPME\Documents\UPME%202020\Documents\Mapas%20de%20riesgos\Mapa%20de%20riesgos%20FONDOS%20ENERG&#201;TICOS%20Y%20PROYECTOS%20PARA%20COBERTUR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sgomez.UPME\Documents\UPME%202020\Documents\Mapas%20de%20riesgos\Mapa%20de%20riesgos%20PEI%20ENERG&#204;A%20EL&#200;CTRIC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sgomez.UPME\Documents\UPME%202020\Documents\Mapas%20de%20riesgos\Mapa%20de%20riesgos%20PEI%20HIDROCARBURO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sgomez.UPME\Documents\UPME%202020\Documents\Mapas%20de%20riesgos\Mapa%20de%20riesgos%20PEI%20MINERI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sgomez.UPME\Documents\UPME%202020\Documents\Mapas%20de%20riesgos\Mapa%20de%20riesgos.%20Atencion%20ciudadan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sgomez.UPME\Documents\UPME%202020\Documents\Mapas%20de%20riesgos\Mapa%20de%20Riesgos.%20Comunicaci&#243;n%20Estrat&#233;gic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Contexto"/>
      <sheetName val="Identificación del Riesgo"/>
      <sheetName val="Analisis Riesgo"/>
      <sheetName val="Analisis Riesgo Corrupcion"/>
      <sheetName val="Matriz de Riesgo"/>
      <sheetName val="Controles"/>
      <sheetName val="Mapa de Calor"/>
      <sheetName val="RESUMEN"/>
      <sheetName val="Cuadro de Cambios"/>
      <sheetName val="Datos"/>
    </sheetNames>
    <sheetDataSet>
      <sheetData sheetId="0" refreshError="1"/>
      <sheetData sheetId="1" refreshError="1"/>
      <sheetData sheetId="2">
        <row r="5">
          <cell r="D5" t="str">
            <v>CONVOCATORIA</v>
          </cell>
        </row>
        <row r="6">
          <cell r="D6" t="str">
            <v xml:space="preserve">Adelantar las convocatorias de transmisión eléctrica de manera eficaz y realizar el seguimiento para establecer controles o alertas en la ejecución de la obra. </v>
          </cell>
        </row>
        <row r="9">
          <cell r="D9">
            <v>1</v>
          </cell>
          <cell r="E9" t="str">
            <v>Ineficacia de los procesos de convocatoria de transmisión.</v>
          </cell>
          <cell r="H9" t="str">
            <v>-No contar con los insumos para dar inicio al proceso de convocatoria (garantías de los usuarios, renuncias de los operadores y transportadores e información técnica de los puntos y costos de conexión).
-Limitados recursos (personas) para atender multiples procesos de manera simultánea.
-Propuestas no válidas por no cumplimiento de aspectos técnicos y/o económicos definidos por la UPME y por la CREG.
-No concurrencia de inversionistas al proceso de convocatoria.
-Demoras en la selección del interventor del proyecto.</v>
          </cell>
        </row>
        <row r="10">
          <cell r="D10">
            <v>2</v>
          </cell>
          <cell r="E10" t="str">
            <v>Ineficacia en el seguimiento y control de los proyectos de transmisiòn</v>
          </cell>
          <cell r="H10" t="str">
            <v>-Debido a que el inversionista no hace entrega de la información necesaria para el seguimiento y control.
-Debido a que el interventor no realice los análisis y validaciones correspondientes con la calidad requerida en los tiempos establecidos.
- No expedición de certificado de cumplimiento debido a pendientes por parte del inversionista.
-Limitados recursos de planta (personas) para atender el seguimiento de los proyectos.</v>
          </cell>
        </row>
        <row r="11">
          <cell r="D11">
            <v>3</v>
          </cell>
          <cell r="E11" t="str">
            <v>Conflicto de interés en el proceso de evaluación de Convocatoria.</v>
          </cell>
          <cell r="H11" t="str">
            <v>- Por relaciones de consaguinidad y afinidad.
- Por pertenencia o procedencia de otras organizaciones.
- Por interés personales.
- Direrencias entre los evaluadores.</v>
          </cell>
        </row>
      </sheetData>
      <sheetData sheetId="3">
        <row r="7">
          <cell r="K7" t="str">
            <v>Aplicar niveles de autorización de emisión y publicación de los Documentos de Selección.</v>
          </cell>
          <cell r="L7" t="str">
            <v>Se aplica control de gestión de elaboración, revisión y aprobación de los Documentos de Selección. Están definidos los responsables que en este caso son los Profesionales del Grupo de Convocatorias, el Coordinador del Grupo y el Subdirector de Energía Eléctrica.  Se aplica cada vez que se finaliza la elaboración de documentos de Selección. El propósito del control es evitar errores en los documentos de selección del inversionista e interventor en la Convocatorias Públicas de Transmisión.</v>
          </cell>
        </row>
        <row r="8">
          <cell r="K8" t="str">
            <v>Divulgar las Convocatorias Públicas.</v>
          </cell>
          <cell r="L8" t="str">
            <v>Se realiza la divulgación de documentos a través de los canales de información disponibles. Existe un medio determinado para ello en la página web de la entidad, existe un nivel de autorización para divulgar y publicar documentos asignada al Coordinador del Grupo de Convocatorias y al Subdirector de Energía Eléctrica. El propósito del control es comunicar a las partes interesadas a participar en el proceso de Convocatorias Públicas de Transmisión.</v>
          </cell>
        </row>
        <row r="9">
          <cell r="K9" t="str">
            <v>Aplicar niveles de Autorización de emisión y publicación Adendas.</v>
          </cell>
          <cell r="L9" t="str">
            <v>Se aplica control de gestión de elaboración, revisión y aprobación de Adendas.  Adicionalmente existe control sobre el responsable de autorizar la publicación de la adenda. El propósito del control es ajustar o aclarar las condiciones determinadas en los documentos de selección buscando exista un proceso transparente y exista participación de los interesados en el proceso de Convocatorias Públicas de Transmisión.</v>
          </cell>
        </row>
        <row r="10">
          <cell r="K10" t="str">
            <v>Elaborar oficios con solicitud de información técnica y costos de conexión, solicitudes de garantías, los cuales tienen niveles de autorización para su emisión.</v>
          </cell>
          <cell r="L10" t="str">
            <v>Se aplica control de gestión de elaboración, revisión y aprobación de los Documentos de Selección.  Están definidos los responsables que en este caso son los Profesionales del Grupo de Convocatorias, el Coordinador del Grupo y el Subdirector de Energía Eléctrica. El propósito del control es efectuar revisión preliminar a  la emisión de la información técnica para evitar la salida de información sin verificación de la calidad.</v>
          </cell>
        </row>
        <row r="11">
          <cell r="K11" t="str">
            <v>Realizar designación del comité evaluador.</v>
          </cell>
          <cell r="L11" t="str">
            <v>Se realiza designación de personal competente, idoneo y multidisciplinario para ejecutar el proceso de evaluación de las convocatorias.</v>
          </cell>
        </row>
        <row r="12">
          <cell r="K12" t="str">
            <v>Registrar los resultados de las Audiencias de Presentación del Proyecto y de Selección del Inversionista.</v>
          </cell>
          <cell r="L12" t="str">
            <v>Se registran los hechos ocurridos durante las Audiencias de Selección  documentando en actas, en las que se registra la actividades o de presentación del proyecto y de resultados.</v>
          </cell>
        </row>
        <row r="14">
          <cell r="K14" t="str">
            <v>Realizar y presentar  informes mensuales a partes interesadas.</v>
          </cell>
          <cell r="L14" t="str">
            <v>Se remiten informes a diferentes a partes interesadas, estos informes contienen el avance de proyectos objeto de convocatoria. (Minminas, CAPT, CNOO). La elaboración de estos informes tienen como propósito efectuar seguimiento a la ejecución de los proyectos e identificar retrasos y alertas que permitan tomar decisiones al sector.</v>
          </cell>
        </row>
        <row r="15">
          <cell r="K15" t="str">
            <v>Verificar los informes de interventoria</v>
          </cell>
          <cell r="L15" t="str">
            <v>Se revisan los informes de interventoría ya sea para realizar comentarios a los informes o emitir la aprobación. Existe responsables asignados en revisar la conformidad de los informes con el propósito de verificar el cumplimiento de los requisitos establecidos en los proyectos</v>
          </cell>
        </row>
        <row r="16">
          <cell r="K16" t="str">
            <v>Realizar solicitudes de información al inversionista.</v>
          </cell>
          <cell r="L16" t="str">
            <v>Cada vez que se requiere se solicita información a los inversionistas. El propósito del control es indagar sobre el estado de avance de los proyectos y permitir generar alertas para la toma de decisiones del sector. El control es ejercido por los profesionales con la autorización del coordinador del grupo de convocatorias y el subdirector de energía eléctrica.</v>
          </cell>
        </row>
        <row r="17">
          <cell r="K17" t="str">
            <v>Solicitar recursos para necesidades de personal.</v>
          </cell>
          <cell r="L17" t="str">
            <v>Cada vez que se requiere personal para atender las demandas y necesidades del Grupo Interno de Trabajo Convocatorias.</v>
          </cell>
        </row>
        <row r="18">
          <cell r="K18" t="str">
            <v>Aplicar formato declaración de conflictos de interés.</v>
          </cell>
          <cell r="L18" t="str">
            <v>Aplicación de los formatos determinados por la Función Pública para la declaración de conflictos de interés, como un instrumento de concientización de los límites de las actuaciones humanas en el marco de la ética.</v>
          </cell>
        </row>
        <row r="19">
          <cell r="K19" t="str">
            <v>Participar en actividades de socialización y divulgación del Código de Integridad.</v>
          </cell>
          <cell r="L19" t="str">
            <v>Participar en las actividades de formación, socialización y divulgación del Código de Integridad, Transparencia y Lucha Contra la Corrupción, que permitan la concientización de los servidores públicos.</v>
          </cell>
        </row>
        <row r="20">
          <cell r="K20" t="str">
            <v>Realizar designación del comité evaluador.</v>
          </cell>
          <cell r="L20" t="str">
            <v>Se realiza designación de personal competente, idóneo y multidisciplinario para ejecutar el proceso de evaluación de las convocatorias.</v>
          </cell>
        </row>
      </sheetData>
      <sheetData sheetId="4" refreshError="1"/>
      <sheetData sheetId="5" refreshError="1"/>
      <sheetData sheetId="6">
        <row r="9">
          <cell r="T9">
            <v>100</v>
          </cell>
          <cell r="W9">
            <v>1</v>
          </cell>
          <cell r="X9">
            <v>0</v>
          </cell>
          <cell r="AB9" t="str">
            <v>No</v>
          </cell>
        </row>
        <row r="10">
          <cell r="T10">
            <v>100</v>
          </cell>
          <cell r="W10">
            <v>0</v>
          </cell>
          <cell r="X10">
            <v>1</v>
          </cell>
          <cell r="AB10" t="str">
            <v>SI</v>
          </cell>
        </row>
        <row r="11">
          <cell r="T11">
            <v>100</v>
          </cell>
          <cell r="W11">
            <v>1</v>
          </cell>
          <cell r="X11">
            <v>0</v>
          </cell>
          <cell r="AB11" t="str">
            <v>No</v>
          </cell>
        </row>
        <row r="13">
          <cell r="T13">
            <v>100</v>
          </cell>
          <cell r="W13">
            <v>1</v>
          </cell>
          <cell r="X13">
            <v>0</v>
          </cell>
          <cell r="AB13" t="str">
            <v>No</v>
          </cell>
        </row>
        <row r="14">
          <cell r="T14">
            <v>100</v>
          </cell>
          <cell r="W14">
            <v>1</v>
          </cell>
          <cell r="X14">
            <v>0</v>
          </cell>
          <cell r="AB14" t="str">
            <v>No</v>
          </cell>
        </row>
        <row r="15">
          <cell r="T15">
            <v>100</v>
          </cell>
          <cell r="W15">
            <v>1</v>
          </cell>
          <cell r="X15">
            <v>0</v>
          </cell>
          <cell r="AB15" t="str">
            <v>No</v>
          </cell>
        </row>
        <row r="16">
          <cell r="T16">
            <v>100</v>
          </cell>
          <cell r="W16">
            <v>0</v>
          </cell>
          <cell r="X16">
            <v>1</v>
          </cell>
          <cell r="AB16" t="str">
            <v>SI</v>
          </cell>
        </row>
        <row r="17">
          <cell r="T17">
            <v>100</v>
          </cell>
          <cell r="W17">
            <v>1</v>
          </cell>
          <cell r="X17">
            <v>0</v>
          </cell>
          <cell r="AB17" t="str">
            <v>No</v>
          </cell>
        </row>
        <row r="18">
          <cell r="T18">
            <v>100</v>
          </cell>
          <cell r="W18">
            <v>1</v>
          </cell>
          <cell r="X18">
            <v>0</v>
          </cell>
          <cell r="AB18" t="str">
            <v>No</v>
          </cell>
        </row>
        <row r="19">
          <cell r="T19">
            <v>100</v>
          </cell>
          <cell r="W19">
            <v>0</v>
          </cell>
          <cell r="X19">
            <v>1</v>
          </cell>
          <cell r="AB19" t="str">
            <v>SI</v>
          </cell>
        </row>
        <row r="20">
          <cell r="T20">
            <v>100</v>
          </cell>
          <cell r="W20">
            <v>1</v>
          </cell>
          <cell r="X20">
            <v>0</v>
          </cell>
          <cell r="AB20" t="str">
            <v>No</v>
          </cell>
        </row>
        <row r="21">
          <cell r="T21">
            <v>100</v>
          </cell>
          <cell r="W21">
            <v>1</v>
          </cell>
          <cell r="X21">
            <v>0</v>
          </cell>
          <cell r="AB21" t="str">
            <v>No</v>
          </cell>
        </row>
      </sheetData>
      <sheetData sheetId="7" refreshError="1"/>
      <sheetData sheetId="8" refreshError="1"/>
      <sheetData sheetId="9" refreshError="1"/>
      <sheetData sheetId="10">
        <row r="7">
          <cell r="V7">
            <v>1</v>
          </cell>
          <cell r="W7">
            <v>2</v>
          </cell>
          <cell r="X7">
            <v>3</v>
          </cell>
          <cell r="Y7">
            <v>4</v>
          </cell>
          <cell r="Z7">
            <v>5</v>
          </cell>
        </row>
        <row r="8">
          <cell r="G8" t="str">
            <v>Más de 1 vez al año.</v>
          </cell>
          <cell r="H8">
            <v>5</v>
          </cell>
          <cell r="I8" t="str">
            <v>Casi Seguro</v>
          </cell>
          <cell r="J8" t="str">
            <v>Se espera que el evento ocurra en la mayoría de las circunstancias.</v>
          </cell>
          <cell r="K8" t="str">
            <v>Catastrófico</v>
          </cell>
          <cell r="L8">
            <v>5</v>
          </cell>
          <cell r="M8" t="str">
            <v>Catastrófico</v>
          </cell>
          <cell r="U8">
            <v>5</v>
          </cell>
          <cell r="V8" t="str">
            <v>ALTO</v>
          </cell>
          <cell r="W8" t="str">
            <v>ALTO</v>
          </cell>
          <cell r="X8" t="str">
            <v>EXTREMO</v>
          </cell>
          <cell r="Y8" t="str">
            <v>EXTREMO</v>
          </cell>
          <cell r="Z8" t="str">
            <v>EXTREMO</v>
          </cell>
        </row>
        <row r="9">
          <cell r="G9" t="str">
            <v>Al menos 1 vez en el último año.</v>
          </cell>
          <cell r="H9">
            <v>4</v>
          </cell>
          <cell r="I9" t="str">
            <v>Probable</v>
          </cell>
          <cell r="J9" t="str">
            <v>Es viable que el evento ocurra en la mayoría de las circunstancias.</v>
          </cell>
          <cell r="K9" t="str">
            <v>Mayor</v>
          </cell>
          <cell r="L9">
            <v>4</v>
          </cell>
          <cell r="M9" t="str">
            <v>Mayor</v>
          </cell>
          <cell r="U9">
            <v>4</v>
          </cell>
          <cell r="V9" t="str">
            <v>MODERADO</v>
          </cell>
          <cell r="W9" t="str">
            <v>ALTO</v>
          </cell>
          <cell r="X9" t="str">
            <v>ALTO</v>
          </cell>
          <cell r="Y9" t="str">
            <v>EXTREMO</v>
          </cell>
          <cell r="Z9" t="str">
            <v>EXTREMO</v>
          </cell>
        </row>
        <row r="10">
          <cell r="G10" t="str">
            <v>Al menos 1 vez en los últimos 2 años.</v>
          </cell>
          <cell r="H10">
            <v>3</v>
          </cell>
          <cell r="I10" t="str">
            <v>Posible</v>
          </cell>
          <cell r="J10" t="str">
            <v>El evento podrá ocurrir en algún momento.</v>
          </cell>
          <cell r="K10" t="str">
            <v>Moderado</v>
          </cell>
          <cell r="L10">
            <v>3</v>
          </cell>
          <cell r="M10" t="str">
            <v>Moderado</v>
          </cell>
          <cell r="U10">
            <v>3</v>
          </cell>
          <cell r="V10" t="str">
            <v>BAJO</v>
          </cell>
          <cell r="W10" t="str">
            <v>MODERADO</v>
          </cell>
          <cell r="X10" t="str">
            <v>ALTO</v>
          </cell>
          <cell r="Y10" t="str">
            <v>EXTREMO</v>
          </cell>
          <cell r="Z10" t="str">
            <v>EXTREMO</v>
          </cell>
        </row>
        <row r="11">
          <cell r="G11" t="str">
            <v>Al menos 1 vez en los últimos 5 años.</v>
          </cell>
          <cell r="H11">
            <v>2</v>
          </cell>
          <cell r="I11" t="str">
            <v>Improbable</v>
          </cell>
          <cell r="J11" t="str">
            <v>El evento puede ocurrir en algún momento.</v>
          </cell>
          <cell r="K11" t="str">
            <v>Menor</v>
          </cell>
          <cell r="L11">
            <v>2</v>
          </cell>
          <cell r="M11" t="str">
            <v>Menor</v>
          </cell>
          <cell r="U11">
            <v>2</v>
          </cell>
          <cell r="V11" t="str">
            <v>BAJO</v>
          </cell>
          <cell r="W11" t="str">
            <v>BAJO</v>
          </cell>
          <cell r="X11" t="str">
            <v>MODERADO</v>
          </cell>
          <cell r="Y11" t="str">
            <v>ALTO</v>
          </cell>
          <cell r="Z11" t="str">
            <v>EXTREMO</v>
          </cell>
        </row>
        <row r="12">
          <cell r="G12" t="str">
            <v>No se ha presentado en los últimos 5 años.</v>
          </cell>
          <cell r="H12">
            <v>1</v>
          </cell>
          <cell r="I12" t="str">
            <v>Rara vez</v>
          </cell>
          <cell r="J12" t="str">
            <v>El evento puede ocurrir solo en circunstancias excepcionales (poco comunes o anormales)</v>
          </cell>
          <cell r="K12" t="str">
            <v>Insignificante</v>
          </cell>
          <cell r="L12">
            <v>1</v>
          </cell>
          <cell r="M12" t="str">
            <v>Insignificante</v>
          </cell>
          <cell r="U12">
            <v>1</v>
          </cell>
          <cell r="V12" t="str">
            <v>BAJO</v>
          </cell>
          <cell r="W12" t="str">
            <v>BAJO</v>
          </cell>
          <cell r="X12" t="str">
            <v>MODERADO</v>
          </cell>
          <cell r="Y12" t="str">
            <v>ALTO</v>
          </cell>
          <cell r="Z12" t="str">
            <v>EXTREMO</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Contexto"/>
      <sheetName val="Identificación del Riesgo"/>
      <sheetName val="Analisis Riesgo"/>
      <sheetName val="Analisis Riesgo Corrupcion"/>
      <sheetName val="Matriz de Riesgo"/>
      <sheetName val="Controles"/>
      <sheetName val="Mapa de riesgos"/>
      <sheetName val="Mapa de Calor"/>
      <sheetName val="Cuadro de Cambios"/>
      <sheetName val="Datos"/>
    </sheetNames>
    <sheetDataSet>
      <sheetData sheetId="0" refreshError="1"/>
      <sheetData sheetId="1" refreshError="1"/>
      <sheetData sheetId="2">
        <row r="9">
          <cell r="E9" t="str">
            <v>Formulación de la planeación integral minero energética sin contemplar variables estratégicas.</v>
          </cell>
          <cell r="H9" t="str">
            <v>Desconocimiento de la oferta de valor de la entidad 
en territorio.
Baja participación de los grupos de interés en la fase de planeación.
Insuficiente capacidad de reacción institucional para incorporar en la planificación las nuevas funciones hacia la entidad.
Falta de apropiación de los servidores publicos sobre su aporte al cumplimiento de metas institucionales.</v>
          </cell>
          <cell r="I9" t="str">
            <v>Cambios en la priorización de actividades que afecten la financiación de aquellas no programadas .</v>
          </cell>
        </row>
        <row r="10">
          <cell r="E10" t="str">
            <v>Generación de impactos poco significativos en el cumplimiento de las metas sectoriales y Plan Nacional de Desarrollo</v>
          </cell>
          <cell r="H10" t="str">
            <v>Dificultades en la articulación interinstitucional con  entidades y agremiaciones de los territorios.</v>
          </cell>
          <cell r="I10" t="str">
            <v>Pérdida de credibilidad en el sector que conlleve a 
Insuficiencia de los recursos económicos para el desarrollo del Plan estratégico Institucional.</v>
          </cell>
        </row>
        <row r="11">
          <cell r="E11" t="str">
            <v>Vulnerabilidad institucional para llevar a cabo actividades en el marco de emergencias sanitarias y económicas que se presenten para asegurar la continuidad del negocio.</v>
          </cell>
          <cell r="H11" t="str">
            <v xml:space="preserve">Afectaciones a las actividades planeadas desde el rubro de inversión que se han visto afectadas por la reducción en tiempos de ejecución y restricciones de los desplazamientos.
</v>
          </cell>
          <cell r="I11" t="str">
            <v>Reducción de alcances en diferentes proyectos que afectan la misionalidad de la entidad.</v>
          </cell>
        </row>
        <row r="12">
          <cell r="E12" t="str">
            <v>Demoras en la ejecución de las actividades programadas de los proyectos de inversión.</v>
          </cell>
          <cell r="H12" t="str">
            <v>Los procedimientos actuales no tienen en cuenta de manera integral los aspectos legales, regulatorios y socio-ambientales en la fase de planeación para el desarrollo las actividades dentro de los tiempos establecidos.</v>
          </cell>
          <cell r="I12" t="str">
            <v>Falta de credibilidad en el sector.</v>
          </cell>
        </row>
        <row r="13">
          <cell r="E13" t="str">
            <v>Obtener resultados en el FURAG que no evidencien la mejora continua en la entidad.</v>
          </cell>
          <cell r="H13" t="str">
            <v>Falta de apropiación interna ante los Cambios metodológicos y reglamentarios en el marco del Modelo Integrado de Planeación y Gestión.
Demoras por parte de los procesos al momento de reportar información para los seguimientos.</v>
          </cell>
          <cell r="I13" t="str">
            <v>Falta de credibilidad en el sector.
Hallazgos disciplinarios.
Hallazgos de control interno.</v>
          </cell>
        </row>
        <row r="14">
          <cell r="E14" t="str">
            <v>Incumplimiento de objetivos institucionales y sectoriales aplicables.</v>
          </cell>
          <cell r="H14" t="str">
            <v>Falta de apropiación de la planeación estratégica por parte de todos los Servidores Públicos de la entidad.
Falta de tableros de control que permitan realizar seguimientos oportunos a la planeación estratégica institucional.
Diferencias en la presentación de la información a partir de la misma fuente para la articulación de los reportes de la gestión presupuestal.</v>
          </cell>
          <cell r="I14" t="str">
            <v>Falta de credibilidad en el sector.
Hallazgos disciplinarios.
Hallazgos de control interno.</v>
          </cell>
        </row>
        <row r="15">
          <cell r="E15" t="str">
            <v>Destinación inadecuada de recursos.</v>
          </cell>
          <cell r="H15" t="str">
            <v>Ausencia de controles de verificación sobre la información de acciónes, actividades, productos y proyecto de inversión.</v>
          </cell>
          <cell r="I15" t="str">
            <v>Hallazgos disciplinarios y fiscales.
Incumplimiento de principios de económicos.</v>
          </cell>
        </row>
        <row r="16">
          <cell r="E16" t="str">
            <v>Publicar el Plan Anual de Adquisiciones fuera del plazo establecido.</v>
          </cell>
          <cell r="H16" t="str">
            <v>No planificar adecuadamente las instancias para la identificación de necesidades de las dependencias que posteriormente serán objetos contractuales.</v>
          </cell>
          <cell r="I16" t="str">
            <v>Incumplimiento del manual de contratación.
No brindar la información con principios de transparencia.
Hallazgos disciplinarios</v>
          </cell>
        </row>
        <row r="17">
          <cell r="E17" t="str">
            <v>Formular proyectos de inversión que no resuelvan los problemas que lo originan.</v>
          </cell>
          <cell r="H17" t="str">
            <v>No desarrollar adecuadamente la metodología del marco lógico en la formulación del problema y definición del objetivo del proyecto.
No formular ni gestionar adecuadamente los productos o entregables de los proyectos de inversión.
No gestionar adecuadamente el seguimiento a los proyectos de inversión.
No estructurar adecuadamente el proyecto en la herramienta SUIFP</v>
          </cell>
          <cell r="I17" t="str">
            <v>Conceptos previos.
No validación Sectorial.
Destinación indebida de recursos.</v>
          </cell>
        </row>
        <row r="18">
          <cell r="E18" t="str">
            <v xml:space="preserve">Omisión intensionada de información de plan anual de adquisiciones y actividades de proyectos de inversión dirigidas a las partes interesadas internas y externas </v>
          </cell>
          <cell r="H18" t="str">
            <v>Falta de verificación de aspectos de completitud y exactitud en el contenido de la información divulgada.
Inadecuada segregación de funciones de verificación.
Desconocimiento de roles.</v>
          </cell>
          <cell r="I18" t="str">
            <v>Investigaciones disciplinarias y penales.</v>
          </cell>
        </row>
      </sheetData>
      <sheetData sheetId="3">
        <row r="7">
          <cell r="F7" t="str">
            <v>Posible</v>
          </cell>
          <cell r="G7" t="str">
            <v>Catastrófico</v>
          </cell>
          <cell r="I7" t="str">
            <v>EXTREMO</v>
          </cell>
          <cell r="K7" t="str">
            <v>No se identifica control.</v>
          </cell>
          <cell r="L7" t="str">
            <v>No se identifica control.</v>
          </cell>
          <cell r="U7" t="str">
            <v>Posible</v>
          </cell>
          <cell r="V7" t="str">
            <v>Catastrófico</v>
          </cell>
          <cell r="W7" t="str">
            <v>EXTREMO</v>
          </cell>
          <cell r="X7" t="str">
            <v>Reducir el riesgo</v>
          </cell>
        </row>
        <row r="8">
          <cell r="F8" t="str">
            <v>Improbable</v>
          </cell>
          <cell r="G8" t="str">
            <v>Mayor</v>
          </cell>
          <cell r="I8" t="str">
            <v>ALTO</v>
          </cell>
          <cell r="K8" t="str">
            <v xml:space="preserve">Espacios en el comité de dirección </v>
          </cell>
          <cell r="L8" t="str">
            <v>El comité de dirección es la instancia de para conocer, analizar, estudiar, recomendar, asesorar y decidir respecto de la formulación de políticas, normas, conceptos y procedimientos tanto para la administración de recursos humanos, fisicos y financieros de la unidad.</v>
          </cell>
          <cell r="U8" t="str">
            <v>Rara vez</v>
          </cell>
          <cell r="V8" t="str">
            <v>Moderado</v>
          </cell>
          <cell r="W8" t="str">
            <v>MODERADO</v>
          </cell>
          <cell r="X8" t="str">
            <v>Reducir el riesgo</v>
          </cell>
        </row>
        <row r="9">
          <cell r="F9" t="str">
            <v>Probable</v>
          </cell>
          <cell r="G9" t="str">
            <v>Mayor</v>
          </cell>
          <cell r="I9" t="str">
            <v>EXTREMO</v>
          </cell>
          <cell r="K9" t="str">
            <v>Matriz de Acuerdos de gestión sectoriales.</v>
          </cell>
          <cell r="L9" t="str">
            <v xml:space="preserve">El relacionamiento entre la UPME y las entidades sectoriales es parcialmente
articulado para la planeación y gestión del sector minero energético en el territorio.
Progresiva participación de la UPME propiciando acuerdos del SME con los
otros sectores para el relacionamiento territorial. </v>
          </cell>
          <cell r="U9" t="str">
            <v>Posible</v>
          </cell>
          <cell r="V9" t="str">
            <v>Mayor</v>
          </cell>
          <cell r="W9" t="str">
            <v>EXTREMO</v>
          </cell>
          <cell r="X9" t="str">
            <v>Reducir el riesgo</v>
          </cell>
        </row>
        <row r="10">
          <cell r="F10" t="str">
            <v>Probable</v>
          </cell>
          <cell r="G10" t="str">
            <v>Mayor</v>
          </cell>
          <cell r="I10" t="str">
            <v>EXTREMO</v>
          </cell>
          <cell r="K10" t="str">
            <v>Procedimiento de formulación, ejecución y seguimiento de Proyectos de Inversión.
Seguimiento a los acuerdos de gestión en comité de dirección.</v>
          </cell>
          <cell r="L10" t="str">
            <v xml:space="preserve">Procedimieno que permite presentar e inscribir proyectos de inversión viables, que cumplan con los requisitos legales y normativos exigidos, para obtener financiamiento del Presupuesto General de la Nación, y poder desarrollarlos en el marco de Art 5° del Decreto 2844 de 2010 </v>
          </cell>
          <cell r="U10" t="str">
            <v>Posible</v>
          </cell>
          <cell r="V10" t="str">
            <v>Moderado</v>
          </cell>
          <cell r="W10" t="str">
            <v>ALTO</v>
          </cell>
          <cell r="X10" t="str">
            <v>Reducir el riesgo</v>
          </cell>
        </row>
        <row r="11">
          <cell r="F11" t="str">
            <v>Probable</v>
          </cell>
          <cell r="G11" t="str">
            <v>Mayor</v>
          </cell>
          <cell r="I11" t="str">
            <v>EXTREMO</v>
          </cell>
          <cell r="K11" t="str">
            <v>Autodiagnósticos MIPG y Comité de Gestión y Desempeño Institucional.</v>
          </cell>
          <cell r="L11" t="str">
            <v>Herramienta de autodiagnóstico que permite a cada entidad pública desarrollar su propio ejercicio de valoración del estado de cada una de las dimensiones en las cuales se estructura MIPG.</v>
          </cell>
          <cell r="U11" t="str">
            <v>Probable</v>
          </cell>
          <cell r="V11" t="str">
            <v>Mayor</v>
          </cell>
          <cell r="W11" t="str">
            <v>EXTREMO</v>
          </cell>
          <cell r="X11" t="str">
            <v>Reducir el riesgo</v>
          </cell>
        </row>
        <row r="12">
          <cell r="F12" t="str">
            <v>Posible</v>
          </cell>
          <cell r="G12" t="str">
            <v>Mayor</v>
          </cell>
          <cell r="I12" t="str">
            <v>EXTREMO</v>
          </cell>
          <cell r="K12" t="str">
            <v xml:space="preserve">Fichas técnicas de contratos </v>
          </cell>
          <cell r="L12" t="str">
            <v>“Formato” en el que se detallan todas las
características del bien y/o servicio a adquirir y dentro del cual se incluyen, entre otros, la composición,
características físicas y técnicas, modos de uso, códigos de las actividades, legislación aplicable, obligaciones
generales y/o específicas, plazo y forma de pago del bien y/o servicio, matriz de riesgos, lugar y plazo de
ejecución y forma de pago.</v>
          </cell>
          <cell r="U12" t="str">
            <v>Improbable</v>
          </cell>
          <cell r="V12" t="str">
            <v>Mayor</v>
          </cell>
          <cell r="W12" t="str">
            <v>ALTO</v>
          </cell>
          <cell r="X12" t="str">
            <v>Reducir el riesgo</v>
          </cell>
        </row>
        <row r="13">
          <cell r="F13" t="str">
            <v>Improbable</v>
          </cell>
          <cell r="G13" t="str">
            <v>Catastrófico</v>
          </cell>
          <cell r="I13" t="str">
            <v>EXTREMO</v>
          </cell>
          <cell r="K13" t="str">
            <v>Visto bueno de actividades del grupo interno de planeación, Visto bueno del comité de contratos y Visto bueno de solicitud de CDP</v>
          </cell>
          <cell r="L13" t="str">
            <v>Se dispone de diferentes instancias de acuerdo a la competencia y actividades de las diferentes entidades de la entidad, los vistos buenos relacionados involucran proceos como gestión contractual, planeación, gestión financiera, entre otros</v>
          </cell>
          <cell r="U13" t="str">
            <v>Rara vez</v>
          </cell>
          <cell r="V13" t="str">
            <v>Mayor</v>
          </cell>
          <cell r="X13" t="str">
            <v>Reducir el riesgo</v>
          </cell>
        </row>
        <row r="14">
          <cell r="F14" t="str">
            <v>Improbable</v>
          </cell>
          <cell r="G14" t="str">
            <v>Moderado</v>
          </cell>
          <cell r="I14" t="str">
            <v>MODERADO</v>
          </cell>
          <cell r="K14" t="str">
            <v>Formato para identificación de necesidades de contratación para la elaboración del Plan Anual de Adquisiciones.</v>
          </cell>
          <cell r="L14" t="str">
            <v>El formato de identificación de necesidades permite estandarizar el modo en que se recibe la información relacionada a una adquisición, con esto se puede realizar una viabilización y planificación objetiva.</v>
          </cell>
          <cell r="U14" t="str">
            <v>Rara vez</v>
          </cell>
          <cell r="V14" t="str">
            <v>Menor</v>
          </cell>
          <cell r="W14" t="str">
            <v>BAJO</v>
          </cell>
          <cell r="X14" t="str">
            <v>Reducir el riesgo</v>
          </cell>
        </row>
        <row r="15">
          <cell r="F15" t="str">
            <v>Improbable</v>
          </cell>
          <cell r="G15" t="str">
            <v>Mayor</v>
          </cell>
          <cell r="I15" t="str">
            <v>ALTO</v>
          </cell>
          <cell r="K15" t="str">
            <v>Procedimiento de Gestión de proyectos de inversión y Socialización de la estructura y metodología para la formulación de proyectos de inversión.</v>
          </cell>
          <cell r="L15" t="str">
            <v xml:space="preserve">Procedimieno que permite presentar e inscribir proyectos de inversión viables, que cumplan con los requisitos legales y normativos exigidos, para obtener financiamiento del Presupuesto General de la Nación, y poder desarrollarlos en el marco de Art 5° del Decreto 2844 de 2010 </v>
          </cell>
          <cell r="U15" t="str">
            <v>Rara vez</v>
          </cell>
          <cell r="V15" t="str">
            <v>Moderado</v>
          </cell>
          <cell r="W15" t="str">
            <v>MODERADO</v>
          </cell>
          <cell r="X15" t="str">
            <v>Reducir el riesgo</v>
          </cell>
        </row>
        <row r="16">
          <cell r="F16" t="str">
            <v>Improbable</v>
          </cell>
          <cell r="G16" t="str">
            <v>Catastrófico</v>
          </cell>
          <cell r="I16" t="str">
            <v>EXTREMO</v>
          </cell>
          <cell r="K16" t="str">
            <v>Procedimiento de formulación, ejecución y seguimiento de Proyectos de Inversión</v>
          </cell>
          <cell r="L16" t="str">
            <v xml:space="preserve">Procedimieno que permite presentar e inscribir proyectos de inversión viables, que cumplan con los requisitos legales y normativos exigidos, para obtener financiamiento del Presupuesto General de la Nación, y poder desarrollarlos en el marco de Art 5° del Decreto 2844 de 2010 </v>
          </cell>
          <cell r="U16" t="str">
            <v>Rara vez</v>
          </cell>
          <cell r="V16" t="str">
            <v>Mayor</v>
          </cell>
          <cell r="W16" t="str">
            <v>ALTO</v>
          </cell>
          <cell r="X16" t="str">
            <v>Reducir el riesgo</v>
          </cell>
        </row>
      </sheetData>
      <sheetData sheetId="4" refreshError="1"/>
      <sheetData sheetId="5" refreshError="1"/>
      <sheetData sheetId="6">
        <row r="9">
          <cell r="T9">
            <v>0</v>
          </cell>
          <cell r="W9">
            <v>0</v>
          </cell>
          <cell r="X9">
            <v>0</v>
          </cell>
          <cell r="AB9" t="str">
            <v>SI</v>
          </cell>
        </row>
        <row r="10">
          <cell r="T10">
            <v>100</v>
          </cell>
          <cell r="W10">
            <v>1</v>
          </cell>
          <cell r="X10">
            <v>1</v>
          </cell>
          <cell r="AB10" t="str">
            <v>No</v>
          </cell>
        </row>
        <row r="11">
          <cell r="T11">
            <v>100</v>
          </cell>
          <cell r="W11">
            <v>1</v>
          </cell>
          <cell r="X11">
            <v>0</v>
          </cell>
          <cell r="AB11" t="str">
            <v>No</v>
          </cell>
        </row>
        <row r="12">
          <cell r="T12">
            <v>100</v>
          </cell>
          <cell r="W12">
            <v>1</v>
          </cell>
          <cell r="X12">
            <v>1</v>
          </cell>
          <cell r="AB12" t="str">
            <v>No</v>
          </cell>
        </row>
        <row r="13">
          <cell r="T13">
            <v>85</v>
          </cell>
          <cell r="W13">
            <v>0.85</v>
          </cell>
          <cell r="X13">
            <v>0.85</v>
          </cell>
          <cell r="AB13" t="str">
            <v>SI</v>
          </cell>
        </row>
        <row r="14">
          <cell r="T14">
            <v>100</v>
          </cell>
          <cell r="W14">
            <v>1</v>
          </cell>
          <cell r="X14">
            <v>0</v>
          </cell>
          <cell r="AB14" t="str">
            <v>No</v>
          </cell>
        </row>
        <row r="15">
          <cell r="T15">
            <v>100</v>
          </cell>
          <cell r="W15">
            <v>1</v>
          </cell>
          <cell r="X15">
            <v>1</v>
          </cell>
          <cell r="AB15" t="str">
            <v>No</v>
          </cell>
        </row>
        <row r="16">
          <cell r="T16">
            <v>100</v>
          </cell>
          <cell r="W16">
            <v>1</v>
          </cell>
          <cell r="X16">
            <v>1</v>
          </cell>
          <cell r="AB16" t="str">
            <v>No</v>
          </cell>
        </row>
        <row r="17">
          <cell r="T17">
            <v>100</v>
          </cell>
          <cell r="W17">
            <v>1</v>
          </cell>
          <cell r="X17">
            <v>1</v>
          </cell>
          <cell r="AB17" t="str">
            <v>No</v>
          </cell>
        </row>
        <row r="18">
          <cell r="T18">
            <v>100</v>
          </cell>
          <cell r="W18">
            <v>1</v>
          </cell>
          <cell r="X18">
            <v>1</v>
          </cell>
          <cell r="AB18" t="str">
            <v>No</v>
          </cell>
        </row>
      </sheetData>
      <sheetData sheetId="7" refreshError="1"/>
      <sheetData sheetId="8" refreshError="1"/>
      <sheetData sheetId="9" refreshError="1"/>
      <sheetData sheetId="10">
        <row r="7">
          <cell r="V7">
            <v>1</v>
          </cell>
          <cell r="W7">
            <v>2</v>
          </cell>
          <cell r="X7">
            <v>3</v>
          </cell>
          <cell r="Y7">
            <v>4</v>
          </cell>
          <cell r="Z7">
            <v>5</v>
          </cell>
        </row>
        <row r="8">
          <cell r="G8" t="str">
            <v>Más de 1 vez al año.</v>
          </cell>
          <cell r="H8">
            <v>5</v>
          </cell>
          <cell r="I8" t="str">
            <v>Casi Seguro</v>
          </cell>
          <cell r="J8" t="str">
            <v>Se espera que el evento ocurra en la mayoría de las circunstancias.</v>
          </cell>
          <cell r="K8" t="str">
            <v>Catastrófico</v>
          </cell>
          <cell r="L8">
            <v>5</v>
          </cell>
          <cell r="M8" t="str">
            <v>Catastrófico</v>
          </cell>
          <cell r="U8">
            <v>5</v>
          </cell>
          <cell r="V8" t="str">
            <v>ALTO</v>
          </cell>
          <cell r="W8" t="str">
            <v>ALTO</v>
          </cell>
          <cell r="X8" t="str">
            <v>EXTREMO</v>
          </cell>
          <cell r="Y8" t="str">
            <v>EXTREMO</v>
          </cell>
          <cell r="Z8" t="str">
            <v>EXTREMO</v>
          </cell>
        </row>
        <row r="9">
          <cell r="G9" t="str">
            <v>Al menos 1 vez en el último año.</v>
          </cell>
          <cell r="H9">
            <v>4</v>
          </cell>
          <cell r="I9" t="str">
            <v>Probable</v>
          </cell>
          <cell r="J9" t="str">
            <v>Es viable que el evento ocurra en la mayoría de las circunstancias.</v>
          </cell>
          <cell r="K9" t="str">
            <v>Mayor</v>
          </cell>
          <cell r="L9">
            <v>4</v>
          </cell>
          <cell r="M9" t="str">
            <v>Mayor</v>
          </cell>
          <cell r="U9">
            <v>4</v>
          </cell>
          <cell r="V9" t="str">
            <v>MODERADO</v>
          </cell>
          <cell r="W9" t="str">
            <v>ALTO</v>
          </cell>
          <cell r="X9" t="str">
            <v>ALTO</v>
          </cell>
          <cell r="Y9" t="str">
            <v>EXTREMO</v>
          </cell>
          <cell r="Z9" t="str">
            <v>EXTREMO</v>
          </cell>
        </row>
        <row r="10">
          <cell r="G10" t="str">
            <v>Al menos 1 vez en los últimos 2 años.</v>
          </cell>
          <cell r="H10">
            <v>3</v>
          </cell>
          <cell r="I10" t="str">
            <v>Posible</v>
          </cell>
          <cell r="J10" t="str">
            <v>El evento podrá ocurrir en algún momento.</v>
          </cell>
          <cell r="K10" t="str">
            <v>Moderado</v>
          </cell>
          <cell r="L10">
            <v>3</v>
          </cell>
          <cell r="M10" t="str">
            <v>Moderado</v>
          </cell>
          <cell r="U10">
            <v>3</v>
          </cell>
          <cell r="V10" t="str">
            <v>BAJO</v>
          </cell>
          <cell r="W10" t="str">
            <v>MODERADO</v>
          </cell>
          <cell r="X10" t="str">
            <v>ALTO</v>
          </cell>
          <cell r="Y10" t="str">
            <v>EXTREMO</v>
          </cell>
          <cell r="Z10" t="str">
            <v>EXTREMO</v>
          </cell>
        </row>
        <row r="11">
          <cell r="G11" t="str">
            <v>Al menos 1 vez en los últimos 5 años.</v>
          </cell>
          <cell r="H11">
            <v>2</v>
          </cell>
          <cell r="I11" t="str">
            <v>Improbable</v>
          </cell>
          <cell r="J11" t="str">
            <v>El evento puede ocurrir en algún momento.</v>
          </cell>
          <cell r="K11" t="str">
            <v>Menor</v>
          </cell>
          <cell r="L11">
            <v>2</v>
          </cell>
          <cell r="M11" t="str">
            <v>Menor</v>
          </cell>
          <cell r="U11">
            <v>2</v>
          </cell>
          <cell r="V11" t="str">
            <v>BAJO</v>
          </cell>
          <cell r="W11" t="str">
            <v>BAJO</v>
          </cell>
          <cell r="X11" t="str">
            <v>MODERADO</v>
          </cell>
          <cell r="Y11" t="str">
            <v>ALTO</v>
          </cell>
          <cell r="Z11" t="str">
            <v>EXTREMO</v>
          </cell>
        </row>
        <row r="12">
          <cell r="G12" t="str">
            <v>No se ha presentado en los últimos 5 años.</v>
          </cell>
          <cell r="H12">
            <v>1</v>
          </cell>
          <cell r="I12" t="str">
            <v>Rara vez</v>
          </cell>
          <cell r="J12" t="str">
            <v>El evento puede ocurrir solo en circunstancias excepcionales (poco comunes o anormales)</v>
          </cell>
          <cell r="K12" t="str">
            <v>Insignificante</v>
          </cell>
          <cell r="L12">
            <v>1</v>
          </cell>
          <cell r="M12" t="str">
            <v>Insignificante</v>
          </cell>
          <cell r="U12">
            <v>1</v>
          </cell>
          <cell r="V12" t="str">
            <v>BAJO</v>
          </cell>
          <cell r="W12" t="str">
            <v>BAJO</v>
          </cell>
          <cell r="X12" t="str">
            <v>MODERADO</v>
          </cell>
          <cell r="Y12" t="str">
            <v>ALTO</v>
          </cell>
          <cell r="Z12" t="str">
            <v>EXTREMO</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Contexto"/>
      <sheetName val="Identificación del Riesgo D"/>
      <sheetName val="Analisis Riesgo"/>
      <sheetName val="Analisis Riesgo CorrupcionD"/>
      <sheetName val="Matriz de Riesgo"/>
      <sheetName val="Controles"/>
      <sheetName val="Mapa de riesgos"/>
      <sheetName val="Mapa de Calor"/>
      <sheetName val="Cuadro de Cambios"/>
      <sheetName val="Datos"/>
    </sheetNames>
    <sheetDataSet>
      <sheetData sheetId="0" refreshError="1"/>
      <sheetData sheetId="1"/>
      <sheetData sheetId="2">
        <row r="9">
          <cell r="D9">
            <v>1</v>
          </cell>
          <cell r="E9" t="str">
            <v>Incumplimiento del procedimiento de de divulgación.</v>
          </cell>
          <cell r="H9" t="str">
            <v>El procedimiento actual no define las tipificaciones necesarias de las excepciones que conlleve a priorizar las fechas de las publicaciones.
Posibles incumplimientos del procedimiento de divulgación por parte de los funcionarios responsables de la publicación.
Falta de socialización del procedimiento de divulgación en los funcionarios de la entidad.</v>
          </cell>
          <cell r="I9" t="str">
            <v>Demoras en la publicación.
Aumento del tiempo de respuesta.
Reprocesos en las solicitudes de divulgación.</v>
          </cell>
        </row>
        <row r="10">
          <cell r="D10">
            <v>2</v>
          </cell>
          <cell r="E10" t="str">
            <v>Incumplimientos de la normatividad de Transparencia y acceso a la información pública</v>
          </cell>
          <cell r="H10" t="str">
            <v>No se ha determinado en el procedimiento de divulgación el ciclo de vida de las publicaciones.</v>
          </cell>
          <cell r="I10" t="str">
            <v>Hallazgos de control interno.
Hallazgos disciplinarios.</v>
          </cell>
        </row>
      </sheetData>
      <sheetData sheetId="3">
        <row r="7">
          <cell r="K7" t="str">
            <v>P-DI-04 Procedimiento Publicaciones Web</v>
          </cell>
          <cell r="L7" t="str">
            <v>Determina los lineamientos para realizar la publicación estandarizada de documentos, definiendo las interacciones entre los procesos</v>
          </cell>
          <cell r="U7" t="str">
            <v>Probable</v>
          </cell>
          <cell r="V7" t="str">
            <v>Menor</v>
          </cell>
          <cell r="W7" t="str">
            <v>ALTO</v>
          </cell>
        </row>
        <row r="8">
          <cell r="K8" t="str">
            <v>P-DI-04 Procedimiento Publicaciones Web</v>
          </cell>
          <cell r="L8" t="str">
            <v>Determina los lineamientos para realizar la publicación estandarizada de documentos, definiendo las interacciones entre los procesos</v>
          </cell>
          <cell r="U8" t="str">
            <v>Improbable</v>
          </cell>
          <cell r="V8" t="str">
            <v>Moderado</v>
          </cell>
          <cell r="W8" t="str">
            <v>MODERADO</v>
          </cell>
        </row>
      </sheetData>
      <sheetData sheetId="4"/>
      <sheetData sheetId="5" refreshError="1"/>
      <sheetData sheetId="6">
        <row r="9">
          <cell r="T9">
            <v>100</v>
          </cell>
          <cell r="W9">
            <v>1</v>
          </cell>
          <cell r="X9">
            <v>1</v>
          </cell>
          <cell r="AB9" t="str">
            <v>No</v>
          </cell>
        </row>
        <row r="10">
          <cell r="T10">
            <v>100</v>
          </cell>
          <cell r="W10">
            <v>1</v>
          </cell>
          <cell r="X10">
            <v>1</v>
          </cell>
          <cell r="AB10" t="str">
            <v>No</v>
          </cell>
        </row>
      </sheetData>
      <sheetData sheetId="7" refreshError="1"/>
      <sheetData sheetId="8" refreshError="1"/>
      <sheetData sheetId="9" refreshError="1"/>
      <sheetData sheetId="10">
        <row r="7">
          <cell r="V7">
            <v>1</v>
          </cell>
          <cell r="W7">
            <v>2</v>
          </cell>
          <cell r="X7">
            <v>3</v>
          </cell>
          <cell r="Y7">
            <v>4</v>
          </cell>
          <cell r="Z7">
            <v>5</v>
          </cell>
        </row>
        <row r="8">
          <cell r="G8" t="str">
            <v>Más de 1 vez al año.</v>
          </cell>
          <cell r="H8">
            <v>5</v>
          </cell>
          <cell r="I8" t="str">
            <v>Casi Seguro</v>
          </cell>
          <cell r="J8" t="str">
            <v>Se espera que el evento ocurra en la mayoría de las circunstancias.</v>
          </cell>
          <cell r="K8" t="str">
            <v>Catastrófico</v>
          </cell>
          <cell r="L8">
            <v>5</v>
          </cell>
          <cell r="M8" t="str">
            <v>Catastrófico</v>
          </cell>
          <cell r="U8">
            <v>5</v>
          </cell>
          <cell r="V8" t="str">
            <v>ALTO</v>
          </cell>
          <cell r="W8" t="str">
            <v>ALTO</v>
          </cell>
          <cell r="X8" t="str">
            <v>EXTREMO</v>
          </cell>
          <cell r="Y8" t="str">
            <v>EXTREMO</v>
          </cell>
          <cell r="Z8" t="str">
            <v>EXTREMO</v>
          </cell>
        </row>
        <row r="9">
          <cell r="G9" t="str">
            <v>Al menos 1 vez en el último año.</v>
          </cell>
          <cell r="H9">
            <v>4</v>
          </cell>
          <cell r="I9" t="str">
            <v>Probable</v>
          </cell>
          <cell r="J9" t="str">
            <v>Es viable que el evento ocurra en la mayoría de las circunstancias.</v>
          </cell>
          <cell r="K9" t="str">
            <v>Mayor</v>
          </cell>
          <cell r="L9">
            <v>4</v>
          </cell>
          <cell r="M9" t="str">
            <v>Mayor</v>
          </cell>
          <cell r="U9">
            <v>4</v>
          </cell>
          <cell r="V9" t="str">
            <v>MODERADO</v>
          </cell>
          <cell r="W9" t="str">
            <v>ALTO</v>
          </cell>
          <cell r="X9" t="str">
            <v>ALTO</v>
          </cell>
          <cell r="Y9" t="str">
            <v>EXTREMO</v>
          </cell>
          <cell r="Z9" t="str">
            <v>EXTREMO</v>
          </cell>
        </row>
        <row r="10">
          <cell r="G10" t="str">
            <v>Al menos 1 vez en los últimos 2 años.</v>
          </cell>
          <cell r="H10">
            <v>3</v>
          </cell>
          <cell r="I10" t="str">
            <v>Posible</v>
          </cell>
          <cell r="J10" t="str">
            <v>El evento podrá ocurrir en algún momento.</v>
          </cell>
          <cell r="K10" t="str">
            <v>Moderado</v>
          </cell>
          <cell r="L10">
            <v>3</v>
          </cell>
          <cell r="M10" t="str">
            <v>Moderado</v>
          </cell>
          <cell r="U10">
            <v>3</v>
          </cell>
          <cell r="V10" t="str">
            <v>BAJO</v>
          </cell>
          <cell r="W10" t="str">
            <v>MODERADO</v>
          </cell>
          <cell r="X10" t="str">
            <v>ALTO</v>
          </cell>
          <cell r="Y10" t="str">
            <v>EXTREMO</v>
          </cell>
          <cell r="Z10" t="str">
            <v>EXTREMO</v>
          </cell>
        </row>
        <row r="11">
          <cell r="G11" t="str">
            <v>Al menos 1 vez en los últimos 5 años.</v>
          </cell>
          <cell r="H11">
            <v>2</v>
          </cell>
          <cell r="I11" t="str">
            <v>Improbable</v>
          </cell>
          <cell r="J11" t="str">
            <v>El evento puede ocurrir en algún momento.</v>
          </cell>
          <cell r="K11" t="str">
            <v>Menor</v>
          </cell>
          <cell r="L11">
            <v>2</v>
          </cell>
          <cell r="M11" t="str">
            <v>Menor</v>
          </cell>
          <cell r="U11">
            <v>2</v>
          </cell>
          <cell r="V11" t="str">
            <v>BAJO</v>
          </cell>
          <cell r="W11" t="str">
            <v>BAJO</v>
          </cell>
          <cell r="X11" t="str">
            <v>MODERADO</v>
          </cell>
          <cell r="Y11" t="str">
            <v>ALTO</v>
          </cell>
          <cell r="Z11" t="str">
            <v>EXTREMO</v>
          </cell>
        </row>
        <row r="12">
          <cell r="G12" t="str">
            <v>No se ha presentado en los últimos 5 años.</v>
          </cell>
          <cell r="H12">
            <v>1</v>
          </cell>
          <cell r="I12" t="str">
            <v>Rara vez</v>
          </cell>
          <cell r="J12" t="str">
            <v>El evento puede ocurrir solo en circunstancias excepcionales (poco comunes o anormales)</v>
          </cell>
          <cell r="K12" t="str">
            <v>Insignificante</v>
          </cell>
          <cell r="L12">
            <v>1</v>
          </cell>
          <cell r="M12" t="str">
            <v>Insignificante</v>
          </cell>
          <cell r="U12">
            <v>1</v>
          </cell>
          <cell r="V12" t="str">
            <v>BAJO</v>
          </cell>
          <cell r="W12" t="str">
            <v>BAJO</v>
          </cell>
          <cell r="X12" t="str">
            <v>MODERADO</v>
          </cell>
          <cell r="Y12" t="str">
            <v>ALTO</v>
          </cell>
          <cell r="Z12" t="str">
            <v>EXTREMO</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Contexto"/>
      <sheetName val="Identificación del Riesgo GA"/>
      <sheetName val="Analisis Riesgo"/>
      <sheetName val="Matriz de Riesgo"/>
      <sheetName val="Controles"/>
      <sheetName val="MAPA DE RIESGOS"/>
      <sheetName val="Cuadro de Cambios"/>
      <sheetName val="Datos"/>
      <sheetName val="Analisis Riesgo Corrupcion"/>
      <sheetName val="Mapa de Calor"/>
    </sheetNames>
    <sheetDataSet>
      <sheetData sheetId="0" refreshError="1"/>
      <sheetData sheetId="1"/>
      <sheetData sheetId="2">
        <row r="5">
          <cell r="D5" t="str">
            <v>GESTIÓN DE SERVICIOS ADMINISTRATIVOS</v>
          </cell>
        </row>
        <row r="6">
          <cell r="D6" t="str">
            <v>Administrar y custodiar los bienes muebles e inmuebles  que se encuentran bajo responsabilidad de la UPME, con criterios de eficiencia, compromiso ambiental  y  bienestar.</v>
          </cell>
        </row>
        <row r="9">
          <cell r="D9">
            <v>1</v>
          </cell>
          <cell r="E9" t="str">
            <v xml:space="preserve">Insatisfacción en la provisión de bienes y servicios </v>
          </cell>
          <cell r="H9" t="str">
            <v>Por demoras en la atención de requerimientos
Los bienes y servicios suministrados no cumplen con la calidad requerida
Los bienes y servicios suministrados no son funcionales
Planeación deficiente acorde con las necesidades de la UPME</v>
          </cell>
          <cell r="I9" t="str">
            <v>Detrimento patrimonial
Clima laboral inadecuado
Enfermedades laborales
Estrés laboral
Insatisfacción de las partes interesadas (usuarios)
Mala imagen institucional</v>
          </cell>
        </row>
        <row r="10">
          <cell r="D10">
            <v>2</v>
          </cell>
          <cell r="E10" t="str">
            <v>Deterioro prematuro de los bienes de la Entidad</v>
          </cell>
          <cell r="H10" t="str">
            <v xml:space="preserve">Mantenimientos deficientes
Planeación deficiente de los mantenimientos
Carencia de mantenimientos a la infraestructura
</v>
          </cell>
          <cell r="I10" t="str">
            <v xml:space="preserve">
Deterioro de los bienes de la UPME
Detrimento patrimonial
Siniestros
Mala imagen institucional
Insatisfacción de las partes interesadas</v>
          </cell>
        </row>
        <row r="11">
          <cell r="D11">
            <v>3</v>
          </cell>
          <cell r="E11" t="str">
            <v>Uso indebido de los activos de la Entidad</v>
          </cell>
          <cell r="H11" t="str">
            <v xml:space="preserve">Desconocimiento de los lineamientos sobre la responsabilidad de los activos de la Entidad, por parte de los servidores publicos
Falta de apropiación y compromiso por parte de los servidores publicos respecto al buen uso de los activos
Inventarios de los servidores publicos desactualizados
</v>
          </cell>
          <cell r="I11" t="str">
            <v>Detrimentos
Procesos Disciplinarios
Entorpecimiento de las actividades a desarrollar por los servidores publicos</v>
          </cell>
        </row>
        <row r="12">
          <cell r="D12">
            <v>4</v>
          </cell>
          <cell r="E12" t="str">
            <v>Perdida de los activos de la Entidad</v>
          </cell>
          <cell r="H12" t="str">
            <v>Inventarios desactualizados
Falta de lineamientos para el control de inventarios de la Entidad
Acciones para beneficio propio o de un tercero</v>
          </cell>
          <cell r="I12" t="str">
            <v>Detrimentos
Procesos Disciplinarios
Entorpecimiento de las actividades a desarrollar por los servidores publicos
Sobre costos</v>
          </cell>
        </row>
      </sheetData>
      <sheetData sheetId="3">
        <row r="7">
          <cell r="F7" t="str">
            <v>Improbable</v>
          </cell>
          <cell r="G7" t="str">
            <v>Menor</v>
          </cell>
          <cell r="I7" t="str">
            <v>BAJO</v>
          </cell>
          <cell r="K7" t="str">
            <v>Plan de Adquisiciones estructurado</v>
          </cell>
          <cell r="L7" t="str">
            <v>Plan anual de Adquisiciones estructurado respecto al presupuesto de funcionamiento</v>
          </cell>
          <cell r="U7" t="str">
            <v>Improbable</v>
          </cell>
          <cell r="V7" t="str">
            <v>Menor</v>
          </cell>
          <cell r="W7" t="str">
            <v>BAJO</v>
          </cell>
          <cell r="X7" t="str">
            <v>Reducir el riesgo</v>
          </cell>
        </row>
        <row r="8">
          <cell r="F8" t="str">
            <v>Rara vez</v>
          </cell>
          <cell r="G8" t="str">
            <v>Moderado</v>
          </cell>
          <cell r="I8" t="str">
            <v>MODERADO</v>
          </cell>
          <cell r="K8" t="str">
            <v xml:space="preserve">Programación de mantenimientos dentro del Plan de Adquisiciones </v>
          </cell>
          <cell r="L8" t="str">
            <v xml:space="preserve">Inclusion de los mantenimientos dentro del Plan anual de Adquisiciones </v>
          </cell>
          <cell r="U8" t="str">
            <v>Rara vez</v>
          </cell>
          <cell r="V8" t="str">
            <v>Moderado</v>
          </cell>
          <cell r="W8" t="str">
            <v>MODERADO</v>
          </cell>
          <cell r="X8" t="str">
            <v>Reducir el riesgo</v>
          </cell>
        </row>
        <row r="9">
          <cell r="F9" t="str">
            <v>Posible</v>
          </cell>
          <cell r="G9" t="str">
            <v>Insignificante</v>
          </cell>
          <cell r="I9" t="str">
            <v>BAJO</v>
          </cell>
          <cell r="K9" t="str">
            <v>Inventario de los activos para  los servidores publicos</v>
          </cell>
          <cell r="L9" t="str">
            <v>Elaboración de inventario de los activos suministrados a los servidores publicos</v>
          </cell>
          <cell r="U9" t="str">
            <v>Posible</v>
          </cell>
          <cell r="V9" t="str">
            <v>Insignificante</v>
          </cell>
          <cell r="W9" t="str">
            <v>BAJO</v>
          </cell>
          <cell r="X9" t="str">
            <v>Reducir el riesgo</v>
          </cell>
        </row>
        <row r="10">
          <cell r="F10" t="str">
            <v>Improbable</v>
          </cell>
          <cell r="G10" t="str">
            <v>Mayor</v>
          </cell>
          <cell r="I10" t="str">
            <v>ALTO</v>
          </cell>
          <cell r="K10" t="str">
            <v>Inventario de los activos para  los servidores publicos. Tercerización seguridad de las instalaciones de la UPME</v>
          </cell>
          <cell r="L10" t="str">
            <v>Elaboración de inventario de los activos suministrados a los servidores publicos. Tercerización seguridad de las instalaciones de la UPME, a traves de vigilancia privada, circuito cerrado de vigilancia y control de acceso a las instalaciones</v>
          </cell>
          <cell r="U10" t="str">
            <v>Rara vez</v>
          </cell>
          <cell r="V10" t="str">
            <v>Moderado</v>
          </cell>
          <cell r="W10" t="str">
            <v>MODERADO</v>
          </cell>
          <cell r="X10" t="str">
            <v>Reducir el riesgo</v>
          </cell>
        </row>
      </sheetData>
      <sheetData sheetId="4" refreshError="1"/>
      <sheetData sheetId="5">
        <row r="9">
          <cell r="T9">
            <v>55</v>
          </cell>
          <cell r="W9">
            <v>0.55000000000000004</v>
          </cell>
          <cell r="X9">
            <v>0.55000000000000004</v>
          </cell>
          <cell r="AB9" t="str">
            <v>SI</v>
          </cell>
        </row>
        <row r="10">
          <cell r="T10">
            <v>55</v>
          </cell>
          <cell r="W10">
            <v>0.55000000000000004</v>
          </cell>
          <cell r="X10">
            <v>0.55000000000000004</v>
          </cell>
          <cell r="AB10" t="str">
            <v>SI</v>
          </cell>
        </row>
        <row r="11">
          <cell r="T11">
            <v>85</v>
          </cell>
          <cell r="W11">
            <v>0</v>
          </cell>
          <cell r="X11">
            <v>0</v>
          </cell>
          <cell r="AB11" t="str">
            <v>SI</v>
          </cell>
        </row>
        <row r="12">
          <cell r="T12">
            <v>100</v>
          </cell>
          <cell r="W12">
            <v>1</v>
          </cell>
          <cell r="X12">
            <v>1</v>
          </cell>
          <cell r="AB12" t="str">
            <v>No</v>
          </cell>
        </row>
      </sheetData>
      <sheetData sheetId="6" refreshError="1"/>
      <sheetData sheetId="7" refreshError="1"/>
      <sheetData sheetId="8">
        <row r="7">
          <cell r="V7">
            <v>1</v>
          </cell>
          <cell r="W7">
            <v>2</v>
          </cell>
          <cell r="X7">
            <v>3</v>
          </cell>
          <cell r="Y7">
            <v>4</v>
          </cell>
          <cell r="Z7">
            <v>5</v>
          </cell>
        </row>
        <row r="8">
          <cell r="G8" t="str">
            <v>Más de 1 vez al año.</v>
          </cell>
          <cell r="H8">
            <v>5</v>
          </cell>
          <cell r="I8" t="str">
            <v>Casi Seguro</v>
          </cell>
          <cell r="J8" t="str">
            <v>Se espera que el evento ocurra en la mayoría de las circunstancias.</v>
          </cell>
          <cell r="K8" t="str">
            <v>Catastrófico</v>
          </cell>
          <cell r="L8">
            <v>5</v>
          </cell>
          <cell r="M8" t="str">
            <v>Catastrófico</v>
          </cell>
          <cell r="U8">
            <v>5</v>
          </cell>
          <cell r="V8" t="str">
            <v>ALTO</v>
          </cell>
          <cell r="W8" t="str">
            <v>ALTO</v>
          </cell>
          <cell r="X8" t="str">
            <v>EXTREMO</v>
          </cell>
          <cell r="Y8" t="str">
            <v>EXTREMO</v>
          </cell>
          <cell r="Z8" t="str">
            <v>EXTREMO</v>
          </cell>
        </row>
        <row r="9">
          <cell r="G9" t="str">
            <v>Al menos 1 vez en el último año.</v>
          </cell>
          <cell r="H9">
            <v>4</v>
          </cell>
          <cell r="I9" t="str">
            <v>Probable</v>
          </cell>
          <cell r="J9" t="str">
            <v>Es viable que el evento ocurra en la mayoría de las circunstancias.</v>
          </cell>
          <cell r="K9" t="str">
            <v>Mayor</v>
          </cell>
          <cell r="L9">
            <v>4</v>
          </cell>
          <cell r="M9" t="str">
            <v>Mayor</v>
          </cell>
          <cell r="U9">
            <v>4</v>
          </cell>
          <cell r="V9" t="str">
            <v>MODERADO</v>
          </cell>
          <cell r="W9" t="str">
            <v>ALTO</v>
          </cell>
          <cell r="X9" t="str">
            <v>ALTO</v>
          </cell>
          <cell r="Y9" t="str">
            <v>EXTREMO</v>
          </cell>
          <cell r="Z9" t="str">
            <v>EXTREMO</v>
          </cell>
        </row>
        <row r="10">
          <cell r="G10" t="str">
            <v>Al menos 1 vez en los últimos 2 años.</v>
          </cell>
          <cell r="H10">
            <v>3</v>
          </cell>
          <cell r="I10" t="str">
            <v>Posible</v>
          </cell>
          <cell r="J10" t="str">
            <v>El evento podrá ocurrir en algún momento.</v>
          </cell>
          <cell r="K10" t="str">
            <v>Moderado</v>
          </cell>
          <cell r="L10">
            <v>3</v>
          </cell>
          <cell r="M10" t="str">
            <v>Moderado</v>
          </cell>
          <cell r="U10">
            <v>3</v>
          </cell>
          <cell r="V10" t="str">
            <v>BAJO</v>
          </cell>
          <cell r="W10" t="str">
            <v>MODERADO</v>
          </cell>
          <cell r="X10" t="str">
            <v>ALTO</v>
          </cell>
          <cell r="Y10" t="str">
            <v>EXTREMO</v>
          </cell>
          <cell r="Z10" t="str">
            <v>EXTREMO</v>
          </cell>
        </row>
        <row r="11">
          <cell r="G11" t="str">
            <v>Al menos 1 vez en los últimos 5 años.</v>
          </cell>
          <cell r="H11">
            <v>2</v>
          </cell>
          <cell r="I11" t="str">
            <v>Improbable</v>
          </cell>
          <cell r="J11" t="str">
            <v>El evento puede ocurrir en algún momento.</v>
          </cell>
          <cell r="K11" t="str">
            <v>Menor</v>
          </cell>
          <cell r="L11">
            <v>2</v>
          </cell>
          <cell r="M11" t="str">
            <v>Menor</v>
          </cell>
          <cell r="U11">
            <v>2</v>
          </cell>
          <cell r="V11" t="str">
            <v>BAJO</v>
          </cell>
          <cell r="W11" t="str">
            <v>BAJO</v>
          </cell>
          <cell r="X11" t="str">
            <v>MODERADO</v>
          </cell>
          <cell r="Y11" t="str">
            <v>ALTO</v>
          </cell>
          <cell r="Z11" t="str">
            <v>EXTREMO</v>
          </cell>
        </row>
        <row r="12">
          <cell r="G12" t="str">
            <v>No se ha presentado en los últimos 5 años.</v>
          </cell>
          <cell r="H12">
            <v>1</v>
          </cell>
          <cell r="I12" t="str">
            <v>Rara vez</v>
          </cell>
          <cell r="J12" t="str">
            <v>El evento puede ocurrir solo en circunstancias excepcionales (poco comunes o anormales)</v>
          </cell>
          <cell r="K12" t="str">
            <v>Insignificante</v>
          </cell>
          <cell r="L12">
            <v>1</v>
          </cell>
          <cell r="M12" t="str">
            <v>Insignificante</v>
          </cell>
          <cell r="U12">
            <v>1</v>
          </cell>
          <cell r="V12" t="str">
            <v>BAJO</v>
          </cell>
          <cell r="W12" t="str">
            <v>BAJO</v>
          </cell>
          <cell r="X12" t="str">
            <v>MODERADO</v>
          </cell>
          <cell r="Y12" t="str">
            <v>ALTO</v>
          </cell>
          <cell r="Z12" t="str">
            <v>EXTREMO</v>
          </cell>
        </row>
      </sheetData>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Contexto"/>
      <sheetName val="Identificación del Riesgo GC"/>
      <sheetName val="Analisis Riesgo"/>
      <sheetName val="Analisis Riesgo Corrupcion GC"/>
      <sheetName val="Matriz de Riesgo"/>
      <sheetName val="Controles"/>
      <sheetName val="MAPA DE RIESGOS"/>
      <sheetName val="Mapa de Calor"/>
      <sheetName val="Cuadro de Cambios"/>
      <sheetName val="Datos"/>
    </sheetNames>
    <sheetDataSet>
      <sheetData sheetId="0" refreshError="1"/>
      <sheetData sheetId="1"/>
      <sheetData sheetId="2">
        <row r="9">
          <cell r="D9">
            <v>1</v>
          </cell>
          <cell r="E9" t="str">
            <v>Demoras en el inicio de los contratos.</v>
          </cell>
          <cell r="H9" t="str">
            <v>Demoras en la entrega de información por parte del contratista para formalización del contrato.
Demoras en el inicio de la ejecución de contratos derivadas de inconsistencias en las pólizas de cumplimiento.</v>
          </cell>
          <cell r="I9" t="str">
            <v>Menor ejecución de contratos.</v>
          </cell>
        </row>
        <row r="10">
          <cell r="D10">
            <v>2</v>
          </cell>
          <cell r="E10" t="str">
            <v>Realizar la gestión contractual con falta de Eficacia y oportunidad</v>
          </cell>
          <cell r="H10" t="str">
            <v>Desconocimiento por parte de los supervisores sobre sus responsabilidades durante la ejecución de los contratos
Desconocimiento de los futuros supervisores de contratos sobre la plataforma del SECOP II</v>
          </cell>
          <cell r="I10" t="str">
            <v>No llevar a cabo la contratación.
Incumplimiento del presupuesto.</v>
          </cell>
        </row>
        <row r="11">
          <cell r="D11">
            <v>3</v>
          </cell>
          <cell r="E11" t="str">
            <v>Realizar convenios que no incluyan la totalidad de obligaciones.</v>
          </cell>
          <cell r="H11" t="str">
            <v xml:space="preserve">Desconocimiento de los servidores públicos sobre la importancia de incluir la totalidad de las obligaciones en los convenios. </v>
          </cell>
          <cell r="I11" t="str">
            <v>Inadecuada ejecución.
Suscripción de Otro sí.</v>
          </cell>
        </row>
        <row r="12">
          <cell r="D12">
            <v>4</v>
          </cell>
          <cell r="E12" t="str">
            <v>Favorecimiento a un contratista específico.</v>
          </cell>
          <cell r="H12" t="str">
            <v>Realizar un sondeo del mercado deficiente por parte del área líder.</v>
          </cell>
          <cell r="I12" t="str">
            <v>Hallazgos disciplinaros y fiscales.
Indebidas supervisiones.</v>
          </cell>
        </row>
        <row r="13">
          <cell r="D13">
            <v>5</v>
          </cell>
          <cell r="E13" t="str">
            <v>Actuaciones improvisadas por parte de los supervisores</v>
          </cell>
          <cell r="H13" t="str">
            <v>Desconocimiento del supervisor sobre las diferentes situaciones jurídicas contractuales.</v>
          </cell>
          <cell r="I13" t="str">
            <v>Hallazgos disciplinaros y fiscales.
Indebidas supervisiones.</v>
          </cell>
        </row>
      </sheetData>
      <sheetData sheetId="3">
        <row r="7">
          <cell r="F7" t="str">
            <v>Casi Seguro</v>
          </cell>
          <cell r="G7" t="str">
            <v>Catastrófico</v>
          </cell>
          <cell r="I7" t="str">
            <v>EXTREMO</v>
          </cell>
          <cell r="K7" t="str">
            <v>Manual de contratación.</v>
          </cell>
          <cell r="L7" t="str">
            <v>El artículo 2.2.1.2.5.3 del Decreto 1082 de 2015 establece que las Entidades Estatales deben contar con un manual de contratación, el cual debe cumplir con los lineamientos que para el efecto señale Colombia Compra Eficiente</v>
          </cell>
          <cell r="U7" t="str">
            <v>Probable</v>
          </cell>
          <cell r="V7" t="str">
            <v>Mayor</v>
          </cell>
          <cell r="W7" t="str">
            <v>EXTREMO</v>
          </cell>
          <cell r="X7" t="str">
            <v>Reducir el riesgo</v>
          </cell>
        </row>
        <row r="8">
          <cell r="F8" t="str">
            <v>Casi Seguro</v>
          </cell>
          <cell r="G8" t="str">
            <v>Mayor</v>
          </cell>
          <cell r="I8" t="str">
            <v>EXTREMO</v>
          </cell>
          <cell r="K8" t="str">
            <v>No se cuentan con controles</v>
          </cell>
          <cell r="L8" t="str">
            <v>No se cuentan con controles</v>
          </cell>
          <cell r="U8" t="str">
            <v>Casi Seguro</v>
          </cell>
          <cell r="V8" t="str">
            <v>Mayor</v>
          </cell>
          <cell r="W8" t="str">
            <v>EXTREMO</v>
          </cell>
          <cell r="X8" t="str">
            <v>Reducir el riesgo</v>
          </cell>
        </row>
        <row r="9">
          <cell r="F9" t="str">
            <v>Casi Seguro</v>
          </cell>
          <cell r="G9" t="str">
            <v>Moderado</v>
          </cell>
          <cell r="I9" t="str">
            <v>EXTREMO</v>
          </cell>
          <cell r="K9" t="str">
            <v>Plataforma SIGUEME.</v>
          </cell>
          <cell r="L9" t="str">
            <v>La plataforma que permite obtener la información vigente de la UPME a través de documentos aprobados mediante metodología planificada por el sistema de Gestión de calidad.</v>
          </cell>
          <cell r="U9" t="str">
            <v>Probable</v>
          </cell>
          <cell r="V9" t="str">
            <v>Menor</v>
          </cell>
          <cell r="W9" t="str">
            <v>ALTO</v>
          </cell>
          <cell r="X9" t="str">
            <v>Reducir el riesgo</v>
          </cell>
        </row>
        <row r="10">
          <cell r="F10" t="str">
            <v>Posible</v>
          </cell>
          <cell r="G10" t="str">
            <v>Catastrófico</v>
          </cell>
          <cell r="I10" t="str">
            <v>EXTREMO</v>
          </cell>
          <cell r="K10" t="str">
            <v>No se cuentan con controles</v>
          </cell>
          <cell r="L10" t="str">
            <v>No se cuentan con controles</v>
          </cell>
          <cell r="U10" t="str">
            <v>Posible</v>
          </cell>
          <cell r="V10" t="str">
            <v>Catastrófico</v>
          </cell>
          <cell r="W10" t="str">
            <v>EXTREMO</v>
          </cell>
          <cell r="X10" t="str">
            <v>Reducir el riesgo</v>
          </cell>
        </row>
        <row r="11">
          <cell r="F11" t="str">
            <v>Posible</v>
          </cell>
          <cell r="G11" t="str">
            <v>Catastrófico</v>
          </cell>
          <cell r="I11" t="str">
            <v>EXTREMO</v>
          </cell>
          <cell r="K11" t="str">
            <v>No se cuentan con controles</v>
          </cell>
          <cell r="L11" t="str">
            <v>No se cuentan con controles</v>
          </cell>
          <cell r="U11" t="str">
            <v>Posible</v>
          </cell>
          <cell r="V11" t="str">
            <v>Catastrófico</v>
          </cell>
          <cell r="W11" t="str">
            <v>EXTREMO</v>
          </cell>
          <cell r="X11" t="str">
            <v>Reducir el riesgo</v>
          </cell>
        </row>
      </sheetData>
      <sheetData sheetId="4"/>
      <sheetData sheetId="5" refreshError="1"/>
      <sheetData sheetId="6">
        <row r="9">
          <cell r="T9">
            <v>100</v>
          </cell>
          <cell r="W9">
            <v>1</v>
          </cell>
          <cell r="X9">
            <v>1</v>
          </cell>
          <cell r="AB9" t="str">
            <v>No</v>
          </cell>
        </row>
        <row r="10">
          <cell r="T10">
            <v>0</v>
          </cell>
          <cell r="W10">
            <v>0</v>
          </cell>
          <cell r="X10">
            <v>0</v>
          </cell>
          <cell r="AB10" t="str">
            <v>SI</v>
          </cell>
        </row>
        <row r="11">
          <cell r="T11">
            <v>100</v>
          </cell>
          <cell r="W11">
            <v>1</v>
          </cell>
          <cell r="X11">
            <v>1</v>
          </cell>
          <cell r="AB11" t="str">
            <v>No</v>
          </cell>
        </row>
        <row r="12">
          <cell r="T12">
            <v>0</v>
          </cell>
          <cell r="W12">
            <v>0</v>
          </cell>
          <cell r="X12">
            <v>0</v>
          </cell>
          <cell r="AB12" t="str">
            <v>SI</v>
          </cell>
        </row>
        <row r="13">
          <cell r="T13">
            <v>0</v>
          </cell>
          <cell r="W13">
            <v>0</v>
          </cell>
          <cell r="X13">
            <v>0</v>
          </cell>
          <cell r="AB13" t="str">
            <v>SI</v>
          </cell>
        </row>
      </sheetData>
      <sheetData sheetId="7" refreshError="1"/>
      <sheetData sheetId="8" refreshError="1"/>
      <sheetData sheetId="9" refreshError="1"/>
      <sheetData sheetId="10">
        <row r="7">
          <cell r="V7">
            <v>1</v>
          </cell>
          <cell r="W7">
            <v>2</v>
          </cell>
          <cell r="X7">
            <v>3</v>
          </cell>
          <cell r="Y7">
            <v>4</v>
          </cell>
          <cell r="Z7">
            <v>5</v>
          </cell>
        </row>
        <row r="8">
          <cell r="G8" t="str">
            <v>Más de 1 vez al año.</v>
          </cell>
          <cell r="H8">
            <v>5</v>
          </cell>
          <cell r="I8" t="str">
            <v>Casi Seguro</v>
          </cell>
          <cell r="J8" t="str">
            <v>Se espera que el evento ocurra en la mayoría de las circunstancias.</v>
          </cell>
          <cell r="K8" t="str">
            <v>Catastrófico</v>
          </cell>
          <cell r="L8">
            <v>5</v>
          </cell>
          <cell r="M8" t="str">
            <v>Catastrófico</v>
          </cell>
          <cell r="U8">
            <v>5</v>
          </cell>
          <cell r="V8" t="str">
            <v>ALTO</v>
          </cell>
          <cell r="W8" t="str">
            <v>ALTO</v>
          </cell>
          <cell r="X8" t="str">
            <v>EXTREMO</v>
          </cell>
          <cell r="Y8" t="str">
            <v>EXTREMO</v>
          </cell>
          <cell r="Z8" t="str">
            <v>EXTREMO</v>
          </cell>
        </row>
        <row r="9">
          <cell r="G9" t="str">
            <v>Al menos 1 vez en el último año.</v>
          </cell>
          <cell r="H9">
            <v>4</v>
          </cell>
          <cell r="I9" t="str">
            <v>Probable</v>
          </cell>
          <cell r="J9" t="str">
            <v>Es viable que el evento ocurra en la mayoría de las circunstancias.</v>
          </cell>
          <cell r="K9" t="str">
            <v>Mayor</v>
          </cell>
          <cell r="L9">
            <v>4</v>
          </cell>
          <cell r="M9" t="str">
            <v>Mayor</v>
          </cell>
          <cell r="U9">
            <v>4</v>
          </cell>
          <cell r="V9" t="str">
            <v>MODERADO</v>
          </cell>
          <cell r="W9" t="str">
            <v>ALTO</v>
          </cell>
          <cell r="X9" t="str">
            <v>ALTO</v>
          </cell>
          <cell r="Y9" t="str">
            <v>EXTREMO</v>
          </cell>
          <cell r="Z9" t="str">
            <v>EXTREMO</v>
          </cell>
        </row>
        <row r="10">
          <cell r="G10" t="str">
            <v>Al menos 1 vez en los últimos 2 años.</v>
          </cell>
          <cell r="H10">
            <v>3</v>
          </cell>
          <cell r="I10" t="str">
            <v>Posible</v>
          </cell>
          <cell r="J10" t="str">
            <v>El evento podrá ocurrir en algún momento.</v>
          </cell>
          <cell r="K10" t="str">
            <v>Moderado</v>
          </cell>
          <cell r="L10">
            <v>3</v>
          </cell>
          <cell r="M10" t="str">
            <v>Moderado</v>
          </cell>
          <cell r="U10">
            <v>3</v>
          </cell>
          <cell r="V10" t="str">
            <v>BAJO</v>
          </cell>
          <cell r="W10" t="str">
            <v>MODERADO</v>
          </cell>
          <cell r="X10" t="str">
            <v>ALTO</v>
          </cell>
          <cell r="Y10" t="str">
            <v>EXTREMO</v>
          </cell>
          <cell r="Z10" t="str">
            <v>EXTREMO</v>
          </cell>
        </row>
        <row r="11">
          <cell r="G11" t="str">
            <v>Al menos 1 vez en los últimos 5 años.</v>
          </cell>
          <cell r="H11">
            <v>2</v>
          </cell>
          <cell r="I11" t="str">
            <v>Improbable</v>
          </cell>
          <cell r="J11" t="str">
            <v>El evento puede ocurrir en algún momento.</v>
          </cell>
          <cell r="K11" t="str">
            <v>Menor</v>
          </cell>
          <cell r="L11">
            <v>2</v>
          </cell>
          <cell r="M11" t="str">
            <v>Menor</v>
          </cell>
          <cell r="U11">
            <v>2</v>
          </cell>
          <cell r="V11" t="str">
            <v>BAJO</v>
          </cell>
          <cell r="W11" t="str">
            <v>BAJO</v>
          </cell>
          <cell r="X11" t="str">
            <v>MODERADO</v>
          </cell>
          <cell r="Y11" t="str">
            <v>ALTO</v>
          </cell>
          <cell r="Z11" t="str">
            <v>EXTREMO</v>
          </cell>
        </row>
        <row r="12">
          <cell r="G12" t="str">
            <v>No se ha presentado en los últimos 5 años.</v>
          </cell>
          <cell r="H12">
            <v>1</v>
          </cell>
          <cell r="I12" t="str">
            <v>Rara vez</v>
          </cell>
          <cell r="J12" t="str">
            <v>El evento puede ocurrir solo en circunstancias excepcionales (poco comunes o anormales)</v>
          </cell>
          <cell r="K12" t="str">
            <v>Insignificante</v>
          </cell>
          <cell r="L12">
            <v>1</v>
          </cell>
          <cell r="M12" t="str">
            <v>Insignificante</v>
          </cell>
          <cell r="U12">
            <v>1</v>
          </cell>
          <cell r="V12" t="str">
            <v>BAJO</v>
          </cell>
          <cell r="W12" t="str">
            <v>BAJO</v>
          </cell>
          <cell r="X12" t="str">
            <v>MODERADO</v>
          </cell>
          <cell r="Y12" t="str">
            <v>ALTO</v>
          </cell>
          <cell r="Z12" t="str">
            <v>EXTREMO</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Contexto"/>
      <sheetName val="Identificación del Riesgo TIC"/>
      <sheetName val="Analisis Riesgo"/>
      <sheetName val="Analisis Riesgo Corrupcion TIC"/>
      <sheetName val="Matriz de Riesgo"/>
      <sheetName val="Controles"/>
      <sheetName val="MAPA DE RIESGOS"/>
      <sheetName val="Mapa de Calor"/>
      <sheetName val="Cuadro de Cambios"/>
      <sheetName val="Datos"/>
    </sheetNames>
    <sheetDataSet>
      <sheetData sheetId="0" refreshError="1"/>
      <sheetData sheetId="1"/>
      <sheetData sheetId="2">
        <row r="9">
          <cell r="D9">
            <v>1</v>
          </cell>
          <cell r="E9" t="str">
            <v xml:space="preserve">Indisponibilidad de servicios críticos de la entidad </v>
          </cell>
          <cell r="H9" t="str">
            <v>Desconocimiento de la alta dirección sobre la importancia y metodología relacionada con el BIA.
Se concibe que la responsabilidad sobre la Continuidad del Negocio corresponde solamente al proceso Gestión TIC.</v>
          </cell>
          <cell r="I9" t="str">
            <v>No contar con un DRP alineado a los requerimientos institucionales.
Ineficiencia en la administración de los recursos.</v>
          </cell>
        </row>
        <row r="10">
          <cell r="D10">
            <v>2</v>
          </cell>
          <cell r="E10" t="str">
            <v>Reprocesos en la implementación de los proyectos de la entidad que aplican componentes de tecnología</v>
          </cell>
          <cell r="H10" t="str">
            <v>Falta de alineación de los proyectos con los lineamientos de la arquitectura institucional de la UPME.
No considerar el acompañamiento del proceso en Proyectos donde sea necesario el componente de tecnología.</v>
          </cell>
          <cell r="I10" t="str">
            <v>Pérdida de credibilidad del proceso en la entidad.
Sobrecostos de los proyectos.
Retrasos.</v>
          </cell>
        </row>
        <row r="11">
          <cell r="D11">
            <v>3</v>
          </cell>
          <cell r="E11" t="str">
            <v>Falta de Continuidad de la ejecución del PETI por cambios en las necesidades, enfoques y prioridades de la administración.</v>
          </cell>
          <cell r="H11" t="str">
            <v>Desconocimiento de la importancia de la política de Gobierno digital por parte de los servidores públicos.
Resistencia al cambio por parte de los servidores públicos sobre el alcance de los procesos.
No contar con el presupuesto para desarrollar el PETI.</v>
          </cell>
          <cell r="I11" t="str">
            <v>Pérdida de credibilidad del proceso en la entidad.
Sobrecostos de los proyectos.
Retrasos.</v>
          </cell>
        </row>
        <row r="12">
          <cell r="D12">
            <v>4</v>
          </cell>
          <cell r="E12" t="str">
            <v>Retrasos en la prestación de los servicios del proceso</v>
          </cell>
          <cell r="H12" t="str">
            <v>Desconocimiento por parte de los servidores públicos sobre los procedimientos asociados a la prestación de servicios de TI
No se utiliza la mesa de servicios como único canal de recepción de requerimientos por parte de los servidores públicos.
Ausencia de un catálogo de Servicios</v>
          </cell>
          <cell r="I12" t="str">
            <v>Pérdida de credibilidad del proceso en la entidad.</v>
          </cell>
        </row>
        <row r="13">
          <cell r="D13">
            <v>5</v>
          </cell>
          <cell r="E13" t="str">
            <v>Prestar los servicios bajo condiciones no controladas</v>
          </cell>
          <cell r="H13" t="str">
            <v>No se cuenta con procedimientos que estandaricen la gestión del proceso.
No se han establecido oficialmente los acuerdos de niveles de servicio.
No se han definido los Acuerdos Operacionales del Servicio en el proceso.</v>
          </cell>
          <cell r="I13" t="str">
            <v>Pérdida de credibilidad del proceso en la entidad.
Hallazgos de control interno.
Incumplimientos de requisitos.
Afectación a los servicios de TI</v>
          </cell>
        </row>
        <row r="14">
          <cell r="D14">
            <v>6</v>
          </cell>
          <cell r="E14" t="str">
            <v xml:space="preserve">Indisponibilidad de servicios de TI de la entidad. </v>
          </cell>
          <cell r="H14" t="str">
            <v>Obsolescencia de la infraestructura tecnológica de la entidad.
No contar con el servicio de soporte y mantenimiento de las soluciones de TI
No se planifican adecuadamente los cambios en ítems de configuración de la infraestructura tecnológica a implementar. 
Ocurrencia de situaciones externas que afectan la continuidad de la prestación servicio</v>
          </cell>
          <cell r="I14" t="str">
            <v>Ineficiencia en la administración de los recursos.
Pérdida de credibilidad del proceso en la entidad.</v>
          </cell>
        </row>
        <row r="15">
          <cell r="D15">
            <v>7</v>
          </cell>
          <cell r="E15" t="str">
            <v>Otorgar privilegios o permisos para acceso a sistemas e información a particulares.</v>
          </cell>
          <cell r="H15" t="str">
            <v>No se han definido ni estandarizado los responsables sobre los privilegios y permisos.
No se ajustan los permisos a los servidores públicos cuando se realizan cambios de estos en las dependencias o cuando se presentan novedades.
No se han planificado las interacciones con el proceso de gestión de Talento Humano cuando se presentan novedades de nómina.</v>
          </cell>
          <cell r="I15" t="str">
            <v>Pérdida de credibilidad del proceso en la entidad.</v>
          </cell>
        </row>
      </sheetData>
      <sheetData sheetId="3">
        <row r="7">
          <cell r="F7" t="str">
            <v>Probable</v>
          </cell>
          <cell r="G7" t="str">
            <v>Moderado</v>
          </cell>
          <cell r="I7" t="str">
            <v>ALTO</v>
          </cell>
          <cell r="K7" t="str">
            <v>Herramienta de monitoreo NAGIOS</v>
          </cell>
          <cell r="L7" t="str">
            <v>Nagios es un sistema de monitorización de redes de código abierto ampliamente utilizado, que vigila los equipos (hardware) y servicios (software) que se especifiquen, alertando cuando el comportamiento de los mismos no sea el deseado.</v>
          </cell>
          <cell r="U7" t="str">
            <v>Posible</v>
          </cell>
          <cell r="V7" t="str">
            <v>Menor</v>
          </cell>
          <cell r="W7" t="str">
            <v>MODERADO</v>
          </cell>
          <cell r="X7" t="str">
            <v>Reducir el riesgo</v>
          </cell>
        </row>
        <row r="8">
          <cell r="F8" t="str">
            <v>Improbable</v>
          </cell>
          <cell r="G8" t="str">
            <v>Mayor</v>
          </cell>
          <cell r="I8" t="str">
            <v>ALTO</v>
          </cell>
          <cell r="K8" t="str">
            <v>No se identifica control existente</v>
          </cell>
          <cell r="L8" t="str">
            <v>No se identifica control existente</v>
          </cell>
          <cell r="U8" t="str">
            <v>Improbable</v>
          </cell>
          <cell r="V8" t="str">
            <v>Mayor</v>
          </cell>
          <cell r="W8" t="str">
            <v>ALTO</v>
          </cell>
          <cell r="X8" t="str">
            <v>Reducir el riesgo</v>
          </cell>
        </row>
        <row r="9">
          <cell r="F9" t="str">
            <v>Probable</v>
          </cell>
          <cell r="G9" t="str">
            <v>Mayor</v>
          </cell>
          <cell r="I9" t="str">
            <v>EXTREMO</v>
          </cell>
          <cell r="K9" t="str">
            <v>Seguimiento trimestral al Plan.</v>
          </cell>
          <cell r="L9" t="str">
            <v>Desarrollo de unos indicadores, un mapa de ruta, un plan de comunicación y una descripción de todos los demás aspectos (financieros, operativos, de manejo de riesgos, etc.) necesarios para la puesta en marcha y gestión del plan estratégico</v>
          </cell>
          <cell r="U9" t="str">
            <v>Posible</v>
          </cell>
          <cell r="V9" t="str">
            <v>Moderado</v>
          </cell>
          <cell r="W9" t="str">
            <v>ALTO</v>
          </cell>
          <cell r="X9" t="str">
            <v>Reducir el riesgo</v>
          </cell>
        </row>
        <row r="10">
          <cell r="F10" t="str">
            <v>Casi Seguro</v>
          </cell>
          <cell r="G10" t="str">
            <v>Menor</v>
          </cell>
          <cell r="I10" t="str">
            <v>ALTO</v>
          </cell>
          <cell r="K10" t="str">
            <v>No se identifica control existente</v>
          </cell>
          <cell r="L10" t="str">
            <v>No se identifica control existente</v>
          </cell>
          <cell r="U10" t="str">
            <v>Casi Seguro</v>
          </cell>
          <cell r="V10" t="str">
            <v>Menor</v>
          </cell>
          <cell r="W10" t="str">
            <v>ALTO</v>
          </cell>
          <cell r="X10" t="str">
            <v>Reducir el riesgo</v>
          </cell>
        </row>
        <row r="11">
          <cell r="F11" t="str">
            <v>Casi Seguro</v>
          </cell>
          <cell r="G11" t="str">
            <v>Menor</v>
          </cell>
          <cell r="I11" t="str">
            <v>ALTO</v>
          </cell>
          <cell r="K11" t="str">
            <v>Procedimiento de TIC</v>
          </cell>
          <cell r="L11" t="str">
            <v xml:space="preserve">Establece las directrices del proceso para prestar los servicios en el marco de su objetivo. </v>
          </cell>
          <cell r="U11" t="str">
            <v>Casi Seguro</v>
          </cell>
          <cell r="V11" t="str">
            <v>Menor</v>
          </cell>
          <cell r="W11" t="str">
            <v>ALTO</v>
          </cell>
          <cell r="X11" t="str">
            <v>Reducir el riesgo</v>
          </cell>
        </row>
        <row r="12">
          <cell r="F12" t="str">
            <v>Probable</v>
          </cell>
          <cell r="G12" t="str">
            <v>Mayor</v>
          </cell>
          <cell r="I12" t="str">
            <v>EXTREMO</v>
          </cell>
          <cell r="K12" t="str">
            <v>No se identifica control existente</v>
          </cell>
          <cell r="L12" t="str">
            <v>No se identifica control existente</v>
          </cell>
          <cell r="U12" t="str">
            <v>Probable</v>
          </cell>
          <cell r="V12" t="str">
            <v>Mayor</v>
          </cell>
          <cell r="W12" t="str">
            <v>EXTREMO</v>
          </cell>
          <cell r="X12" t="str">
            <v>Reducir el riesgo</v>
          </cell>
        </row>
        <row r="13">
          <cell r="F13" t="str">
            <v>Rara vez</v>
          </cell>
          <cell r="G13" t="str">
            <v>Catastrófico</v>
          </cell>
          <cell r="I13" t="str">
            <v>EXTREMO</v>
          </cell>
          <cell r="K13" t="str">
            <v>No se identifica control existente</v>
          </cell>
          <cell r="L13" t="str">
            <v>No se identifica control existente</v>
          </cell>
          <cell r="U13" t="str">
            <v>Rara vez</v>
          </cell>
          <cell r="V13" t="str">
            <v>Catastrófico</v>
          </cell>
          <cell r="W13" t="str">
            <v>EXTREMO</v>
          </cell>
          <cell r="X13" t="str">
            <v>Reducir el riesgo</v>
          </cell>
        </row>
      </sheetData>
      <sheetData sheetId="4"/>
      <sheetData sheetId="5" refreshError="1"/>
      <sheetData sheetId="6">
        <row r="9">
          <cell r="T9">
            <v>100</v>
          </cell>
          <cell r="W9">
            <v>1</v>
          </cell>
          <cell r="X9">
            <v>1</v>
          </cell>
          <cell r="AB9" t="str">
            <v>No</v>
          </cell>
        </row>
        <row r="10">
          <cell r="T10">
            <v>0</v>
          </cell>
          <cell r="W10">
            <v>0</v>
          </cell>
          <cell r="X10">
            <v>0</v>
          </cell>
          <cell r="AB10" t="str">
            <v>SI</v>
          </cell>
        </row>
        <row r="11">
          <cell r="T11">
            <v>100</v>
          </cell>
          <cell r="W11">
            <v>1</v>
          </cell>
          <cell r="X11">
            <v>1</v>
          </cell>
          <cell r="AB11" t="str">
            <v>No</v>
          </cell>
        </row>
        <row r="12">
          <cell r="T12">
            <v>0</v>
          </cell>
          <cell r="W12">
            <v>0</v>
          </cell>
          <cell r="X12">
            <v>0</v>
          </cell>
          <cell r="AB12" t="str">
            <v>SI</v>
          </cell>
        </row>
        <row r="13">
          <cell r="T13">
            <v>100</v>
          </cell>
          <cell r="W13">
            <v>0</v>
          </cell>
          <cell r="X13">
            <v>0</v>
          </cell>
          <cell r="AB13" t="str">
            <v>SI</v>
          </cell>
        </row>
        <row r="14">
          <cell r="T14">
            <v>0</v>
          </cell>
          <cell r="W14">
            <v>0</v>
          </cell>
          <cell r="X14">
            <v>0</v>
          </cell>
          <cell r="AB14" t="str">
            <v>SI</v>
          </cell>
        </row>
        <row r="15">
          <cell r="T15">
            <v>0</v>
          </cell>
          <cell r="W15">
            <v>0</v>
          </cell>
          <cell r="X15">
            <v>0</v>
          </cell>
          <cell r="AB15" t="str">
            <v>SI</v>
          </cell>
        </row>
      </sheetData>
      <sheetData sheetId="7" refreshError="1"/>
      <sheetData sheetId="8" refreshError="1"/>
      <sheetData sheetId="9" refreshError="1"/>
      <sheetData sheetId="10">
        <row r="7">
          <cell r="V7">
            <v>1</v>
          </cell>
          <cell r="W7">
            <v>2</v>
          </cell>
          <cell r="X7">
            <v>3</v>
          </cell>
          <cell r="Y7">
            <v>4</v>
          </cell>
          <cell r="Z7">
            <v>5</v>
          </cell>
        </row>
        <row r="8">
          <cell r="G8" t="str">
            <v>Más de 1 vez al año.</v>
          </cell>
          <cell r="H8">
            <v>5</v>
          </cell>
          <cell r="I8" t="str">
            <v>Casi Seguro</v>
          </cell>
          <cell r="J8" t="str">
            <v>Se espera que el evento ocurra en la mayoría de las circunstancias.</v>
          </cell>
          <cell r="K8" t="str">
            <v>Catastrófico</v>
          </cell>
          <cell r="L8">
            <v>5</v>
          </cell>
          <cell r="M8" t="str">
            <v>Catastrófico</v>
          </cell>
          <cell r="U8">
            <v>5</v>
          </cell>
          <cell r="V8" t="str">
            <v>ALTO</v>
          </cell>
          <cell r="W8" t="str">
            <v>ALTO</v>
          </cell>
          <cell r="X8" t="str">
            <v>EXTREMO</v>
          </cell>
          <cell r="Y8" t="str">
            <v>EXTREMO</v>
          </cell>
          <cell r="Z8" t="str">
            <v>EXTREMO</v>
          </cell>
        </row>
        <row r="9">
          <cell r="G9" t="str">
            <v>Al menos 1 vez en el último año.</v>
          </cell>
          <cell r="H9">
            <v>4</v>
          </cell>
          <cell r="I9" t="str">
            <v>Probable</v>
          </cell>
          <cell r="J9" t="str">
            <v>Es viable que el evento ocurra en la mayoría de las circunstancias.</v>
          </cell>
          <cell r="K9" t="str">
            <v>Mayor</v>
          </cell>
          <cell r="L9">
            <v>4</v>
          </cell>
          <cell r="M9" t="str">
            <v>Mayor</v>
          </cell>
          <cell r="U9">
            <v>4</v>
          </cell>
          <cell r="V9" t="str">
            <v>MODERADO</v>
          </cell>
          <cell r="W9" t="str">
            <v>ALTO</v>
          </cell>
          <cell r="X9" t="str">
            <v>ALTO</v>
          </cell>
          <cell r="Y9" t="str">
            <v>EXTREMO</v>
          </cell>
          <cell r="Z9" t="str">
            <v>EXTREMO</v>
          </cell>
        </row>
        <row r="10">
          <cell r="G10" t="str">
            <v>Al menos 1 vez en los últimos 2 años.</v>
          </cell>
          <cell r="H10">
            <v>3</v>
          </cell>
          <cell r="I10" t="str">
            <v>Posible</v>
          </cell>
          <cell r="J10" t="str">
            <v>El evento podrá ocurrir en algún momento.</v>
          </cell>
          <cell r="K10" t="str">
            <v>Moderado</v>
          </cell>
          <cell r="L10">
            <v>3</v>
          </cell>
          <cell r="M10" t="str">
            <v>Moderado</v>
          </cell>
          <cell r="U10">
            <v>3</v>
          </cell>
          <cell r="V10" t="str">
            <v>BAJO</v>
          </cell>
          <cell r="W10" t="str">
            <v>MODERADO</v>
          </cell>
          <cell r="X10" t="str">
            <v>ALTO</v>
          </cell>
          <cell r="Y10" t="str">
            <v>EXTREMO</v>
          </cell>
          <cell r="Z10" t="str">
            <v>EXTREMO</v>
          </cell>
        </row>
        <row r="11">
          <cell r="G11" t="str">
            <v>Al menos 1 vez en los últimos 5 años.</v>
          </cell>
          <cell r="H11">
            <v>2</v>
          </cell>
          <cell r="I11" t="str">
            <v>Improbable</v>
          </cell>
          <cell r="J11" t="str">
            <v>El evento puede ocurrir en algún momento.</v>
          </cell>
          <cell r="K11" t="str">
            <v>Menor</v>
          </cell>
          <cell r="L11">
            <v>2</v>
          </cell>
          <cell r="M11" t="str">
            <v>Menor</v>
          </cell>
          <cell r="U11">
            <v>2</v>
          </cell>
          <cell r="V11" t="str">
            <v>BAJO</v>
          </cell>
          <cell r="W11" t="str">
            <v>BAJO</v>
          </cell>
          <cell r="X11" t="str">
            <v>MODERADO</v>
          </cell>
          <cell r="Y11" t="str">
            <v>ALTO</v>
          </cell>
          <cell r="Z11" t="str">
            <v>EXTREMO</v>
          </cell>
        </row>
        <row r="12">
          <cell r="G12" t="str">
            <v>No se ha presentado en los últimos 5 años.</v>
          </cell>
          <cell r="H12">
            <v>1</v>
          </cell>
          <cell r="I12" t="str">
            <v>Rara vez</v>
          </cell>
          <cell r="J12" t="str">
            <v>El evento puede ocurrir solo en circunstancias excepcionales (poco comunes o anormales)</v>
          </cell>
          <cell r="K12" t="str">
            <v>Insignificante</v>
          </cell>
          <cell r="L12">
            <v>1</v>
          </cell>
          <cell r="M12" t="str">
            <v>Insignificante</v>
          </cell>
          <cell r="U12">
            <v>1</v>
          </cell>
          <cell r="V12" t="str">
            <v>BAJO</v>
          </cell>
          <cell r="W12" t="str">
            <v>BAJO</v>
          </cell>
          <cell r="X12" t="str">
            <v>MODERADO</v>
          </cell>
          <cell r="Y12" t="str">
            <v>ALTO</v>
          </cell>
          <cell r="Z12" t="str">
            <v>EXTREMO</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Contexto"/>
      <sheetName val="Identificación del Riesgo TH"/>
      <sheetName val="Analisis Riesgo"/>
      <sheetName val="Matriz de Riesgo"/>
      <sheetName val="Controles"/>
      <sheetName val="MAPA DE RIESGOS"/>
      <sheetName val="Cuadro de Cambios"/>
      <sheetName val="Datos"/>
      <sheetName val="Analisis Riesgo Corrupcion"/>
      <sheetName val="Mapa de Calor"/>
    </sheetNames>
    <sheetDataSet>
      <sheetData sheetId="0" refreshError="1"/>
      <sheetData sheetId="1"/>
      <sheetData sheetId="2">
        <row r="5">
          <cell r="D5" t="str">
            <v>Gestión de Talento Humano</v>
          </cell>
        </row>
        <row r="6">
          <cell r="D6" t="str">
            <v>Administrar y gestionar talento humano integro y competente en función del cumplimiento de los objetivos de la UPME; dentro de un clima laboral saludable y en condiciones de bienestar.</v>
          </cell>
        </row>
        <row r="9">
          <cell r="D9">
            <v>1</v>
          </cell>
          <cell r="E9" t="str">
            <v>Vencimiento de terminos de los procesos disciplinarios</v>
          </cell>
          <cell r="H9" t="str">
            <v>Desconocimiento del regimen disciplinario
Falta de control en los vencimientos de cada una de las etapas procesales
Personal sin las competencias requeridas respecto a normatividad vigente
Actuaciones en favor de un tercero</v>
          </cell>
          <cell r="I9" t="str">
            <v>Sanciones disciplinarias
Procesos disciplinarios archivados por prescripción de acciones
Hallazgos de entes de control</v>
          </cell>
        </row>
        <row r="10">
          <cell r="D10">
            <v>2</v>
          </cell>
          <cell r="E10" t="str">
            <v>Incumplimiento de los objetivos del Plan Institucional de Capacitaciones</v>
          </cell>
          <cell r="H10" t="str">
            <v>Disminución en el presupuesto asignado para capacitación 
Baja participación de los funcionarios en las capacitaciones planificadas
Contingencias generadas por factores externos y/o epidemiologicos
Plataformas tecnologicas no acondicionadas para desarrollar las actividades planificadas</v>
          </cell>
          <cell r="I10" t="str">
            <v>Servidores publicos sin las competencias necesarias para lograr los objetivos de la Entidad
Hallazgos de entes de control</v>
          </cell>
        </row>
        <row r="11">
          <cell r="D11">
            <v>3</v>
          </cell>
          <cell r="E11" t="str">
            <v>Historias laborales incompletas o desactualizadas</v>
          </cell>
          <cell r="H11" t="str">
            <v>No se ha designado un responsable para custodiar los expedientes de las hojas de vida de los funcionarios de la UPME
No existe un instructivo que indique la metodologia para la custodia y control de la informacion en las hojas de vida</v>
          </cell>
          <cell r="I11" t="str">
            <v>No contar con la información en el momento oportuno
Perdida de información 
Sanción disciplinaria (falta grave)
Hallazgo de entes de control</v>
          </cell>
        </row>
        <row r="12">
          <cell r="D12">
            <v>4</v>
          </cell>
          <cell r="E12" t="str">
            <v>Clima y entorno laboral inadecuado</v>
          </cell>
          <cell r="H12" t="str">
            <v>Inasistencia a las actividades planificadas en el Plan de Bienestar
Recarga laboral</v>
          </cell>
          <cell r="I12" t="str">
            <v>Baja productividad
Incumplimiento de metas
Ruptura en la comunicación
Baja participación en las actividades corporativas
Personal desalineado con los objetivos de la Entidad</v>
          </cell>
        </row>
        <row r="13">
          <cell r="D13">
            <v>5</v>
          </cell>
          <cell r="E13" t="str">
            <v xml:space="preserve">Errores en el tramite de situaciones administrativas </v>
          </cell>
          <cell r="H13" t="str">
            <v xml:space="preserve">Documentos allegados fuera de tiempos 
Novedades no reportadas
</v>
          </cell>
          <cell r="I13" t="str">
            <v xml:space="preserve">Reprocesos 
Liquidaciones erradas de nomina por falta de inclusión de novedades </v>
          </cell>
        </row>
        <row r="14">
          <cell r="D14">
            <v>6</v>
          </cell>
          <cell r="E14" t="str">
            <v>Expedición de certificaciones  con información alterada en favor de un tercero</v>
          </cell>
          <cell r="H14" t="str">
            <v xml:space="preserve">No realizar filtros o controles de verificación de la información consignada en las certificaciones laborales
Información incompleta o desactualizada en las hojas de vida
Pago de dadivas a funcionarios que realizan las certificaciones (Delito de concusión art. 408 Codigo Penal, Ley 599/2000)
Funcionarios con bajo nivel de integridad 
</v>
          </cell>
          <cell r="I14" t="str">
            <v>Sanciones disciplinarias
Hallazgos de entes de control
Reprocesos</v>
          </cell>
        </row>
      </sheetData>
      <sheetData sheetId="3">
        <row r="7">
          <cell r="F7" t="str">
            <v>Improbable</v>
          </cell>
          <cell r="G7" t="str">
            <v>Mayor</v>
          </cell>
          <cell r="I7" t="str">
            <v>ALTO</v>
          </cell>
          <cell r="K7" t="str">
            <v>Bitacora fisica para control de las etapas de los procesos</v>
          </cell>
          <cell r="L7" t="str">
            <v>Se cuenta con una bitacora fisica en donde el abogado sustanciador registra cada una de las actuaciones y vencimientos de los procesos</v>
          </cell>
          <cell r="U7" t="str">
            <v>Improbable</v>
          </cell>
          <cell r="V7" t="str">
            <v>Mayor</v>
          </cell>
          <cell r="W7" t="str">
            <v>ALTO</v>
          </cell>
          <cell r="X7" t="str">
            <v>Reducir el riesgo</v>
          </cell>
        </row>
        <row r="8">
          <cell r="F8" t="str">
            <v>Casi Seguro</v>
          </cell>
          <cell r="G8" t="str">
            <v>Mayor</v>
          </cell>
          <cell r="I8" t="str">
            <v>EXTREMO</v>
          </cell>
          <cell r="K8" t="str">
            <v>Reporte  trimestral del PIC. Cronograma de seguimiento del PIC</v>
          </cell>
          <cell r="L8" t="str">
            <v>Reporte  trimestral detallado sobre el cumplimiento de metas establecidas en el PIC. 'Cronograma de seguimiento del PIC de la vigencia</v>
          </cell>
          <cell r="U8" t="str">
            <v>Casi Seguro</v>
          </cell>
          <cell r="V8" t="str">
            <v>Mayor</v>
          </cell>
          <cell r="W8" t="str">
            <v>EXTREMO</v>
          </cell>
          <cell r="X8" t="str">
            <v>Reducir el riesgo</v>
          </cell>
        </row>
        <row r="9">
          <cell r="F9" t="str">
            <v>Improbable</v>
          </cell>
          <cell r="G9" t="str">
            <v>Moderado</v>
          </cell>
          <cell r="I9" t="str">
            <v>MODERADO</v>
          </cell>
          <cell r="K9" t="str">
            <v xml:space="preserve">Lista de chequeo </v>
          </cell>
          <cell r="L9" t="str">
            <v>Para cada uno  de los expedientes se diligencia una lista de chequeo (formato sin control por el SGC)</v>
          </cell>
          <cell r="U9" t="str">
            <v>Improbable</v>
          </cell>
          <cell r="V9" t="str">
            <v>Moderado</v>
          </cell>
          <cell r="W9" t="str">
            <v>MODERADO</v>
          </cell>
          <cell r="X9" t="str">
            <v>Reducir el riesgo</v>
          </cell>
        </row>
        <row r="10">
          <cell r="F10" t="str">
            <v>Posible</v>
          </cell>
          <cell r="G10" t="str">
            <v>Moderado</v>
          </cell>
          <cell r="I10" t="str">
            <v>ALTO</v>
          </cell>
          <cell r="K10" t="str">
            <v>Ejecución del Plan de Bienestar e incentivos. Encuesta de clima laboral</v>
          </cell>
          <cell r="L10" t="str">
            <v>Seguimiento a la ejecución de las actividades contempladas dentro del Plan de Bienestar e incentivos. La encuesta se realiza de forma bianual una encuesta de clima laboral a todos los servidores de la UPME</v>
          </cell>
          <cell r="U10" t="str">
            <v>Improbable</v>
          </cell>
          <cell r="V10" t="str">
            <v>Menor</v>
          </cell>
          <cell r="W10" t="str">
            <v>BAJO</v>
          </cell>
          <cell r="X10" t="str">
            <v>Reducir el riesgo</v>
          </cell>
        </row>
        <row r="11">
          <cell r="F11" t="str">
            <v>Casi Seguro</v>
          </cell>
          <cell r="G11" t="str">
            <v>Moderado</v>
          </cell>
          <cell r="I11" t="str">
            <v>EXTREMO</v>
          </cell>
          <cell r="K11" t="str">
            <v>No se cuenta con controles existentes</v>
          </cell>
          <cell r="L11" t="str">
            <v>No se cuenta con controles existentes</v>
          </cell>
          <cell r="U11" t="str">
            <v>Casi Seguro</v>
          </cell>
          <cell r="V11" t="str">
            <v>Moderado</v>
          </cell>
          <cell r="W11" t="str">
            <v>EXTREMO</v>
          </cell>
          <cell r="X11" t="str">
            <v>Reducir el riesgo</v>
          </cell>
        </row>
        <row r="12">
          <cell r="F12" t="str">
            <v>Improbable</v>
          </cell>
          <cell r="G12" t="str">
            <v>Mayor</v>
          </cell>
          <cell r="I12" t="str">
            <v>ALTO</v>
          </cell>
          <cell r="K12" t="str">
            <v>Cuadro de verificación de la información contenida en las certificaciones laborales</v>
          </cell>
          <cell r="L12" t="str">
            <v>El formato para certificaciones laborales cuenta con un espacio de verificación de la información contenida en las mismas, asi: quien elaboró, quien revisó y quien aprobó</v>
          </cell>
          <cell r="U12" t="str">
            <v>Improbable</v>
          </cell>
          <cell r="V12" t="str">
            <v>Mayor</v>
          </cell>
          <cell r="W12" t="str">
            <v>ALTO</v>
          </cell>
          <cell r="X12" t="str">
            <v>Reducir el riesgo</v>
          </cell>
        </row>
      </sheetData>
      <sheetData sheetId="4" refreshError="1"/>
      <sheetData sheetId="5">
        <row r="9">
          <cell r="T9">
            <v>55</v>
          </cell>
          <cell r="W9">
            <v>0.55000000000000004</v>
          </cell>
          <cell r="X9">
            <v>0.55000000000000004</v>
          </cell>
          <cell r="AB9" t="str">
            <v>SI</v>
          </cell>
        </row>
        <row r="10">
          <cell r="T10">
            <v>95</v>
          </cell>
          <cell r="W10">
            <v>0.95</v>
          </cell>
          <cell r="X10">
            <v>0.95</v>
          </cell>
          <cell r="AB10" t="str">
            <v>SI</v>
          </cell>
        </row>
        <row r="11">
          <cell r="T11">
            <v>55</v>
          </cell>
          <cell r="W11">
            <v>0.55000000000000004</v>
          </cell>
          <cell r="X11">
            <v>0.55000000000000004</v>
          </cell>
          <cell r="AB11" t="str">
            <v>SI</v>
          </cell>
        </row>
        <row r="12">
          <cell r="T12">
            <v>100</v>
          </cell>
          <cell r="W12">
            <v>1</v>
          </cell>
          <cell r="X12">
            <v>1</v>
          </cell>
          <cell r="AB12" t="str">
            <v>No</v>
          </cell>
        </row>
        <row r="13">
          <cell r="T13">
            <v>0</v>
          </cell>
          <cell r="W13">
            <v>0</v>
          </cell>
          <cell r="X13">
            <v>0</v>
          </cell>
          <cell r="AB13" t="str">
            <v>SI</v>
          </cell>
        </row>
        <row r="14">
          <cell r="T14">
            <v>95</v>
          </cell>
          <cell r="W14">
            <v>0.95</v>
          </cell>
          <cell r="X14">
            <v>0.95</v>
          </cell>
          <cell r="AB14" t="str">
            <v>SI</v>
          </cell>
        </row>
      </sheetData>
      <sheetData sheetId="6" refreshError="1"/>
      <sheetData sheetId="7" refreshError="1"/>
      <sheetData sheetId="8">
        <row r="7">
          <cell r="V7">
            <v>1</v>
          </cell>
          <cell r="W7">
            <v>2</v>
          </cell>
          <cell r="X7">
            <v>3</v>
          </cell>
          <cell r="Y7">
            <v>4</v>
          </cell>
          <cell r="Z7">
            <v>5</v>
          </cell>
        </row>
        <row r="8">
          <cell r="G8" t="str">
            <v>Más de 1 vez al año.</v>
          </cell>
          <cell r="H8">
            <v>5</v>
          </cell>
          <cell r="I8" t="str">
            <v>Casi Seguro</v>
          </cell>
          <cell r="J8" t="str">
            <v>Se espera que el evento ocurra en la mayoría de las circunstancias.</v>
          </cell>
          <cell r="K8" t="str">
            <v>Catastrófico</v>
          </cell>
          <cell r="L8">
            <v>5</v>
          </cell>
          <cell r="M8" t="str">
            <v>Catastrófico</v>
          </cell>
          <cell r="U8">
            <v>5</v>
          </cell>
          <cell r="V8" t="str">
            <v>ALTO</v>
          </cell>
          <cell r="W8" t="str">
            <v>ALTO</v>
          </cell>
          <cell r="X8" t="str">
            <v>EXTREMO</v>
          </cell>
          <cell r="Y8" t="str">
            <v>EXTREMO</v>
          </cell>
          <cell r="Z8" t="str">
            <v>EXTREMO</v>
          </cell>
        </row>
        <row r="9">
          <cell r="G9" t="str">
            <v>Al menos 1 vez en el último año.</v>
          </cell>
          <cell r="H9">
            <v>4</v>
          </cell>
          <cell r="I9" t="str">
            <v>Probable</v>
          </cell>
          <cell r="J9" t="str">
            <v>Es viable que el evento ocurra en la mayoría de las circunstancias.</v>
          </cell>
          <cell r="K9" t="str">
            <v>Mayor</v>
          </cell>
          <cell r="L9">
            <v>4</v>
          </cell>
          <cell r="M9" t="str">
            <v>Mayor</v>
          </cell>
          <cell r="U9">
            <v>4</v>
          </cell>
          <cell r="V9" t="str">
            <v>MODERADO</v>
          </cell>
          <cell r="W9" t="str">
            <v>ALTO</v>
          </cell>
          <cell r="X9" t="str">
            <v>ALTO</v>
          </cell>
          <cell r="Y9" t="str">
            <v>EXTREMO</v>
          </cell>
          <cell r="Z9" t="str">
            <v>EXTREMO</v>
          </cell>
        </row>
        <row r="10">
          <cell r="G10" t="str">
            <v>Al menos 1 vez en los últimos 2 años.</v>
          </cell>
          <cell r="H10">
            <v>3</v>
          </cell>
          <cell r="I10" t="str">
            <v>Posible</v>
          </cell>
          <cell r="J10" t="str">
            <v>El evento podrá ocurrir en algún momento.</v>
          </cell>
          <cell r="K10" t="str">
            <v>Moderado</v>
          </cell>
          <cell r="L10">
            <v>3</v>
          </cell>
          <cell r="M10" t="str">
            <v>Moderado</v>
          </cell>
          <cell r="U10">
            <v>3</v>
          </cell>
          <cell r="V10" t="str">
            <v>BAJO</v>
          </cell>
          <cell r="W10" t="str">
            <v>MODERADO</v>
          </cell>
          <cell r="X10" t="str">
            <v>ALTO</v>
          </cell>
          <cell r="Y10" t="str">
            <v>EXTREMO</v>
          </cell>
          <cell r="Z10" t="str">
            <v>EXTREMO</v>
          </cell>
        </row>
        <row r="11">
          <cell r="G11" t="str">
            <v>Al menos 1 vez en los últimos 5 años.</v>
          </cell>
          <cell r="H11">
            <v>2</v>
          </cell>
          <cell r="I11" t="str">
            <v>Improbable</v>
          </cell>
          <cell r="J11" t="str">
            <v>El evento puede ocurrir en algún momento.</v>
          </cell>
          <cell r="K11" t="str">
            <v>Menor</v>
          </cell>
          <cell r="L11">
            <v>2</v>
          </cell>
          <cell r="M11" t="str">
            <v>Menor</v>
          </cell>
          <cell r="U11">
            <v>2</v>
          </cell>
          <cell r="V11" t="str">
            <v>BAJO</v>
          </cell>
          <cell r="W11" t="str">
            <v>BAJO</v>
          </cell>
          <cell r="X11" t="str">
            <v>MODERADO</v>
          </cell>
          <cell r="Y11" t="str">
            <v>ALTO</v>
          </cell>
          <cell r="Z11" t="str">
            <v>EXTREMO</v>
          </cell>
        </row>
        <row r="12">
          <cell r="G12" t="str">
            <v>No se ha presentado en los últimos 5 años.</v>
          </cell>
          <cell r="H12">
            <v>1</v>
          </cell>
          <cell r="I12" t="str">
            <v>Rara vez</v>
          </cell>
          <cell r="J12" t="str">
            <v>El evento puede ocurrir solo en circunstancias excepcionales (poco comunes o anormales)</v>
          </cell>
          <cell r="K12" t="str">
            <v>Insignificante</v>
          </cell>
          <cell r="L12">
            <v>1</v>
          </cell>
          <cell r="M12" t="str">
            <v>Insignificante</v>
          </cell>
          <cell r="U12">
            <v>1</v>
          </cell>
          <cell r="V12" t="str">
            <v>BAJO</v>
          </cell>
          <cell r="W12" t="str">
            <v>BAJO</v>
          </cell>
          <cell r="X12" t="str">
            <v>MODERADO</v>
          </cell>
          <cell r="Y12" t="str">
            <v>ALTO</v>
          </cell>
          <cell r="Z12" t="str">
            <v>EXTREMO</v>
          </cell>
        </row>
      </sheetData>
      <sheetData sheetId="9" refreshError="1"/>
      <sheetData sheetId="1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Contexto"/>
      <sheetName val="Identificación del Riesgo GD"/>
      <sheetName val="Analisis Riesgo"/>
      <sheetName val="Matriz de Riesgo"/>
      <sheetName val="Controles"/>
      <sheetName val="MAPA DE RIESGOS"/>
      <sheetName val="Datos"/>
      <sheetName val="Analisis Riesgo Corrupcion GD"/>
      <sheetName val="Mapa de Calor"/>
      <sheetName val="Cuadro de Cambios"/>
    </sheetNames>
    <sheetDataSet>
      <sheetData sheetId="0" refreshError="1"/>
      <sheetData sheetId="1"/>
      <sheetData sheetId="2">
        <row r="5">
          <cell r="D5" t="str">
            <v>GESTIÓN DOCUMENTAL</v>
          </cell>
        </row>
        <row r="6">
          <cell r="D6" t="str">
            <v>Asegurar la conservación y disponibilidad de la memoria institucional de la UPME por medio de la generación de directrices y controles aplicables al archivo de gestión, archivo central y archivo historico.</v>
          </cell>
        </row>
        <row r="9">
          <cell r="D9">
            <v>1</v>
          </cell>
          <cell r="E9" t="str">
            <v>Deterioro de los documentos del archivo central, archivo  de gestión o del material bibliográfico del centro documental</v>
          </cell>
          <cell r="H9" t="str">
            <v xml:space="preserve">Falta de aseo
Falta de mantenimiento de instalaciones
No se realizan fumigaciones </v>
          </cell>
          <cell r="I9" t="str">
            <v>Perdida de información
Sanciones disciplinarias
Multas</v>
          </cell>
        </row>
        <row r="10">
          <cell r="D10">
            <v>2</v>
          </cell>
          <cell r="E10" t="str">
            <v>Información suministrada de forma inoportuna por el proceso de Gestion Documental</v>
          </cell>
          <cell r="H10" t="str">
            <v>Fallas en el internet
Caída del sistema o perdida de información de las bases de datos Dspace, Koha y ORFEO.
Personal insuficiente
Personal sin las competencias y/o capacitación  requeridas en el cargo</v>
          </cell>
          <cell r="I10" t="str">
            <v>Traumatismos en la gestión de los demás procesos de la Entidad</v>
          </cell>
        </row>
        <row r="11">
          <cell r="D11">
            <v>3</v>
          </cell>
          <cell r="E11" t="str">
            <v>Manejo  inadecuado de la Gestión documental por parte de los servidores publicos  de la UPME</v>
          </cell>
          <cell r="H11" t="str">
            <v>Personal sin las competencias y/o capacitación  requeridas en el cargo
Falta compromiso por parte de los servidores publicos
No aplicación de las TRD por parte de los servidores publicos</v>
          </cell>
          <cell r="I11" t="str">
            <v>Perdida de información
Sanciones disciplinarias
Multas
Sanciones por parte de los entes de control</v>
          </cell>
        </row>
        <row r="12">
          <cell r="D12">
            <v>4</v>
          </cell>
          <cell r="E12" t="str">
            <v xml:space="preserve">Transferencias incompletas o que no se realizan de acuerdo a las TRD </v>
          </cell>
          <cell r="H12" t="str">
            <v>Falta compromiso por parte de los servidores publicos
Falta de capacitación sobre el manejo de trasferencias</v>
          </cell>
          <cell r="I12" t="str">
            <v>Instalaciones destinadas al archivo de gestión con poco espacio
Sanciones disciplinarias</v>
          </cell>
        </row>
        <row r="13">
          <cell r="D13">
            <v>5</v>
          </cell>
          <cell r="E13" t="str">
            <v>Alteración o perdida de los expedientes que reposan en el archivo Central para favorecer a un tercero</v>
          </cell>
          <cell r="H13" t="str">
            <v>No se realizar trazabilidad desde la entrega hasta la devolución (si es en fisico)
Intereses particulares de beneficio propio</v>
          </cell>
          <cell r="I13" t="str">
            <v>Sanciones disciplinarias
Perdida de memoria institucional</v>
          </cell>
        </row>
        <row r="14">
          <cell r="D14">
            <v>6</v>
          </cell>
          <cell r="E14" t="str">
            <v>Asignación o manejo errado de correspondencia general radicada en la UPME</v>
          </cell>
          <cell r="H14" t="str">
            <v>Falta compromiso por parte de los servidores publicos
No identificar adecuadamente el contenido de los sobres de correspondencia
Falta de capacitación sobre los diferentes temas que pueden ser radicados en la entidad</v>
          </cell>
          <cell r="I14" t="str">
            <v>Inoportunidad de las respuestas 
Reprocesos 
Hallazgos por parte de los entes de control
Tutelas</v>
          </cell>
        </row>
        <row r="15">
          <cell r="D15">
            <v>7</v>
          </cell>
          <cell r="E15" t="str">
            <v>No realizar trazabilidad a la  entrega de la correspondencia enviada</v>
          </cell>
          <cell r="H15" t="str">
            <v>Falta compromiso por parte de los servidores publicos
Falta de inducción/reinducción sobre procedimientos y actividades propias del proceso</v>
          </cell>
          <cell r="I15" t="str">
            <v xml:space="preserve">Demandas
Insatisfacción de las partes interesadas
Reprocesos </v>
          </cell>
        </row>
      </sheetData>
      <sheetData sheetId="3">
        <row r="7">
          <cell r="F7" t="str">
            <v>Rara vez</v>
          </cell>
          <cell r="G7" t="str">
            <v>Mayor</v>
          </cell>
          <cell r="I7" t="str">
            <v>ALTO</v>
          </cell>
          <cell r="K7" t="str">
            <v>Mantenimientos periodicos a las instalaciones donde reposan lo archivos</v>
          </cell>
          <cell r="L7" t="str">
            <v>Mantenimientos periodicos a las instalaciones donde reposan lo archivos, que incluye control de plagas (roedores, insectos y hongos) y limpieza general</v>
          </cell>
          <cell r="U7" t="str">
            <v>Rara vez</v>
          </cell>
          <cell r="V7" t="str">
            <v>Mayor</v>
          </cell>
          <cell r="W7" t="str">
            <v>ALTO</v>
          </cell>
          <cell r="X7" t="str">
            <v>Reducir el riesgo</v>
          </cell>
        </row>
        <row r="8">
          <cell r="F8" t="str">
            <v>Rara vez</v>
          </cell>
          <cell r="G8" t="str">
            <v>Moderado</v>
          </cell>
          <cell r="I8" t="str">
            <v>MODERADO</v>
          </cell>
          <cell r="K8" t="str">
            <v>Procedimiento de Gestión documental</v>
          </cell>
          <cell r="L8" t="str">
            <v xml:space="preserve">Dentro del Sistema de gestión de calidad se cuenta con el procedimiento de Gestión Documental que da las directrices respecto al manejo de los expedientes </v>
          </cell>
          <cell r="U8" t="str">
            <v>Rara vez</v>
          </cell>
          <cell r="V8" t="str">
            <v>Moderado</v>
          </cell>
          <cell r="W8" t="str">
            <v>MODERADO</v>
          </cell>
          <cell r="X8" t="str">
            <v>Reducir el riesgo</v>
          </cell>
        </row>
        <row r="9">
          <cell r="F9" t="str">
            <v>Probable</v>
          </cell>
          <cell r="G9" t="str">
            <v>Moderado</v>
          </cell>
          <cell r="I9" t="str">
            <v>ALTO</v>
          </cell>
          <cell r="K9" t="str">
            <v>Sistema de Gestión Documental (plataforma) parametrizado con la funcionalidades implementadas
Tablas de Retención Documental TRD de la Upme
Procedimiento de Gestión documental</v>
          </cell>
          <cell r="L9" t="str">
            <v xml:space="preserve">Tipificación de los documentos por medio de Orfeo, de acuerdo a las TRD. Tablas de Retención Documental TRD elaboradas considerando los actos administrativos de estructura y la estructura de los procesos del Sistema de Gestión de la Calidad. 'Dentro del Sistema de gestión de calidad se cuenta con el procedimiento de Gestión Documental que da las directrices respecto al manejo de los expedientes </v>
          </cell>
          <cell r="U9" t="str">
            <v>Posible</v>
          </cell>
          <cell r="V9" t="str">
            <v>Menor</v>
          </cell>
          <cell r="W9" t="str">
            <v>MODERADO</v>
          </cell>
          <cell r="X9" t="str">
            <v>Reducir el riesgo</v>
          </cell>
        </row>
        <row r="10">
          <cell r="F10" t="str">
            <v>Probable</v>
          </cell>
          <cell r="G10" t="str">
            <v>Moderado</v>
          </cell>
          <cell r="I10" t="str">
            <v>ALTO</v>
          </cell>
          <cell r="K10" t="str">
            <v>Cronograma de transferencia documental de la vigencia. Formato unico de Inventario Documental de la UPME</v>
          </cell>
          <cell r="L10" t="str">
            <v>Para cada vigencia el profesional especializado con funciones de Gestión documental elabora y hace seguimiento al cronograma de Transferencias. Trazabilidad y control del inventario documental General  de la UPME por medio del FUID</v>
          </cell>
          <cell r="U10" t="str">
            <v>Posible</v>
          </cell>
          <cell r="V10" t="str">
            <v>Menor</v>
          </cell>
          <cell r="W10" t="str">
            <v>MODERADO</v>
          </cell>
          <cell r="X10" t="str">
            <v>Reducir el riesgo</v>
          </cell>
        </row>
        <row r="11">
          <cell r="F11" t="str">
            <v>Improbable</v>
          </cell>
          <cell r="G11" t="str">
            <v>Mayor</v>
          </cell>
          <cell r="I11" t="str">
            <v>ALTO</v>
          </cell>
          <cell r="K11" t="str">
            <v>Formato de  prestamos. Matriz de control de prestamos</v>
          </cell>
          <cell r="L11" t="str">
            <v>Dentro del SGC se cuenta con un formato para controlar los documentos dados en prestamo de forma fisica, en el cual se registra la fecha de entrega, aquien se entrega y cuando lo devuelven. El responsable del proceso maneja matriz de trazabilidad de los los documentos dados en prestamo de forma fisica, en el cual se registra la fecha de entrega, aquien se entrega y cuando lo devuelven (documento sin control en el SGC)</v>
          </cell>
          <cell r="U11" t="str">
            <v>Rara vez</v>
          </cell>
          <cell r="V11" t="str">
            <v>Moderado</v>
          </cell>
          <cell r="W11" t="str">
            <v>MODERADO</v>
          </cell>
          <cell r="X11" t="str">
            <v>Reducir el riesgo</v>
          </cell>
        </row>
        <row r="12">
          <cell r="F12" t="str">
            <v>Casi Seguro</v>
          </cell>
          <cell r="G12" t="str">
            <v>Moderado</v>
          </cell>
          <cell r="I12" t="str">
            <v>EXTREMO</v>
          </cell>
          <cell r="K12" t="str">
            <v>No se identifican controles existentes</v>
          </cell>
          <cell r="L12" t="str">
            <v>No se identifican controles existentes</v>
          </cell>
          <cell r="U12" t="str">
            <v>Casi Seguro</v>
          </cell>
          <cell r="V12" t="str">
            <v>Moderado</v>
          </cell>
          <cell r="W12" t="str">
            <v>EXTREMO</v>
          </cell>
          <cell r="X12" t="str">
            <v>Reducir el riesgo</v>
          </cell>
        </row>
        <row r="13">
          <cell r="F13" t="str">
            <v>Improbable</v>
          </cell>
          <cell r="G13" t="str">
            <v>Moderado</v>
          </cell>
          <cell r="I13" t="str">
            <v>MODERADO</v>
          </cell>
          <cell r="K13" t="str">
            <v>No se identifican controles existentes</v>
          </cell>
          <cell r="L13" t="str">
            <v>No se identifican controles existentes</v>
          </cell>
          <cell r="U13" t="str">
            <v>Improbable</v>
          </cell>
          <cell r="V13" t="str">
            <v>Moderado</v>
          </cell>
          <cell r="W13" t="str">
            <v>MODERADO</v>
          </cell>
          <cell r="X13" t="str">
            <v>Reducir el riesgo</v>
          </cell>
        </row>
      </sheetData>
      <sheetData sheetId="4" refreshError="1"/>
      <sheetData sheetId="5">
        <row r="9">
          <cell r="T9">
            <v>15</v>
          </cell>
          <cell r="W9">
            <v>0</v>
          </cell>
          <cell r="X9">
            <v>0</v>
          </cell>
          <cell r="AB9" t="str">
            <v>SI</v>
          </cell>
        </row>
        <row r="10">
          <cell r="T10">
            <v>80</v>
          </cell>
          <cell r="W10">
            <v>0.8</v>
          </cell>
          <cell r="X10">
            <v>0.8</v>
          </cell>
          <cell r="AB10" t="str">
            <v>SI</v>
          </cell>
        </row>
        <row r="11">
          <cell r="T11">
            <v>100</v>
          </cell>
          <cell r="W11">
            <v>1</v>
          </cell>
          <cell r="X11">
            <v>1</v>
          </cell>
          <cell r="AB11" t="str">
            <v>No</v>
          </cell>
        </row>
        <row r="12">
          <cell r="T12">
            <v>100</v>
          </cell>
          <cell r="W12">
            <v>1</v>
          </cell>
          <cell r="X12">
            <v>1</v>
          </cell>
          <cell r="AB12" t="str">
            <v>No</v>
          </cell>
        </row>
        <row r="13">
          <cell r="T13">
            <v>100</v>
          </cell>
          <cell r="W13">
            <v>1</v>
          </cell>
          <cell r="X13">
            <v>1</v>
          </cell>
          <cell r="AB13" t="str">
            <v>No</v>
          </cell>
        </row>
        <row r="14">
          <cell r="T14">
            <v>0</v>
          </cell>
          <cell r="W14">
            <v>0</v>
          </cell>
          <cell r="X14">
            <v>0</v>
          </cell>
          <cell r="AB14" t="str">
            <v>SI</v>
          </cell>
        </row>
        <row r="20">
          <cell r="T20">
            <v>0</v>
          </cell>
          <cell r="W20">
            <v>0</v>
          </cell>
          <cell r="X20">
            <v>0</v>
          </cell>
          <cell r="AB20" t="str">
            <v>SI</v>
          </cell>
        </row>
      </sheetData>
      <sheetData sheetId="6" refreshError="1"/>
      <sheetData sheetId="7">
        <row r="7">
          <cell r="V7">
            <v>1</v>
          </cell>
          <cell r="W7">
            <v>2</v>
          </cell>
          <cell r="X7">
            <v>3</v>
          </cell>
          <cell r="Y7">
            <v>4</v>
          </cell>
          <cell r="Z7">
            <v>5</v>
          </cell>
        </row>
        <row r="8">
          <cell r="G8" t="str">
            <v>Más de 1 vez al año.</v>
          </cell>
          <cell r="H8">
            <v>5</v>
          </cell>
          <cell r="I8" t="str">
            <v>Casi Seguro</v>
          </cell>
          <cell r="J8" t="str">
            <v>Se espera que el evento ocurra en la mayoría de las circunstancias.</v>
          </cell>
          <cell r="K8" t="str">
            <v>Catastrófico</v>
          </cell>
          <cell r="L8">
            <v>5</v>
          </cell>
          <cell r="M8" t="str">
            <v>Catastrófico</v>
          </cell>
          <cell r="U8">
            <v>5</v>
          </cell>
          <cell r="V8" t="str">
            <v>ALTO</v>
          </cell>
          <cell r="W8" t="str">
            <v>ALTO</v>
          </cell>
          <cell r="X8" t="str">
            <v>EXTREMO</v>
          </cell>
          <cell r="Y8" t="str">
            <v>EXTREMO</v>
          </cell>
          <cell r="Z8" t="str">
            <v>EXTREMO</v>
          </cell>
        </row>
        <row r="9">
          <cell r="G9" t="str">
            <v>Al menos 1 vez en el último año.</v>
          </cell>
          <cell r="H9">
            <v>4</v>
          </cell>
          <cell r="I9" t="str">
            <v>Probable</v>
          </cell>
          <cell r="J9" t="str">
            <v>Es viable que el evento ocurra en la mayoría de las circunstancias.</v>
          </cell>
          <cell r="K9" t="str">
            <v>Mayor</v>
          </cell>
          <cell r="L9">
            <v>4</v>
          </cell>
          <cell r="M9" t="str">
            <v>Mayor</v>
          </cell>
          <cell r="U9">
            <v>4</v>
          </cell>
          <cell r="V9" t="str">
            <v>MODERADO</v>
          </cell>
          <cell r="W9" t="str">
            <v>ALTO</v>
          </cell>
          <cell r="X9" t="str">
            <v>ALTO</v>
          </cell>
          <cell r="Y9" t="str">
            <v>EXTREMO</v>
          </cell>
          <cell r="Z9" t="str">
            <v>EXTREMO</v>
          </cell>
        </row>
        <row r="10">
          <cell r="G10" t="str">
            <v>Al menos 1 vez en los últimos 2 años.</v>
          </cell>
          <cell r="H10">
            <v>3</v>
          </cell>
          <cell r="I10" t="str">
            <v>Posible</v>
          </cell>
          <cell r="J10" t="str">
            <v>El evento podrá ocurrir en algún momento.</v>
          </cell>
          <cell r="K10" t="str">
            <v>Moderado</v>
          </cell>
          <cell r="L10">
            <v>3</v>
          </cell>
          <cell r="M10" t="str">
            <v>Moderado</v>
          </cell>
          <cell r="U10">
            <v>3</v>
          </cell>
          <cell r="V10" t="str">
            <v>BAJO</v>
          </cell>
          <cell r="W10" t="str">
            <v>MODERADO</v>
          </cell>
          <cell r="X10" t="str">
            <v>ALTO</v>
          </cell>
          <cell r="Y10" t="str">
            <v>EXTREMO</v>
          </cell>
          <cell r="Z10" t="str">
            <v>EXTREMO</v>
          </cell>
        </row>
        <row r="11">
          <cell r="G11" t="str">
            <v>Al menos 1 vez en los últimos 5 años.</v>
          </cell>
          <cell r="H11">
            <v>2</v>
          </cell>
          <cell r="I11" t="str">
            <v>Improbable</v>
          </cell>
          <cell r="J11" t="str">
            <v>El evento puede ocurrir en algún momento.</v>
          </cell>
          <cell r="K11" t="str">
            <v>Menor</v>
          </cell>
          <cell r="L11">
            <v>2</v>
          </cell>
          <cell r="M11" t="str">
            <v>Menor</v>
          </cell>
          <cell r="U11">
            <v>2</v>
          </cell>
          <cell r="V11" t="str">
            <v>BAJO</v>
          </cell>
          <cell r="W11" t="str">
            <v>BAJO</v>
          </cell>
          <cell r="X11" t="str">
            <v>MODERADO</v>
          </cell>
          <cell r="Y11" t="str">
            <v>ALTO</v>
          </cell>
          <cell r="Z11" t="str">
            <v>EXTREMO</v>
          </cell>
        </row>
        <row r="12">
          <cell r="G12" t="str">
            <v>No se ha presentado en los últimos 5 años.</v>
          </cell>
          <cell r="H12">
            <v>1</v>
          </cell>
          <cell r="I12" t="str">
            <v>Rara vez</v>
          </cell>
          <cell r="J12" t="str">
            <v>El evento puede ocurrir solo en circunstancias excepcionales (poco comunes o anormales)</v>
          </cell>
          <cell r="K12" t="str">
            <v>Insignificante</v>
          </cell>
          <cell r="L12">
            <v>1</v>
          </cell>
          <cell r="M12" t="str">
            <v>Insignificante</v>
          </cell>
          <cell r="U12">
            <v>1</v>
          </cell>
          <cell r="V12" t="str">
            <v>BAJO</v>
          </cell>
          <cell r="W12" t="str">
            <v>BAJO</v>
          </cell>
          <cell r="X12" t="str">
            <v>MODERADO</v>
          </cell>
          <cell r="Y12" t="str">
            <v>ALTO</v>
          </cell>
          <cell r="Z12" t="str">
            <v>EXTREMO</v>
          </cell>
        </row>
      </sheetData>
      <sheetData sheetId="8"/>
      <sheetData sheetId="9" refreshError="1"/>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Contexto"/>
      <sheetName val="Identificación del Riesgo GF"/>
      <sheetName val="Analisis Riesgo"/>
      <sheetName val="Matriz de Riesgo"/>
      <sheetName val="Controles"/>
      <sheetName val="MAPA DE RIESGOS"/>
      <sheetName val="Datos"/>
      <sheetName val="Analisis Riesgo Corrupcion GF"/>
      <sheetName val="Mapa de Calor"/>
      <sheetName val="Cuadro de Cambios"/>
    </sheetNames>
    <sheetDataSet>
      <sheetData sheetId="0" refreshError="1"/>
      <sheetData sheetId="1"/>
      <sheetData sheetId="2">
        <row r="5">
          <cell r="D5" t="str">
            <v>Gestión Financiera</v>
          </cell>
        </row>
        <row r="6">
          <cell r="D6" t="str">
            <v>Recaudar, ejecutar y controlar los recursos financieros de la Entidad y presentar de forma oportuna, fidedigna, relevante y comparable la información financiera y presupuestal para la toma de decisiones, a partir de la clasificación, registro y análisis de los hechos económicos, sociales y ambientales de la entidad.</v>
          </cell>
        </row>
        <row r="9">
          <cell r="D9">
            <v>1</v>
          </cell>
          <cell r="E9" t="str">
            <v>Información presupuestal, contable, tributaria ó financiera errada ó inorportuna</v>
          </cell>
          <cell r="H9" t="str">
            <v>Desactualización del personal asignado al area Financiera
Falta de inducción 
Errores de digitación
Fallas en los controles establecidos para cada una de las actividades
Limitación de personal asignado al area
Conexión intermitente con la plataforma Orfeo, o acceso a la pagina web, correo electronico de la UPME y/o SIIF Nación</v>
          </cell>
          <cell r="I9" t="str">
            <v>Reprocesos
Demoras en el suministro de información financiera
Información no ajustada a la realidad
Hallazgos por parte de los entes de control
Sanciones disciplinarias</v>
          </cell>
        </row>
        <row r="10">
          <cell r="D10">
            <v>2</v>
          </cell>
          <cell r="E10" t="str">
            <v>Impactos presupuestales por efectos de reestructuracion del sector Minero Energetico</v>
          </cell>
          <cell r="H10" t="str">
            <v>Cambio de Gobierno
Efectos colaterales causados por la situación economica actual del pais
Reforma de las Entidades aportantes del presupuesto de la UPME</v>
          </cell>
          <cell r="I10" t="str">
            <v xml:space="preserve">Disminución de recursos designados para la Gestión misional y adminsitrativa de la UPME
Reforma estructural interna
Incumplimiento de actividades establecidas por normatividad vigente, debido a personal insufiente
</v>
          </cell>
        </row>
        <row r="11">
          <cell r="D11">
            <v>3</v>
          </cell>
          <cell r="E11" t="str">
            <v xml:space="preserve">Perdida de información contable, presupuestal  o financiera </v>
          </cell>
          <cell r="H11" t="str">
            <v xml:space="preserve">Desconocimiento de las directrices establecidas en los procedimientos
No aplicación de los procedimientos establecidos
Fallas tecnologicas
No se han establecido frecuencias de realización copias de seguridad
</v>
          </cell>
          <cell r="I11" t="str">
            <v>Hallazgos por parte de los entes de control
Sanciones disciplinarias
Reprocesos 
Demoras en el suministro de información</v>
          </cell>
        </row>
        <row r="12">
          <cell r="D12">
            <v>4</v>
          </cell>
          <cell r="E12" t="str">
            <v>Ordenes de pago con errores, duplicados o extemporaneos</v>
          </cell>
          <cell r="H12" t="str">
            <v>Desconocimiento o no aplicación del procedimiento o normatividad referente
Errores de digitación
No se cuenta con una herramientas de verificación y control previo a la ejecución de pagos
Actuación para beneficio propio o a un tercero</v>
          </cell>
          <cell r="I12" t="str">
            <v xml:space="preserve">Reprocesos
Hallazgos adminsitrativos y de indole fiscal, por parte de los Entes de Control
Faltante de recursos financieros
Imagen negativa de la Entidad
Insatisfaccion de las partes interesadas
</v>
          </cell>
        </row>
      </sheetData>
      <sheetData sheetId="3">
        <row r="7">
          <cell r="F7" t="str">
            <v>Improbable</v>
          </cell>
          <cell r="G7" t="str">
            <v>Moderado</v>
          </cell>
          <cell r="I7" t="str">
            <v>MODERADO</v>
          </cell>
          <cell r="K7" t="str">
            <v>Plan de trabajo anual
Procedimientos para verificación de la información 
Sistemas de información 
SIIF, Chip, Orfeo, Muisca (Dian)</v>
          </cell>
          <cell r="L7" t="str">
            <v>Plan de trabajo anual donde se desagregan las actividades y fechas de vencimiento; el plan es monitoreado trimestralmente
Controles establecidos dentro de los Procedimientos del proceso, para verificación de la información 
Reportes generados para validar los tramites en los sistemas de información</v>
          </cell>
          <cell r="U7" t="str">
            <v>Rara vez</v>
          </cell>
          <cell r="V7" t="str">
            <v>Menor</v>
          </cell>
          <cell r="W7" t="str">
            <v>BAJO</v>
          </cell>
          <cell r="X7" t="str">
            <v>Reducir el riesgo</v>
          </cell>
        </row>
        <row r="8">
          <cell r="F8" t="str">
            <v>Rara vez</v>
          </cell>
          <cell r="G8" t="str">
            <v>Mayor</v>
          </cell>
          <cell r="I8" t="str">
            <v>ALTO</v>
          </cell>
          <cell r="K8" t="str">
            <v>No se identifican controles existentes</v>
          </cell>
          <cell r="L8" t="str">
            <v>No se identifican controles existentes</v>
          </cell>
          <cell r="U8" t="str">
            <v>Rara vez</v>
          </cell>
          <cell r="V8" t="str">
            <v>Mayor</v>
          </cell>
          <cell r="W8" t="str">
            <v>ALTO</v>
          </cell>
          <cell r="X8" t="str">
            <v>Reducir el riesgo</v>
          </cell>
        </row>
        <row r="9">
          <cell r="F9" t="str">
            <v>Rara vez</v>
          </cell>
          <cell r="G9" t="str">
            <v>Mayor</v>
          </cell>
          <cell r="I9" t="str">
            <v>ALTO</v>
          </cell>
          <cell r="K9" t="str">
            <v>Procedimientos del proceso</v>
          </cell>
          <cell r="L9" t="str">
            <v>Procedimientos donde se estipula la obligatoriedad de alimentar los sistemas de información</v>
          </cell>
          <cell r="U9" t="str">
            <v>Rara vez</v>
          </cell>
          <cell r="V9" t="str">
            <v>Mayor</v>
          </cell>
          <cell r="W9" t="str">
            <v>ALTO</v>
          </cell>
          <cell r="X9" t="str">
            <v>Reducir el riesgo</v>
          </cell>
        </row>
        <row r="10">
          <cell r="F10" t="str">
            <v>Probable</v>
          </cell>
          <cell r="G10" t="str">
            <v>Mayor</v>
          </cell>
          <cell r="I10" t="str">
            <v>EXTREMO</v>
          </cell>
          <cell r="K10" t="str">
            <v>No se identifican controles existentes</v>
          </cell>
          <cell r="L10" t="str">
            <v>No se identifican controles existentes</v>
          </cell>
          <cell r="U10" t="str">
            <v>Probable</v>
          </cell>
          <cell r="V10" t="str">
            <v>Mayor</v>
          </cell>
          <cell r="W10" t="str">
            <v>EXTREMO</v>
          </cell>
          <cell r="X10" t="str">
            <v>Reducir el riesgo</v>
          </cell>
        </row>
      </sheetData>
      <sheetData sheetId="4" refreshError="1"/>
      <sheetData sheetId="5">
        <row r="9">
          <cell r="T9">
            <v>100</v>
          </cell>
          <cell r="W9">
            <v>1</v>
          </cell>
          <cell r="X9">
            <v>1</v>
          </cell>
          <cell r="AB9" t="str">
            <v>No</v>
          </cell>
        </row>
        <row r="10">
          <cell r="T10">
            <v>0</v>
          </cell>
          <cell r="W10">
            <v>0</v>
          </cell>
          <cell r="X10">
            <v>0</v>
          </cell>
          <cell r="AB10" t="str">
            <v>SI</v>
          </cell>
        </row>
        <row r="11">
          <cell r="T11">
            <v>85</v>
          </cell>
          <cell r="W11">
            <v>0.85</v>
          </cell>
          <cell r="X11">
            <v>0.85</v>
          </cell>
          <cell r="AB11" t="str">
            <v>SI</v>
          </cell>
        </row>
        <row r="12">
          <cell r="T12">
            <v>0</v>
          </cell>
          <cell r="W12">
            <v>0</v>
          </cell>
          <cell r="X12">
            <v>0</v>
          </cell>
          <cell r="AB12" t="str">
            <v>SI</v>
          </cell>
        </row>
      </sheetData>
      <sheetData sheetId="6" refreshError="1"/>
      <sheetData sheetId="7">
        <row r="7">
          <cell r="V7">
            <v>1</v>
          </cell>
          <cell r="W7">
            <v>2</v>
          </cell>
          <cell r="X7">
            <v>3</v>
          </cell>
          <cell r="Y7">
            <v>4</v>
          </cell>
          <cell r="Z7">
            <v>5</v>
          </cell>
        </row>
        <row r="8">
          <cell r="G8" t="str">
            <v>Más de 1 vez al año.</v>
          </cell>
          <cell r="H8">
            <v>5</v>
          </cell>
          <cell r="I8" t="str">
            <v>Casi Seguro</v>
          </cell>
          <cell r="J8" t="str">
            <v>Se espera que el evento ocurra en la mayoría de las circunstancias.</v>
          </cell>
          <cell r="K8" t="str">
            <v>Catastrófico</v>
          </cell>
          <cell r="L8">
            <v>5</v>
          </cell>
          <cell r="M8" t="str">
            <v>Catastrófico</v>
          </cell>
          <cell r="U8">
            <v>5</v>
          </cell>
          <cell r="V8" t="str">
            <v>ALTO</v>
          </cell>
          <cell r="W8" t="str">
            <v>ALTO</v>
          </cell>
          <cell r="X8" t="str">
            <v>EXTREMO</v>
          </cell>
          <cell r="Y8" t="str">
            <v>EXTREMO</v>
          </cell>
          <cell r="Z8" t="str">
            <v>EXTREMO</v>
          </cell>
        </row>
        <row r="9">
          <cell r="G9" t="str">
            <v>Al menos 1 vez en el último año.</v>
          </cell>
          <cell r="H9">
            <v>4</v>
          </cell>
          <cell r="I9" t="str">
            <v>Probable</v>
          </cell>
          <cell r="J9" t="str">
            <v>Es viable que el evento ocurra en la mayoría de las circunstancias.</v>
          </cell>
          <cell r="K9" t="str">
            <v>Mayor</v>
          </cell>
          <cell r="L9">
            <v>4</v>
          </cell>
          <cell r="M9" t="str">
            <v>Mayor</v>
          </cell>
          <cell r="U9">
            <v>4</v>
          </cell>
          <cell r="V9" t="str">
            <v>MODERADO</v>
          </cell>
          <cell r="W9" t="str">
            <v>ALTO</v>
          </cell>
          <cell r="X9" t="str">
            <v>ALTO</v>
          </cell>
          <cell r="Y9" t="str">
            <v>EXTREMO</v>
          </cell>
          <cell r="Z9" t="str">
            <v>EXTREMO</v>
          </cell>
        </row>
        <row r="10">
          <cell r="G10" t="str">
            <v>Al menos 1 vez en los últimos 2 años.</v>
          </cell>
          <cell r="H10">
            <v>3</v>
          </cell>
          <cell r="I10" t="str">
            <v>Posible</v>
          </cell>
          <cell r="J10" t="str">
            <v>El evento podrá ocurrir en algún momento.</v>
          </cell>
          <cell r="K10" t="str">
            <v>Moderado</v>
          </cell>
          <cell r="L10">
            <v>3</v>
          </cell>
          <cell r="M10" t="str">
            <v>Moderado</v>
          </cell>
          <cell r="U10">
            <v>3</v>
          </cell>
          <cell r="V10" t="str">
            <v>BAJO</v>
          </cell>
          <cell r="W10" t="str">
            <v>MODERADO</v>
          </cell>
          <cell r="X10" t="str">
            <v>ALTO</v>
          </cell>
          <cell r="Y10" t="str">
            <v>EXTREMO</v>
          </cell>
          <cell r="Z10" t="str">
            <v>EXTREMO</v>
          </cell>
        </row>
        <row r="11">
          <cell r="G11" t="str">
            <v>Al menos 1 vez en los últimos 5 años.</v>
          </cell>
          <cell r="H11">
            <v>2</v>
          </cell>
          <cell r="I11" t="str">
            <v>Improbable</v>
          </cell>
          <cell r="J11" t="str">
            <v>El evento puede ocurrir en algún momento.</v>
          </cell>
          <cell r="K11" t="str">
            <v>Menor</v>
          </cell>
          <cell r="L11">
            <v>2</v>
          </cell>
          <cell r="M11" t="str">
            <v>Menor</v>
          </cell>
          <cell r="U11">
            <v>2</v>
          </cell>
          <cell r="V11" t="str">
            <v>BAJO</v>
          </cell>
          <cell r="W11" t="str">
            <v>BAJO</v>
          </cell>
          <cell r="X11" t="str">
            <v>MODERADO</v>
          </cell>
          <cell r="Y11" t="str">
            <v>ALTO</v>
          </cell>
          <cell r="Z11" t="str">
            <v>EXTREMO</v>
          </cell>
        </row>
        <row r="12">
          <cell r="G12" t="str">
            <v>No se ha presentado en los últimos 5 años.</v>
          </cell>
          <cell r="H12">
            <v>1</v>
          </cell>
          <cell r="I12" t="str">
            <v>Rara vez</v>
          </cell>
          <cell r="J12" t="str">
            <v>El evento puede ocurrir solo en circunstancias excepcionales (poco comunes o anormales)</v>
          </cell>
          <cell r="K12" t="str">
            <v>Insignificante</v>
          </cell>
          <cell r="L12">
            <v>1</v>
          </cell>
          <cell r="M12" t="str">
            <v>Insignificante</v>
          </cell>
          <cell r="U12">
            <v>1</v>
          </cell>
          <cell r="V12" t="str">
            <v>BAJO</v>
          </cell>
          <cell r="W12" t="str">
            <v>BAJO</v>
          </cell>
          <cell r="X12" t="str">
            <v>MODERADO</v>
          </cell>
          <cell r="Y12" t="str">
            <v>ALTO</v>
          </cell>
          <cell r="Z12" t="str">
            <v>EXTREMO</v>
          </cell>
        </row>
      </sheetData>
      <sheetData sheetId="8"/>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Contexto"/>
      <sheetName val="Identificación del Riesgo GJ"/>
      <sheetName val="Analisis Riesgo"/>
      <sheetName val="Matriz de Riesgo"/>
      <sheetName val="Controles"/>
      <sheetName val="MAPA DE RIESGOS"/>
      <sheetName val="Cuadro de Cambios"/>
      <sheetName val="Datos"/>
      <sheetName val="Analisis Riesgo Corrupcion GJ"/>
      <sheetName val="Mapa de Calor"/>
    </sheetNames>
    <sheetDataSet>
      <sheetData sheetId="0" refreshError="1"/>
      <sheetData sheetId="1"/>
      <sheetData sheetId="2">
        <row r="5">
          <cell r="D5" t="str">
            <v>GESTIÓN JURIDICA</v>
          </cell>
        </row>
        <row r="6">
          <cell r="D6" t="str">
            <v>Asesorar y conceptuar sobre los asuntos jurídicos de competencia de la Entidad, representar a la UPME en los asuntos judiciales y extrajudiciales a través de asistencia jurídica especializada y gestionar la política de prevención del daño antijurídico</v>
          </cell>
        </row>
        <row r="9">
          <cell r="D9">
            <v>1</v>
          </cell>
          <cell r="E9" t="str">
            <v xml:space="preserve">Personal con competencias desactualizadas </v>
          </cell>
          <cell r="H9" t="str">
            <v>Falta de capacitación y actualización de competencias
Falta de capacitación en temas relacionados con otras areas de conocimiento afines a la misionalidad de la Entidad.</v>
          </cell>
          <cell r="I9" t="str">
            <v>Perdida de los procesos
Vencimiento de terminos
Conceptos juridicos errados
Reprocesos</v>
          </cell>
        </row>
        <row r="10">
          <cell r="D10">
            <v>2</v>
          </cell>
          <cell r="E10" t="str">
            <v>Inadecuada defensa judicial y/o consultas juridicas</v>
          </cell>
          <cell r="H10" t="str">
            <v xml:space="preserve">Conceptos juridicos encontrados entre los profesionales del area, sin conclusión oportuna sobre los temas
Personal sin las competencias requeridas
</v>
          </cell>
          <cell r="I10" t="str">
            <v>Perdida de los procesos
Vencimiento de terminos
Conceptos juridicos errados
Reprocesos
Falta de credibilidad del equipo Juridico
Imagen institucional debilitada</v>
          </cell>
        </row>
        <row r="11">
          <cell r="D11">
            <v>3</v>
          </cell>
          <cell r="E11" t="str">
            <v>Recepción de solicitudes y/o requerimientos de concepto, que no son de competencia del proceso juridico</v>
          </cell>
          <cell r="H11" t="str">
            <v xml:space="preserve">No existe uniformidad para la solicitud de conceptos juridicos por parte de los otros procesos
Desconocimiento de las competencias del proceso juridico, por parte de las dependencias 
</v>
          </cell>
          <cell r="I11" t="str">
            <v>Recarga laboral
Desatención de actividades propias del proceso</v>
          </cell>
        </row>
        <row r="12">
          <cell r="D12">
            <v>4</v>
          </cell>
          <cell r="E12" t="str">
            <v>Normatividad desarticulada y/o desactualizada</v>
          </cell>
          <cell r="H12" t="str">
            <v>Normograma desactualizado</v>
          </cell>
          <cell r="I12" t="str">
            <v>Sanciones por desconocimiento de normatividad vigente</v>
          </cell>
        </row>
        <row r="13">
          <cell r="D13">
            <v>5</v>
          </cell>
          <cell r="E13" t="str">
            <v>Favorecimiento de terceros mediante la orientación de conceptos juridicos o procesos de defensa judicial</v>
          </cell>
          <cell r="H13" t="str">
            <v xml:space="preserve">Manipulación de los abogados apoderados mediante dadivas
No existe una instancia donde se discutan y concluyan los conceptos juridicos
</v>
          </cell>
          <cell r="I13" t="str">
            <v xml:space="preserve">Sanciones
Detrimento
Tutelas
</v>
          </cell>
        </row>
      </sheetData>
      <sheetData sheetId="3">
        <row r="7">
          <cell r="F7" t="str">
            <v>Casi Seguro</v>
          </cell>
          <cell r="G7" t="str">
            <v>Menor</v>
          </cell>
          <cell r="I7" t="str">
            <v>ALTO</v>
          </cell>
          <cell r="K7" t="str">
            <v>No se identifican controles existentes</v>
          </cell>
          <cell r="L7" t="str">
            <v>No se identifican controles existentes</v>
          </cell>
          <cell r="U7" t="str">
            <v>Casi Seguro</v>
          </cell>
          <cell r="V7" t="str">
            <v>Menor</v>
          </cell>
          <cell r="W7" t="str">
            <v>ALTO</v>
          </cell>
          <cell r="X7" t="str">
            <v>Reducir el riesgo</v>
          </cell>
        </row>
        <row r="8">
          <cell r="F8" t="str">
            <v>Probable</v>
          </cell>
          <cell r="G8" t="str">
            <v>Moderado</v>
          </cell>
          <cell r="I8" t="str">
            <v>ALTO</v>
          </cell>
          <cell r="K8" t="str">
            <v>Revisión de los conceptos juridicos por parte de la Coordinadora del grupo de trabajo de Gestión Juridica y contractual</v>
          </cell>
          <cell r="L8" t="str">
            <v>Los conceptos juridicos son verificados y aprobados por parte de la Coordinadora del grupo de trabajo de Gestión Juridica y contractual</v>
          </cell>
          <cell r="U8" t="str">
            <v>Probable</v>
          </cell>
          <cell r="V8" t="str">
            <v>Moderado</v>
          </cell>
          <cell r="W8" t="str">
            <v>ALTO</v>
          </cell>
          <cell r="X8" t="str">
            <v>Reducir el riesgo</v>
          </cell>
        </row>
        <row r="9">
          <cell r="F9" t="str">
            <v>Casi Seguro</v>
          </cell>
          <cell r="G9" t="str">
            <v>Insignificante</v>
          </cell>
          <cell r="I9" t="str">
            <v>ALTO</v>
          </cell>
          <cell r="K9" t="str">
            <v>No se identifican controles existentes</v>
          </cell>
          <cell r="L9" t="str">
            <v>No se identifican controles existentes</v>
          </cell>
          <cell r="U9" t="str">
            <v>Casi Seguro</v>
          </cell>
          <cell r="V9" t="str">
            <v>Insignificante</v>
          </cell>
          <cell r="W9" t="str">
            <v>ALTO</v>
          </cell>
          <cell r="X9" t="str">
            <v>Reducir el riesgo</v>
          </cell>
        </row>
        <row r="10">
          <cell r="F10" t="str">
            <v>Casi Seguro</v>
          </cell>
          <cell r="G10" t="str">
            <v>Menor</v>
          </cell>
          <cell r="I10" t="str">
            <v>ALTO</v>
          </cell>
          <cell r="K10" t="str">
            <v>No se identifican controles existentes</v>
          </cell>
          <cell r="L10" t="str">
            <v>No se identifican controles existentes</v>
          </cell>
          <cell r="U10" t="str">
            <v>Casi Seguro</v>
          </cell>
          <cell r="V10" t="str">
            <v>Menor</v>
          </cell>
          <cell r="W10" t="str">
            <v>ALTO</v>
          </cell>
          <cell r="X10" t="str">
            <v>Reducir el riesgo</v>
          </cell>
        </row>
        <row r="11">
          <cell r="F11" t="str">
            <v>Rara vez</v>
          </cell>
          <cell r="G11" t="str">
            <v>Catastrófico</v>
          </cell>
          <cell r="I11" t="str">
            <v>EXTREMO</v>
          </cell>
          <cell r="K11" t="str">
            <v>No se identifican controles existentes</v>
          </cell>
          <cell r="L11" t="str">
            <v>No se identifican controles existentes</v>
          </cell>
          <cell r="U11" t="str">
            <v>Rara vez</v>
          </cell>
          <cell r="V11" t="str">
            <v>Catastrófico</v>
          </cell>
          <cell r="W11" t="str">
            <v>EXTREMO</v>
          </cell>
          <cell r="X11" t="str">
            <v>Reducir el riesgo</v>
          </cell>
        </row>
      </sheetData>
      <sheetData sheetId="4" refreshError="1"/>
      <sheetData sheetId="5">
        <row r="9">
          <cell r="T9">
            <v>0</v>
          </cell>
          <cell r="W9">
            <v>0</v>
          </cell>
          <cell r="X9">
            <v>0</v>
          </cell>
          <cell r="AB9" t="str">
            <v>SI</v>
          </cell>
        </row>
        <row r="10">
          <cell r="T10">
            <v>25</v>
          </cell>
          <cell r="W10">
            <v>0</v>
          </cell>
          <cell r="X10">
            <v>0</v>
          </cell>
          <cell r="AB10" t="str">
            <v>SI</v>
          </cell>
        </row>
        <row r="11">
          <cell r="T11">
            <v>0</v>
          </cell>
          <cell r="W11">
            <v>0</v>
          </cell>
          <cell r="X11">
            <v>0</v>
          </cell>
          <cell r="AB11" t="str">
            <v>SI</v>
          </cell>
        </row>
        <row r="12">
          <cell r="T12">
            <v>0</v>
          </cell>
          <cell r="W12">
            <v>0</v>
          </cell>
          <cell r="X12">
            <v>0</v>
          </cell>
          <cell r="AB12" t="str">
            <v>SI</v>
          </cell>
        </row>
        <row r="13">
          <cell r="T13">
            <v>0</v>
          </cell>
          <cell r="W13">
            <v>0</v>
          </cell>
          <cell r="X13">
            <v>0</v>
          </cell>
          <cell r="AB13" t="str">
            <v>SI</v>
          </cell>
        </row>
      </sheetData>
      <sheetData sheetId="6" refreshError="1"/>
      <sheetData sheetId="7" refreshError="1"/>
      <sheetData sheetId="8">
        <row r="7">
          <cell r="V7">
            <v>1</v>
          </cell>
          <cell r="W7">
            <v>2</v>
          </cell>
          <cell r="X7">
            <v>3</v>
          </cell>
          <cell r="Y7">
            <v>4</v>
          </cell>
          <cell r="Z7">
            <v>5</v>
          </cell>
        </row>
        <row r="8">
          <cell r="G8" t="str">
            <v>Más de 1 vez al año.</v>
          </cell>
          <cell r="H8">
            <v>5</v>
          </cell>
          <cell r="I8" t="str">
            <v>Casi Seguro</v>
          </cell>
          <cell r="J8" t="str">
            <v>Se espera que el evento ocurra en la mayoría de las circunstancias.</v>
          </cell>
          <cell r="K8" t="str">
            <v>Catastrófico</v>
          </cell>
          <cell r="L8">
            <v>5</v>
          </cell>
          <cell r="M8" t="str">
            <v>Catastrófico</v>
          </cell>
          <cell r="U8">
            <v>5</v>
          </cell>
          <cell r="V8" t="str">
            <v>ALTO</v>
          </cell>
          <cell r="W8" t="str">
            <v>ALTO</v>
          </cell>
          <cell r="X8" t="str">
            <v>EXTREMO</v>
          </cell>
          <cell r="Y8" t="str">
            <v>EXTREMO</v>
          </cell>
          <cell r="Z8" t="str">
            <v>EXTREMO</v>
          </cell>
        </row>
        <row r="9">
          <cell r="G9" t="str">
            <v>Al menos 1 vez en el último año.</v>
          </cell>
          <cell r="H9">
            <v>4</v>
          </cell>
          <cell r="I9" t="str">
            <v>Probable</v>
          </cell>
          <cell r="J9" t="str">
            <v>Es viable que el evento ocurra en la mayoría de las circunstancias.</v>
          </cell>
          <cell r="K9" t="str">
            <v>Mayor</v>
          </cell>
          <cell r="L9">
            <v>4</v>
          </cell>
          <cell r="M9" t="str">
            <v>Mayor</v>
          </cell>
          <cell r="U9">
            <v>4</v>
          </cell>
          <cell r="V9" t="str">
            <v>MODERADO</v>
          </cell>
          <cell r="W9" t="str">
            <v>ALTO</v>
          </cell>
          <cell r="X9" t="str">
            <v>ALTO</v>
          </cell>
          <cell r="Y9" t="str">
            <v>EXTREMO</v>
          </cell>
          <cell r="Z9" t="str">
            <v>EXTREMO</v>
          </cell>
        </row>
        <row r="10">
          <cell r="G10" t="str">
            <v>Al menos 1 vez en los últimos 2 años.</v>
          </cell>
          <cell r="H10">
            <v>3</v>
          </cell>
          <cell r="I10" t="str">
            <v>Posible</v>
          </cell>
          <cell r="J10" t="str">
            <v>El evento podrá ocurrir en algún momento.</v>
          </cell>
          <cell r="K10" t="str">
            <v>Moderado</v>
          </cell>
          <cell r="L10">
            <v>3</v>
          </cell>
          <cell r="M10" t="str">
            <v>Moderado</v>
          </cell>
          <cell r="U10">
            <v>3</v>
          </cell>
          <cell r="V10" t="str">
            <v>BAJO</v>
          </cell>
          <cell r="W10" t="str">
            <v>MODERADO</v>
          </cell>
          <cell r="X10" t="str">
            <v>ALTO</v>
          </cell>
          <cell r="Y10" t="str">
            <v>EXTREMO</v>
          </cell>
          <cell r="Z10" t="str">
            <v>EXTREMO</v>
          </cell>
        </row>
        <row r="11">
          <cell r="G11" t="str">
            <v>Al menos 1 vez en los últimos 5 años.</v>
          </cell>
          <cell r="H11">
            <v>2</v>
          </cell>
          <cell r="I11" t="str">
            <v>Improbable</v>
          </cell>
          <cell r="J11" t="str">
            <v>El evento puede ocurrir en algún momento.</v>
          </cell>
          <cell r="K11" t="str">
            <v>Menor</v>
          </cell>
          <cell r="L11">
            <v>2</v>
          </cell>
          <cell r="M11" t="str">
            <v>Menor</v>
          </cell>
          <cell r="U11">
            <v>2</v>
          </cell>
          <cell r="V11" t="str">
            <v>BAJO</v>
          </cell>
          <cell r="W11" t="str">
            <v>BAJO</v>
          </cell>
          <cell r="X11" t="str">
            <v>MODERADO</v>
          </cell>
          <cell r="Y11" t="str">
            <v>ALTO</v>
          </cell>
          <cell r="Z11" t="str">
            <v>EXTREMO</v>
          </cell>
        </row>
        <row r="12">
          <cell r="G12" t="str">
            <v>No se ha presentado en los últimos 5 años.</v>
          </cell>
          <cell r="H12">
            <v>1</v>
          </cell>
          <cell r="I12" t="str">
            <v>Rara vez</v>
          </cell>
          <cell r="J12" t="str">
            <v>El evento puede ocurrir solo en circunstancias excepcionales (poco comunes o anormales)</v>
          </cell>
          <cell r="K12" t="str">
            <v>Insignificante</v>
          </cell>
          <cell r="L12">
            <v>1</v>
          </cell>
          <cell r="M12" t="str">
            <v>Insignificante</v>
          </cell>
          <cell r="U12">
            <v>1</v>
          </cell>
          <cell r="V12" t="str">
            <v>BAJO</v>
          </cell>
          <cell r="W12" t="str">
            <v>BAJO</v>
          </cell>
          <cell r="X12" t="str">
            <v>MODERADO</v>
          </cell>
          <cell r="Y12" t="str">
            <v>ALTO</v>
          </cell>
          <cell r="Z12" t="str">
            <v>EXTREMO</v>
          </cell>
        </row>
      </sheetData>
      <sheetData sheetId="9"/>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Contexto"/>
      <sheetName val="Identificación del Riesgo IS"/>
      <sheetName val="Analisis Riesgo"/>
      <sheetName val="Analisis Riesgo Corrupcion IS"/>
      <sheetName val="Matriz de Riesgo"/>
      <sheetName val="Controles"/>
      <sheetName val="MAPA DE RIESGOS"/>
      <sheetName val="Mapa de Calor"/>
      <sheetName val="Cuadro de Cambios"/>
      <sheetName val="Datos"/>
    </sheetNames>
    <sheetDataSet>
      <sheetData sheetId="0" refreshError="1"/>
      <sheetData sheetId="1"/>
      <sheetData sheetId="2">
        <row r="5">
          <cell r="D5" t="str">
            <v>Información sectorial</v>
          </cell>
        </row>
        <row r="6">
          <cell r="D6" t="str">
            <v>Establecer lineamientos y directrices para mantener la coherencia en el propósito de la entidad desde el enfoque de información con oportunidad y confiabilidad.</v>
          </cell>
        </row>
        <row r="9">
          <cell r="D9">
            <v>1</v>
          </cell>
          <cell r="E9" t="str">
            <v>Entrega de información a las partes interesadas con demoras</v>
          </cell>
          <cell r="H9" t="str">
            <v>Posibles afectaciones sobre el proceso ante los posibles variaciones tecnológicas relacionadas al desarrollo de software
Falta de oportunidad en la entrega de la información al proceso por parte de las fuentes.
No se han materializado los acuerdos interinstitucionales para la entrega de la información requerida como entrada en el proceso.
Los procedimientos del proceso no se encuentran alineados en su totalidad al objetivo principal del proceso.</v>
          </cell>
          <cell r="I9" t="str">
            <v>Afectaciones a la toma de decisiones sectoriales.
Pérdida de credibilidad de la entidad en el sector.</v>
          </cell>
        </row>
        <row r="10">
          <cell r="D10">
            <v>2</v>
          </cell>
          <cell r="E10" t="str">
            <v>Generar información poco confiable o con análisis deficiente.</v>
          </cell>
          <cell r="H10" t="str">
            <v>No se han desarrollado actividades que mejoren las competencias del personal en los temas específicos del proceso.
No se ha planificado institucionalmente los recursos humanos para el procesamiento de la información en función de las necesidades de operación.
No se han asignado funciones específicas sobre la gestión y procesamiento de la información bajo una perspectiva descentralizada en los demás procesos.</v>
          </cell>
          <cell r="I10" t="str">
            <v>Afectaciones a la toma de decisiones sectoriales.
Pérdida de credibilidad de la entidad en el sector.</v>
          </cell>
        </row>
        <row r="11">
          <cell r="D11">
            <v>3</v>
          </cell>
          <cell r="E11" t="str">
            <v xml:space="preserve">Presentar información del sector con herramientas poco prácticas para las partes interesadas </v>
          </cell>
          <cell r="H11" t="str">
            <v>No se cuenta con la capacidad tecnológica ni humana para el análisis de grandes volúmenes de información.
Obsolecencia técnológica de herramientas de procesamiento de información.</v>
          </cell>
          <cell r="I11" t="str">
            <v>Afectaciones a los análisis sectoriales.</v>
          </cell>
        </row>
        <row r="12">
          <cell r="D12">
            <v>4</v>
          </cell>
          <cell r="E12" t="str">
            <v>Filtración de información institucional  para beneficios de un tercero</v>
          </cell>
          <cell r="H12" t="str">
            <v>No contar con sistemas de seguridad eficientes.
No se tiene trazabilidad de la firmas de acuerdos de confidencialidad de la información que se maneja en el proceso.</v>
          </cell>
          <cell r="I12" t="str">
            <v>Afectaciones a la toma de decisiones sectoriales.
Pérdida de credibilidad de la entidad en el sector.</v>
          </cell>
        </row>
      </sheetData>
      <sheetData sheetId="3">
        <row r="7">
          <cell r="F7" t="str">
            <v>Casi Seguro</v>
          </cell>
          <cell r="G7" t="str">
            <v>Mayor</v>
          </cell>
          <cell r="I7" t="str">
            <v>EXTREMO</v>
          </cell>
          <cell r="K7" t="str">
            <v>No se cuentan con controles</v>
          </cell>
          <cell r="L7" t="str">
            <v>No se cuentan con controles</v>
          </cell>
          <cell r="U7" t="str">
            <v>Casi Seguro</v>
          </cell>
          <cell r="V7" t="str">
            <v>Mayor</v>
          </cell>
          <cell r="W7" t="str">
            <v>EXTREMO</v>
          </cell>
          <cell r="X7" t="str">
            <v>Reducir el riesgo</v>
          </cell>
        </row>
        <row r="8">
          <cell r="F8" t="str">
            <v>Posible</v>
          </cell>
          <cell r="G8" t="str">
            <v>Mayor</v>
          </cell>
          <cell r="I8" t="str">
            <v>EXTREMO</v>
          </cell>
          <cell r="K8" t="str">
            <v>No se cuentan con controles</v>
          </cell>
          <cell r="L8" t="str">
            <v>No se cuentan con controles</v>
          </cell>
          <cell r="U8" t="str">
            <v>Posible</v>
          </cell>
          <cell r="V8" t="str">
            <v>Mayor</v>
          </cell>
          <cell r="W8" t="str">
            <v>EXTREMO</v>
          </cell>
          <cell r="X8" t="str">
            <v>Reducir el riesgo</v>
          </cell>
        </row>
        <row r="9">
          <cell r="F9" t="str">
            <v>Casi Seguro</v>
          </cell>
          <cell r="G9" t="str">
            <v>Moderado</v>
          </cell>
          <cell r="I9" t="str">
            <v>EXTREMO</v>
          </cell>
          <cell r="K9" t="str">
            <v>No se cuentan con controles</v>
          </cell>
          <cell r="L9" t="str">
            <v>No se cuentan con controles</v>
          </cell>
          <cell r="U9" t="str">
            <v>Casi Seguro</v>
          </cell>
          <cell r="V9" t="str">
            <v>Moderado</v>
          </cell>
          <cell r="W9" t="str">
            <v>EXTREMO</v>
          </cell>
          <cell r="X9" t="str">
            <v>Reducir el riesgo</v>
          </cell>
        </row>
        <row r="10">
          <cell r="F10" t="str">
            <v>Rara vez</v>
          </cell>
          <cell r="G10" t="str">
            <v>Catastrófico</v>
          </cell>
          <cell r="I10" t="str">
            <v>EXTREMO</v>
          </cell>
          <cell r="K10" t="str">
            <v>No se cuentan con controles</v>
          </cell>
          <cell r="L10" t="str">
            <v>No se cuentan con controles</v>
          </cell>
          <cell r="U10" t="str">
            <v>Rara vez</v>
          </cell>
          <cell r="V10" t="str">
            <v>Catastrófico</v>
          </cell>
          <cell r="W10" t="str">
            <v>EXTREMO</v>
          </cell>
          <cell r="X10" t="str">
            <v>Reducir el riesgo</v>
          </cell>
        </row>
      </sheetData>
      <sheetData sheetId="4"/>
      <sheetData sheetId="5" refreshError="1"/>
      <sheetData sheetId="6">
        <row r="9">
          <cell r="T9">
            <v>5</v>
          </cell>
          <cell r="W9">
            <v>0</v>
          </cell>
          <cell r="X9">
            <v>0</v>
          </cell>
          <cell r="AB9" t="str">
            <v>SI</v>
          </cell>
        </row>
        <row r="10">
          <cell r="T10">
            <v>5</v>
          </cell>
          <cell r="W10">
            <v>0</v>
          </cell>
          <cell r="X10">
            <v>0</v>
          </cell>
          <cell r="AB10" t="str">
            <v>SI</v>
          </cell>
        </row>
        <row r="11">
          <cell r="T11">
            <v>5</v>
          </cell>
          <cell r="W11">
            <v>0</v>
          </cell>
          <cell r="X11">
            <v>0</v>
          </cell>
          <cell r="AB11" t="str">
            <v>SI</v>
          </cell>
        </row>
        <row r="12">
          <cell r="T12">
            <v>5</v>
          </cell>
          <cell r="W12">
            <v>0</v>
          </cell>
          <cell r="X12">
            <v>0</v>
          </cell>
          <cell r="AB12" t="str">
            <v>SI</v>
          </cell>
        </row>
      </sheetData>
      <sheetData sheetId="7" refreshError="1"/>
      <sheetData sheetId="8" refreshError="1"/>
      <sheetData sheetId="9" refreshError="1"/>
      <sheetData sheetId="10">
        <row r="7">
          <cell r="V7">
            <v>1</v>
          </cell>
          <cell r="W7">
            <v>2</v>
          </cell>
          <cell r="X7">
            <v>3</v>
          </cell>
          <cell r="Y7">
            <v>4</v>
          </cell>
          <cell r="Z7">
            <v>5</v>
          </cell>
        </row>
        <row r="8">
          <cell r="G8" t="str">
            <v>Más de 1 vez al año.</v>
          </cell>
          <cell r="H8">
            <v>5</v>
          </cell>
          <cell r="I8" t="str">
            <v>Casi Seguro</v>
          </cell>
          <cell r="J8" t="str">
            <v>Se espera que el evento ocurra en la mayoría de las circunstancias.</v>
          </cell>
          <cell r="K8" t="str">
            <v>Catastrófico</v>
          </cell>
          <cell r="L8">
            <v>5</v>
          </cell>
          <cell r="M8" t="str">
            <v>Catastrófico</v>
          </cell>
          <cell r="U8">
            <v>5</v>
          </cell>
          <cell r="V8" t="str">
            <v>ALTO</v>
          </cell>
          <cell r="W8" t="str">
            <v>ALTO</v>
          </cell>
          <cell r="X8" t="str">
            <v>EXTREMO</v>
          </cell>
          <cell r="Y8" t="str">
            <v>EXTREMO</v>
          </cell>
          <cell r="Z8" t="str">
            <v>EXTREMO</v>
          </cell>
        </row>
        <row r="9">
          <cell r="G9" t="str">
            <v>Al menos 1 vez en el último año.</v>
          </cell>
          <cell r="H9">
            <v>4</v>
          </cell>
          <cell r="I9" t="str">
            <v>Probable</v>
          </cell>
          <cell r="J9" t="str">
            <v>Es viable que el evento ocurra en la mayoría de las circunstancias.</v>
          </cell>
          <cell r="K9" t="str">
            <v>Mayor</v>
          </cell>
          <cell r="L9">
            <v>4</v>
          </cell>
          <cell r="M9" t="str">
            <v>Mayor</v>
          </cell>
          <cell r="U9">
            <v>4</v>
          </cell>
          <cell r="V9" t="str">
            <v>MODERADO</v>
          </cell>
          <cell r="W9" t="str">
            <v>ALTO</v>
          </cell>
          <cell r="X9" t="str">
            <v>ALTO</v>
          </cell>
          <cell r="Y9" t="str">
            <v>EXTREMO</v>
          </cell>
          <cell r="Z9" t="str">
            <v>EXTREMO</v>
          </cell>
        </row>
        <row r="10">
          <cell r="G10" t="str">
            <v>Al menos 1 vez en los últimos 2 años.</v>
          </cell>
          <cell r="H10">
            <v>3</v>
          </cell>
          <cell r="I10" t="str">
            <v>Posible</v>
          </cell>
          <cell r="J10" t="str">
            <v>El evento podrá ocurrir en algún momento.</v>
          </cell>
          <cell r="K10" t="str">
            <v>Moderado</v>
          </cell>
          <cell r="L10">
            <v>3</v>
          </cell>
          <cell r="M10" t="str">
            <v>Moderado</v>
          </cell>
          <cell r="U10">
            <v>3</v>
          </cell>
          <cell r="V10" t="str">
            <v>BAJO</v>
          </cell>
          <cell r="W10" t="str">
            <v>MODERADO</v>
          </cell>
          <cell r="X10" t="str">
            <v>ALTO</v>
          </cell>
          <cell r="Y10" t="str">
            <v>EXTREMO</v>
          </cell>
          <cell r="Z10" t="str">
            <v>EXTREMO</v>
          </cell>
        </row>
        <row r="11">
          <cell r="G11" t="str">
            <v>Al menos 1 vez en los últimos 5 años.</v>
          </cell>
          <cell r="H11">
            <v>2</v>
          </cell>
          <cell r="I11" t="str">
            <v>Improbable</v>
          </cell>
          <cell r="J11" t="str">
            <v>El evento puede ocurrir en algún momento.</v>
          </cell>
          <cell r="K11" t="str">
            <v>Menor</v>
          </cell>
          <cell r="L11">
            <v>2</v>
          </cell>
          <cell r="M11" t="str">
            <v>Menor</v>
          </cell>
          <cell r="U11">
            <v>2</v>
          </cell>
          <cell r="V11" t="str">
            <v>BAJO</v>
          </cell>
          <cell r="W11" t="str">
            <v>BAJO</v>
          </cell>
          <cell r="X11" t="str">
            <v>MODERADO</v>
          </cell>
          <cell r="Y11" t="str">
            <v>ALTO</v>
          </cell>
          <cell r="Z11" t="str">
            <v>EXTREMO</v>
          </cell>
        </row>
        <row r="12">
          <cell r="G12" t="str">
            <v>No se ha presentado en los últimos 5 años.</v>
          </cell>
          <cell r="H12">
            <v>1</v>
          </cell>
          <cell r="I12" t="str">
            <v>Rara vez</v>
          </cell>
          <cell r="J12" t="str">
            <v>El evento puede ocurrir solo en circunstancias excepcionales (poco comunes o anormales)</v>
          </cell>
          <cell r="K12" t="str">
            <v>Insignificante</v>
          </cell>
          <cell r="L12">
            <v>1</v>
          </cell>
          <cell r="M12" t="str">
            <v>Insignificante</v>
          </cell>
          <cell r="U12">
            <v>1</v>
          </cell>
          <cell r="V12" t="str">
            <v>BAJO</v>
          </cell>
          <cell r="W12" t="str">
            <v>BAJO</v>
          </cell>
          <cell r="X12" t="str">
            <v>MODERADO</v>
          </cell>
          <cell r="Y12" t="str">
            <v>ALTO</v>
          </cell>
          <cell r="Z12" t="str">
            <v>EXTREMO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Contexto"/>
      <sheetName val="Identificación del Riesgo"/>
      <sheetName val="Analisis Riesgo"/>
      <sheetName val="Analisis Riesgo Corrupcion"/>
      <sheetName val="Matriz de Riesgo"/>
      <sheetName val="Controles"/>
      <sheetName val="Mapa de Calor"/>
      <sheetName val="Control de Cambios"/>
      <sheetName val="Resumen"/>
      <sheetName val="Datos"/>
    </sheetNames>
    <sheetDataSet>
      <sheetData sheetId="0" refreshError="1"/>
      <sheetData sheetId="1" refreshError="1"/>
      <sheetData sheetId="2">
        <row r="5">
          <cell r="D5" t="str">
            <v>DEMANDA Y PROSPECTIVA MINERO-ENERGÉTICA</v>
          </cell>
        </row>
        <row r="6">
          <cell r="D6" t="str">
            <v>Proyectar las necesidades minero-energéticas del país de manera oportuna, confiable y conforme con los requerimientos normativos y regulatorios establecidos para buscar la forma óptima de aprovechar los recursos del país.</v>
          </cell>
        </row>
        <row r="9">
          <cell r="D9">
            <v>1</v>
          </cell>
          <cell r="E9" t="str">
            <v>Extemporaneidad en la entrega de la información.</v>
          </cell>
          <cell r="H9" t="str">
            <v>• Demoras en el recibo de la información que se requiere como insumo del proceso.
• Deficiencias en la calidad de la información que se requiere como insumo del proceso.
• Demoras en el análisis y procesamiento de la información.
• Inexistentes o inadecuadas herramientas tecnológicas para el procesamiento de la información.
• Incumplimiento, desconocimiento o baja definición de los tiempos en los que deben ser entregados los resultados del proceso por parte de los profesionales asignados.</v>
          </cell>
        </row>
        <row r="10">
          <cell r="D10">
            <v>2</v>
          </cell>
          <cell r="E10" t="str">
            <v>Proyecciones con altas desviaciones respecto del comportamiento real de la demanda.</v>
          </cell>
          <cell r="H10" t="str">
            <v xml:space="preserve">• Deficiencias en la calidad de la información que se requiere como insumo del proceso.
• Falta de datos e información confiable.
• No comprobación y evaluación del modelo con datos históricos.
• Inadecuada definición de variables que impacten el comportamiento de las proyecciones.
• Desconocimiento en el uso de metodologías aplicadas en el proceso.
• Falta de estandarización en los lineamientos, procesos y procedimientos para el estudio de la demanda.
• Inexistentes o inadecuadas herramientas tecnológicas para el procesamiento de la información.
</v>
          </cell>
        </row>
        <row r="11">
          <cell r="D11">
            <v>3</v>
          </cell>
          <cell r="E11" t="str">
            <v>Baja calidad de los productos del proceso Demanda y Prospectiva.</v>
          </cell>
          <cell r="H11" t="str">
            <v xml:space="preserve">• Bajo nivel de comunicación entre las dependencias y definición de acuerdos.
•  Inadecuada interrelación entre los procesos.
• Baja o nula definición de los requisitos de los productos generados por los clientes del proceso Demanda y Prospectiva.
• Inadecuados procesos de revisión y seguimiento a la calidad de los productos del proceso Demanda y Prospectiva.
• Baja calidad de los insumos del proceso (datos e información).
</v>
          </cell>
        </row>
        <row r="12">
          <cell r="D12">
            <v>4</v>
          </cell>
          <cell r="E12" t="str">
            <v>Posibilidad de alterar o manipular resultados del proceso con beneficio propio o favorecimiento a terceros.</v>
          </cell>
          <cell r="H12" t="str">
            <v>• Presiones indebidas por parte de particulares que buscan un beneficio propio.
• Trafico de influencias.
• Falta de integridad de los funcionarios encargados del proceso.
• Alto grado de discrecionalidad.
• Falta de estandarización en los lineamientos, procesos y procedimientos.
• Alteración y manipulación de información sin niveles de revisión y seguimiento.</v>
          </cell>
        </row>
      </sheetData>
      <sheetData sheetId="3">
        <row r="7">
          <cell r="K7" t="str">
            <v>Obtener información de fuentes oficiales y confiables para obtener información en tiempos optimos.</v>
          </cell>
          <cell r="L7" t="str">
            <v>Se realizan gestion a través de solicitudes de información, acuerdos, convenios y contratos para obtener o adquirir información de fuentes confiables. Este contro busca garantizar el acceso a información y la obtención de datos. El reponsable de gestionar estos procesos es el Subdirctor de Demanda quien designa acciones en los Profesionales de la Dependencia para esta actividad de control.</v>
          </cell>
        </row>
        <row r="8">
          <cell r="K8" t="str">
            <v>Aplicar niveles de elaboración, revisión y aprobación de productos y servicios de la Subdirección de Demanda.</v>
          </cell>
          <cell r="L8" t="str">
            <v>Este es un mecanismo establecido en el cual previa a la emisión externa de productos del proceso estos son revisados y validados por un par de la dependencia o por el Subdirector de Demanda. Pretende evitar sesgos, baja calidada y errrotes en los productos de la Subdirección de Demanda. Es aplicado cada vez que es requerido y su evidencia queda almacenada en memorandos internos, oficios y correos electrónicos.</v>
          </cell>
        </row>
        <row r="9">
          <cell r="K9" t="str">
            <v>Determinar metas para la elaboración de productos.</v>
          </cell>
          <cell r="L9" t="str">
            <v>A través de la herramienta plan de acción de la Subdirección de Demanda, se realiza la formulación y seguimiento a las metas de la dependencia. Este control permite detectar y prevenir posibles desviaciones en cuanto al cumplimientode las metas y entrega de productos.</v>
          </cell>
        </row>
        <row r="10">
          <cell r="K10" t="str">
            <v>Utilizar herramientas especializadas y de ofimática para el procesamiento de información.</v>
          </cell>
          <cell r="L10" t="str">
            <v>Utilizar el uso de herramientas informáticas y especializadas para el tratamiento y administración de datos e información permite reducir la carga de trabajo en labores de procesamiento. La aplicación y uso de herramientas es un control que permite reducir los tiempos en algunas operaciones del proceso de Demanda y Prospectiva.</v>
          </cell>
        </row>
        <row r="11">
          <cell r="K11" t="str">
            <v>Formalidad en el registro de entradas y salidas del proceso en Orfeo.</v>
          </cell>
          <cell r="L11" t="str">
            <v>Se utiliza la herramienta Orfeo como el canal para tramitar las solicitudes de información y entrega de información. Este control aplicado busca garantizar que  la documentación quede formalmente  en el Sistema de Gestión Documental de la entidad. Este control permite evidenciar el registro del tiempo de las entradas y salidas de información en la interacción entre los partes interesadas del proceso  y la Subdirección de Demanda.</v>
          </cell>
        </row>
        <row r="12">
          <cell r="K12" t="str">
            <v>Accesar a información a través de herramientas y mecanismos como Basses de Datos,  ETL, Datawhaterhouse,entre otros (Xm, SUI, DANE).</v>
          </cell>
          <cell r="L12" t="str">
            <v>La gestón de este tipo control busca que los profesionales cuenten con acceso a datos e información de manera permantente utilizando la tecnología como un instrumento que permite el acceso oportuno.</v>
          </cell>
        </row>
        <row r="13">
          <cell r="K13" t="str">
            <v>Obtener información de fuentes oficiales y confiables.</v>
          </cell>
          <cell r="L13" t="str">
            <v>Se realizan gestion a través de solicitudes de información, acuerdos, convenios y contratos para obtener o adquirir información de fuentes confiables. Este contro busca garantizar el acceso a información y la obtención de datos. El reponsable de gestionar estos procesos es el Subdirctor de Demanda quien designa acciones en los Profesionales de la Dependencia para esta actividad de control.</v>
          </cell>
        </row>
        <row r="14">
          <cell r="K14" t="str">
            <v>Comprobar los modelos con datos y determinar las  el grado de confiabilidad.</v>
          </cell>
          <cell r="L14" t="str">
            <v>Este control tiene como propósito validar el diseño de modelos, con el propósito de verificar que es confiable el cual es comprobado con series históricas, análisis de sensibilidad y pruebas estadísticas realizada por los profesionales.</v>
          </cell>
        </row>
        <row r="15">
          <cell r="K15" t="str">
            <v>Verificar los datos a utilizarse.</v>
          </cell>
          <cell r="L15" t="str">
            <v>Previa a la realzación de las proyecciones se verifica el insumo datos, donde se realizan comparaciones con datos historicos y se verifica su proveniencia. Este control busca reducir el uso de datos incorrectos o que puedan presentar variaciones con altas incertidumbre. Los datos con variaciones anormales son revisados para garantizar la calidad del dato.</v>
          </cell>
        </row>
        <row r="16">
          <cell r="K16" t="str">
            <v>Validar variables y parametros de los modelos.</v>
          </cell>
          <cell r="L16" t="str">
            <v>Se revisa si se cuenta con toda la información de variables y parametros que permitan efectua los calculos requeridos. Este control busca garantizar que se cumpla con los insumos del modelo requeridos para análsiis completos o se tomen decisiones al respecto.</v>
          </cell>
        </row>
        <row r="17">
          <cell r="K17" t="str">
            <v>Revisar procedimientos documentados y aplicar sus actividades.</v>
          </cell>
          <cell r="L17" t="str">
            <v>Aplicar las actividades estandarizadas busca garantizar que se cumplan los métodos para realiar el trabajo definidos por la Subdirección de Demanda.</v>
          </cell>
        </row>
        <row r="18">
          <cell r="K18" t="str">
            <v>Definir requisitos mínimos y caracteristicas de los productos de la Subdirección de Demanda</v>
          </cell>
          <cell r="L18" t="str">
            <v>Se ha documentado a través de procedimientos las caracteristicas y actividades para la elaboraciónde los productos del proceso.Esto con el propósiito de que cumpla con claidad.</v>
          </cell>
        </row>
        <row r="19">
          <cell r="K19" t="str">
            <v>Aplicar niveles de elaboración, revisión y aprobación de productos y servicios de la Subdirección de Demanda.</v>
          </cell>
          <cell r="L19" t="str">
            <v>Este es un mecanismo establecido en el cual previa a la emisión externa de productos del proceso estos son revisados y validados por un par de la dependencia o por el Subdirector de Demanda. Pretende evitar sesgos, baja calidada y errrotes en los productos de la Subdirección de Demanda. Es aplicado cada vez que es requerido y su evidencia queda almacenada en memorandos internos, oficios y correos electrónicos.</v>
          </cell>
        </row>
        <row r="20">
          <cell r="K20" t="str">
            <v>Determinar un Plan de Acción con metas e indicadores para los productos de la Subdirección de Demanda.</v>
          </cell>
          <cell r="L20" t="str">
            <v>A través de la herramienta plan de acción de la Subdirección de Demanda, se realiza la formulación y seguimiento a las productos de la dependencia. Este control permite detectar y prevenir posibles desviaciones en cuanto al cumplimientode las metas y entrega de productos.</v>
          </cell>
        </row>
        <row r="21">
          <cell r="K21" t="str">
            <v>Verificar los datos a utilizarse.</v>
          </cell>
          <cell r="L21" t="str">
            <v>Previa a la realzación de las proyecciones se verifica el insumo datos, donde se realizan comparaciones con datos historicos y se verifica su proveniencia. Este control busca reducir el uso de datos incorrectos o que puedan presentar variaciones con altas incertidumbre. Los datos con variaciones anormales son revisados para garantizar la calidad del dato.</v>
          </cell>
        </row>
        <row r="22">
          <cell r="K22" t="str">
            <v>Publicar los resultados preeliminares trabajos en la página web.</v>
          </cell>
          <cell r="L22" t="str">
            <v>Es publicado en la página web productos con el propósito que sean comentados por las partes interesadas. Este contro lbusca garantizar la participación ciudadana y adicional a ello mostrar un ejercicio transparente y colaborativo con partes interesadas. Evidencias de ello se ve reflejado en la página web, este control es aplicado por visto bueno del Subdirector de Demanda y aprobación del Director General.</v>
          </cell>
        </row>
        <row r="23">
          <cell r="K23" t="str">
            <v>Divulgar y socializar los trabajos al interior de la Subdirección de Demanda.</v>
          </cell>
          <cell r="L23" t="str">
            <v>Con el propósito de tener productos robustos y construído interdisciplinariamente, los productos son divulgados y socializados al interior de la Dirección. Este proceso permite la colaboración, la revisón y la critica constructiva al interior de la subdirección evitando los sesgos errores y fallos en los productos de la Subdirección de Demanda. Este control puede ser evidenciado en presentaciónes, ayudas de memoria, actas y correos electrónicos.</v>
          </cell>
        </row>
        <row r="24">
          <cell r="K24" t="str">
            <v>Aplicar niveles de elaboración, revisión y aprobación de productos y servicios de la Subdirección de Demanda.</v>
          </cell>
          <cell r="L24" t="str">
            <v>Este es un mecanismo establecido en el cual previa a la emisión externa de productos del proceso estos son revisados y validados por un par de la dependencia o por el Subdirector de Demanda. Pretende evitar sesgos, baja calidada y errrotes en los productos de la Subdirección de Demanda. Es aplicado cada vez que es requerido y su evidencia queda almacenada en memorandos internos, oficios y correos electrónicos.</v>
          </cell>
        </row>
        <row r="25">
          <cell r="K25" t="str">
            <v>Participar en las actividades de promoción del código de integridad del servidor público</v>
          </cell>
          <cell r="L25" t="str">
            <v>Es un mecanismos en el que la entidad promueve el código de integridad y sus herramientas entre estas la identificación y declaración de conflictosde interés. Los servidores públicos deben participar en esta actividades, las cuales tienen como propósito sensibilizar y comprometer a los servidores a que apliquen la declaración de impedimento cuando existan conflictos de interés.</v>
          </cell>
        </row>
      </sheetData>
      <sheetData sheetId="4" refreshError="1"/>
      <sheetData sheetId="5" refreshError="1"/>
      <sheetData sheetId="6">
        <row r="9">
          <cell r="T9">
            <v>100</v>
          </cell>
          <cell r="W9">
            <v>0</v>
          </cell>
          <cell r="X9">
            <v>1</v>
          </cell>
          <cell r="AB9" t="str">
            <v>SI</v>
          </cell>
        </row>
        <row r="10">
          <cell r="T10">
            <v>100</v>
          </cell>
          <cell r="W10">
            <v>1</v>
          </cell>
          <cell r="X10">
            <v>0</v>
          </cell>
          <cell r="AB10" t="str">
            <v>No</v>
          </cell>
        </row>
        <row r="11">
          <cell r="T11">
            <v>100</v>
          </cell>
          <cell r="W11">
            <v>1</v>
          </cell>
          <cell r="X11">
            <v>0</v>
          </cell>
          <cell r="AB11" t="str">
            <v>No</v>
          </cell>
        </row>
        <row r="13">
          <cell r="T13">
            <v>100</v>
          </cell>
          <cell r="W13">
            <v>1</v>
          </cell>
          <cell r="X13">
            <v>0</v>
          </cell>
          <cell r="AB13" t="str">
            <v>No</v>
          </cell>
        </row>
        <row r="14">
          <cell r="T14">
            <v>100</v>
          </cell>
          <cell r="W14">
            <v>1</v>
          </cell>
          <cell r="X14">
            <v>0</v>
          </cell>
          <cell r="AB14" t="str">
            <v>No</v>
          </cell>
        </row>
        <row r="15">
          <cell r="T15">
            <v>100</v>
          </cell>
          <cell r="W15">
            <v>1</v>
          </cell>
          <cell r="X15">
            <v>0</v>
          </cell>
          <cell r="AB15" t="str">
            <v>No</v>
          </cell>
        </row>
        <row r="16">
          <cell r="T16">
            <v>100</v>
          </cell>
          <cell r="W16">
            <v>0</v>
          </cell>
          <cell r="X16">
            <v>1</v>
          </cell>
          <cell r="AB16" t="str">
            <v>SI</v>
          </cell>
        </row>
        <row r="17">
          <cell r="T17">
            <v>100</v>
          </cell>
          <cell r="W17">
            <v>1</v>
          </cell>
          <cell r="X17">
            <v>0</v>
          </cell>
          <cell r="AB17" t="str">
            <v>No</v>
          </cell>
        </row>
        <row r="18">
          <cell r="T18">
            <v>100</v>
          </cell>
          <cell r="W18">
            <v>1</v>
          </cell>
          <cell r="X18">
            <v>0</v>
          </cell>
          <cell r="AB18" t="str">
            <v>No</v>
          </cell>
        </row>
        <row r="19">
          <cell r="T19">
            <v>100</v>
          </cell>
          <cell r="W19">
            <v>1</v>
          </cell>
          <cell r="X19">
            <v>0</v>
          </cell>
          <cell r="AB19" t="str">
            <v>No</v>
          </cell>
        </row>
        <row r="20">
          <cell r="T20">
            <v>100</v>
          </cell>
          <cell r="W20">
            <v>1</v>
          </cell>
          <cell r="X20">
            <v>0</v>
          </cell>
          <cell r="AB20" t="str">
            <v>No</v>
          </cell>
        </row>
        <row r="21">
          <cell r="T21">
            <v>100</v>
          </cell>
          <cell r="W21">
            <v>1</v>
          </cell>
          <cell r="X21">
            <v>0</v>
          </cell>
          <cell r="AB21" t="str">
            <v>No</v>
          </cell>
        </row>
        <row r="22">
          <cell r="T22">
            <v>100</v>
          </cell>
          <cell r="W22">
            <v>1</v>
          </cell>
          <cell r="X22">
            <v>0</v>
          </cell>
          <cell r="AB22" t="str">
            <v>No</v>
          </cell>
        </row>
        <row r="23">
          <cell r="T23">
            <v>100</v>
          </cell>
          <cell r="W23">
            <v>1</v>
          </cell>
          <cell r="X23">
            <v>0</v>
          </cell>
          <cell r="AB23" t="str">
            <v>No</v>
          </cell>
        </row>
        <row r="24">
          <cell r="T24">
            <v>100</v>
          </cell>
          <cell r="W24">
            <v>1</v>
          </cell>
          <cell r="X24">
            <v>1</v>
          </cell>
          <cell r="AB24" t="str">
            <v>No</v>
          </cell>
        </row>
        <row r="25">
          <cell r="T25">
            <v>100</v>
          </cell>
          <cell r="W25">
            <v>1</v>
          </cell>
          <cell r="X25">
            <v>0</v>
          </cell>
          <cell r="AB25" t="str">
            <v>No</v>
          </cell>
        </row>
        <row r="26">
          <cell r="T26">
            <v>100</v>
          </cell>
          <cell r="W26">
            <v>1</v>
          </cell>
          <cell r="X26">
            <v>0</v>
          </cell>
          <cell r="AB26" t="str">
            <v>No</v>
          </cell>
        </row>
        <row r="27">
          <cell r="T27">
            <v>100</v>
          </cell>
          <cell r="W27">
            <v>0</v>
          </cell>
          <cell r="X27">
            <v>1</v>
          </cell>
          <cell r="AB27" t="str">
            <v>SI</v>
          </cell>
        </row>
      </sheetData>
      <sheetData sheetId="7" refreshError="1"/>
      <sheetData sheetId="8" refreshError="1"/>
      <sheetData sheetId="9" refreshError="1"/>
      <sheetData sheetId="10">
        <row r="7">
          <cell r="V7">
            <v>1</v>
          </cell>
          <cell r="W7">
            <v>2</v>
          </cell>
          <cell r="X7">
            <v>3</v>
          </cell>
          <cell r="Y7">
            <v>4</v>
          </cell>
          <cell r="Z7">
            <v>5</v>
          </cell>
        </row>
        <row r="8">
          <cell r="G8" t="str">
            <v>Más de 1 vez al año.</v>
          </cell>
          <cell r="H8">
            <v>5</v>
          </cell>
          <cell r="I8" t="str">
            <v>Casi Seguro</v>
          </cell>
          <cell r="J8" t="str">
            <v>Se espera que el evento ocurra en la mayoría de las circunstancias.</v>
          </cell>
          <cell r="K8" t="str">
            <v>Catastrófico</v>
          </cell>
          <cell r="L8">
            <v>5</v>
          </cell>
          <cell r="M8" t="str">
            <v>Catastrófico</v>
          </cell>
          <cell r="U8">
            <v>5</v>
          </cell>
          <cell r="V8" t="str">
            <v>ALTO</v>
          </cell>
          <cell r="W8" t="str">
            <v>ALTO</v>
          </cell>
          <cell r="X8" t="str">
            <v>EXTREMO</v>
          </cell>
          <cell r="Y8" t="str">
            <v>EXTREMO</v>
          </cell>
          <cell r="Z8" t="str">
            <v>EXTREMO</v>
          </cell>
        </row>
        <row r="9">
          <cell r="G9" t="str">
            <v>Al menos 1 vez en el último año.</v>
          </cell>
          <cell r="H9">
            <v>4</v>
          </cell>
          <cell r="I9" t="str">
            <v>Probable</v>
          </cell>
          <cell r="J9" t="str">
            <v>Es viable que el evento ocurra en la mayoría de las circunstancias.</v>
          </cell>
          <cell r="K9" t="str">
            <v>Mayor</v>
          </cell>
          <cell r="L9">
            <v>4</v>
          </cell>
          <cell r="M9" t="str">
            <v>Mayor</v>
          </cell>
          <cell r="U9">
            <v>4</v>
          </cell>
          <cell r="V9" t="str">
            <v>MODERADO</v>
          </cell>
          <cell r="W9" t="str">
            <v>ALTO</v>
          </cell>
          <cell r="X9" t="str">
            <v>ALTO</v>
          </cell>
          <cell r="Y9" t="str">
            <v>EXTREMO</v>
          </cell>
          <cell r="Z9" t="str">
            <v>EXTREMO</v>
          </cell>
        </row>
        <row r="10">
          <cell r="G10" t="str">
            <v>Al menos 1 vez en los últimos 2 años.</v>
          </cell>
          <cell r="H10">
            <v>3</v>
          </cell>
          <cell r="I10" t="str">
            <v>Posible</v>
          </cell>
          <cell r="J10" t="str">
            <v>El evento podrá ocurrir en algún momento.</v>
          </cell>
          <cell r="K10" t="str">
            <v>Moderado</v>
          </cell>
          <cell r="L10">
            <v>3</v>
          </cell>
          <cell r="M10" t="str">
            <v>Moderado</v>
          </cell>
          <cell r="U10">
            <v>3</v>
          </cell>
          <cell r="V10" t="str">
            <v>BAJO</v>
          </cell>
          <cell r="W10" t="str">
            <v>MODERADO</v>
          </cell>
          <cell r="X10" t="str">
            <v>ALTO</v>
          </cell>
          <cell r="Y10" t="str">
            <v>EXTREMO</v>
          </cell>
          <cell r="Z10" t="str">
            <v>EXTREMO</v>
          </cell>
        </row>
        <row r="11">
          <cell r="G11" t="str">
            <v>Al menos 1 vez en los últimos 5 años.</v>
          </cell>
          <cell r="H11">
            <v>2</v>
          </cell>
          <cell r="I11" t="str">
            <v>Improbable</v>
          </cell>
          <cell r="J11" t="str">
            <v>El evento puede ocurrir en algún momento.</v>
          </cell>
          <cell r="K11" t="str">
            <v>Menor</v>
          </cell>
          <cell r="L11">
            <v>2</v>
          </cell>
          <cell r="M11" t="str">
            <v>Menor</v>
          </cell>
          <cell r="U11">
            <v>2</v>
          </cell>
          <cell r="V11" t="str">
            <v>BAJO</v>
          </cell>
          <cell r="W11" t="str">
            <v>BAJO</v>
          </cell>
          <cell r="X11" t="str">
            <v>MODERADO</v>
          </cell>
          <cell r="Y11" t="str">
            <v>ALTO</v>
          </cell>
          <cell r="Z11" t="str">
            <v>EXTREMO</v>
          </cell>
        </row>
        <row r="12">
          <cell r="G12" t="str">
            <v>No se ha presentado en los últimos 5 años.</v>
          </cell>
          <cell r="H12">
            <v>1</v>
          </cell>
          <cell r="I12" t="str">
            <v>Rara vez</v>
          </cell>
          <cell r="J12" t="str">
            <v>El evento puede ocurrir solo en circunstancias excepcionales (poco comunes o anormales)</v>
          </cell>
          <cell r="K12" t="str">
            <v>Insignificante</v>
          </cell>
          <cell r="L12">
            <v>1</v>
          </cell>
          <cell r="M12" t="str">
            <v>Insignificante</v>
          </cell>
          <cell r="U12">
            <v>1</v>
          </cell>
          <cell r="V12" t="str">
            <v>BAJO</v>
          </cell>
          <cell r="W12" t="str">
            <v>BAJO</v>
          </cell>
          <cell r="X12" t="str">
            <v>MODERADO</v>
          </cell>
          <cell r="Y12" t="str">
            <v>ALTO</v>
          </cell>
          <cell r="Z12" t="str">
            <v>EXTREMO</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Contexto"/>
      <sheetName val="Identificación del Riesgo MC"/>
      <sheetName val="Analisis Riesgo"/>
      <sheetName val="Controles"/>
      <sheetName val="Analisis Riesgo Corrupcion MC"/>
      <sheetName val="Matriz de Riesgo"/>
      <sheetName val="Mapa de riesgos"/>
      <sheetName val="Mapa de Calor"/>
      <sheetName val="Cuadro de Cambios"/>
      <sheetName val="Datos"/>
    </sheetNames>
    <sheetDataSet>
      <sheetData sheetId="0"/>
      <sheetData sheetId="1"/>
      <sheetData sheetId="2">
        <row r="9">
          <cell r="D9">
            <v>1</v>
          </cell>
          <cell r="E9" t="str">
            <v>Planes de Mejora no eficaces</v>
          </cell>
          <cell r="H9" t="str">
            <v>No se ha estandarizado los lineamientos para establecer y realizar seguimiento a los planes de mejoramiento.
Falta de cultura por parte de los procesos para establecer planes de mejoramiento producto de fuentes de medición y evaluación.
Desconocimiento por parte de algunos servidores públicos sobre la importancia y aplicación de los sistemas de gestión y control.
Desconocimiento por parte de algunos servidores públicos sobre las diferentes metodologías de análisis de causa para el establecimiento de planes de mejoramiento.</v>
          </cell>
          <cell r="I9" t="str">
            <v>Ineficiencia de procesos.
Pérdida de credibilidad de los servidores públicos sobre el Sistema de Gestión.</v>
          </cell>
        </row>
        <row r="10">
          <cell r="D10">
            <v>2</v>
          </cell>
          <cell r="E10" t="str">
            <v>Establecer sistemas de gestión y control que no sean adecuados, eficaces y convenientes</v>
          </cell>
          <cell r="H10" t="str">
            <v>Las herramientas de autodiagnósticos suministradas por el DAFP en algunos casos no contienen criterios objetivos para determinar el grado de cumplimiento.
Cambios metodológicos en herramientas de gestión de riesgos tomadas para el desarrollo del sistema de gestión.</v>
          </cell>
          <cell r="I10" t="str">
            <v>Ineficiencia de procesos.
Pérdida de credibilidad de los servidores públicos sobre el Sistema de Gestión.
Desgaste administrativo.</v>
          </cell>
        </row>
        <row r="11">
          <cell r="D11">
            <v>3</v>
          </cell>
          <cell r="E11" t="str">
            <v>Establecer inadecuadamente el programa de auditoría de calidad.</v>
          </cell>
          <cell r="H11" t="str">
            <v>Las personas que administran el programa  no cuentan con la competencia para establecer estos documentos.
No considerar en el establecimiento del programa de auditoría los requisitos de la norma ISO 9001:2015 en el apartado 9,2</v>
          </cell>
          <cell r="I11" t="str">
            <v>No cumplir los objetivos de auditoría.</v>
          </cell>
        </row>
        <row r="12">
          <cell r="D12">
            <v>4</v>
          </cell>
          <cell r="E12" t="str">
            <v>Incumplimientos en los objetivos de auditorías internas.</v>
          </cell>
          <cell r="H12" t="str">
            <v>Desconocimiento de los servidores públicos sobre la importancia y beneficios de las auditorías internas sobre los procesos.</v>
          </cell>
          <cell r="I12" t="str">
            <v>Desconocimiento del estado y desempeño del sistema de Gestión.</v>
          </cell>
        </row>
        <row r="13">
          <cell r="D13">
            <v>5</v>
          </cell>
          <cell r="E13" t="str">
            <v>Utilización de documentación con información obsoleta o no vigente por parte de los procesos.</v>
          </cell>
          <cell r="H13" t="str">
            <v>Falta de toma de conciencia sobre el control de documentos del sistema de gestión de calidad por parte de los procesos.
El aplicativo para la documentación del Sistema de Gestión de calidad se encuentra desactualizado.</v>
          </cell>
          <cell r="I13" t="str">
            <v>Hallazgos de auditoría.
Falta de dinamización del sistema de Gestión.
Incumplimientos normativos</v>
          </cell>
        </row>
        <row r="14">
          <cell r="D14">
            <v>6</v>
          </cell>
          <cell r="E14" t="str">
            <v>Materialización de los riesgos en los procesos.</v>
          </cell>
          <cell r="H14" t="str">
            <v>No se ha estandarizado los lineamientos para establecer y realizar seguimiento a los planes de mejoramiento.
No se han socializado a los procesos el contexto de la organización (DOFA) para su respectiva toma de decisiones.
Desconocimiento de la metodología de administración de riesgos.
Inadecuada identificación de controles para tratar riesgos residuales e ineficacia.</v>
          </cell>
          <cell r="I14" t="str">
            <v>Hallazgos disciplinarios y fiscales.
Pérdida de recursos.
Afectación a la imagen institucional.</v>
          </cell>
        </row>
        <row r="15">
          <cell r="D15">
            <v>7</v>
          </cell>
          <cell r="E15" t="str">
            <v>Los mecanismos de medición, seguimiento y control no son considerados para la toma de decisiones.</v>
          </cell>
          <cell r="H15" t="str">
            <v>Desconocimiento por parte de algunos servidores públicos sobre la importancia y aplicación de los mecanismos de medición, seguimiento y control.</v>
          </cell>
          <cell r="I15" t="str">
            <v>Falta de dinamización del sistema de Gestión.
Ineficiencia de procesos.
Pérdida de credibilidad de los servidores públicos sobre el Sistema de Gestión.
Desgaste administrativo.</v>
          </cell>
        </row>
        <row r="16">
          <cell r="D16">
            <v>8</v>
          </cell>
          <cell r="E16" t="str">
            <v>Existencia de conflictos de interéses para llevar a cabo las auditorías.</v>
          </cell>
          <cell r="H16" t="str">
            <v>El procedimiento de auditorías internas no contempla las posibles situaciones de conflictos de intereses.</v>
          </cell>
          <cell r="I16" t="str">
            <v>No lograr la objetividad en los informes de auditoría.
Pérdida de credibilidad de los servidores públicos sobre el Sistema de Gestión.
Procesos disciplinarios.</v>
          </cell>
        </row>
        <row r="17">
          <cell r="D17">
            <v>9</v>
          </cell>
          <cell r="E17" t="str">
            <v>Manipulación de la información producto de los mecanismos de medición, seguimiento y control.</v>
          </cell>
          <cell r="H17" t="str">
            <v>Falta de claridad sobre la aplicación de las responsabilidades, roles de las líneas de defensa.
Falta de apropiación del sistema de Control Interno.
Los procedimientos de auditorías, administración de riesgos, indicadores y planes de mejoramiento no contemplan explícitamente los roles para su gestión.</v>
          </cell>
          <cell r="I17" t="str">
            <v>Pérdida de credibilidad de los servidores públicos sobre el Sistema de Gestión.
Procesos disciplinarios.</v>
          </cell>
        </row>
      </sheetData>
      <sheetData sheetId="3">
        <row r="7">
          <cell r="F7" t="str">
            <v>Casi Seguro</v>
          </cell>
          <cell r="G7" t="str">
            <v>Mayor</v>
          </cell>
          <cell r="I7" t="str">
            <v>EXTREMO</v>
          </cell>
          <cell r="K7" t="str">
            <v>Formato de plan de mejoramiento.</v>
          </cell>
          <cell r="L7" t="str">
            <v>Se establece para planificar y hacer seguimiento a las acciones que surjan de incumplimiento de los estandares y controles. Sin embargo el documento actual es del proceso de Monitoreo y Control y no cumple las directrices de ISO 9001:2015 en su apartado 10,2</v>
          </cell>
          <cell r="U7" t="str">
            <v>Casi Seguro</v>
          </cell>
          <cell r="V7" t="str">
            <v>Mayor</v>
          </cell>
          <cell r="W7" t="str">
            <v>EXTREMO</v>
          </cell>
          <cell r="X7" t="str">
            <v>Reducir el riesgo</v>
          </cell>
        </row>
        <row r="8">
          <cell r="F8" t="str">
            <v>Casi Seguro</v>
          </cell>
          <cell r="G8" t="str">
            <v>Mayor</v>
          </cell>
          <cell r="I8" t="str">
            <v>EXTREMO</v>
          </cell>
          <cell r="K8" t="str">
            <v>No se identifican controles existentes.</v>
          </cell>
          <cell r="L8" t="str">
            <v>No se identifican controles existentes.</v>
          </cell>
          <cell r="U8" t="str">
            <v>Casi Seguro</v>
          </cell>
          <cell r="V8" t="str">
            <v>Mayor</v>
          </cell>
          <cell r="W8" t="str">
            <v>EXTREMO</v>
          </cell>
          <cell r="X8" t="str">
            <v>Reducir el riesgo</v>
          </cell>
        </row>
        <row r="9">
          <cell r="F9" t="str">
            <v>Casi Seguro</v>
          </cell>
          <cell r="G9" t="str">
            <v>Moderado</v>
          </cell>
          <cell r="I9" t="str">
            <v>EXTREMO</v>
          </cell>
          <cell r="K9" t="str">
            <v>Procedimiento de auditorías codigo P-CI-02</v>
          </cell>
          <cell r="L9" t="str">
            <v>EL procedimiento contiene las directrices para establecer y desarrollar un programa de auditoría en función de unos objetivos de auditoría</v>
          </cell>
          <cell r="U9" t="str">
            <v>Casi Seguro</v>
          </cell>
          <cell r="V9" t="str">
            <v>Moderado</v>
          </cell>
          <cell r="W9" t="str">
            <v>EXTREMO</v>
          </cell>
          <cell r="X9" t="str">
            <v>Reducir el riesgo</v>
          </cell>
        </row>
        <row r="10">
          <cell r="F10" t="str">
            <v>Casi Seguro</v>
          </cell>
          <cell r="G10" t="str">
            <v>Moderado</v>
          </cell>
          <cell r="I10" t="str">
            <v>EXTREMO</v>
          </cell>
          <cell r="K10" t="str">
            <v>Procedimiento de auditorías codigo P-CI-02</v>
          </cell>
          <cell r="L10" t="str">
            <v>EL procedimiento contiene las directrices para establecer y desarrollar un programa de auditoría en función de unos objetivos de auditoría</v>
          </cell>
          <cell r="U10" t="str">
            <v>Casi Seguro</v>
          </cell>
          <cell r="V10" t="str">
            <v>Moderado</v>
          </cell>
          <cell r="W10" t="str">
            <v>EXTREMO</v>
          </cell>
          <cell r="X10" t="str">
            <v>Reducir el riesgo</v>
          </cell>
        </row>
        <row r="11">
          <cell r="F11" t="str">
            <v>Casi Seguro</v>
          </cell>
          <cell r="G11" t="str">
            <v>Catastrófico</v>
          </cell>
          <cell r="I11" t="str">
            <v>EXTREMO</v>
          </cell>
          <cell r="K11" t="str">
            <v>Sistema SIGUEME.</v>
          </cell>
          <cell r="L11" t="str">
            <v>Es un sistema de información donde reposan todos los documentos oficiales de la entidad para el sistema de gestión de calidad.</v>
          </cell>
          <cell r="U11" t="str">
            <v>Probable</v>
          </cell>
          <cell r="V11" t="str">
            <v>Catastrófico</v>
          </cell>
          <cell r="W11" t="str">
            <v>EXTREMO</v>
          </cell>
          <cell r="X11" t="str">
            <v>Reducir el riesgo</v>
          </cell>
        </row>
        <row r="12">
          <cell r="F12" t="str">
            <v>Casi Seguro</v>
          </cell>
          <cell r="G12" t="str">
            <v>Catastrófico</v>
          </cell>
          <cell r="I12" t="str">
            <v>EXTREMO</v>
          </cell>
          <cell r="K12" t="str">
            <v>Asistencia técnica del proceso de Mejora Continua</v>
          </cell>
          <cell r="L12" t="str">
            <v>Se realiza visita a los procesos con el fin de apoyarlos metodologicamente en la planificación de la gestión de riegos a través de su adecuada identificación</v>
          </cell>
          <cell r="U12" t="str">
            <v>Probable</v>
          </cell>
          <cell r="V12" t="str">
            <v>Catastrófico</v>
          </cell>
          <cell r="W12" t="str">
            <v>EXTREMO</v>
          </cell>
          <cell r="X12" t="str">
            <v>Reducir el riesgo</v>
          </cell>
        </row>
        <row r="13">
          <cell r="F13" t="str">
            <v>Casi Seguro</v>
          </cell>
          <cell r="G13" t="str">
            <v>Mayor</v>
          </cell>
          <cell r="I13" t="str">
            <v>EXTREMO</v>
          </cell>
          <cell r="K13" t="str">
            <v>No se identifican controles existentes.</v>
          </cell>
          <cell r="L13" t="str">
            <v>No se identifican controles existentes.</v>
          </cell>
          <cell r="U13" t="str">
            <v>Casi Seguro</v>
          </cell>
          <cell r="V13" t="str">
            <v>Mayor</v>
          </cell>
          <cell r="W13" t="str">
            <v>EXTREMO</v>
          </cell>
          <cell r="X13" t="str">
            <v>Reducir el riesgo</v>
          </cell>
        </row>
        <row r="14">
          <cell r="F14" t="str">
            <v>Posible</v>
          </cell>
          <cell r="G14" t="str">
            <v>Mayor</v>
          </cell>
          <cell r="I14" t="str">
            <v>EXTREMO</v>
          </cell>
          <cell r="K14" t="str">
            <v>Procedimiento de auditorías codigo P-CI-02</v>
          </cell>
          <cell r="L14" t="str">
            <v>EL procedimiento contiene las directrices para establecer y desarrollar un programa de auditoría en función de unos objetivos de auditoría</v>
          </cell>
          <cell r="U14" t="str">
            <v>Posible</v>
          </cell>
          <cell r="V14" t="str">
            <v>Mayor</v>
          </cell>
          <cell r="W14" t="str">
            <v>EXTREMO</v>
          </cell>
          <cell r="X14" t="str">
            <v>Reducir el riesgo</v>
          </cell>
        </row>
        <row r="15">
          <cell r="F15" t="str">
            <v>Rara vez</v>
          </cell>
          <cell r="G15" t="str">
            <v>Catastrófico</v>
          </cell>
          <cell r="I15" t="str">
            <v>EXTREMO</v>
          </cell>
          <cell r="K15" t="str">
            <v>Procedimiento de auditorías codigo P-CI-02</v>
          </cell>
          <cell r="L15" t="str">
            <v>El procedimiento contiene las directrices para establecer y desarrollar un programa de auditoría en función de unos objetivos de auditoría</v>
          </cell>
          <cell r="U15" t="str">
            <v>Rara vez</v>
          </cell>
          <cell r="V15" t="str">
            <v>Catastrófico</v>
          </cell>
          <cell r="W15" t="str">
            <v>EXTREMO</v>
          </cell>
          <cell r="X15" t="str">
            <v>Reducir el riesgo</v>
          </cell>
        </row>
      </sheetData>
      <sheetData sheetId="4">
        <row r="9">
          <cell r="T9">
            <v>20</v>
          </cell>
          <cell r="W9">
            <v>0.2</v>
          </cell>
          <cell r="X9">
            <v>0</v>
          </cell>
          <cell r="AB9" t="str">
            <v>SI</v>
          </cell>
        </row>
        <row r="10">
          <cell r="T10">
            <v>0</v>
          </cell>
          <cell r="W10">
            <v>0</v>
          </cell>
          <cell r="X10">
            <v>0</v>
          </cell>
          <cell r="AB10" t="str">
            <v>SI</v>
          </cell>
        </row>
        <row r="11">
          <cell r="T11">
            <v>65</v>
          </cell>
          <cell r="W11">
            <v>0.65</v>
          </cell>
          <cell r="X11">
            <v>0</v>
          </cell>
          <cell r="AB11" t="str">
            <v>SI</v>
          </cell>
        </row>
        <row r="12">
          <cell r="T12">
            <v>65</v>
          </cell>
          <cell r="W12">
            <v>0.65</v>
          </cell>
          <cell r="X12">
            <v>0</v>
          </cell>
          <cell r="AB12" t="str">
            <v>SI</v>
          </cell>
        </row>
        <row r="13">
          <cell r="T13">
            <v>100</v>
          </cell>
          <cell r="W13">
            <v>1</v>
          </cell>
          <cell r="X13">
            <v>0</v>
          </cell>
          <cell r="AB13" t="str">
            <v>SI</v>
          </cell>
        </row>
        <row r="14">
          <cell r="T14">
            <v>100</v>
          </cell>
          <cell r="W14">
            <v>1</v>
          </cell>
          <cell r="X14">
            <v>0</v>
          </cell>
          <cell r="AB14" t="str">
            <v>SI</v>
          </cell>
        </row>
        <row r="15">
          <cell r="T15">
            <v>0</v>
          </cell>
          <cell r="W15">
            <v>0</v>
          </cell>
          <cell r="X15">
            <v>0</v>
          </cell>
          <cell r="AB15" t="str">
            <v>SI</v>
          </cell>
        </row>
        <row r="16">
          <cell r="T16">
            <v>65</v>
          </cell>
          <cell r="W16">
            <v>0.65</v>
          </cell>
          <cell r="X16">
            <v>0</v>
          </cell>
          <cell r="AB16" t="str">
            <v>SI</v>
          </cell>
        </row>
        <row r="17">
          <cell r="T17">
            <v>65</v>
          </cell>
          <cell r="W17">
            <v>0.65</v>
          </cell>
          <cell r="X17">
            <v>0</v>
          </cell>
          <cell r="AB17" t="str">
            <v>SI</v>
          </cell>
        </row>
      </sheetData>
      <sheetData sheetId="5"/>
      <sheetData sheetId="6"/>
      <sheetData sheetId="7"/>
      <sheetData sheetId="8"/>
      <sheetData sheetId="9"/>
      <sheetData sheetId="10">
        <row r="7">
          <cell r="V7">
            <v>1</v>
          </cell>
          <cell r="W7">
            <v>2</v>
          </cell>
          <cell r="X7">
            <v>3</v>
          </cell>
          <cell r="Y7">
            <v>4</v>
          </cell>
          <cell r="Z7">
            <v>5</v>
          </cell>
        </row>
        <row r="8">
          <cell r="G8" t="str">
            <v>Más de 1 vez al año.</v>
          </cell>
          <cell r="H8">
            <v>5</v>
          </cell>
          <cell r="I8" t="str">
            <v>Casi Seguro</v>
          </cell>
          <cell r="J8" t="str">
            <v>Se espera que el evento ocurra en la mayoría de las circunstancias.</v>
          </cell>
          <cell r="K8" t="str">
            <v>Catastrófico</v>
          </cell>
          <cell r="L8">
            <v>5</v>
          </cell>
          <cell r="M8" t="str">
            <v>Catastrófico</v>
          </cell>
          <cell r="U8">
            <v>5</v>
          </cell>
          <cell r="V8" t="str">
            <v>ALTO</v>
          </cell>
          <cell r="W8" t="str">
            <v>ALTO</v>
          </cell>
          <cell r="X8" t="str">
            <v>EXTREMO</v>
          </cell>
          <cell r="Y8" t="str">
            <v>EXTREMO</v>
          </cell>
          <cell r="Z8" t="str">
            <v>EXTREMO</v>
          </cell>
        </row>
        <row r="9">
          <cell r="G9" t="str">
            <v>Al menos 1 vez en el último año.</v>
          </cell>
          <cell r="H9">
            <v>4</v>
          </cell>
          <cell r="I9" t="str">
            <v>Probable</v>
          </cell>
          <cell r="J9" t="str">
            <v>Es viable que el evento ocurra en la mayoría de las circunstancias.</v>
          </cell>
          <cell r="K9" t="str">
            <v>Mayor</v>
          </cell>
          <cell r="L9">
            <v>4</v>
          </cell>
          <cell r="M9" t="str">
            <v>Mayor</v>
          </cell>
          <cell r="U9">
            <v>4</v>
          </cell>
          <cell r="V9" t="str">
            <v>MODERADO</v>
          </cell>
          <cell r="W9" t="str">
            <v>ALTO</v>
          </cell>
          <cell r="X9" t="str">
            <v>ALTO</v>
          </cell>
          <cell r="Y9" t="str">
            <v>EXTREMO</v>
          </cell>
          <cell r="Z9" t="str">
            <v>EXTREMO</v>
          </cell>
        </row>
        <row r="10">
          <cell r="G10" t="str">
            <v>Al menos 1 vez en los últimos 2 años.</v>
          </cell>
          <cell r="H10">
            <v>3</v>
          </cell>
          <cell r="I10" t="str">
            <v>Posible</v>
          </cell>
          <cell r="J10" t="str">
            <v>El evento podrá ocurrir en algún momento.</v>
          </cell>
          <cell r="K10" t="str">
            <v>Moderado</v>
          </cell>
          <cell r="L10">
            <v>3</v>
          </cell>
          <cell r="M10" t="str">
            <v>Moderado</v>
          </cell>
          <cell r="U10">
            <v>3</v>
          </cell>
          <cell r="V10" t="str">
            <v>BAJO</v>
          </cell>
          <cell r="W10" t="str">
            <v>MODERADO</v>
          </cell>
          <cell r="X10" t="str">
            <v>ALTO</v>
          </cell>
          <cell r="Y10" t="str">
            <v>EXTREMO</v>
          </cell>
          <cell r="Z10" t="str">
            <v>EXTREMO</v>
          </cell>
        </row>
        <row r="11">
          <cell r="G11" t="str">
            <v>Al menos 1 vez en los últimos 5 años.</v>
          </cell>
          <cell r="H11">
            <v>2</v>
          </cell>
          <cell r="I11" t="str">
            <v>Improbable</v>
          </cell>
          <cell r="J11" t="str">
            <v>El evento puede ocurrir en algún momento.</v>
          </cell>
          <cell r="K11" t="str">
            <v>Menor</v>
          </cell>
          <cell r="L11">
            <v>2</v>
          </cell>
          <cell r="M11" t="str">
            <v>Menor</v>
          </cell>
          <cell r="U11">
            <v>2</v>
          </cell>
          <cell r="V11" t="str">
            <v>BAJO</v>
          </cell>
          <cell r="W11" t="str">
            <v>BAJO</v>
          </cell>
          <cell r="X11" t="str">
            <v>MODERADO</v>
          </cell>
          <cell r="Y11" t="str">
            <v>ALTO</v>
          </cell>
          <cell r="Z11" t="str">
            <v>EXTREMO</v>
          </cell>
        </row>
        <row r="12">
          <cell r="G12" t="str">
            <v>No se ha presentado en los últimos 5 años.</v>
          </cell>
          <cell r="H12">
            <v>1</v>
          </cell>
          <cell r="I12" t="str">
            <v>Rara vez</v>
          </cell>
          <cell r="J12" t="str">
            <v>El evento puede ocurrir solo en circunstancias excepcionales (poco comunes o anormales)</v>
          </cell>
          <cell r="K12" t="str">
            <v>Insignificante</v>
          </cell>
          <cell r="L12">
            <v>1</v>
          </cell>
          <cell r="M12" t="str">
            <v>Insignificante</v>
          </cell>
          <cell r="U12">
            <v>1</v>
          </cell>
          <cell r="V12" t="str">
            <v>BAJO</v>
          </cell>
          <cell r="W12" t="str">
            <v>BAJO</v>
          </cell>
          <cell r="X12" t="str">
            <v>MODERADO</v>
          </cell>
          <cell r="Y12" t="str">
            <v>ALTO</v>
          </cell>
          <cell r="Z12" t="str">
            <v>EXTREMO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Contexto"/>
      <sheetName val="Identificación del Riesgo"/>
      <sheetName val="Analisis Riesgo"/>
      <sheetName val="Analisis Riesgo Corrupcion"/>
      <sheetName val="Matriz de Riesgo"/>
      <sheetName val="Controles"/>
      <sheetName val="Mapa de Calor"/>
      <sheetName val="RESUMEN"/>
      <sheetName val="Cuadro de Cambios"/>
      <sheetName val="Datos"/>
    </sheetNames>
    <sheetDataSet>
      <sheetData sheetId="0" refreshError="1"/>
      <sheetData sheetId="1" refreshError="1"/>
      <sheetData sheetId="2" refreshError="1"/>
      <sheetData sheetId="3">
        <row r="7">
          <cell r="K7" t="str">
            <v>Aplicar la matriz de priorización de Auditorías.</v>
          </cell>
          <cell r="L7" t="str">
            <v>El aplicar la matriz de prioriación de Auditorías, es un control mediante el que a través de la valoración y análisis de criticidad de la gestión institucional y de los procesos, se lleva a cabo la priorización y planifcación de las actividades de auditoría a ejecutarse en una vigencia, el propósito de este mecanismo es enfocar las auditorías y evaluaciones en los procesos con mayores riesgos e impactos para la organización. Se ejecuta mínimo una vez en el año por la Oficina de Control Interno, previo a la elaboración del Programa Anual de Auditoría PAA.</v>
          </cell>
        </row>
        <row r="8">
          <cell r="K8" t="str">
            <v>Seguimiento y monitoreo del Programa Anual de Auditoría.</v>
          </cell>
          <cell r="L8" t="str">
            <v>El Programa Anual de Auditoría deberá ser presentado al Comité de Coordinación del Sistema de Control Interno Institucional para su conocimiento y respectiva aprobación una vez consolidado. En las reuniones de seguimiento Control Interno verifica la ejecución de actividades frente a lo formulado en el Programa Anual de auditoría (PAA); si se presentan cambios justificados o por fuerza mayor se dan a conocer en el Comité de Coordinación de Control Interno y se actualiza el PAA. Este control pretende detectar las desviacioens del programa y tomar decisiones para la adecuada ejecución de las Auditorías Internas planificadas. Se ejecuta mínimo una vez en el trimestre el seguimiento al avance del Programa Anual de Auditorías.</v>
          </cell>
        </row>
        <row r="9">
          <cell r="K9" t="str">
            <v>Incluir análisis de recursos de auditoría.</v>
          </cell>
          <cell r="L9" t="str">
            <v>En el programa anual de auditoría interna se incluye un análisis de las necesidades de recursos para la ejecución de Auditorías Internas, este instrumento pretende mostrar a la Alta Dirección y al Comité de Coordinación de Control Interno las necesidades requeridas para ejecutar de manera adecuada el Programa de Auditoría Interna. Este control es ejecutado una vez en el año con la formulación del Programa Anual de Auditoria.</v>
          </cell>
        </row>
        <row r="12">
          <cell r="K12" t="str">
            <v>Aplicar control de gestión de acuerdo a los niveles de autorización de los los informes de auditoria o de evaluación independiente.</v>
          </cell>
          <cell r="L12" t="str">
            <v>Este control es aplicado cuando los informes de auditoría interna o de evaluación a la gestión surten la cadena de elaboración, revisión y aprobación. En este caso el profesional del área de control interno elabora informes que son revisados y aprobados para ser emtidos por el Asesor de Control Interno. Este control se aplica en la elaboración de cada uno de los informes y tiene como propósito evitar errores de coherencia, evidencia y objetividad en su elaboración.</v>
          </cell>
        </row>
        <row r="13">
          <cell r="K13" t="str">
            <v>Reiteración de solicitud de información o salvedad en informe de auditoria de la no entrega de la información.</v>
          </cell>
          <cell r="L13" t="str">
            <v>Este control es aplicado cuando se ha solicitado información y no se ha enregado por parte de los auditados,  se reitera la solicitud con copia a la Dirección General con el propósito de obtener la información solicitada. En los caso en los cuales definitivamente no es entregada la información por el auditado se incluyen nota de salvedad dada la no entrega de la información. Este control tiene como proposito obtener información y resgistros que permitan el desarrollo de auditorias con evidencia objetiva.</v>
          </cell>
        </row>
        <row r="14">
          <cell r="K14" t="str">
            <v>Realizar solicitud de necesidades de formación y capacitación de Control Interno.</v>
          </cell>
          <cell r="L14" t="str">
            <v>Se solicita a la Secretaría General al Grupo de Talento Humano incorporar necesidades en el Plan Institucional de Capacitación referente a las brechas de conocimiento frente a las actividades, normativa e información que debe ser conocida por el grupo de profesionales de la oficina de control interno. Este control tiene como propósito promover acciones de formación dando el conocimiento a los servidores públicos y reduciendo el desconocimiento en temáticas.</v>
          </cell>
        </row>
        <row r="15">
          <cell r="K15" t="str">
            <v>Solicitud de recursos para complementar competencias con externos.</v>
          </cell>
          <cell r="L15" t="str">
            <v>Conformación de equipos de auditoría integrales o contratación de servicios de auditoría externos, con habilidades, conocimiento, experiencia e integralidad para ejecutar evaluaciones a temas específicos y auditoría. Este control tiene como propósito garantizar que los ejercicios de auditoría se ejecuten personal con conocimiento especializado, con la competencia y habilidades requeridas para una adecuada evaluación de los criterios a auditar.</v>
          </cell>
        </row>
        <row r="16">
          <cell r="K16" t="str">
            <v>Carta de representación</v>
          </cell>
          <cell r="L16" t="str">
            <v>La Carta de Representación es un instrumento que permite confirmar las aseveraciones orales y/o escritas proporcionadas  durante el curso de la auditoría, busca reducir la posibilidad de malos entendidos entre el auditor y el auditado, aclarando los hechos observados y valorados sobre evidencia objetiva. Este es un control que busca garantizar la independencia de la evaluaciòn, dando claridad y evitando se generen presiones indebidas.</v>
          </cell>
        </row>
        <row r="17">
          <cell r="K17" t="str">
            <v>Aplicar y utilizar las herramientas y técnicas de Auditoría.</v>
          </cell>
          <cell r="L17" t="str">
            <v xml:space="preserve">Al aplicar el conjunto de herramientas y técnicas de auditoría se busca la aplicación de métodos de evaluación que permitan determinar con criterios objetivos los ejercicios de Auditoría Interna. El uso y aplicaciòn de herramientas de auditorìa es un control que permiten evaluar de manera adecuada los criterios de auditorìa. </v>
          </cell>
        </row>
        <row r="18">
          <cell r="K18" t="str">
            <v>Manifestar el rol de las oficinas de control interno a través de distintos mecanimos  y canales de comunicación</v>
          </cell>
          <cell r="L18" t="str">
            <v>Este control busca que los clientes y partes interesadas del proceso conozcan los roles y competencias de las Oficinas de Control Interno o quien haga sus veces,</v>
          </cell>
        </row>
        <row r="19">
          <cell r="K19" t="str">
            <v>Adoptar y aplicar código de ética del auditor y sus herramientas, manifestadas en el informe de auditoría interna.</v>
          </cell>
          <cell r="L19" t="str">
            <v>Este control implica la adopción y aplicaciòn del código de ética, lo cual es manifestado y presentado a travès de los informes de auditoria interna el rol de las oficinas de control interno.</v>
          </cell>
        </row>
        <row r="20">
          <cell r="K20" t="str">
            <v>Utilizar el mapa de aseguramiento y matriz de priorización de Auditorías.</v>
          </cell>
          <cell r="L20" t="str">
            <v>Utilizar la herramienta de mapa de aseguramiento para que sean definidas y aclaradas en el marco de los procesos las líneas de defensa, especificando el Rol de la Tercera Línea de Defenda y usar la matriz de priorización para la priorización de auditorias. La aplicación de estas herramientas permite  aclarar y definir las responsabiliades y alcances para cada Programa Anual  de auditoría. Esta revisión se ejecutade manera anual  y se documenta en el Programa Anual de Auditoría.</v>
          </cell>
        </row>
        <row r="21">
          <cell r="K21" t="str">
            <v>Realizar la evaluaciòn independiente a travès de los perfiles y roles asignados a travès de distitnos aplicativos.</v>
          </cell>
          <cell r="L21" t="str">
            <v>Utilizar los sistemas de información como SIRECI, FURAG, EKOGUI. SIIF Nación, SUIT y otros en los que se ha definido los roles y perfiles específicos para el proceso de evaluación independiente que es ejecutado por las Oficinas de Control Interno o de quienes hacen sus veces. Este control tiene como propósito el uso de herramientas que han definido actividades de acuerdo al rol de la oficina de control interno.</v>
          </cell>
        </row>
        <row r="22">
          <cell r="K22" t="str">
            <v>Participar en el encuentro transversal del encuentro de Jefes de Control Interno.</v>
          </cell>
          <cell r="L22" t="str">
            <v>Participación en eventos donde se socializar los roles y normatividad a cumplir por los jefes de la oficina de control interno, este control permite mantener actualizado el conocimiento frene a los roles.</v>
          </cell>
        </row>
      </sheetData>
      <sheetData sheetId="4" refreshError="1"/>
      <sheetData sheetId="5" refreshError="1"/>
      <sheetData sheetId="6">
        <row r="9">
          <cell r="T9">
            <v>100</v>
          </cell>
          <cell r="W9">
            <v>1</v>
          </cell>
          <cell r="X9">
            <v>0</v>
          </cell>
          <cell r="AB9" t="str">
            <v>No</v>
          </cell>
        </row>
        <row r="10">
          <cell r="T10">
            <v>100</v>
          </cell>
          <cell r="W10">
            <v>1</v>
          </cell>
          <cell r="X10">
            <v>0</v>
          </cell>
          <cell r="AB10" t="str">
            <v>No</v>
          </cell>
        </row>
        <row r="11">
          <cell r="T11">
            <v>100</v>
          </cell>
          <cell r="W11">
            <v>1</v>
          </cell>
          <cell r="X11">
            <v>0</v>
          </cell>
          <cell r="AB11" t="str">
            <v>No</v>
          </cell>
        </row>
        <row r="12">
          <cell r="T12">
            <v>100</v>
          </cell>
          <cell r="W12">
            <v>1</v>
          </cell>
          <cell r="X12">
            <v>0</v>
          </cell>
          <cell r="AB12" t="str">
            <v>No</v>
          </cell>
        </row>
        <row r="13">
          <cell r="T13">
            <v>100</v>
          </cell>
          <cell r="W13">
            <v>1</v>
          </cell>
          <cell r="X13">
            <v>0</v>
          </cell>
          <cell r="AB13" t="str">
            <v>No</v>
          </cell>
        </row>
        <row r="14">
          <cell r="T14">
            <v>100</v>
          </cell>
          <cell r="W14">
            <v>1</v>
          </cell>
          <cell r="X14">
            <v>0</v>
          </cell>
          <cell r="AB14" t="str">
            <v>No</v>
          </cell>
        </row>
        <row r="15">
          <cell r="T15">
            <v>100</v>
          </cell>
          <cell r="W15">
            <v>1</v>
          </cell>
          <cell r="X15">
            <v>0</v>
          </cell>
          <cell r="AB15" t="str">
            <v>No</v>
          </cell>
        </row>
        <row r="16">
          <cell r="T16">
            <v>100</v>
          </cell>
          <cell r="W16">
            <v>0</v>
          </cell>
          <cell r="X16">
            <v>1</v>
          </cell>
          <cell r="AB16" t="str">
            <v>SI</v>
          </cell>
        </row>
        <row r="17">
          <cell r="T17">
            <v>100</v>
          </cell>
          <cell r="W17">
            <v>1</v>
          </cell>
          <cell r="X17">
            <v>0</v>
          </cell>
          <cell r="AB17" t="str">
            <v>No</v>
          </cell>
        </row>
        <row r="18">
          <cell r="T18">
            <v>100</v>
          </cell>
          <cell r="W18">
            <v>1</v>
          </cell>
          <cell r="X18">
            <v>0</v>
          </cell>
          <cell r="AB18" t="str">
            <v>No</v>
          </cell>
        </row>
        <row r="19">
          <cell r="T19">
            <v>100</v>
          </cell>
          <cell r="W19">
            <v>1</v>
          </cell>
          <cell r="X19">
            <v>0</v>
          </cell>
          <cell r="AB19" t="str">
            <v>No</v>
          </cell>
        </row>
        <row r="20">
          <cell r="T20">
            <v>100</v>
          </cell>
          <cell r="W20">
            <v>0</v>
          </cell>
          <cell r="X20">
            <v>1</v>
          </cell>
          <cell r="AB20" t="str">
            <v>SI</v>
          </cell>
        </row>
        <row r="21">
          <cell r="T21">
            <v>100</v>
          </cell>
          <cell r="W21">
            <v>0</v>
          </cell>
          <cell r="X21">
            <v>1</v>
          </cell>
          <cell r="AB21" t="str">
            <v>SI</v>
          </cell>
        </row>
        <row r="22">
          <cell r="T22">
            <v>100</v>
          </cell>
          <cell r="W22">
            <v>1</v>
          </cell>
          <cell r="X22">
            <v>0</v>
          </cell>
          <cell r="AB22" t="str">
            <v>No</v>
          </cell>
        </row>
      </sheetData>
      <sheetData sheetId="7" refreshError="1"/>
      <sheetData sheetId="8" refreshError="1"/>
      <sheetData sheetId="9" refreshError="1"/>
      <sheetData sheetId="10">
        <row r="7">
          <cell r="V7">
            <v>1</v>
          </cell>
          <cell r="W7">
            <v>2</v>
          </cell>
          <cell r="X7">
            <v>3</v>
          </cell>
          <cell r="Y7">
            <v>4</v>
          </cell>
          <cell r="Z7">
            <v>5</v>
          </cell>
        </row>
        <row r="8">
          <cell r="G8" t="str">
            <v>Más de 1 vez al año.</v>
          </cell>
          <cell r="H8">
            <v>5</v>
          </cell>
          <cell r="I8" t="str">
            <v>Casi Seguro</v>
          </cell>
          <cell r="J8" t="str">
            <v>Se espera que el evento ocurra en la mayoría de las circunstancias.</v>
          </cell>
          <cell r="K8" t="str">
            <v>Catastrófico</v>
          </cell>
          <cell r="L8">
            <v>5</v>
          </cell>
          <cell r="M8" t="str">
            <v>Catastrófico</v>
          </cell>
          <cell r="U8">
            <v>5</v>
          </cell>
          <cell r="V8" t="str">
            <v>ALTO</v>
          </cell>
          <cell r="W8" t="str">
            <v>ALTO</v>
          </cell>
          <cell r="X8" t="str">
            <v>EXTREMO</v>
          </cell>
          <cell r="Y8" t="str">
            <v>EXTREMO</v>
          </cell>
          <cell r="Z8" t="str">
            <v>EXTREMO</v>
          </cell>
        </row>
        <row r="9">
          <cell r="G9" t="str">
            <v>Al menos 1 vez en el último año.</v>
          </cell>
          <cell r="H9">
            <v>4</v>
          </cell>
          <cell r="I9" t="str">
            <v>Probable</v>
          </cell>
          <cell r="J9" t="str">
            <v>Es viable que el evento ocurra en la mayoría de las circunstancias.</v>
          </cell>
          <cell r="K9" t="str">
            <v>Mayor</v>
          </cell>
          <cell r="L9">
            <v>4</v>
          </cell>
          <cell r="M9" t="str">
            <v>Mayor</v>
          </cell>
          <cell r="U9">
            <v>4</v>
          </cell>
          <cell r="V9" t="str">
            <v>MODERADO</v>
          </cell>
          <cell r="W9" t="str">
            <v>ALTO</v>
          </cell>
          <cell r="X9" t="str">
            <v>ALTO</v>
          </cell>
          <cell r="Y9" t="str">
            <v>EXTREMO</v>
          </cell>
          <cell r="Z9" t="str">
            <v>EXTREMO</v>
          </cell>
        </row>
        <row r="10">
          <cell r="G10" t="str">
            <v>Al menos 1 vez en los últimos 2 años.</v>
          </cell>
          <cell r="H10">
            <v>3</v>
          </cell>
          <cell r="I10" t="str">
            <v>Posible</v>
          </cell>
          <cell r="J10" t="str">
            <v>El evento podrá ocurrir en algún momento.</v>
          </cell>
          <cell r="K10" t="str">
            <v>Moderado</v>
          </cell>
          <cell r="L10">
            <v>3</v>
          </cell>
          <cell r="M10" t="str">
            <v>Moderado</v>
          </cell>
          <cell r="U10">
            <v>3</v>
          </cell>
          <cell r="V10" t="str">
            <v>BAJO</v>
          </cell>
          <cell r="W10" t="str">
            <v>MODERADO</v>
          </cell>
          <cell r="X10" t="str">
            <v>ALTO</v>
          </cell>
          <cell r="Y10" t="str">
            <v>EXTREMO</v>
          </cell>
          <cell r="Z10" t="str">
            <v>EXTREMO</v>
          </cell>
        </row>
        <row r="11">
          <cell r="G11" t="str">
            <v>Al menos 1 vez en los últimos 5 años.</v>
          </cell>
          <cell r="H11">
            <v>2</v>
          </cell>
          <cell r="I11" t="str">
            <v>Improbable</v>
          </cell>
          <cell r="J11" t="str">
            <v>El evento puede ocurrir en algún momento.</v>
          </cell>
          <cell r="K11" t="str">
            <v>Menor</v>
          </cell>
          <cell r="L11">
            <v>2</v>
          </cell>
          <cell r="M11" t="str">
            <v>Menor</v>
          </cell>
          <cell r="U11">
            <v>2</v>
          </cell>
          <cell r="V11" t="str">
            <v>BAJO</v>
          </cell>
          <cell r="W11" t="str">
            <v>BAJO</v>
          </cell>
          <cell r="X11" t="str">
            <v>MODERADO</v>
          </cell>
          <cell r="Y11" t="str">
            <v>ALTO</v>
          </cell>
          <cell r="Z11" t="str">
            <v>EXTREMO</v>
          </cell>
        </row>
        <row r="12">
          <cell r="G12" t="str">
            <v>No se ha presentado en los últimos 5 años.</v>
          </cell>
          <cell r="H12">
            <v>1</v>
          </cell>
          <cell r="I12" t="str">
            <v>Rara vez</v>
          </cell>
          <cell r="J12" t="str">
            <v>El evento puede ocurrir solo en circunstancias excepcionales (poco comunes o anormales)</v>
          </cell>
          <cell r="K12" t="str">
            <v>Insignificante</v>
          </cell>
          <cell r="L12">
            <v>1</v>
          </cell>
          <cell r="M12" t="str">
            <v>Insignificante</v>
          </cell>
          <cell r="U12">
            <v>1</v>
          </cell>
          <cell r="V12" t="str">
            <v>BAJO</v>
          </cell>
          <cell r="W12" t="str">
            <v>BAJO</v>
          </cell>
          <cell r="X12" t="str">
            <v>MODERADO</v>
          </cell>
          <cell r="Y12" t="str">
            <v>ALTO</v>
          </cell>
          <cell r="Z12" t="str">
            <v>EXTREMO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Contexto"/>
      <sheetName val="Identificación del Riesgo"/>
      <sheetName val="Analisis Riesgo"/>
      <sheetName val="Analisis Riesgo Corrupcion"/>
      <sheetName val="Matriz de Riesgo"/>
      <sheetName val="Controles"/>
      <sheetName val="Mapa de Calor"/>
      <sheetName val="RESUMEN"/>
      <sheetName val="Cuadro de Cambios"/>
      <sheetName val="Datos"/>
    </sheetNames>
    <sheetDataSet>
      <sheetData sheetId="0" refreshError="1"/>
      <sheetData sheetId="1" refreshError="1"/>
      <sheetData sheetId="2" refreshError="1"/>
      <sheetData sheetId="3">
        <row r="7">
          <cell r="K7" t="str">
            <v>Contratar personal de apoyo para aumentar la capacidad del proceso.</v>
          </cell>
          <cell r="L7" t="str">
            <v>Cada vez que se requiere y se determina la necesidad de realizar contratación de personal para la evaluación de proyectos, en quienes se distribuye la carga de trabajo de acuerdo con el número de solicitudes presentadas a la UPME. Este control tiene como propósito aumentar la capacidad del proceso ante un alto volumen de solicitudes permitiendo al proceso cumplir con oportunidad.</v>
          </cell>
        </row>
        <row r="8">
          <cell r="K8" t="str">
            <v>Usar herramientas tecnológicas para la evaluación del proyecto.</v>
          </cell>
          <cell r="L8" t="str">
            <v>Para cada evaluación de proyectos es requerido utilizar herramientas de apoyo que permitan agilizar el procesamiento y análisis de información que permitan cumplir con oportunidad la entrega de los resultados. Entre estas herramientas se destacan el uso de Autocad para la revisiòn de planos, el uso de excel, el uso de la herramienta Orfeo para el control de los registros y solicitudes y el aplicativo de fondos (base de datos oracle) todos brindan herramientas para el control de la informaciòn del proceso.</v>
          </cell>
        </row>
        <row r="9">
          <cell r="K9" t="str">
            <v>Usar la matriz de seguimiento de proyectos.</v>
          </cell>
          <cell r="L9" t="str">
            <v>Existe como contro una herramienta de seguimiento de proyectos, la cual permite realizar la asignación de evaluadores y el seguimiento al tiempo de evaluación para cada proyecto.</v>
          </cell>
        </row>
        <row r="10">
          <cell r="K10" t="str">
            <v>Realizar seguimiento a los indicadores de oportunidad del proceso.</v>
          </cell>
          <cell r="L10" t="str">
            <v>Se realiza seguimiento trimestral a la gestiòn del proceso mediante el uso de indicadores de gestión al cumplimiento en la oportunidad de la emisión de conceptos, desarrollada la mediciòn, evaluaciòn y anàlisis permite la toma de decisiones frente a desviaciones que allì sean detectadas.</v>
          </cell>
        </row>
        <row r="11">
          <cell r="K11" t="str">
            <v>Actualizar la información de la base de datos de precios asociada a costos de proyecto.</v>
          </cell>
          <cell r="L11" t="str">
            <v>Esta herramienta permite comparar los precios presentado por el solicitante vs los precios de mercado permitiendo identificar distorsiones en los costos del proyecto.</v>
          </cell>
        </row>
        <row r="12">
          <cell r="K12" t="str">
            <v>Aplicar las herramientas e instrumentos de evaluación para verificar el cuplimiento de requisitos.</v>
          </cell>
          <cell r="L12" t="str">
            <v>Aplicar los criterios de evaluación definidos en herramienta e instrumentos, lo cual permite verificar el total del cumplimiento de los requisitos definidos para cada Fondo.</v>
          </cell>
        </row>
        <row r="13">
          <cell r="K13" t="str">
            <v>Participar activamente en la revisión de los proyectos normativos.</v>
          </cell>
          <cell r="L13" t="str">
            <v>La OGPF realiza la revisión y comentarios a la normatividad de carácter general que es es modificada por los entes reguladores de los fondos de apoyo financiero, lo cual tiene como propósito reducir el impacto de los cambios normativos.</v>
          </cell>
        </row>
        <row r="14">
          <cell r="K14" t="str">
            <v>Aplicar niveles de autorización para la emisión de conceptos de evaluación de proyectos solicitantes de recursos en los fondos de apoyo financiero.</v>
          </cell>
          <cell r="L14" t="str">
            <v>Existe una cadena de elaboración, revisión y aprobación de los conceptos de evaluación de  proyectos solicitantes de recursos en los fondos de apoyo financiero, que de acuerdo al volumen se ejecuta en actividades clave y de forma aleatoria a itéms clave de la evaluación, tiene como propòsito garantizar la calidad del proceso e identificar posibles desviaciones.</v>
          </cell>
        </row>
        <row r="15">
          <cell r="K15" t="str">
            <v>Participar activamente en jornadas de formación y sensibilización en tema de evaluación de proyectos de fondos.</v>
          </cell>
          <cell r="L15" t="str">
            <v>La OGPF participa en actividades de capacitación con el propósito de reducir las brechas de conocimiento existentes, aumentar la capacidad del proceso y reducir fallos por desconocimiento de los mètodos de evaluaciòn y la normatividad aplicable al proceso.</v>
          </cell>
        </row>
        <row r="16">
          <cell r="K16" t="str">
            <v>Realizar seguimiento al cumplimiento de las obligaciones de contratistas de OGPF.</v>
          </cell>
          <cell r="L16" t="str">
            <v>Se realiza seguimiento al avance en la evaluación de los proyectos y al cumplimiento de las obligaciones contractuales ejecutados a través de los mecanismos de supervisión de los contratos.</v>
          </cell>
        </row>
        <row r="17">
          <cell r="K17" t="str">
            <v>Aplicar niveles de autorización para la emisión de conceptos de evaluación de proyectos solicitantes de recursos en los fondos de apoyo financiero.</v>
          </cell>
          <cell r="L17" t="str">
            <v>Existe una cadena de elaboración, revisión y aprobación de los conceptos de evaluación de  proyectos solicitantes de recursos en los fondos de apoyo financiero, que de acuerdo al volumen se ejecuta en actividades clave y de forma aleatoria a itéms clave de la evaluación, tiene como propòsito garantizar la calidad del proceso e identificar posibles desviaciones.</v>
          </cell>
        </row>
        <row r="18">
          <cell r="K18" t="str">
            <v>Aplicar formato resumen de visita (acta reuniones).</v>
          </cell>
          <cell r="L18" t="str">
            <v>Existe el método de control mediante el cual no se participa de manera individual en la atención con clientes externos del proceso,  asistiendo mínimo dos personas de la OGPF a cada reunión, con el propósito de evitar las presiones indebidas y los ofrecimientos indebidos por parte de terceros.</v>
          </cell>
        </row>
        <row r="19">
          <cell r="K19" t="str">
            <v>Participar en actividades de socialización y divulgación del Código de Integridad.</v>
          </cell>
          <cell r="L19" t="str">
            <v>Participar en las actividades de formación, socialización y divulgación del Código de Integridad, Transparencia y Lucha Contra la Corrupción, que permitan la concientización de los servidores públicos.</v>
          </cell>
        </row>
      </sheetData>
      <sheetData sheetId="4" refreshError="1"/>
      <sheetData sheetId="5" refreshError="1"/>
      <sheetData sheetId="6">
        <row r="9">
          <cell r="T9">
            <v>100</v>
          </cell>
          <cell r="W9">
            <v>1</v>
          </cell>
          <cell r="X9">
            <v>0</v>
          </cell>
          <cell r="AB9" t="str">
            <v>No</v>
          </cell>
        </row>
        <row r="10">
          <cell r="T10">
            <v>100</v>
          </cell>
          <cell r="W10">
            <v>1</v>
          </cell>
          <cell r="X10">
            <v>0</v>
          </cell>
          <cell r="AB10" t="str">
            <v>No</v>
          </cell>
        </row>
        <row r="11">
          <cell r="T11">
            <v>100</v>
          </cell>
          <cell r="W11">
            <v>1</v>
          </cell>
          <cell r="X11">
            <v>0</v>
          </cell>
          <cell r="AB11" t="str">
            <v>No</v>
          </cell>
        </row>
        <row r="12">
          <cell r="T12">
            <v>100</v>
          </cell>
          <cell r="W12">
            <v>0</v>
          </cell>
          <cell r="X12">
            <v>1</v>
          </cell>
          <cell r="AB12" t="str">
            <v>SI</v>
          </cell>
        </row>
        <row r="13">
          <cell r="T13">
            <v>100</v>
          </cell>
          <cell r="W13">
            <v>1</v>
          </cell>
          <cell r="X13">
            <v>0</v>
          </cell>
          <cell r="AB13" t="str">
            <v>No</v>
          </cell>
        </row>
        <row r="14">
          <cell r="T14">
            <v>100</v>
          </cell>
          <cell r="W14">
            <v>1</v>
          </cell>
          <cell r="X14">
            <v>0</v>
          </cell>
          <cell r="AB14" t="str">
            <v>No</v>
          </cell>
        </row>
        <row r="15">
          <cell r="T15">
            <v>100</v>
          </cell>
          <cell r="W15">
            <v>1</v>
          </cell>
          <cell r="X15">
            <v>0</v>
          </cell>
          <cell r="AB15" t="str">
            <v>No</v>
          </cell>
        </row>
        <row r="16">
          <cell r="T16">
            <v>100</v>
          </cell>
          <cell r="W16">
            <v>0</v>
          </cell>
          <cell r="X16">
            <v>1</v>
          </cell>
          <cell r="AB16" t="str">
            <v>SI</v>
          </cell>
        </row>
        <row r="17">
          <cell r="T17">
            <v>100</v>
          </cell>
          <cell r="W17">
            <v>1</v>
          </cell>
          <cell r="X17">
            <v>1</v>
          </cell>
          <cell r="AB17" t="str">
            <v>No</v>
          </cell>
        </row>
        <row r="18">
          <cell r="T18">
            <v>100</v>
          </cell>
          <cell r="W18">
            <v>1</v>
          </cell>
          <cell r="X18">
            <v>0</v>
          </cell>
          <cell r="AB18" t="str">
            <v>No</v>
          </cell>
        </row>
        <row r="19">
          <cell r="T19">
            <v>100</v>
          </cell>
          <cell r="W19">
            <v>0</v>
          </cell>
          <cell r="X19">
            <v>1</v>
          </cell>
          <cell r="AB19" t="str">
            <v>SI</v>
          </cell>
        </row>
        <row r="20">
          <cell r="T20">
            <v>100</v>
          </cell>
          <cell r="W20">
            <v>1</v>
          </cell>
          <cell r="X20">
            <v>0</v>
          </cell>
          <cell r="AB20" t="str">
            <v>No</v>
          </cell>
        </row>
        <row r="21">
          <cell r="T21">
            <v>100</v>
          </cell>
          <cell r="W21">
            <v>0</v>
          </cell>
          <cell r="X21">
            <v>1</v>
          </cell>
          <cell r="AB21" t="str">
            <v>SI</v>
          </cell>
        </row>
      </sheetData>
      <sheetData sheetId="7" refreshError="1"/>
      <sheetData sheetId="8" refreshError="1"/>
      <sheetData sheetId="9" refreshError="1"/>
      <sheetData sheetId="10">
        <row r="7">
          <cell r="V7">
            <v>1</v>
          </cell>
          <cell r="W7">
            <v>2</v>
          </cell>
          <cell r="X7">
            <v>3</v>
          </cell>
          <cell r="Y7">
            <v>4</v>
          </cell>
          <cell r="Z7">
            <v>5</v>
          </cell>
        </row>
        <row r="8">
          <cell r="G8" t="str">
            <v>Más de 1 vez al año.</v>
          </cell>
          <cell r="H8">
            <v>5</v>
          </cell>
          <cell r="I8" t="str">
            <v>Casi Seguro</v>
          </cell>
          <cell r="J8" t="str">
            <v>Se espera que el evento ocurra en la mayoría de las circunstancias.</v>
          </cell>
          <cell r="K8" t="str">
            <v>Catastrófico</v>
          </cell>
          <cell r="L8">
            <v>5</v>
          </cell>
          <cell r="M8" t="str">
            <v>Catastrófico</v>
          </cell>
          <cell r="U8">
            <v>5</v>
          </cell>
          <cell r="V8" t="str">
            <v>ALTO</v>
          </cell>
          <cell r="W8" t="str">
            <v>ALTO</v>
          </cell>
          <cell r="X8" t="str">
            <v>EXTREMO</v>
          </cell>
          <cell r="Y8" t="str">
            <v>EXTREMO</v>
          </cell>
          <cell r="Z8" t="str">
            <v>EXTREMO</v>
          </cell>
        </row>
        <row r="9">
          <cell r="G9" t="str">
            <v>Al menos 1 vez en el último año.</v>
          </cell>
          <cell r="H9">
            <v>4</v>
          </cell>
          <cell r="I9" t="str">
            <v>Probable</v>
          </cell>
          <cell r="J9" t="str">
            <v>Es viable que el evento ocurra en la mayoría de las circunstancias.</v>
          </cell>
          <cell r="K9" t="str">
            <v>Mayor</v>
          </cell>
          <cell r="L9">
            <v>4</v>
          </cell>
          <cell r="M9" t="str">
            <v>Mayor</v>
          </cell>
          <cell r="U9">
            <v>4</v>
          </cell>
          <cell r="V9" t="str">
            <v>MODERADO</v>
          </cell>
          <cell r="W9" t="str">
            <v>ALTO</v>
          </cell>
          <cell r="X9" t="str">
            <v>ALTO</v>
          </cell>
          <cell r="Y9" t="str">
            <v>EXTREMO</v>
          </cell>
          <cell r="Z9" t="str">
            <v>EXTREMO</v>
          </cell>
        </row>
        <row r="10">
          <cell r="G10" t="str">
            <v>Al menos 1 vez en los últimos 2 años.</v>
          </cell>
          <cell r="H10">
            <v>3</v>
          </cell>
          <cell r="I10" t="str">
            <v>Posible</v>
          </cell>
          <cell r="J10" t="str">
            <v>El evento podrá ocurrir en algún momento.</v>
          </cell>
          <cell r="K10" t="str">
            <v>Moderado</v>
          </cell>
          <cell r="L10">
            <v>3</v>
          </cell>
          <cell r="M10" t="str">
            <v>Moderado</v>
          </cell>
          <cell r="U10">
            <v>3</v>
          </cell>
          <cell r="V10" t="str">
            <v>BAJO</v>
          </cell>
          <cell r="W10" t="str">
            <v>MODERADO</v>
          </cell>
          <cell r="X10" t="str">
            <v>ALTO</v>
          </cell>
          <cell r="Y10" t="str">
            <v>EXTREMO</v>
          </cell>
          <cell r="Z10" t="str">
            <v>EXTREMO</v>
          </cell>
        </row>
        <row r="11">
          <cell r="G11" t="str">
            <v>Al menos 1 vez en los últimos 5 años.</v>
          </cell>
          <cell r="H11">
            <v>2</v>
          </cell>
          <cell r="I11" t="str">
            <v>Improbable</v>
          </cell>
          <cell r="J11" t="str">
            <v>El evento puede ocurrir en algún momento.</v>
          </cell>
          <cell r="K11" t="str">
            <v>Menor</v>
          </cell>
          <cell r="L11">
            <v>2</v>
          </cell>
          <cell r="M11" t="str">
            <v>Menor</v>
          </cell>
          <cell r="U11">
            <v>2</v>
          </cell>
          <cell r="V11" t="str">
            <v>BAJO</v>
          </cell>
          <cell r="W11" t="str">
            <v>BAJO</v>
          </cell>
          <cell r="X11" t="str">
            <v>MODERADO</v>
          </cell>
          <cell r="Y11" t="str">
            <v>ALTO</v>
          </cell>
          <cell r="Z11" t="str">
            <v>EXTREMO</v>
          </cell>
        </row>
        <row r="12">
          <cell r="G12" t="str">
            <v>No se ha presentado en los últimos 5 años.</v>
          </cell>
          <cell r="H12">
            <v>1</v>
          </cell>
          <cell r="I12" t="str">
            <v>Rara vez</v>
          </cell>
          <cell r="J12" t="str">
            <v>El evento puede ocurrir solo en circunstancias excepcionales (poco comunes o anormales)</v>
          </cell>
          <cell r="K12" t="str">
            <v>Insignificante</v>
          </cell>
          <cell r="L12">
            <v>1</v>
          </cell>
          <cell r="M12" t="str">
            <v>Insignificante</v>
          </cell>
          <cell r="U12">
            <v>1</v>
          </cell>
          <cell r="V12" t="str">
            <v>BAJO</v>
          </cell>
          <cell r="W12" t="str">
            <v>BAJO</v>
          </cell>
          <cell r="X12" t="str">
            <v>MODERADO</v>
          </cell>
          <cell r="Y12" t="str">
            <v>ALTO</v>
          </cell>
          <cell r="Z12" t="str">
            <v>EXTREMO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Contexto"/>
      <sheetName val="Identificación del Riesgo"/>
      <sheetName val="Analisis Riesgo"/>
      <sheetName val="Analisis Riesgo Corrupcion"/>
      <sheetName val="Matriz de Riesgo"/>
      <sheetName val="Controles"/>
      <sheetName val="Mapa de Calor"/>
      <sheetName val="RESUMEN"/>
      <sheetName val="Cuadro de Cambios"/>
      <sheetName val="Datos"/>
    </sheetNames>
    <sheetDataSet>
      <sheetData sheetId="0" refreshError="1"/>
      <sheetData sheetId="1" refreshError="1"/>
      <sheetData sheetId="2" refreshError="1"/>
      <sheetData sheetId="3">
        <row r="7">
          <cell r="K7" t="str">
            <v>Solicitar informacion de demanda. (Acuerdo de nivel de servicio para la entrega del información)</v>
          </cell>
          <cell r="L7" t="str">
            <v>Realiza solicitud a la subdirección de demanda acerca de la información de las proyecciones de demanda de energía eléctrica, documento en excel con los datos, el cual es solicitado por el subdirector de energía eléctrica a la subdirección de demanda en el primer trimestre del año. Esta informacion es utilizada para la elaboración del Plan de Expansión de Generación -Transmisión.</v>
          </cell>
        </row>
        <row r="8">
          <cell r="K8" t="str">
            <v>Solicitar información a los operadores de red.</v>
          </cell>
          <cell r="L8" t="str">
            <v>Se tiene determinado en regulación la entrega de información por parte de los operadores de red al 15 de Junio de cada vigencia. En los casos en que no es reportada se solicita al operador la entrega de la inforamcipon sobre el credimiento de la demanda de energía electrica.</v>
          </cell>
        </row>
        <row r="9">
          <cell r="K9" t="str">
            <v>Revisar regulación relacionada con la operación del sistema.</v>
          </cell>
          <cell r="L9" t="str">
            <v xml:space="preserve">Revisar los requisitos y criterios operativos definidos en la regulación, los cuales influyen en el proceso de elaboración del Plan de Expansión de Transmisión. </v>
          </cell>
        </row>
        <row r="10">
          <cell r="K10" t="str">
            <v>Contar con herramientas informáticas para elaboración del Plan.</v>
          </cell>
          <cell r="L10" t="str">
            <v>Disponer de las herramientas como Digsilent y Power Factory para efectuar modelamiento que permite realizar los calculos para la elaboración del Plan de Expansión de Transmisión.</v>
          </cell>
        </row>
        <row r="11">
          <cell r="K11" t="str">
            <v>Solicitar informacion de demanda. (Acuerdo de nivel de servicio para la entrega del información)</v>
          </cell>
          <cell r="L11" t="str">
            <v>Realiza solicitud a la subdirección de demanda acerca de la información de las proyecciones de demanda de energía eléctrica, documento en excel con los datos, el cual es solicitado por el subdirector de energía eléctrica a la subdirección de demanda en el primer trimestre del año. Esta informacion es utilizada para la elaboración del Plan de Expansión de Generación -Transmisión.</v>
          </cell>
        </row>
        <row r="12">
          <cell r="K12" t="str">
            <v>Extraer información de generación de energía eléctrica de Xm.</v>
          </cell>
          <cell r="L12" t="str">
            <v>Extraer información de base de datos de Xm y adecuarla a las necesidades de las actividades de planeamiento.</v>
          </cell>
        </row>
        <row r="13">
          <cell r="K13" t="str">
            <v xml:space="preserve">Definir roles y tiempos para la extracción de la información de generación. (Acuerdo de Nivel de Servicio). </v>
          </cell>
          <cell r="L13" t="str">
            <v>Debido a los lineamientos de seguridad de la información y el formato de la información *ftp*, se han establecido roles para la descarga y transferencia de la información mediante la cual garantizar el acceso a esta información. Al inicio de la elaboración de productos del grupo de generación y de acuerdo a la demanda de estos, la coordinación solicitará al Jefe de la Oficina de Gestión de Ia Información lo requerido de las bases de datos, la cual deberá ser entregada máximo a los dos dias siguientes la solicitud.</v>
          </cell>
        </row>
        <row r="14">
          <cell r="K14" t="str">
            <v>Revisar la información de la calidad y homogeneidad de los datos</v>
          </cell>
          <cell r="L14" t="str">
            <v>Se realiza revisión y verificación de las bases de datos para vericar se aplique criterios unificados respecto a las unidades de las variables.</v>
          </cell>
        </row>
        <row r="15">
          <cell r="K15" t="str">
            <v>Contar con herramientas informáticas para elaboración del Plan.</v>
          </cell>
          <cell r="L15" t="str">
            <v>Disponer de las herramientas como SDDP, OPTGEN, PLEXOS para efectuar modelamiento que permite realizar los calculos para la elaboración del Plan de Expansión de Generación.</v>
          </cell>
        </row>
        <row r="16">
          <cell r="K16" t="str">
            <v>Solicitar la información de cobertura e infraestructura georeferenciada a los operadores de red</v>
          </cell>
          <cell r="L16" t="str">
            <v>Solicitad de información a los operadores de red  (redes, viviendas sin servicio, subestaciones) con el propósito de contar con información completa para la elaboración del plan.</v>
          </cell>
        </row>
        <row r="17">
          <cell r="K17" t="str">
            <v>Realizar solicitudes de  y mesas técnicas para consolidar información de la cobertura.</v>
          </cell>
          <cell r="L17" t="str">
            <v>Mesas técnicas con entidades (MME, IPSE, SSPD y DANE) para obtener información requerida para el planeamiento de la cobertura de energía eléctrica.</v>
          </cell>
        </row>
        <row r="18">
          <cell r="K18" t="str">
            <v>Solicitar a la Oficina de Gestión de Fondos Información para el planeamiento de la cobertura. (Acuerdo de Niveles de Servicio).</v>
          </cell>
          <cell r="L18" t="str">
            <v>Solicitar la Información de los PERS y la información resultante de los proyectos evaluados en la Oficina de Gestión de Proyectos de Fondos. Esta información es ingresada por la OGPF en la herramienta SITIOS y en SIPERS de manera permanente la cual se tiene acceso en la Subdirección de Energía.</v>
          </cell>
        </row>
        <row r="19">
          <cell r="K19" t="str">
            <v>Contar con herramientas informáticas para elaboración del Plan de Cobertura.</v>
          </cell>
          <cell r="L19" t="str">
            <v>Disponer de las herramientas como Arcgis, Matlab y Hommer para efectuar modelamiento que permite realizar los calculos para la elaboración del Plan Indicativo de Expansión de la Cobertura</v>
          </cell>
        </row>
        <row r="20">
          <cell r="K20" t="str">
            <v>Solicitar cuando se requiera la contratación de personal de apoyo.</v>
          </cell>
          <cell r="L20" t="str">
            <v>Solicitar cuando se requiera la contratación de personal de apoyo para gestionar actividades especificas en la elaboración de planes o para liberar cargas de trabajo de funcionarios de la Subdirección que se deban dedicar a la formulación de planes esto en consideración a la falta de capacidades.</v>
          </cell>
        </row>
        <row r="21">
          <cell r="K21" t="str">
            <v>Controles de revisión y verificación en la emisión de conceptos.</v>
          </cell>
          <cell r="L21" t="str">
            <v>Aplicar niverles de revisión y verificación por parte del Coordinador del grupo de transmisión y el el Subdirector de Energía Eléctrica, al trabajo ejecutado por los profesionales del grupo de trabajo de transmisión.</v>
          </cell>
        </row>
        <row r="22">
          <cell r="K22" t="str">
            <v>Solicitar al operador de red revisar la informaciòn entregada en la solicitud.</v>
          </cell>
          <cell r="L22" t="str">
            <v>Realizar solicitudes para que el operador de red  revise y aclarare la información entregada en la solicitud de permiso de conexión.</v>
          </cell>
        </row>
        <row r="23">
          <cell r="K23" t="str">
            <v>Solicitar información de cobertura e infraestructura georeferenciada a los operadores de red</v>
          </cell>
          <cell r="L23" t="str">
            <v>Solicitar de información a los operadores de red  (redes, viviendas sin servicio, subestaciones) con el propósito de contar con información completa para la elaboración del plan.</v>
          </cell>
        </row>
        <row r="24">
          <cell r="K24" t="str">
            <v>Realizar solicitudes y mesas técnicas para consolidar información de la cobertura.</v>
          </cell>
          <cell r="L24" t="str">
            <v>Mesas técnicas con entidades (MME, IPSE, SSPD y DANE) para obtener información requerida para el planeamiento de la cobertura de energía eléctrica.</v>
          </cell>
        </row>
        <row r="25">
          <cell r="K25" t="str">
            <v>Solicitar a la Oficina de Gestión de Fondos Información para el planeamiento de la cobertura. (Acuerdo de Niveles de Servicio).</v>
          </cell>
          <cell r="L25" t="str">
            <v>Solicitar la Información de los PERS y la información resultante de los proyectos evaluados en la Oficina de Gestión de Proyectos de Fondos. Esta información es ingresada por la OGPF en la herramienta SITIOS y en SIPERS de manera permanente la cual se tiene acceso en la Subdirección de Energía.</v>
          </cell>
        </row>
        <row r="26">
          <cell r="K26" t="str">
            <v>Contar con herramientas informáticas para elaboración del Plan de Cobertura.</v>
          </cell>
          <cell r="L26" t="str">
            <v>Disponer de las herramientas como Arcgis, Matlab y Hommer para efectuar modelamiento que permite realizar los calculos para la elaboración del Plan Indicativo de Expansión de la Cobertura</v>
          </cell>
        </row>
        <row r="27">
          <cell r="K27" t="str">
            <v>Aplicar el control de Gestión con responsables en la Elaboración, Revisión y Aprobación de documentos.</v>
          </cell>
          <cell r="L27" t="str">
            <v>En las actividades de la Subdirección de Energía esta determinado que los Profesionales elaboran documentos y conceptos técnicos, los cuales son verificados por los coordinadores de los grupos de trabajo y finalmente avalados por el Subdirector de Energía. Este control busca garantizar que la información verificada y revisada por varios actores para evitar el favorecimiento propio o a particulares.</v>
          </cell>
        </row>
        <row r="28">
          <cell r="K28" t="str">
            <v>Efectuar comparación de información</v>
          </cell>
          <cell r="L28" t="str">
            <v>En este control se realiza la comparación del estudio de conexión contra el modelamiento, lo cual permite identificar si hay modificación o alteración de información. Es aplicado por los profesionales y revisado por el coordinador del grupo de transmisión de energía eléctrica esto es registrado en los documentos de evaluación de la solicitudde permiso de conexión.</v>
          </cell>
        </row>
        <row r="29">
          <cell r="K29" t="str">
            <v>Solicitar soporte técnico para la administración de datos e información a la OGI Oficina de Gestión de la información</v>
          </cell>
          <cell r="L29" t="str">
            <v>Este control se aplica cada vez que se requiere a través de correo electrónico o los medios dispuestos por la Oficina de Gestión de la Información, en los que se les solicita apoyo para el manejo y administración de datos e información, tiene como propósito se apliquen las políticas de información de la entidad apoyandose en el conocimiento de esta otra dependencia para resolver inquietudes. Estas solicitudes son realizada por los Coordinadores de la Subdirección de Energía o por el Subdirector de Energía</v>
          </cell>
        </row>
        <row r="30">
          <cell r="K30" t="str">
            <v>Aplicar controles de acceso a la información del proceso.</v>
          </cell>
          <cell r="L30" t="str">
            <v>Existe controles especificos para la manipulación y consulta de información en el grupo de  generación de energái electrica,  se tiene un control para el acceso de las mediciones de viento para temas de energía eólica en la cual la descarga es administrada por un sola persona con acceso. Evitando de esta forma se altere o manipule de manera inadecuada la información.</v>
          </cell>
        </row>
        <row r="31">
          <cell r="K31" t="str">
            <v>Almacenar información en repositorio institucional</v>
          </cell>
          <cell r="L31" t="str">
            <v>Este control es aplicado como regla en la cual se almacena información del proceso en el repositorio institucional para velar por la protección preservación y  conservación de la información del proceso. En los casos de alteración o manipulación de información esta podrá ser recuperada a través de los mecanismos de protección.</v>
          </cell>
        </row>
        <row r="32">
          <cell r="K32" t="str">
            <v>Aplicar acuerdos de confidencialidad e integridad de la información.</v>
          </cell>
          <cell r="L32" t="str">
            <v>De acuerdo con las Políticas Institucionales de Información la Subdirección de Energía  velará por que sean suscritos de los acuerdos de confidencialidad en los casos en los que sea requerido, es control tiene como propósito velar por el adecuado uso de la información administrada por la UPME</v>
          </cell>
        </row>
        <row r="33">
          <cell r="K33" t="str">
            <v>Evaluar en orden de recepción las solicitudes de permiso de conexión.</v>
          </cell>
          <cell r="L33" t="str">
            <v xml:space="preserve">Este control implica que las solicitudes de permiso de conexiòn son evaluadas en orden de ingreso a la entiedad, teniendose como herramienta para asegurar esto un control de radiados de Orfeo. Con esto se evita </v>
          </cell>
        </row>
        <row r="34">
          <cell r="K34" t="str">
            <v>Utilizar los canales de atención formales.</v>
          </cell>
          <cell r="L34" t="str">
            <v>Este control se ha definido con el propósito de los evaluadores de conceptos de conexión y otros profesionales de la subdirección, indiquen a los usuarios los mecanismos de atención formales mediante los cuales se deben realizar la comunicación con la entidad. Esto se ejecuta con el propósito de que no se atiendan inquietudes, solicitudes y evitar las presiones indebidas de los operadores a los evaluadores.</v>
          </cell>
        </row>
        <row r="35">
          <cell r="K35" t="str">
            <v>Aplicar mecanismo de atención a los solicitantes de permisos  de conexión.</v>
          </cell>
          <cell r="L35" t="str">
            <v xml:space="preserve">Este control busca que el evaluador de conceptos de conexión no tenga interación directa con los solicitantes, en este caso la atención es efectuada siempre que el promotor realice solicitud formal, siendo esta atendida únicamente por el Director General o el Subdirector(a) de Energía siempre que sea autorizada. </v>
          </cell>
        </row>
        <row r="37">
          <cell r="K37" t="str">
            <v>Revisión de la información entregada en el PECOR</v>
          </cell>
          <cell r="L37" t="str">
            <v>Este control implica que al inicio del proceso se verifique la completitud y adecuación de la información entregada en el PECOR por el Operador de Red, este mecanismo tiene como propósito sea verificada la información para evitar emitir un concepto erróneo acerca de un PECOR</v>
          </cell>
        </row>
        <row r="38">
          <cell r="K38" t="str">
            <v>Emitir nota en oficio de evaluación PECOR al Operador de Red.</v>
          </cell>
          <cell r="L38" t="str">
            <v>En la emisión de oficio de evaluación se ha incluido un párrafo en el cuerpo de carta para la evaluación del PECOR en los casos en que es rechazada la solicitud, esta permite aclarar al operador de red solicitante las condiciones del proceso ejecutado y las aclaraciones pertinentes, este control busca evitar posibles quejas y reclamos innecesarios y orientar al operador a realizar el proceso de manera adecuada.</v>
          </cell>
        </row>
        <row r="39">
          <cell r="K39" t="str">
            <v>Comparar informaciòn entregada en los PECOR</v>
          </cell>
          <cell r="L39" t="str">
            <v>Efectuar comparaciòn de la informaciòn entregada en el PECOR, con informaciòn de la base de datos para contrastar informaciòn de viviendas, subestaciones, redes e informaciòn referenciada permite identificar errores en la documentaciòn presentada por el PECOR la cual debe ser aclarada por el operador de RED, de esta forma se realiza una adecuada comparaciòn tècnica de las alternativas mediante las cuales se ejecuta la evaluaciòn.</v>
          </cell>
        </row>
      </sheetData>
      <sheetData sheetId="4" refreshError="1"/>
      <sheetData sheetId="5" refreshError="1"/>
      <sheetData sheetId="6">
        <row r="9">
          <cell r="T9">
            <v>100</v>
          </cell>
          <cell r="W9">
            <v>1</v>
          </cell>
          <cell r="X9">
            <v>0</v>
          </cell>
          <cell r="AB9" t="str">
            <v>No</v>
          </cell>
        </row>
        <row r="10">
          <cell r="T10">
            <v>100</v>
          </cell>
          <cell r="W10">
            <v>1</v>
          </cell>
          <cell r="X10">
            <v>0</v>
          </cell>
          <cell r="AB10" t="str">
            <v>No</v>
          </cell>
        </row>
        <row r="11">
          <cell r="T11">
            <v>100</v>
          </cell>
          <cell r="W11">
            <v>1</v>
          </cell>
          <cell r="X11">
            <v>0</v>
          </cell>
          <cell r="AB11" t="str">
            <v>No</v>
          </cell>
        </row>
        <row r="12">
          <cell r="T12">
            <v>100</v>
          </cell>
          <cell r="W12">
            <v>1</v>
          </cell>
          <cell r="X12">
            <v>0</v>
          </cell>
          <cell r="AB12" t="str">
            <v>No</v>
          </cell>
        </row>
        <row r="13">
          <cell r="T13">
            <v>100</v>
          </cell>
          <cell r="W13">
            <v>1</v>
          </cell>
          <cell r="X13">
            <v>0</v>
          </cell>
          <cell r="AB13" t="str">
            <v>No</v>
          </cell>
        </row>
        <row r="14">
          <cell r="T14">
            <v>100</v>
          </cell>
          <cell r="W14">
            <v>1</v>
          </cell>
          <cell r="X14">
            <v>0</v>
          </cell>
          <cell r="AB14" t="str">
            <v>No</v>
          </cell>
        </row>
        <row r="15">
          <cell r="T15">
            <v>100</v>
          </cell>
          <cell r="W15">
            <v>1</v>
          </cell>
          <cell r="X15">
            <v>0</v>
          </cell>
          <cell r="AB15" t="str">
            <v>No</v>
          </cell>
        </row>
        <row r="16">
          <cell r="T16">
            <v>100</v>
          </cell>
          <cell r="W16">
            <v>1</v>
          </cell>
          <cell r="X16">
            <v>0</v>
          </cell>
          <cell r="AB16" t="str">
            <v>No</v>
          </cell>
        </row>
        <row r="17">
          <cell r="T17">
            <v>100</v>
          </cell>
          <cell r="W17">
            <v>1</v>
          </cell>
          <cell r="X17">
            <v>0</v>
          </cell>
          <cell r="AB17" t="str">
            <v>No</v>
          </cell>
        </row>
        <row r="18">
          <cell r="T18">
            <v>100</v>
          </cell>
          <cell r="W18">
            <v>1</v>
          </cell>
          <cell r="X18">
            <v>0</v>
          </cell>
          <cell r="AB18" t="str">
            <v>No</v>
          </cell>
        </row>
        <row r="19">
          <cell r="T19">
            <v>100</v>
          </cell>
          <cell r="W19">
            <v>1</v>
          </cell>
          <cell r="X19">
            <v>0</v>
          </cell>
          <cell r="AB19" t="str">
            <v>No</v>
          </cell>
        </row>
        <row r="20">
          <cell r="T20">
            <v>100</v>
          </cell>
          <cell r="W20">
            <v>1</v>
          </cell>
          <cell r="X20">
            <v>0</v>
          </cell>
          <cell r="AB20" t="str">
            <v>No</v>
          </cell>
        </row>
        <row r="21">
          <cell r="T21">
            <v>100</v>
          </cell>
          <cell r="W21">
            <v>1</v>
          </cell>
          <cell r="X21">
            <v>0</v>
          </cell>
          <cell r="AB21" t="str">
            <v>No</v>
          </cell>
        </row>
        <row r="22">
          <cell r="T22">
            <v>100</v>
          </cell>
          <cell r="W22">
            <v>0</v>
          </cell>
          <cell r="X22">
            <v>1</v>
          </cell>
          <cell r="AB22" t="str">
            <v>SI</v>
          </cell>
        </row>
        <row r="23">
          <cell r="T23">
            <v>100</v>
          </cell>
          <cell r="W23">
            <v>1</v>
          </cell>
          <cell r="X23">
            <v>0</v>
          </cell>
          <cell r="AB23" t="str">
            <v>No</v>
          </cell>
        </row>
        <row r="24">
          <cell r="T24">
            <v>100</v>
          </cell>
          <cell r="W24">
            <v>1</v>
          </cell>
          <cell r="X24">
            <v>0</v>
          </cell>
          <cell r="AB24" t="str">
            <v>No</v>
          </cell>
        </row>
        <row r="25">
          <cell r="T25">
            <v>100</v>
          </cell>
          <cell r="W25">
            <v>1</v>
          </cell>
          <cell r="X25">
            <v>0</v>
          </cell>
          <cell r="AB25" t="str">
            <v>No</v>
          </cell>
        </row>
        <row r="26">
          <cell r="T26">
            <v>100</v>
          </cell>
          <cell r="W26">
            <v>1</v>
          </cell>
          <cell r="X26">
            <v>0</v>
          </cell>
          <cell r="AB26" t="str">
            <v>No</v>
          </cell>
        </row>
        <row r="27">
          <cell r="T27">
            <v>100</v>
          </cell>
          <cell r="W27">
            <v>1</v>
          </cell>
          <cell r="X27">
            <v>0</v>
          </cell>
          <cell r="AB27" t="str">
            <v>No</v>
          </cell>
        </row>
        <row r="28">
          <cell r="T28">
            <v>100</v>
          </cell>
          <cell r="W28">
            <v>1</v>
          </cell>
          <cell r="X28">
            <v>0</v>
          </cell>
          <cell r="AB28" t="str">
            <v>No</v>
          </cell>
        </row>
        <row r="29">
          <cell r="T29">
            <v>100</v>
          </cell>
          <cell r="W29">
            <v>1</v>
          </cell>
          <cell r="X29">
            <v>0</v>
          </cell>
          <cell r="AB29" t="str">
            <v>No</v>
          </cell>
        </row>
        <row r="30">
          <cell r="T30">
            <v>100</v>
          </cell>
          <cell r="W30">
            <v>1</v>
          </cell>
          <cell r="X30">
            <v>0</v>
          </cell>
          <cell r="AB30" t="str">
            <v>No</v>
          </cell>
        </row>
        <row r="31">
          <cell r="T31">
            <v>100</v>
          </cell>
          <cell r="W31">
            <v>1</v>
          </cell>
          <cell r="X31">
            <v>0</v>
          </cell>
          <cell r="AB31" t="str">
            <v>No</v>
          </cell>
        </row>
        <row r="32">
          <cell r="T32">
            <v>100</v>
          </cell>
          <cell r="W32">
            <v>1</v>
          </cell>
          <cell r="X32">
            <v>0</v>
          </cell>
          <cell r="AB32" t="str">
            <v>No</v>
          </cell>
        </row>
        <row r="33">
          <cell r="T33">
            <v>100</v>
          </cell>
          <cell r="W33">
            <v>0</v>
          </cell>
          <cell r="X33">
            <v>1</v>
          </cell>
          <cell r="AB33" t="str">
            <v>SI</v>
          </cell>
        </row>
        <row r="34">
          <cell r="T34">
            <v>100</v>
          </cell>
          <cell r="W34">
            <v>1</v>
          </cell>
          <cell r="X34">
            <v>0</v>
          </cell>
          <cell r="AB34" t="str">
            <v>No</v>
          </cell>
        </row>
        <row r="35">
          <cell r="T35">
            <v>100</v>
          </cell>
          <cell r="W35">
            <v>1</v>
          </cell>
          <cell r="X35">
            <v>0</v>
          </cell>
          <cell r="AB35" t="str">
            <v>No</v>
          </cell>
        </row>
        <row r="36">
          <cell r="T36">
            <v>100</v>
          </cell>
          <cell r="W36">
            <v>0</v>
          </cell>
          <cell r="X36">
            <v>1</v>
          </cell>
          <cell r="AB36" t="str">
            <v>SI</v>
          </cell>
        </row>
        <row r="37">
          <cell r="T37">
            <v>100</v>
          </cell>
          <cell r="W37">
            <v>1</v>
          </cell>
          <cell r="X37">
            <v>0</v>
          </cell>
          <cell r="AB37" t="str">
            <v>No</v>
          </cell>
        </row>
        <row r="38">
          <cell r="T38">
            <v>100</v>
          </cell>
          <cell r="W38">
            <v>1</v>
          </cell>
          <cell r="X38">
            <v>0</v>
          </cell>
          <cell r="AB38" t="str">
            <v>No</v>
          </cell>
        </row>
        <row r="39">
          <cell r="T39">
            <v>100</v>
          </cell>
          <cell r="W39">
            <v>0</v>
          </cell>
          <cell r="X39">
            <v>1</v>
          </cell>
          <cell r="AB39" t="str">
            <v>SI</v>
          </cell>
        </row>
        <row r="40">
          <cell r="T40">
            <v>100</v>
          </cell>
          <cell r="W40">
            <v>1</v>
          </cell>
          <cell r="X40">
            <v>0</v>
          </cell>
          <cell r="AB40" t="str">
            <v>No</v>
          </cell>
        </row>
      </sheetData>
      <sheetData sheetId="7" refreshError="1"/>
      <sheetData sheetId="8" refreshError="1"/>
      <sheetData sheetId="9" refreshError="1"/>
      <sheetData sheetId="10">
        <row r="7">
          <cell r="V7">
            <v>1</v>
          </cell>
          <cell r="W7">
            <v>2</v>
          </cell>
          <cell r="X7">
            <v>3</v>
          </cell>
          <cell r="Y7">
            <v>4</v>
          </cell>
          <cell r="Z7">
            <v>5</v>
          </cell>
        </row>
        <row r="8">
          <cell r="G8" t="str">
            <v>Más de 1 vez al año.</v>
          </cell>
          <cell r="H8">
            <v>5</v>
          </cell>
          <cell r="I8" t="str">
            <v>Casi Seguro</v>
          </cell>
          <cell r="J8" t="str">
            <v>Se espera que el evento ocurra en la mayoría de las circunstancias.</v>
          </cell>
          <cell r="K8" t="str">
            <v>Catastrófico</v>
          </cell>
          <cell r="L8">
            <v>5</v>
          </cell>
          <cell r="M8" t="str">
            <v>Catastrófico</v>
          </cell>
          <cell r="U8">
            <v>5</v>
          </cell>
          <cell r="V8" t="str">
            <v>ALTO</v>
          </cell>
          <cell r="W8" t="str">
            <v>ALTO</v>
          </cell>
          <cell r="X8" t="str">
            <v>EXTREMO</v>
          </cell>
          <cell r="Y8" t="str">
            <v>EXTREMO</v>
          </cell>
          <cell r="Z8" t="str">
            <v>EXTREMO</v>
          </cell>
        </row>
        <row r="9">
          <cell r="G9" t="str">
            <v>Al menos 1 vez en el último año.</v>
          </cell>
          <cell r="H9">
            <v>4</v>
          </cell>
          <cell r="I9" t="str">
            <v>Probable</v>
          </cell>
          <cell r="J9" t="str">
            <v>Es viable que el evento ocurra en la mayoría de las circunstancias.</v>
          </cell>
          <cell r="K9" t="str">
            <v>Mayor</v>
          </cell>
          <cell r="L9">
            <v>4</v>
          </cell>
          <cell r="M9" t="str">
            <v>Mayor</v>
          </cell>
          <cell r="U9">
            <v>4</v>
          </cell>
          <cell r="V9" t="str">
            <v>MODERADO</v>
          </cell>
          <cell r="W9" t="str">
            <v>ALTO</v>
          </cell>
          <cell r="X9" t="str">
            <v>ALTO</v>
          </cell>
          <cell r="Y9" t="str">
            <v>EXTREMO</v>
          </cell>
          <cell r="Z9" t="str">
            <v>EXTREMO</v>
          </cell>
        </row>
        <row r="10">
          <cell r="G10" t="str">
            <v>Al menos 1 vez en los últimos 2 años.</v>
          </cell>
          <cell r="H10">
            <v>3</v>
          </cell>
          <cell r="I10" t="str">
            <v>Posible</v>
          </cell>
          <cell r="J10" t="str">
            <v>El evento podrá ocurrir en algún momento.</v>
          </cell>
          <cell r="K10" t="str">
            <v>Moderado</v>
          </cell>
          <cell r="L10">
            <v>3</v>
          </cell>
          <cell r="M10" t="str">
            <v>Moderado</v>
          </cell>
          <cell r="U10">
            <v>3</v>
          </cell>
          <cell r="V10" t="str">
            <v>BAJO</v>
          </cell>
          <cell r="W10" t="str">
            <v>MODERADO</v>
          </cell>
          <cell r="X10" t="str">
            <v>ALTO</v>
          </cell>
          <cell r="Y10" t="str">
            <v>EXTREMO</v>
          </cell>
          <cell r="Z10" t="str">
            <v>EXTREMO</v>
          </cell>
        </row>
        <row r="11">
          <cell r="G11" t="str">
            <v>Al menos 1 vez en los últimos 5 años.</v>
          </cell>
          <cell r="H11">
            <v>2</v>
          </cell>
          <cell r="I11" t="str">
            <v>Improbable</v>
          </cell>
          <cell r="J11" t="str">
            <v>El evento puede ocurrir en algún momento.</v>
          </cell>
          <cell r="K11" t="str">
            <v>Menor</v>
          </cell>
          <cell r="L11">
            <v>2</v>
          </cell>
          <cell r="M11" t="str">
            <v>Menor</v>
          </cell>
          <cell r="U11">
            <v>2</v>
          </cell>
          <cell r="V11" t="str">
            <v>BAJO</v>
          </cell>
          <cell r="W11" t="str">
            <v>BAJO</v>
          </cell>
          <cell r="X11" t="str">
            <v>MODERADO</v>
          </cell>
          <cell r="Y11" t="str">
            <v>ALTO</v>
          </cell>
          <cell r="Z11" t="str">
            <v>EXTREMO</v>
          </cell>
        </row>
        <row r="12">
          <cell r="G12" t="str">
            <v>No se ha presentado en los últimos 5 años.</v>
          </cell>
          <cell r="H12">
            <v>1</v>
          </cell>
          <cell r="I12" t="str">
            <v>Rara vez</v>
          </cell>
          <cell r="J12" t="str">
            <v>El evento puede ocurrir solo en circunstancias excepcionales (poco comunes o anormales)</v>
          </cell>
          <cell r="K12" t="str">
            <v>Insignificante</v>
          </cell>
          <cell r="L12">
            <v>1</v>
          </cell>
          <cell r="M12" t="str">
            <v>Insignificante</v>
          </cell>
          <cell r="U12">
            <v>1</v>
          </cell>
          <cell r="V12" t="str">
            <v>BAJO</v>
          </cell>
          <cell r="W12" t="str">
            <v>BAJO</v>
          </cell>
          <cell r="X12" t="str">
            <v>MODERADO</v>
          </cell>
          <cell r="Y12" t="str">
            <v>ALTO</v>
          </cell>
          <cell r="Z12" t="str">
            <v>EXTREMO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Contexto"/>
      <sheetName val="Identificación del Riesgo"/>
      <sheetName val="Analisis Riesgo"/>
      <sheetName val="Analisis Riesgo Corrupcion"/>
      <sheetName val="Matriz de Riesgo"/>
      <sheetName val="Controles"/>
      <sheetName val="Mapa de Calor"/>
      <sheetName val="RESUMEN"/>
      <sheetName val="Cuadro de Cambios"/>
      <sheetName val="Datos"/>
    </sheetNames>
    <sheetDataSet>
      <sheetData sheetId="0" refreshError="1"/>
      <sheetData sheetId="1" refreshError="1"/>
      <sheetData sheetId="2" refreshError="1"/>
      <sheetData sheetId="3">
        <row r="7">
          <cell r="K7" t="str">
            <v>Realizar solicitudes a las fuentes de información para obtener la información de manera oportuna.</v>
          </cell>
          <cell r="L7" t="str">
            <v>Este control tiene como propósito reducir los retrasos en la entrega de información por parte de proveedores internos y externos. Es aplicado de acuerdo con las necesidades de información, es elaborado por los Profesionales de la dependencia y verificado por el Subdirector(a) de Hidrocarburos. El registro de esta actividad son los oficios, memorandos o correos electrónicos de solicitud de información.</v>
          </cell>
        </row>
        <row r="8">
          <cell r="K8" t="str">
            <v>Revisar marco normativo para la elaboración de planes.</v>
          </cell>
          <cell r="L8" t="str">
            <v>Este control tiene el propósito de verificar que los planes elaborados en la Subdirección de Hidrocarburos consideren la los cambios normativos y regulatorios que puedan llegar a retrasar la elaboración de planes y documentos técnicos. La revisión del marco normativo es realizada por los profesionales del área, verificada por el Subdirector(a) de Hidrocarburos y tiene el acompañamiento del área jurídica de la entidad. El registro que demuestra la aplicación de este control es o un Capitulo Normativo y los registros de elaboración, revisión y aprobación.</v>
          </cell>
        </row>
        <row r="9">
          <cell r="K9" t="str">
            <v>Adquirir información de proveedores especializados del sector de hidrocarburos.</v>
          </cell>
          <cell r="L9" t="str">
            <v>Este control tiene el propósito de reducir la brecha de información y de suplir las necesidades de este insumo para la planeación del Sector de Hidrocarburos. La Subdirección planifica la adquisición de fuentes especializadas de información a través de suscripciones o compra de bases de datos, en este proceso participan los Profesionales de la Subdirección y se realiza seguimiento a las adquisiciones por parte del responsable de esta dependencia.</v>
          </cell>
        </row>
        <row r="10">
          <cell r="K10" t="str">
            <v>Identificar necesidades de estudios del sector hidrocarburos.</v>
          </cell>
          <cell r="L10" t="str">
            <v>Este control es aplicado cuando se cuanta con una necesidad de información especializada para la elaboración de documentos técnicos o planes del sector hidrocarburos, puede ser desarrollado por los profesionales de la Subdirección de Hidrocarburos o en algunos casos Contratado, en todos los casos se verifica su alineación y articulación con los objetivos de la Subdirección de Hidrocarburos, de la UPME y del sector. Los estudios son revisados y verificados por los Profesionales como pares y del Subdirector(a) de Hidrocarburos.</v>
          </cell>
        </row>
        <row r="11">
          <cell r="K11" t="str">
            <v>Seguimiento a las actividades del Plan de Acción Subdirección de Hidrocarburos.</v>
          </cell>
          <cell r="L11" t="str">
            <v>Este control busca realizar seguimiento al cumplimiento del plan de actividades definidas para cada vigencia, se realiza de manera trimestral y permite tomar medidas frente a los retrasos o desviaciones identificadas.</v>
          </cell>
        </row>
        <row r="12">
          <cell r="K12" t="str">
            <v>Consultar fuentes de información oficial. (Suscripciones, SICOM, DANE,  entre otros).</v>
          </cell>
          <cell r="L12" t="str">
            <v>Este control busca garantizar que la información consultada y utilizada sea información oficial y confiable, así se mitiga la posiblidad de determinar lineamientos no conformes y señales erroneas en los en los planes del sector hidrodrocarburos. Para esto la entidad realiza procesos de adquisición de suscripcións y solicitudes de información a entes y organizaciones para la obtención de información o la consulta en los sitios oficiales de la información.</v>
          </cell>
        </row>
        <row r="13">
          <cell r="K13" t="str">
            <v>Realizar solicitudes a las fuentes de información para obtener la información de manera oportuna.</v>
          </cell>
          <cell r="L13" t="str">
            <v>Este control tiene como propósito reducir los retrasos en la entrega de información por parte de proveedores internos y externos. Es aplicado de acuerdo con las necesidades de información, es elaborado por los Profesionales de la dependencia y verificado por el Subdirector(a) de Hidrocarburos. El registro de esta actividad son los oficios, memorandos o correos electrónicos de solicitud de información.</v>
          </cell>
        </row>
        <row r="14">
          <cell r="K14" t="str">
            <v>Validar trabajos y actividades ejecutadas a través de reunión interna o Comité Primario de la  Subdirección de Hidrocarburos,</v>
          </cell>
          <cell r="L14" t="str">
            <v>Realizar reuniones internas de trabajo con el propósito de realizar ejercicios de seguimiento y revisión en los avances del trabajado planificado por el equipo de la Subdirección de Hidrocarburos, este control tiene como propósito eliminar érrores en cálculos o análisis.</v>
          </cell>
        </row>
        <row r="15">
          <cell r="K15" t="str">
            <v>Determinar criterios e instrumentos para la elaboración de planes.</v>
          </cell>
          <cell r="L15" t="str">
            <v>Para la elaboración de los Planes, la Subdirección de Hidrocarburos determina y define criterios e instrumentos metodológicos, este control tiene como propósito que el trabajo sea realizado con rigurosidad con el fin de eliminar errores en cálculos o análisis.</v>
          </cell>
        </row>
        <row r="16">
          <cell r="K16" t="str">
            <v>Publicar para recepcionar comentarios y observaciones de las partes interesadas para validar la conformidad de los producto.</v>
          </cell>
          <cell r="L16" t="str">
            <v>Este es un mecanismo de control que busca la participación de la ciudadanía y de las partes interesadas en la construcción de la planeación del sector hidrocarburos, tiene como propósito considerar aspectos y puntos de vista que permitan revisar los lineamientos y señales de la planificación elaborada por la UPME. Se realiza con la revisión de los documentos y la autorización del Director General de publicar los documentos preliminares de la planeación en la página web de la entidad.</v>
          </cell>
        </row>
        <row r="17">
          <cell r="K17" t="str">
            <v>Aplicar niveles de autorización en la verificación de las proyecciones de precios.</v>
          </cell>
          <cell r="L17" t="str">
            <v>Se aplica un control de gestión donde un Profesional elaborá y autocontrola el trabajo realizado en la proyección de precios, luego es revisado y aprobado el documento por el Subdirector(a) de Hidrocarburos..</v>
          </cell>
        </row>
        <row r="18">
          <cell r="K18" t="str">
            <v>Acceder y consultar a fuentes de información especializadas en precios de hidrocaruros.</v>
          </cell>
          <cell r="L18" t="str">
            <v>Este control es aplicado cuando la entidad tiene acceso a suscripciones y a fuentes de información especializada que permiten la consulta de información especializada necesaria y requerida para la proyección de precios de hidrocarburos. Para esto</v>
          </cell>
        </row>
        <row r="19">
          <cell r="K19" t="str">
            <v>Realizar solicitudes de información para la proyección de precios a agentes del sector.</v>
          </cell>
          <cell r="L19" t="str">
            <v>Este control se aplica con el propósito de obtener información de calidad y de fuentes confiables que permitan elaborar con calidad la proyección de precios. Las solicitudes son elaboradas por el profesional asignada y revisadas por el Subdirector(a) de Hidrocarburos.</v>
          </cell>
        </row>
        <row r="20">
          <cell r="K20" t="str">
            <v>Revisar la aplicación de metodologías para la proyección y cálculo de precios.</v>
          </cell>
          <cell r="L20" t="str">
            <v>Este control se aplica con el propósito de verificar la conveniencia y adecuación de la metodologías y cálculos aplicados para obtener la proyección de precios, busca garantizar la calidad en el procesamiento de información y la obtención de resultados.  Para esto el profesional de la subdirección de hidrocarburos sigue los métodos establecidos y verifica la variación y desviación de datos con el propósito de emitir proyecciones de precios. Registro de ello se presenta las fuentes de datos consultadas, las comparaciones realizadas, los mecanismos de cálculo y proyecciones efectuados.</v>
          </cell>
        </row>
        <row r="21">
          <cell r="K21" t="str">
            <v>Revisar marco normativo en el marco de la proyección de precios de hidrocarburos..</v>
          </cell>
          <cell r="L21" t="str">
            <v>Este control tiene el propósito de verificar que las proyecciones de precios elaboradas en la Subdirección de Hidrocarburos consideren los cambios normativos y regulatorios que puedan llegar a retrasar la elaboración de planes y documentos técnicos. La revisión del marco normativo es realizada por los profesionales del área, verificada por el Subdirector(a) de Hidrocarburos y tiene el acompañamiento del área jurídica de la entidad. El registro que demuestra la aplicación de este control son los apartes normativos presentados en los documentos de proyecciones de precios.</v>
          </cell>
        </row>
        <row r="22">
          <cell r="K22" t="str">
            <v xml:space="preserve">Realizar solicitud de información a agentes del sector de hidrocarburos y a proveedores de información para la emisión de conceptos técnicos. </v>
          </cell>
          <cell r="L22" t="str">
            <v>Este control se desarrolla con el propósito de obtener información por parte de agentes del sector de hidrocarburos y de proveedores de información para cumplir con la elaboración de los conceptos técnicos emitidos por la Subdirección de Hidrocarburos en cumplimiento de requisitos legales. Las solicitudes de información son elaboradas por los profesionales de la Subdirección en periodos determinados y son revisadas por el Subdirector(a) de Hidrocarburos.</v>
          </cell>
        </row>
        <row r="23">
          <cell r="K23" t="str">
            <v>Aplicar niveles de autorización en la verificación de las proyecciones de precios.</v>
          </cell>
          <cell r="L23" t="str">
            <v>Este control se aplica con el propósito garantizar el adecuado procesamiento de la información, para esto el profesional que elabora un concepto técnico solicita revisión a un par quien lo revisa, para luego ser remitido al Subdirector(a) de Hidrocarburos para su Vo.Bo. de esta manera se detectan desviaciones preliminarmente a la emisión del concepto.</v>
          </cell>
        </row>
        <row r="24">
          <cell r="K24" t="str">
            <v>Publicar a consulta los ajustes normativos internos (Resoluciones UPME).</v>
          </cell>
          <cell r="L24" t="str">
            <v>De acuerdo con la normativa son publicados a consulta de las partes interesadas las propuestas de actos administrativos generales y abstractos o de reglamentos, elaborados en el marco de la competencia de la UPME, con el propósito de garantizar el derecho a la competencia y proteger un interés general. Este control permite a la UPME garantizar el acceso a la información y realizar ajustes de acuerdo a los comentarios y observaciones que sean emitidas por los usuarios de los conceptos técnicos.</v>
          </cell>
        </row>
        <row r="25">
          <cell r="K25" t="str">
            <v>Realizar seguimiento a los datos de operación del trámites de asignación de cupos.</v>
          </cell>
          <cell r="L25" t="str">
            <v>Este control permite el seguimiento al número de solicitudes de los trámites registrado en la plataforma SUIT, permite llevar un control sobre el número de las solicitudes atendidas y sobre los derechos de petición que se hayan interpuesto en un periodo por los usuarios, permitiendo tomar acciones para prevenir las causas del riesgo. Estos datos son reportados por Profesional de la Subdirección y revisados por la Subdirección de Hidrocarburos y reportados al Grupo de Trabajo de Planeación.</v>
          </cell>
        </row>
        <row r="26">
          <cell r="K26" t="str">
            <v>Aplicar los acuerdos de confidencialidad de la información.</v>
          </cell>
          <cell r="L26" t="str">
            <v>De acuerdo con las Políticas Institucionales de Información la Subdirección de Hidrocarburos velará por que sean suscritos de los acuerdos de confidencialidad en los casos en los que sea requerido, es control tiene como propósito velar por el adecuado uso de la información administrada por la UPME.</v>
          </cell>
        </row>
        <row r="27">
          <cell r="K27" t="str">
            <v>Presentar la manifestación de conflictos de interés.</v>
          </cell>
          <cell r="L27" t="str">
            <v xml:space="preserve">Este control permite se identifique y manifiesten por parte de los servidores públicos los posibles conflictos de interés, para ello en la herramienta SIGEP cada funcionario registra el manifiesto de sus posibles conflictos de interés, este control tiene como propósito que se conozcan las situaciones en las que los intereses personales pueden influir en el cumplimiento de sus funciones y responsabilidades, en beneficio particular, afectando el interés público, por eso la manifestación de conflictos de interés permite puedan ser advertidos y gestionados en forma preventiva, evitando que favorezcan interés ajenos al bien común. </v>
          </cell>
        </row>
        <row r="28">
          <cell r="K28" t="str">
            <v>Aplicar niveles de autorización en la verificación de las proyecciones de precios.</v>
          </cell>
          <cell r="L28" t="str">
            <v>Este control se desarrolla cuando se han elaborado documentos técnicos de proyecciones de precios o cuando se dan respuestas a solicitudes de información, consiste en la verificación de la información a ser emitida por parte de un Profesional par o el Subdirector(a) de Hidrocarburos.</v>
          </cell>
        </row>
      </sheetData>
      <sheetData sheetId="4" refreshError="1"/>
      <sheetData sheetId="5" refreshError="1"/>
      <sheetData sheetId="6">
        <row r="9">
          <cell r="T9">
            <v>100</v>
          </cell>
          <cell r="W9">
            <v>1</v>
          </cell>
          <cell r="X9">
            <v>0</v>
          </cell>
          <cell r="AB9" t="str">
            <v>No</v>
          </cell>
        </row>
        <row r="10">
          <cell r="T10">
            <v>100</v>
          </cell>
          <cell r="W10">
            <v>1</v>
          </cell>
          <cell r="X10">
            <v>0</v>
          </cell>
          <cell r="AB10" t="str">
            <v>No</v>
          </cell>
        </row>
        <row r="11">
          <cell r="T11">
            <v>100</v>
          </cell>
          <cell r="W11">
            <v>1</v>
          </cell>
          <cell r="X11">
            <v>0</v>
          </cell>
          <cell r="AB11" t="str">
            <v>No</v>
          </cell>
        </row>
        <row r="12">
          <cell r="T12">
            <v>100</v>
          </cell>
          <cell r="W12">
            <v>1</v>
          </cell>
          <cell r="X12">
            <v>0</v>
          </cell>
        </row>
        <row r="13">
          <cell r="T13">
            <v>100</v>
          </cell>
          <cell r="W13">
            <v>0</v>
          </cell>
          <cell r="X13">
            <v>1</v>
          </cell>
          <cell r="AB13" t="str">
            <v>SI</v>
          </cell>
        </row>
        <row r="14">
          <cell r="T14">
            <v>100</v>
          </cell>
          <cell r="W14">
            <v>1</v>
          </cell>
          <cell r="X14">
            <v>0</v>
          </cell>
          <cell r="AB14" t="str">
            <v>No</v>
          </cell>
        </row>
        <row r="15">
          <cell r="T15">
            <v>100</v>
          </cell>
          <cell r="W15">
            <v>1</v>
          </cell>
          <cell r="X15">
            <v>0</v>
          </cell>
          <cell r="AB15" t="str">
            <v>No</v>
          </cell>
        </row>
        <row r="16">
          <cell r="T16">
            <v>95</v>
          </cell>
          <cell r="W16">
            <v>0.95</v>
          </cell>
          <cell r="X16">
            <v>0</v>
          </cell>
          <cell r="AB16" t="str">
            <v>SI</v>
          </cell>
        </row>
        <row r="17">
          <cell r="T17">
            <v>100</v>
          </cell>
          <cell r="W17">
            <v>1</v>
          </cell>
          <cell r="X17">
            <v>0</v>
          </cell>
          <cell r="AB17" t="str">
            <v>No</v>
          </cell>
        </row>
        <row r="19">
          <cell r="T19">
            <v>100</v>
          </cell>
          <cell r="W19">
            <v>1</v>
          </cell>
          <cell r="X19">
            <v>0</v>
          </cell>
          <cell r="AB19" t="str">
            <v>No</v>
          </cell>
        </row>
        <row r="20">
          <cell r="T20">
            <v>100</v>
          </cell>
          <cell r="W20">
            <v>1</v>
          </cell>
          <cell r="X20">
            <v>0</v>
          </cell>
          <cell r="AB20" t="str">
            <v>No</v>
          </cell>
        </row>
        <row r="21">
          <cell r="T21">
            <v>100</v>
          </cell>
          <cell r="W21">
            <v>1</v>
          </cell>
          <cell r="X21">
            <v>0</v>
          </cell>
          <cell r="AB21" t="str">
            <v>No</v>
          </cell>
        </row>
        <row r="22">
          <cell r="T22">
            <v>100</v>
          </cell>
          <cell r="W22">
            <v>1</v>
          </cell>
          <cell r="X22">
            <v>0</v>
          </cell>
          <cell r="AB22" t="str">
            <v>No</v>
          </cell>
        </row>
        <row r="24">
          <cell r="T24">
            <v>100</v>
          </cell>
          <cell r="W24">
            <v>1</v>
          </cell>
          <cell r="X24">
            <v>0</v>
          </cell>
          <cell r="AB24" t="str">
            <v>No</v>
          </cell>
        </row>
        <row r="25">
          <cell r="T25">
            <v>100</v>
          </cell>
          <cell r="W25">
            <v>1</v>
          </cell>
          <cell r="X25">
            <v>0</v>
          </cell>
          <cell r="AB25" t="str">
            <v>No</v>
          </cell>
        </row>
        <row r="26">
          <cell r="T26">
            <v>95</v>
          </cell>
          <cell r="W26">
            <v>0.95</v>
          </cell>
          <cell r="X26">
            <v>0</v>
          </cell>
          <cell r="AB26" t="str">
            <v>SI</v>
          </cell>
        </row>
        <row r="28">
          <cell r="T28">
            <v>95</v>
          </cell>
          <cell r="W28">
            <v>0.95</v>
          </cell>
          <cell r="X28">
            <v>0</v>
          </cell>
          <cell r="AB28" t="str">
            <v>SI</v>
          </cell>
        </row>
        <row r="29">
          <cell r="T29">
            <v>90</v>
          </cell>
          <cell r="W29">
            <v>0.9</v>
          </cell>
          <cell r="X29">
            <v>0</v>
          </cell>
          <cell r="AB29" t="str">
            <v>SI</v>
          </cell>
        </row>
        <row r="30">
          <cell r="T30">
            <v>100</v>
          </cell>
          <cell r="W30">
            <v>0</v>
          </cell>
          <cell r="X30">
            <v>1</v>
          </cell>
          <cell r="AB30" t="str">
            <v>SI</v>
          </cell>
        </row>
      </sheetData>
      <sheetData sheetId="7" refreshError="1"/>
      <sheetData sheetId="8" refreshError="1"/>
      <sheetData sheetId="9" refreshError="1"/>
      <sheetData sheetId="10">
        <row r="7">
          <cell r="V7">
            <v>1</v>
          </cell>
          <cell r="W7">
            <v>2</v>
          </cell>
          <cell r="X7">
            <v>3</v>
          </cell>
          <cell r="Y7">
            <v>4</v>
          </cell>
          <cell r="Z7">
            <v>5</v>
          </cell>
        </row>
        <row r="8">
          <cell r="G8" t="str">
            <v>Más de 1 vez al año.</v>
          </cell>
          <cell r="H8">
            <v>5</v>
          </cell>
          <cell r="I8" t="str">
            <v>Casi Seguro</v>
          </cell>
          <cell r="J8" t="str">
            <v>Se espera que el evento ocurra en la mayoría de las circunstancias.</v>
          </cell>
          <cell r="K8" t="str">
            <v>Catastrófico</v>
          </cell>
          <cell r="L8">
            <v>5</v>
          </cell>
          <cell r="M8" t="str">
            <v>Catastrófico</v>
          </cell>
          <cell r="U8">
            <v>5</v>
          </cell>
          <cell r="V8" t="str">
            <v>ALTO</v>
          </cell>
          <cell r="W8" t="str">
            <v>ALTO</v>
          </cell>
          <cell r="X8" t="str">
            <v>EXTREMO</v>
          </cell>
          <cell r="Y8" t="str">
            <v>EXTREMO</v>
          </cell>
          <cell r="Z8" t="str">
            <v>EXTREMO</v>
          </cell>
        </row>
        <row r="9">
          <cell r="G9" t="str">
            <v>Al menos 1 vez en el último año.</v>
          </cell>
          <cell r="H9">
            <v>4</v>
          </cell>
          <cell r="I9" t="str">
            <v>Probable</v>
          </cell>
          <cell r="J9" t="str">
            <v>Es viable que el evento ocurra en la mayoría de las circunstancias.</v>
          </cell>
          <cell r="K9" t="str">
            <v>Mayor</v>
          </cell>
          <cell r="L9">
            <v>4</v>
          </cell>
          <cell r="M9" t="str">
            <v>Mayor</v>
          </cell>
          <cell r="U9">
            <v>4</v>
          </cell>
          <cell r="V9" t="str">
            <v>MODERADO</v>
          </cell>
          <cell r="W9" t="str">
            <v>ALTO</v>
          </cell>
          <cell r="X9" t="str">
            <v>ALTO</v>
          </cell>
          <cell r="Y9" t="str">
            <v>EXTREMO</v>
          </cell>
          <cell r="Z9" t="str">
            <v>EXTREMO</v>
          </cell>
        </row>
        <row r="10">
          <cell r="G10" t="str">
            <v>Al menos 1 vez en los últimos 2 años.</v>
          </cell>
          <cell r="H10">
            <v>3</v>
          </cell>
          <cell r="I10" t="str">
            <v>Posible</v>
          </cell>
          <cell r="J10" t="str">
            <v>El evento podrá ocurrir en algún momento.</v>
          </cell>
          <cell r="K10" t="str">
            <v>Moderado</v>
          </cell>
          <cell r="L10">
            <v>3</v>
          </cell>
          <cell r="M10" t="str">
            <v>Moderado</v>
          </cell>
          <cell r="U10">
            <v>3</v>
          </cell>
          <cell r="V10" t="str">
            <v>BAJO</v>
          </cell>
          <cell r="W10" t="str">
            <v>MODERADO</v>
          </cell>
          <cell r="X10" t="str">
            <v>ALTO</v>
          </cell>
          <cell r="Y10" t="str">
            <v>EXTREMO</v>
          </cell>
          <cell r="Z10" t="str">
            <v>EXTREMO</v>
          </cell>
        </row>
        <row r="11">
          <cell r="G11" t="str">
            <v>Al menos 1 vez en los últimos 5 años.</v>
          </cell>
          <cell r="H11">
            <v>2</v>
          </cell>
          <cell r="I11" t="str">
            <v>Improbable</v>
          </cell>
          <cell r="J11" t="str">
            <v>El evento puede ocurrir en algún momento.</v>
          </cell>
          <cell r="K11" t="str">
            <v>Menor</v>
          </cell>
          <cell r="L11">
            <v>2</v>
          </cell>
          <cell r="M11" t="str">
            <v>Menor</v>
          </cell>
          <cell r="U11">
            <v>2</v>
          </cell>
          <cell r="V11" t="str">
            <v>BAJO</v>
          </cell>
          <cell r="W11" t="str">
            <v>BAJO</v>
          </cell>
          <cell r="X11" t="str">
            <v>MODERADO</v>
          </cell>
          <cell r="Y11" t="str">
            <v>ALTO</v>
          </cell>
          <cell r="Z11" t="str">
            <v>EXTREMO</v>
          </cell>
        </row>
        <row r="12">
          <cell r="G12" t="str">
            <v>No se ha presentado en los últimos 5 años.</v>
          </cell>
          <cell r="H12">
            <v>1</v>
          </cell>
          <cell r="I12" t="str">
            <v>Rara vez</v>
          </cell>
          <cell r="J12" t="str">
            <v>El evento puede ocurrir solo en circunstancias excepcionales (poco comunes o anormales)</v>
          </cell>
          <cell r="K12" t="str">
            <v>Insignificante</v>
          </cell>
          <cell r="L12">
            <v>1</v>
          </cell>
          <cell r="M12" t="str">
            <v>Insignificante</v>
          </cell>
          <cell r="U12">
            <v>1</v>
          </cell>
          <cell r="V12" t="str">
            <v>BAJO</v>
          </cell>
          <cell r="W12" t="str">
            <v>BAJO</v>
          </cell>
          <cell r="X12" t="str">
            <v>MODERADO</v>
          </cell>
          <cell r="Y12" t="str">
            <v>ALTO</v>
          </cell>
          <cell r="Z12" t="str">
            <v>EXTREMO</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Contexto"/>
      <sheetName val="Identificación del Riesgo"/>
      <sheetName val="Analisis Riesgo"/>
      <sheetName val="Analisis Riesgo Corrupcion"/>
      <sheetName val="Matriz de Riesgo"/>
      <sheetName val="Controles"/>
      <sheetName val="Mapa de Calor"/>
      <sheetName val="RESUMEN"/>
      <sheetName val="Cuadro de Cambios"/>
      <sheetName val="Datos"/>
    </sheetNames>
    <sheetDataSet>
      <sheetData sheetId="0" refreshError="1"/>
      <sheetData sheetId="1" refreshError="1"/>
      <sheetData sheetId="2" refreshError="1"/>
      <sheetData sheetId="3">
        <row r="7">
          <cell r="K7" t="str">
            <v>Ampliación del horizonte del Plan Nacional de Desarrollo Minero superior al periodo de gobierno.</v>
          </cell>
          <cell r="L7" t="str">
            <v>Este control mitiga los cambios de política, directrices o lineamientos, permitiendo el trabajo de la planeación en el largo plazo para el levantamiento y consecución de información necesaria, el responsable de aplicación es el Subdirector y de verificarlo el Director General, esta acción se encuentra documentado en procedimiento.</v>
          </cell>
        </row>
        <row r="8">
          <cell r="K8" t="str">
            <v>Definición de periodos de elaboración y revisión de los planes.</v>
          </cell>
          <cell r="L8" t="str">
            <v xml:space="preserve">Este control mitiga los cambios de política, directrices o lineamientos, permitiendo el trabajo de la planeación en el largo plazo para el levantamiento y consecución de información necesaria, el responsable de aplicación es el Subdirector y se encuentra documentado en un procedimiento denominado planes y estudios subsectoriales. </v>
          </cell>
        </row>
        <row r="9">
          <cell r="K9" t="str">
            <v>Estructuración y seguimiento al plan de acción de la Subdirección de Minería.</v>
          </cell>
          <cell r="L9" t="str">
            <v>Este control permite formula acciones en el corto plazo para periodos anuales y está articulada a la planeación estratégica. Este instrumento tiene un seguimiento trimestral en el cual los profesionales reportan sus avances de gestión y estos son controlados y verificados por el Subdirector del proceso, permite corregir desviaciones y detectar retrasos en la gestión.</v>
          </cell>
        </row>
        <row r="10">
          <cell r="K10" t="str">
            <v>Realización de comités primarios de la Subdirección de Minería.</v>
          </cell>
          <cell r="L10" t="str">
            <v xml:space="preserve">
Este control permite el seguimiento a las metas de la Subdirección de Minería, verificar el trabajo y determinar los lineamientos y orientaciones para ejecutar las metas planificadas para la subdirección en el corto y mediano plazo. El responsable es el Subdirector y es documentado a través de actas, ayudas de memoria y registros de las reuniones.
</v>
          </cell>
        </row>
        <row r="11">
          <cell r="K11" t="str">
            <v>Realizar seguimiento a la adquisición de información a través de actualización de suscripción y mejora de gobierno de datos de información.</v>
          </cell>
          <cell r="L11" t="str">
            <v>Este control busca sea gestionada la adquisición y obtención de información, su propósito es garantizar este insumo que permitan realizar una adecuada formulación de Planes y Estudios del Sector Minas. El responsable de este seguimiento es el Subdirector de Minería y de gestionar la adquisición y actualización los profesionales de la Subdirección de Minería.</v>
          </cell>
        </row>
        <row r="12">
          <cell r="K12" t="str">
            <v>Realizar acciones para promover la construcción participativa de los planes mineros.</v>
          </cell>
          <cell r="L12" t="str">
            <v>Este control es ejecutado a través de talleres y mesas de trabajo cuyo propósito es identificar las necesidades de los agentes del sector. El responsable de ejecutarlo es el profesional designado y se realiza seguimiento por parte del Subdirector frente a la ejecución de la actividad. Se ejecuta cada vez que es requerido y de acuerdo con la programación de actividades de la Subdirección de Minería.</v>
          </cell>
        </row>
        <row r="13">
          <cell r="K13" t="str">
            <v>Efectuar discusión y presentación de resultados parciales del proceso de planeación del sector.</v>
          </cell>
          <cell r="L13" t="str">
            <v>Se ejecuta el control a través de las acciones de socialización y divulgación con los diferentes agentes del sector, con el propósito de que se retroalimente el proceso por los partes interesados y otros. Se ejecuta cada vez que es que se cuenta con resultados parciales del proceso del sector a los cuales se les considere pertinente recibir retroalimentación.</v>
          </cell>
        </row>
        <row r="14">
          <cell r="K14" t="str">
            <v>Verificar la articulación de la planeación minera con los lineamientos del Plan Nacional de Desarrollo, del Plan Estratégico Sectorial e Institucional.</v>
          </cell>
          <cell r="L14" t="str">
            <v>Se ha definido como control, que en el proceso de   elaboración y formulación de planes en la Subdirección de Minería, se verifica que los planes y estudios que se realicen estén alineados y articulados con el PND, PES y PEI vigente. Este control se aplica en el proceso iniciar de revisión documental y una vez finalizado el plan es realizado por los Profesionales de la Subdirección de Minería y verificado por el Subdirector de Minería.</v>
          </cell>
        </row>
        <row r="15">
          <cell r="K15" t="str">
            <v>Verificar que el alcance de los estudios a realizarse en cada vigencia frente a las necesidades planificadas por el proceso de Planeación Estratégica e Integral de Minerales..</v>
          </cell>
          <cell r="L15" t="str">
            <v>Se ha definido como  control la acción de verificar la correspondencia y justificación en la elaboración de los estudios vs las necesidades determinadas en los proyectos de inversión,  los objetivos de la Subdirección de Minería y los Institucionales. Para ello cada profesional asignado como responsable elabora documentos técnicos articulando y justificando la necesidad de los estudios con respecto a la planificación estos documentos son verificados por el Subdirector de Minería. El control se ejecuta durante la planfiicación e inicio de los procesos contractuales.</v>
          </cell>
        </row>
        <row r="16">
          <cell r="K16" t="str">
            <v>Realizar seguimiento a la adquisición de información a través de actualización de suscripción y mejora de gobierno de datos de información.</v>
          </cell>
          <cell r="L16" t="str">
            <v>Este control busca sea gestionada la adquisición y obtención de información, su propósito es garantizar este insumo que permitan realizar una adecuada formulación de Planes y Estudios del Sector Minas. El responsable de este seguimiento es el Subdirector de Minería y de gestionar la adquisición y actualización los profesionales de la Subdirección de Minería.</v>
          </cell>
        </row>
        <row r="17">
          <cell r="K17" t="str">
            <v>Realizar la aplicación de los instructivos determinados por la Subdirección de Minería para indicar los pasos a desarrollarse para fijar los precios base para la liquidación de regalías de los distintos minerales.</v>
          </cell>
          <cell r="L17" t="str">
            <v>Este control tiene como propósito que se apliquen los pasos definidos para fijar los precios base para la liquidación de regalías de los distintos minerales. Cada profesional responsable aplica los pasos determinados en los instructivos y lleva registro de sus evidencias. En este instrumento están definidas actividades de elaboración, revisión y aprobación del concepto técnico de fijación de precios base para la liquidación de regalía y la frecuencia de ejecución de las actividades.</v>
          </cell>
        </row>
        <row r="18">
          <cell r="K18" t="str">
            <v>Efectuar solicitud oportuna de la información a los agentes del sector minero.</v>
          </cell>
          <cell r="L18" t="str">
            <v xml:space="preserve">Este control se ha definido para solicitar de manera oportuna y planificada a los agentes del sector minero la información que es insumo para efectuar la fijación de precios base para la liquidación de regalías. El profesional asignado es el responsable de elaborar la solicitud, la cual es verificada por el Subdirector de Minería y aprobada por el Director General. </v>
          </cell>
        </row>
        <row r="19">
          <cell r="K19" t="str">
            <v>Efectuar solicitud oportuna de información a la Agencia Nacional de Minería.</v>
          </cell>
          <cell r="L19" t="str">
            <v xml:space="preserve">Este control se ha definido para solicitar de manera oportuna y planificada a la Agencia Nacional de Minería la información que es insumo para efectuar la fijación de precios base para la liquidación de regalías. El profesional asignado es el responsable de elaborar la solicitud, la cual es verificada por el Subdirector de Minería y aprobada por el Director General. </v>
          </cell>
        </row>
        <row r="20">
          <cell r="K20" t="str">
            <v>Realizar seguimiento a la programación de actividades para la fijación de precios base para la liquidación de regalías.</v>
          </cell>
          <cell r="L20" t="str">
            <v xml:space="preserve">Se ha definido como instrumento de control un calendario en el que se han programado los hitos de cumplimiento de hitos en el proceso de fijación de precios base de regalías. Este control tiene como propósito alertar la oportunidad de la ejecución de las actividades a los responsables del proceso. Es un control automatizado a través de las herramientas colaborativas y es utilizado de acuerdo a la programación efectuada para la emisión de los conceptos técnicos y resoluciones de los distintos minerales. Esta herramienta permite al Profesional responsable y al Subdirector de Minería efectuar seguimiento al cumplimiento en los tiempos de los hitos clave del proceso. </v>
          </cell>
        </row>
        <row r="21">
          <cell r="K21" t="str">
            <v>Aplicar niveles de autorización y verificación del concepto técnico.</v>
          </cell>
          <cell r="L21" t="str">
            <v>Existe un control mediante el cual se verifica que la información haya sido adecuadamente procesada y el concepto técnico bien elaborado por el profesional asignado. Esta verificación es realizada por el Subdirector Técnico o por un par delegado en la Subdirección de Minería. Se aplica cada vez que se emite un concepto técnico.</v>
          </cell>
        </row>
        <row r="22">
          <cell r="K22" t="str">
            <v>Aplicar niveles de autorización y verificación del acto administrativo.</v>
          </cell>
          <cell r="L22" t="str">
            <v>Existe un control mediante el cual se verifica la adecuada elaboración del proyecto de acto administrativo, el cual es revisado por un Profesional de la dependencia, el Subdirector de Minería y el Asesor Jurídico previo a la aprobación del Director General de la UPME.</v>
          </cell>
        </row>
        <row r="23">
          <cell r="K23" t="str">
            <v>Verificar el cálculo de fijación de precios base por parte de un par.</v>
          </cell>
          <cell r="L23" t="str">
            <v>Existe un control en el cual se hace verificación de los cálculos efectuado para la fijación de precios base para la liquidación de Regalías, en la que un par verifica la adecuada ejecución de los cálculos.</v>
          </cell>
        </row>
        <row r="24">
          <cell r="K24" t="str">
            <v>Realizar la aplicación de los instructivos determinados por la Subdirección de Minería para indicar los pasos a desarrollarse para fijar los precios base para la liquidación de regalías de los distintos minerales.</v>
          </cell>
          <cell r="L24" t="str">
            <v>Este control tiene como propósito que se apliquen los pasos definidos para fijar los precios base para la liquidación de regalías de los distintos minerales. Cada profesional responsable aplica los pasos determinados en los instructivos y lleva registro de sus evidencias. En este instrumento están definidas actividades de elaboración, revisión y aprobación del concepto técnico de fijación de precios base para la liquidación de regalía y la frecuencia de ejecución de las actividades.</v>
          </cell>
        </row>
        <row r="25">
          <cell r="K25" t="str">
            <v>Efectuar presentación técnica de los resultados de cálculo de fijación de precios base para la liquidación de regalías al Director General</v>
          </cell>
          <cell r="L25" t="str">
            <v xml:space="preserve">Efectuar la presentación técnicade los resultados de cálculo de fijación de precios base para la liquidación de regalías mediante la cual se presenta y sustenta al Director General las acciones efectuadas y se atienden las inquietudes que sean presentadas. El propósito de este control es verificar la información procesada y explicar los detalles de los calculos efectuados. Es preparada por el Profesional designado y ejecutado </v>
          </cell>
        </row>
        <row r="26">
          <cell r="K26" t="str">
            <v>Revisar la gestión de datos e información por pares al interior del Subdirección de Minería.</v>
          </cell>
          <cell r="L26" t="str">
            <v>Existe un control en el cual se hace verificación de los datos e información, en la que un par verifica el adecuada tratamiento, la confiabilidad e integridad e la información.</v>
          </cell>
        </row>
        <row r="27">
          <cell r="K27" t="str">
            <v>Aplicar los niveles de autorización para la emisión de información a terceros.</v>
          </cell>
          <cell r="L27" t="str">
            <v>Para la emisión de cualquier tipo de información esta surte el flujo de elaboración, revisión y aprobación, aplicandose como criterio que la revisión es efectuada por el Subdiretor de Minería y la emisión es autorizada por el Director General.</v>
          </cell>
        </row>
        <row r="28">
          <cell r="K28" t="str">
            <v>Aplicar los instructivos para el procesamiento y administración de la información.</v>
          </cell>
          <cell r="L28" t="str">
            <v>Aplicar y cumplir con los instructivos diseñados para el procesamiento, almacenamiento, admiistración y uso de la información definidos por la entidad.</v>
          </cell>
        </row>
        <row r="29">
          <cell r="K29" t="str">
            <v>Aplicar las políticas institucionales para la administración y gestión de la información.</v>
          </cell>
          <cell r="L29" t="str">
            <v xml:space="preserve">Aplicar y cumplir con las políticas institucionales de seguridad de la información, gestionando los datos e información acorde con los protocolos definidos por la Oficina de Gestión de la Información. </v>
          </cell>
        </row>
      </sheetData>
      <sheetData sheetId="4" refreshError="1"/>
      <sheetData sheetId="5" refreshError="1"/>
      <sheetData sheetId="6">
        <row r="10">
          <cell r="T10">
            <v>100</v>
          </cell>
          <cell r="W10">
            <v>1</v>
          </cell>
          <cell r="X10">
            <v>0</v>
          </cell>
          <cell r="AB10" t="str">
            <v>No</v>
          </cell>
        </row>
        <row r="11">
          <cell r="T11">
            <v>100</v>
          </cell>
          <cell r="W11">
            <v>1</v>
          </cell>
          <cell r="X11">
            <v>0</v>
          </cell>
          <cell r="AB11" t="str">
            <v>No</v>
          </cell>
        </row>
        <row r="12">
          <cell r="T12">
            <v>100</v>
          </cell>
          <cell r="W12">
            <v>1</v>
          </cell>
          <cell r="X12">
            <v>0</v>
          </cell>
          <cell r="AB12" t="str">
            <v>No</v>
          </cell>
        </row>
        <row r="13">
          <cell r="T13">
            <v>100</v>
          </cell>
          <cell r="W13">
            <v>1</v>
          </cell>
          <cell r="X13">
            <v>0</v>
          </cell>
          <cell r="AB13" t="str">
            <v>No</v>
          </cell>
        </row>
        <row r="14">
          <cell r="T14">
            <v>100</v>
          </cell>
          <cell r="W14">
            <v>0</v>
          </cell>
          <cell r="X14">
            <v>1</v>
          </cell>
          <cell r="AB14" t="str">
            <v>SI</v>
          </cell>
        </row>
        <row r="15">
          <cell r="T15">
            <v>100</v>
          </cell>
          <cell r="W15">
            <v>0</v>
          </cell>
          <cell r="X15">
            <v>1</v>
          </cell>
          <cell r="AB15" t="str">
            <v>SI</v>
          </cell>
        </row>
        <row r="16">
          <cell r="T16">
            <v>100</v>
          </cell>
          <cell r="W16">
            <v>1</v>
          </cell>
          <cell r="X16">
            <v>0</v>
          </cell>
          <cell r="AB16" t="str">
            <v>No</v>
          </cell>
        </row>
        <row r="17">
          <cell r="T17">
            <v>100</v>
          </cell>
          <cell r="W17">
            <v>1</v>
          </cell>
          <cell r="X17">
            <v>0</v>
          </cell>
          <cell r="AB17" t="str">
            <v>No</v>
          </cell>
        </row>
        <row r="18">
          <cell r="T18">
            <v>100</v>
          </cell>
          <cell r="W18">
            <v>1</v>
          </cell>
          <cell r="X18">
            <v>0</v>
          </cell>
          <cell r="AB18" t="str">
            <v>No</v>
          </cell>
        </row>
        <row r="19">
          <cell r="T19">
            <v>100</v>
          </cell>
          <cell r="W19">
            <v>0</v>
          </cell>
          <cell r="X19">
            <v>1</v>
          </cell>
          <cell r="AB19" t="str">
            <v>SI</v>
          </cell>
        </row>
        <row r="20">
          <cell r="T20">
            <v>100</v>
          </cell>
          <cell r="W20">
            <v>1</v>
          </cell>
          <cell r="X20">
            <v>0</v>
          </cell>
          <cell r="AB20" t="str">
            <v>No</v>
          </cell>
        </row>
        <row r="21">
          <cell r="T21">
            <v>100</v>
          </cell>
          <cell r="W21">
            <v>1</v>
          </cell>
          <cell r="X21">
            <v>0</v>
          </cell>
          <cell r="AB21" t="str">
            <v>No</v>
          </cell>
        </row>
        <row r="22">
          <cell r="T22">
            <v>100</v>
          </cell>
          <cell r="W22">
            <v>1</v>
          </cell>
          <cell r="X22">
            <v>0</v>
          </cell>
          <cell r="AB22" t="str">
            <v>No</v>
          </cell>
        </row>
        <row r="23">
          <cell r="T23">
            <v>100</v>
          </cell>
          <cell r="W23">
            <v>1</v>
          </cell>
          <cell r="X23">
            <v>0</v>
          </cell>
          <cell r="AB23" t="str">
            <v>No</v>
          </cell>
        </row>
        <row r="24">
          <cell r="T24">
            <v>100</v>
          </cell>
          <cell r="W24">
            <v>1</v>
          </cell>
          <cell r="X24">
            <v>0</v>
          </cell>
          <cell r="AB24" t="str">
            <v>No</v>
          </cell>
        </row>
        <row r="25">
          <cell r="T25">
            <v>100</v>
          </cell>
          <cell r="W25">
            <v>1</v>
          </cell>
          <cell r="X25">
            <v>0</v>
          </cell>
          <cell r="AB25" t="str">
            <v>No</v>
          </cell>
        </row>
        <row r="26">
          <cell r="T26">
            <v>100</v>
          </cell>
          <cell r="W26">
            <v>0</v>
          </cell>
          <cell r="X26">
            <v>1</v>
          </cell>
          <cell r="AB26" t="str">
            <v>SI</v>
          </cell>
        </row>
        <row r="27">
          <cell r="T27">
            <v>100</v>
          </cell>
          <cell r="W27">
            <v>1</v>
          </cell>
          <cell r="X27">
            <v>1</v>
          </cell>
          <cell r="AB27" t="str">
            <v>No</v>
          </cell>
        </row>
        <row r="28">
          <cell r="T28">
            <v>100</v>
          </cell>
          <cell r="W28">
            <v>0</v>
          </cell>
          <cell r="X28">
            <v>1</v>
          </cell>
          <cell r="AB28" t="str">
            <v>SI</v>
          </cell>
        </row>
        <row r="29">
          <cell r="T29">
            <v>100</v>
          </cell>
          <cell r="W29">
            <v>1</v>
          </cell>
          <cell r="X29">
            <v>0</v>
          </cell>
          <cell r="AB29" t="str">
            <v>No</v>
          </cell>
        </row>
        <row r="30">
          <cell r="T30">
            <v>100</v>
          </cell>
          <cell r="W30">
            <v>1</v>
          </cell>
          <cell r="X30">
            <v>0</v>
          </cell>
          <cell r="AB30" t="str">
            <v>No</v>
          </cell>
        </row>
        <row r="31">
          <cell r="T31">
            <v>100</v>
          </cell>
          <cell r="W31">
            <v>1</v>
          </cell>
          <cell r="X31">
            <v>0</v>
          </cell>
          <cell r="AB31" t="str">
            <v>No</v>
          </cell>
        </row>
      </sheetData>
      <sheetData sheetId="7" refreshError="1"/>
      <sheetData sheetId="8" refreshError="1"/>
      <sheetData sheetId="9" refreshError="1"/>
      <sheetData sheetId="10">
        <row r="7">
          <cell r="V7">
            <v>1</v>
          </cell>
          <cell r="W7">
            <v>2</v>
          </cell>
          <cell r="X7">
            <v>3</v>
          </cell>
          <cell r="Y7">
            <v>4</v>
          </cell>
          <cell r="Z7">
            <v>5</v>
          </cell>
        </row>
        <row r="8">
          <cell r="G8" t="str">
            <v>Más de 1 vez al año.</v>
          </cell>
          <cell r="H8">
            <v>5</v>
          </cell>
          <cell r="I8" t="str">
            <v>Casi Seguro</v>
          </cell>
          <cell r="J8" t="str">
            <v>Se espera que el evento ocurra en la mayoría de las circunstancias.</v>
          </cell>
          <cell r="K8" t="str">
            <v>Catastrófico</v>
          </cell>
          <cell r="L8">
            <v>5</v>
          </cell>
          <cell r="M8" t="str">
            <v>Catastrófico</v>
          </cell>
          <cell r="U8">
            <v>5</v>
          </cell>
          <cell r="V8" t="str">
            <v>ALTO</v>
          </cell>
          <cell r="W8" t="str">
            <v>ALTO</v>
          </cell>
          <cell r="X8" t="str">
            <v>EXTREMO</v>
          </cell>
          <cell r="Y8" t="str">
            <v>EXTREMO</v>
          </cell>
          <cell r="Z8" t="str">
            <v>EXTREMO</v>
          </cell>
        </row>
        <row r="9">
          <cell r="G9" t="str">
            <v>Al menos 1 vez en el último año.</v>
          </cell>
          <cell r="H9">
            <v>4</v>
          </cell>
          <cell r="I9" t="str">
            <v>Probable</v>
          </cell>
          <cell r="J9" t="str">
            <v>Es viable que el evento ocurra en la mayoría de las circunstancias.</v>
          </cell>
          <cell r="K9" t="str">
            <v>Mayor</v>
          </cell>
          <cell r="L9">
            <v>4</v>
          </cell>
          <cell r="M9" t="str">
            <v>Mayor</v>
          </cell>
          <cell r="U9">
            <v>4</v>
          </cell>
          <cell r="V9" t="str">
            <v>MODERADO</v>
          </cell>
          <cell r="W9" t="str">
            <v>ALTO</v>
          </cell>
          <cell r="X9" t="str">
            <v>ALTO</v>
          </cell>
          <cell r="Y9" t="str">
            <v>EXTREMO</v>
          </cell>
          <cell r="Z9" t="str">
            <v>EXTREMO</v>
          </cell>
        </row>
        <row r="10">
          <cell r="G10" t="str">
            <v>Al menos 1 vez en los últimos 2 años.</v>
          </cell>
          <cell r="H10">
            <v>3</v>
          </cell>
          <cell r="I10" t="str">
            <v>Posible</v>
          </cell>
          <cell r="J10" t="str">
            <v>El evento podrá ocurrir en algún momento.</v>
          </cell>
          <cell r="K10" t="str">
            <v>Moderado</v>
          </cell>
          <cell r="L10">
            <v>3</v>
          </cell>
          <cell r="M10" t="str">
            <v>Moderado</v>
          </cell>
          <cell r="U10">
            <v>3</v>
          </cell>
          <cell r="V10" t="str">
            <v>BAJO</v>
          </cell>
          <cell r="W10" t="str">
            <v>MODERADO</v>
          </cell>
          <cell r="X10" t="str">
            <v>ALTO</v>
          </cell>
          <cell r="Y10" t="str">
            <v>EXTREMO</v>
          </cell>
          <cell r="Z10" t="str">
            <v>EXTREMO</v>
          </cell>
        </row>
        <row r="11">
          <cell r="G11" t="str">
            <v>Al menos 1 vez en los últimos 5 años.</v>
          </cell>
          <cell r="H11">
            <v>2</v>
          </cell>
          <cell r="I11" t="str">
            <v>Improbable</v>
          </cell>
          <cell r="J11" t="str">
            <v>El evento puede ocurrir en algún momento.</v>
          </cell>
          <cell r="K11" t="str">
            <v>Menor</v>
          </cell>
          <cell r="L11">
            <v>2</v>
          </cell>
          <cell r="M11" t="str">
            <v>Menor</v>
          </cell>
          <cell r="U11">
            <v>2</v>
          </cell>
          <cell r="V11" t="str">
            <v>BAJO</v>
          </cell>
          <cell r="W11" t="str">
            <v>BAJO</v>
          </cell>
          <cell r="X11" t="str">
            <v>MODERADO</v>
          </cell>
          <cell r="Y11" t="str">
            <v>ALTO</v>
          </cell>
          <cell r="Z11" t="str">
            <v>EXTREMO</v>
          </cell>
        </row>
        <row r="12">
          <cell r="G12" t="str">
            <v>No se ha presentado en los últimos 5 años.</v>
          </cell>
          <cell r="H12">
            <v>1</v>
          </cell>
          <cell r="I12" t="str">
            <v>Rara vez</v>
          </cell>
          <cell r="J12" t="str">
            <v>El evento puede ocurrir solo en circunstancias excepcionales (poco comunes o anormales)</v>
          </cell>
          <cell r="K12" t="str">
            <v>Insignificante</v>
          </cell>
          <cell r="L12">
            <v>1</v>
          </cell>
          <cell r="M12" t="str">
            <v>Insignificante</v>
          </cell>
          <cell r="U12">
            <v>1</v>
          </cell>
          <cell r="V12" t="str">
            <v>BAJO</v>
          </cell>
          <cell r="W12" t="str">
            <v>BAJO</v>
          </cell>
          <cell r="X12" t="str">
            <v>MODERADO</v>
          </cell>
          <cell r="Y12" t="str">
            <v>ALTO</v>
          </cell>
          <cell r="Z12" t="str">
            <v>EXTREMO</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Contexto"/>
      <sheetName val="Identificación del Riesgo"/>
      <sheetName val="Analisis Riesgo"/>
      <sheetName val="Matriz de Riesgo"/>
      <sheetName val="Controles"/>
      <sheetName val="MAPA DE RIESGOS"/>
      <sheetName val="Cuadro de Cambios"/>
      <sheetName val="Datos"/>
      <sheetName val="Analisis Riesgo Corrupcion"/>
      <sheetName val="Mapa de Calor"/>
    </sheetNames>
    <sheetDataSet>
      <sheetData sheetId="0" refreshError="1"/>
      <sheetData sheetId="1" refreshError="1"/>
      <sheetData sheetId="2">
        <row r="9">
          <cell r="E9" t="str">
            <v>Incumplimiento de las actividades planificadas y requeridas por el proceso</v>
          </cell>
          <cell r="H9" t="str">
            <v>No se tiene claridad  del alcance y objetivos del proceso, por lo que no se le da la importancia requerida.
Falta de mayor visibilidad de las actividades  de sensibilización en lo referente a cultura de servicio al ciudadano
Falta de Capacitación oportuna y asertiva a los funcionarios, en cuanto a temas relacionados con atención y participación ciudadana 
Personal insuficiente para atender los compromisos de Atención y participación ciudadano
Personal asignado en los eventos de contingencias sin los conocimientos requeridos
Falta compromiso por parte de los funcionarios</v>
          </cell>
          <cell r="I9" t="str">
            <v>Incumplimiento de las metas y objetivos trazados
Perdida de imagen y credibilidad de la gestión de la  entidad
Reprocesos 
Ausencia del conocimiento de la Entidad
Sanciones disciplinarias
Hallazgos por parte de los organismos de control</v>
          </cell>
        </row>
        <row r="10">
          <cell r="E10" t="str">
            <v>Respuestas extemporaneas o no contestación de PQRS</v>
          </cell>
          <cell r="H10" t="str">
            <v xml:space="preserve">Inadecuada trazabilidad de la gestión de los PQRS
Falta compromiso por parte de los funcionarios
Traslado o asignación errada de las PQRS
Concentración de la responsabilidad de respuesta de los PQRS en un servidor público
Masiva radicación de PQRS recurrentes 
</v>
          </cell>
          <cell r="I10" t="str">
            <v>Perdida de imagen y credibilidad de la gestión de la  entidad
Sanciones disciplinarias
Hallazgos por parte de los organismos de control
Insatisfacción de las partes interesedas</v>
          </cell>
        </row>
        <row r="11">
          <cell r="E11" t="str">
            <v>Eliminación de registros de las PQRS radicadas</v>
          </cell>
          <cell r="H11" t="str">
            <v xml:space="preserve">Falta de seguimiento y control  a la contestación de las PQRS
Personal asignado en los eventos de contingencias sin los conocimientos requeridos
Fallas de las herramientas tecnologicas
</v>
          </cell>
          <cell r="I11" t="str">
            <v>Perdida de imagen y credibilidad de la gestión de la  entidad
Sanciones disciplinarias
Hallazgos por parte de los organismos de control
Insatisfacción de las partes interesedas</v>
          </cell>
        </row>
        <row r="12">
          <cell r="E12" t="str">
            <v>Respuestas incompletas o con información errada</v>
          </cell>
          <cell r="H12" t="str">
            <v>Falta de conocimiento de los temas solicitados en las PQRS 
Falta compromiso por parte de los funcionarios
Falta de aplicación del procedimiento en lo que refiere a la revisión y aprobación de las respuestas de PQRS</v>
          </cell>
          <cell r="I12" t="str">
            <v>Tutelas
Insatisfacción de las partes interesadas
Hallazgos por parte de los organismos de control
Sanciones disciplinarias</v>
          </cell>
        </row>
        <row r="13">
          <cell r="E13" t="str">
            <v>No presentación de informes;  presentación extemporanea o con información incompleta</v>
          </cell>
          <cell r="H13" t="str">
            <v xml:space="preserve">Desconocimiento de la normatividad relacionada
Información desactualizada, insumos insuficientes 
Concentración de carga laboral en un servidor publico
</v>
          </cell>
          <cell r="I13" t="str">
            <v>Tutelas
Insatisfacción de las partes interesadas
Hallazgos por parte de los organismos de control
Sanciones disciplinarias</v>
          </cell>
        </row>
      </sheetData>
      <sheetData sheetId="3">
        <row r="7">
          <cell r="F7" t="str">
            <v>Improbable</v>
          </cell>
          <cell r="G7" t="str">
            <v>Moderado</v>
          </cell>
          <cell r="I7" t="str">
            <v>MODERADO</v>
          </cell>
          <cell r="K7" t="str">
            <v xml:space="preserve">Elaboración de informes de seguimiento a las actividades contenidas en el Plan Anticorrupción </v>
          </cell>
          <cell r="L7" t="str">
            <v>Seguimiento  a las actividades contenidas en el Plan anticorrupción, permanente por parte del lider del proceso; por parte del Comité de Gestión y Desempeño periodicamente; y por parte de Control Interno cuatrimestralmente.</v>
          </cell>
          <cell r="U7" t="str">
            <v>Rara vez</v>
          </cell>
          <cell r="V7" t="str">
            <v>Menor</v>
          </cell>
          <cell r="W7" t="str">
            <v>BAJO</v>
          </cell>
          <cell r="X7" t="str">
            <v>Reducir el riesgo</v>
          </cell>
        </row>
        <row r="8">
          <cell r="F8" t="str">
            <v>Casi Seguro</v>
          </cell>
          <cell r="G8" t="str">
            <v>Mayor</v>
          </cell>
          <cell r="I8" t="str">
            <v>EXTREMO</v>
          </cell>
          <cell r="K8" t="str">
            <v>Seguimiento a traves de Matriz. Elaboración de Informe semestral de PQRS. Elaboración Informe de PQRS-Control Interno</v>
          </cell>
          <cell r="L8" t="str">
            <v xml:space="preserve">Se realiza registro y seguimiento a las PQRS a traves de la "matriz de seguimiento de PQRS" (documento sin control (SGC)). 'Se elabora informe semestral  de PQRS por parte del servidor que cumple las funciones de servicio y atención al ciudadano. 'Control interno realiza Informe semestral de PQRS </v>
          </cell>
          <cell r="U8" t="str">
            <v>Casi Seguro</v>
          </cell>
          <cell r="V8" t="str">
            <v>Mayor</v>
          </cell>
          <cell r="W8" t="str">
            <v>EXTREMO</v>
          </cell>
          <cell r="X8" t="str">
            <v>Reducir el riesgo</v>
          </cell>
        </row>
        <row r="9">
          <cell r="F9" t="str">
            <v>Rara vez</v>
          </cell>
          <cell r="G9" t="str">
            <v>Catastrófico</v>
          </cell>
          <cell r="I9" t="str">
            <v>EXTREMO</v>
          </cell>
          <cell r="K9" t="str">
            <v xml:space="preserve">Seguimiento a traves de Matriz </v>
          </cell>
          <cell r="L9" t="str">
            <v>Se realiza registro y seguimiento a las PQRS a traves de la "matriz de seguimiento de PQRS" (documento sin control (SGC))</v>
          </cell>
          <cell r="U9" t="str">
            <v>Rara vez</v>
          </cell>
          <cell r="V9" t="str">
            <v>Catastrófico</v>
          </cell>
          <cell r="W9" t="str">
            <v>EXTREMO</v>
          </cell>
          <cell r="X9" t="str">
            <v>Reducir el riesgo</v>
          </cell>
        </row>
        <row r="10">
          <cell r="F10" t="str">
            <v>Improbable</v>
          </cell>
          <cell r="G10" t="str">
            <v>Moderado</v>
          </cell>
          <cell r="I10" t="str">
            <v>MODERADO</v>
          </cell>
          <cell r="K10" t="str">
            <v>Asignación de responsables en el Procedimiento "Gestión de atención de PQRS"</v>
          </cell>
          <cell r="L10" t="str">
            <v>Verificación de los contenidos de las respuestas por parte de los coordinadores, subdirectores o jefes de area, de acuerdo a lo establecido en el Procedimiento "Gestión de atención de PQRS"</v>
          </cell>
          <cell r="U10" t="str">
            <v>Rara vez</v>
          </cell>
          <cell r="V10" t="str">
            <v>Menor</v>
          </cell>
          <cell r="W10" t="str">
            <v>BAJO</v>
          </cell>
          <cell r="X10" t="str">
            <v>Reducir el riesgo</v>
          </cell>
        </row>
        <row r="11">
          <cell r="F11" t="str">
            <v>Improbable</v>
          </cell>
          <cell r="G11" t="str">
            <v>Moderado</v>
          </cell>
          <cell r="I11" t="str">
            <v>MODERADO</v>
          </cell>
          <cell r="K11" t="str">
            <v>Elaboración de informes de seguimiento a las actividades contenidas en el Plan Anticorrupción . Verificación de la información contenida en los informes de atención al Ciudadano por parte del Coordinador del Proceso</v>
          </cell>
          <cell r="L11" t="str">
            <v>Seguimiento  a las actividades contenidas en el Plan anticorrupción, permanente por parte del lider del proceso; por parte del Comité de Gestión y Desempeño periodicamente; y por parte de Control Interno cuatrimestralmente. Verificación y visto bueno de la información contenida en los informes de atención al Ciudadano por parte del Coordinador del Proceso</v>
          </cell>
          <cell r="U11" t="str">
            <v>Rara vez</v>
          </cell>
          <cell r="V11" t="str">
            <v>Menor</v>
          </cell>
          <cell r="W11" t="str">
            <v>BAJO</v>
          </cell>
          <cell r="X11" t="str">
            <v>Reducir el riesgo</v>
          </cell>
        </row>
      </sheetData>
      <sheetData sheetId="4" refreshError="1"/>
      <sheetData sheetId="5">
        <row r="9">
          <cell r="T9">
            <v>100</v>
          </cell>
          <cell r="W9">
            <v>1</v>
          </cell>
          <cell r="X9">
            <v>1</v>
          </cell>
          <cell r="AB9" t="str">
            <v>No</v>
          </cell>
        </row>
        <row r="10">
          <cell r="T10">
            <v>70</v>
          </cell>
          <cell r="W10">
            <v>0.7</v>
          </cell>
          <cell r="X10">
            <v>0.7</v>
          </cell>
          <cell r="AB10" t="str">
            <v>SI</v>
          </cell>
        </row>
        <row r="11">
          <cell r="T11">
            <v>70</v>
          </cell>
          <cell r="W11">
            <v>0.7</v>
          </cell>
          <cell r="X11">
            <v>0.7</v>
          </cell>
          <cell r="AB11" t="str">
            <v>SI</v>
          </cell>
        </row>
        <row r="12">
          <cell r="T12">
            <v>100</v>
          </cell>
          <cell r="W12">
            <v>1</v>
          </cell>
          <cell r="X12">
            <v>1</v>
          </cell>
          <cell r="AB12" t="str">
            <v>No</v>
          </cell>
        </row>
        <row r="13">
          <cell r="T13">
            <v>100</v>
          </cell>
          <cell r="W13">
            <v>1</v>
          </cell>
          <cell r="X13">
            <v>1</v>
          </cell>
          <cell r="AB13" t="str">
            <v>No</v>
          </cell>
        </row>
      </sheetData>
      <sheetData sheetId="6" refreshError="1"/>
      <sheetData sheetId="7" refreshError="1"/>
      <sheetData sheetId="8">
        <row r="7">
          <cell r="V7">
            <v>1</v>
          </cell>
          <cell r="W7">
            <v>2</v>
          </cell>
          <cell r="X7">
            <v>3</v>
          </cell>
          <cell r="Y7">
            <v>4</v>
          </cell>
          <cell r="Z7">
            <v>5</v>
          </cell>
        </row>
        <row r="8">
          <cell r="G8" t="str">
            <v>Más de 1 vez al año.</v>
          </cell>
          <cell r="H8">
            <v>5</v>
          </cell>
          <cell r="I8" t="str">
            <v>Casi Seguro</v>
          </cell>
          <cell r="J8" t="str">
            <v>Se espera que el evento ocurra en la mayoría de las circunstancias.</v>
          </cell>
          <cell r="K8" t="str">
            <v>Catastrófico</v>
          </cell>
          <cell r="L8">
            <v>5</v>
          </cell>
          <cell r="M8" t="str">
            <v>Catastrófico</v>
          </cell>
          <cell r="U8">
            <v>5</v>
          </cell>
          <cell r="V8" t="str">
            <v>ALTO</v>
          </cell>
          <cell r="W8" t="str">
            <v>ALTO</v>
          </cell>
          <cell r="X8" t="str">
            <v>EXTREMO</v>
          </cell>
          <cell r="Y8" t="str">
            <v>EXTREMO</v>
          </cell>
          <cell r="Z8" t="str">
            <v>EXTREMO</v>
          </cell>
        </row>
        <row r="9">
          <cell r="G9" t="str">
            <v>Al menos 1 vez en el último año.</v>
          </cell>
          <cell r="H9">
            <v>4</v>
          </cell>
          <cell r="I9" t="str">
            <v>Probable</v>
          </cell>
          <cell r="J9" t="str">
            <v>Es viable que el evento ocurra en la mayoría de las circunstancias.</v>
          </cell>
          <cell r="K9" t="str">
            <v>Mayor</v>
          </cell>
          <cell r="L9">
            <v>4</v>
          </cell>
          <cell r="M9" t="str">
            <v>Mayor</v>
          </cell>
          <cell r="U9">
            <v>4</v>
          </cell>
          <cell r="V9" t="str">
            <v>MODERADO</v>
          </cell>
          <cell r="W9" t="str">
            <v>ALTO</v>
          </cell>
          <cell r="X9" t="str">
            <v>ALTO</v>
          </cell>
          <cell r="Y9" t="str">
            <v>EXTREMO</v>
          </cell>
          <cell r="Z9" t="str">
            <v>EXTREMO</v>
          </cell>
        </row>
        <row r="10">
          <cell r="G10" t="str">
            <v>Al menos 1 vez en los últimos 2 años.</v>
          </cell>
          <cell r="H10">
            <v>3</v>
          </cell>
          <cell r="I10" t="str">
            <v>Posible</v>
          </cell>
          <cell r="J10" t="str">
            <v>El evento podrá ocurrir en algún momento.</v>
          </cell>
          <cell r="K10" t="str">
            <v>Moderado</v>
          </cell>
          <cell r="L10">
            <v>3</v>
          </cell>
          <cell r="M10" t="str">
            <v>Moderado</v>
          </cell>
          <cell r="U10">
            <v>3</v>
          </cell>
          <cell r="V10" t="str">
            <v>BAJO</v>
          </cell>
          <cell r="W10" t="str">
            <v>MODERADO</v>
          </cell>
          <cell r="X10" t="str">
            <v>ALTO</v>
          </cell>
          <cell r="Y10" t="str">
            <v>EXTREMO</v>
          </cell>
          <cell r="Z10" t="str">
            <v>EXTREMO</v>
          </cell>
        </row>
        <row r="11">
          <cell r="G11" t="str">
            <v>Al menos 1 vez en los últimos 5 años.</v>
          </cell>
          <cell r="H11">
            <v>2</v>
          </cell>
          <cell r="I11" t="str">
            <v>Improbable</v>
          </cell>
          <cell r="J11" t="str">
            <v>El evento puede ocurrir en algún momento.</v>
          </cell>
          <cell r="K11" t="str">
            <v>Menor</v>
          </cell>
          <cell r="L11">
            <v>2</v>
          </cell>
          <cell r="M11" t="str">
            <v>Menor</v>
          </cell>
          <cell r="U11">
            <v>2</v>
          </cell>
          <cell r="V11" t="str">
            <v>BAJO</v>
          </cell>
          <cell r="W11" t="str">
            <v>BAJO</v>
          </cell>
          <cell r="X11" t="str">
            <v>MODERADO</v>
          </cell>
          <cell r="Y11" t="str">
            <v>ALTO</v>
          </cell>
          <cell r="Z11" t="str">
            <v>EXTREMO</v>
          </cell>
        </row>
        <row r="12">
          <cell r="G12" t="str">
            <v>No se ha presentado en los últimos 5 años.</v>
          </cell>
          <cell r="H12">
            <v>1</v>
          </cell>
          <cell r="I12" t="str">
            <v>Rara vez</v>
          </cell>
          <cell r="J12" t="str">
            <v>El evento puede ocurrir solo en circunstancias excepcionales (poco comunes o anormales)</v>
          </cell>
          <cell r="K12" t="str">
            <v>Insignificante</v>
          </cell>
          <cell r="L12">
            <v>1</v>
          </cell>
          <cell r="M12" t="str">
            <v>Insignificante</v>
          </cell>
          <cell r="U12">
            <v>1</v>
          </cell>
          <cell r="V12" t="str">
            <v>BAJO</v>
          </cell>
          <cell r="W12" t="str">
            <v>BAJO</v>
          </cell>
          <cell r="X12" t="str">
            <v>MODERADO</v>
          </cell>
          <cell r="Y12" t="str">
            <v>ALTO</v>
          </cell>
          <cell r="Z12" t="str">
            <v>EXTREMO</v>
          </cell>
        </row>
      </sheetData>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Contexto"/>
      <sheetName val="Identificación del Riesgo"/>
      <sheetName val="Analisis Riesgo"/>
      <sheetName val="Controles"/>
      <sheetName val="Mapa de riesgos"/>
      <sheetName val="Analisis Riesgo Corrupcion"/>
      <sheetName val="Matriz de Riesgo"/>
      <sheetName val="Mapa de Calor"/>
      <sheetName val="Cuadro de Cambios"/>
      <sheetName val="Datos"/>
    </sheetNames>
    <sheetDataSet>
      <sheetData sheetId="0">
        <row r="5">
          <cell r="D5">
            <v>0</v>
          </cell>
        </row>
      </sheetData>
      <sheetData sheetId="1">
        <row r="5">
          <cell r="D5">
            <v>0</v>
          </cell>
        </row>
      </sheetData>
      <sheetData sheetId="2">
        <row r="5">
          <cell r="D5" t="str">
            <v>Comunicación estratégica</v>
          </cell>
        </row>
        <row r="9">
          <cell r="E9" t="str">
            <v>Posibles afectaciones reputacionales sobre la entidad por agendas parlamentarias opuestas.</v>
          </cell>
          <cell r="H9" t="str">
            <v xml:space="preserve">Ausencia de un manual específico para el manejo de crisis mediáticas. </v>
          </cell>
          <cell r="I9" t="str">
            <v>Posible circulación de información falsa por medios de comunicación que afecta la reputación de la entidad ante la comunidad y el sector energético.
Posibles crisis mediáticas relacionadas a controversias por actuaciones administrativas (Escándalos de posible corrupción)</v>
          </cell>
        </row>
        <row r="10">
          <cell r="E10" t="str">
            <v>Incumplimientos en los productos comunicacionales por retrasos de las subdirecciones en la entrega idónea de la información.</v>
          </cell>
          <cell r="H10" t="str">
            <v>Entrega de información con poca antelación para realizar oportunamente las labores de diseño y diagramación de piezas comunicacionales y/o presentaciones.</v>
          </cell>
          <cell r="I10" t="str">
            <v>Falta de claridad en el mensaje que se pretende dar</v>
          </cell>
        </row>
        <row r="11">
          <cell r="E11" t="str">
            <v>Estructura organizacional limitada del área de comunicaciones como proceso estratégico.</v>
          </cell>
          <cell r="H11" t="str">
            <v>No se ha realizado una articulación con el proceso de PQRS para coordinar respuesta a derechos de petición que ingresen por redes sociales desde un esquema de administración de contenidos descentralizado.
La capacidad de comunicaciones es deficitaria en relación al personal para la gestión del proceso.
Falta de claridad en el alcance de los procesos de comunicación estratégica, divulgación e información sectorial dentro del mapa de procesos aprobado en el sistema de gestión de calidad.</v>
          </cell>
          <cell r="I11" t="str">
            <v>Desconocimiento de la comunidad sobre la competencia y funciones de la UPME.</v>
          </cell>
        </row>
        <row r="12">
          <cell r="E12" t="str">
            <v>Posibles afectaciones al sentido de identidad, trabajo en equipo y cohesion de cara a la reglamentación del teletrabajo.</v>
          </cell>
          <cell r="H12" t="str">
            <v>Dificultad de adaptación al teletrabajo por parte de los servidores públicos.
Baja apropiación cultural de los funcionarios de la entidad frente al consumo de contenidos y canales.</v>
          </cell>
          <cell r="I12" t="str">
            <v>Posibles incumplimientos de metas de la entidad.
Desmotivación de los servidores públicos.</v>
          </cell>
        </row>
        <row r="13">
          <cell r="E13" t="str">
            <v>Afectaciones a la seguridad y disponibilidad de la información por perfiles institucionales de redes sociales en favor de particulares</v>
          </cell>
          <cell r="H13" t="str">
            <v>Posibles hackeos sobre las redes sociales de la entidad por uso de estas en equipos personales.</v>
          </cell>
          <cell r="I13" t="str">
            <v>Fallas en la divulgación de la información misional de la entidad.</v>
          </cell>
        </row>
      </sheetData>
      <sheetData sheetId="3">
        <row r="5">
          <cell r="D5">
            <v>0</v>
          </cell>
        </row>
        <row r="7">
          <cell r="A7">
            <v>1</v>
          </cell>
          <cell r="F7" t="str">
            <v>Improbable</v>
          </cell>
          <cell r="G7" t="str">
            <v>Moderado</v>
          </cell>
          <cell r="I7" t="str">
            <v>MODERADO</v>
          </cell>
          <cell r="K7" t="str">
            <v>Se cuenta con una guía metodológica general de crisis.</v>
          </cell>
          <cell r="T7" t="str">
            <v>Rara vez</v>
          </cell>
          <cell r="U7" t="str">
            <v>Menor</v>
          </cell>
          <cell r="V7" t="str">
            <v>BAJO</v>
          </cell>
          <cell r="W7" t="str">
            <v>Reducir el riesgo</v>
          </cell>
        </row>
        <row r="8">
          <cell r="A8">
            <v>2</v>
          </cell>
          <cell r="F8" t="str">
            <v>Improbable</v>
          </cell>
          <cell r="G8" t="str">
            <v>Menor</v>
          </cell>
          <cell r="I8" t="str">
            <v>BAJO</v>
          </cell>
          <cell r="K8" t="str">
            <v>Se diseñó una política editorial con unos niveles de servicios sugeridos.</v>
          </cell>
          <cell r="T8" t="str">
            <v>Rara vez</v>
          </cell>
          <cell r="U8" t="str">
            <v>Insignificante</v>
          </cell>
          <cell r="V8" t="str">
            <v>BAJO</v>
          </cell>
          <cell r="W8" t="str">
            <v>Reducir el riesgo</v>
          </cell>
        </row>
        <row r="9">
          <cell r="A9">
            <v>3</v>
          </cell>
          <cell r="F9" t="str">
            <v>Casi Seguro</v>
          </cell>
          <cell r="G9" t="str">
            <v>Menor</v>
          </cell>
          <cell r="I9" t="str">
            <v>ALTO</v>
          </cell>
          <cell r="K9" t="str">
            <v>No se cuentan con controles.</v>
          </cell>
          <cell r="T9" t="str">
            <v>Casi Seguro</v>
          </cell>
          <cell r="U9" t="str">
            <v>Menor</v>
          </cell>
          <cell r="V9" t="str">
            <v>ALTO</v>
          </cell>
          <cell r="W9" t="str">
            <v>Reducir el riesgo</v>
          </cell>
        </row>
        <row r="10">
          <cell r="A10">
            <v>4</v>
          </cell>
          <cell r="F10" t="str">
            <v>Improbable</v>
          </cell>
          <cell r="G10" t="str">
            <v>Menor</v>
          </cell>
          <cell r="I10" t="str">
            <v>BAJO</v>
          </cell>
          <cell r="K10" t="str">
            <v>Campañas de comunicación Interna</v>
          </cell>
          <cell r="T10" t="str">
            <v>Rara vez</v>
          </cell>
          <cell r="U10" t="str">
            <v>Insignificante</v>
          </cell>
          <cell r="V10" t="str">
            <v>BAJO</v>
          </cell>
          <cell r="W10" t="str">
            <v>Reducir el riesgo</v>
          </cell>
        </row>
        <row r="11">
          <cell r="A11">
            <v>5</v>
          </cell>
          <cell r="F11" t="str">
            <v>Rara vez</v>
          </cell>
          <cell r="G11" t="str">
            <v>Moderado</v>
          </cell>
          <cell r="I11" t="str">
            <v>MODERADO</v>
          </cell>
          <cell r="K11" t="str">
            <v>No se cuentan con controles.</v>
          </cell>
          <cell r="T11" t="str">
            <v>Rara vez</v>
          </cell>
          <cell r="U11" t="str">
            <v>Moderado</v>
          </cell>
          <cell r="V11" t="str">
            <v>MODERADO</v>
          </cell>
          <cell r="W11" t="str">
            <v>Reducir el riesgo</v>
          </cell>
        </row>
      </sheetData>
      <sheetData sheetId="4">
        <row r="5">
          <cell r="D5" t="str">
            <v>Comunicación estratégica</v>
          </cell>
        </row>
        <row r="9">
          <cell r="T9">
            <v>100</v>
          </cell>
          <cell r="W9">
            <v>1</v>
          </cell>
          <cell r="X9">
            <v>1</v>
          </cell>
          <cell r="AB9" t="str">
            <v>No</v>
          </cell>
        </row>
        <row r="10">
          <cell r="T10">
            <v>100</v>
          </cell>
          <cell r="W10">
            <v>1</v>
          </cell>
          <cell r="X10">
            <v>1</v>
          </cell>
          <cell r="AB10" t="str">
            <v>No</v>
          </cell>
        </row>
        <row r="11">
          <cell r="T11">
            <v>0</v>
          </cell>
          <cell r="W11">
            <v>0</v>
          </cell>
          <cell r="X11">
            <v>0</v>
          </cell>
          <cell r="AB11" t="str">
            <v>SI</v>
          </cell>
        </row>
        <row r="12">
          <cell r="T12">
            <v>100</v>
          </cell>
          <cell r="W12">
            <v>1</v>
          </cell>
          <cell r="X12">
            <v>1</v>
          </cell>
          <cell r="AB12" t="str">
            <v>No</v>
          </cell>
        </row>
        <row r="13">
          <cell r="T13">
            <v>0</v>
          </cell>
          <cell r="W13">
            <v>0</v>
          </cell>
          <cell r="X13">
            <v>0</v>
          </cell>
          <cell r="AB13" t="str">
            <v>SI</v>
          </cell>
        </row>
      </sheetData>
      <sheetData sheetId="5">
        <row r="5">
          <cell r="D5" t="str">
            <v>Posible circulación de información falsa por medios de comunicación que afecta la reputación de la entidad ante la comunidad y el sector energético.
Posibles crisis mediáticas relacionadas a controversias por actuaciones administrativas (Escándalos de posible corrupción)</v>
          </cell>
        </row>
      </sheetData>
      <sheetData sheetId="6">
        <row r="5">
          <cell r="D5">
            <v>0</v>
          </cell>
        </row>
      </sheetData>
      <sheetData sheetId="7">
        <row r="5">
          <cell r="D5" t="str">
            <v xml:space="preserve">Ausencia de un manual específico para el manejo de crisis mediáticas. </v>
          </cell>
        </row>
      </sheetData>
      <sheetData sheetId="8">
        <row r="5">
          <cell r="H5">
            <v>0</v>
          </cell>
        </row>
      </sheetData>
      <sheetData sheetId="9">
        <row r="5">
          <cell r="D5" t="str">
            <v>Descripción</v>
          </cell>
        </row>
      </sheetData>
      <sheetData sheetId="10">
        <row r="5">
          <cell r="D5">
            <v>0</v>
          </cell>
        </row>
        <row r="7">
          <cell r="V7">
            <v>1</v>
          </cell>
          <cell r="W7">
            <v>2</v>
          </cell>
          <cell r="X7">
            <v>3</v>
          </cell>
          <cell r="Y7">
            <v>4</v>
          </cell>
          <cell r="Z7">
            <v>5</v>
          </cell>
        </row>
        <row r="8">
          <cell r="G8" t="str">
            <v>Más de 1 vez al año.</v>
          </cell>
          <cell r="H8">
            <v>5</v>
          </cell>
          <cell r="I8" t="str">
            <v>Casi Seguro</v>
          </cell>
          <cell r="J8" t="str">
            <v>Se espera que el evento ocurra en la mayoría de las circunstancias.</v>
          </cell>
          <cell r="K8" t="str">
            <v>Catastrófico</v>
          </cell>
          <cell r="L8">
            <v>5</v>
          </cell>
          <cell r="M8" t="str">
            <v>Catastrófico</v>
          </cell>
          <cell r="U8">
            <v>5</v>
          </cell>
          <cell r="V8" t="str">
            <v>ALTO</v>
          </cell>
          <cell r="W8" t="str">
            <v>ALTO</v>
          </cell>
          <cell r="X8" t="str">
            <v>EXTREMO</v>
          </cell>
          <cell r="Y8" t="str">
            <v>EXTREMO</v>
          </cell>
          <cell r="Z8" t="str">
            <v>EXTREMO</v>
          </cell>
        </row>
        <row r="9">
          <cell r="G9" t="str">
            <v>Al menos 1 vez en el último año.</v>
          </cell>
          <cell r="H9">
            <v>4</v>
          </cell>
          <cell r="I9" t="str">
            <v>Probable</v>
          </cell>
          <cell r="J9" t="str">
            <v>Es viable que el evento ocurra en la mayoría de las circunstancias.</v>
          </cell>
          <cell r="K9" t="str">
            <v>Mayor</v>
          </cell>
          <cell r="L9">
            <v>4</v>
          </cell>
          <cell r="M9" t="str">
            <v>Mayor</v>
          </cell>
          <cell r="U9">
            <v>4</v>
          </cell>
          <cell r="V9" t="str">
            <v>MODERADO</v>
          </cell>
          <cell r="W9" t="str">
            <v>ALTO</v>
          </cell>
          <cell r="X9" t="str">
            <v>ALTO</v>
          </cell>
          <cell r="Y9" t="str">
            <v>EXTREMO</v>
          </cell>
          <cell r="Z9" t="str">
            <v>EXTREMO</v>
          </cell>
        </row>
        <row r="10">
          <cell r="G10" t="str">
            <v>Al menos 1 vez en los últimos 2 años.</v>
          </cell>
          <cell r="H10">
            <v>3</v>
          </cell>
          <cell r="I10" t="str">
            <v>Posible</v>
          </cell>
          <cell r="J10" t="str">
            <v>El evento podrá ocurrir en algún momento.</v>
          </cell>
          <cell r="K10" t="str">
            <v>Moderado</v>
          </cell>
          <cell r="L10">
            <v>3</v>
          </cell>
          <cell r="M10" t="str">
            <v>Moderado</v>
          </cell>
          <cell r="U10">
            <v>3</v>
          </cell>
          <cell r="V10" t="str">
            <v>BAJO</v>
          </cell>
          <cell r="W10" t="str">
            <v>MODERADO</v>
          </cell>
          <cell r="X10" t="str">
            <v>ALTO</v>
          </cell>
          <cell r="Y10" t="str">
            <v>EXTREMO</v>
          </cell>
          <cell r="Z10" t="str">
            <v>EXTREMO</v>
          </cell>
        </row>
        <row r="11">
          <cell r="G11" t="str">
            <v>Al menos 1 vez en los últimos 5 años.</v>
          </cell>
          <cell r="H11">
            <v>2</v>
          </cell>
          <cell r="I11" t="str">
            <v>Improbable</v>
          </cell>
          <cell r="J11" t="str">
            <v>El evento puede ocurrir en algún momento.</v>
          </cell>
          <cell r="K11" t="str">
            <v>Menor</v>
          </cell>
          <cell r="L11">
            <v>2</v>
          </cell>
          <cell r="M11" t="str">
            <v>Menor</v>
          </cell>
          <cell r="U11">
            <v>2</v>
          </cell>
          <cell r="V11" t="str">
            <v>BAJO</v>
          </cell>
          <cell r="W11" t="str">
            <v>BAJO</v>
          </cell>
          <cell r="X11" t="str">
            <v>MODERADO</v>
          </cell>
          <cell r="Y11" t="str">
            <v>ALTO</v>
          </cell>
          <cell r="Z11" t="str">
            <v>EXTREMO</v>
          </cell>
        </row>
        <row r="12">
          <cell r="G12" t="str">
            <v>No se ha presentado en los últimos 5 años.</v>
          </cell>
          <cell r="H12">
            <v>1</v>
          </cell>
          <cell r="I12" t="str">
            <v>Rara vez</v>
          </cell>
          <cell r="J12" t="str">
            <v>El evento puede ocurrir solo en circunstancias excepcionales (poco comunes o anormales)</v>
          </cell>
          <cell r="K12" t="str">
            <v>Insignificante</v>
          </cell>
          <cell r="L12">
            <v>1</v>
          </cell>
          <cell r="M12" t="str">
            <v>Insignificante</v>
          </cell>
          <cell r="U12">
            <v>1</v>
          </cell>
          <cell r="V12" t="str">
            <v>BAJO</v>
          </cell>
          <cell r="W12" t="str">
            <v>BAJO</v>
          </cell>
          <cell r="X12" t="str">
            <v>MODERADO</v>
          </cell>
          <cell r="Y12" t="str">
            <v>ALTO</v>
          </cell>
          <cell r="Z12" t="str">
            <v>EXTREMO</v>
          </cell>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vmlDrawing" Target="../drawings/vmlDrawing128.vml"/><Relationship Id="rId2" Type="http://schemas.openxmlformats.org/officeDocument/2006/relationships/drawing" Target="../drawings/drawing98.xml"/><Relationship Id="rId1" Type="http://schemas.openxmlformats.org/officeDocument/2006/relationships/printerSettings" Target="../printerSettings/printerSettings88.bin"/><Relationship Id="rId5" Type="http://schemas.openxmlformats.org/officeDocument/2006/relationships/comments" Target="../comments79.xml"/><Relationship Id="rId4" Type="http://schemas.openxmlformats.org/officeDocument/2006/relationships/vmlDrawing" Target="../drawings/vmlDrawing129.vml"/></Relationships>
</file>

<file path=xl/worksheets/_rels/sheet101.xml.rels><?xml version="1.0" encoding="UTF-8" standalone="yes"?>
<Relationships xmlns="http://schemas.openxmlformats.org/package/2006/relationships"><Relationship Id="rId3" Type="http://schemas.openxmlformats.org/officeDocument/2006/relationships/vmlDrawing" Target="../drawings/vmlDrawing130.vml"/><Relationship Id="rId2" Type="http://schemas.openxmlformats.org/officeDocument/2006/relationships/drawing" Target="../drawings/drawing99.xml"/><Relationship Id="rId1" Type="http://schemas.openxmlformats.org/officeDocument/2006/relationships/printerSettings" Target="../printerSettings/printerSettings89.bin"/></Relationships>
</file>

<file path=xl/worksheets/_rels/sheet102.xml.rels><?xml version="1.0" encoding="UTF-8" standalone="yes"?>
<Relationships xmlns="http://schemas.openxmlformats.org/package/2006/relationships"><Relationship Id="rId3" Type="http://schemas.openxmlformats.org/officeDocument/2006/relationships/comments" Target="../comments80.xml"/><Relationship Id="rId2" Type="http://schemas.openxmlformats.org/officeDocument/2006/relationships/vmlDrawing" Target="../drawings/vmlDrawing131.vml"/><Relationship Id="rId1" Type="http://schemas.openxmlformats.org/officeDocument/2006/relationships/drawing" Target="../drawings/drawing100.xml"/></Relationships>
</file>

<file path=xl/worksheets/_rels/sheet103.xml.rels><?xml version="1.0" encoding="UTF-8" standalone="yes"?>
<Relationships xmlns="http://schemas.openxmlformats.org/package/2006/relationships"><Relationship Id="rId3" Type="http://schemas.openxmlformats.org/officeDocument/2006/relationships/vmlDrawing" Target="../drawings/vmlDrawing132.vml"/><Relationship Id="rId2" Type="http://schemas.openxmlformats.org/officeDocument/2006/relationships/drawing" Target="../drawings/drawing101.xml"/><Relationship Id="rId1" Type="http://schemas.openxmlformats.org/officeDocument/2006/relationships/printerSettings" Target="../printerSettings/printerSettings90.bin"/><Relationship Id="rId5" Type="http://schemas.openxmlformats.org/officeDocument/2006/relationships/comments" Target="../comments81.xml"/><Relationship Id="rId4" Type="http://schemas.openxmlformats.org/officeDocument/2006/relationships/vmlDrawing" Target="../drawings/vmlDrawing133.vml"/></Relationships>
</file>

<file path=xl/worksheets/_rels/sheet104.xml.rels><?xml version="1.0" encoding="UTF-8" standalone="yes"?>
<Relationships xmlns="http://schemas.openxmlformats.org/package/2006/relationships"><Relationship Id="rId3" Type="http://schemas.openxmlformats.org/officeDocument/2006/relationships/vmlDrawing" Target="../drawings/vmlDrawing134.vml"/><Relationship Id="rId2" Type="http://schemas.openxmlformats.org/officeDocument/2006/relationships/drawing" Target="../drawings/drawing102.xml"/><Relationship Id="rId1" Type="http://schemas.openxmlformats.org/officeDocument/2006/relationships/printerSettings" Target="../printerSettings/printerSettings91.bin"/><Relationship Id="rId5" Type="http://schemas.openxmlformats.org/officeDocument/2006/relationships/comments" Target="../comments82.xml"/><Relationship Id="rId4" Type="http://schemas.openxmlformats.org/officeDocument/2006/relationships/vmlDrawing" Target="../drawings/vmlDrawing135.vml"/></Relationships>
</file>

<file path=xl/worksheets/_rels/sheet105.xml.rels><?xml version="1.0" encoding="UTF-8" standalone="yes"?>
<Relationships xmlns="http://schemas.openxmlformats.org/package/2006/relationships"><Relationship Id="rId3" Type="http://schemas.openxmlformats.org/officeDocument/2006/relationships/vmlDrawing" Target="../drawings/vmlDrawing136.vml"/><Relationship Id="rId2" Type="http://schemas.openxmlformats.org/officeDocument/2006/relationships/drawing" Target="../drawings/drawing103.xml"/><Relationship Id="rId1" Type="http://schemas.openxmlformats.org/officeDocument/2006/relationships/printerSettings" Target="../printerSettings/printerSettings92.bin"/><Relationship Id="rId5" Type="http://schemas.openxmlformats.org/officeDocument/2006/relationships/comments" Target="../comments83.xml"/><Relationship Id="rId4" Type="http://schemas.openxmlformats.org/officeDocument/2006/relationships/vmlDrawing" Target="../drawings/vmlDrawing137.vml"/></Relationships>
</file>

<file path=xl/worksheets/_rels/sheet106.xml.rels><?xml version="1.0" encoding="UTF-8" standalone="yes"?>
<Relationships xmlns="http://schemas.openxmlformats.org/package/2006/relationships"><Relationship Id="rId3" Type="http://schemas.openxmlformats.org/officeDocument/2006/relationships/vmlDrawing" Target="../drawings/vmlDrawing138.vml"/><Relationship Id="rId2" Type="http://schemas.openxmlformats.org/officeDocument/2006/relationships/drawing" Target="../drawings/drawing104.xml"/><Relationship Id="rId1" Type="http://schemas.openxmlformats.org/officeDocument/2006/relationships/printerSettings" Target="../printerSettings/printerSettings93.bin"/><Relationship Id="rId5" Type="http://schemas.openxmlformats.org/officeDocument/2006/relationships/comments" Target="../comments84.xml"/><Relationship Id="rId4" Type="http://schemas.openxmlformats.org/officeDocument/2006/relationships/vmlDrawing" Target="../drawings/vmlDrawing139.vml"/></Relationships>
</file>

<file path=xl/worksheets/_rels/sheet107.xml.rels><?xml version="1.0" encoding="UTF-8" standalone="yes"?>
<Relationships xmlns="http://schemas.openxmlformats.org/package/2006/relationships"><Relationship Id="rId3" Type="http://schemas.openxmlformats.org/officeDocument/2006/relationships/vmlDrawing" Target="../drawings/vmlDrawing140.vml"/><Relationship Id="rId2" Type="http://schemas.openxmlformats.org/officeDocument/2006/relationships/drawing" Target="../drawings/drawing105.xml"/><Relationship Id="rId1" Type="http://schemas.openxmlformats.org/officeDocument/2006/relationships/printerSettings" Target="../printerSettings/printerSettings94.bin"/><Relationship Id="rId5" Type="http://schemas.openxmlformats.org/officeDocument/2006/relationships/comments" Target="../comments85.xml"/><Relationship Id="rId4" Type="http://schemas.openxmlformats.org/officeDocument/2006/relationships/vmlDrawing" Target="../drawings/vmlDrawing141.vml"/></Relationships>
</file>

<file path=xl/worksheets/_rels/sheet108.xml.rels><?xml version="1.0" encoding="UTF-8" standalone="yes"?>
<Relationships xmlns="http://schemas.openxmlformats.org/package/2006/relationships"><Relationship Id="rId3" Type="http://schemas.openxmlformats.org/officeDocument/2006/relationships/vmlDrawing" Target="../drawings/vmlDrawing142.vml"/><Relationship Id="rId2" Type="http://schemas.openxmlformats.org/officeDocument/2006/relationships/drawing" Target="../drawings/drawing106.xml"/><Relationship Id="rId1" Type="http://schemas.openxmlformats.org/officeDocument/2006/relationships/printerSettings" Target="../printerSettings/printerSettings95.bin"/></Relationships>
</file>

<file path=xl/worksheets/_rels/sheet109.xml.rels><?xml version="1.0" encoding="UTF-8" standalone="yes"?>
<Relationships xmlns="http://schemas.openxmlformats.org/package/2006/relationships"><Relationship Id="rId3" Type="http://schemas.openxmlformats.org/officeDocument/2006/relationships/vmlDrawing" Target="../drawings/vmlDrawing143.vml"/><Relationship Id="rId2" Type="http://schemas.openxmlformats.org/officeDocument/2006/relationships/drawing" Target="../drawings/drawing107.xml"/><Relationship Id="rId1" Type="http://schemas.openxmlformats.org/officeDocument/2006/relationships/printerSettings" Target="../printerSettings/printerSettings96.bin"/><Relationship Id="rId4" Type="http://schemas.openxmlformats.org/officeDocument/2006/relationships/comments" Target="../comments8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3" Type="http://schemas.openxmlformats.org/officeDocument/2006/relationships/vmlDrawing" Target="../drawings/vmlDrawing144.vml"/><Relationship Id="rId2" Type="http://schemas.openxmlformats.org/officeDocument/2006/relationships/drawing" Target="../drawings/drawing108.xml"/><Relationship Id="rId1" Type="http://schemas.openxmlformats.org/officeDocument/2006/relationships/printerSettings" Target="../printerSettings/printerSettings97.bin"/><Relationship Id="rId5" Type="http://schemas.openxmlformats.org/officeDocument/2006/relationships/comments" Target="../comments87.xml"/><Relationship Id="rId4" Type="http://schemas.openxmlformats.org/officeDocument/2006/relationships/vmlDrawing" Target="../drawings/vmlDrawing145.vml"/></Relationships>
</file>

<file path=xl/worksheets/_rels/sheet111.xml.rels><?xml version="1.0" encoding="UTF-8" standalone="yes"?>
<Relationships xmlns="http://schemas.openxmlformats.org/package/2006/relationships"><Relationship Id="rId3" Type="http://schemas.openxmlformats.org/officeDocument/2006/relationships/vmlDrawing" Target="../drawings/vmlDrawing146.vml"/><Relationship Id="rId2" Type="http://schemas.openxmlformats.org/officeDocument/2006/relationships/drawing" Target="../drawings/drawing109.xml"/><Relationship Id="rId1" Type="http://schemas.openxmlformats.org/officeDocument/2006/relationships/printerSettings" Target="../printerSettings/printerSettings98.bin"/><Relationship Id="rId5" Type="http://schemas.openxmlformats.org/officeDocument/2006/relationships/comments" Target="../comments88.xml"/><Relationship Id="rId4" Type="http://schemas.openxmlformats.org/officeDocument/2006/relationships/vmlDrawing" Target="../drawings/vmlDrawing147.vml"/></Relationships>
</file>

<file path=xl/worksheets/_rels/sheet112.xml.rels><?xml version="1.0" encoding="UTF-8" standalone="yes"?>
<Relationships xmlns="http://schemas.openxmlformats.org/package/2006/relationships"><Relationship Id="rId3" Type="http://schemas.openxmlformats.org/officeDocument/2006/relationships/vmlDrawing" Target="../drawings/vmlDrawing148.vml"/><Relationship Id="rId2" Type="http://schemas.openxmlformats.org/officeDocument/2006/relationships/drawing" Target="../drawings/drawing110.xml"/><Relationship Id="rId1" Type="http://schemas.openxmlformats.org/officeDocument/2006/relationships/printerSettings" Target="../printerSettings/printerSettings99.bin"/><Relationship Id="rId5" Type="http://schemas.openxmlformats.org/officeDocument/2006/relationships/comments" Target="../comments89.xml"/><Relationship Id="rId4" Type="http://schemas.openxmlformats.org/officeDocument/2006/relationships/vmlDrawing" Target="../drawings/vmlDrawing149.vml"/></Relationships>
</file>

<file path=xl/worksheets/_rels/sheet113.xml.rels><?xml version="1.0" encoding="UTF-8" standalone="yes"?>
<Relationships xmlns="http://schemas.openxmlformats.org/package/2006/relationships"><Relationship Id="rId3" Type="http://schemas.openxmlformats.org/officeDocument/2006/relationships/vmlDrawing" Target="../drawings/vmlDrawing150.vml"/><Relationship Id="rId2" Type="http://schemas.openxmlformats.org/officeDocument/2006/relationships/drawing" Target="../drawings/drawing111.xml"/><Relationship Id="rId1" Type="http://schemas.openxmlformats.org/officeDocument/2006/relationships/printerSettings" Target="../printerSettings/printerSettings100.bin"/><Relationship Id="rId5" Type="http://schemas.openxmlformats.org/officeDocument/2006/relationships/comments" Target="../comments90.xml"/><Relationship Id="rId4" Type="http://schemas.openxmlformats.org/officeDocument/2006/relationships/vmlDrawing" Target="../drawings/vmlDrawing151.vml"/></Relationships>
</file>

<file path=xl/worksheets/_rels/sheet114.xml.rels><?xml version="1.0" encoding="UTF-8" standalone="yes"?>
<Relationships xmlns="http://schemas.openxmlformats.org/package/2006/relationships"><Relationship Id="rId3" Type="http://schemas.openxmlformats.org/officeDocument/2006/relationships/vmlDrawing" Target="../drawings/vmlDrawing152.vml"/><Relationship Id="rId2" Type="http://schemas.openxmlformats.org/officeDocument/2006/relationships/drawing" Target="../drawings/drawing112.xml"/><Relationship Id="rId1" Type="http://schemas.openxmlformats.org/officeDocument/2006/relationships/printerSettings" Target="../printerSettings/printerSettings101.bin"/></Relationships>
</file>

<file path=xl/worksheets/_rels/sheet115.xml.rels><?xml version="1.0" encoding="UTF-8" standalone="yes"?>
<Relationships xmlns="http://schemas.openxmlformats.org/package/2006/relationships"><Relationship Id="rId3" Type="http://schemas.openxmlformats.org/officeDocument/2006/relationships/comments" Target="../comments91.xml"/><Relationship Id="rId2" Type="http://schemas.openxmlformats.org/officeDocument/2006/relationships/vmlDrawing" Target="../drawings/vmlDrawing153.vml"/><Relationship Id="rId1" Type="http://schemas.openxmlformats.org/officeDocument/2006/relationships/drawing" Target="../drawings/drawing113.xml"/></Relationships>
</file>

<file path=xl/worksheets/_rels/sheet116.xml.rels><?xml version="1.0" encoding="UTF-8" standalone="yes"?>
<Relationships xmlns="http://schemas.openxmlformats.org/package/2006/relationships"><Relationship Id="rId3" Type="http://schemas.openxmlformats.org/officeDocument/2006/relationships/vmlDrawing" Target="../drawings/vmlDrawing154.vml"/><Relationship Id="rId2" Type="http://schemas.openxmlformats.org/officeDocument/2006/relationships/drawing" Target="../drawings/drawing114.xml"/><Relationship Id="rId1" Type="http://schemas.openxmlformats.org/officeDocument/2006/relationships/printerSettings" Target="../printerSettings/printerSettings102.bin"/><Relationship Id="rId5" Type="http://schemas.openxmlformats.org/officeDocument/2006/relationships/comments" Target="../comments92.xml"/><Relationship Id="rId4" Type="http://schemas.openxmlformats.org/officeDocument/2006/relationships/vmlDrawing" Target="../drawings/vmlDrawing155.vml"/></Relationships>
</file>

<file path=xl/worksheets/_rels/sheet117.xml.rels><?xml version="1.0" encoding="UTF-8" standalone="yes"?>
<Relationships xmlns="http://schemas.openxmlformats.org/package/2006/relationships"><Relationship Id="rId3" Type="http://schemas.openxmlformats.org/officeDocument/2006/relationships/vmlDrawing" Target="../drawings/vmlDrawing156.vml"/><Relationship Id="rId2" Type="http://schemas.openxmlformats.org/officeDocument/2006/relationships/drawing" Target="../drawings/drawing115.xml"/><Relationship Id="rId1" Type="http://schemas.openxmlformats.org/officeDocument/2006/relationships/printerSettings" Target="../printerSettings/printerSettings103.bin"/><Relationship Id="rId5" Type="http://schemas.openxmlformats.org/officeDocument/2006/relationships/comments" Target="../comments93.xml"/><Relationship Id="rId4" Type="http://schemas.openxmlformats.org/officeDocument/2006/relationships/vmlDrawing" Target="../drawings/vmlDrawing157.vml"/></Relationships>
</file>

<file path=xl/worksheets/_rels/sheet118.xml.rels><?xml version="1.0" encoding="UTF-8" standalone="yes"?>
<Relationships xmlns="http://schemas.openxmlformats.org/package/2006/relationships"><Relationship Id="rId3" Type="http://schemas.openxmlformats.org/officeDocument/2006/relationships/vmlDrawing" Target="../drawings/vmlDrawing158.vml"/><Relationship Id="rId2" Type="http://schemas.openxmlformats.org/officeDocument/2006/relationships/drawing" Target="../drawings/drawing116.xml"/><Relationship Id="rId1" Type="http://schemas.openxmlformats.org/officeDocument/2006/relationships/printerSettings" Target="../printerSettings/printerSettings104.bin"/><Relationship Id="rId5" Type="http://schemas.openxmlformats.org/officeDocument/2006/relationships/comments" Target="../comments94.xml"/><Relationship Id="rId4" Type="http://schemas.openxmlformats.org/officeDocument/2006/relationships/vmlDrawing" Target="../drawings/vmlDrawing159.vml"/></Relationships>
</file>

<file path=xl/worksheets/_rels/sheet119.xml.rels><?xml version="1.0" encoding="UTF-8" standalone="yes"?>
<Relationships xmlns="http://schemas.openxmlformats.org/package/2006/relationships"><Relationship Id="rId3" Type="http://schemas.openxmlformats.org/officeDocument/2006/relationships/vmlDrawing" Target="../drawings/vmlDrawing160.vml"/><Relationship Id="rId2" Type="http://schemas.openxmlformats.org/officeDocument/2006/relationships/drawing" Target="../drawings/drawing117.xml"/><Relationship Id="rId1" Type="http://schemas.openxmlformats.org/officeDocument/2006/relationships/printerSettings" Target="../printerSettings/printerSettings105.bin"/><Relationship Id="rId5" Type="http://schemas.openxmlformats.org/officeDocument/2006/relationships/comments" Target="../comments95.xml"/><Relationship Id="rId4" Type="http://schemas.openxmlformats.org/officeDocument/2006/relationships/vmlDrawing" Target="../drawings/vmlDrawing161.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2.bin"/><Relationship Id="rId5" Type="http://schemas.openxmlformats.org/officeDocument/2006/relationships/comments" Target="../comments6.xml"/><Relationship Id="rId4" Type="http://schemas.openxmlformats.org/officeDocument/2006/relationships/vmlDrawing" Target="../drawings/vmlDrawing7.vml"/></Relationships>
</file>

<file path=xl/worksheets/_rels/sheet120.xml.rels><?xml version="1.0" encoding="UTF-8" standalone="yes"?>
<Relationships xmlns="http://schemas.openxmlformats.org/package/2006/relationships"><Relationship Id="rId3" Type="http://schemas.openxmlformats.org/officeDocument/2006/relationships/vmlDrawing" Target="../drawings/vmlDrawing162.vml"/><Relationship Id="rId2" Type="http://schemas.openxmlformats.org/officeDocument/2006/relationships/drawing" Target="../drawings/drawing118.xml"/><Relationship Id="rId1" Type="http://schemas.openxmlformats.org/officeDocument/2006/relationships/printerSettings" Target="../printerSettings/printerSettings106.bin"/><Relationship Id="rId5" Type="http://schemas.openxmlformats.org/officeDocument/2006/relationships/comments" Target="../comments96.xml"/><Relationship Id="rId4" Type="http://schemas.openxmlformats.org/officeDocument/2006/relationships/vmlDrawing" Target="../drawings/vmlDrawing163.vml"/></Relationships>
</file>

<file path=xl/worksheets/_rels/sheet121.xml.rels><?xml version="1.0" encoding="UTF-8" standalone="yes"?>
<Relationships xmlns="http://schemas.openxmlformats.org/package/2006/relationships"><Relationship Id="rId3" Type="http://schemas.openxmlformats.org/officeDocument/2006/relationships/vmlDrawing" Target="../drawings/vmlDrawing164.vml"/><Relationship Id="rId2" Type="http://schemas.openxmlformats.org/officeDocument/2006/relationships/drawing" Target="../drawings/drawing119.xml"/><Relationship Id="rId1" Type="http://schemas.openxmlformats.org/officeDocument/2006/relationships/printerSettings" Target="../printerSettings/printerSettings107.bin"/></Relationships>
</file>

<file path=xl/worksheets/_rels/sheet122.xml.rels><?xml version="1.0" encoding="UTF-8" standalone="yes"?>
<Relationships xmlns="http://schemas.openxmlformats.org/package/2006/relationships"><Relationship Id="rId3" Type="http://schemas.openxmlformats.org/officeDocument/2006/relationships/comments" Target="../comments97.xml"/><Relationship Id="rId2" Type="http://schemas.openxmlformats.org/officeDocument/2006/relationships/vmlDrawing" Target="../drawings/vmlDrawing165.vml"/><Relationship Id="rId1" Type="http://schemas.openxmlformats.org/officeDocument/2006/relationships/drawing" Target="../drawings/drawing120.xml"/></Relationships>
</file>

<file path=xl/worksheets/_rels/sheet123.xml.rels><?xml version="1.0" encoding="UTF-8" standalone="yes"?>
<Relationships xmlns="http://schemas.openxmlformats.org/package/2006/relationships"><Relationship Id="rId3" Type="http://schemas.openxmlformats.org/officeDocument/2006/relationships/vmlDrawing" Target="../drawings/vmlDrawing166.vml"/><Relationship Id="rId2" Type="http://schemas.openxmlformats.org/officeDocument/2006/relationships/drawing" Target="../drawings/drawing121.xml"/><Relationship Id="rId1" Type="http://schemas.openxmlformats.org/officeDocument/2006/relationships/printerSettings" Target="../printerSettings/printerSettings108.bin"/><Relationship Id="rId5" Type="http://schemas.openxmlformats.org/officeDocument/2006/relationships/comments" Target="../comments98.xml"/><Relationship Id="rId4" Type="http://schemas.openxmlformats.org/officeDocument/2006/relationships/vmlDrawing" Target="../drawings/vmlDrawing167.vml"/></Relationships>
</file>

<file path=xl/worksheets/_rels/sheet124.xml.rels><?xml version="1.0" encoding="UTF-8" standalone="yes"?>
<Relationships xmlns="http://schemas.openxmlformats.org/package/2006/relationships"><Relationship Id="rId3" Type="http://schemas.openxmlformats.org/officeDocument/2006/relationships/vmlDrawing" Target="../drawings/vmlDrawing168.vml"/><Relationship Id="rId2" Type="http://schemas.openxmlformats.org/officeDocument/2006/relationships/drawing" Target="../drawings/drawing122.xml"/><Relationship Id="rId1" Type="http://schemas.openxmlformats.org/officeDocument/2006/relationships/printerSettings" Target="../printerSettings/printerSettings109.bin"/><Relationship Id="rId5" Type="http://schemas.openxmlformats.org/officeDocument/2006/relationships/comments" Target="../comments99.xml"/><Relationship Id="rId4" Type="http://schemas.openxmlformats.org/officeDocument/2006/relationships/vmlDrawing" Target="../drawings/vmlDrawing169.vml"/></Relationships>
</file>

<file path=xl/worksheets/_rels/sheet125.xml.rels><?xml version="1.0" encoding="UTF-8" standalone="yes"?>
<Relationships xmlns="http://schemas.openxmlformats.org/package/2006/relationships"><Relationship Id="rId3" Type="http://schemas.openxmlformats.org/officeDocument/2006/relationships/vmlDrawing" Target="../drawings/vmlDrawing170.vml"/><Relationship Id="rId2" Type="http://schemas.openxmlformats.org/officeDocument/2006/relationships/drawing" Target="../drawings/drawing123.xml"/><Relationship Id="rId1" Type="http://schemas.openxmlformats.org/officeDocument/2006/relationships/printerSettings" Target="../printerSettings/printerSettings110.bin"/><Relationship Id="rId5" Type="http://schemas.openxmlformats.org/officeDocument/2006/relationships/comments" Target="../comments100.xml"/><Relationship Id="rId4" Type="http://schemas.openxmlformats.org/officeDocument/2006/relationships/vmlDrawing" Target="../drawings/vmlDrawing171.vml"/></Relationships>
</file>

<file path=xl/worksheets/_rels/sheet126.xml.rels><?xml version="1.0" encoding="UTF-8" standalone="yes"?>
<Relationships xmlns="http://schemas.openxmlformats.org/package/2006/relationships"><Relationship Id="rId3" Type="http://schemas.openxmlformats.org/officeDocument/2006/relationships/vmlDrawing" Target="../drawings/vmlDrawing172.vml"/><Relationship Id="rId2" Type="http://schemas.openxmlformats.org/officeDocument/2006/relationships/drawing" Target="../drawings/drawing124.xml"/><Relationship Id="rId1" Type="http://schemas.openxmlformats.org/officeDocument/2006/relationships/printerSettings" Target="../printerSettings/printerSettings111.bin"/></Relationships>
</file>

<file path=xl/worksheets/_rels/sheet127.xml.rels><?xml version="1.0" encoding="UTF-8" standalone="yes"?>
<Relationships xmlns="http://schemas.openxmlformats.org/package/2006/relationships"><Relationship Id="rId3" Type="http://schemas.openxmlformats.org/officeDocument/2006/relationships/vmlDrawing" Target="../drawings/vmlDrawing173.vml"/><Relationship Id="rId2" Type="http://schemas.openxmlformats.org/officeDocument/2006/relationships/drawing" Target="../drawings/drawing125.xml"/><Relationship Id="rId1" Type="http://schemas.openxmlformats.org/officeDocument/2006/relationships/printerSettings" Target="../printerSettings/printerSettings112.bin"/><Relationship Id="rId5" Type="http://schemas.openxmlformats.org/officeDocument/2006/relationships/comments" Target="../comments101.xml"/><Relationship Id="rId4" Type="http://schemas.openxmlformats.org/officeDocument/2006/relationships/vmlDrawing" Target="../drawings/vmlDrawing174.vml"/></Relationships>
</file>

<file path=xl/worksheets/_rels/sheet128.xml.rels><?xml version="1.0" encoding="UTF-8" standalone="yes"?>
<Relationships xmlns="http://schemas.openxmlformats.org/package/2006/relationships"><Relationship Id="rId3" Type="http://schemas.openxmlformats.org/officeDocument/2006/relationships/vmlDrawing" Target="../drawings/vmlDrawing175.vml"/><Relationship Id="rId2" Type="http://schemas.openxmlformats.org/officeDocument/2006/relationships/drawing" Target="../drawings/drawing126.xml"/><Relationship Id="rId1" Type="http://schemas.openxmlformats.org/officeDocument/2006/relationships/printerSettings" Target="../printerSettings/printerSettings113.bin"/><Relationship Id="rId4" Type="http://schemas.openxmlformats.org/officeDocument/2006/relationships/comments" Target="../comments10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3.bin"/><Relationship Id="rId5" Type="http://schemas.openxmlformats.org/officeDocument/2006/relationships/comments" Target="../comments7.xml"/><Relationship Id="rId4" Type="http://schemas.openxmlformats.org/officeDocument/2006/relationships/vmlDrawing" Target="../drawings/vmlDrawing9.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4.bin"/><Relationship Id="rId5" Type="http://schemas.openxmlformats.org/officeDocument/2006/relationships/comments" Target="../comments8.xml"/><Relationship Id="rId4" Type="http://schemas.openxmlformats.org/officeDocument/2006/relationships/vmlDrawing" Target="../drawings/vmlDrawing11.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5.bin"/><Relationship Id="rId5" Type="http://schemas.openxmlformats.org/officeDocument/2006/relationships/comments" Target="../comments9.xml"/><Relationship Id="rId4" Type="http://schemas.openxmlformats.org/officeDocument/2006/relationships/vmlDrawing" Target="../drawings/vmlDrawing13.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7.bin"/><Relationship Id="rId4" Type="http://schemas.openxmlformats.org/officeDocument/2006/relationships/comments" Target="../comments10.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1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13.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14.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3.bin"/><Relationship Id="rId5" Type="http://schemas.openxmlformats.org/officeDocument/2006/relationships/comments" Target="../comments16.xml"/><Relationship Id="rId4" Type="http://schemas.openxmlformats.org/officeDocument/2006/relationships/vmlDrawing" Target="../drawings/vmlDrawing22.v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4.bin"/><Relationship Id="rId5" Type="http://schemas.openxmlformats.org/officeDocument/2006/relationships/comments" Target="../comments17.xml"/><Relationship Id="rId4" Type="http://schemas.openxmlformats.org/officeDocument/2006/relationships/vmlDrawing" Target="../drawings/vmlDrawing24.v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5.bin"/><Relationship Id="rId5" Type="http://schemas.openxmlformats.org/officeDocument/2006/relationships/comments" Target="../comments18.xml"/><Relationship Id="rId4" Type="http://schemas.openxmlformats.org/officeDocument/2006/relationships/vmlDrawing" Target="../drawings/vmlDrawing26.v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5.xml"/><Relationship Id="rId1" Type="http://schemas.openxmlformats.org/officeDocument/2006/relationships/printerSettings" Target="../printerSettings/printerSettings26.bin"/><Relationship Id="rId5" Type="http://schemas.openxmlformats.org/officeDocument/2006/relationships/comments" Target="../comments19.xml"/><Relationship Id="rId4" Type="http://schemas.openxmlformats.org/officeDocument/2006/relationships/vmlDrawing" Target="../drawings/vmlDrawing28.v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30.vml"/><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8.xml"/><Relationship Id="rId1" Type="http://schemas.openxmlformats.org/officeDocument/2006/relationships/printerSettings" Target="../printerSettings/printerSettings28.bin"/><Relationship Id="rId4" Type="http://schemas.openxmlformats.org/officeDocument/2006/relationships/comments" Target="../comments21.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29.xml"/><Relationship Id="rId1" Type="http://schemas.openxmlformats.org/officeDocument/2006/relationships/printerSettings" Target="../printerSettings/printerSettings29.bin"/><Relationship Id="rId4" Type="http://schemas.openxmlformats.org/officeDocument/2006/relationships/comments" Target="../comments22.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0.xml"/><Relationship Id="rId1" Type="http://schemas.openxmlformats.org/officeDocument/2006/relationships/printerSettings" Target="../printerSettings/printerSettings30.bin"/><Relationship Id="rId4" Type="http://schemas.openxmlformats.org/officeDocument/2006/relationships/comments" Target="../comments2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1.xml"/><Relationship Id="rId1" Type="http://schemas.openxmlformats.org/officeDocument/2006/relationships/printerSettings" Target="../printerSettings/printerSettings31.bin"/><Relationship Id="rId4" Type="http://schemas.openxmlformats.org/officeDocument/2006/relationships/comments" Target="../comments24.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5.vml"/><Relationship Id="rId1"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4.xml"/><Relationship Id="rId1" Type="http://schemas.openxmlformats.org/officeDocument/2006/relationships/printerSettings" Target="../printerSettings/printerSettings33.bin"/><Relationship Id="rId4" Type="http://schemas.openxmlformats.org/officeDocument/2006/relationships/comments" Target="../comments26.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5.xml"/><Relationship Id="rId1" Type="http://schemas.openxmlformats.org/officeDocument/2006/relationships/printerSettings" Target="../printerSettings/printerSettings34.bin"/><Relationship Id="rId4" Type="http://schemas.openxmlformats.org/officeDocument/2006/relationships/comments" Target="../comments27.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6.xml"/><Relationship Id="rId1" Type="http://schemas.openxmlformats.org/officeDocument/2006/relationships/printerSettings" Target="../printerSettings/printerSettings35.bin"/><Relationship Id="rId4" Type="http://schemas.openxmlformats.org/officeDocument/2006/relationships/comments" Target="../comments28.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7.xml"/><Relationship Id="rId1" Type="http://schemas.openxmlformats.org/officeDocument/2006/relationships/printerSettings" Target="../printerSettings/printerSettings36.bin"/><Relationship Id="rId4" Type="http://schemas.openxmlformats.org/officeDocument/2006/relationships/comments" Target="../comments29.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40.vml"/><Relationship Id="rId1" Type="http://schemas.openxmlformats.org/officeDocument/2006/relationships/drawing" Target="../drawings/drawing39.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0.xml"/><Relationship Id="rId1" Type="http://schemas.openxmlformats.org/officeDocument/2006/relationships/printerSettings" Target="../printerSettings/printerSettings38.bin"/><Relationship Id="rId5" Type="http://schemas.openxmlformats.org/officeDocument/2006/relationships/comments" Target="../comments31.xml"/><Relationship Id="rId4" Type="http://schemas.openxmlformats.org/officeDocument/2006/relationships/vmlDrawing" Target="../drawings/vmlDrawing42.v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1.xml"/><Relationship Id="rId1" Type="http://schemas.openxmlformats.org/officeDocument/2006/relationships/printerSettings" Target="../printerSettings/printerSettings39.bin"/><Relationship Id="rId5" Type="http://schemas.openxmlformats.org/officeDocument/2006/relationships/comments" Target="../comments32.xml"/><Relationship Id="rId4" Type="http://schemas.openxmlformats.org/officeDocument/2006/relationships/vmlDrawing" Target="../drawings/vmlDrawing44.v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2.xml"/><Relationship Id="rId1" Type="http://schemas.openxmlformats.org/officeDocument/2006/relationships/printerSettings" Target="../printerSettings/printerSettings40.bin"/><Relationship Id="rId5" Type="http://schemas.openxmlformats.org/officeDocument/2006/relationships/comments" Target="../comments33.xml"/><Relationship Id="rId4" Type="http://schemas.openxmlformats.org/officeDocument/2006/relationships/vmlDrawing" Target="../drawings/vmlDrawing46.v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3.xml"/><Relationship Id="rId1" Type="http://schemas.openxmlformats.org/officeDocument/2006/relationships/printerSettings" Target="../printerSettings/printerSettings41.bin"/><Relationship Id="rId5" Type="http://schemas.openxmlformats.org/officeDocument/2006/relationships/comments" Target="../comments34.xml"/><Relationship Id="rId4" Type="http://schemas.openxmlformats.org/officeDocument/2006/relationships/vmlDrawing" Target="../drawings/vmlDrawing4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44.x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50.vml"/><Relationship Id="rId1" Type="http://schemas.openxmlformats.org/officeDocument/2006/relationships/drawing" Target="../drawings/drawing45.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46.xml"/><Relationship Id="rId1" Type="http://schemas.openxmlformats.org/officeDocument/2006/relationships/printerSettings" Target="../printerSettings/printerSettings43.bin"/><Relationship Id="rId4" Type="http://schemas.openxmlformats.org/officeDocument/2006/relationships/comments" Target="../comments36.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47.xml"/><Relationship Id="rId1" Type="http://schemas.openxmlformats.org/officeDocument/2006/relationships/printerSettings" Target="../printerSettings/printerSettings44.bin"/><Relationship Id="rId4" Type="http://schemas.openxmlformats.org/officeDocument/2006/relationships/comments" Target="../comments37.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48.xml"/><Relationship Id="rId1" Type="http://schemas.openxmlformats.org/officeDocument/2006/relationships/printerSettings" Target="../printerSettings/printerSettings45.bin"/><Relationship Id="rId4" Type="http://schemas.openxmlformats.org/officeDocument/2006/relationships/comments" Target="../comments38.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49.xml"/><Relationship Id="rId1" Type="http://schemas.openxmlformats.org/officeDocument/2006/relationships/printerSettings" Target="../printerSettings/printerSettings46.bin"/><Relationship Id="rId4" Type="http://schemas.openxmlformats.org/officeDocument/2006/relationships/comments" Target="../comments39.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55.vml"/><Relationship Id="rId1" Type="http://schemas.openxmlformats.org/officeDocument/2006/relationships/drawing" Target="../drawings/drawing51.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52.xml"/><Relationship Id="rId1" Type="http://schemas.openxmlformats.org/officeDocument/2006/relationships/printerSettings" Target="../printerSettings/printerSettings48.bin"/><Relationship Id="rId4" Type="http://schemas.openxmlformats.org/officeDocument/2006/relationships/comments" Target="../comments41.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53.xml"/><Relationship Id="rId1" Type="http://schemas.openxmlformats.org/officeDocument/2006/relationships/printerSettings" Target="../printerSettings/printerSettings49.bin"/><Relationship Id="rId4" Type="http://schemas.openxmlformats.org/officeDocument/2006/relationships/comments" Target="../comments42.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54.xml"/><Relationship Id="rId1" Type="http://schemas.openxmlformats.org/officeDocument/2006/relationships/printerSettings" Target="../printerSettings/printerSettings50.bin"/><Relationship Id="rId4" Type="http://schemas.openxmlformats.org/officeDocument/2006/relationships/comments" Target="../comments43.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59.vml"/><Relationship Id="rId1" Type="http://schemas.openxmlformats.org/officeDocument/2006/relationships/drawing" Target="../drawings/drawing56.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57.xml"/><Relationship Id="rId1" Type="http://schemas.openxmlformats.org/officeDocument/2006/relationships/printerSettings" Target="../printerSettings/printerSettings52.bin"/><Relationship Id="rId5" Type="http://schemas.openxmlformats.org/officeDocument/2006/relationships/comments" Target="../comments45.xml"/><Relationship Id="rId4" Type="http://schemas.openxmlformats.org/officeDocument/2006/relationships/vmlDrawing" Target="../drawings/vmlDrawing61.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58.xml"/><Relationship Id="rId1" Type="http://schemas.openxmlformats.org/officeDocument/2006/relationships/printerSettings" Target="../printerSettings/printerSettings53.bin"/><Relationship Id="rId5" Type="http://schemas.openxmlformats.org/officeDocument/2006/relationships/comments" Target="../comments46.xml"/><Relationship Id="rId4" Type="http://schemas.openxmlformats.org/officeDocument/2006/relationships/vmlDrawing" Target="../drawings/vmlDrawing63.v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59.xml"/><Relationship Id="rId1" Type="http://schemas.openxmlformats.org/officeDocument/2006/relationships/printerSettings" Target="../printerSettings/printerSettings54.bin"/><Relationship Id="rId5" Type="http://schemas.openxmlformats.org/officeDocument/2006/relationships/comments" Target="../comments47.xml"/><Relationship Id="rId4" Type="http://schemas.openxmlformats.org/officeDocument/2006/relationships/vmlDrawing" Target="../drawings/vmlDrawing65.v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60.xml"/><Relationship Id="rId1" Type="http://schemas.openxmlformats.org/officeDocument/2006/relationships/printerSettings" Target="../printerSettings/printerSettings55.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61.xml"/><Relationship Id="rId1" Type="http://schemas.openxmlformats.org/officeDocument/2006/relationships/printerSettings" Target="../printerSettings/printerSettings56.bin"/><Relationship Id="rId4" Type="http://schemas.openxmlformats.org/officeDocument/2006/relationships/comments" Target="../comments48.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62.xml"/><Relationship Id="rId1" Type="http://schemas.openxmlformats.org/officeDocument/2006/relationships/printerSettings" Target="../printerSettings/printerSettings57.bin"/><Relationship Id="rId5" Type="http://schemas.openxmlformats.org/officeDocument/2006/relationships/comments" Target="../comments49.xml"/><Relationship Id="rId4" Type="http://schemas.openxmlformats.org/officeDocument/2006/relationships/vmlDrawing" Target="../drawings/vmlDrawing69.v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63.xml"/><Relationship Id="rId1" Type="http://schemas.openxmlformats.org/officeDocument/2006/relationships/printerSettings" Target="../printerSettings/printerSettings58.bin"/><Relationship Id="rId5" Type="http://schemas.openxmlformats.org/officeDocument/2006/relationships/comments" Target="../comments50.xml"/><Relationship Id="rId4" Type="http://schemas.openxmlformats.org/officeDocument/2006/relationships/vmlDrawing" Target="../drawings/vmlDrawing71.v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drawing" Target="../drawings/drawing64.xml"/><Relationship Id="rId1" Type="http://schemas.openxmlformats.org/officeDocument/2006/relationships/printerSettings" Target="../printerSettings/printerSettings59.bin"/><Relationship Id="rId5" Type="http://schemas.openxmlformats.org/officeDocument/2006/relationships/comments" Target="../comments51.xml"/><Relationship Id="rId4" Type="http://schemas.openxmlformats.org/officeDocument/2006/relationships/vmlDrawing" Target="../drawings/vmlDrawing73.v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74.vml"/><Relationship Id="rId2" Type="http://schemas.openxmlformats.org/officeDocument/2006/relationships/drawing" Target="../drawings/drawing65.xml"/><Relationship Id="rId1" Type="http://schemas.openxmlformats.org/officeDocument/2006/relationships/printerSettings" Target="../printerSettings/printerSettings60.bin"/><Relationship Id="rId5" Type="http://schemas.openxmlformats.org/officeDocument/2006/relationships/comments" Target="../comments52.xml"/><Relationship Id="rId4" Type="http://schemas.openxmlformats.org/officeDocument/2006/relationships/vmlDrawing" Target="../drawings/vmlDrawing75.v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76.vml"/><Relationship Id="rId2" Type="http://schemas.openxmlformats.org/officeDocument/2006/relationships/drawing" Target="../drawings/drawing66.xml"/><Relationship Id="rId1" Type="http://schemas.openxmlformats.org/officeDocument/2006/relationships/printerSettings" Target="../printerSettings/printerSettings61.bin"/></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77.vml"/><Relationship Id="rId2" Type="http://schemas.openxmlformats.org/officeDocument/2006/relationships/drawing" Target="../drawings/drawing67.xml"/><Relationship Id="rId1" Type="http://schemas.openxmlformats.org/officeDocument/2006/relationships/printerSettings" Target="../printerSettings/printerSettings62.bin"/><Relationship Id="rId4" Type="http://schemas.openxmlformats.org/officeDocument/2006/relationships/comments" Target="../comments5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78.vml"/><Relationship Id="rId2" Type="http://schemas.openxmlformats.org/officeDocument/2006/relationships/drawing" Target="../drawings/drawing68.xml"/><Relationship Id="rId1" Type="http://schemas.openxmlformats.org/officeDocument/2006/relationships/printerSettings" Target="../printerSettings/printerSettings63.bin"/><Relationship Id="rId5" Type="http://schemas.openxmlformats.org/officeDocument/2006/relationships/comments" Target="../comments54.xml"/><Relationship Id="rId4" Type="http://schemas.openxmlformats.org/officeDocument/2006/relationships/vmlDrawing" Target="../drawings/vmlDrawing79.v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80.vml"/><Relationship Id="rId2" Type="http://schemas.openxmlformats.org/officeDocument/2006/relationships/drawing" Target="../drawings/drawing69.xml"/><Relationship Id="rId1" Type="http://schemas.openxmlformats.org/officeDocument/2006/relationships/printerSettings" Target="../printerSettings/printerSettings64.bin"/><Relationship Id="rId5" Type="http://schemas.openxmlformats.org/officeDocument/2006/relationships/comments" Target="../comments55.xml"/><Relationship Id="rId4" Type="http://schemas.openxmlformats.org/officeDocument/2006/relationships/vmlDrawing" Target="../drawings/vmlDrawing81.v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82.vml"/><Relationship Id="rId2" Type="http://schemas.openxmlformats.org/officeDocument/2006/relationships/drawing" Target="../drawings/drawing70.xml"/><Relationship Id="rId1" Type="http://schemas.openxmlformats.org/officeDocument/2006/relationships/printerSettings" Target="../printerSettings/printerSettings65.bin"/><Relationship Id="rId5" Type="http://schemas.openxmlformats.org/officeDocument/2006/relationships/comments" Target="../comments56.xml"/><Relationship Id="rId4" Type="http://schemas.openxmlformats.org/officeDocument/2006/relationships/vmlDrawing" Target="../drawings/vmlDrawing83.vml"/></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84.vml"/><Relationship Id="rId2" Type="http://schemas.openxmlformats.org/officeDocument/2006/relationships/drawing" Target="../drawings/drawing71.xml"/><Relationship Id="rId1" Type="http://schemas.openxmlformats.org/officeDocument/2006/relationships/printerSettings" Target="../printerSettings/printerSettings66.bin"/><Relationship Id="rId5" Type="http://schemas.openxmlformats.org/officeDocument/2006/relationships/comments" Target="../comments57.xml"/><Relationship Id="rId4" Type="http://schemas.openxmlformats.org/officeDocument/2006/relationships/vmlDrawing" Target="../drawings/vmlDrawing85.vml"/></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86.vml"/><Relationship Id="rId2" Type="http://schemas.openxmlformats.org/officeDocument/2006/relationships/drawing" Target="../drawings/drawing72.xml"/><Relationship Id="rId1" Type="http://schemas.openxmlformats.org/officeDocument/2006/relationships/printerSettings" Target="../printerSettings/printerSettings67.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58.xml"/><Relationship Id="rId2" Type="http://schemas.openxmlformats.org/officeDocument/2006/relationships/vmlDrawing" Target="../drawings/vmlDrawing87.vml"/><Relationship Id="rId1" Type="http://schemas.openxmlformats.org/officeDocument/2006/relationships/drawing" Target="../drawings/drawing73.xml"/></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88.vml"/><Relationship Id="rId2" Type="http://schemas.openxmlformats.org/officeDocument/2006/relationships/drawing" Target="../drawings/drawing74.xml"/><Relationship Id="rId1" Type="http://schemas.openxmlformats.org/officeDocument/2006/relationships/printerSettings" Target="../printerSettings/printerSettings68.bin"/><Relationship Id="rId5" Type="http://schemas.openxmlformats.org/officeDocument/2006/relationships/comments" Target="../comments59.xml"/><Relationship Id="rId4" Type="http://schemas.openxmlformats.org/officeDocument/2006/relationships/vmlDrawing" Target="../drawings/vmlDrawing89.vml"/></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90.vml"/><Relationship Id="rId2" Type="http://schemas.openxmlformats.org/officeDocument/2006/relationships/drawing" Target="../drawings/drawing75.xml"/><Relationship Id="rId1" Type="http://schemas.openxmlformats.org/officeDocument/2006/relationships/printerSettings" Target="../printerSettings/printerSettings69.bin"/><Relationship Id="rId5" Type="http://schemas.openxmlformats.org/officeDocument/2006/relationships/comments" Target="../comments60.xml"/><Relationship Id="rId4" Type="http://schemas.openxmlformats.org/officeDocument/2006/relationships/vmlDrawing" Target="../drawings/vmlDrawing91.vml"/></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92.vml"/><Relationship Id="rId2" Type="http://schemas.openxmlformats.org/officeDocument/2006/relationships/drawing" Target="../drawings/drawing76.xml"/><Relationship Id="rId1" Type="http://schemas.openxmlformats.org/officeDocument/2006/relationships/printerSettings" Target="../printerSettings/printerSettings70.bin"/><Relationship Id="rId5" Type="http://schemas.openxmlformats.org/officeDocument/2006/relationships/comments" Target="../comments61.xml"/><Relationship Id="rId4" Type="http://schemas.openxmlformats.org/officeDocument/2006/relationships/vmlDrawing" Target="../drawings/vmlDrawing93.vml"/></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94.vml"/><Relationship Id="rId2" Type="http://schemas.openxmlformats.org/officeDocument/2006/relationships/drawing" Target="../drawings/drawing77.xml"/><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80.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vmlDrawing" Target="../drawings/vmlDrawing95.vml"/><Relationship Id="rId1" Type="http://schemas.openxmlformats.org/officeDocument/2006/relationships/drawing" Target="../drawings/drawing78.xml"/></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96.vml"/><Relationship Id="rId2" Type="http://schemas.openxmlformats.org/officeDocument/2006/relationships/drawing" Target="../drawings/drawing79.xml"/><Relationship Id="rId1" Type="http://schemas.openxmlformats.org/officeDocument/2006/relationships/printerSettings" Target="../printerSettings/printerSettings72.bin"/><Relationship Id="rId5" Type="http://schemas.openxmlformats.org/officeDocument/2006/relationships/comments" Target="../comments63.xml"/><Relationship Id="rId4" Type="http://schemas.openxmlformats.org/officeDocument/2006/relationships/vmlDrawing" Target="../drawings/vmlDrawing97.vml"/></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98.vml"/><Relationship Id="rId2" Type="http://schemas.openxmlformats.org/officeDocument/2006/relationships/drawing" Target="../drawings/drawing80.xml"/><Relationship Id="rId1" Type="http://schemas.openxmlformats.org/officeDocument/2006/relationships/printerSettings" Target="../printerSettings/printerSettings73.bin"/><Relationship Id="rId5" Type="http://schemas.openxmlformats.org/officeDocument/2006/relationships/comments" Target="../comments64.xml"/><Relationship Id="rId4" Type="http://schemas.openxmlformats.org/officeDocument/2006/relationships/vmlDrawing" Target="../drawings/vmlDrawing99.vml"/></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100.vml"/><Relationship Id="rId2" Type="http://schemas.openxmlformats.org/officeDocument/2006/relationships/drawing" Target="../drawings/drawing81.xml"/><Relationship Id="rId1" Type="http://schemas.openxmlformats.org/officeDocument/2006/relationships/printerSettings" Target="../printerSettings/printerSettings74.bin"/><Relationship Id="rId5" Type="http://schemas.openxmlformats.org/officeDocument/2006/relationships/comments" Target="../comments65.xml"/><Relationship Id="rId4" Type="http://schemas.openxmlformats.org/officeDocument/2006/relationships/vmlDrawing" Target="../drawings/vmlDrawing101.vml"/></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102.vml"/><Relationship Id="rId2" Type="http://schemas.openxmlformats.org/officeDocument/2006/relationships/drawing" Target="../drawings/drawing82.xml"/><Relationship Id="rId1" Type="http://schemas.openxmlformats.org/officeDocument/2006/relationships/printerSettings" Target="../printerSettings/printerSettings75.bin"/><Relationship Id="rId5" Type="http://schemas.openxmlformats.org/officeDocument/2006/relationships/comments" Target="../comments66.xml"/><Relationship Id="rId4" Type="http://schemas.openxmlformats.org/officeDocument/2006/relationships/vmlDrawing" Target="../drawings/vmlDrawing103.vml"/></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104.vml"/><Relationship Id="rId2" Type="http://schemas.openxmlformats.org/officeDocument/2006/relationships/drawing" Target="../drawings/drawing83.xml"/><Relationship Id="rId1" Type="http://schemas.openxmlformats.org/officeDocument/2006/relationships/printerSettings" Target="../printerSettings/printerSettings76.bin"/></Relationships>
</file>

<file path=xl/worksheets/_rels/sheet86.xml.rels><?xml version="1.0" encoding="UTF-8" standalone="yes"?>
<Relationships xmlns="http://schemas.openxmlformats.org/package/2006/relationships"><Relationship Id="rId3" Type="http://schemas.openxmlformats.org/officeDocument/2006/relationships/comments" Target="../comments67.xml"/><Relationship Id="rId2" Type="http://schemas.openxmlformats.org/officeDocument/2006/relationships/vmlDrawing" Target="../drawings/vmlDrawing105.vml"/><Relationship Id="rId1" Type="http://schemas.openxmlformats.org/officeDocument/2006/relationships/drawing" Target="../drawings/drawing84.xml"/></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106.vml"/><Relationship Id="rId2" Type="http://schemas.openxmlformats.org/officeDocument/2006/relationships/drawing" Target="../drawings/drawing85.xml"/><Relationship Id="rId1" Type="http://schemas.openxmlformats.org/officeDocument/2006/relationships/printerSettings" Target="../printerSettings/printerSettings77.bin"/><Relationship Id="rId5" Type="http://schemas.openxmlformats.org/officeDocument/2006/relationships/comments" Target="../comments68.xml"/><Relationship Id="rId4" Type="http://schemas.openxmlformats.org/officeDocument/2006/relationships/vmlDrawing" Target="../drawings/vmlDrawing107.vm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108.vml"/><Relationship Id="rId2" Type="http://schemas.openxmlformats.org/officeDocument/2006/relationships/drawing" Target="../drawings/drawing86.xml"/><Relationship Id="rId1" Type="http://schemas.openxmlformats.org/officeDocument/2006/relationships/printerSettings" Target="../printerSettings/printerSettings78.bin"/><Relationship Id="rId5" Type="http://schemas.openxmlformats.org/officeDocument/2006/relationships/comments" Target="../comments69.xml"/><Relationship Id="rId4" Type="http://schemas.openxmlformats.org/officeDocument/2006/relationships/vmlDrawing" Target="../drawings/vmlDrawing109.vml"/></Relationships>
</file>

<file path=xl/worksheets/_rels/sheet89.xml.rels><?xml version="1.0" encoding="UTF-8" standalone="yes"?>
<Relationships xmlns="http://schemas.openxmlformats.org/package/2006/relationships"><Relationship Id="rId3" Type="http://schemas.openxmlformats.org/officeDocument/2006/relationships/vmlDrawing" Target="../drawings/vmlDrawing110.vml"/><Relationship Id="rId2" Type="http://schemas.openxmlformats.org/officeDocument/2006/relationships/drawing" Target="../drawings/drawing87.xml"/><Relationship Id="rId1" Type="http://schemas.openxmlformats.org/officeDocument/2006/relationships/printerSettings" Target="../printerSettings/printerSettings79.bin"/><Relationship Id="rId5" Type="http://schemas.openxmlformats.org/officeDocument/2006/relationships/comments" Target="../comments70.xml"/><Relationship Id="rId4" Type="http://schemas.openxmlformats.org/officeDocument/2006/relationships/vmlDrawing" Target="../drawings/vmlDrawing111.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vmlDrawing" Target="../drawings/vmlDrawing112.vml"/><Relationship Id="rId2" Type="http://schemas.openxmlformats.org/officeDocument/2006/relationships/drawing" Target="../drawings/drawing88.xml"/><Relationship Id="rId1" Type="http://schemas.openxmlformats.org/officeDocument/2006/relationships/printerSettings" Target="../printerSettings/printerSettings80.bin"/><Relationship Id="rId5" Type="http://schemas.openxmlformats.org/officeDocument/2006/relationships/comments" Target="../comments71.xml"/><Relationship Id="rId4" Type="http://schemas.openxmlformats.org/officeDocument/2006/relationships/vmlDrawing" Target="../drawings/vmlDrawing113.vml"/></Relationships>
</file>

<file path=xl/worksheets/_rels/sheet91.xml.rels><?xml version="1.0" encoding="UTF-8" standalone="yes"?>
<Relationships xmlns="http://schemas.openxmlformats.org/package/2006/relationships"><Relationship Id="rId3" Type="http://schemas.openxmlformats.org/officeDocument/2006/relationships/vmlDrawing" Target="../drawings/vmlDrawing114.vml"/><Relationship Id="rId2" Type="http://schemas.openxmlformats.org/officeDocument/2006/relationships/drawing" Target="../drawings/drawing89.xml"/><Relationship Id="rId1" Type="http://schemas.openxmlformats.org/officeDocument/2006/relationships/printerSettings" Target="../printerSettings/printerSettings81.bin"/></Relationships>
</file>

<file path=xl/worksheets/_rels/sheet92.xml.rels><?xml version="1.0" encoding="UTF-8" standalone="yes"?>
<Relationships xmlns="http://schemas.openxmlformats.org/package/2006/relationships"><Relationship Id="rId3" Type="http://schemas.openxmlformats.org/officeDocument/2006/relationships/comments" Target="../comments72.xml"/><Relationship Id="rId2" Type="http://schemas.openxmlformats.org/officeDocument/2006/relationships/vmlDrawing" Target="../drawings/vmlDrawing115.vml"/><Relationship Id="rId1" Type="http://schemas.openxmlformats.org/officeDocument/2006/relationships/drawing" Target="../drawings/drawing90.xml"/></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116.vml"/><Relationship Id="rId2" Type="http://schemas.openxmlformats.org/officeDocument/2006/relationships/drawing" Target="../drawings/drawing91.xml"/><Relationship Id="rId1" Type="http://schemas.openxmlformats.org/officeDocument/2006/relationships/printerSettings" Target="../printerSettings/printerSettings82.bin"/><Relationship Id="rId5" Type="http://schemas.openxmlformats.org/officeDocument/2006/relationships/comments" Target="../comments73.xml"/><Relationship Id="rId4" Type="http://schemas.openxmlformats.org/officeDocument/2006/relationships/vmlDrawing" Target="../drawings/vmlDrawing117.vml"/></Relationships>
</file>

<file path=xl/worksheets/_rels/sheet94.xml.rels><?xml version="1.0" encoding="UTF-8" standalone="yes"?>
<Relationships xmlns="http://schemas.openxmlformats.org/package/2006/relationships"><Relationship Id="rId3" Type="http://schemas.openxmlformats.org/officeDocument/2006/relationships/vmlDrawing" Target="../drawings/vmlDrawing118.vml"/><Relationship Id="rId2" Type="http://schemas.openxmlformats.org/officeDocument/2006/relationships/drawing" Target="../drawings/drawing92.xml"/><Relationship Id="rId1" Type="http://schemas.openxmlformats.org/officeDocument/2006/relationships/printerSettings" Target="../printerSettings/printerSettings83.bin"/><Relationship Id="rId5" Type="http://schemas.openxmlformats.org/officeDocument/2006/relationships/comments" Target="../comments74.xml"/><Relationship Id="rId4" Type="http://schemas.openxmlformats.org/officeDocument/2006/relationships/vmlDrawing" Target="../drawings/vmlDrawing119.vml"/></Relationships>
</file>

<file path=xl/worksheets/_rels/sheet95.xml.rels><?xml version="1.0" encoding="UTF-8" standalone="yes"?>
<Relationships xmlns="http://schemas.openxmlformats.org/package/2006/relationships"><Relationship Id="rId3" Type="http://schemas.openxmlformats.org/officeDocument/2006/relationships/vmlDrawing" Target="../drawings/vmlDrawing120.vml"/><Relationship Id="rId2" Type="http://schemas.openxmlformats.org/officeDocument/2006/relationships/drawing" Target="../drawings/drawing93.xml"/><Relationship Id="rId1" Type="http://schemas.openxmlformats.org/officeDocument/2006/relationships/printerSettings" Target="../printerSettings/printerSettings84.bin"/><Relationship Id="rId5" Type="http://schemas.openxmlformats.org/officeDocument/2006/relationships/comments" Target="../comments75.xml"/><Relationship Id="rId4" Type="http://schemas.openxmlformats.org/officeDocument/2006/relationships/vmlDrawing" Target="../drawings/vmlDrawing121.vml"/></Relationships>
</file>

<file path=xl/worksheets/_rels/sheet96.xml.rels><?xml version="1.0" encoding="UTF-8" standalone="yes"?>
<Relationships xmlns="http://schemas.openxmlformats.org/package/2006/relationships"><Relationship Id="rId3" Type="http://schemas.openxmlformats.org/officeDocument/2006/relationships/vmlDrawing" Target="../drawings/vmlDrawing122.vml"/><Relationship Id="rId2" Type="http://schemas.openxmlformats.org/officeDocument/2006/relationships/drawing" Target="../drawings/drawing94.xml"/><Relationship Id="rId1" Type="http://schemas.openxmlformats.org/officeDocument/2006/relationships/printerSettings" Target="../printerSettings/printerSettings85.bin"/></Relationships>
</file>

<file path=xl/worksheets/_rels/sheet97.xml.rels><?xml version="1.0" encoding="UTF-8" standalone="yes"?>
<Relationships xmlns="http://schemas.openxmlformats.org/package/2006/relationships"><Relationship Id="rId3" Type="http://schemas.openxmlformats.org/officeDocument/2006/relationships/comments" Target="../comments76.xml"/><Relationship Id="rId2" Type="http://schemas.openxmlformats.org/officeDocument/2006/relationships/vmlDrawing" Target="../drawings/vmlDrawing123.vml"/><Relationship Id="rId1" Type="http://schemas.openxmlformats.org/officeDocument/2006/relationships/drawing" Target="../drawings/drawing95.xml"/></Relationships>
</file>

<file path=xl/worksheets/_rels/sheet98.xml.rels><?xml version="1.0" encoding="UTF-8" standalone="yes"?>
<Relationships xmlns="http://schemas.openxmlformats.org/package/2006/relationships"><Relationship Id="rId3" Type="http://schemas.openxmlformats.org/officeDocument/2006/relationships/vmlDrawing" Target="../drawings/vmlDrawing124.vml"/><Relationship Id="rId2" Type="http://schemas.openxmlformats.org/officeDocument/2006/relationships/drawing" Target="../drawings/drawing96.xml"/><Relationship Id="rId1" Type="http://schemas.openxmlformats.org/officeDocument/2006/relationships/printerSettings" Target="../printerSettings/printerSettings86.bin"/><Relationship Id="rId5" Type="http://schemas.openxmlformats.org/officeDocument/2006/relationships/comments" Target="../comments77.xml"/><Relationship Id="rId4" Type="http://schemas.openxmlformats.org/officeDocument/2006/relationships/vmlDrawing" Target="../drawings/vmlDrawing125.vml"/></Relationships>
</file>

<file path=xl/worksheets/_rels/sheet99.xml.rels><?xml version="1.0" encoding="UTF-8" standalone="yes"?>
<Relationships xmlns="http://schemas.openxmlformats.org/package/2006/relationships"><Relationship Id="rId3" Type="http://schemas.openxmlformats.org/officeDocument/2006/relationships/vmlDrawing" Target="../drawings/vmlDrawing126.vml"/><Relationship Id="rId2" Type="http://schemas.openxmlformats.org/officeDocument/2006/relationships/drawing" Target="../drawings/drawing97.xml"/><Relationship Id="rId1" Type="http://schemas.openxmlformats.org/officeDocument/2006/relationships/printerSettings" Target="../printerSettings/printerSettings87.bin"/><Relationship Id="rId5" Type="http://schemas.openxmlformats.org/officeDocument/2006/relationships/comments" Target="../comments78.xml"/><Relationship Id="rId4" Type="http://schemas.openxmlformats.org/officeDocument/2006/relationships/vmlDrawing" Target="../drawings/vmlDrawing12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BEAE25"/>
  </sheetPr>
  <dimension ref="A1:Z1000"/>
  <sheetViews>
    <sheetView showGridLines="0" tabSelected="1" topLeftCell="C1" workbookViewId="0">
      <selection activeCell="O1" sqref="O1:Q2"/>
    </sheetView>
  </sheetViews>
  <sheetFormatPr baseColWidth="10" defaultColWidth="12.625" defaultRowHeight="15" customHeight="1" x14ac:dyDescent="0.2"/>
  <cols>
    <col min="1" max="1" width="4" customWidth="1"/>
    <col min="2" max="3" width="10" customWidth="1"/>
    <col min="4" max="4" width="17" customWidth="1"/>
    <col min="5" max="5" width="3.875" customWidth="1"/>
    <col min="6" max="6" width="11" customWidth="1"/>
    <col min="7" max="7" width="15.625" customWidth="1"/>
    <col min="8" max="8" width="12.75" customWidth="1"/>
    <col min="9" max="9" width="4.125" customWidth="1"/>
    <col min="10" max="10" width="7.125" customWidth="1"/>
    <col min="11" max="11" width="15.75" customWidth="1"/>
    <col min="12" max="12" width="15.375" customWidth="1"/>
    <col min="13" max="13" width="2.75" customWidth="1"/>
    <col min="14" max="14" width="11" customWidth="1"/>
    <col min="15" max="15" width="10" customWidth="1"/>
    <col min="16" max="16" width="15" customWidth="1"/>
    <col min="17" max="17" width="4.125" customWidth="1"/>
    <col min="18" max="26" width="10" customWidth="1"/>
  </cols>
  <sheetData>
    <row r="1" spans="1:26" ht="14.25" customHeight="1" x14ac:dyDescent="0.2">
      <c r="A1" s="947"/>
      <c r="B1" s="933"/>
      <c r="C1" s="933"/>
      <c r="D1" s="934"/>
      <c r="E1" s="948" t="s">
        <v>0</v>
      </c>
      <c r="F1" s="930"/>
      <c r="G1" s="930"/>
      <c r="H1" s="930"/>
      <c r="I1" s="930"/>
      <c r="J1" s="930"/>
      <c r="K1" s="930"/>
      <c r="L1" s="930"/>
      <c r="M1" s="930"/>
      <c r="N1" s="931"/>
      <c r="O1" s="949" t="s">
        <v>1</v>
      </c>
      <c r="P1" s="930"/>
      <c r="Q1" s="931"/>
      <c r="R1" s="1"/>
      <c r="S1" s="1"/>
      <c r="T1" s="1"/>
      <c r="U1" s="1"/>
      <c r="V1" s="1"/>
      <c r="W1" s="1"/>
      <c r="X1" s="1"/>
      <c r="Y1" s="1"/>
      <c r="Z1" s="1"/>
    </row>
    <row r="2" spans="1:26" ht="14.25" customHeight="1" x14ac:dyDescent="0.2">
      <c r="A2" s="933"/>
      <c r="B2" s="933"/>
      <c r="C2" s="933"/>
      <c r="D2" s="934"/>
      <c r="E2" s="932"/>
      <c r="F2" s="933"/>
      <c r="G2" s="933"/>
      <c r="H2" s="933"/>
      <c r="I2" s="933"/>
      <c r="J2" s="933"/>
      <c r="K2" s="933"/>
      <c r="L2" s="933"/>
      <c r="M2" s="933"/>
      <c r="N2" s="934"/>
      <c r="O2" s="935"/>
      <c r="P2" s="936"/>
      <c r="Q2" s="937"/>
      <c r="R2" s="1"/>
      <c r="S2" s="1"/>
      <c r="T2" s="1"/>
      <c r="U2" s="1"/>
      <c r="V2" s="1"/>
      <c r="W2" s="1"/>
      <c r="X2" s="1"/>
      <c r="Y2" s="1"/>
      <c r="Z2" s="1"/>
    </row>
    <row r="3" spans="1:26" ht="14.25" customHeight="1" x14ac:dyDescent="0.2">
      <c r="A3" s="933"/>
      <c r="B3" s="933"/>
      <c r="C3" s="933"/>
      <c r="D3" s="934"/>
      <c r="E3" s="932"/>
      <c r="F3" s="933"/>
      <c r="G3" s="933"/>
      <c r="H3" s="933"/>
      <c r="I3" s="933"/>
      <c r="J3" s="933"/>
      <c r="K3" s="933"/>
      <c r="L3" s="933"/>
      <c r="M3" s="933"/>
      <c r="N3" s="934"/>
      <c r="O3" s="949" t="s">
        <v>2</v>
      </c>
      <c r="P3" s="930"/>
      <c r="Q3" s="931"/>
      <c r="R3" s="1"/>
      <c r="S3" s="1"/>
      <c r="T3" s="1"/>
      <c r="U3" s="1"/>
      <c r="V3" s="1"/>
      <c r="W3" s="1"/>
      <c r="X3" s="1"/>
      <c r="Y3" s="1"/>
      <c r="Z3" s="1"/>
    </row>
    <row r="4" spans="1:26" ht="14.25" customHeight="1" x14ac:dyDescent="0.2">
      <c r="A4" s="933"/>
      <c r="B4" s="933"/>
      <c r="C4" s="933"/>
      <c r="D4" s="934"/>
      <c r="E4" s="932"/>
      <c r="F4" s="933"/>
      <c r="G4" s="933"/>
      <c r="H4" s="933"/>
      <c r="I4" s="933"/>
      <c r="J4" s="933"/>
      <c r="K4" s="933"/>
      <c r="L4" s="933"/>
      <c r="M4" s="933"/>
      <c r="N4" s="934"/>
      <c r="O4" s="935"/>
      <c r="P4" s="936"/>
      <c r="Q4" s="937"/>
      <c r="R4" s="1"/>
      <c r="S4" s="1"/>
      <c r="T4" s="1"/>
      <c r="U4" s="1"/>
      <c r="V4" s="1"/>
      <c r="W4" s="1"/>
      <c r="X4" s="1"/>
      <c r="Y4" s="1"/>
      <c r="Z4" s="1"/>
    </row>
    <row r="5" spans="1:26" ht="15" customHeight="1" x14ac:dyDescent="0.25">
      <c r="A5" s="933"/>
      <c r="B5" s="933"/>
      <c r="C5" s="933"/>
      <c r="D5" s="934"/>
      <c r="E5" s="935"/>
      <c r="F5" s="936"/>
      <c r="G5" s="936"/>
      <c r="H5" s="936"/>
      <c r="I5" s="936"/>
      <c r="J5" s="936"/>
      <c r="K5" s="936"/>
      <c r="L5" s="936"/>
      <c r="M5" s="936"/>
      <c r="N5" s="937"/>
      <c r="O5" s="950" t="s">
        <v>3</v>
      </c>
      <c r="P5" s="951"/>
      <c r="Q5" s="952"/>
      <c r="R5" s="1"/>
      <c r="S5" s="1"/>
      <c r="T5" s="1"/>
      <c r="U5" s="1"/>
      <c r="V5" s="1"/>
      <c r="W5" s="1"/>
      <c r="X5" s="1"/>
      <c r="Y5" s="1"/>
      <c r="Z5" s="1"/>
    </row>
    <row r="6" spans="1:26" ht="14.25" customHeight="1" x14ac:dyDescent="0.2">
      <c r="A6" s="2"/>
      <c r="B6" s="2"/>
      <c r="C6" s="2"/>
      <c r="D6" s="2"/>
      <c r="E6" s="2"/>
      <c r="F6" s="2"/>
      <c r="G6" s="2"/>
      <c r="H6" s="2"/>
      <c r="I6" s="2"/>
      <c r="J6" s="2"/>
      <c r="K6" s="2"/>
      <c r="L6" s="2"/>
      <c r="M6" s="2"/>
      <c r="N6" s="2"/>
      <c r="O6" s="2"/>
      <c r="P6" s="2"/>
      <c r="Q6" s="2"/>
      <c r="R6" s="1"/>
      <c r="S6" s="1"/>
      <c r="T6" s="1"/>
      <c r="U6" s="1"/>
      <c r="V6" s="1"/>
      <c r="W6" s="1"/>
      <c r="X6" s="1"/>
      <c r="Y6" s="1"/>
      <c r="Z6" s="1"/>
    </row>
    <row r="7" spans="1:26" ht="15.75" customHeight="1" x14ac:dyDescent="0.2">
      <c r="A7" s="2"/>
      <c r="B7" s="953" t="s">
        <v>4</v>
      </c>
      <c r="C7" s="930"/>
      <c r="D7" s="931"/>
      <c r="E7" s="2"/>
      <c r="F7" s="929" t="s">
        <v>5</v>
      </c>
      <c r="G7" s="930"/>
      <c r="H7" s="931"/>
      <c r="I7" s="2"/>
      <c r="J7" s="929" t="s">
        <v>6</v>
      </c>
      <c r="K7" s="930"/>
      <c r="L7" s="931"/>
      <c r="M7" s="2"/>
      <c r="N7" s="929" t="s">
        <v>7</v>
      </c>
      <c r="O7" s="930"/>
      <c r="P7" s="931"/>
      <c r="Q7" s="2"/>
      <c r="R7" s="1"/>
      <c r="S7" s="1"/>
      <c r="T7" s="1"/>
      <c r="U7" s="1"/>
      <c r="V7" s="1"/>
      <c r="W7" s="1"/>
      <c r="X7" s="1"/>
      <c r="Y7" s="1"/>
      <c r="Z7" s="1"/>
    </row>
    <row r="8" spans="1:26" ht="14.25" customHeight="1" x14ac:dyDescent="0.2">
      <c r="A8" s="2"/>
      <c r="B8" s="932"/>
      <c r="C8" s="933"/>
      <c r="D8" s="934"/>
      <c r="E8" s="2"/>
      <c r="F8" s="932"/>
      <c r="G8" s="933"/>
      <c r="H8" s="934"/>
      <c r="I8" s="2"/>
      <c r="J8" s="932"/>
      <c r="K8" s="933"/>
      <c r="L8" s="934"/>
      <c r="M8" s="2"/>
      <c r="N8" s="932"/>
      <c r="O8" s="933"/>
      <c r="P8" s="934"/>
      <c r="Q8" s="2"/>
      <c r="R8" s="1"/>
      <c r="S8" s="1"/>
      <c r="T8" s="1"/>
      <c r="U8" s="1"/>
      <c r="V8" s="1"/>
      <c r="W8" s="1"/>
      <c r="X8" s="1"/>
      <c r="Y8" s="1"/>
      <c r="Z8" s="1"/>
    </row>
    <row r="9" spans="1:26" ht="14.25" customHeight="1" x14ac:dyDescent="0.2">
      <c r="A9" s="2"/>
      <c r="B9" s="932"/>
      <c r="C9" s="933"/>
      <c r="D9" s="934"/>
      <c r="E9" s="2"/>
      <c r="F9" s="932"/>
      <c r="G9" s="933"/>
      <c r="H9" s="934"/>
      <c r="I9" s="2"/>
      <c r="J9" s="932"/>
      <c r="K9" s="933"/>
      <c r="L9" s="934"/>
      <c r="M9" s="2"/>
      <c r="N9" s="932"/>
      <c r="O9" s="933"/>
      <c r="P9" s="934"/>
      <c r="Q9" s="2"/>
      <c r="R9" s="1"/>
      <c r="S9" s="1"/>
      <c r="T9" s="1"/>
      <c r="U9" s="1"/>
      <c r="V9" s="1"/>
      <c r="W9" s="1"/>
      <c r="X9" s="1"/>
      <c r="Y9" s="1"/>
      <c r="Z9" s="1"/>
    </row>
    <row r="10" spans="1:26" ht="14.25" customHeight="1" x14ac:dyDescent="0.2">
      <c r="A10" s="2"/>
      <c r="B10" s="932"/>
      <c r="C10" s="933"/>
      <c r="D10" s="934"/>
      <c r="E10" s="2"/>
      <c r="F10" s="932"/>
      <c r="G10" s="933"/>
      <c r="H10" s="934"/>
      <c r="I10" s="2"/>
      <c r="J10" s="932"/>
      <c r="K10" s="933"/>
      <c r="L10" s="934"/>
      <c r="M10" s="2"/>
      <c r="N10" s="932"/>
      <c r="O10" s="933"/>
      <c r="P10" s="934"/>
      <c r="Q10" s="2"/>
      <c r="R10" s="1"/>
      <c r="S10" s="1"/>
      <c r="T10" s="1"/>
      <c r="U10" s="1"/>
      <c r="V10" s="1"/>
      <c r="W10" s="1"/>
      <c r="X10" s="1"/>
      <c r="Y10" s="1"/>
      <c r="Z10" s="1"/>
    </row>
    <row r="11" spans="1:26" ht="14.25" customHeight="1" x14ac:dyDescent="0.2">
      <c r="A11" s="2"/>
      <c r="B11" s="932"/>
      <c r="C11" s="933"/>
      <c r="D11" s="934"/>
      <c r="E11" s="2"/>
      <c r="F11" s="932"/>
      <c r="G11" s="933"/>
      <c r="H11" s="934"/>
      <c r="I11" s="2"/>
      <c r="J11" s="932"/>
      <c r="K11" s="933"/>
      <c r="L11" s="934"/>
      <c r="M11" s="2"/>
      <c r="N11" s="932"/>
      <c r="O11" s="933"/>
      <c r="P11" s="934"/>
      <c r="Q11" s="2"/>
      <c r="R11" s="1"/>
      <c r="S11" s="1"/>
      <c r="T11" s="1"/>
      <c r="U11" s="1"/>
      <c r="V11" s="1"/>
      <c r="W11" s="1"/>
      <c r="X11" s="1"/>
      <c r="Y11" s="1"/>
      <c r="Z11" s="1"/>
    </row>
    <row r="12" spans="1:26" ht="14.25" customHeight="1" x14ac:dyDescent="0.2">
      <c r="A12" s="2"/>
      <c r="B12" s="935"/>
      <c r="C12" s="936"/>
      <c r="D12" s="937"/>
      <c r="E12" s="2"/>
      <c r="F12" s="935"/>
      <c r="G12" s="936"/>
      <c r="H12" s="937"/>
      <c r="I12" s="2"/>
      <c r="J12" s="935"/>
      <c r="K12" s="936"/>
      <c r="L12" s="937"/>
      <c r="M12" s="2"/>
      <c r="N12" s="935"/>
      <c r="O12" s="936"/>
      <c r="P12" s="937"/>
      <c r="Q12" s="2"/>
      <c r="R12" s="1"/>
      <c r="S12" s="1"/>
      <c r="T12" s="1"/>
      <c r="U12" s="1"/>
      <c r="V12" s="1"/>
      <c r="W12" s="1"/>
      <c r="X12" s="1"/>
      <c r="Y12" s="1"/>
      <c r="Z12" s="1"/>
    </row>
    <row r="13" spans="1:26" ht="14.25" customHeight="1" x14ac:dyDescent="0.2">
      <c r="A13" s="2"/>
      <c r="B13" s="2"/>
      <c r="C13" s="2"/>
      <c r="D13" s="2"/>
      <c r="E13" s="2"/>
      <c r="F13" s="2"/>
      <c r="G13" s="2"/>
      <c r="H13" s="2"/>
      <c r="I13" s="2"/>
      <c r="J13" s="2"/>
      <c r="K13" s="2"/>
      <c r="L13" s="2"/>
      <c r="M13" s="2"/>
      <c r="N13" s="2"/>
      <c r="O13" s="2"/>
      <c r="P13" s="2"/>
      <c r="Q13" s="2"/>
      <c r="R13" s="1"/>
      <c r="S13" s="1"/>
      <c r="T13" s="1"/>
      <c r="U13" s="1"/>
      <c r="V13" s="1"/>
      <c r="W13" s="1"/>
      <c r="X13" s="1"/>
      <c r="Y13" s="1"/>
      <c r="Z13" s="1"/>
    </row>
    <row r="14" spans="1:26" ht="14.25" customHeight="1" x14ac:dyDescent="0.2">
      <c r="A14" s="2"/>
      <c r="B14" s="929" t="s">
        <v>8</v>
      </c>
      <c r="C14" s="930"/>
      <c r="D14" s="931"/>
      <c r="E14" s="2"/>
      <c r="F14" s="929" t="s">
        <v>9</v>
      </c>
      <c r="G14" s="930"/>
      <c r="H14" s="931"/>
      <c r="I14" s="2"/>
      <c r="J14" s="929" t="s">
        <v>10</v>
      </c>
      <c r="K14" s="930"/>
      <c r="L14" s="931"/>
      <c r="M14" s="2"/>
      <c r="N14" s="929" t="s">
        <v>11</v>
      </c>
      <c r="O14" s="930"/>
      <c r="P14" s="931"/>
      <c r="Q14" s="2"/>
      <c r="R14" s="1"/>
      <c r="S14" s="1"/>
      <c r="T14" s="1"/>
      <c r="U14" s="1"/>
      <c r="V14" s="1"/>
      <c r="W14" s="1"/>
      <c r="X14" s="1"/>
      <c r="Y14" s="1"/>
      <c r="Z14" s="1"/>
    </row>
    <row r="15" spans="1:26" ht="14.25" customHeight="1" x14ac:dyDescent="0.2">
      <c r="A15" s="2"/>
      <c r="B15" s="932"/>
      <c r="C15" s="933"/>
      <c r="D15" s="934"/>
      <c r="E15" s="2"/>
      <c r="F15" s="932"/>
      <c r="G15" s="933"/>
      <c r="H15" s="934"/>
      <c r="I15" s="2"/>
      <c r="J15" s="932"/>
      <c r="K15" s="933"/>
      <c r="L15" s="934"/>
      <c r="M15" s="2"/>
      <c r="N15" s="932"/>
      <c r="O15" s="933"/>
      <c r="P15" s="934"/>
      <c r="Q15" s="2"/>
      <c r="R15" s="1"/>
      <c r="S15" s="1"/>
      <c r="T15" s="1"/>
      <c r="U15" s="1"/>
      <c r="V15" s="1"/>
      <c r="W15" s="1"/>
      <c r="X15" s="1"/>
      <c r="Y15" s="1"/>
      <c r="Z15" s="1"/>
    </row>
    <row r="16" spans="1:26" ht="14.25" customHeight="1" x14ac:dyDescent="0.2">
      <c r="A16" s="2"/>
      <c r="B16" s="932"/>
      <c r="C16" s="933"/>
      <c r="D16" s="934"/>
      <c r="E16" s="2"/>
      <c r="F16" s="932"/>
      <c r="G16" s="933"/>
      <c r="H16" s="934"/>
      <c r="I16" s="2"/>
      <c r="J16" s="932"/>
      <c r="K16" s="933"/>
      <c r="L16" s="934"/>
      <c r="M16" s="2"/>
      <c r="N16" s="932"/>
      <c r="O16" s="933"/>
      <c r="P16" s="934"/>
      <c r="Q16" s="2"/>
      <c r="R16" s="1"/>
      <c r="S16" s="1"/>
      <c r="T16" s="1"/>
      <c r="U16" s="1"/>
      <c r="V16" s="1"/>
      <c r="W16" s="1"/>
      <c r="X16" s="1"/>
      <c r="Y16" s="1"/>
      <c r="Z16" s="1"/>
    </row>
    <row r="17" spans="1:26" ht="14.25" customHeight="1" x14ac:dyDescent="0.2">
      <c r="A17" s="2"/>
      <c r="B17" s="932"/>
      <c r="C17" s="933"/>
      <c r="D17" s="934"/>
      <c r="E17" s="2"/>
      <c r="F17" s="932"/>
      <c r="G17" s="933"/>
      <c r="H17" s="934"/>
      <c r="I17" s="2"/>
      <c r="J17" s="932"/>
      <c r="K17" s="933"/>
      <c r="L17" s="934"/>
      <c r="M17" s="2"/>
      <c r="N17" s="932"/>
      <c r="O17" s="933"/>
      <c r="P17" s="934"/>
      <c r="Q17" s="2"/>
      <c r="R17" s="1"/>
      <c r="S17" s="1"/>
      <c r="T17" s="1"/>
      <c r="U17" s="1"/>
      <c r="V17" s="1"/>
      <c r="W17" s="1"/>
      <c r="X17" s="1"/>
      <c r="Y17" s="1"/>
      <c r="Z17" s="1"/>
    </row>
    <row r="18" spans="1:26" ht="14.25" customHeight="1" x14ac:dyDescent="0.2">
      <c r="A18" s="2"/>
      <c r="B18" s="932"/>
      <c r="C18" s="933"/>
      <c r="D18" s="934"/>
      <c r="E18" s="2"/>
      <c r="F18" s="932"/>
      <c r="G18" s="933"/>
      <c r="H18" s="934"/>
      <c r="I18" s="2"/>
      <c r="J18" s="932"/>
      <c r="K18" s="933"/>
      <c r="L18" s="934"/>
      <c r="M18" s="2"/>
      <c r="N18" s="932"/>
      <c r="O18" s="933"/>
      <c r="P18" s="934"/>
      <c r="Q18" s="2"/>
      <c r="R18" s="1"/>
      <c r="S18" s="1"/>
      <c r="T18" s="1"/>
      <c r="U18" s="1"/>
      <c r="V18" s="1"/>
      <c r="W18" s="1"/>
      <c r="X18" s="1"/>
      <c r="Y18" s="1"/>
      <c r="Z18" s="1"/>
    </row>
    <row r="19" spans="1:26" ht="14.25" customHeight="1" x14ac:dyDescent="0.2">
      <c r="A19" s="2"/>
      <c r="B19" s="932"/>
      <c r="C19" s="933"/>
      <c r="D19" s="934"/>
      <c r="E19" s="2"/>
      <c r="F19" s="932"/>
      <c r="G19" s="933"/>
      <c r="H19" s="934"/>
      <c r="I19" s="2"/>
      <c r="J19" s="935"/>
      <c r="K19" s="936"/>
      <c r="L19" s="937"/>
      <c r="M19" s="2"/>
      <c r="N19" s="935"/>
      <c r="O19" s="936"/>
      <c r="P19" s="937"/>
      <c r="Q19" s="2"/>
      <c r="R19" s="1"/>
      <c r="S19" s="1"/>
      <c r="T19" s="1"/>
      <c r="U19" s="1"/>
      <c r="V19" s="1"/>
      <c r="W19" s="1"/>
      <c r="X19" s="1"/>
      <c r="Y19" s="1"/>
      <c r="Z19" s="1"/>
    </row>
    <row r="20" spans="1:26" ht="14.25" customHeight="1" x14ac:dyDescent="0.2">
      <c r="A20" s="2"/>
      <c r="B20" s="932"/>
      <c r="C20" s="933"/>
      <c r="D20" s="934"/>
      <c r="E20" s="2"/>
      <c r="F20" s="932"/>
      <c r="G20" s="933"/>
      <c r="H20" s="934"/>
      <c r="I20" s="2"/>
      <c r="J20" s="2"/>
      <c r="K20" s="2"/>
      <c r="L20" s="2"/>
      <c r="M20" s="2"/>
      <c r="N20" s="2"/>
      <c r="O20" s="2"/>
      <c r="P20" s="2"/>
      <c r="Q20" s="2"/>
      <c r="R20" s="1"/>
      <c r="S20" s="1"/>
      <c r="T20" s="1"/>
      <c r="U20" s="1"/>
      <c r="V20" s="1"/>
      <c r="W20" s="1"/>
      <c r="X20" s="1"/>
      <c r="Y20" s="1"/>
      <c r="Z20" s="1"/>
    </row>
    <row r="21" spans="1:26" ht="14.25" customHeight="1" x14ac:dyDescent="0.2">
      <c r="A21" s="2"/>
      <c r="B21" s="932"/>
      <c r="C21" s="933"/>
      <c r="D21" s="934"/>
      <c r="E21" s="2"/>
      <c r="F21" s="932"/>
      <c r="G21" s="933"/>
      <c r="H21" s="934"/>
      <c r="I21" s="2"/>
      <c r="J21" s="929" t="s">
        <v>12</v>
      </c>
      <c r="K21" s="930"/>
      <c r="L21" s="931"/>
      <c r="M21" s="2"/>
      <c r="N21" s="929" t="s">
        <v>13</v>
      </c>
      <c r="O21" s="930"/>
      <c r="P21" s="931"/>
      <c r="Q21" s="2"/>
      <c r="R21" s="1"/>
      <c r="S21" s="1"/>
      <c r="T21" s="1"/>
      <c r="U21" s="1"/>
      <c r="V21" s="1"/>
      <c r="W21" s="1"/>
      <c r="X21" s="1"/>
      <c r="Y21" s="1"/>
      <c r="Z21" s="1"/>
    </row>
    <row r="22" spans="1:26" ht="19.5" customHeight="1" x14ac:dyDescent="0.2">
      <c r="A22" s="2"/>
      <c r="B22" s="935"/>
      <c r="C22" s="936"/>
      <c r="D22" s="937"/>
      <c r="E22" s="2"/>
      <c r="F22" s="935"/>
      <c r="G22" s="936"/>
      <c r="H22" s="937"/>
      <c r="I22" s="2"/>
      <c r="J22" s="932"/>
      <c r="K22" s="933"/>
      <c r="L22" s="934"/>
      <c r="M22" s="2"/>
      <c r="N22" s="932"/>
      <c r="O22" s="933"/>
      <c r="P22" s="934"/>
      <c r="Q22" s="2"/>
      <c r="R22" s="1"/>
      <c r="S22" s="1"/>
      <c r="T22" s="1"/>
      <c r="U22" s="1"/>
      <c r="V22" s="1"/>
      <c r="W22" s="1"/>
      <c r="X22" s="1"/>
      <c r="Y22" s="1"/>
      <c r="Z22" s="1"/>
    </row>
    <row r="23" spans="1:26" ht="14.25" customHeight="1" x14ac:dyDescent="0.2">
      <c r="A23" s="2"/>
      <c r="B23" s="2"/>
      <c r="C23" s="2"/>
      <c r="D23" s="2"/>
      <c r="E23" s="2"/>
      <c r="F23" s="2"/>
      <c r="G23" s="2"/>
      <c r="H23" s="2"/>
      <c r="I23" s="2"/>
      <c r="J23" s="932"/>
      <c r="K23" s="933"/>
      <c r="L23" s="934"/>
      <c r="M23" s="2"/>
      <c r="N23" s="932"/>
      <c r="O23" s="933"/>
      <c r="P23" s="934"/>
      <c r="Q23" s="2"/>
      <c r="R23" s="1"/>
      <c r="S23" s="1"/>
      <c r="T23" s="1"/>
      <c r="U23" s="1"/>
      <c r="V23" s="1"/>
      <c r="W23" s="1"/>
      <c r="X23" s="1"/>
      <c r="Y23" s="1"/>
      <c r="Z23" s="1"/>
    </row>
    <row r="24" spans="1:26" ht="14.25" customHeight="1" x14ac:dyDescent="0.2">
      <c r="A24" s="2"/>
      <c r="B24" s="929" t="s">
        <v>14</v>
      </c>
      <c r="C24" s="930"/>
      <c r="D24" s="931"/>
      <c r="E24" s="2"/>
      <c r="F24" s="929" t="s">
        <v>15</v>
      </c>
      <c r="G24" s="930"/>
      <c r="H24" s="931"/>
      <c r="I24" s="2"/>
      <c r="J24" s="932"/>
      <c r="K24" s="933"/>
      <c r="L24" s="934"/>
      <c r="M24" s="2"/>
      <c r="N24" s="932"/>
      <c r="O24" s="933"/>
      <c r="P24" s="934"/>
      <c r="Q24" s="2"/>
      <c r="R24" s="1"/>
      <c r="S24" s="1"/>
      <c r="T24" s="1"/>
      <c r="U24" s="1"/>
      <c r="V24" s="1"/>
      <c r="W24" s="1"/>
      <c r="X24" s="1"/>
      <c r="Y24" s="1"/>
      <c r="Z24" s="1"/>
    </row>
    <row r="25" spans="1:26" ht="14.25" customHeight="1" x14ac:dyDescent="0.2">
      <c r="A25" s="2"/>
      <c r="B25" s="932"/>
      <c r="C25" s="933"/>
      <c r="D25" s="934"/>
      <c r="E25" s="2"/>
      <c r="F25" s="932"/>
      <c r="G25" s="933"/>
      <c r="H25" s="934"/>
      <c r="I25" s="2"/>
      <c r="J25" s="932"/>
      <c r="K25" s="933"/>
      <c r="L25" s="934"/>
      <c r="M25" s="2"/>
      <c r="N25" s="932"/>
      <c r="O25" s="933"/>
      <c r="P25" s="934"/>
      <c r="Q25" s="2"/>
      <c r="R25" s="1"/>
      <c r="S25" s="1"/>
      <c r="T25" s="1"/>
      <c r="U25" s="1"/>
      <c r="V25" s="1"/>
      <c r="W25" s="1"/>
      <c r="X25" s="1"/>
      <c r="Y25" s="1"/>
      <c r="Z25" s="1"/>
    </row>
    <row r="26" spans="1:26" ht="14.25" customHeight="1" x14ac:dyDescent="0.2">
      <c r="A26" s="2"/>
      <c r="B26" s="932"/>
      <c r="C26" s="933"/>
      <c r="D26" s="934"/>
      <c r="E26" s="2"/>
      <c r="F26" s="932"/>
      <c r="G26" s="933"/>
      <c r="H26" s="934"/>
      <c r="I26" s="2"/>
      <c r="J26" s="932"/>
      <c r="K26" s="933"/>
      <c r="L26" s="934"/>
      <c r="M26" s="2"/>
      <c r="N26" s="932"/>
      <c r="O26" s="933"/>
      <c r="P26" s="934"/>
      <c r="Q26" s="2"/>
      <c r="R26" s="1"/>
      <c r="S26" s="1"/>
      <c r="T26" s="1"/>
      <c r="U26" s="1"/>
      <c r="V26" s="1"/>
      <c r="W26" s="1"/>
      <c r="X26" s="1"/>
      <c r="Y26" s="1"/>
      <c r="Z26" s="1"/>
    </row>
    <row r="27" spans="1:26" ht="14.25" customHeight="1" x14ac:dyDescent="0.2">
      <c r="A27" s="2"/>
      <c r="B27" s="932"/>
      <c r="C27" s="933"/>
      <c r="D27" s="934"/>
      <c r="E27" s="2"/>
      <c r="F27" s="932"/>
      <c r="G27" s="933"/>
      <c r="H27" s="934"/>
      <c r="I27" s="2"/>
      <c r="J27" s="932"/>
      <c r="K27" s="933"/>
      <c r="L27" s="934"/>
      <c r="M27" s="2"/>
      <c r="N27" s="932"/>
      <c r="O27" s="933"/>
      <c r="P27" s="934"/>
      <c r="Q27" s="2"/>
      <c r="R27" s="1"/>
      <c r="S27" s="1"/>
      <c r="T27" s="1"/>
      <c r="U27" s="1"/>
      <c r="V27" s="1"/>
      <c r="W27" s="1"/>
      <c r="X27" s="1"/>
      <c r="Y27" s="1"/>
      <c r="Z27" s="1"/>
    </row>
    <row r="28" spans="1:26" ht="14.25" customHeight="1" x14ac:dyDescent="0.2">
      <c r="A28" s="2"/>
      <c r="B28" s="932"/>
      <c r="C28" s="933"/>
      <c r="D28" s="934"/>
      <c r="E28" s="2"/>
      <c r="F28" s="932"/>
      <c r="G28" s="933"/>
      <c r="H28" s="934"/>
      <c r="I28" s="2"/>
      <c r="J28" s="935"/>
      <c r="K28" s="936"/>
      <c r="L28" s="937"/>
      <c r="M28" s="2"/>
      <c r="N28" s="935"/>
      <c r="O28" s="936"/>
      <c r="P28" s="937"/>
      <c r="Q28" s="2"/>
      <c r="R28" s="1"/>
      <c r="S28" s="1"/>
      <c r="T28" s="1"/>
      <c r="U28" s="1"/>
      <c r="V28" s="1"/>
      <c r="W28" s="1"/>
      <c r="X28" s="1"/>
      <c r="Y28" s="1"/>
      <c r="Z28" s="1"/>
    </row>
    <row r="29" spans="1:26" ht="14.25" customHeight="1" x14ac:dyDescent="0.2">
      <c r="A29" s="2"/>
      <c r="B29" s="935"/>
      <c r="C29" s="936"/>
      <c r="D29" s="937"/>
      <c r="E29" s="2"/>
      <c r="F29" s="935"/>
      <c r="G29" s="936"/>
      <c r="H29" s="937"/>
      <c r="I29" s="2"/>
      <c r="J29" s="2"/>
      <c r="K29" s="2"/>
      <c r="L29" s="2"/>
      <c r="M29" s="2"/>
      <c r="N29" s="2"/>
      <c r="O29" s="2"/>
      <c r="P29" s="2"/>
      <c r="Q29" s="2"/>
      <c r="R29" s="1"/>
      <c r="S29" s="1"/>
      <c r="T29" s="1"/>
      <c r="U29" s="1"/>
      <c r="V29" s="1"/>
      <c r="W29" s="1"/>
      <c r="X29" s="1"/>
      <c r="Y29" s="1"/>
      <c r="Z29" s="1"/>
    </row>
    <row r="30" spans="1:26" ht="14.25" customHeight="1" x14ac:dyDescent="0.2">
      <c r="A30" s="2"/>
      <c r="B30" s="2"/>
      <c r="C30" s="2"/>
      <c r="D30" s="2"/>
      <c r="E30" s="2"/>
      <c r="F30" s="2"/>
      <c r="G30" s="2"/>
      <c r="H30" s="2"/>
      <c r="I30" s="2"/>
      <c r="J30" s="2"/>
      <c r="K30" s="2"/>
      <c r="L30" s="2"/>
      <c r="M30" s="2"/>
      <c r="N30" s="2"/>
      <c r="O30" s="2"/>
      <c r="P30" s="2"/>
      <c r="Q30" s="2"/>
      <c r="R30" s="1"/>
      <c r="S30" s="1"/>
      <c r="T30" s="1"/>
      <c r="U30" s="1"/>
      <c r="V30" s="1"/>
      <c r="W30" s="1"/>
      <c r="X30" s="1"/>
      <c r="Y30" s="1"/>
      <c r="Z30" s="1"/>
    </row>
    <row r="31" spans="1:26" ht="16.5" customHeight="1" x14ac:dyDescent="0.2">
      <c r="A31" s="2"/>
      <c r="B31" s="929" t="s">
        <v>16</v>
      </c>
      <c r="C31" s="930"/>
      <c r="D31" s="931"/>
      <c r="E31" s="2"/>
      <c r="F31" s="929" t="s">
        <v>17</v>
      </c>
      <c r="G31" s="930"/>
      <c r="H31" s="931"/>
      <c r="I31" s="2"/>
      <c r="J31" s="2"/>
      <c r="K31" s="2"/>
      <c r="L31" s="2"/>
      <c r="M31" s="2"/>
      <c r="N31" s="2"/>
      <c r="O31" s="2"/>
      <c r="P31" s="2"/>
      <c r="Q31" s="2"/>
      <c r="R31" s="1"/>
      <c r="S31" s="1"/>
      <c r="T31" s="1"/>
      <c r="U31" s="1"/>
      <c r="V31" s="1"/>
      <c r="W31" s="1"/>
      <c r="X31" s="1"/>
      <c r="Y31" s="1"/>
      <c r="Z31" s="1"/>
    </row>
    <row r="32" spans="1:26" ht="24.75" customHeight="1" x14ac:dyDescent="0.2">
      <c r="A32" s="2"/>
      <c r="B32" s="932"/>
      <c r="C32" s="933"/>
      <c r="D32" s="934"/>
      <c r="E32" s="2"/>
      <c r="F32" s="932"/>
      <c r="G32" s="933"/>
      <c r="H32" s="934"/>
      <c r="I32" s="2"/>
      <c r="J32" s="938" t="s">
        <v>18</v>
      </c>
      <c r="K32" s="939"/>
      <c r="L32" s="939"/>
      <c r="M32" s="939"/>
      <c r="N32" s="939"/>
      <c r="O32" s="939"/>
      <c r="P32" s="940"/>
      <c r="Q32" s="2"/>
      <c r="R32" s="1"/>
      <c r="S32" s="1"/>
      <c r="T32" s="1"/>
      <c r="U32" s="1"/>
      <c r="V32" s="1"/>
      <c r="W32" s="1"/>
      <c r="X32" s="1"/>
      <c r="Y32" s="1"/>
      <c r="Z32" s="1"/>
    </row>
    <row r="33" spans="1:26" ht="24.75" customHeight="1" x14ac:dyDescent="0.2">
      <c r="A33" s="2"/>
      <c r="B33" s="932"/>
      <c r="C33" s="933"/>
      <c r="D33" s="934"/>
      <c r="E33" s="2"/>
      <c r="F33" s="932"/>
      <c r="G33" s="933"/>
      <c r="H33" s="934"/>
      <c r="I33" s="2"/>
      <c r="J33" s="3"/>
      <c r="K33" s="941" t="s">
        <v>19</v>
      </c>
      <c r="L33" s="942"/>
      <c r="M33" s="942"/>
      <c r="N33" s="942"/>
      <c r="O33" s="942"/>
      <c r="P33" s="943"/>
      <c r="Q33" s="2"/>
      <c r="R33" s="1"/>
      <c r="S33" s="1"/>
      <c r="T33" s="1"/>
      <c r="U33" s="1"/>
      <c r="V33" s="1"/>
      <c r="W33" s="1"/>
      <c r="X33" s="1"/>
      <c r="Y33" s="1"/>
      <c r="Z33" s="1"/>
    </row>
    <row r="34" spans="1:26" ht="24.75" customHeight="1" x14ac:dyDescent="0.2">
      <c r="A34" s="2"/>
      <c r="B34" s="932"/>
      <c r="C34" s="933"/>
      <c r="D34" s="934"/>
      <c r="E34" s="2"/>
      <c r="F34" s="932"/>
      <c r="G34" s="933"/>
      <c r="H34" s="934"/>
      <c r="I34" s="2"/>
      <c r="J34" s="4"/>
      <c r="K34" s="941" t="s">
        <v>20</v>
      </c>
      <c r="L34" s="942"/>
      <c r="M34" s="942"/>
      <c r="N34" s="942"/>
      <c r="O34" s="942"/>
      <c r="P34" s="943"/>
      <c r="Q34" s="2"/>
      <c r="R34" s="1"/>
      <c r="S34" s="1"/>
      <c r="T34" s="1"/>
      <c r="U34" s="1"/>
      <c r="V34" s="1"/>
      <c r="W34" s="1"/>
      <c r="X34" s="1"/>
      <c r="Y34" s="1"/>
      <c r="Z34" s="1"/>
    </row>
    <row r="35" spans="1:26" ht="24.75" customHeight="1" x14ac:dyDescent="0.2">
      <c r="A35" s="2"/>
      <c r="B35" s="932"/>
      <c r="C35" s="933"/>
      <c r="D35" s="934"/>
      <c r="E35" s="2"/>
      <c r="F35" s="932"/>
      <c r="G35" s="933"/>
      <c r="H35" s="934"/>
      <c r="I35" s="2"/>
      <c r="J35" s="5"/>
      <c r="K35" s="6" t="s">
        <v>21</v>
      </c>
      <c r="L35" s="7"/>
      <c r="M35" s="7"/>
      <c r="N35" s="7"/>
      <c r="O35" s="7"/>
      <c r="P35" s="8"/>
      <c r="Q35" s="2"/>
      <c r="R35" s="1"/>
      <c r="S35" s="1"/>
      <c r="T35" s="1"/>
      <c r="U35" s="1"/>
      <c r="V35" s="1"/>
      <c r="W35" s="1"/>
      <c r="X35" s="1"/>
      <c r="Y35" s="1"/>
      <c r="Z35" s="1"/>
    </row>
    <row r="36" spans="1:26" ht="24.75" customHeight="1" x14ac:dyDescent="0.2">
      <c r="A36" s="2"/>
      <c r="B36" s="935"/>
      <c r="C36" s="936"/>
      <c r="D36" s="937"/>
      <c r="E36" s="2"/>
      <c r="F36" s="935"/>
      <c r="G36" s="936"/>
      <c r="H36" s="937"/>
      <c r="I36" s="2"/>
      <c r="J36" s="9"/>
      <c r="K36" s="944" t="s">
        <v>22</v>
      </c>
      <c r="L36" s="945"/>
      <c r="M36" s="945"/>
      <c r="N36" s="945"/>
      <c r="O36" s="945"/>
      <c r="P36" s="946"/>
      <c r="Q36" s="2"/>
      <c r="R36" s="1"/>
      <c r="S36" s="1"/>
      <c r="T36" s="1"/>
      <c r="U36" s="1"/>
      <c r="V36" s="1"/>
      <c r="W36" s="1"/>
      <c r="X36" s="1"/>
      <c r="Y36" s="1"/>
      <c r="Z36" s="1"/>
    </row>
    <row r="37" spans="1:26" ht="14.25" customHeight="1" x14ac:dyDescent="0.2">
      <c r="A37" s="2"/>
      <c r="B37" s="2"/>
      <c r="C37" s="2"/>
      <c r="D37" s="2"/>
      <c r="E37" s="2"/>
      <c r="F37" s="2"/>
      <c r="G37" s="2"/>
      <c r="H37" s="2"/>
      <c r="I37" s="2"/>
      <c r="J37" s="2"/>
      <c r="K37" s="2"/>
      <c r="L37" s="2"/>
      <c r="M37" s="2"/>
      <c r="N37" s="2"/>
      <c r="O37" s="2"/>
      <c r="P37" s="2"/>
      <c r="Q37" s="2"/>
      <c r="R37" s="1"/>
      <c r="S37" s="1"/>
      <c r="T37" s="1"/>
      <c r="U37" s="1"/>
      <c r="V37" s="1"/>
      <c r="W37" s="1"/>
      <c r="X37" s="1"/>
      <c r="Y37" s="1"/>
      <c r="Z37" s="1"/>
    </row>
    <row r="38" spans="1:26" ht="14.25" customHeight="1" x14ac:dyDescent="0.2">
      <c r="A38" s="2"/>
      <c r="B38" s="929" t="s">
        <v>23</v>
      </c>
      <c r="C38" s="930"/>
      <c r="D38" s="931"/>
      <c r="E38" s="2"/>
      <c r="F38" s="954" t="s">
        <v>24</v>
      </c>
      <c r="G38" s="930"/>
      <c r="H38" s="931"/>
      <c r="I38" s="2"/>
      <c r="J38" s="2"/>
      <c r="K38" s="2"/>
      <c r="L38" s="2"/>
      <c r="M38" s="2"/>
      <c r="N38" s="2"/>
      <c r="O38" s="2"/>
      <c r="P38" s="2"/>
      <c r="Q38" s="2"/>
      <c r="R38" s="1"/>
      <c r="S38" s="1"/>
      <c r="T38" s="1"/>
      <c r="U38" s="1"/>
      <c r="V38" s="1"/>
      <c r="W38" s="1"/>
      <c r="X38" s="1"/>
      <c r="Y38" s="1"/>
      <c r="Z38" s="1"/>
    </row>
    <row r="39" spans="1:26" ht="14.25" customHeight="1" x14ac:dyDescent="0.2">
      <c r="A39" s="2"/>
      <c r="B39" s="932"/>
      <c r="C39" s="933"/>
      <c r="D39" s="934"/>
      <c r="E39" s="2"/>
      <c r="F39" s="932"/>
      <c r="G39" s="933"/>
      <c r="H39" s="934"/>
      <c r="I39" s="2"/>
      <c r="J39" s="2"/>
      <c r="K39" s="2"/>
      <c r="L39" s="2"/>
      <c r="M39" s="2"/>
      <c r="N39" s="2"/>
      <c r="O39" s="2"/>
      <c r="P39" s="2"/>
      <c r="Q39" s="2"/>
      <c r="R39" s="1"/>
      <c r="S39" s="1"/>
      <c r="T39" s="1"/>
      <c r="U39" s="1"/>
      <c r="V39" s="1"/>
      <c r="W39" s="1"/>
      <c r="X39" s="1"/>
      <c r="Y39" s="1"/>
      <c r="Z39" s="1"/>
    </row>
    <row r="40" spans="1:26" ht="14.25" customHeight="1" x14ac:dyDescent="0.2">
      <c r="A40" s="2"/>
      <c r="B40" s="932"/>
      <c r="C40" s="933"/>
      <c r="D40" s="934"/>
      <c r="E40" s="2"/>
      <c r="F40" s="932"/>
      <c r="G40" s="933"/>
      <c r="H40" s="934"/>
      <c r="I40" s="2"/>
      <c r="J40" s="2"/>
      <c r="K40" s="2"/>
      <c r="L40" s="2"/>
      <c r="M40" s="2"/>
      <c r="N40" s="2"/>
      <c r="O40" s="2"/>
      <c r="P40" s="2"/>
      <c r="Q40" s="2"/>
      <c r="R40" s="1"/>
      <c r="S40" s="1"/>
      <c r="T40" s="1"/>
      <c r="U40" s="1"/>
      <c r="V40" s="1"/>
      <c r="W40" s="1"/>
      <c r="X40" s="1"/>
      <c r="Y40" s="1"/>
      <c r="Z40" s="1"/>
    </row>
    <row r="41" spans="1:26" ht="14.25" customHeight="1" x14ac:dyDescent="0.2">
      <c r="A41" s="2"/>
      <c r="B41" s="932"/>
      <c r="C41" s="933"/>
      <c r="D41" s="934"/>
      <c r="E41" s="2"/>
      <c r="F41" s="932"/>
      <c r="G41" s="933"/>
      <c r="H41" s="934"/>
      <c r="I41" s="2"/>
      <c r="J41" s="2"/>
      <c r="K41" s="2"/>
      <c r="L41" s="2"/>
      <c r="M41" s="2"/>
      <c r="N41" s="2"/>
      <c r="O41" s="2"/>
      <c r="P41" s="2"/>
      <c r="Q41" s="2"/>
      <c r="R41" s="1"/>
      <c r="S41" s="1"/>
      <c r="T41" s="1"/>
      <c r="U41" s="1"/>
      <c r="V41" s="1"/>
      <c r="W41" s="1"/>
      <c r="X41" s="1"/>
      <c r="Y41" s="1"/>
      <c r="Z41" s="1"/>
    </row>
    <row r="42" spans="1:26" ht="14.25" customHeight="1" x14ac:dyDescent="0.2">
      <c r="A42" s="2"/>
      <c r="B42" s="932"/>
      <c r="C42" s="933"/>
      <c r="D42" s="934"/>
      <c r="E42" s="2"/>
      <c r="F42" s="932"/>
      <c r="G42" s="933"/>
      <c r="H42" s="934"/>
      <c r="I42" s="2"/>
      <c r="J42" s="2"/>
      <c r="K42" s="2"/>
      <c r="L42" s="2"/>
      <c r="M42" s="2"/>
      <c r="N42" s="2"/>
      <c r="O42" s="2"/>
      <c r="P42" s="2"/>
      <c r="Q42" s="2"/>
      <c r="R42" s="1"/>
      <c r="S42" s="1"/>
      <c r="T42" s="1"/>
      <c r="U42" s="1"/>
      <c r="V42" s="1"/>
      <c r="W42" s="1"/>
      <c r="X42" s="1"/>
      <c r="Y42" s="1"/>
      <c r="Z42" s="1"/>
    </row>
    <row r="43" spans="1:26" ht="14.25" customHeight="1" x14ac:dyDescent="0.2">
      <c r="A43" s="2"/>
      <c r="B43" s="935"/>
      <c r="C43" s="936"/>
      <c r="D43" s="937"/>
      <c r="E43" s="2"/>
      <c r="F43" s="935"/>
      <c r="G43" s="936"/>
      <c r="H43" s="937"/>
      <c r="I43" s="2"/>
      <c r="J43" s="2"/>
      <c r="K43" s="2"/>
      <c r="L43" s="2"/>
      <c r="M43" s="2"/>
      <c r="N43" s="2"/>
      <c r="O43" s="2"/>
      <c r="P43" s="2"/>
      <c r="Q43" s="2"/>
      <c r="R43" s="1"/>
      <c r="S43" s="1"/>
      <c r="T43" s="1"/>
      <c r="U43" s="1"/>
      <c r="V43" s="1"/>
      <c r="W43" s="1"/>
      <c r="X43" s="1"/>
      <c r="Y43" s="1"/>
      <c r="Z43" s="1"/>
    </row>
    <row r="44" spans="1:26" ht="14.25" customHeight="1" x14ac:dyDescent="0.2">
      <c r="A44" s="2"/>
      <c r="B44" s="2"/>
      <c r="C44" s="2"/>
      <c r="D44" s="2"/>
      <c r="E44" s="2"/>
      <c r="F44" s="2"/>
      <c r="G44" s="2"/>
      <c r="H44" s="2"/>
      <c r="I44" s="2"/>
      <c r="J44" s="2"/>
      <c r="K44" s="2"/>
      <c r="L44" s="2"/>
      <c r="M44" s="2"/>
      <c r="N44" s="2"/>
      <c r="O44" s="2"/>
      <c r="P44" s="2"/>
      <c r="Q44" s="2"/>
      <c r="R44" s="1"/>
      <c r="S44" s="1"/>
      <c r="T44" s="1"/>
      <c r="U44" s="1"/>
      <c r="V44" s="1"/>
      <c r="W44" s="1"/>
      <c r="X44" s="1"/>
      <c r="Y44" s="1"/>
      <c r="Z44" s="1"/>
    </row>
    <row r="45" spans="1:26" ht="14.25" customHeight="1" x14ac:dyDescent="0.2">
      <c r="A45" s="2"/>
      <c r="B45" s="929" t="s">
        <v>25</v>
      </c>
      <c r="C45" s="930"/>
      <c r="D45" s="931"/>
      <c r="E45" s="2"/>
      <c r="F45" s="929" t="s">
        <v>26</v>
      </c>
      <c r="G45" s="930"/>
      <c r="H45" s="931"/>
      <c r="I45" s="2"/>
      <c r="J45" s="2"/>
      <c r="K45" s="2"/>
      <c r="L45" s="2"/>
      <c r="M45" s="2"/>
      <c r="N45" s="2"/>
      <c r="O45" s="2"/>
      <c r="P45" s="2"/>
      <c r="Q45" s="2"/>
      <c r="R45" s="1"/>
      <c r="S45" s="1"/>
      <c r="T45" s="1"/>
      <c r="U45" s="1"/>
      <c r="V45" s="1"/>
      <c r="W45" s="1"/>
      <c r="X45" s="1"/>
      <c r="Y45" s="1"/>
      <c r="Z45" s="1"/>
    </row>
    <row r="46" spans="1:26" ht="14.25" customHeight="1" x14ac:dyDescent="0.2">
      <c r="A46" s="2"/>
      <c r="B46" s="932"/>
      <c r="C46" s="933"/>
      <c r="D46" s="934"/>
      <c r="E46" s="2"/>
      <c r="F46" s="932"/>
      <c r="G46" s="933"/>
      <c r="H46" s="934"/>
      <c r="I46" s="2"/>
      <c r="J46" s="2"/>
      <c r="K46" s="2"/>
      <c r="L46" s="2"/>
      <c r="M46" s="2"/>
      <c r="N46" s="2"/>
      <c r="O46" s="2"/>
      <c r="P46" s="2"/>
      <c r="Q46" s="2"/>
      <c r="R46" s="1"/>
      <c r="S46" s="1"/>
      <c r="T46" s="1"/>
      <c r="U46" s="1"/>
      <c r="V46" s="1"/>
      <c r="W46" s="1"/>
      <c r="X46" s="1"/>
      <c r="Y46" s="1"/>
      <c r="Z46" s="1"/>
    </row>
    <row r="47" spans="1:26" ht="14.25" customHeight="1" x14ac:dyDescent="0.2">
      <c r="A47" s="2"/>
      <c r="B47" s="932"/>
      <c r="C47" s="933"/>
      <c r="D47" s="934"/>
      <c r="E47" s="2"/>
      <c r="F47" s="932"/>
      <c r="G47" s="933"/>
      <c r="H47" s="934"/>
      <c r="I47" s="2"/>
      <c r="J47" s="2"/>
      <c r="K47" s="2"/>
      <c r="L47" s="2"/>
      <c r="M47" s="2"/>
      <c r="N47" s="2"/>
      <c r="O47" s="2"/>
      <c r="P47" s="2"/>
      <c r="Q47" s="2"/>
      <c r="R47" s="1"/>
      <c r="S47" s="1"/>
      <c r="T47" s="1"/>
      <c r="U47" s="1"/>
      <c r="V47" s="1"/>
      <c r="W47" s="1"/>
      <c r="X47" s="1"/>
      <c r="Y47" s="1"/>
      <c r="Z47" s="1"/>
    </row>
    <row r="48" spans="1:26" ht="14.25" customHeight="1" x14ac:dyDescent="0.2">
      <c r="A48" s="2"/>
      <c r="B48" s="932"/>
      <c r="C48" s="933"/>
      <c r="D48" s="934"/>
      <c r="E48" s="2"/>
      <c r="F48" s="932"/>
      <c r="G48" s="933"/>
      <c r="H48" s="934"/>
      <c r="I48" s="2"/>
      <c r="J48" s="2"/>
      <c r="K48" s="2"/>
      <c r="L48" s="2"/>
      <c r="M48" s="2"/>
      <c r="N48" s="2"/>
      <c r="O48" s="2"/>
      <c r="P48" s="2"/>
      <c r="Q48" s="2"/>
      <c r="R48" s="1"/>
      <c r="S48" s="1"/>
      <c r="T48" s="1"/>
      <c r="U48" s="1"/>
      <c r="V48" s="1"/>
      <c r="W48" s="1"/>
      <c r="X48" s="1"/>
      <c r="Y48" s="1"/>
      <c r="Z48" s="1"/>
    </row>
    <row r="49" spans="1:26" ht="14.25" customHeight="1" x14ac:dyDescent="0.2">
      <c r="A49" s="2"/>
      <c r="B49" s="935"/>
      <c r="C49" s="936"/>
      <c r="D49" s="937"/>
      <c r="E49" s="2"/>
      <c r="F49" s="935"/>
      <c r="G49" s="936"/>
      <c r="H49" s="937"/>
      <c r="I49" s="2"/>
      <c r="J49" s="2"/>
      <c r="K49" s="2"/>
      <c r="L49" s="2"/>
      <c r="M49" s="2"/>
      <c r="N49" s="2"/>
      <c r="O49" s="2"/>
      <c r="P49" s="2"/>
      <c r="Q49" s="2"/>
      <c r="R49" s="1"/>
      <c r="S49" s="1"/>
      <c r="T49" s="1"/>
      <c r="U49" s="1"/>
      <c r="V49" s="1"/>
      <c r="W49" s="1"/>
      <c r="X49" s="1"/>
      <c r="Y49" s="1"/>
      <c r="Z49" s="1"/>
    </row>
    <row r="50" spans="1:26" ht="14.25" customHeight="1" x14ac:dyDescent="0.2">
      <c r="A50" s="2"/>
      <c r="B50" s="2"/>
      <c r="C50" s="2"/>
      <c r="D50" s="2"/>
      <c r="E50" s="2"/>
      <c r="F50" s="2"/>
      <c r="G50" s="2"/>
      <c r="H50" s="2"/>
      <c r="I50" s="2"/>
      <c r="J50" s="2"/>
      <c r="K50" s="2"/>
      <c r="L50" s="2"/>
      <c r="M50" s="2"/>
      <c r="N50" s="2"/>
      <c r="O50" s="2"/>
      <c r="P50" s="2"/>
      <c r="Q50" s="2"/>
      <c r="R50" s="1"/>
      <c r="S50" s="1"/>
      <c r="T50" s="1"/>
      <c r="U50" s="1"/>
      <c r="V50" s="1"/>
      <c r="W50" s="1"/>
      <c r="X50" s="1"/>
      <c r="Y50" s="1"/>
      <c r="Z50" s="1"/>
    </row>
    <row r="51" spans="1:26" ht="14.25" customHeight="1" x14ac:dyDescent="0.2">
      <c r="A51" s="2"/>
      <c r="B51" s="929" t="s">
        <v>27</v>
      </c>
      <c r="C51" s="930"/>
      <c r="D51" s="931"/>
      <c r="E51" s="2"/>
      <c r="F51" s="929" t="s">
        <v>28</v>
      </c>
      <c r="G51" s="930"/>
      <c r="H51" s="931"/>
      <c r="I51" s="2"/>
      <c r="J51" s="2"/>
      <c r="K51" s="2"/>
      <c r="L51" s="2"/>
      <c r="M51" s="2"/>
      <c r="N51" s="2"/>
      <c r="O51" s="2"/>
      <c r="P51" s="2"/>
      <c r="Q51" s="2"/>
      <c r="R51" s="1"/>
      <c r="S51" s="1"/>
      <c r="T51" s="1"/>
      <c r="U51" s="1"/>
      <c r="V51" s="1"/>
      <c r="W51" s="1"/>
      <c r="X51" s="1"/>
      <c r="Y51" s="1"/>
      <c r="Z51" s="1"/>
    </row>
    <row r="52" spans="1:26" ht="14.25" customHeight="1" x14ac:dyDescent="0.2">
      <c r="A52" s="2"/>
      <c r="B52" s="932"/>
      <c r="C52" s="933"/>
      <c r="D52" s="934"/>
      <c r="E52" s="2"/>
      <c r="F52" s="932"/>
      <c r="G52" s="933"/>
      <c r="H52" s="934"/>
      <c r="I52" s="2"/>
      <c r="J52" s="2"/>
      <c r="K52" s="2"/>
      <c r="L52" s="2"/>
      <c r="M52" s="2"/>
      <c r="N52" s="2"/>
      <c r="O52" s="2"/>
      <c r="P52" s="2"/>
      <c r="Q52" s="2"/>
      <c r="R52" s="1"/>
      <c r="S52" s="1"/>
      <c r="T52" s="1"/>
      <c r="U52" s="1"/>
      <c r="V52" s="1"/>
      <c r="W52" s="1"/>
      <c r="X52" s="1"/>
      <c r="Y52" s="1"/>
      <c r="Z52" s="1"/>
    </row>
    <row r="53" spans="1:26" ht="14.25" customHeight="1" x14ac:dyDescent="0.2">
      <c r="A53" s="2"/>
      <c r="B53" s="932"/>
      <c r="C53" s="933"/>
      <c r="D53" s="934"/>
      <c r="E53" s="2"/>
      <c r="F53" s="932"/>
      <c r="G53" s="933"/>
      <c r="H53" s="934"/>
      <c r="I53" s="2"/>
      <c r="J53" s="2"/>
      <c r="K53" s="2"/>
      <c r="L53" s="2"/>
      <c r="M53" s="2"/>
      <c r="N53" s="2"/>
      <c r="O53" s="2"/>
      <c r="P53" s="2"/>
      <c r="Q53" s="2"/>
      <c r="R53" s="1"/>
      <c r="S53" s="1"/>
      <c r="T53" s="1"/>
      <c r="U53" s="1"/>
      <c r="V53" s="1"/>
      <c r="W53" s="1"/>
      <c r="X53" s="1"/>
      <c r="Y53" s="1"/>
      <c r="Z53" s="1"/>
    </row>
    <row r="54" spans="1:26" ht="14.25" customHeight="1" x14ac:dyDescent="0.2">
      <c r="A54" s="2"/>
      <c r="B54" s="932"/>
      <c r="C54" s="933"/>
      <c r="D54" s="934"/>
      <c r="E54" s="2"/>
      <c r="F54" s="932"/>
      <c r="G54" s="933"/>
      <c r="H54" s="934"/>
      <c r="I54" s="2"/>
      <c r="J54" s="2"/>
      <c r="K54" s="2"/>
      <c r="L54" s="2"/>
      <c r="M54" s="2"/>
      <c r="N54" s="2"/>
      <c r="O54" s="2"/>
      <c r="P54" s="2"/>
      <c r="Q54" s="2"/>
      <c r="R54" s="1"/>
      <c r="S54" s="1"/>
      <c r="T54" s="1"/>
      <c r="U54" s="1"/>
      <c r="V54" s="1"/>
      <c r="W54" s="1"/>
      <c r="X54" s="1"/>
      <c r="Y54" s="1"/>
      <c r="Z54" s="1"/>
    </row>
    <row r="55" spans="1:26" ht="14.25" customHeight="1" x14ac:dyDescent="0.2">
      <c r="A55" s="2"/>
      <c r="B55" s="935"/>
      <c r="C55" s="936"/>
      <c r="D55" s="937"/>
      <c r="E55" s="2"/>
      <c r="F55" s="935"/>
      <c r="G55" s="936"/>
      <c r="H55" s="937"/>
      <c r="I55" s="2"/>
      <c r="J55" s="2"/>
      <c r="K55" s="2"/>
      <c r="L55" s="2"/>
      <c r="M55" s="2"/>
      <c r="N55" s="2"/>
      <c r="O55" s="2"/>
      <c r="P55" s="2"/>
      <c r="Q55" s="2"/>
      <c r="R55" s="1"/>
      <c r="S55" s="1"/>
      <c r="T55" s="1"/>
      <c r="U55" s="1"/>
      <c r="V55" s="1"/>
      <c r="W55" s="1"/>
      <c r="X55" s="1"/>
      <c r="Y55" s="1"/>
      <c r="Z55" s="1"/>
    </row>
    <row r="56" spans="1:26" ht="14.25" customHeight="1" x14ac:dyDescent="0.2">
      <c r="A56" s="2"/>
      <c r="B56" s="2"/>
      <c r="C56" s="2"/>
      <c r="D56" s="2"/>
      <c r="E56" s="2"/>
      <c r="F56" s="2"/>
      <c r="G56" s="2"/>
      <c r="H56" s="2"/>
      <c r="I56" s="2"/>
      <c r="J56" s="2"/>
      <c r="K56" s="2"/>
      <c r="L56" s="2"/>
      <c r="M56" s="2"/>
      <c r="N56" s="2"/>
      <c r="O56" s="2"/>
      <c r="P56" s="2"/>
      <c r="Q56" s="2"/>
      <c r="R56" s="1"/>
      <c r="S56" s="1"/>
      <c r="T56" s="1"/>
      <c r="U56" s="1"/>
      <c r="V56" s="1"/>
      <c r="W56" s="1"/>
      <c r="X56" s="1"/>
      <c r="Y56" s="1"/>
      <c r="Z56" s="1"/>
    </row>
    <row r="57" spans="1:26" ht="14.2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9">
    <mergeCell ref="F31:H36"/>
    <mergeCell ref="F38:H43"/>
    <mergeCell ref="B38:D43"/>
    <mergeCell ref="B45:D49"/>
    <mergeCell ref="B51:D55"/>
    <mergeCell ref="F45:H49"/>
    <mergeCell ref="F51:H55"/>
    <mergeCell ref="J32:P32"/>
    <mergeCell ref="K33:P33"/>
    <mergeCell ref="K34:P34"/>
    <mergeCell ref="K36:P36"/>
    <mergeCell ref="A1:D5"/>
    <mergeCell ref="E1:N5"/>
    <mergeCell ref="O1:Q2"/>
    <mergeCell ref="O3:Q4"/>
    <mergeCell ref="O5:Q5"/>
    <mergeCell ref="B7:D12"/>
    <mergeCell ref="B14:D22"/>
    <mergeCell ref="F7:H12"/>
    <mergeCell ref="F14:H22"/>
    <mergeCell ref="B24:D29"/>
    <mergeCell ref="F24:H29"/>
    <mergeCell ref="B31:D36"/>
    <mergeCell ref="J7:L12"/>
    <mergeCell ref="N7:P12"/>
    <mergeCell ref="J14:L19"/>
    <mergeCell ref="N14:P19"/>
    <mergeCell ref="J21:L28"/>
    <mergeCell ref="N21:P28"/>
  </mergeCells>
  <pageMargins left="0.7" right="0.5" top="0.75" bottom="0.75" header="0" footer="0"/>
  <pageSetup scale="52" orientation="portrait" r:id="rId1"/>
  <headerFooter>
    <oddHeader>&amp;CCONCEPTOS BÁSICOS RELACIONADOS AL RIESGO</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F1000"/>
  <sheetViews>
    <sheetView showGridLines="0" workbookViewId="0">
      <selection activeCell="D10" sqref="D10"/>
    </sheetView>
  </sheetViews>
  <sheetFormatPr baseColWidth="10" defaultColWidth="12.625" defaultRowHeight="15" customHeight="1" x14ac:dyDescent="0.2"/>
  <cols>
    <col min="1" max="1" width="9.375" customWidth="1"/>
    <col min="2" max="2" width="11" customWidth="1"/>
    <col min="3" max="3" width="12.75" customWidth="1"/>
    <col min="4" max="4" width="55" customWidth="1"/>
    <col min="5" max="5" width="22.375" customWidth="1"/>
    <col min="6" max="6" width="24" customWidth="1"/>
    <col min="7" max="26" width="9.375" customWidth="1"/>
  </cols>
  <sheetData>
    <row r="1" spans="2:6" ht="14.25" x14ac:dyDescent="0.2">
      <c r="B1" s="1015"/>
      <c r="C1" s="931"/>
      <c r="D1" s="1082" t="s">
        <v>0</v>
      </c>
      <c r="E1" s="931"/>
      <c r="F1" s="960" t="s">
        <v>161</v>
      </c>
    </row>
    <row r="2" spans="2:6" ht="14.25" x14ac:dyDescent="0.2">
      <c r="B2" s="932"/>
      <c r="C2" s="934"/>
      <c r="D2" s="932"/>
      <c r="E2" s="934"/>
      <c r="F2" s="961"/>
    </row>
    <row r="3" spans="2:6" ht="14.25" x14ac:dyDescent="0.2">
      <c r="B3" s="932"/>
      <c r="C3" s="934"/>
      <c r="D3" s="932"/>
      <c r="E3" s="934"/>
      <c r="F3" s="960" t="s">
        <v>2</v>
      </c>
    </row>
    <row r="4" spans="2:6" ht="14.25" x14ac:dyDescent="0.2">
      <c r="B4" s="935"/>
      <c r="C4" s="937"/>
      <c r="D4" s="935"/>
      <c r="E4" s="937"/>
      <c r="F4" s="961"/>
    </row>
    <row r="5" spans="2:6" ht="30" x14ac:dyDescent="0.2">
      <c r="B5" s="16" t="s">
        <v>162</v>
      </c>
      <c r="C5" s="16" t="s">
        <v>163</v>
      </c>
      <c r="D5" s="16" t="s">
        <v>46</v>
      </c>
      <c r="E5" s="16" t="s">
        <v>164</v>
      </c>
      <c r="F5" s="16" t="s">
        <v>165</v>
      </c>
    </row>
    <row r="6" spans="2:6" x14ac:dyDescent="0.2">
      <c r="B6" s="39"/>
      <c r="C6" s="86"/>
      <c r="D6" s="87"/>
      <c r="E6" s="87"/>
      <c r="F6" s="87"/>
    </row>
    <row r="7" spans="2:6" x14ac:dyDescent="0.2">
      <c r="B7" s="39"/>
      <c r="C7" s="86"/>
      <c r="D7" s="87"/>
      <c r="E7" s="87"/>
      <c r="F7" s="87"/>
    </row>
    <row r="8" spans="2:6" x14ac:dyDescent="0.2">
      <c r="B8" s="39"/>
      <c r="C8" s="86"/>
      <c r="D8" s="87"/>
      <c r="E8" s="87"/>
      <c r="F8" s="87"/>
    </row>
    <row r="9" spans="2:6" x14ac:dyDescent="0.2">
      <c r="B9" s="39"/>
      <c r="C9" s="86"/>
      <c r="D9" s="40"/>
      <c r="E9" s="40"/>
      <c r="F9" s="87"/>
    </row>
    <row r="10" spans="2:6" x14ac:dyDescent="0.25">
      <c r="B10" s="45"/>
      <c r="C10" s="45"/>
      <c r="D10" s="45"/>
      <c r="E10" s="45"/>
      <c r="F10" s="45"/>
    </row>
    <row r="11" spans="2:6" x14ac:dyDescent="0.25">
      <c r="B11" s="45"/>
      <c r="C11" s="45"/>
      <c r="D11" s="45"/>
      <c r="E11" s="45"/>
      <c r="F11" s="45"/>
    </row>
    <row r="12" spans="2:6" x14ac:dyDescent="0.25">
      <c r="B12" s="45"/>
      <c r="C12" s="45"/>
      <c r="D12" s="45"/>
      <c r="E12" s="45"/>
      <c r="F12" s="45"/>
    </row>
    <row r="13" spans="2:6" x14ac:dyDescent="0.25">
      <c r="B13" s="45"/>
      <c r="C13" s="45"/>
      <c r="D13" s="45"/>
      <c r="E13" s="45"/>
      <c r="F13" s="45"/>
    </row>
    <row r="14" spans="2:6" x14ac:dyDescent="0.25">
      <c r="B14" s="45"/>
      <c r="C14" s="45"/>
      <c r="D14" s="45"/>
      <c r="E14" s="45"/>
      <c r="F14" s="45"/>
    </row>
    <row r="15" spans="2:6" x14ac:dyDescent="0.25">
      <c r="B15" s="45"/>
      <c r="C15" s="45"/>
      <c r="D15" s="45"/>
      <c r="E15" s="45"/>
      <c r="F15" s="45"/>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B1:C4"/>
    <mergeCell ref="D1:E4"/>
    <mergeCell ref="F1:F2"/>
    <mergeCell ref="F3:F4"/>
  </mergeCells>
  <pageMargins left="0.7" right="0.7" top="0.75" bottom="0.75" header="0" footer="0"/>
  <pageSetup paperSize="9" orientation="portrait" r:id="rId1"/>
  <drawing r:id="rId2"/>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X13"/>
  <sheetViews>
    <sheetView showGridLines="0" showWhiteSpace="0" topLeftCell="G1" zoomScale="70" zoomScaleNormal="70" zoomScaleSheetLayoutView="85" zoomScalePageLayoutView="70" workbookViewId="0">
      <selection activeCell="T7" sqref="T7"/>
    </sheetView>
  </sheetViews>
  <sheetFormatPr baseColWidth="10" defaultRowHeight="15" x14ac:dyDescent="0.25"/>
  <cols>
    <col min="1" max="1" width="4.75" style="746" customWidth="1"/>
    <col min="2" max="2" width="18.125" style="743" customWidth="1"/>
    <col min="3" max="3" width="56.25" style="800" customWidth="1"/>
    <col min="4" max="4" width="26.25" style="801" customWidth="1"/>
    <col min="5" max="5" width="10.625" style="746" customWidth="1"/>
    <col min="6" max="6" width="17.25" style="746" customWidth="1"/>
    <col min="7" max="7" width="12.875" style="746" customWidth="1"/>
    <col min="8" max="8" width="5.375" style="746" customWidth="1"/>
    <col min="9" max="9" width="14" style="743" customWidth="1"/>
    <col min="10" max="10" width="12.75" style="743" customWidth="1"/>
    <col min="11" max="11" width="22.875" style="802" customWidth="1"/>
    <col min="12" max="12" width="41" style="743" customWidth="1"/>
    <col min="13" max="13" width="13.75" style="743" customWidth="1"/>
    <col min="14" max="14" width="15" style="743" customWidth="1"/>
    <col min="15" max="15" width="19.25" style="743" customWidth="1"/>
    <col min="16" max="16" width="18.875" style="743" customWidth="1"/>
    <col min="17" max="17" width="12" style="743" customWidth="1"/>
    <col min="18" max="18" width="12.625" style="743" customWidth="1"/>
    <col min="19" max="19" width="13.625" style="746" customWidth="1"/>
    <col min="20" max="20" width="13.625" style="743" customWidth="1"/>
    <col min="21" max="21" width="17.5" style="743" customWidth="1"/>
    <col min="22" max="22" width="12.125" style="743" customWidth="1"/>
    <col min="23" max="23" width="13.875" style="743" customWidth="1"/>
    <col min="24" max="24" width="29.25" style="743" customWidth="1"/>
    <col min="25" max="16384" width="11" style="743"/>
  </cols>
  <sheetData>
    <row r="1" spans="1:24" ht="15" customHeight="1" x14ac:dyDescent="0.25">
      <c r="A1" s="1598"/>
      <c r="B1" s="1598"/>
      <c r="C1" s="1598"/>
      <c r="D1" s="1655" t="s">
        <v>55</v>
      </c>
      <c r="E1" s="1656"/>
      <c r="F1" s="1656"/>
      <c r="G1" s="1656"/>
      <c r="H1" s="1656"/>
      <c r="I1" s="1656"/>
      <c r="J1" s="1656"/>
      <c r="K1" s="1656"/>
      <c r="L1" s="1656"/>
      <c r="M1" s="1656"/>
      <c r="N1" s="1656"/>
      <c r="O1" s="1656"/>
      <c r="P1" s="1656"/>
      <c r="Q1" s="1656"/>
      <c r="R1" s="1656"/>
      <c r="S1" s="1656"/>
      <c r="T1" s="1656"/>
      <c r="U1" s="1656"/>
      <c r="V1" s="1656"/>
      <c r="W1" s="1657"/>
      <c r="X1" s="1600" t="s">
        <v>35</v>
      </c>
    </row>
    <row r="2" spans="1:24" ht="15" customHeight="1" x14ac:dyDescent="0.25">
      <c r="A2" s="1598"/>
      <c r="B2" s="1598"/>
      <c r="C2" s="1598"/>
      <c r="D2" s="1658"/>
      <c r="E2" s="1659"/>
      <c r="F2" s="1659"/>
      <c r="G2" s="1659"/>
      <c r="H2" s="1659"/>
      <c r="I2" s="1659"/>
      <c r="J2" s="1659"/>
      <c r="K2" s="1659"/>
      <c r="L2" s="1659"/>
      <c r="M2" s="1659"/>
      <c r="N2" s="1659"/>
      <c r="O2" s="1659"/>
      <c r="P2" s="1659"/>
      <c r="Q2" s="1659"/>
      <c r="R2" s="1659"/>
      <c r="S2" s="1659"/>
      <c r="T2" s="1659"/>
      <c r="U2" s="1659"/>
      <c r="V2" s="1659"/>
      <c r="W2" s="1660"/>
      <c r="X2" s="1600"/>
    </row>
    <row r="3" spans="1:24" ht="15" customHeight="1" x14ac:dyDescent="0.25">
      <c r="A3" s="1598"/>
      <c r="B3" s="1598"/>
      <c r="C3" s="1598"/>
      <c r="D3" s="1658"/>
      <c r="E3" s="1659"/>
      <c r="F3" s="1659"/>
      <c r="G3" s="1659"/>
      <c r="H3" s="1659"/>
      <c r="I3" s="1659"/>
      <c r="J3" s="1659"/>
      <c r="K3" s="1659"/>
      <c r="L3" s="1659"/>
      <c r="M3" s="1659"/>
      <c r="N3" s="1659"/>
      <c r="O3" s="1659"/>
      <c r="P3" s="1659"/>
      <c r="Q3" s="1659"/>
      <c r="R3" s="1659"/>
      <c r="S3" s="1659"/>
      <c r="T3" s="1659"/>
      <c r="U3" s="1659"/>
      <c r="V3" s="1659"/>
      <c r="W3" s="1660"/>
      <c r="X3" s="1600" t="s">
        <v>56</v>
      </c>
    </row>
    <row r="4" spans="1:24" ht="15.75" customHeight="1" thickBot="1" x14ac:dyDescent="0.3">
      <c r="A4" s="1598"/>
      <c r="B4" s="1598"/>
      <c r="C4" s="1598"/>
      <c r="D4" s="1661"/>
      <c r="E4" s="1662"/>
      <c r="F4" s="1662"/>
      <c r="G4" s="1662"/>
      <c r="H4" s="1662"/>
      <c r="I4" s="1662"/>
      <c r="J4" s="1662"/>
      <c r="K4" s="1662"/>
      <c r="L4" s="1662"/>
      <c r="M4" s="1662"/>
      <c r="N4" s="1662"/>
      <c r="O4" s="1662"/>
      <c r="P4" s="1662"/>
      <c r="Q4" s="1662"/>
      <c r="R4" s="1662"/>
      <c r="S4" s="1662"/>
      <c r="T4" s="1662"/>
      <c r="U4" s="1662"/>
      <c r="V4" s="1662"/>
      <c r="W4" s="1663"/>
      <c r="X4" s="1600"/>
    </row>
    <row r="5" spans="1:24" ht="18.75" customHeight="1" thickBot="1" x14ac:dyDescent="0.3">
      <c r="A5" s="1601" t="s">
        <v>57</v>
      </c>
      <c r="B5" s="1602"/>
      <c r="C5" s="1602"/>
      <c r="D5" s="1602"/>
      <c r="E5" s="1602"/>
      <c r="F5" s="1602"/>
      <c r="G5" s="1602"/>
      <c r="H5" s="1602"/>
      <c r="I5" s="1603"/>
      <c r="J5" s="757"/>
      <c r="K5" s="1604" t="s">
        <v>58</v>
      </c>
      <c r="L5" s="1604"/>
      <c r="M5" s="1604"/>
      <c r="N5" s="1604"/>
      <c r="O5" s="1604"/>
      <c r="P5" s="1605"/>
      <c r="Q5" s="1606" t="s">
        <v>59</v>
      </c>
      <c r="R5" s="1606"/>
      <c r="S5" s="1606"/>
      <c r="T5" s="1606"/>
      <c r="U5" s="1606"/>
      <c r="V5" s="1606"/>
      <c r="W5" s="1606"/>
      <c r="X5" s="1606"/>
    </row>
    <row r="6" spans="1:24" s="763" customFormat="1" ht="51" x14ac:dyDescent="0.2">
      <c r="A6" s="536" t="s">
        <v>44</v>
      </c>
      <c r="B6" s="537" t="s">
        <v>64</v>
      </c>
      <c r="C6" s="537" t="s">
        <v>65</v>
      </c>
      <c r="D6" s="759" t="s">
        <v>66</v>
      </c>
      <c r="E6" s="537" t="s">
        <v>67</v>
      </c>
      <c r="F6" s="537" t="s">
        <v>68</v>
      </c>
      <c r="G6" s="759" t="s">
        <v>69</v>
      </c>
      <c r="H6" s="759" t="s">
        <v>70</v>
      </c>
      <c r="I6" s="538" t="s">
        <v>71</v>
      </c>
      <c r="J6" s="760" t="s">
        <v>72</v>
      </c>
      <c r="K6" s="761" t="s">
        <v>73</v>
      </c>
      <c r="L6" s="537" t="s">
        <v>74</v>
      </c>
      <c r="M6" s="762" t="s">
        <v>75</v>
      </c>
      <c r="N6" s="537" t="s">
        <v>76</v>
      </c>
      <c r="O6" s="537" t="s">
        <v>77</v>
      </c>
      <c r="P6" s="538" t="s">
        <v>78</v>
      </c>
      <c r="Q6" s="761" t="s">
        <v>79</v>
      </c>
      <c r="R6" s="537" t="s">
        <v>80</v>
      </c>
      <c r="S6" s="537" t="s">
        <v>67</v>
      </c>
      <c r="T6" s="537" t="s">
        <v>70</v>
      </c>
      <c r="U6" s="537" t="s">
        <v>81</v>
      </c>
      <c r="V6" s="537" t="s">
        <v>82</v>
      </c>
      <c r="W6" s="537" t="s">
        <v>83</v>
      </c>
      <c r="X6" s="539" t="s">
        <v>84</v>
      </c>
    </row>
    <row r="7" spans="1:24" s="780" customFormat="1" ht="99.75" x14ac:dyDescent="0.2">
      <c r="A7" s="847">
        <f>'[16]Identificación del Riesgo GD'!D9</f>
        <v>1</v>
      </c>
      <c r="B7" s="848" t="str">
        <f>'[16]Identificación del Riesgo GD'!E9</f>
        <v>Deterioro de los documentos del archivo central, archivo  de gestión o del material bibliográfico del centro documental</v>
      </c>
      <c r="C7" s="848" t="str">
        <f>'[16]Identificación del Riesgo GD'!H9</f>
        <v xml:space="preserve">Falta de aseo
Falta de mantenimiento de instalaciones
No se realizan fumigaciones </v>
      </c>
      <c r="D7" s="819" t="s">
        <v>236</v>
      </c>
      <c r="E7" s="847">
        <f>IF(D7="Selecciona un descriptor de frecuencia."," ",IF(D7="","",VLOOKUP(D7,[16]Datos!$G$8:$J$12,2,FALSE)))</f>
        <v>1</v>
      </c>
      <c r="F7" s="847" t="str">
        <f>IF(D7="Selecciona un descriptor de frecuencia."," ",IF(D7="","",VLOOKUP(D7,[16]Datos!$G$8:$J$12,3,FALSE)))</f>
        <v>Rara vez</v>
      </c>
      <c r="G7" s="819" t="s">
        <v>199</v>
      </c>
      <c r="H7" s="847">
        <f>IF(G7="Selecciona un descriptor de impacto."," ",IF(G7="","",VLOOKUP(G7,[16]Datos!$K$8:$L$12,2,FALSE)))</f>
        <v>4</v>
      </c>
      <c r="I7" s="849" t="str">
        <f>IF(D7="Selecciona un descriptor de frecuencia."," ",IF(G7="Selecciona un descriptor de impacto."," ",IF(E7+H7=" ","",IF(E7="","",VLOOKUP(E7,[16]Datos!$U$8:$Z$12,MATCH(H7,[16]Datos!$V$7:$Z$7,0)+1,FALSE)))))</f>
        <v>ALTO</v>
      </c>
      <c r="J7" s="818" t="s">
        <v>122</v>
      </c>
      <c r="K7" s="707" t="s">
        <v>1262</v>
      </c>
      <c r="L7" s="707" t="s">
        <v>1263</v>
      </c>
      <c r="M7" s="820">
        <f>[16]Controles!T9</f>
        <v>15</v>
      </c>
      <c r="N7" s="820" t="str">
        <f>[16]Controles!AB9</f>
        <v>SI</v>
      </c>
      <c r="O7" s="547">
        <f>[16]Controles!W9</f>
        <v>0</v>
      </c>
      <c r="P7" s="547">
        <f>[16]Controles!X9</f>
        <v>0</v>
      </c>
      <c r="Q7" s="547">
        <f t="shared" ref="Q7:R13" si="0">SUM(O7:O7)</f>
        <v>0</v>
      </c>
      <c r="R7" s="547">
        <f t="shared" si="0"/>
        <v>0</v>
      </c>
      <c r="S7" s="850">
        <f>IF(D7="Selecciona un descriptor de frecuencia."," ",IF(ROUNDUP(E7-Q7,0)&lt;0,1,ROUNDUP(E7-Q7,0)))</f>
        <v>1</v>
      </c>
      <c r="T7" s="850">
        <f>IF(G7="Selecciona un descriptor de impacto."," ",IF(ROUNDUP(H7-R7,0)&lt;0,1,ROUNDUP(H7-R7,0)))</f>
        <v>4</v>
      </c>
      <c r="U7" s="547" t="str">
        <f>IF(D7="Selecciona un descriptor de frecuencia."," ",VLOOKUP(S7,[16]Datos!$H$8:$I$12,2,FALSE))</f>
        <v>Rara vez</v>
      </c>
      <c r="V7" s="547" t="str">
        <f>IF(G7="Selecciona un descriptor de impacto."," ",VLOOKUP(T7,[16]Datos!$L$8:$M$12,2,FALSE))</f>
        <v>Mayor</v>
      </c>
      <c r="W7" s="849" t="str">
        <f>IF(S7=" "," ",VLOOKUP(S7,[16]Datos!$U$8:$Z$12,MATCH(T7,[16]Datos!$V$7:$Z$7,0)+1,FALSE))</f>
        <v>ALTO</v>
      </c>
      <c r="X7" s="819" t="s">
        <v>202</v>
      </c>
    </row>
    <row r="8" spans="1:24" s="799" customFormat="1" ht="71.25" customHeight="1" x14ac:dyDescent="0.2">
      <c r="A8" s="851">
        <f>'[16]Identificación del Riesgo GD'!D10</f>
        <v>2</v>
      </c>
      <c r="B8" s="848" t="str">
        <f>'[16]Identificación del Riesgo GD'!E10</f>
        <v>Información suministrada de forma inoportuna por el proceso de Gestion Documental</v>
      </c>
      <c r="C8" s="848" t="str">
        <f>'[16]Identificación del Riesgo GD'!H10</f>
        <v>Fallas en el internet
Caída del sistema o perdida de información de las bases de datos Dspace, Koha y ORFEO.
Personal insuficiente
Personal sin las competencias y/o capacitación  requeridas en el cargo</v>
      </c>
      <c r="D8" s="819" t="s">
        <v>236</v>
      </c>
      <c r="E8" s="847">
        <f>IF(D8="Selecciona un descriptor de frecuencia."," ",IF(D8="","",VLOOKUP(D8,[16]Datos!$G$8:$J$12,2,FALSE)))</f>
        <v>1</v>
      </c>
      <c r="F8" s="847" t="str">
        <f>IF(D8="Selecciona un descriptor de frecuencia."," ",IF(D8="","",VLOOKUP(D8,[16]Datos!$G$8:$J$12,3,FALSE)))</f>
        <v>Rara vez</v>
      </c>
      <c r="G8" s="819" t="s">
        <v>204</v>
      </c>
      <c r="H8" s="851">
        <f>IF(G8="","",VLOOKUP(G8,[16]Datos!$K$8:$L$12,2,FALSE))</f>
        <v>3</v>
      </c>
      <c r="I8" s="849" t="str">
        <f>IF(D8="Selecciona un descriptor de frecuencia."," ",IF(G8="Selecciona un descriptor de impacto."," ",IF(E8+H8=" ","",IF(E8="","",VLOOKUP(E8,[16]Datos!$U$8:$Z$12,MATCH(H8,[16]Datos!$V$7:$Z$7,0)+1,FALSE)))))</f>
        <v>MODERADO</v>
      </c>
      <c r="J8" s="819" t="s">
        <v>122</v>
      </c>
      <c r="K8" s="853" t="s">
        <v>1264</v>
      </c>
      <c r="L8" s="713" t="s">
        <v>1265</v>
      </c>
      <c r="M8" s="820">
        <f>[16]Controles!T10</f>
        <v>80</v>
      </c>
      <c r="N8" s="820" t="str">
        <f>[16]Controles!AB10</f>
        <v>SI</v>
      </c>
      <c r="O8" s="547">
        <f>[16]Controles!W10</f>
        <v>0.8</v>
      </c>
      <c r="P8" s="547">
        <f>[16]Controles!X10</f>
        <v>0.8</v>
      </c>
      <c r="Q8" s="852">
        <f t="shared" si="0"/>
        <v>0.8</v>
      </c>
      <c r="R8" s="852">
        <f t="shared" si="0"/>
        <v>0.8</v>
      </c>
      <c r="S8" s="850">
        <f t="shared" ref="S8:S13" si="1">IF(D8="Selecciona un descriptor de frecuencia."," ",IF(ROUNDUP(E8-Q8,0)&lt;0,1,ROUNDUP(E8-Q8,0)))</f>
        <v>1</v>
      </c>
      <c r="T8" s="850">
        <f t="shared" ref="T8:T13" si="2">IF(G8="Selecciona un descriptor de impacto."," ",IF(ROUNDUP(H8-R8,0)&lt;0,1,ROUNDUP(H8-R8,0)))</f>
        <v>3</v>
      </c>
      <c r="U8" s="547" t="str">
        <f>IF(D8="Selecciona un descriptor de frecuencia."," ",VLOOKUP(S8,[16]Datos!$H$8:$I$12,2,FALSE))</f>
        <v>Rara vez</v>
      </c>
      <c r="V8" s="547" t="str">
        <f>IF(G8="Selecciona un descriptor de impacto."," ",VLOOKUP(T8,[16]Datos!$L$8:$M$12,2,FALSE))</f>
        <v>Moderado</v>
      </c>
      <c r="W8" s="849" t="str">
        <f>IF(S8=" "," ",VLOOKUP(S8,[16]Datos!$U$8:$Z$12,MATCH(T8,[16]Datos!$V$7:$Z$7,0)+1,FALSE))</f>
        <v>MODERADO</v>
      </c>
      <c r="X8" s="819" t="s">
        <v>202</v>
      </c>
    </row>
    <row r="9" spans="1:24" s="780" customFormat="1" ht="171" x14ac:dyDescent="0.2">
      <c r="A9" s="851">
        <f>'[16]Identificación del Riesgo GD'!D11</f>
        <v>3</v>
      </c>
      <c r="B9" s="848" t="str">
        <f>'[16]Identificación del Riesgo GD'!E11</f>
        <v>Manejo  inadecuado de la Gestión documental por parte de los servidores publicos  de la UPME</v>
      </c>
      <c r="C9" s="848" t="str">
        <f>'[16]Identificación del Riesgo GD'!H11</f>
        <v>Personal sin las competencias y/o capacitación  requeridas en el cargo
Falta compromiso por parte de los servidores publicos
No aplicación de las TRD por parte de los servidores publicos</v>
      </c>
      <c r="D9" s="819" t="s">
        <v>196</v>
      </c>
      <c r="E9" s="847">
        <f>IF(D9="Selecciona un descriptor de frecuencia."," ",IF(D9="","",VLOOKUP(D9,[16]Datos!$G$8:$J$12,2,FALSE)))</f>
        <v>4</v>
      </c>
      <c r="F9" s="847" t="str">
        <f>IF(D9="Selecciona un descriptor de frecuencia."," ",IF(D9="","",VLOOKUP(D9,[16]Datos!$G$8:$J$12,3,FALSE)))</f>
        <v>Probable</v>
      </c>
      <c r="G9" s="819" t="s">
        <v>204</v>
      </c>
      <c r="H9" s="851">
        <f>IF(G9="","",VLOOKUP(G9,[16]Datos!$K$8:$L$12,2,FALSE))</f>
        <v>3</v>
      </c>
      <c r="I9" s="849" t="str">
        <f>IF(D9="Selecciona un descriptor de frecuencia."," ",IF(G9="Selecciona un descriptor de impacto."," ",IF(E9+H9=" ","",IF(E9="","",VLOOKUP(E9,[16]Datos!$U$8:$Z$12,MATCH(H9,[16]Datos!$V$7:$Z$7,0)+1,FALSE)))))</f>
        <v>ALTO</v>
      </c>
      <c r="J9" s="819" t="s">
        <v>122</v>
      </c>
      <c r="K9" s="853" t="s">
        <v>1266</v>
      </c>
      <c r="L9" s="853" t="s">
        <v>1267</v>
      </c>
      <c r="M9" s="820">
        <f>[16]Controles!T11</f>
        <v>100</v>
      </c>
      <c r="N9" s="820" t="str">
        <f>[16]Controles!AB11</f>
        <v>No</v>
      </c>
      <c r="O9" s="547">
        <f>[16]Controles!W11</f>
        <v>1</v>
      </c>
      <c r="P9" s="547">
        <f>[16]Controles!X11</f>
        <v>1</v>
      </c>
      <c r="Q9" s="852">
        <f t="shared" si="0"/>
        <v>1</v>
      </c>
      <c r="R9" s="852">
        <f t="shared" si="0"/>
        <v>1</v>
      </c>
      <c r="S9" s="850">
        <f t="shared" si="1"/>
        <v>3</v>
      </c>
      <c r="T9" s="850">
        <f t="shared" si="2"/>
        <v>2</v>
      </c>
      <c r="U9" s="547" t="str">
        <f>IF(D9="Selecciona un descriptor de frecuencia."," ",VLOOKUP(S9,[16]Datos!$H$8:$I$12,2,FALSE))</f>
        <v>Posible</v>
      </c>
      <c r="V9" s="547" t="str">
        <f>IF(G9="Selecciona un descriptor de impacto."," ",VLOOKUP(T9,[16]Datos!$L$8:$M$12,2,FALSE))</f>
        <v>Menor</v>
      </c>
      <c r="W9" s="849" t="str">
        <f>IF(S9=" "," ",VLOOKUP(S9,[16]Datos!$U$8:$Z$12,MATCH(T9,[16]Datos!$V$7:$Z$7,0)+1,FALSE))</f>
        <v>MODERADO</v>
      </c>
      <c r="X9" s="819" t="s">
        <v>202</v>
      </c>
    </row>
    <row r="10" spans="1:24" s="780" customFormat="1" ht="85.5" x14ac:dyDescent="0.2">
      <c r="A10" s="851">
        <f>'[16]Identificación del Riesgo GD'!D12</f>
        <v>4</v>
      </c>
      <c r="B10" s="848" t="str">
        <f>'[16]Identificación del Riesgo GD'!E12</f>
        <v xml:space="preserve">Transferencias incompletas o que no se realizan de acuerdo a las TRD </v>
      </c>
      <c r="C10" s="848" t="str">
        <f>'[16]Identificación del Riesgo GD'!H12</f>
        <v>Falta compromiso por parte de los servidores publicos
Falta de capacitación sobre el manejo de trasferencias</v>
      </c>
      <c r="D10" s="819" t="s">
        <v>196</v>
      </c>
      <c r="E10" s="847">
        <f>IF(D10="Selecciona un descriptor de frecuencia."," ",IF(D10="","",VLOOKUP(D10,[16]Datos!$G$8:$J$12,2,FALSE)))</f>
        <v>4</v>
      </c>
      <c r="F10" s="847" t="str">
        <f>IF(D10="Selecciona un descriptor de frecuencia."," ",IF(D10="","",VLOOKUP(D10,[16]Datos!$G$8:$J$12,3,FALSE)))</f>
        <v>Probable</v>
      </c>
      <c r="G10" s="819" t="s">
        <v>204</v>
      </c>
      <c r="H10" s="851">
        <f>IF(G10="","",VLOOKUP(G10,[16]Datos!$K$8:$L$12,2,FALSE))</f>
        <v>3</v>
      </c>
      <c r="I10" s="849" t="str">
        <f>IF(D10="Selecciona un descriptor de frecuencia."," ",IF(G10="Selecciona un descriptor de impacto."," ",IF(E10+H10=" ","",IF(E10="","",VLOOKUP(E10,[16]Datos!$U$8:$Z$12,MATCH(H10,[16]Datos!$V$7:$Z$7,0)+1,FALSE)))))</f>
        <v>ALTO</v>
      </c>
      <c r="J10" s="819" t="s">
        <v>122</v>
      </c>
      <c r="K10" s="853" t="s">
        <v>1268</v>
      </c>
      <c r="L10" s="707" t="s">
        <v>1269</v>
      </c>
      <c r="M10" s="820">
        <f>[16]Controles!T12</f>
        <v>100</v>
      </c>
      <c r="N10" s="820" t="str">
        <f>[16]Controles!AB12</f>
        <v>No</v>
      </c>
      <c r="O10" s="547">
        <f>[16]Controles!W12</f>
        <v>1</v>
      </c>
      <c r="P10" s="547">
        <f>[16]Controles!X12</f>
        <v>1</v>
      </c>
      <c r="Q10" s="852">
        <f t="shared" si="0"/>
        <v>1</v>
      </c>
      <c r="R10" s="852">
        <f t="shared" si="0"/>
        <v>1</v>
      </c>
      <c r="S10" s="850">
        <f t="shared" si="1"/>
        <v>3</v>
      </c>
      <c r="T10" s="850">
        <f t="shared" si="2"/>
        <v>2</v>
      </c>
      <c r="U10" s="547" t="str">
        <f>IF(D10="Selecciona un descriptor de frecuencia."," ",VLOOKUP(S10,[16]Datos!$H$8:$I$12,2,FALSE))</f>
        <v>Posible</v>
      </c>
      <c r="V10" s="547" t="str">
        <f>IF(G10="Selecciona un descriptor de impacto."," ",VLOOKUP(T10,[16]Datos!$L$8:$M$12,2,FALSE))</f>
        <v>Menor</v>
      </c>
      <c r="W10" s="849" t="str">
        <f>IF(S10=" "," ",VLOOKUP(S10,[16]Datos!$U$8:$Z$12,MATCH(T10,[16]Datos!$V$7:$Z$7,0)+1,FALSE))</f>
        <v>MODERADO</v>
      </c>
      <c r="X10" s="819" t="s">
        <v>202</v>
      </c>
    </row>
    <row r="11" spans="1:24" s="780" customFormat="1" ht="142.5" x14ac:dyDescent="0.2">
      <c r="A11" s="904">
        <f>'[16]Identificación del Riesgo GD'!D13</f>
        <v>5</v>
      </c>
      <c r="B11" s="848" t="str">
        <f>'[16]Identificación del Riesgo GD'!E13</f>
        <v>Alteración o perdida de los expedientes que reposan en el archivo Central para favorecer a un tercero</v>
      </c>
      <c r="C11" s="848" t="str">
        <f>'[16]Identificación del Riesgo GD'!H13</f>
        <v>No se realizar trazabilidad desde la entrega hasta la devolución (si es en fisico)
Intereses particulares de beneficio propio</v>
      </c>
      <c r="D11" s="819" t="s">
        <v>223</v>
      </c>
      <c r="E11" s="847">
        <f>IF(D11="Selecciona un descriptor de frecuencia."," ",IF(D11="","",VLOOKUP(D11,[16]Datos!$G$8:$J$12,2,FALSE)))</f>
        <v>2</v>
      </c>
      <c r="F11" s="847" t="str">
        <f>IF(D11="Selecciona un descriptor de frecuencia."," ",IF(D11="","",VLOOKUP(D11,[16]Datos!$G$8:$J$12,3,FALSE)))</f>
        <v>Improbable</v>
      </c>
      <c r="G11" s="819" t="s">
        <v>199</v>
      </c>
      <c r="H11" s="851">
        <f>IF(G11="","",VLOOKUP(G11,[16]Datos!$K$8:$L$12,2,FALSE))</f>
        <v>4</v>
      </c>
      <c r="I11" s="849" t="str">
        <f>IF(D11="Selecciona un descriptor de frecuencia."," ",IF(G11="Selecciona un descriptor de impacto."," ",IF(E11+H11=" ","",IF(E11="","",VLOOKUP(E11,[16]Datos!$U$8:$Z$12,MATCH(H11,[16]Datos!$V$7:$Z$7,0)+1,FALSE)))))</f>
        <v>ALTO</v>
      </c>
      <c r="J11" s="819" t="s">
        <v>122</v>
      </c>
      <c r="K11" s="853" t="s">
        <v>1270</v>
      </c>
      <c r="L11" s="707" t="s">
        <v>1271</v>
      </c>
      <c r="M11" s="820">
        <f>[16]Controles!T13</f>
        <v>100</v>
      </c>
      <c r="N11" s="820" t="str">
        <f>[16]Controles!AB13</f>
        <v>No</v>
      </c>
      <c r="O11" s="547">
        <f>[16]Controles!W13</f>
        <v>1</v>
      </c>
      <c r="P11" s="547">
        <f>[16]Controles!X13</f>
        <v>1</v>
      </c>
      <c r="Q11" s="852">
        <f t="shared" si="0"/>
        <v>1</v>
      </c>
      <c r="R11" s="852">
        <f t="shared" si="0"/>
        <v>1</v>
      </c>
      <c r="S11" s="850">
        <f t="shared" si="1"/>
        <v>1</v>
      </c>
      <c r="T11" s="850">
        <f t="shared" si="2"/>
        <v>3</v>
      </c>
      <c r="U11" s="547" t="str">
        <f>IF(D11="Selecciona un descriptor de frecuencia."," ",VLOOKUP(S11,[16]Datos!$H$8:$I$12,2,FALSE))</f>
        <v>Rara vez</v>
      </c>
      <c r="V11" s="547" t="str">
        <f>IF(G11="Selecciona un descriptor de impacto."," ",VLOOKUP(T11,[16]Datos!$L$8:$M$12,2,FALSE))</f>
        <v>Moderado</v>
      </c>
      <c r="W11" s="849" t="str">
        <f>IF(S11=" "," ",VLOOKUP(S11,[16]Datos!$U$8:$Z$12,MATCH(T11,[16]Datos!$V$7:$Z$7,0)+1,FALSE))</f>
        <v>MODERADO</v>
      </c>
      <c r="X11" s="819" t="s">
        <v>202</v>
      </c>
    </row>
    <row r="12" spans="1:24" s="780" customFormat="1" ht="99.75" x14ac:dyDescent="0.2">
      <c r="A12" s="851">
        <f>'[16]Identificación del Riesgo GD'!D14</f>
        <v>6</v>
      </c>
      <c r="B12" s="848" t="str">
        <f>'[16]Identificación del Riesgo GD'!E14</f>
        <v>Asignación o manejo errado de correspondencia general radicada en la UPME</v>
      </c>
      <c r="C12" s="848" t="str">
        <f>'[16]Identificación del Riesgo GD'!H14</f>
        <v>Falta compromiso por parte de los servidores publicos
No identificar adecuadamente el contenido de los sobres de correspondencia
Falta de capacitación sobre los diferentes temas que pueden ser radicados en la entidad</v>
      </c>
      <c r="D12" s="819" t="s">
        <v>181</v>
      </c>
      <c r="E12" s="847">
        <f>IF(D12="Selecciona un descriptor de frecuencia."," ",IF(D12="","",VLOOKUP(D12,[16]Datos!$G$8:$J$12,2,FALSE)))</f>
        <v>5</v>
      </c>
      <c r="F12" s="847" t="str">
        <f>IF(D12="Selecciona un descriptor de frecuencia."," ",IF(D12="","",VLOOKUP(D12,[16]Datos!$G$8:$J$12,3,FALSE)))</f>
        <v>Casi Seguro</v>
      </c>
      <c r="G12" s="819" t="s">
        <v>204</v>
      </c>
      <c r="H12" s="851">
        <f>IF(G12="","",VLOOKUP(G12,[16]Datos!$K$8:$L$12,2,FALSE))</f>
        <v>3</v>
      </c>
      <c r="I12" s="849" t="str">
        <f>IF(D12="Selecciona un descriptor de frecuencia."," ",IF(G12="Selecciona un descriptor de impacto."," ",IF(E12+H12=" ","",IF(E12="","",VLOOKUP(E12,[16]Datos!$U$8:$Z$12,MATCH(H12,[16]Datos!$V$7:$Z$7,0)+1,FALSE)))))</f>
        <v>EXTREMO</v>
      </c>
      <c r="J12" s="819" t="s">
        <v>263</v>
      </c>
      <c r="K12" s="853" t="s">
        <v>1272</v>
      </c>
      <c r="L12" s="853" t="s">
        <v>1272</v>
      </c>
      <c r="M12" s="820">
        <f>[16]Controles!T14</f>
        <v>0</v>
      </c>
      <c r="N12" s="820" t="str">
        <f>[16]Controles!AB14</f>
        <v>SI</v>
      </c>
      <c r="O12" s="547">
        <f>[16]Controles!W14</f>
        <v>0</v>
      </c>
      <c r="P12" s="547">
        <f>[16]Controles!X14</f>
        <v>0</v>
      </c>
      <c r="Q12" s="852">
        <f t="shared" si="0"/>
        <v>0</v>
      </c>
      <c r="R12" s="852">
        <f t="shared" si="0"/>
        <v>0</v>
      </c>
      <c r="S12" s="850">
        <f t="shared" si="1"/>
        <v>5</v>
      </c>
      <c r="T12" s="850">
        <f t="shared" si="2"/>
        <v>3</v>
      </c>
      <c r="U12" s="547" t="str">
        <f>IF(D12="Selecciona un descriptor de frecuencia."," ",VLOOKUP(S12,[16]Datos!$H$8:$I$12,2,FALSE))</f>
        <v>Casi Seguro</v>
      </c>
      <c r="V12" s="547" t="str">
        <f>IF(G12="Selecciona un descriptor de impacto."," ",VLOOKUP(T12,[16]Datos!$L$8:$M$12,2,FALSE))</f>
        <v>Moderado</v>
      </c>
      <c r="W12" s="849" t="str">
        <f>IF(S12=" "," ",VLOOKUP(S12,[16]Datos!$U$8:$Z$12,MATCH(T12,[16]Datos!$V$7:$Z$7,0)+1,FALSE))</f>
        <v>EXTREMO</v>
      </c>
      <c r="X12" s="819" t="s">
        <v>202</v>
      </c>
    </row>
    <row r="13" spans="1:24" s="780" customFormat="1" ht="71.25" x14ac:dyDescent="0.2">
      <c r="A13" s="851">
        <f>'[16]Identificación del Riesgo GD'!D15</f>
        <v>7</v>
      </c>
      <c r="B13" s="848" t="str">
        <f>'[16]Identificación del Riesgo GD'!E15</f>
        <v>No realizar trazabilidad a la  entrega de la correspondencia enviada</v>
      </c>
      <c r="C13" s="848" t="str">
        <f>'[16]Identificación del Riesgo GD'!H15</f>
        <v>Falta compromiso por parte de los servidores publicos
Falta de inducción/reinducción sobre procedimientos y actividades propias del proceso</v>
      </c>
      <c r="D13" s="819" t="s">
        <v>223</v>
      </c>
      <c r="E13" s="847">
        <f>IF(D13="Selecciona un descriptor de frecuencia."," ",IF(D13="","",VLOOKUP(D13,[16]Datos!$G$8:$J$12,2,FALSE)))</f>
        <v>2</v>
      </c>
      <c r="F13" s="847" t="str">
        <f>IF(D13="Selecciona un descriptor de frecuencia."," ",IF(D13="","",VLOOKUP(D13,[16]Datos!$G$8:$J$12,3,FALSE)))</f>
        <v>Improbable</v>
      </c>
      <c r="G13" s="819" t="s">
        <v>204</v>
      </c>
      <c r="H13" s="851">
        <f>IF(G13="","",VLOOKUP(G13,[16]Datos!$K$8:$L$12,2,FALSE))</f>
        <v>3</v>
      </c>
      <c r="I13" s="849" t="str">
        <f>IF(D13="Selecciona un descriptor de frecuencia."," ",IF(G13="Selecciona un descriptor de impacto."," ",IF(E13+H13=" ","",IF(E13="","",VLOOKUP(E13,[16]Datos!$U$8:$Z$12,MATCH(H13,[16]Datos!$V$7:$Z$7,0)+1,FALSE)))))</f>
        <v>MODERADO</v>
      </c>
      <c r="J13" s="819" t="s">
        <v>263</v>
      </c>
      <c r="K13" s="853" t="s">
        <v>1272</v>
      </c>
      <c r="L13" s="853" t="s">
        <v>1272</v>
      </c>
      <c r="M13" s="820">
        <f>[16]Controles!T20</f>
        <v>0</v>
      </c>
      <c r="N13" s="820" t="str">
        <f>[16]Controles!AB20</f>
        <v>SI</v>
      </c>
      <c r="O13" s="547">
        <f>[16]Controles!W20</f>
        <v>0</v>
      </c>
      <c r="P13" s="547">
        <f>[16]Controles!X20</f>
        <v>0</v>
      </c>
      <c r="Q13" s="852">
        <f t="shared" si="0"/>
        <v>0</v>
      </c>
      <c r="R13" s="852">
        <f t="shared" si="0"/>
        <v>0</v>
      </c>
      <c r="S13" s="850">
        <f t="shared" si="1"/>
        <v>2</v>
      </c>
      <c r="T13" s="850">
        <f t="shared" si="2"/>
        <v>3</v>
      </c>
      <c r="U13" s="547" t="str">
        <f>IF(D13="Selecciona un descriptor de frecuencia."," ",VLOOKUP(S13,[16]Datos!$H$8:$I$12,2,FALSE))</f>
        <v>Improbable</v>
      </c>
      <c r="V13" s="547" t="str">
        <f>IF(G13="Selecciona un descriptor de impacto."," ",VLOOKUP(T13,[16]Datos!$L$8:$M$12,2,FALSE))</f>
        <v>Moderado</v>
      </c>
      <c r="W13" s="849" t="str">
        <f>IF(S13=" "," ",VLOOKUP(S13,[16]Datos!$U$8:$Z$12,MATCH(T13,[16]Datos!$V$7:$Z$7,0)+1,FALSE))</f>
        <v>MODERADO</v>
      </c>
      <c r="X13" s="819" t="s">
        <v>202</v>
      </c>
    </row>
  </sheetData>
  <mergeCells count="7">
    <mergeCell ref="A1:C4"/>
    <mergeCell ref="D1:W4"/>
    <mergeCell ref="X1:X2"/>
    <mergeCell ref="X3:X4"/>
    <mergeCell ref="A5:I5"/>
    <mergeCell ref="K5:P5"/>
    <mergeCell ref="Q5:X5"/>
  </mergeCells>
  <conditionalFormatting sqref="I7:J13 W7:X13">
    <cfRule type="cellIs" dxfId="39" priority="1" operator="equal">
      <formula>"Extremo"</formula>
    </cfRule>
    <cfRule type="cellIs" dxfId="38" priority="2" operator="equal">
      <formula>"Moderado"</formula>
    </cfRule>
    <cfRule type="cellIs" dxfId="37" priority="3" operator="equal">
      <formula>"Bajo"</formula>
    </cfRule>
    <cfRule type="cellIs" dxfId="36" priority="4" operator="equal">
      <formula>"Alto"</formula>
    </cfRule>
  </conditionalFormatting>
  <dataValidations count="2">
    <dataValidation type="list" allowBlank="1" showInputMessage="1" showErrorMessage="1" sqref="X8:X13" xr:uid="{00000000-0002-0000-6300-000000000000}">
      <formula1>$U$4:$U$5</formula1>
    </dataValidation>
    <dataValidation type="list" allowBlank="1" showInputMessage="1" showErrorMessage="1" sqref="J7:J13" xr:uid="{00000000-0002-0000-6300-000001000000}">
      <formula1>"SI,NO"</formula1>
    </dataValidation>
  </dataValidations>
  <pageMargins left="7.874015748031496E-2" right="7.874015748031496E-2" top="1.1417322834645669" bottom="0.15748031496062992" header="0.31496062992125984" footer="0.31496062992125984"/>
  <pageSetup scale="38" orientation="landscape" horizontalDpi="1200" verticalDpi="1200" r:id="rId1"/>
  <headerFooter>
    <oddHeader>&amp;L&amp;G&amp;C
&amp;"-,Negrita"Matriz de Riesgos</oddHeader>
  </headerFooter>
  <rowBreaks count="2" manualBreakCount="2">
    <brk id="8" max="16383" man="1"/>
    <brk id="10" max="16383" man="1"/>
  </rowBreaks>
  <colBreaks count="1" manualBreakCount="1">
    <brk id="16" max="1048575" man="1"/>
  </col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6300-000002000000}">
          <x14:formula1>
            <xm:f>'C:\Users\sgomez.UPME\Documents\UPME 2020\Documents\Mapas de riesgos\[Mapa de riesgos. Gestión Documental.xlsx]Datos'!#REF!</xm:f>
          </x14:formula1>
          <xm:sqref>G7:G13 X7 D7:D13</xm:sqref>
        </x14:dataValidation>
      </x14:dataValidations>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AD20"/>
  <sheetViews>
    <sheetView topLeftCell="V12" zoomScaleNormal="100" zoomScaleSheetLayoutView="160" workbookViewId="0">
      <selection activeCell="V13" sqref="V13"/>
    </sheetView>
  </sheetViews>
  <sheetFormatPr baseColWidth="10" defaultColWidth="10" defaultRowHeight="12.75" x14ac:dyDescent="0.2"/>
  <cols>
    <col min="1" max="1" width="6.625" style="811" customWidth="1"/>
    <col min="2" max="2" width="29" style="811" customWidth="1"/>
    <col min="3" max="3" width="45.75" style="811" customWidth="1"/>
    <col min="4" max="4" width="22" style="763" customWidth="1"/>
    <col min="5" max="5" width="49" style="763" customWidth="1"/>
    <col min="6" max="10" width="21.75" style="811" customWidth="1"/>
    <col min="11" max="11" width="33.875" style="811" customWidth="1"/>
    <col min="12" max="12" width="21.75" style="811" customWidth="1"/>
    <col min="13" max="17" width="19.25" style="825" hidden="1" customWidth="1"/>
    <col min="18" max="18" width="22.625" style="825" hidden="1" customWidth="1"/>
    <col min="19" max="19" width="19.25" style="825" hidden="1" customWidth="1"/>
    <col min="20" max="20" width="8" style="825" customWidth="1"/>
    <col min="21" max="22" width="18.125" style="825" customWidth="1"/>
    <col min="23" max="23" width="17.75" style="825" hidden="1" customWidth="1"/>
    <col min="24" max="24" width="16.25" style="825" hidden="1" customWidth="1"/>
    <col min="25" max="25" width="15.25" style="825" customWidth="1"/>
    <col min="26" max="26" width="18.875" style="825" customWidth="1"/>
    <col min="27" max="27" width="15.625" style="825" customWidth="1"/>
    <col min="28" max="28" width="23.125" style="825" customWidth="1"/>
    <col min="29" max="29" width="22.25" style="826" customWidth="1"/>
    <col min="30" max="30" width="26.5" style="826" customWidth="1"/>
    <col min="31" max="16384" width="10" style="811"/>
  </cols>
  <sheetData>
    <row r="1" spans="1:30" ht="15.75" customHeight="1" x14ac:dyDescent="0.2">
      <c r="A1" s="1630"/>
      <c r="B1" s="1630"/>
      <c r="C1" s="1630"/>
      <c r="D1" s="1631" t="s">
        <v>0</v>
      </c>
      <c r="E1" s="1631"/>
      <c r="F1" s="1631"/>
      <c r="G1" s="1631"/>
      <c r="H1" s="1631"/>
      <c r="I1" s="1631"/>
      <c r="J1" s="1631"/>
      <c r="K1" s="1631"/>
      <c r="L1" s="1631"/>
      <c r="M1" s="1631"/>
      <c r="N1" s="1631"/>
      <c r="O1" s="1631"/>
      <c r="P1" s="1631"/>
      <c r="Q1" s="1631"/>
      <c r="R1" s="1631"/>
      <c r="S1" s="1631"/>
      <c r="T1" s="1631"/>
      <c r="U1" s="1631"/>
      <c r="V1" s="1631"/>
      <c r="W1" s="1631"/>
      <c r="X1" s="1631"/>
      <c r="Y1" s="1631"/>
      <c r="Z1" s="1631"/>
      <c r="AA1" s="1631"/>
      <c r="AB1" s="1631"/>
      <c r="AC1" s="1632" t="s">
        <v>128</v>
      </c>
      <c r="AD1" s="1632"/>
    </row>
    <row r="2" spans="1:30" ht="15.75" customHeight="1" x14ac:dyDescent="0.2">
      <c r="A2" s="1630"/>
      <c r="B2" s="1630"/>
      <c r="C2" s="1630"/>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2"/>
      <c r="AD2" s="1632"/>
    </row>
    <row r="3" spans="1:30" ht="15.75" customHeight="1" x14ac:dyDescent="0.2">
      <c r="A3" s="1630"/>
      <c r="B3" s="1630"/>
      <c r="C3" s="1630"/>
      <c r="D3" s="1631"/>
      <c r="E3" s="1631"/>
      <c r="F3" s="1631"/>
      <c r="G3" s="1631"/>
      <c r="H3" s="1631"/>
      <c r="I3" s="1631"/>
      <c r="J3" s="1631"/>
      <c r="K3" s="1631"/>
      <c r="L3" s="1631"/>
      <c r="M3" s="1631"/>
      <c r="N3" s="1631"/>
      <c r="O3" s="1631"/>
      <c r="P3" s="1631"/>
      <c r="Q3" s="1631"/>
      <c r="R3" s="1631"/>
      <c r="S3" s="1631"/>
      <c r="T3" s="1631"/>
      <c r="U3" s="1631"/>
      <c r="V3" s="1631"/>
      <c r="W3" s="1631"/>
      <c r="X3" s="1631"/>
      <c r="Y3" s="1631"/>
      <c r="Z3" s="1631"/>
      <c r="AA3" s="1631"/>
      <c r="AB3" s="1631"/>
      <c r="AC3" s="1632" t="s">
        <v>2</v>
      </c>
      <c r="AD3" s="1632"/>
    </row>
    <row r="4" spans="1:30" ht="15.75" customHeight="1" x14ac:dyDescent="0.2">
      <c r="A4" s="1630"/>
      <c r="B4" s="1630"/>
      <c r="C4" s="1630"/>
      <c r="D4" s="1631"/>
      <c r="E4" s="1631"/>
      <c r="F4" s="1631"/>
      <c r="G4" s="1631"/>
      <c r="H4" s="1631"/>
      <c r="I4" s="1631"/>
      <c r="J4" s="1631"/>
      <c r="K4" s="1631"/>
      <c r="L4" s="1631"/>
      <c r="M4" s="1631"/>
      <c r="N4" s="1631"/>
      <c r="O4" s="1631"/>
      <c r="P4" s="1631"/>
      <c r="Q4" s="1631"/>
      <c r="R4" s="1631"/>
      <c r="S4" s="1631"/>
      <c r="T4" s="1631"/>
      <c r="U4" s="1631"/>
      <c r="V4" s="1631"/>
      <c r="W4" s="1631"/>
      <c r="X4" s="1631"/>
      <c r="Y4" s="1631"/>
      <c r="Z4" s="1631"/>
      <c r="AA4" s="1631"/>
      <c r="AB4" s="1631"/>
      <c r="AC4" s="1632"/>
      <c r="AD4" s="1632"/>
    </row>
    <row r="5" spans="1:30" ht="15.75" customHeight="1" x14ac:dyDescent="0.2">
      <c r="A5" s="1585" t="s">
        <v>36</v>
      </c>
      <c r="B5" s="1586"/>
      <c r="C5" s="1587"/>
      <c r="D5" s="1633" t="str">
        <f t="array" ref="D5">+'[16]Identificación del Riesgo GD'!D5:N5</f>
        <v>GESTIÓN DOCUMENTAL</v>
      </c>
      <c r="E5" s="1634"/>
      <c r="F5" s="1634"/>
      <c r="G5" s="1634"/>
      <c r="H5" s="1634"/>
      <c r="I5" s="1634"/>
      <c r="J5" s="1634"/>
      <c r="K5" s="1634"/>
      <c r="L5" s="1634"/>
      <c r="M5" s="1634"/>
      <c r="N5" s="1634"/>
      <c r="O5" s="1634"/>
      <c r="P5" s="1634"/>
      <c r="Q5" s="1634"/>
      <c r="R5" s="1634"/>
      <c r="S5" s="1634"/>
      <c r="T5" s="1634"/>
      <c r="U5" s="1634"/>
      <c r="V5" s="1634"/>
      <c r="W5" s="1634"/>
      <c r="X5" s="1634"/>
      <c r="Y5" s="1634"/>
      <c r="Z5" s="1634"/>
      <c r="AA5" s="1634"/>
      <c r="AB5" s="1634"/>
      <c r="AC5" s="1634"/>
      <c r="AD5" s="1634"/>
    </row>
    <row r="6" spans="1:30" ht="15.75" customHeight="1" thickBot="1" x14ac:dyDescent="0.25">
      <c r="A6" s="1585" t="s">
        <v>37</v>
      </c>
      <c r="B6" s="1586"/>
      <c r="C6" s="1587"/>
      <c r="D6" s="1633" t="str">
        <f t="array" ref="D6">+'[16]Identificación del Riesgo GD'!D6:N6</f>
        <v>Asegurar la conservación y disponibilidad de la memoria institucional de la UPME por medio de la generación de directrices y controles aplicables al archivo de gestión, archivo central y archivo historico.</v>
      </c>
      <c r="E6" s="1634"/>
      <c r="F6" s="1634"/>
      <c r="G6" s="1634"/>
      <c r="H6" s="1634"/>
      <c r="I6" s="1634"/>
      <c r="J6" s="1634"/>
      <c r="K6" s="1634"/>
      <c r="L6" s="1634"/>
      <c r="M6" s="1634"/>
      <c r="N6" s="1634"/>
      <c r="O6" s="1634"/>
      <c r="P6" s="1634"/>
      <c r="Q6" s="1634"/>
      <c r="R6" s="1634"/>
      <c r="S6" s="1634"/>
      <c r="T6" s="1634"/>
      <c r="U6" s="1634"/>
      <c r="V6" s="1634"/>
      <c r="W6" s="1634"/>
      <c r="X6" s="1634"/>
      <c r="Y6" s="1634"/>
      <c r="Z6" s="1634"/>
      <c r="AA6" s="1634"/>
      <c r="AB6" s="1634"/>
      <c r="AC6" s="1634"/>
      <c r="AD6" s="1634"/>
    </row>
    <row r="7" spans="1:30" ht="15" customHeight="1" x14ac:dyDescent="0.2">
      <c r="A7" s="1635" t="s">
        <v>129</v>
      </c>
      <c r="B7" s="1636"/>
      <c r="C7" s="1636"/>
      <c r="D7" s="1636"/>
      <c r="E7" s="1636"/>
      <c r="F7" s="1636"/>
      <c r="G7" s="1636"/>
      <c r="H7" s="1636"/>
      <c r="I7" s="1636"/>
      <c r="J7" s="1636"/>
      <c r="K7" s="1636"/>
      <c r="L7" s="1636"/>
      <c r="M7" s="1636" t="s">
        <v>75</v>
      </c>
      <c r="N7" s="1636"/>
      <c r="O7" s="1636"/>
      <c r="P7" s="1636"/>
      <c r="Q7" s="1636"/>
      <c r="R7" s="1636"/>
      <c r="S7" s="1636"/>
      <c r="T7" s="1636"/>
      <c r="U7" s="1636"/>
      <c r="V7" s="1636"/>
      <c r="W7" s="1636"/>
      <c r="X7" s="1636"/>
      <c r="Y7" s="1636"/>
      <c r="Z7" s="1637" t="s">
        <v>130</v>
      </c>
      <c r="AA7" s="1637"/>
      <c r="AB7" s="1637"/>
      <c r="AC7" s="1638" t="s">
        <v>131</v>
      </c>
      <c r="AD7" s="1639"/>
    </row>
    <row r="8" spans="1:30" ht="51" x14ac:dyDescent="0.2">
      <c r="A8" s="812" t="s">
        <v>44</v>
      </c>
      <c r="B8" s="813" t="s">
        <v>64</v>
      </c>
      <c r="C8" s="813" t="s">
        <v>132</v>
      </c>
      <c r="D8" s="813" t="s">
        <v>73</v>
      </c>
      <c r="E8" s="813" t="s">
        <v>133</v>
      </c>
      <c r="F8" s="813" t="s">
        <v>134</v>
      </c>
      <c r="G8" s="813" t="s">
        <v>135</v>
      </c>
      <c r="H8" s="813" t="s">
        <v>136</v>
      </c>
      <c r="I8" s="813" t="s">
        <v>137</v>
      </c>
      <c r="J8" s="813" t="s">
        <v>138</v>
      </c>
      <c r="K8" s="813" t="s">
        <v>139</v>
      </c>
      <c r="L8" s="813" t="s">
        <v>140</v>
      </c>
      <c r="M8" s="813" t="s">
        <v>134</v>
      </c>
      <c r="N8" s="813" t="s">
        <v>135</v>
      </c>
      <c r="O8" s="813" t="s">
        <v>141</v>
      </c>
      <c r="P8" s="813" t="s">
        <v>137</v>
      </c>
      <c r="Q8" s="813" t="s">
        <v>138</v>
      </c>
      <c r="R8" s="813" t="s">
        <v>139</v>
      </c>
      <c r="S8" s="813" t="s">
        <v>140</v>
      </c>
      <c r="T8" s="814" t="s">
        <v>121</v>
      </c>
      <c r="U8" s="813" t="s">
        <v>142</v>
      </c>
      <c r="V8" s="813" t="s">
        <v>143</v>
      </c>
      <c r="W8" s="813" t="s">
        <v>142</v>
      </c>
      <c r="X8" s="813" t="s">
        <v>143</v>
      </c>
      <c r="Y8" s="813" t="s">
        <v>144</v>
      </c>
      <c r="Z8" s="813" t="s">
        <v>145</v>
      </c>
      <c r="AA8" s="813" t="s">
        <v>146</v>
      </c>
      <c r="AB8" s="813" t="s">
        <v>76</v>
      </c>
      <c r="AC8" s="813" t="s">
        <v>147</v>
      </c>
      <c r="AD8" s="815" t="s">
        <v>148</v>
      </c>
    </row>
    <row r="9" spans="1:30" s="780" customFormat="1" ht="73.5" customHeight="1" x14ac:dyDescent="0.2">
      <c r="A9" s="816">
        <f>'[16]Identificación del Riesgo GD'!D9</f>
        <v>1</v>
      </c>
      <c r="B9" s="654" t="str">
        <f>'[16]Identificación del Riesgo GD'!E9</f>
        <v>Deterioro de los documentos del archivo central, archivo  de gestión o del material bibliográfico del centro documental</v>
      </c>
      <c r="C9" s="817" t="str">
        <f>'[16]Identificación del Riesgo GD'!H9</f>
        <v xml:space="preserve">Falta de aseo
Falta de mantenimiento de instalaciones
No se realizan fumigaciones </v>
      </c>
      <c r="D9" s="654" t="str">
        <f>'[16]Analisis Riesgo'!K7</f>
        <v>Mantenimientos periodicos a las instalaciones donde reposan lo archivos</v>
      </c>
      <c r="E9" s="654" t="str">
        <f>'[16]Analisis Riesgo'!L7</f>
        <v>Mantenimientos periodicos a las instalaciones donde reposan lo archivos, que incluye control de plagas (roedores, insectos y hongos) y limpieza general</v>
      </c>
      <c r="F9" s="818" t="s">
        <v>833</v>
      </c>
      <c r="G9" s="818" t="s">
        <v>834</v>
      </c>
      <c r="H9" s="818" t="s">
        <v>300</v>
      </c>
      <c r="I9" s="818" t="s">
        <v>868</v>
      </c>
      <c r="J9" s="818" t="s">
        <v>869</v>
      </c>
      <c r="K9" s="819" t="s">
        <v>870</v>
      </c>
      <c r="L9" s="818" t="s">
        <v>871</v>
      </c>
      <c r="M9" s="820">
        <f>IF(F9="Asignado", 15,0)</f>
        <v>0</v>
      </c>
      <c r="N9" s="820">
        <f>IF(G9="Adecuado",15,0)</f>
        <v>0</v>
      </c>
      <c r="O9" s="820">
        <f t="shared" ref="O9:O20" si="0">IF(H9="Oportuna",15,0)</f>
        <v>15</v>
      </c>
      <c r="P9" s="820">
        <f t="shared" ref="P9:P20" si="1">IF(I9="Prevenir",15,IF(I9="Detectar",10,0))</f>
        <v>0</v>
      </c>
      <c r="Q9" s="820">
        <f t="shared" ref="Q9:Q20" si="2">IF(J9="Confiable", 15,0)</f>
        <v>0</v>
      </c>
      <c r="R9" s="820">
        <f t="shared" ref="R9:R20" si="3">IF(K9="Se invesigan y resuelven oportunamente",15,0)</f>
        <v>0</v>
      </c>
      <c r="S9" s="820">
        <f t="shared" ref="S9:S20" si="4">IF(L9="Completa",10,IF(L9="Incompleta",5,0))</f>
        <v>0</v>
      </c>
      <c r="T9" s="820">
        <f t="shared" ref="T9:T20" si="5">SUM(M9:S9)</f>
        <v>15</v>
      </c>
      <c r="U9" s="818" t="s">
        <v>263</v>
      </c>
      <c r="V9" s="818" t="s">
        <v>263</v>
      </c>
      <c r="W9" s="820">
        <f t="shared" ref="W9:W20" si="6">IF(U9="SI",1,0)*T9/100</f>
        <v>0</v>
      </c>
      <c r="X9" s="820">
        <f t="shared" ref="X9:X20" si="7">IF(V9="SI",1,0)*T9/100</f>
        <v>0</v>
      </c>
      <c r="Y9" s="820" t="str">
        <f t="shared" ref="Y9:Y20" si="8">IF(W9&gt;=0.96,"Fuerte",IF(W9&gt;=0.86,"Moderado","Debil"))</f>
        <v>Debil</v>
      </c>
      <c r="Z9" s="818" t="s">
        <v>872</v>
      </c>
      <c r="AA9" s="820" t="str">
        <f t="shared" ref="AA9:AA20" si="9">IF(Z9="Siempre se ejecuta","Fuerte",IF(Z9="Algunas veces se ejecuta","Moderado","Debil"))</f>
        <v>Debil</v>
      </c>
      <c r="AB9" s="820" t="str">
        <f>IF(Y9="Fuerte",IF(AA9="Fuerte","No","SI"),"SI")</f>
        <v>SI</v>
      </c>
      <c r="AC9" s="821"/>
      <c r="AD9" s="822"/>
    </row>
    <row r="10" spans="1:30" s="780" customFormat="1" ht="73.5" customHeight="1" x14ac:dyDescent="0.2">
      <c r="A10" s="816">
        <f>'[16]Identificación del Riesgo GD'!D10</f>
        <v>2</v>
      </c>
      <c r="B10" s="654" t="str">
        <f>'[16]Identificación del Riesgo GD'!E10</f>
        <v>Información suministrada de forma inoportuna por el proceso de Gestion Documental</v>
      </c>
      <c r="C10" s="823" t="str">
        <f>'[16]Identificación del Riesgo GD'!H10</f>
        <v>Fallas en el internet
Caída del sistema o perdida de información de las bases de datos Dspace, Koha y ORFEO.
Personal insuficiente
Personal sin las competencias y/o capacitación  requeridas en el cargo</v>
      </c>
      <c r="D10" s="654" t="str">
        <f>'[16]Analisis Riesgo'!K8</f>
        <v>Procedimiento de Gestión documental</v>
      </c>
      <c r="E10" s="654" t="str">
        <f>'[16]Analisis Riesgo'!L8</f>
        <v xml:space="preserve">Dentro del Sistema de gestión de calidad se cuenta con el procedimiento de Gestión Documental que da las directrices respecto al manejo de los expedientes </v>
      </c>
      <c r="F10" s="818" t="s">
        <v>296</v>
      </c>
      <c r="G10" s="818" t="s">
        <v>299</v>
      </c>
      <c r="H10" s="818" t="s">
        <v>300</v>
      </c>
      <c r="I10" s="818" t="s">
        <v>301</v>
      </c>
      <c r="J10" s="818" t="s">
        <v>869</v>
      </c>
      <c r="K10" s="819" t="s">
        <v>368</v>
      </c>
      <c r="L10" s="818" t="s">
        <v>713</v>
      </c>
      <c r="M10" s="820">
        <f t="shared" ref="M10:M20" si="10">IF(F10="Asignado", 15,0)</f>
        <v>15</v>
      </c>
      <c r="N10" s="820">
        <f t="shared" ref="N10:N20" si="11">IF(G10="Adecuado",15,0)</f>
        <v>15</v>
      </c>
      <c r="O10" s="820">
        <f t="shared" si="0"/>
        <v>15</v>
      </c>
      <c r="P10" s="820">
        <f t="shared" si="1"/>
        <v>15</v>
      </c>
      <c r="Q10" s="820">
        <f t="shared" si="2"/>
        <v>0</v>
      </c>
      <c r="R10" s="820">
        <f t="shared" si="3"/>
        <v>15</v>
      </c>
      <c r="S10" s="820">
        <f t="shared" si="4"/>
        <v>5</v>
      </c>
      <c r="T10" s="820">
        <f t="shared" si="5"/>
        <v>80</v>
      </c>
      <c r="U10" s="818" t="s">
        <v>122</v>
      </c>
      <c r="V10" s="818" t="s">
        <v>122</v>
      </c>
      <c r="W10" s="820">
        <f t="shared" si="6"/>
        <v>0.8</v>
      </c>
      <c r="X10" s="820">
        <f t="shared" si="7"/>
        <v>0.8</v>
      </c>
      <c r="Y10" s="820" t="str">
        <f t="shared" si="8"/>
        <v>Debil</v>
      </c>
      <c r="Z10" s="818" t="s">
        <v>305</v>
      </c>
      <c r="AA10" s="820" t="str">
        <f t="shared" si="9"/>
        <v>Fuerte</v>
      </c>
      <c r="AB10" s="820" t="str">
        <f t="shared" ref="AB10:AB20" si="12">IF(Y10="Fuerte",IF(AA10="Fuerte","No","SI"),"SI")</f>
        <v>SI</v>
      </c>
      <c r="AC10" s="824" t="s">
        <v>1273</v>
      </c>
      <c r="AD10" s="822"/>
    </row>
    <row r="11" spans="1:30" s="780" customFormat="1" ht="120.75" customHeight="1" x14ac:dyDescent="0.2">
      <c r="A11" s="816">
        <f>'[16]Identificación del Riesgo GD'!D11</f>
        <v>3</v>
      </c>
      <c r="B11" s="654" t="str">
        <f>'[16]Identificación del Riesgo GD'!E11</f>
        <v>Manejo  inadecuado de la Gestión documental por parte de los servidores publicos  de la UPME</v>
      </c>
      <c r="C11" s="823" t="str">
        <f>'[16]Identificación del Riesgo GD'!H11</f>
        <v>Personal sin las competencias y/o capacitación  requeridas en el cargo
Falta compromiso por parte de los servidores publicos
No aplicación de las TRD por parte de los servidores publicos</v>
      </c>
      <c r="D11" s="654" t="str">
        <f>'[16]Analisis Riesgo'!K9</f>
        <v>Sistema de Gestión Documental (plataforma) parametrizado con la funcionalidades implementadas
Tablas de Retención Documental TRD de la Upme
Procedimiento de Gestión documental</v>
      </c>
      <c r="E11" s="654" t="str">
        <f>'[16]Analisis Riesgo'!L9</f>
        <v xml:space="preserve">Tipificación de los documentos por medio de Orfeo, de acuerdo a las TRD. Tablas de Retención Documental TRD elaboradas considerando los actos administrativos de estructura y la estructura de los procesos del Sistema de Gestión de la Calidad. 'Dentro del Sistema de gestión de calidad se cuenta con el procedimiento de Gestión Documental que da las directrices respecto al manejo de los expedientes </v>
      </c>
      <c r="F11" s="818" t="s">
        <v>296</v>
      </c>
      <c r="G11" s="818" t="s">
        <v>299</v>
      </c>
      <c r="H11" s="818" t="s">
        <v>300</v>
      </c>
      <c r="I11" s="818" t="s">
        <v>301</v>
      </c>
      <c r="J11" s="818" t="s">
        <v>302</v>
      </c>
      <c r="K11" s="819" t="s">
        <v>368</v>
      </c>
      <c r="L11" s="818" t="s">
        <v>304</v>
      </c>
      <c r="M11" s="820">
        <f t="shared" si="10"/>
        <v>15</v>
      </c>
      <c r="N11" s="820">
        <f t="shared" si="11"/>
        <v>15</v>
      </c>
      <c r="O11" s="820">
        <f t="shared" si="0"/>
        <v>15</v>
      </c>
      <c r="P11" s="820">
        <f t="shared" si="1"/>
        <v>15</v>
      </c>
      <c r="Q11" s="820">
        <f t="shared" si="2"/>
        <v>15</v>
      </c>
      <c r="R11" s="820">
        <f t="shared" si="3"/>
        <v>15</v>
      </c>
      <c r="S11" s="820">
        <f t="shared" si="4"/>
        <v>10</v>
      </c>
      <c r="T11" s="820">
        <f t="shared" si="5"/>
        <v>100</v>
      </c>
      <c r="U11" s="818" t="s">
        <v>122</v>
      </c>
      <c r="V11" s="818" t="s">
        <v>122</v>
      </c>
      <c r="W11" s="820">
        <f t="shared" si="6"/>
        <v>1</v>
      </c>
      <c r="X11" s="820">
        <f t="shared" si="7"/>
        <v>1</v>
      </c>
      <c r="Y11" s="820" t="str">
        <f t="shared" si="8"/>
        <v>Fuerte</v>
      </c>
      <c r="Z11" s="818" t="s">
        <v>305</v>
      </c>
      <c r="AA11" s="820" t="str">
        <f t="shared" si="9"/>
        <v>Fuerte</v>
      </c>
      <c r="AB11" s="820" t="str">
        <f t="shared" si="12"/>
        <v>No</v>
      </c>
      <c r="AC11" s="854" t="s">
        <v>1274</v>
      </c>
      <c r="AD11" s="822"/>
    </row>
    <row r="12" spans="1:30" s="780" customFormat="1" ht="73.5" customHeight="1" x14ac:dyDescent="0.2">
      <c r="A12" s="816">
        <f>'[16]Identificación del Riesgo GD'!D12</f>
        <v>4</v>
      </c>
      <c r="B12" s="654" t="str">
        <f>'[16]Identificación del Riesgo GD'!E12</f>
        <v xml:space="preserve">Transferencias incompletas o que no se realizan de acuerdo a las TRD </v>
      </c>
      <c r="C12" s="823" t="str">
        <f>'[16]Identificación del Riesgo GD'!H12</f>
        <v>Falta compromiso por parte de los servidores publicos
Falta de capacitación sobre el manejo de trasferencias</v>
      </c>
      <c r="D12" s="654" t="str">
        <f>'[16]Analisis Riesgo'!K10</f>
        <v>Cronograma de transferencia documental de la vigencia. Formato unico de Inventario Documental de la UPME</v>
      </c>
      <c r="E12" s="654" t="str">
        <f>'[16]Analisis Riesgo'!L10</f>
        <v>Para cada vigencia el profesional especializado con funciones de Gestión documental elabora y hace seguimiento al cronograma de Transferencias. Trazabilidad y control del inventario documental General  de la UPME por medio del FUID</v>
      </c>
      <c r="F12" s="818" t="s">
        <v>296</v>
      </c>
      <c r="G12" s="818" t="s">
        <v>299</v>
      </c>
      <c r="H12" s="818" t="s">
        <v>300</v>
      </c>
      <c r="I12" s="818" t="s">
        <v>301</v>
      </c>
      <c r="J12" s="818" t="s">
        <v>302</v>
      </c>
      <c r="K12" s="819" t="s">
        <v>368</v>
      </c>
      <c r="L12" s="818" t="s">
        <v>304</v>
      </c>
      <c r="M12" s="820">
        <f t="shared" si="10"/>
        <v>15</v>
      </c>
      <c r="N12" s="820">
        <f t="shared" si="11"/>
        <v>15</v>
      </c>
      <c r="O12" s="820">
        <f t="shared" si="0"/>
        <v>15</v>
      </c>
      <c r="P12" s="820">
        <f t="shared" si="1"/>
        <v>15</v>
      </c>
      <c r="Q12" s="820">
        <f t="shared" si="2"/>
        <v>15</v>
      </c>
      <c r="R12" s="820">
        <f t="shared" si="3"/>
        <v>15</v>
      </c>
      <c r="S12" s="820">
        <f t="shared" si="4"/>
        <v>10</v>
      </c>
      <c r="T12" s="820">
        <f t="shared" si="5"/>
        <v>100</v>
      </c>
      <c r="U12" s="818" t="s">
        <v>122</v>
      </c>
      <c r="V12" s="818" t="s">
        <v>122</v>
      </c>
      <c r="W12" s="820">
        <f t="shared" si="6"/>
        <v>1</v>
      </c>
      <c r="X12" s="820">
        <f t="shared" si="7"/>
        <v>1</v>
      </c>
      <c r="Y12" s="820" t="str">
        <f t="shared" si="8"/>
        <v>Fuerte</v>
      </c>
      <c r="Z12" s="818" t="s">
        <v>305</v>
      </c>
      <c r="AA12" s="820" t="str">
        <f t="shared" si="9"/>
        <v>Fuerte</v>
      </c>
      <c r="AB12" s="820" t="str">
        <f t="shared" si="12"/>
        <v>No</v>
      </c>
      <c r="AC12" s="897" t="s">
        <v>1275</v>
      </c>
      <c r="AD12" s="822"/>
    </row>
    <row r="13" spans="1:30" s="780" customFormat="1" ht="136.5" customHeight="1" x14ac:dyDescent="0.2">
      <c r="A13" s="816">
        <f>'[16]Identificación del Riesgo GD'!D13</f>
        <v>5</v>
      </c>
      <c r="B13" s="654" t="str">
        <f>'[16]Identificación del Riesgo GD'!E13</f>
        <v>Alteración o perdida de los expedientes que reposan en el archivo Central para favorecer a un tercero</v>
      </c>
      <c r="C13" s="823" t="str">
        <f>'[16]Identificación del Riesgo GD'!H13</f>
        <v>No se realizar trazabilidad desde la entrega hasta la devolución (si es en fisico)
Intereses particulares de beneficio propio</v>
      </c>
      <c r="D13" s="654" t="str">
        <f>'[16]Analisis Riesgo'!K11</f>
        <v>Formato de  prestamos. Matriz de control de prestamos</v>
      </c>
      <c r="E13" s="654" t="str">
        <f>'[16]Analisis Riesgo'!L11</f>
        <v>Dentro del SGC se cuenta con un formato para controlar los documentos dados en prestamo de forma fisica, en el cual se registra la fecha de entrega, aquien se entrega y cuando lo devuelven. El responsable del proceso maneja matriz de trazabilidad de los los documentos dados en prestamo de forma fisica, en el cual se registra la fecha de entrega, aquien se entrega y cuando lo devuelven (documento sin control en el SGC)</v>
      </c>
      <c r="F13" s="818" t="s">
        <v>296</v>
      </c>
      <c r="G13" s="818" t="s">
        <v>299</v>
      </c>
      <c r="H13" s="818" t="s">
        <v>300</v>
      </c>
      <c r="I13" s="818" t="s">
        <v>301</v>
      </c>
      <c r="J13" s="818" t="s">
        <v>302</v>
      </c>
      <c r="K13" s="819" t="s">
        <v>368</v>
      </c>
      <c r="L13" s="818" t="s">
        <v>304</v>
      </c>
      <c r="M13" s="820">
        <f t="shared" si="10"/>
        <v>15</v>
      </c>
      <c r="N13" s="820">
        <f t="shared" si="11"/>
        <v>15</v>
      </c>
      <c r="O13" s="820">
        <f t="shared" si="0"/>
        <v>15</v>
      </c>
      <c r="P13" s="820">
        <f t="shared" si="1"/>
        <v>15</v>
      </c>
      <c r="Q13" s="820">
        <f t="shared" si="2"/>
        <v>15</v>
      </c>
      <c r="R13" s="820">
        <f t="shared" si="3"/>
        <v>15</v>
      </c>
      <c r="S13" s="820">
        <f t="shared" si="4"/>
        <v>10</v>
      </c>
      <c r="T13" s="820">
        <f t="shared" si="5"/>
        <v>100</v>
      </c>
      <c r="U13" s="818" t="s">
        <v>122</v>
      </c>
      <c r="V13" s="818" t="s">
        <v>122</v>
      </c>
      <c r="W13" s="820">
        <f t="shared" si="6"/>
        <v>1</v>
      </c>
      <c r="X13" s="820">
        <f t="shared" si="7"/>
        <v>1</v>
      </c>
      <c r="Y13" s="820" t="str">
        <f t="shared" si="8"/>
        <v>Fuerte</v>
      </c>
      <c r="Z13" s="818" t="s">
        <v>305</v>
      </c>
      <c r="AA13" s="820" t="str">
        <f t="shared" si="9"/>
        <v>Fuerte</v>
      </c>
      <c r="AB13" s="820" t="str">
        <f t="shared" si="12"/>
        <v>No</v>
      </c>
      <c r="AC13" s="897" t="s">
        <v>1276</v>
      </c>
      <c r="AD13" s="822"/>
    </row>
    <row r="14" spans="1:30" s="780" customFormat="1" ht="97.5" customHeight="1" x14ac:dyDescent="0.2">
      <c r="A14" s="816">
        <f>'[16]Identificación del Riesgo GD'!D14</f>
        <v>6</v>
      </c>
      <c r="B14" s="654" t="str">
        <f>'[16]Identificación del Riesgo GD'!E14</f>
        <v>Asignación o manejo errado de correspondencia general radicada en la UPME</v>
      </c>
      <c r="C14" s="823" t="str">
        <f>'[16]Identificación del Riesgo GD'!H14</f>
        <v>Falta compromiso por parte de los servidores publicos
No identificar adecuadamente el contenido de los sobres de correspondencia
Falta de capacitación sobre los diferentes temas que pueden ser radicados en la entidad</v>
      </c>
      <c r="D14" s="654" t="str">
        <f>'[16]Analisis Riesgo'!K12</f>
        <v>No se identifican controles existentes</v>
      </c>
      <c r="E14" s="654" t="str">
        <f>'[16]Analisis Riesgo'!L12</f>
        <v>No se identifican controles existentes</v>
      </c>
      <c r="F14" s="818"/>
      <c r="G14" s="818"/>
      <c r="H14" s="818"/>
      <c r="I14" s="818"/>
      <c r="J14" s="818"/>
      <c r="K14" s="819"/>
      <c r="L14" s="818"/>
      <c r="M14" s="820">
        <f t="shared" si="10"/>
        <v>0</v>
      </c>
      <c r="N14" s="820">
        <f t="shared" si="11"/>
        <v>0</v>
      </c>
      <c r="O14" s="820">
        <f t="shared" si="0"/>
        <v>0</v>
      </c>
      <c r="P14" s="820">
        <f t="shared" si="1"/>
        <v>0</v>
      </c>
      <c r="Q14" s="820">
        <f t="shared" si="2"/>
        <v>0</v>
      </c>
      <c r="R14" s="820">
        <f t="shared" si="3"/>
        <v>0</v>
      </c>
      <c r="S14" s="820">
        <f t="shared" si="4"/>
        <v>0</v>
      </c>
      <c r="T14" s="820">
        <f t="shared" si="5"/>
        <v>0</v>
      </c>
      <c r="U14" s="818"/>
      <c r="V14" s="818"/>
      <c r="W14" s="820">
        <f t="shared" si="6"/>
        <v>0</v>
      </c>
      <c r="X14" s="820">
        <f t="shared" si="7"/>
        <v>0</v>
      </c>
      <c r="Y14" s="820" t="str">
        <f t="shared" si="8"/>
        <v>Debil</v>
      </c>
      <c r="Z14" s="818"/>
      <c r="AA14" s="820" t="str">
        <f t="shared" si="9"/>
        <v>Debil</v>
      </c>
      <c r="AB14" s="820" t="str">
        <f t="shared" si="12"/>
        <v>SI</v>
      </c>
      <c r="AC14" s="821"/>
      <c r="AD14" s="901"/>
    </row>
    <row r="15" spans="1:30" s="780" customFormat="1" ht="73.5" customHeight="1" x14ac:dyDescent="0.2">
      <c r="A15" s="1668"/>
      <c r="B15" s="1669"/>
      <c r="C15" s="1670"/>
      <c r="D15" s="654"/>
      <c r="E15" s="654"/>
      <c r="F15" s="818"/>
      <c r="G15" s="818"/>
      <c r="H15" s="818"/>
      <c r="I15" s="818"/>
      <c r="J15" s="818"/>
      <c r="K15" s="819"/>
      <c r="L15" s="818"/>
      <c r="M15" s="820"/>
      <c r="N15" s="820"/>
      <c r="O15" s="820"/>
      <c r="P15" s="820"/>
      <c r="Q15" s="820"/>
      <c r="R15" s="820"/>
      <c r="S15" s="820"/>
      <c r="T15" s="820"/>
      <c r="U15" s="818"/>
      <c r="V15" s="818"/>
      <c r="W15" s="820"/>
      <c r="X15" s="820"/>
      <c r="Y15" s="820"/>
      <c r="Z15" s="818"/>
      <c r="AA15" s="820"/>
      <c r="AB15" s="820"/>
      <c r="AC15" s="902"/>
      <c r="AD15" s="822"/>
    </row>
    <row r="16" spans="1:30" s="780" customFormat="1" ht="73.5" customHeight="1" x14ac:dyDescent="0.2">
      <c r="A16" s="1668"/>
      <c r="B16" s="1669"/>
      <c r="C16" s="1670"/>
      <c r="D16" s="654"/>
      <c r="E16" s="654"/>
      <c r="F16" s="818"/>
      <c r="G16" s="818"/>
      <c r="H16" s="818"/>
      <c r="I16" s="818"/>
      <c r="J16" s="818"/>
      <c r="K16" s="819"/>
      <c r="L16" s="818"/>
      <c r="M16" s="820"/>
      <c r="N16" s="820"/>
      <c r="O16" s="820"/>
      <c r="P16" s="820"/>
      <c r="Q16" s="820"/>
      <c r="R16" s="820"/>
      <c r="S16" s="820"/>
      <c r="T16" s="820"/>
      <c r="U16" s="818"/>
      <c r="V16" s="818"/>
      <c r="W16" s="820"/>
      <c r="X16" s="820"/>
      <c r="Y16" s="820"/>
      <c r="Z16" s="818"/>
      <c r="AA16" s="820"/>
      <c r="AB16" s="820"/>
      <c r="AC16" s="906"/>
      <c r="AD16" s="822"/>
    </row>
    <row r="17" spans="1:30" s="780" customFormat="1" ht="73.5" customHeight="1" x14ac:dyDescent="0.2">
      <c r="A17" s="1668"/>
      <c r="B17" s="1669"/>
      <c r="C17" s="1670"/>
      <c r="D17" s="654"/>
      <c r="E17" s="654"/>
      <c r="F17" s="818"/>
      <c r="G17" s="818"/>
      <c r="H17" s="818"/>
      <c r="I17" s="818"/>
      <c r="J17" s="818"/>
      <c r="K17" s="819"/>
      <c r="L17" s="818"/>
      <c r="M17" s="820"/>
      <c r="N17" s="820"/>
      <c r="O17" s="820"/>
      <c r="P17" s="820"/>
      <c r="Q17" s="820"/>
      <c r="R17" s="820"/>
      <c r="S17" s="820"/>
      <c r="T17" s="820"/>
      <c r="U17" s="818"/>
      <c r="V17" s="818"/>
      <c r="W17" s="820"/>
      <c r="X17" s="820"/>
      <c r="Y17" s="820"/>
      <c r="Z17" s="818"/>
      <c r="AA17" s="820"/>
      <c r="AB17" s="820"/>
      <c r="AC17" s="906"/>
      <c r="AD17" s="822"/>
    </row>
    <row r="18" spans="1:30" s="780" customFormat="1" ht="73.5" customHeight="1" x14ac:dyDescent="0.2">
      <c r="A18" s="1668"/>
      <c r="B18" s="1669"/>
      <c r="C18" s="1670"/>
      <c r="D18" s="654"/>
      <c r="E18" s="654"/>
      <c r="F18" s="818"/>
      <c r="G18" s="818"/>
      <c r="H18" s="818"/>
      <c r="I18" s="818"/>
      <c r="J18" s="818"/>
      <c r="K18" s="819"/>
      <c r="L18" s="818"/>
      <c r="M18" s="820"/>
      <c r="N18" s="820"/>
      <c r="O18" s="820"/>
      <c r="P18" s="820"/>
      <c r="Q18" s="820"/>
      <c r="R18" s="820"/>
      <c r="S18" s="820"/>
      <c r="T18" s="820"/>
      <c r="U18" s="818"/>
      <c r="V18" s="818"/>
      <c r="W18" s="820"/>
      <c r="X18" s="820"/>
      <c r="Y18" s="820"/>
      <c r="Z18" s="818"/>
      <c r="AA18" s="820"/>
      <c r="AB18" s="820"/>
      <c r="AC18" s="906"/>
      <c r="AD18" s="822"/>
    </row>
    <row r="19" spans="1:30" s="780" customFormat="1" ht="73.5" customHeight="1" x14ac:dyDescent="0.2">
      <c r="A19" s="1668"/>
      <c r="B19" s="1669"/>
      <c r="C19" s="1670"/>
      <c r="D19" s="654"/>
      <c r="E19" s="654"/>
      <c r="F19" s="818"/>
      <c r="G19" s="818"/>
      <c r="H19" s="818"/>
      <c r="I19" s="818"/>
      <c r="J19" s="818"/>
      <c r="K19" s="819"/>
      <c r="L19" s="818"/>
      <c r="M19" s="820"/>
      <c r="N19" s="820"/>
      <c r="O19" s="820"/>
      <c r="P19" s="820"/>
      <c r="Q19" s="820"/>
      <c r="R19" s="820"/>
      <c r="S19" s="820"/>
      <c r="T19" s="820"/>
      <c r="U19" s="818"/>
      <c r="V19" s="818"/>
      <c r="W19" s="820"/>
      <c r="X19" s="820"/>
      <c r="Y19" s="820"/>
      <c r="Z19" s="818"/>
      <c r="AA19" s="820"/>
      <c r="AB19" s="820"/>
      <c r="AC19" s="906"/>
      <c r="AD19" s="822"/>
    </row>
    <row r="20" spans="1:30" s="780" customFormat="1" ht="73.5" customHeight="1" x14ac:dyDescent="0.2">
      <c r="A20" s="816">
        <f>'[16]Identificación del Riesgo GD'!D15</f>
        <v>7</v>
      </c>
      <c r="B20" s="654" t="str">
        <f>'[16]Identificación del Riesgo GD'!E15</f>
        <v>No realizar trazabilidad a la  entrega de la correspondencia enviada</v>
      </c>
      <c r="C20" s="823" t="str">
        <f>'[16]Identificación del Riesgo GD'!H15</f>
        <v>Falta compromiso por parte de los servidores publicos
Falta de inducción/reinducción sobre procedimientos y actividades propias del proceso</v>
      </c>
      <c r="D20" s="654" t="str">
        <f>'[16]Analisis Riesgo'!K13</f>
        <v>No se identifican controles existentes</v>
      </c>
      <c r="E20" s="654" t="str">
        <f>'[16]Analisis Riesgo'!L13</f>
        <v>No se identifican controles existentes</v>
      </c>
      <c r="F20" s="818"/>
      <c r="G20" s="818"/>
      <c r="H20" s="818"/>
      <c r="I20" s="818"/>
      <c r="J20" s="818"/>
      <c r="K20" s="819"/>
      <c r="L20" s="818"/>
      <c r="M20" s="820">
        <f t="shared" si="10"/>
        <v>0</v>
      </c>
      <c r="N20" s="820">
        <f t="shared" si="11"/>
        <v>0</v>
      </c>
      <c r="O20" s="820">
        <f t="shared" si="0"/>
        <v>0</v>
      </c>
      <c r="P20" s="820">
        <f t="shared" si="1"/>
        <v>0</v>
      </c>
      <c r="Q20" s="820">
        <f t="shared" si="2"/>
        <v>0</v>
      </c>
      <c r="R20" s="820">
        <f t="shared" si="3"/>
        <v>0</v>
      </c>
      <c r="S20" s="820">
        <f t="shared" si="4"/>
        <v>0</v>
      </c>
      <c r="T20" s="820">
        <f t="shared" si="5"/>
        <v>0</v>
      </c>
      <c r="U20" s="818"/>
      <c r="V20" s="818"/>
      <c r="W20" s="820">
        <f t="shared" si="6"/>
        <v>0</v>
      </c>
      <c r="X20" s="820">
        <f t="shared" si="7"/>
        <v>0</v>
      </c>
      <c r="Y20" s="820" t="str">
        <f t="shared" si="8"/>
        <v>Debil</v>
      </c>
      <c r="Z20" s="818"/>
      <c r="AA20" s="820" t="str">
        <f t="shared" si="9"/>
        <v>Debil</v>
      </c>
      <c r="AB20" s="820" t="str">
        <f t="shared" si="12"/>
        <v>SI</v>
      </c>
      <c r="AC20" s="897"/>
      <c r="AD20" s="907"/>
    </row>
  </sheetData>
  <mergeCells count="15">
    <mergeCell ref="A15:A19"/>
    <mergeCell ref="B15:B19"/>
    <mergeCell ref="C15:C19"/>
    <mergeCell ref="A6:C6"/>
    <mergeCell ref="D6:AD6"/>
    <mergeCell ref="A7:L7"/>
    <mergeCell ref="M7:Y7"/>
    <mergeCell ref="Z7:AB7"/>
    <mergeCell ref="AC7:AD7"/>
    <mergeCell ref="A1:C4"/>
    <mergeCell ref="D1:AB4"/>
    <mergeCell ref="AC1:AD2"/>
    <mergeCell ref="AC3:AD4"/>
    <mergeCell ref="A5:C5"/>
    <mergeCell ref="D5:AD5"/>
  </mergeCells>
  <dataValidations count="18">
    <dataValidation type="list" allowBlank="1" showInputMessage="1" showErrorMessage="1" sqref="Z10:Z20" xr:uid="{00000000-0002-0000-6400-000000000000}">
      <formula1>"Siempre se ejecuta,Algunas veces se ejecuta,No se ejecuta"</formula1>
    </dataValidation>
    <dataValidation type="list" allowBlank="1" showInputMessage="1" showErrorMessage="1" sqref="F10:F20" xr:uid="{00000000-0002-0000-6400-000001000000}">
      <formula1>"Asignado, No asignado"</formula1>
    </dataValidation>
    <dataValidation type="list" allowBlank="1" showInputMessage="1" showErrorMessage="1" sqref="G10:G20" xr:uid="{00000000-0002-0000-6400-000002000000}">
      <formula1>"Adecuado, Inadecuado"</formula1>
    </dataValidation>
    <dataValidation type="list" allowBlank="1" showInputMessage="1" showErrorMessage="1" sqref="H10:H20" xr:uid="{00000000-0002-0000-6400-000003000000}">
      <formula1>"Oportuna, Inoportuna"</formula1>
    </dataValidation>
    <dataValidation type="list" allowBlank="1" showInputMessage="1" showErrorMessage="1" sqref="I10:I20" xr:uid="{00000000-0002-0000-6400-000004000000}">
      <formula1>"Prevenir, Detectar, No es un control"</formula1>
    </dataValidation>
    <dataValidation type="list" allowBlank="1" showInputMessage="1" showErrorMessage="1" sqref="J10:J20" xr:uid="{00000000-0002-0000-6400-000005000000}">
      <formula1>"Confiable, No Confiable"</formula1>
    </dataValidation>
    <dataValidation type="list" allowBlank="1" showInputMessage="1" showErrorMessage="1" sqref="K10:K20" xr:uid="{00000000-0002-0000-6400-000006000000}">
      <formula1>"Se invesigan y resuelven oportunamente, No se investigan y resuelven oportunamente"</formula1>
    </dataValidation>
    <dataValidation type="list" allowBlank="1" showInputMessage="1" showErrorMessage="1" sqref="L10:L20" xr:uid="{00000000-0002-0000-6400-000007000000}">
      <formula1>"Completa, Incompleta, No existe"</formula1>
    </dataValidation>
    <dataValidation type="list" allowBlank="1" showInputMessage="1" showErrorMessage="1" sqref="U10:V20" xr:uid="{00000000-0002-0000-6400-000008000000}">
      <formula1>"SI, NO"</formula1>
    </dataValidation>
    <dataValidation type="list" allowBlank="1" showInputMessage="1" showErrorMessage="1" sqref="Z9" xr:uid="{00000000-0002-0000-6400-000009000000}">
      <formula1>"Siempre se ejecuta,Algunas veces se ejecuta,No se ejecuta,Seleccione"</formula1>
    </dataValidation>
    <dataValidation type="list" allowBlank="1" showInputMessage="1" showErrorMessage="1" sqref="U9:V9" xr:uid="{00000000-0002-0000-6400-00000A000000}">
      <formula1>"SI, NO,Seleccione"</formula1>
    </dataValidation>
    <dataValidation type="list" allowBlank="1" showInputMessage="1" showErrorMessage="1" sqref="L9" xr:uid="{00000000-0002-0000-6400-00000B000000}">
      <formula1>"Completa, Incompleta, No existe,Seleccione"</formula1>
    </dataValidation>
    <dataValidation type="list" allowBlank="1" showInputMessage="1" showErrorMessage="1" sqref="K9" xr:uid="{00000000-0002-0000-6400-00000C000000}">
      <formula1>"Se investigan y resuelven oportunamente, No se investigan y resuelven oportunamente,Seleccione"</formula1>
    </dataValidation>
    <dataValidation type="list" allowBlank="1" showInputMessage="1" showErrorMessage="1" sqref="J9" xr:uid="{00000000-0002-0000-6400-00000D000000}">
      <formula1>"Confiable, No Confiable,Seleccione"</formula1>
    </dataValidation>
    <dataValidation type="list" allowBlank="1" showInputMessage="1" showErrorMessage="1" sqref="I9" xr:uid="{00000000-0002-0000-6400-00000E000000}">
      <formula1>"Prevenir, Detectar, No es un control,Seleccione"</formula1>
    </dataValidation>
    <dataValidation type="list" allowBlank="1" showInputMessage="1" showErrorMessage="1" sqref="H9" xr:uid="{00000000-0002-0000-6400-00000F000000}">
      <formula1>"Oportuna, Inoportuna,Seleccione"</formula1>
    </dataValidation>
    <dataValidation type="list" allowBlank="1" showInputMessage="1" showErrorMessage="1" sqref="G9" xr:uid="{00000000-0002-0000-6400-000010000000}">
      <formula1>"Adecuado, Inadecuado,Seleccione"</formula1>
    </dataValidation>
    <dataValidation type="list" allowBlank="1" showInputMessage="1" showErrorMessage="1" sqref="F9" xr:uid="{00000000-0002-0000-6400-000011000000}">
      <formula1>"Asignado, No asignado, Seleccione"</formula1>
    </dataValidation>
  </dataValidations>
  <pageMargins left="0.11811023622047245" right="0.11811023622047245" top="1.1417322834645669" bottom="0.74803149606299213" header="0.31496062992125984" footer="0.31496062992125984"/>
  <pageSetup scale="36" orientation="landscape" horizontalDpi="1200" verticalDpi="1200" r:id="rId1"/>
  <headerFooter>
    <oddHeader>&amp;L&amp;G&amp;C
&amp;"-,Negrita"Matriz de Riesgos</oddHeader>
  </headerFooter>
  <rowBreaks count="3" manualBreakCount="3">
    <brk id="10" max="16383" man="1"/>
    <brk id="12" max="16383" man="1"/>
    <brk id="14" max="16383" man="1"/>
  </rowBreaks>
  <colBreaks count="1" manualBreakCount="1">
    <brk id="12" max="1048575" man="1"/>
  </colBreaks>
  <drawing r:id="rId2"/>
  <legacyDrawingHF r:id="rId3"/>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X11"/>
  <sheetViews>
    <sheetView zoomScale="55" zoomScaleNormal="55" workbookViewId="0">
      <selection activeCell="C7" sqref="C7"/>
    </sheetView>
  </sheetViews>
  <sheetFormatPr baseColWidth="10" defaultRowHeight="18" customHeight="1" x14ac:dyDescent="0.2"/>
  <cols>
    <col min="1" max="1" width="3.625" style="534" customWidth="1"/>
    <col min="2" max="2" width="28.75" style="534" customWidth="1"/>
    <col min="3" max="3" width="48.375" style="534" customWidth="1"/>
    <col min="4" max="4" width="38.5" style="534" customWidth="1"/>
    <col min="5" max="5" width="20.5" style="534" customWidth="1"/>
    <col min="6" max="6" width="15.75" style="534" customWidth="1"/>
    <col min="7" max="7" width="23" style="534" customWidth="1"/>
    <col min="8" max="10" width="19.375" style="534" customWidth="1"/>
    <col min="11" max="11" width="18.25" style="534" customWidth="1"/>
    <col min="12" max="12" width="57.25" style="534" customWidth="1"/>
    <col min="13" max="13" width="27.25" style="534" customWidth="1"/>
    <col min="14" max="14" width="10.75" style="534" customWidth="1"/>
    <col min="15" max="15" width="24.375" style="534" customWidth="1"/>
    <col min="16" max="16" width="27.25" style="534" customWidth="1"/>
    <col min="17" max="22" width="25.75" style="534" customWidth="1"/>
    <col min="23" max="23" width="33.5" style="534" customWidth="1"/>
    <col min="24" max="24" width="45.625" style="534" customWidth="1"/>
    <col min="25" max="16384" width="11" style="534"/>
  </cols>
  <sheetData>
    <row r="1" spans="1:24" ht="18.75" x14ac:dyDescent="0.2">
      <c r="A1" s="1179"/>
      <c r="B1" s="1179"/>
      <c r="C1" s="1179"/>
      <c r="D1" s="1180" t="s">
        <v>314</v>
      </c>
      <c r="E1" s="1181"/>
      <c r="F1" s="1181"/>
      <c r="G1" s="1181"/>
      <c r="H1" s="1181"/>
      <c r="I1" s="1181"/>
      <c r="J1" s="1181"/>
      <c r="K1" s="1181"/>
      <c r="L1" s="1181"/>
      <c r="M1" s="1181"/>
      <c r="N1" s="1181"/>
      <c r="O1" s="1181"/>
      <c r="P1" s="1181"/>
      <c r="Q1" s="1181"/>
      <c r="R1" s="1181"/>
      <c r="S1" s="1181"/>
      <c r="T1" s="1181"/>
      <c r="U1" s="1181"/>
      <c r="V1" s="1182"/>
      <c r="W1" s="532" t="s">
        <v>315</v>
      </c>
      <c r="X1" s="533"/>
    </row>
    <row r="2" spans="1:24" ht="19.5" thickBot="1" x14ac:dyDescent="0.25">
      <c r="A2" s="1179"/>
      <c r="B2" s="1179"/>
      <c r="C2" s="1179"/>
      <c r="D2" s="1183"/>
      <c r="E2" s="1184"/>
      <c r="F2" s="1184"/>
      <c r="G2" s="1184"/>
      <c r="H2" s="1184"/>
      <c r="I2" s="1184"/>
      <c r="J2" s="1184"/>
      <c r="K2" s="1184"/>
      <c r="L2" s="1184"/>
      <c r="M2" s="1184"/>
      <c r="N2" s="1184"/>
      <c r="O2" s="1184"/>
      <c r="P2" s="1184"/>
      <c r="Q2" s="1184"/>
      <c r="R2" s="1184"/>
      <c r="S2" s="1184"/>
      <c r="T2" s="1184"/>
      <c r="U2" s="1184"/>
      <c r="V2" s="1185"/>
      <c r="W2" s="532" t="s">
        <v>316</v>
      </c>
      <c r="X2" s="533"/>
    </row>
    <row r="3" spans="1:24" ht="30" x14ac:dyDescent="0.25">
      <c r="A3" s="1186" t="s">
        <v>57</v>
      </c>
      <c r="B3" s="1187"/>
      <c r="C3" s="1187"/>
      <c r="D3" s="1187"/>
      <c r="E3" s="1187"/>
      <c r="F3" s="1187"/>
      <c r="G3" s="1188"/>
      <c r="H3" s="1189"/>
      <c r="I3" s="1189"/>
      <c r="J3" s="1189"/>
      <c r="K3" s="1189"/>
      <c r="L3" s="1649" t="s">
        <v>60</v>
      </c>
      <c r="M3" s="1650"/>
      <c r="N3" s="1650"/>
      <c r="O3" s="1650"/>
      <c r="P3" s="1651"/>
      <c r="Q3" s="1652" t="s">
        <v>61</v>
      </c>
      <c r="R3" s="1653"/>
      <c r="S3" s="1653"/>
      <c r="T3" s="1653"/>
      <c r="U3" s="1653"/>
      <c r="V3" s="1654"/>
      <c r="W3" s="855" t="s">
        <v>62</v>
      </c>
      <c r="X3" s="855" t="s">
        <v>63</v>
      </c>
    </row>
    <row r="4" spans="1:24" ht="39" thickBot="1" x14ac:dyDescent="0.25">
      <c r="A4" s="698" t="s">
        <v>44</v>
      </c>
      <c r="B4" s="699" t="s">
        <v>64</v>
      </c>
      <c r="C4" s="699" t="s">
        <v>65</v>
      </c>
      <c r="D4" s="699" t="s">
        <v>317</v>
      </c>
      <c r="E4" s="699" t="s">
        <v>68</v>
      </c>
      <c r="F4" s="699" t="s">
        <v>69</v>
      </c>
      <c r="G4" s="700" t="s">
        <v>71</v>
      </c>
      <c r="H4" s="699" t="s">
        <v>81</v>
      </c>
      <c r="I4" s="699" t="s">
        <v>82</v>
      </c>
      <c r="J4" s="699" t="s">
        <v>83</v>
      </c>
      <c r="K4" s="701" t="s">
        <v>84</v>
      </c>
      <c r="L4" s="827" t="s">
        <v>85</v>
      </c>
      <c r="M4" s="828" t="s">
        <v>86</v>
      </c>
      <c r="N4" s="828" t="s">
        <v>87</v>
      </c>
      <c r="O4" s="828" t="s">
        <v>88</v>
      </c>
      <c r="P4" s="829" t="s">
        <v>89</v>
      </c>
      <c r="Q4" s="827" t="s">
        <v>90</v>
      </c>
      <c r="R4" s="828" t="s">
        <v>91</v>
      </c>
      <c r="S4" s="828" t="s">
        <v>92</v>
      </c>
      <c r="T4" s="828" t="s">
        <v>91</v>
      </c>
      <c r="U4" s="828" t="s">
        <v>93</v>
      </c>
      <c r="V4" s="829" t="s">
        <v>91</v>
      </c>
      <c r="W4" s="830" t="s">
        <v>94</v>
      </c>
      <c r="X4" s="830" t="s">
        <v>95</v>
      </c>
    </row>
    <row r="5" spans="1:24" ht="85.5" x14ac:dyDescent="0.2">
      <c r="A5" s="703">
        <v>1</v>
      </c>
      <c r="B5" s="703" t="str">
        <f>+'[16]Identificación del Riesgo GD'!E9</f>
        <v>Deterioro de los documentos del archivo central, archivo  de gestión o del material bibliográfico del centro documental</v>
      </c>
      <c r="C5" s="703" t="str">
        <f>+'[16]Identificación del Riesgo GD'!H9</f>
        <v xml:space="preserve">Falta de aseo
Falta de mantenimiento de instalaciones
No se realizan fumigaciones </v>
      </c>
      <c r="D5" s="703" t="str">
        <f>+'[16]Identificación del Riesgo GD'!I9</f>
        <v>Perdida de información
Sanciones disciplinarias
Multas</v>
      </c>
      <c r="E5" s="705" t="str">
        <f>+'[16]Analisis Riesgo'!F7</f>
        <v>Rara vez</v>
      </c>
      <c r="F5" s="705" t="str">
        <f>+'[16]Analisis Riesgo'!G7</f>
        <v>Mayor</v>
      </c>
      <c r="G5" s="831" t="str">
        <f>+'[16]Analisis Riesgo'!I7</f>
        <v>ALTO</v>
      </c>
      <c r="H5" s="705" t="str">
        <f>+'[16]Analisis Riesgo'!U7</f>
        <v>Rara vez</v>
      </c>
      <c r="I5" s="705" t="str">
        <f>+'[16]Analisis Riesgo'!V7</f>
        <v>Mayor</v>
      </c>
      <c r="J5" s="831" t="str">
        <f>+'[16]Analisis Riesgo'!W7</f>
        <v>ALTO</v>
      </c>
      <c r="K5" s="703" t="str">
        <f>+'[16]Analisis Riesgo'!X7</f>
        <v>Reducir el riesgo</v>
      </c>
      <c r="L5" s="725" t="s">
        <v>1277</v>
      </c>
      <c r="M5" s="726" t="s">
        <v>1278</v>
      </c>
      <c r="N5" s="860">
        <v>44287</v>
      </c>
      <c r="O5" s="860">
        <v>44377</v>
      </c>
      <c r="P5" s="728" t="s">
        <v>1279</v>
      </c>
      <c r="Q5" s="856"/>
      <c r="R5" s="857"/>
      <c r="S5" s="857"/>
      <c r="T5" s="857"/>
      <c r="U5" s="857"/>
      <c r="V5" s="858"/>
      <c r="W5" s="859"/>
      <c r="X5" s="859"/>
    </row>
    <row r="6" spans="1:24" ht="128.25" x14ac:dyDescent="0.2">
      <c r="A6" s="703">
        <v>2</v>
      </c>
      <c r="B6" s="703" t="str">
        <f>+'[16]Identificación del Riesgo GD'!E10</f>
        <v>Información suministrada de forma inoportuna por el proceso de Gestion Documental</v>
      </c>
      <c r="C6" s="703" t="str">
        <f>+'[16]Identificación del Riesgo GD'!H10</f>
        <v>Fallas en el internet
Caída del sistema o perdida de información de las bases de datos Dspace, Koha y ORFEO.
Personal insuficiente
Personal sin las competencias y/o capacitación  requeridas en el cargo</v>
      </c>
      <c r="D6" s="703" t="str">
        <f>+'[16]Identificación del Riesgo GD'!I10</f>
        <v>Traumatismos en la gestión de los demás procesos de la Entidad</v>
      </c>
      <c r="E6" s="705" t="str">
        <f>+'[16]Analisis Riesgo'!F8</f>
        <v>Rara vez</v>
      </c>
      <c r="F6" s="705" t="str">
        <f>+'[16]Analisis Riesgo'!G8</f>
        <v>Moderado</v>
      </c>
      <c r="G6" s="716" t="str">
        <f>+'[16]Analisis Riesgo'!I8</f>
        <v>MODERADO</v>
      </c>
      <c r="H6" s="705" t="str">
        <f>+'[16]Analisis Riesgo'!U8</f>
        <v>Rara vez</v>
      </c>
      <c r="I6" s="705" t="str">
        <f>+'[16]Analisis Riesgo'!V8</f>
        <v>Moderado</v>
      </c>
      <c r="J6" s="716" t="str">
        <f>+'[16]Analisis Riesgo'!W8</f>
        <v>MODERADO</v>
      </c>
      <c r="K6" s="703" t="str">
        <f>+'[16]Analisis Riesgo'!X8</f>
        <v>Reducir el riesgo</v>
      </c>
      <c r="L6" s="734" t="s">
        <v>1280</v>
      </c>
      <c r="M6" s="726" t="s">
        <v>1281</v>
      </c>
      <c r="N6" s="860">
        <v>44287</v>
      </c>
      <c r="O6" s="860">
        <v>44377</v>
      </c>
      <c r="P6" s="736" t="s">
        <v>1282</v>
      </c>
      <c r="Q6" s="837"/>
      <c r="R6" s="838"/>
      <c r="S6" s="838"/>
      <c r="T6" s="838"/>
      <c r="U6" s="838"/>
      <c r="V6" s="839"/>
      <c r="W6" s="840"/>
      <c r="X6" s="840"/>
    </row>
    <row r="7" spans="1:24" ht="142.5" x14ac:dyDescent="0.2">
      <c r="A7" s="703">
        <v>3</v>
      </c>
      <c r="B7" s="703" t="str">
        <f>+'[16]Identificación del Riesgo GD'!E11</f>
        <v>Manejo  inadecuado de la Gestión documental por parte de los servidores publicos  de la UPME</v>
      </c>
      <c r="C7" s="703" t="str">
        <f>+'[16]Identificación del Riesgo GD'!H11</f>
        <v>Personal sin las competencias y/o capacitación  requeridas en el cargo
Falta compromiso por parte de los servidores publicos
No aplicación de las TRD por parte de los servidores publicos</v>
      </c>
      <c r="D7" s="703" t="str">
        <f>+'[16]Identificación del Riesgo GD'!I11</f>
        <v>Perdida de información
Sanciones disciplinarias
Multas
Sanciones por parte de los entes de control</v>
      </c>
      <c r="E7" s="705" t="str">
        <f>+'[16]Analisis Riesgo'!F9</f>
        <v>Probable</v>
      </c>
      <c r="F7" s="705" t="str">
        <f>+'[16]Analisis Riesgo'!G9</f>
        <v>Moderado</v>
      </c>
      <c r="G7" s="831" t="str">
        <f>+'[16]Analisis Riesgo'!I9</f>
        <v>ALTO</v>
      </c>
      <c r="H7" s="705" t="str">
        <f>+'[16]Analisis Riesgo'!U9</f>
        <v>Posible</v>
      </c>
      <c r="I7" s="705" t="str">
        <f>+'[16]Analisis Riesgo'!V9</f>
        <v>Menor</v>
      </c>
      <c r="J7" s="716" t="str">
        <f>+'[16]Analisis Riesgo'!W9</f>
        <v>MODERADO</v>
      </c>
      <c r="K7" s="703" t="str">
        <f>+'[16]Analisis Riesgo'!X9</f>
        <v>Reducir el riesgo</v>
      </c>
      <c r="L7" s="732" t="s">
        <v>1283</v>
      </c>
      <c r="M7" s="726" t="s">
        <v>1278</v>
      </c>
      <c r="N7" s="860" t="s">
        <v>1284</v>
      </c>
      <c r="O7" s="860" t="s">
        <v>1285</v>
      </c>
      <c r="P7" s="736" t="s">
        <v>1286</v>
      </c>
      <c r="Q7" s="837"/>
      <c r="R7" s="838"/>
      <c r="S7" s="838"/>
      <c r="T7" s="838"/>
      <c r="U7" s="838"/>
      <c r="V7" s="839"/>
      <c r="W7" s="840"/>
      <c r="X7" s="840"/>
    </row>
    <row r="8" spans="1:24" ht="156.75" x14ac:dyDescent="0.2">
      <c r="A8" s="703">
        <v>4</v>
      </c>
      <c r="B8" s="703" t="str">
        <f>+'[16]Identificación del Riesgo GD'!E12</f>
        <v xml:space="preserve">Transferencias incompletas o que no se realizan de acuerdo a las TRD </v>
      </c>
      <c r="C8" s="703" t="str">
        <f>+'[16]Identificación del Riesgo GD'!H12</f>
        <v>Falta compromiso por parte de los servidores publicos
Falta de capacitación sobre el manejo de trasferencias</v>
      </c>
      <c r="D8" s="703" t="str">
        <f>+'[16]Identificación del Riesgo GD'!I12</f>
        <v>Instalaciones destinadas al archivo de gestión con poco espacio
Sanciones disciplinarias</v>
      </c>
      <c r="E8" s="705" t="str">
        <f>+'[16]Analisis Riesgo'!F10</f>
        <v>Probable</v>
      </c>
      <c r="F8" s="705" t="str">
        <f>+'[16]Analisis Riesgo'!G10</f>
        <v>Moderado</v>
      </c>
      <c r="G8" s="831" t="str">
        <f>+'[16]Analisis Riesgo'!I10</f>
        <v>ALTO</v>
      </c>
      <c r="H8" s="705" t="str">
        <f>+'[16]Analisis Riesgo'!U10</f>
        <v>Posible</v>
      </c>
      <c r="I8" s="705" t="str">
        <f>+'[16]Analisis Riesgo'!V10</f>
        <v>Menor</v>
      </c>
      <c r="J8" s="716" t="str">
        <f>+'[16]Analisis Riesgo'!W10</f>
        <v>MODERADO</v>
      </c>
      <c r="K8" s="703" t="str">
        <f>+'[16]Analisis Riesgo'!X10</f>
        <v>Reducir el riesgo</v>
      </c>
      <c r="L8" s="732" t="s">
        <v>1287</v>
      </c>
      <c r="M8" s="726" t="s">
        <v>1288</v>
      </c>
      <c r="N8" s="860" t="s">
        <v>1289</v>
      </c>
      <c r="O8" s="860" t="s">
        <v>1290</v>
      </c>
      <c r="P8" s="736" t="s">
        <v>1291</v>
      </c>
      <c r="Q8" s="837"/>
      <c r="R8" s="838"/>
      <c r="S8" s="838"/>
      <c r="T8" s="838"/>
      <c r="U8" s="838"/>
      <c r="V8" s="839"/>
      <c r="W8" s="840"/>
      <c r="X8" s="840"/>
    </row>
    <row r="9" spans="1:24" ht="94.5" customHeight="1" x14ac:dyDescent="0.2">
      <c r="A9" s="703">
        <v>5</v>
      </c>
      <c r="B9" s="703" t="str">
        <f>+'[16]Identificación del Riesgo GD'!E13</f>
        <v>Alteración o perdida de los expedientes que reposan en el archivo Central para favorecer a un tercero</v>
      </c>
      <c r="C9" s="703" t="str">
        <f>+'[16]Identificación del Riesgo GD'!H13</f>
        <v>No se realizar trazabilidad desde la entrega hasta la devolución (si es en fisico)
Intereses particulares de beneficio propio</v>
      </c>
      <c r="D9" s="703" t="str">
        <f>+'[16]Identificación del Riesgo GD'!I13</f>
        <v>Sanciones disciplinarias
Perdida de memoria institucional</v>
      </c>
      <c r="E9" s="705" t="str">
        <f>+'[16]Analisis Riesgo'!F11</f>
        <v>Improbable</v>
      </c>
      <c r="F9" s="705" t="str">
        <f>+'[16]Analisis Riesgo'!G11</f>
        <v>Mayor</v>
      </c>
      <c r="G9" s="831" t="str">
        <f>+'[16]Analisis Riesgo'!I11</f>
        <v>ALTO</v>
      </c>
      <c r="H9" s="705" t="str">
        <f>+'[16]Analisis Riesgo'!U11</f>
        <v>Rara vez</v>
      </c>
      <c r="I9" s="705" t="str">
        <f>+'[16]Analisis Riesgo'!V11</f>
        <v>Moderado</v>
      </c>
      <c r="J9" s="716" t="str">
        <f>+'[16]Analisis Riesgo'!W11</f>
        <v>MODERADO</v>
      </c>
      <c r="K9" s="703" t="str">
        <f>+'[16]Analisis Riesgo'!X11</f>
        <v>Reducir el riesgo</v>
      </c>
      <c r="L9" s="734" t="s">
        <v>1292</v>
      </c>
      <c r="M9" s="726" t="s">
        <v>1278</v>
      </c>
      <c r="N9" s="860">
        <v>44287</v>
      </c>
      <c r="O9" s="860">
        <v>44377</v>
      </c>
      <c r="P9" s="736" t="s">
        <v>1293</v>
      </c>
      <c r="Q9" s="837"/>
      <c r="R9" s="838"/>
      <c r="S9" s="838"/>
      <c r="T9" s="838"/>
      <c r="U9" s="838"/>
      <c r="V9" s="839"/>
      <c r="W9" s="840"/>
      <c r="X9" s="840"/>
    </row>
    <row r="10" spans="1:24" ht="136.5" customHeight="1" x14ac:dyDescent="0.2">
      <c r="A10" s="703">
        <v>6</v>
      </c>
      <c r="B10" s="703" t="str">
        <f>+'[16]Identificación del Riesgo GD'!E14</f>
        <v>Asignación o manejo errado de correspondencia general radicada en la UPME</v>
      </c>
      <c r="C10" s="703" t="str">
        <f>+'[16]Identificación del Riesgo GD'!H14</f>
        <v>Falta compromiso por parte de los servidores publicos
No identificar adecuadamente el contenido de los sobres de correspondencia
Falta de capacitación sobre los diferentes temas que pueden ser radicados en la entidad</v>
      </c>
      <c r="D10" s="703" t="str">
        <f>+'[16]Identificación del Riesgo GD'!I14</f>
        <v>Inoportunidad de las respuestas 
Reprocesos 
Hallazgos por parte de los entes de control
Tutelas</v>
      </c>
      <c r="E10" s="705" t="str">
        <f>+'[16]Analisis Riesgo'!F12</f>
        <v>Casi Seguro</v>
      </c>
      <c r="F10" s="705" t="str">
        <f>+'[16]Analisis Riesgo'!G12</f>
        <v>Moderado</v>
      </c>
      <c r="G10" s="898" t="str">
        <f>+'[16]Analisis Riesgo'!I12</f>
        <v>EXTREMO</v>
      </c>
      <c r="H10" s="705" t="str">
        <f>+'[16]Analisis Riesgo'!U12</f>
        <v>Casi Seguro</v>
      </c>
      <c r="I10" s="705" t="str">
        <f>+'[16]Analisis Riesgo'!V12</f>
        <v>Moderado</v>
      </c>
      <c r="J10" s="898" t="str">
        <f>+'[16]Analisis Riesgo'!W12</f>
        <v>EXTREMO</v>
      </c>
      <c r="K10" s="703" t="str">
        <f>+'[16]Analisis Riesgo'!X12</f>
        <v>Reducir el riesgo</v>
      </c>
      <c r="L10" s="737" t="s">
        <v>1294</v>
      </c>
      <c r="M10" s="726" t="s">
        <v>1278</v>
      </c>
      <c r="N10" s="860">
        <v>44287</v>
      </c>
      <c r="O10" s="860">
        <v>44377</v>
      </c>
      <c r="P10" s="736" t="s">
        <v>1295</v>
      </c>
      <c r="Q10" s="837"/>
      <c r="R10" s="838"/>
      <c r="S10" s="838"/>
      <c r="T10" s="838"/>
      <c r="U10" s="838"/>
      <c r="V10" s="839"/>
      <c r="W10" s="840"/>
      <c r="X10" s="840"/>
    </row>
    <row r="11" spans="1:24" ht="99.75" customHeight="1" x14ac:dyDescent="0.2">
      <c r="A11" s="703">
        <v>8</v>
      </c>
      <c r="B11" s="703" t="str">
        <f>+'[16]Identificación del Riesgo GD'!E15</f>
        <v>No realizar trazabilidad a la  entrega de la correspondencia enviada</v>
      </c>
      <c r="C11" s="703" t="str">
        <f>+'[16]Identificación del Riesgo GD'!H15</f>
        <v>Falta compromiso por parte de los servidores publicos
Falta de inducción/reinducción sobre procedimientos y actividades propias del proceso</v>
      </c>
      <c r="D11" s="703" t="str">
        <f>+'[16]Identificación del Riesgo GD'!I15</f>
        <v xml:space="preserve">Demandas
Insatisfacción de las partes interesadas
Reprocesos </v>
      </c>
      <c r="E11" s="705" t="str">
        <f>+'[16]Analisis Riesgo'!F13</f>
        <v>Improbable</v>
      </c>
      <c r="F11" s="705" t="str">
        <f>+'[16]Analisis Riesgo'!G13</f>
        <v>Moderado</v>
      </c>
      <c r="G11" s="716" t="str">
        <f>+'[16]Analisis Riesgo'!I13</f>
        <v>MODERADO</v>
      </c>
      <c r="H11" s="705" t="str">
        <f>+'[16]Analisis Riesgo'!U13</f>
        <v>Improbable</v>
      </c>
      <c r="I11" s="705" t="str">
        <f>+'[16]Analisis Riesgo'!V13</f>
        <v>Moderado</v>
      </c>
      <c r="J11" s="716" t="str">
        <f>+'[16]Analisis Riesgo'!W13</f>
        <v>MODERADO</v>
      </c>
      <c r="K11" s="703" t="str">
        <f>+'[16]Analisis Riesgo'!X13</f>
        <v>Reducir el riesgo</v>
      </c>
      <c r="L11" s="737" t="s">
        <v>1296</v>
      </c>
      <c r="M11" s="726" t="s">
        <v>1278</v>
      </c>
      <c r="N11" s="860">
        <v>44287</v>
      </c>
      <c r="O11" s="860">
        <v>44377</v>
      </c>
      <c r="P11" s="736" t="s">
        <v>1297</v>
      </c>
      <c r="Q11" s="837"/>
      <c r="R11" s="838"/>
      <c r="S11" s="838"/>
      <c r="T11" s="838"/>
      <c r="U11" s="838"/>
      <c r="V11" s="839"/>
      <c r="W11" s="840"/>
      <c r="X11" s="840"/>
    </row>
  </sheetData>
  <mergeCells count="6">
    <mergeCell ref="A1:C2"/>
    <mergeCell ref="D1:V2"/>
    <mergeCell ref="A3:G3"/>
    <mergeCell ref="H3:K3"/>
    <mergeCell ref="L3:P3"/>
    <mergeCell ref="Q3:V3"/>
  </mergeCells>
  <pageMargins left="0.7" right="0.7" top="0.75" bottom="0.75" header="0.3" footer="0.3"/>
  <drawing r:id="rId1"/>
  <legacyDrawing r:id="rId2"/>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abColor rgb="FFBEAE25"/>
  </sheetPr>
  <dimension ref="A1:X16"/>
  <sheetViews>
    <sheetView showGridLines="0" view="pageBreakPreview" zoomScale="115" zoomScaleNormal="100" zoomScaleSheetLayoutView="115" workbookViewId="0">
      <pane xSplit="4" ySplit="6" topLeftCell="E11" activePane="bottomRight" state="frozen"/>
      <selection pane="topRight" activeCell="E1" sqref="E1"/>
      <selection pane="bottomLeft" activeCell="A7" sqref="A7"/>
      <selection pane="bottomRight" activeCell="E11" sqref="E11"/>
    </sheetView>
  </sheetViews>
  <sheetFormatPr baseColWidth="10" defaultRowHeight="15" x14ac:dyDescent="0.25"/>
  <cols>
    <col min="1" max="1" width="5.625" style="743" customWidth="1"/>
    <col min="2" max="2" width="21.625" style="743" customWidth="1"/>
    <col min="3" max="3" width="15.75" style="743" customWidth="1"/>
    <col min="4" max="4" width="17.875" style="743" customWidth="1"/>
    <col min="5" max="11" width="16.625" style="743" customWidth="1"/>
    <col min="12" max="12" width="21.375" style="743" customWidth="1"/>
    <col min="13" max="14" width="16.625" style="743" customWidth="1"/>
    <col min="15" max="15" width="18.5" style="743" customWidth="1"/>
    <col min="16" max="16" width="16.625" style="743" customWidth="1"/>
    <col min="17" max="23" width="13.75" style="743" customWidth="1"/>
    <col min="24" max="24" width="9.125" style="746" bestFit="1" customWidth="1"/>
    <col min="25" max="26" width="25.625" style="743" customWidth="1"/>
    <col min="27" max="16384" width="11" style="743"/>
  </cols>
  <sheetData>
    <row r="1" spans="1:24" ht="15" customHeight="1" x14ac:dyDescent="0.25">
      <c r="A1" s="1610"/>
      <c r="B1" s="1611"/>
      <c r="C1" s="1611"/>
      <c r="D1" s="1612"/>
      <c r="E1" s="1615" t="s">
        <v>0</v>
      </c>
      <c r="F1" s="1616"/>
      <c r="G1" s="1616"/>
      <c r="H1" s="1616"/>
      <c r="I1" s="1616"/>
      <c r="J1" s="1616"/>
      <c r="K1" s="1616"/>
      <c r="L1" s="1616"/>
      <c r="M1" s="1616"/>
      <c r="N1" s="1616"/>
      <c r="O1" s="1616"/>
      <c r="P1" s="1616"/>
      <c r="Q1" s="1616"/>
      <c r="R1" s="1616"/>
      <c r="S1" s="1616"/>
      <c r="T1" s="1617"/>
      <c r="U1" s="1621" t="s">
        <v>98</v>
      </c>
      <c r="V1" s="1622"/>
      <c r="W1" s="1622"/>
      <c r="X1" s="1623"/>
    </row>
    <row r="2" spans="1:24" ht="15" customHeight="1" x14ac:dyDescent="0.25">
      <c r="A2" s="1613"/>
      <c r="B2" s="1614"/>
      <c r="C2" s="1614"/>
      <c r="D2" s="1568"/>
      <c r="E2" s="1618"/>
      <c r="F2" s="1619"/>
      <c r="G2" s="1619"/>
      <c r="H2" s="1619"/>
      <c r="I2" s="1619"/>
      <c r="J2" s="1619"/>
      <c r="K2" s="1619"/>
      <c r="L2" s="1619"/>
      <c r="M2" s="1619"/>
      <c r="N2" s="1619"/>
      <c r="O2" s="1619"/>
      <c r="P2" s="1619"/>
      <c r="Q2" s="1619"/>
      <c r="R2" s="1619"/>
      <c r="S2" s="1619"/>
      <c r="T2" s="1620"/>
      <c r="U2" s="1624"/>
      <c r="V2" s="1625"/>
      <c r="W2" s="1625"/>
      <c r="X2" s="1626"/>
    </row>
    <row r="3" spans="1:24" ht="15" customHeight="1" x14ac:dyDescent="0.25">
      <c r="A3" s="1613"/>
      <c r="B3" s="1614"/>
      <c r="C3" s="1614"/>
      <c r="D3" s="1568"/>
      <c r="E3" s="1618"/>
      <c r="F3" s="1619"/>
      <c r="G3" s="1619"/>
      <c r="H3" s="1619"/>
      <c r="I3" s="1619"/>
      <c r="J3" s="1619"/>
      <c r="K3" s="1619"/>
      <c r="L3" s="1619"/>
      <c r="M3" s="1619"/>
      <c r="N3" s="1619"/>
      <c r="O3" s="1619"/>
      <c r="P3" s="1619"/>
      <c r="Q3" s="1619"/>
      <c r="R3" s="1619"/>
      <c r="S3" s="1619"/>
      <c r="T3" s="1620"/>
      <c r="U3" s="1621" t="s">
        <v>367</v>
      </c>
      <c r="V3" s="1622"/>
      <c r="W3" s="1622"/>
      <c r="X3" s="1622"/>
    </row>
    <row r="4" spans="1:24" ht="15" customHeight="1" x14ac:dyDescent="0.25">
      <c r="A4" s="1613"/>
      <c r="B4" s="1614"/>
      <c r="C4" s="1614"/>
      <c r="D4" s="1568"/>
      <c r="E4" s="1618"/>
      <c r="F4" s="1619"/>
      <c r="G4" s="1619"/>
      <c r="H4" s="1619"/>
      <c r="I4" s="1619"/>
      <c r="J4" s="1619"/>
      <c r="K4" s="1619"/>
      <c r="L4" s="1619"/>
      <c r="M4" s="1619"/>
      <c r="N4" s="1619"/>
      <c r="O4" s="1619"/>
      <c r="P4" s="1619"/>
      <c r="Q4" s="1619"/>
      <c r="R4" s="1619"/>
      <c r="S4" s="1619"/>
      <c r="T4" s="1620"/>
      <c r="U4" s="1627"/>
      <c r="V4" s="1628"/>
      <c r="W4" s="1628"/>
      <c r="X4" s="1628"/>
    </row>
    <row r="5" spans="1:24" ht="15" customHeight="1" x14ac:dyDescent="0.25">
      <c r="A5" s="1560" t="s">
        <v>100</v>
      </c>
      <c r="B5" s="1560"/>
      <c r="C5" s="1560"/>
      <c r="D5" s="1629"/>
      <c r="E5" s="1591" t="s">
        <v>101</v>
      </c>
      <c r="F5" s="1592"/>
      <c r="G5" s="1592"/>
      <c r="H5" s="1592"/>
      <c r="I5" s="1592"/>
      <c r="J5" s="1592"/>
      <c r="K5" s="1592"/>
      <c r="L5" s="1592"/>
      <c r="M5" s="1592"/>
      <c r="N5" s="1592"/>
      <c r="O5" s="1592"/>
      <c r="P5" s="1592"/>
      <c r="Q5" s="1592"/>
      <c r="R5" s="1592"/>
      <c r="S5" s="1592"/>
      <c r="T5" s="1592"/>
      <c r="U5" s="1592"/>
      <c r="V5" s="1592"/>
      <c r="W5" s="1592"/>
      <c r="X5" s="1593"/>
    </row>
    <row r="6" spans="1:24" s="804" customFormat="1" ht="114.75" customHeight="1" x14ac:dyDescent="0.2">
      <c r="A6" s="749" t="s">
        <v>44</v>
      </c>
      <c r="B6" s="803" t="s">
        <v>64</v>
      </c>
      <c r="C6" s="803" t="s">
        <v>70</v>
      </c>
      <c r="D6" s="803" t="s">
        <v>69</v>
      </c>
      <c r="E6" s="749" t="s">
        <v>102</v>
      </c>
      <c r="F6" s="749" t="s">
        <v>103</v>
      </c>
      <c r="G6" s="749" t="s">
        <v>104</v>
      </c>
      <c r="H6" s="749" t="s">
        <v>105</v>
      </c>
      <c r="I6" s="803" t="s">
        <v>106</v>
      </c>
      <c r="J6" s="803" t="s">
        <v>107</v>
      </c>
      <c r="K6" s="803" t="s">
        <v>108</v>
      </c>
      <c r="L6" s="803" t="s">
        <v>109</v>
      </c>
      <c r="M6" s="803" t="s">
        <v>110</v>
      </c>
      <c r="N6" s="803" t="s">
        <v>111</v>
      </c>
      <c r="O6" s="803" t="s">
        <v>112</v>
      </c>
      <c r="P6" s="803" t="s">
        <v>113</v>
      </c>
      <c r="Q6" s="803" t="s">
        <v>114</v>
      </c>
      <c r="R6" s="803" t="s">
        <v>115</v>
      </c>
      <c r="S6" s="803" t="s">
        <v>116</v>
      </c>
      <c r="T6" s="803" t="s">
        <v>117</v>
      </c>
      <c r="U6" s="803" t="s">
        <v>118</v>
      </c>
      <c r="V6" s="803" t="s">
        <v>119</v>
      </c>
      <c r="W6" s="803" t="s">
        <v>120</v>
      </c>
      <c r="X6" s="803" t="s">
        <v>121</v>
      </c>
    </row>
    <row r="7" spans="1:24" s="809" customFormat="1" ht="111" customHeight="1" x14ac:dyDescent="0.2">
      <c r="A7" s="805">
        <f>'[16]Identificación del Riesgo GD'!D9</f>
        <v>1</v>
      </c>
      <c r="B7" s="805" t="str">
        <f>'[16]Identificación del Riesgo GD'!E9</f>
        <v>Deterioro de los documentos del archivo central, archivo  de gestión o del material bibliográfico del centro documental</v>
      </c>
      <c r="C7" s="756" t="str">
        <f>IF(D7="PENDIENTE EVALUAR EL IMPACTO","PENDIENTE EVALUAR EL IMPACTO COLUMNAS H-W",VLOOKUP(D7,[16]Datos!$K$8:$L$12,2,FALSE))</f>
        <v>PENDIENTE EVALUAR EL IMPACTO COLUMNAS H-W</v>
      </c>
      <c r="D7" s="756" t="str">
        <f>IF(X7=0,"PENDIENTE EVALUAR EL IMPACTO",IF(X7&lt;=5,"MODERADO",IF(X7&lt;=11,"MAYOR","CATASTRÓFICO")))</f>
        <v>PENDIENTE EVALUAR EL IMPACTO</v>
      </c>
      <c r="E7" s="806"/>
      <c r="F7" s="806"/>
      <c r="G7" s="806"/>
      <c r="H7" s="806"/>
      <c r="I7" s="807"/>
      <c r="J7" s="807"/>
      <c r="K7" s="807"/>
      <c r="L7" s="807"/>
      <c r="M7" s="807"/>
      <c r="N7" s="807"/>
      <c r="O7" s="807"/>
      <c r="P7" s="807"/>
      <c r="Q7" s="807"/>
      <c r="R7" s="807"/>
      <c r="S7" s="807"/>
      <c r="T7" s="807"/>
      <c r="U7" s="807"/>
      <c r="V7" s="807"/>
      <c r="W7" s="807"/>
      <c r="X7" s="808">
        <f>COUNTIF(E7:W7,"SI")</f>
        <v>0</v>
      </c>
    </row>
    <row r="8" spans="1:24" ht="84.75" customHeight="1" x14ac:dyDescent="0.25">
      <c r="A8" s="805">
        <f>'[16]Identificación del Riesgo GD'!D10</f>
        <v>2</v>
      </c>
      <c r="B8" s="805" t="str">
        <f>'[16]Identificación del Riesgo GD'!E10</f>
        <v>Información suministrada de forma inoportuna por el proceso de Gestion Documental</v>
      </c>
      <c r="C8" s="756" t="str">
        <f>IF(D8="PENDIENTE EVALUAR EL IMPACTO","PENDIENTE EVALUAR EL IMPACTO COLUMNAS H-W",VLOOKUP(D8,[16]Datos!$K$8:$L$12,2,FALSE))</f>
        <v>PENDIENTE EVALUAR EL IMPACTO COLUMNAS H-W</v>
      </c>
      <c r="D8" s="805" t="str">
        <f t="shared" ref="D8:D16" si="0">IF(X8=0,"PENDIENTE EVALUAR EL IMPACTO",IF(X8&lt;=5,"MODERADO",IF(X8&lt;=11,"MAYOR","CATASTRÓFICO")))</f>
        <v>PENDIENTE EVALUAR EL IMPACTO</v>
      </c>
      <c r="E8" s="806"/>
      <c r="F8" s="806"/>
      <c r="G8" s="806"/>
      <c r="H8" s="806"/>
      <c r="I8" s="807"/>
      <c r="J8" s="807"/>
      <c r="K8" s="807"/>
      <c r="L8" s="807"/>
      <c r="M8" s="807"/>
      <c r="N8" s="807"/>
      <c r="O8" s="807"/>
      <c r="P8" s="807"/>
      <c r="Q8" s="807"/>
      <c r="R8" s="807"/>
      <c r="S8" s="807"/>
      <c r="T8" s="807"/>
      <c r="U8" s="807"/>
      <c r="V8" s="807"/>
      <c r="W8" s="807"/>
      <c r="X8" s="808">
        <f t="shared" ref="X8:X16" si="1">COUNTIF(E8:W8,"SI")</f>
        <v>0</v>
      </c>
    </row>
    <row r="9" spans="1:24" ht="72.75" customHeight="1" x14ac:dyDescent="0.25">
      <c r="A9" s="805">
        <f>'[16]Identificación del Riesgo GD'!D11</f>
        <v>3</v>
      </c>
      <c r="B9" s="805" t="str">
        <f>'[16]Identificación del Riesgo GD'!E11</f>
        <v>Manejo  inadecuado de la Gestión documental por parte de los servidores publicos  de la UPME</v>
      </c>
      <c r="C9" s="756" t="str">
        <f>IF(D9="PENDIENTE EVALUAR EL IMPACTO","PENDIENTE EVALUAR EL IMPACTO COLUMNAS H-W",VLOOKUP(D9,[16]Datos!$K$8:$L$12,2,FALSE))</f>
        <v>PENDIENTE EVALUAR EL IMPACTO COLUMNAS H-W</v>
      </c>
      <c r="D9" s="805" t="str">
        <f t="shared" si="0"/>
        <v>PENDIENTE EVALUAR EL IMPACTO</v>
      </c>
      <c r="E9" s="806"/>
      <c r="F9" s="806"/>
      <c r="G9" s="806"/>
      <c r="H9" s="806"/>
      <c r="I9" s="807"/>
      <c r="J9" s="807"/>
      <c r="K9" s="807"/>
      <c r="L9" s="807"/>
      <c r="M9" s="807"/>
      <c r="N9" s="807"/>
      <c r="O9" s="807"/>
      <c r="P9" s="807"/>
      <c r="Q9" s="807"/>
      <c r="R9" s="807"/>
      <c r="S9" s="807"/>
      <c r="T9" s="807"/>
      <c r="U9" s="807"/>
      <c r="V9" s="807"/>
      <c r="W9" s="807"/>
      <c r="X9" s="808">
        <f t="shared" si="1"/>
        <v>0</v>
      </c>
    </row>
    <row r="10" spans="1:24" ht="105" customHeight="1" x14ac:dyDescent="0.25">
      <c r="A10" s="805">
        <f>'[16]Identificación del Riesgo GD'!D12</f>
        <v>4</v>
      </c>
      <c r="B10" s="805" t="str">
        <f>'[16]Identificación del Riesgo GD'!E12</f>
        <v xml:space="preserve">Transferencias incompletas o que no se realizan de acuerdo a las TRD </v>
      </c>
      <c r="C10" s="756" t="str">
        <f>IF(D10="PENDIENTE EVALUAR EL IMPACTO","PENDIENTE EVALUAR EL IMPACTO COLUMNAS H-W",VLOOKUP(D10,[16]Datos!$K$8:$L$12,2,FALSE))</f>
        <v>PENDIENTE EVALUAR EL IMPACTO COLUMNAS H-W</v>
      </c>
      <c r="D10" s="805" t="str">
        <f t="shared" si="0"/>
        <v>PENDIENTE EVALUAR EL IMPACTO</v>
      </c>
      <c r="E10" s="806"/>
      <c r="F10" s="806"/>
      <c r="G10" s="806"/>
      <c r="H10" s="806"/>
      <c r="I10" s="807"/>
      <c r="J10" s="807"/>
      <c r="K10" s="807"/>
      <c r="L10" s="807"/>
      <c r="M10" s="807"/>
      <c r="N10" s="807"/>
      <c r="O10" s="807"/>
      <c r="P10" s="807"/>
      <c r="Q10" s="807"/>
      <c r="R10" s="807"/>
      <c r="S10" s="807"/>
      <c r="T10" s="807"/>
      <c r="U10" s="807"/>
      <c r="V10" s="807"/>
      <c r="W10" s="807"/>
      <c r="X10" s="808">
        <f t="shared" si="1"/>
        <v>0</v>
      </c>
    </row>
    <row r="11" spans="1:24" ht="75" x14ac:dyDescent="0.25">
      <c r="A11" s="805">
        <f>'[16]Identificación del Riesgo GD'!D13</f>
        <v>5</v>
      </c>
      <c r="B11" s="805" t="str">
        <f>'[16]Identificación del Riesgo GD'!E13</f>
        <v>Alteración o perdida de los expedientes que reposan en el archivo Central para favorecer a un tercero</v>
      </c>
      <c r="C11" s="756">
        <f>IF(D11="PENDIENTE EVALUAR EL IMPACTO","PENDIENTE EVALUAR EL IMPACTO COLUMNAS H-W",VLOOKUP(D11,[16]Datos!$K$8:$L$12,2,FALSE))</f>
        <v>4</v>
      </c>
      <c r="D11" s="805" t="str">
        <f t="shared" si="0"/>
        <v>MAYOR</v>
      </c>
      <c r="E11" s="895" t="s">
        <v>122</v>
      </c>
      <c r="F11" s="895" t="s">
        <v>122</v>
      </c>
      <c r="G11" s="895" t="s">
        <v>263</v>
      </c>
      <c r="H11" s="895" t="s">
        <v>263</v>
      </c>
      <c r="I11" s="895" t="s">
        <v>122</v>
      </c>
      <c r="J11" s="895" t="s">
        <v>263</v>
      </c>
      <c r="K11" s="895" t="s">
        <v>122</v>
      </c>
      <c r="L11" s="895" t="s">
        <v>263</v>
      </c>
      <c r="M11" s="895" t="s">
        <v>122</v>
      </c>
      <c r="N11" s="895" t="s">
        <v>122</v>
      </c>
      <c r="O11" s="895" t="s">
        <v>122</v>
      </c>
      <c r="P11" s="895" t="s">
        <v>122</v>
      </c>
      <c r="Q11" s="895" t="s">
        <v>263</v>
      </c>
      <c r="R11" s="895" t="s">
        <v>122</v>
      </c>
      <c r="S11" s="895" t="s">
        <v>263</v>
      </c>
      <c r="T11" s="895" t="s">
        <v>263</v>
      </c>
      <c r="U11" s="895" t="s">
        <v>263</v>
      </c>
      <c r="V11" s="895"/>
      <c r="W11" s="895"/>
      <c r="X11" s="808">
        <f t="shared" si="1"/>
        <v>9</v>
      </c>
    </row>
    <row r="12" spans="1:24" ht="60" x14ac:dyDescent="0.25">
      <c r="A12" s="805">
        <f>'[16]Identificación del Riesgo GD'!D14</f>
        <v>6</v>
      </c>
      <c r="B12" s="805" t="str">
        <f>'[16]Identificación del Riesgo GD'!E14</f>
        <v>Asignación o manejo errado de correspondencia general radicada en la UPME</v>
      </c>
      <c r="C12" s="756" t="str">
        <f>IF(D12="PENDIENTE EVALUAR EL IMPACTO","PENDIENTE EVALUAR EL IMPACTO COLUMNAS H-W",VLOOKUP(D12,[16]Datos!$K$8:$L$12,2,FALSE))</f>
        <v>PENDIENTE EVALUAR EL IMPACTO COLUMNAS H-W</v>
      </c>
      <c r="D12" s="805" t="str">
        <f t="shared" si="0"/>
        <v>PENDIENTE EVALUAR EL IMPACTO</v>
      </c>
      <c r="E12" s="806"/>
      <c r="F12" s="806"/>
      <c r="G12" s="806"/>
      <c r="H12" s="806"/>
      <c r="I12" s="807"/>
      <c r="J12" s="807"/>
      <c r="K12" s="807"/>
      <c r="L12" s="807"/>
      <c r="M12" s="807"/>
      <c r="N12" s="807"/>
      <c r="O12" s="807"/>
      <c r="P12" s="807"/>
      <c r="Q12" s="807"/>
      <c r="R12" s="807"/>
      <c r="S12" s="807"/>
      <c r="T12" s="807"/>
      <c r="U12" s="807"/>
      <c r="V12" s="807"/>
      <c r="W12" s="807"/>
      <c r="X12" s="808">
        <f t="shared" si="1"/>
        <v>0</v>
      </c>
    </row>
    <row r="13" spans="1:24" ht="60" hidden="1" x14ac:dyDescent="0.25">
      <c r="A13" s="805" t="e">
        <f>'[16]Identificación del Riesgo GD'!#REF!</f>
        <v>#REF!</v>
      </c>
      <c r="B13" s="805" t="e">
        <f>'[16]Identificación del Riesgo GD'!#REF!</f>
        <v>#REF!</v>
      </c>
      <c r="C13" s="756" t="str">
        <f>IF(D13="PENDIENTE EVALUAR EL IMPACTO","PENDIENTE EVALUAR EL IMPACTO COLUMNAS H-W",VLOOKUP(D13,[16]Datos!$K$8:$L$12,2,FALSE))</f>
        <v>PENDIENTE EVALUAR EL IMPACTO COLUMNAS H-W</v>
      </c>
      <c r="D13" s="805" t="str">
        <f t="shared" si="0"/>
        <v>PENDIENTE EVALUAR EL IMPACTO</v>
      </c>
      <c r="E13" s="806"/>
      <c r="F13" s="806"/>
      <c r="G13" s="806"/>
      <c r="H13" s="806"/>
      <c r="I13" s="807"/>
      <c r="J13" s="807"/>
      <c r="K13" s="807"/>
      <c r="L13" s="807"/>
      <c r="M13" s="807"/>
      <c r="N13" s="807"/>
      <c r="O13" s="807"/>
      <c r="P13" s="807"/>
      <c r="Q13" s="807"/>
      <c r="R13" s="807"/>
      <c r="S13" s="807"/>
      <c r="T13" s="807"/>
      <c r="U13" s="807"/>
      <c r="V13" s="807"/>
      <c r="W13" s="807"/>
      <c r="X13" s="808">
        <f t="shared" si="1"/>
        <v>0</v>
      </c>
    </row>
    <row r="14" spans="1:24" ht="60" x14ac:dyDescent="0.25">
      <c r="A14" s="805">
        <f>'[16]Identificación del Riesgo GD'!D15</f>
        <v>7</v>
      </c>
      <c r="B14" s="805" t="str">
        <f>'[16]Identificación del Riesgo GD'!E15</f>
        <v>No realizar trazabilidad a la  entrega de la correspondencia enviada</v>
      </c>
      <c r="C14" s="756" t="str">
        <f>IF(D14="PENDIENTE EVALUAR EL IMPACTO","PENDIENTE EVALUAR EL IMPACTO COLUMNAS H-W",VLOOKUP(D14,[16]Datos!$K$8:$L$12,2,FALSE))</f>
        <v>PENDIENTE EVALUAR EL IMPACTO COLUMNAS H-W</v>
      </c>
      <c r="D14" s="805" t="str">
        <f t="shared" si="0"/>
        <v>PENDIENTE EVALUAR EL IMPACTO</v>
      </c>
      <c r="E14" s="806"/>
      <c r="F14" s="806"/>
      <c r="G14" s="806"/>
      <c r="H14" s="806"/>
      <c r="I14" s="807"/>
      <c r="J14" s="807"/>
      <c r="K14" s="807"/>
      <c r="L14" s="807"/>
      <c r="M14" s="807"/>
      <c r="N14" s="807"/>
      <c r="O14" s="807"/>
      <c r="P14" s="807"/>
      <c r="Q14" s="807"/>
      <c r="R14" s="807"/>
      <c r="S14" s="807"/>
      <c r="T14" s="807"/>
      <c r="U14" s="807"/>
      <c r="V14" s="807"/>
      <c r="W14" s="807"/>
      <c r="X14" s="808">
        <f t="shared" si="1"/>
        <v>0</v>
      </c>
    </row>
    <row r="15" spans="1:24" ht="60" x14ac:dyDescent="0.25">
      <c r="A15" s="805" t="e">
        <f>'[16]Identificación del Riesgo GD'!#REF!</f>
        <v>#REF!</v>
      </c>
      <c r="B15" s="805" t="e">
        <f>'[16]Identificación del Riesgo GD'!#REF!</f>
        <v>#REF!</v>
      </c>
      <c r="C15" s="756" t="str">
        <f>IF(D15="PENDIENTE EVALUAR EL IMPACTO","PENDIENTE EVALUAR EL IMPACTO COLUMNAS H-W",VLOOKUP(D15,[16]Datos!$K$8:$L$12,2,FALSE))</f>
        <v>PENDIENTE EVALUAR EL IMPACTO COLUMNAS H-W</v>
      </c>
      <c r="D15" s="805" t="str">
        <f t="shared" si="0"/>
        <v>PENDIENTE EVALUAR EL IMPACTO</v>
      </c>
      <c r="E15" s="895"/>
      <c r="F15" s="895"/>
      <c r="G15" s="895"/>
      <c r="H15" s="895"/>
      <c r="I15" s="895"/>
      <c r="J15" s="895"/>
      <c r="K15" s="895"/>
      <c r="L15" s="895"/>
      <c r="M15" s="895"/>
      <c r="N15" s="895"/>
      <c r="O15" s="895"/>
      <c r="P15" s="895"/>
      <c r="Q15" s="895"/>
      <c r="R15" s="895"/>
      <c r="S15" s="895"/>
      <c r="T15" s="895"/>
      <c r="U15" s="895"/>
      <c r="V15" s="895"/>
      <c r="W15" s="895"/>
      <c r="X15" s="808">
        <f t="shared" si="1"/>
        <v>0</v>
      </c>
    </row>
    <row r="16" spans="1:24" ht="60" x14ac:dyDescent="0.25">
      <c r="A16" s="805" t="e">
        <f>'[16]Identificación del Riesgo GD'!#REF!</f>
        <v>#REF!</v>
      </c>
      <c r="B16" s="805" t="e">
        <f>'[16]Identificación del Riesgo GD'!#REF!</f>
        <v>#REF!</v>
      </c>
      <c r="C16" s="756" t="str">
        <f>IF(D16="PENDIENTE EVALUAR EL IMPACTO","PENDIENTE EVALUAR EL IMPACTO COLUMNAS H-W",VLOOKUP(D16,[16]Datos!$K$8:$L$12,2,FALSE))</f>
        <v>PENDIENTE EVALUAR EL IMPACTO COLUMNAS H-W</v>
      </c>
      <c r="D16" s="805" t="str">
        <f t="shared" si="0"/>
        <v>PENDIENTE EVALUAR EL IMPACTO</v>
      </c>
      <c r="E16" s="895"/>
      <c r="F16" s="895"/>
      <c r="G16" s="895"/>
      <c r="H16" s="895"/>
      <c r="I16" s="895"/>
      <c r="J16" s="895"/>
      <c r="K16" s="895"/>
      <c r="L16" s="895"/>
      <c r="M16" s="895"/>
      <c r="N16" s="895"/>
      <c r="O16" s="895"/>
      <c r="P16" s="895"/>
      <c r="Q16" s="895"/>
      <c r="R16" s="895"/>
      <c r="S16" s="895"/>
      <c r="T16" s="895"/>
      <c r="U16" s="895"/>
      <c r="V16" s="895"/>
      <c r="W16" s="895"/>
      <c r="X16" s="808">
        <f t="shared" si="1"/>
        <v>0</v>
      </c>
    </row>
  </sheetData>
  <mergeCells count="6">
    <mergeCell ref="A1:D4"/>
    <mergeCell ref="E1:T4"/>
    <mergeCell ref="U1:X2"/>
    <mergeCell ref="U3:X4"/>
    <mergeCell ref="A5:D5"/>
    <mergeCell ref="E5:X5"/>
  </mergeCells>
  <dataValidations count="1">
    <dataValidation type="list" allowBlank="1" showInputMessage="1" showErrorMessage="1" sqref="E7:W16" xr:uid="{00000000-0002-0000-6600-000000000000}">
      <formula1>"SI,NO"</formula1>
    </dataValidation>
  </dataValidations>
  <pageMargins left="0.51181102362204722" right="0.70866141732283472" top="1.1417322834645669" bottom="0.74803149606299213" header="0.31496062992125984" footer="0.31496062992125984"/>
  <pageSetup scale="35" orientation="landscape" horizontalDpi="1200" verticalDpi="1200" r:id="rId1"/>
  <headerFooter>
    <oddHeader>&amp;L&amp;G&amp;C
&amp;"-,Negrita"Matriz de Riesgos</oddHeader>
  </headerFooter>
  <colBreaks count="1" manualBreakCount="1">
    <brk id="4" max="1048575" man="1"/>
  </colBreaks>
  <drawing r:id="rId2"/>
  <legacyDrawing r:id="rId3"/>
  <legacyDrawingHF r:id="rId4"/>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E21"/>
  <sheetViews>
    <sheetView showGridLines="0" topLeftCell="A7" zoomScaleNormal="100" zoomScaleSheetLayoutView="115" zoomScalePageLayoutView="90" workbookViewId="0">
      <selection activeCell="C7" sqref="C7"/>
    </sheetView>
  </sheetViews>
  <sheetFormatPr baseColWidth="10" defaultRowHeight="15" x14ac:dyDescent="0.25"/>
  <cols>
    <col min="1" max="1" width="20.375" style="743" customWidth="1"/>
    <col min="2" max="2" width="37.125" style="743" customWidth="1"/>
    <col min="3" max="3" width="39" style="743" customWidth="1"/>
    <col min="4" max="4" width="14.25" style="743" customWidth="1"/>
    <col min="5" max="5" width="21.125" style="743" customWidth="1"/>
    <col min="6" max="16384" width="11" style="743"/>
  </cols>
  <sheetData>
    <row r="1" spans="1:5" x14ac:dyDescent="0.25">
      <c r="A1" s="1568"/>
      <c r="B1" s="1570" t="s">
        <v>0</v>
      </c>
      <c r="C1" s="1570"/>
      <c r="D1" s="1570"/>
      <c r="E1" s="1571" t="s">
        <v>29</v>
      </c>
    </row>
    <row r="2" spans="1:5" x14ac:dyDescent="0.25">
      <c r="A2" s="1568"/>
      <c r="B2" s="1570"/>
      <c r="C2" s="1570"/>
      <c r="D2" s="1570"/>
      <c r="E2" s="1571"/>
    </row>
    <row r="3" spans="1:5" x14ac:dyDescent="0.25">
      <c r="A3" s="1568"/>
      <c r="B3" s="1570"/>
      <c r="C3" s="1570"/>
      <c r="D3" s="1570"/>
      <c r="E3" s="1572" t="s">
        <v>2</v>
      </c>
    </row>
    <row r="4" spans="1:5" ht="15.75" thickBot="1" x14ac:dyDescent="0.3">
      <c r="A4" s="1568"/>
      <c r="B4" s="1570"/>
      <c r="C4" s="1570"/>
      <c r="D4" s="1570"/>
      <c r="E4" s="1572"/>
    </row>
    <row r="5" spans="1:5" ht="15.75" thickBot="1" x14ac:dyDescent="0.3">
      <c r="A5" s="1573" t="s">
        <v>30</v>
      </c>
      <c r="B5" s="1574"/>
      <c r="C5" s="1574"/>
      <c r="D5" s="1574"/>
      <c r="E5" s="1575"/>
    </row>
    <row r="6" spans="1:5" ht="15" customHeight="1" x14ac:dyDescent="0.25">
      <c r="A6" s="744" t="s">
        <v>31</v>
      </c>
      <c r="B6" s="745" t="s">
        <v>32</v>
      </c>
      <c r="C6" s="744" t="s">
        <v>33</v>
      </c>
      <c r="D6" s="1576" t="s">
        <v>34</v>
      </c>
      <c r="E6" s="1577"/>
    </row>
    <row r="7" spans="1:5" ht="409.5" customHeight="1" x14ac:dyDescent="0.25">
      <c r="A7" s="841"/>
      <c r="B7" s="842" t="s">
        <v>1298</v>
      </c>
      <c r="C7" s="843" t="s">
        <v>1299</v>
      </c>
      <c r="D7" s="1640" t="s">
        <v>1300</v>
      </c>
      <c r="E7" s="1641"/>
    </row>
    <row r="15" spans="1:5" x14ac:dyDescent="0.25">
      <c r="C15" s="844"/>
    </row>
    <row r="16" spans="1:5" x14ac:dyDescent="0.25">
      <c r="C16" s="844"/>
    </row>
    <row r="17" spans="2:3" ht="90" x14ac:dyDescent="0.25">
      <c r="B17" s="541" t="s">
        <v>801</v>
      </c>
      <c r="C17" s="844"/>
    </row>
    <row r="18" spans="2:3" x14ac:dyDescent="0.25">
      <c r="C18" s="844"/>
    </row>
    <row r="19" spans="2:3" x14ac:dyDescent="0.25">
      <c r="C19" s="844"/>
    </row>
    <row r="20" spans="2:3" x14ac:dyDescent="0.25">
      <c r="C20" s="844"/>
    </row>
    <row r="21" spans="2:3" x14ac:dyDescent="0.25">
      <c r="C21" s="845"/>
    </row>
  </sheetData>
  <mergeCells count="7">
    <mergeCell ref="D7:E7"/>
    <mergeCell ref="A1:A4"/>
    <mergeCell ref="B1:D4"/>
    <mergeCell ref="E1:E2"/>
    <mergeCell ref="E3:E4"/>
    <mergeCell ref="A5:E5"/>
    <mergeCell ref="D6:E6"/>
  </mergeCells>
  <pageMargins left="0.31496062992125984" right="0.31496062992125984" top="1.1417322834645669" bottom="0.35433070866141736" header="0.31496062992125984" footer="0.31496062992125984"/>
  <pageSetup scale="88" orientation="landscape" horizontalDpi="1200" verticalDpi="1200" r:id="rId1"/>
  <headerFooter>
    <oddHeader>&amp;L&amp;G&amp;C
&amp;"-,Negrita"Matriz de Riesgos</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6700-000000000000}">
          <x14:formula1>
            <xm:f>'C:\Users\sgomez.UPME\Documents\UPME 2020\Documents\Mapas de riesgos\[Mapa de riesgos. Gestión Financiera.xlsx]Datos'!#REF!</xm:f>
          </x14:formula1>
          <xm:sqref>A7</xm:sqref>
        </x14:dataValidation>
      </x14:dataValidations>
    </ext>
  </extLst>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E21"/>
  <sheetViews>
    <sheetView showGridLines="0" topLeftCell="A7" zoomScaleNormal="100" zoomScaleSheetLayoutView="115" zoomScalePageLayoutView="90" workbookViewId="0">
      <selection activeCell="C7" sqref="C7"/>
    </sheetView>
  </sheetViews>
  <sheetFormatPr baseColWidth="10" defaultRowHeight="15" x14ac:dyDescent="0.25"/>
  <cols>
    <col min="1" max="1" width="20.375" style="743" customWidth="1"/>
    <col min="2" max="2" width="37.125" style="743" customWidth="1"/>
    <col min="3" max="3" width="39" style="743" customWidth="1"/>
    <col min="4" max="4" width="14.25" style="743" customWidth="1"/>
    <col min="5" max="5" width="21.125" style="743" customWidth="1"/>
    <col min="6" max="16384" width="11" style="743"/>
  </cols>
  <sheetData>
    <row r="1" spans="1:5" x14ac:dyDescent="0.25">
      <c r="A1" s="1568"/>
      <c r="B1" s="1570" t="s">
        <v>0</v>
      </c>
      <c r="C1" s="1570"/>
      <c r="D1" s="1570"/>
      <c r="E1" s="1571" t="s">
        <v>29</v>
      </c>
    </row>
    <row r="2" spans="1:5" x14ac:dyDescent="0.25">
      <c r="A2" s="1568"/>
      <c r="B2" s="1570"/>
      <c r="C2" s="1570"/>
      <c r="D2" s="1570"/>
      <c r="E2" s="1571"/>
    </row>
    <row r="3" spans="1:5" x14ac:dyDescent="0.25">
      <c r="A3" s="1568"/>
      <c r="B3" s="1570"/>
      <c r="C3" s="1570"/>
      <c r="D3" s="1570"/>
      <c r="E3" s="1572" t="s">
        <v>2</v>
      </c>
    </row>
    <row r="4" spans="1:5" ht="15.75" thickBot="1" x14ac:dyDescent="0.3">
      <c r="A4" s="1568"/>
      <c r="B4" s="1570"/>
      <c r="C4" s="1570"/>
      <c r="D4" s="1570"/>
      <c r="E4" s="1572"/>
    </row>
    <row r="5" spans="1:5" ht="15.75" thickBot="1" x14ac:dyDescent="0.3">
      <c r="A5" s="1573" t="s">
        <v>30</v>
      </c>
      <c r="B5" s="1574"/>
      <c r="C5" s="1574"/>
      <c r="D5" s="1574"/>
      <c r="E5" s="1575"/>
    </row>
    <row r="6" spans="1:5" ht="15" customHeight="1" x14ac:dyDescent="0.25">
      <c r="A6" s="744" t="s">
        <v>31</v>
      </c>
      <c r="B6" s="745" t="s">
        <v>32</v>
      </c>
      <c r="C6" s="744" t="s">
        <v>33</v>
      </c>
      <c r="D6" s="1576" t="s">
        <v>34</v>
      </c>
      <c r="E6" s="1577"/>
    </row>
    <row r="7" spans="1:5" ht="409.5" customHeight="1" x14ac:dyDescent="0.25">
      <c r="A7" s="841"/>
      <c r="B7" s="842" t="s">
        <v>1298</v>
      </c>
      <c r="C7" s="843" t="s">
        <v>1299</v>
      </c>
      <c r="D7" s="1640" t="s">
        <v>1300</v>
      </c>
      <c r="E7" s="1641"/>
    </row>
    <row r="15" spans="1:5" x14ac:dyDescent="0.25">
      <c r="C15" s="844"/>
    </row>
    <row r="16" spans="1:5" x14ac:dyDescent="0.25">
      <c r="C16" s="844"/>
    </row>
    <row r="17" spans="2:3" ht="90" x14ac:dyDescent="0.25">
      <c r="B17" s="541" t="s">
        <v>801</v>
      </c>
      <c r="C17" s="844"/>
    </row>
    <row r="18" spans="2:3" x14ac:dyDescent="0.25">
      <c r="C18" s="844"/>
    </row>
    <row r="19" spans="2:3" x14ac:dyDescent="0.25">
      <c r="C19" s="844"/>
    </row>
    <row r="20" spans="2:3" x14ac:dyDescent="0.25">
      <c r="C20" s="844"/>
    </row>
    <row r="21" spans="2:3" x14ac:dyDescent="0.25">
      <c r="C21" s="845"/>
    </row>
  </sheetData>
  <mergeCells count="7">
    <mergeCell ref="D7:E7"/>
    <mergeCell ref="A1:A4"/>
    <mergeCell ref="B1:D4"/>
    <mergeCell ref="E1:E2"/>
    <mergeCell ref="E3:E4"/>
    <mergeCell ref="A5:E5"/>
    <mergeCell ref="D6:E6"/>
  </mergeCells>
  <pageMargins left="0.31496062992125984" right="0.31496062992125984" top="1.1417322834645669" bottom="0.35433070866141736" header="0.31496062992125984" footer="0.31496062992125984"/>
  <pageSetup scale="88" orientation="landscape" horizontalDpi="1200" verticalDpi="1200" r:id="rId1"/>
  <headerFooter>
    <oddHeader>&amp;L&amp;G&amp;C
&amp;"-,Negrita"Matriz de Riesgos</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6800-000000000000}">
          <x14:formula1>
            <xm:f>'C:\Users\sgomez.UPME\Documents\UPME 2020\Documents\Mapas de riesgos\[Mapa de riesgos. Gestión Financiera.xlsx]Datos'!#REF!</xm:f>
          </x14:formula1>
          <xm:sqref>A7</xm:sqref>
        </x14:dataValidation>
      </x14:dataValidations>
    </ext>
  </extLst>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N12"/>
  <sheetViews>
    <sheetView showGridLines="0" topLeftCell="A2" zoomScale="70" zoomScaleNormal="70" zoomScaleSheetLayoutView="130" zoomScalePageLayoutView="90" workbookViewId="0">
      <pane ySplit="7" topLeftCell="A9" activePane="bottomLeft" state="frozen"/>
      <selection activeCell="C2" sqref="C2"/>
      <selection pane="bottomLeft" activeCell="F10" sqref="F10"/>
    </sheetView>
  </sheetViews>
  <sheetFormatPr baseColWidth="10" defaultRowHeight="15" x14ac:dyDescent="0.25"/>
  <cols>
    <col min="1" max="2" width="13.25" style="743" customWidth="1"/>
    <col min="3" max="3" width="16.875" style="743" customWidth="1"/>
    <col min="4" max="4" width="3.625" style="746" customWidth="1"/>
    <col min="5" max="5" width="18.375" style="743" customWidth="1"/>
    <col min="6" max="6" width="21.625" style="743" customWidth="1"/>
    <col min="7" max="7" width="15" style="743" customWidth="1"/>
    <col min="8" max="8" width="28" style="743" customWidth="1"/>
    <col min="9" max="9" width="33.375" style="743" customWidth="1"/>
    <col min="10" max="10" width="20.625" style="743" customWidth="1"/>
    <col min="11" max="11" width="14.75" style="743" customWidth="1"/>
    <col min="12" max="12" width="18.75" style="743" customWidth="1"/>
    <col min="13" max="13" width="12.75" style="743" customWidth="1"/>
    <col min="14" max="14" width="27.125" style="743" customWidth="1"/>
    <col min="15" max="16384" width="11" style="743"/>
  </cols>
  <sheetData>
    <row r="1" spans="1:14" ht="15" customHeight="1" x14ac:dyDescent="0.25">
      <c r="A1" s="1578"/>
      <c r="B1" s="1578"/>
      <c r="C1" s="1578"/>
      <c r="D1" s="1580" t="s">
        <v>0</v>
      </c>
      <c r="E1" s="1580"/>
      <c r="F1" s="1580"/>
      <c r="G1" s="1580"/>
      <c r="H1" s="1580"/>
      <c r="I1" s="1580"/>
      <c r="J1" s="1580"/>
      <c r="K1" s="1580"/>
      <c r="L1" s="1580"/>
      <c r="M1" s="1581"/>
      <c r="N1" s="1584" t="s">
        <v>35</v>
      </c>
    </row>
    <row r="2" spans="1:14" ht="15" customHeight="1" x14ac:dyDescent="0.25">
      <c r="A2" s="1578"/>
      <c r="B2" s="1578"/>
      <c r="C2" s="1578"/>
      <c r="D2" s="1580"/>
      <c r="E2" s="1580"/>
      <c r="F2" s="1580"/>
      <c r="G2" s="1580"/>
      <c r="H2" s="1580"/>
      <c r="I2" s="1580"/>
      <c r="J2" s="1580"/>
      <c r="K2" s="1580"/>
      <c r="L2" s="1580"/>
      <c r="M2" s="1581"/>
      <c r="N2" s="1584"/>
    </row>
    <row r="3" spans="1:14" ht="15" customHeight="1" x14ac:dyDescent="0.25">
      <c r="A3" s="1578"/>
      <c r="B3" s="1578"/>
      <c r="C3" s="1578"/>
      <c r="D3" s="1580"/>
      <c r="E3" s="1580"/>
      <c r="F3" s="1580"/>
      <c r="G3" s="1580"/>
      <c r="H3" s="1580"/>
      <c r="I3" s="1580"/>
      <c r="J3" s="1580"/>
      <c r="K3" s="1580"/>
      <c r="L3" s="1580"/>
      <c r="M3" s="1581"/>
      <c r="N3" s="1584" t="s">
        <v>2</v>
      </c>
    </row>
    <row r="4" spans="1:14" ht="15" customHeight="1" x14ac:dyDescent="0.25">
      <c r="A4" s="1579"/>
      <c r="B4" s="1579"/>
      <c r="C4" s="1579"/>
      <c r="D4" s="1582"/>
      <c r="E4" s="1582"/>
      <c r="F4" s="1582"/>
      <c r="G4" s="1582"/>
      <c r="H4" s="1582"/>
      <c r="I4" s="1582"/>
      <c r="J4" s="1582"/>
      <c r="K4" s="1582"/>
      <c r="L4" s="1582"/>
      <c r="M4" s="1583"/>
      <c r="N4" s="1584"/>
    </row>
    <row r="5" spans="1:14" ht="21" x14ac:dyDescent="0.25">
      <c r="A5" s="1585" t="s">
        <v>36</v>
      </c>
      <c r="B5" s="1586"/>
      <c r="C5" s="1587"/>
      <c r="D5" s="1642" t="s">
        <v>1301</v>
      </c>
      <c r="E5" s="1643"/>
      <c r="F5" s="1643"/>
      <c r="G5" s="1643"/>
      <c r="H5" s="1643"/>
      <c r="I5" s="1643"/>
      <c r="J5" s="1643"/>
      <c r="K5" s="1643"/>
      <c r="L5" s="1643"/>
      <c r="M5" s="1643"/>
      <c r="N5" s="1644"/>
    </row>
    <row r="6" spans="1:14" x14ac:dyDescent="0.25">
      <c r="A6" s="1585" t="s">
        <v>37</v>
      </c>
      <c r="B6" s="1586"/>
      <c r="C6" s="1587"/>
      <c r="D6" s="1671" t="s">
        <v>1302</v>
      </c>
      <c r="E6" s="1672"/>
      <c r="F6" s="1672"/>
      <c r="G6" s="1672"/>
      <c r="H6" s="1672"/>
      <c r="I6" s="1672"/>
      <c r="J6" s="1672"/>
      <c r="K6" s="1672"/>
      <c r="L6" s="1672"/>
      <c r="M6" s="1672"/>
      <c r="N6" s="1673"/>
    </row>
    <row r="7" spans="1:14" x14ac:dyDescent="0.25">
      <c r="A7" s="1591" t="s">
        <v>38</v>
      </c>
      <c r="B7" s="1592"/>
      <c r="C7" s="1593"/>
      <c r="D7" s="1594" t="s">
        <v>39</v>
      </c>
      <c r="E7" s="1595"/>
      <c r="F7" s="1595"/>
      <c r="G7" s="1595"/>
      <c r="H7" s="1595"/>
      <c r="I7" s="1596"/>
      <c r="J7" s="1597" t="s">
        <v>40</v>
      </c>
      <c r="K7" s="1597"/>
      <c r="L7" s="1597"/>
      <c r="M7" s="1597"/>
      <c r="N7" s="1597"/>
    </row>
    <row r="8" spans="1:14" ht="48" x14ac:dyDescent="0.25">
      <c r="A8" s="749" t="s">
        <v>41</v>
      </c>
      <c r="B8" s="749" t="s">
        <v>42</v>
      </c>
      <c r="C8" s="749" t="s">
        <v>43</v>
      </c>
      <c r="D8" s="749" t="s">
        <v>44</v>
      </c>
      <c r="E8" s="749" t="s">
        <v>45</v>
      </c>
      <c r="F8" s="749" t="s">
        <v>46</v>
      </c>
      <c r="G8" s="749" t="s">
        <v>47</v>
      </c>
      <c r="H8" s="749" t="s">
        <v>48</v>
      </c>
      <c r="I8" s="749" t="s">
        <v>49</v>
      </c>
      <c r="J8" s="750" t="s">
        <v>50</v>
      </c>
      <c r="K8" s="750" t="s">
        <v>51</v>
      </c>
      <c r="L8" s="750" t="s">
        <v>52</v>
      </c>
      <c r="M8" s="750" t="s">
        <v>53</v>
      </c>
      <c r="N8" s="750" t="s">
        <v>54</v>
      </c>
    </row>
    <row r="9" spans="1:14" ht="222.75" customHeight="1" x14ac:dyDescent="0.25">
      <c r="A9" s="751" t="s">
        <v>218</v>
      </c>
      <c r="B9" s="752" t="s">
        <v>219</v>
      </c>
      <c r="C9" s="752"/>
      <c r="D9" s="542">
        <v>1</v>
      </c>
      <c r="E9" s="162" t="s">
        <v>1303</v>
      </c>
      <c r="F9" s="162" t="s">
        <v>1304</v>
      </c>
      <c r="G9" s="754" t="s">
        <v>208</v>
      </c>
      <c r="H9" s="162" t="s">
        <v>1305</v>
      </c>
      <c r="I9" s="303" t="s">
        <v>1306</v>
      </c>
      <c r="J9" s="754" t="s">
        <v>122</v>
      </c>
      <c r="K9" s="754" t="s">
        <v>263</v>
      </c>
      <c r="L9" s="754" t="s">
        <v>263</v>
      </c>
      <c r="M9" s="754" t="s">
        <v>263</v>
      </c>
      <c r="N9" s="756" t="str">
        <f t="shared" ref="N9:N12" si="0">IF(COUNTIF(J9:M9,"SI")=4,"Riesgo de Corrupción","No es Riesgo de Corrupción")</f>
        <v>No es Riesgo de Corrupción</v>
      </c>
    </row>
    <row r="10" spans="1:14" ht="195.75" customHeight="1" x14ac:dyDescent="0.25">
      <c r="A10" s="751" t="s">
        <v>176</v>
      </c>
      <c r="B10" s="751" t="s">
        <v>177</v>
      </c>
      <c r="C10" s="751"/>
      <c r="D10" s="542">
        <v>2</v>
      </c>
      <c r="E10" s="554" t="s">
        <v>1307</v>
      </c>
      <c r="F10" s="162" t="s">
        <v>1308</v>
      </c>
      <c r="G10" s="754" t="s">
        <v>179</v>
      </c>
      <c r="H10" s="755" t="s">
        <v>1309</v>
      </c>
      <c r="I10" s="162" t="s">
        <v>1310</v>
      </c>
      <c r="J10" s="754" t="s">
        <v>263</v>
      </c>
      <c r="K10" s="754" t="s">
        <v>263</v>
      </c>
      <c r="L10" s="754" t="s">
        <v>263</v>
      </c>
      <c r="M10" s="754" t="s">
        <v>263</v>
      </c>
      <c r="N10" s="756" t="str">
        <f t="shared" si="0"/>
        <v>No es Riesgo de Corrupción</v>
      </c>
    </row>
    <row r="11" spans="1:14" ht="150" customHeight="1" x14ac:dyDescent="0.25">
      <c r="A11" s="751"/>
      <c r="B11" s="751" t="s">
        <v>219</v>
      </c>
      <c r="C11" s="751"/>
      <c r="D11" s="542">
        <v>3</v>
      </c>
      <c r="E11" s="162" t="s">
        <v>1311</v>
      </c>
      <c r="F11" s="162" t="s">
        <v>1312</v>
      </c>
      <c r="G11" s="754" t="s">
        <v>252</v>
      </c>
      <c r="H11" s="303" t="s">
        <v>1313</v>
      </c>
      <c r="I11" s="303" t="s">
        <v>1314</v>
      </c>
      <c r="J11" s="754" t="s">
        <v>122</v>
      </c>
      <c r="K11" s="754" t="s">
        <v>122</v>
      </c>
      <c r="L11" s="754" t="s">
        <v>122</v>
      </c>
      <c r="M11" s="754" t="s">
        <v>122</v>
      </c>
      <c r="N11" s="756" t="str">
        <f t="shared" si="0"/>
        <v>Riesgo de Corrupción</v>
      </c>
    </row>
    <row r="12" spans="1:14" ht="219" customHeight="1" x14ac:dyDescent="0.25">
      <c r="A12" s="751"/>
      <c r="B12" s="751" t="s">
        <v>219</v>
      </c>
      <c r="C12" s="751"/>
      <c r="D12" s="542">
        <v>4</v>
      </c>
      <c r="E12" s="554" t="s">
        <v>1315</v>
      </c>
      <c r="F12" s="554" t="s">
        <v>1316</v>
      </c>
      <c r="G12" s="754" t="s">
        <v>252</v>
      </c>
      <c r="H12" s="755" t="s">
        <v>1317</v>
      </c>
      <c r="I12" s="303" t="s">
        <v>1318</v>
      </c>
      <c r="J12" s="754" t="s">
        <v>122</v>
      </c>
      <c r="K12" s="754" t="s">
        <v>122</v>
      </c>
      <c r="L12" s="754" t="s">
        <v>122</v>
      </c>
      <c r="M12" s="754" t="s">
        <v>122</v>
      </c>
      <c r="N12" s="756" t="str">
        <f t="shared" si="0"/>
        <v>Riesgo de Corrupción</v>
      </c>
    </row>
  </sheetData>
  <mergeCells count="11">
    <mergeCell ref="A6:C6"/>
    <mergeCell ref="D6:N6"/>
    <mergeCell ref="A7:C7"/>
    <mergeCell ref="D7:I7"/>
    <mergeCell ref="J7:N7"/>
    <mergeCell ref="A1:C4"/>
    <mergeCell ref="D1:M4"/>
    <mergeCell ref="N1:N2"/>
    <mergeCell ref="N3:N4"/>
    <mergeCell ref="A5:C5"/>
    <mergeCell ref="D5:N5"/>
  </mergeCells>
  <dataValidations count="1">
    <dataValidation type="list" allowBlank="1" showInputMessage="1" showErrorMessage="1" sqref="J9:M12" xr:uid="{00000000-0002-0000-6900-000000000000}">
      <formula1>"SI,NO"</formula1>
    </dataValidation>
  </dataValidations>
  <pageMargins left="0.11811023622047245" right="0.11811023622047245" top="1.1417322834645669" bottom="0.19685039370078741" header="0.31496062992125984" footer="0.31496062992125984"/>
  <pageSetup scale="79" orientation="landscape" horizontalDpi="1200" verticalDpi="1200" r:id="rId1"/>
  <headerFooter>
    <oddHeader>&amp;L&amp;G&amp;C
&amp;"-,Negrita"Matriz de Riesgos</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6900-000001000000}">
          <x14:formula1>
            <xm:f>'C:\Users\sgomez.UPME\Documents\UPME 2020\Documents\Mapas de riesgos\[Mapa de riesgos. Gestión Financiera.xlsx]Datos'!#REF!</xm:f>
          </x14:formula1>
          <xm:sqref>A9:C12 G9:G12</xm:sqref>
        </x14:dataValidation>
      </x14:dataValidations>
    </ext>
  </extLst>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X10"/>
  <sheetViews>
    <sheetView showGridLines="0" showWhiteSpace="0" zoomScale="55" zoomScaleNormal="55" zoomScaleSheetLayoutView="85" zoomScalePageLayoutView="70" workbookViewId="0">
      <pane xSplit="3" ySplit="6" topLeftCell="I7" activePane="bottomRight" state="frozen"/>
      <selection pane="topRight" activeCell="D1" sqref="D1"/>
      <selection pane="bottomLeft" activeCell="A7" sqref="A7"/>
      <selection pane="bottomRight" activeCell="I7" sqref="I7"/>
    </sheetView>
  </sheetViews>
  <sheetFormatPr baseColWidth="10" defaultRowHeight="15" x14ac:dyDescent="0.25"/>
  <cols>
    <col min="1" max="1" width="4.75" style="746" customWidth="1"/>
    <col min="2" max="2" width="18.125" style="743" customWidth="1"/>
    <col min="3" max="3" width="56.25" style="800" customWidth="1"/>
    <col min="4" max="4" width="26.25" style="801" customWidth="1"/>
    <col min="5" max="5" width="10.625" style="746" customWidth="1"/>
    <col min="6" max="6" width="17.25" style="746" customWidth="1"/>
    <col min="7" max="7" width="12.875" style="746" customWidth="1"/>
    <col min="8" max="8" width="5.375" style="746" customWidth="1"/>
    <col min="9" max="9" width="14" style="743" customWidth="1"/>
    <col min="10" max="10" width="12.75" style="743" customWidth="1"/>
    <col min="11" max="11" width="22.875" style="802" customWidth="1"/>
    <col min="12" max="12" width="41" style="743" customWidth="1"/>
    <col min="13" max="13" width="13.75" style="743" customWidth="1"/>
    <col min="14" max="14" width="15" style="743" customWidth="1"/>
    <col min="15" max="15" width="19.25" style="743" customWidth="1"/>
    <col min="16" max="16" width="18.875" style="743" customWidth="1"/>
    <col min="17" max="17" width="12" style="743" hidden="1" customWidth="1"/>
    <col min="18" max="18" width="12.625" style="743" hidden="1" customWidth="1"/>
    <col min="19" max="19" width="13.625" style="746" hidden="1" customWidth="1"/>
    <col min="20" max="20" width="13.625" style="743" hidden="1" customWidth="1"/>
    <col min="21" max="21" width="17.5" style="743" customWidth="1"/>
    <col min="22" max="22" width="12.125" style="743" customWidth="1"/>
    <col min="23" max="23" width="13.875" style="743" customWidth="1"/>
    <col min="24" max="24" width="42.125" style="743" customWidth="1"/>
    <col min="25" max="16384" width="11" style="743"/>
  </cols>
  <sheetData>
    <row r="1" spans="1:24" ht="15" customHeight="1" x14ac:dyDescent="0.25">
      <c r="A1" s="1598"/>
      <c r="B1" s="1598"/>
      <c r="C1" s="1598"/>
      <c r="D1" s="1655" t="s">
        <v>55</v>
      </c>
      <c r="E1" s="1656"/>
      <c r="F1" s="1656"/>
      <c r="G1" s="1656"/>
      <c r="H1" s="1656"/>
      <c r="I1" s="1656"/>
      <c r="J1" s="1656"/>
      <c r="K1" s="1656"/>
      <c r="L1" s="1656"/>
      <c r="M1" s="1656"/>
      <c r="N1" s="1656"/>
      <c r="O1" s="1656"/>
      <c r="P1" s="1656"/>
      <c r="Q1" s="1656"/>
      <c r="R1" s="1656"/>
      <c r="S1" s="1656"/>
      <c r="T1" s="1656"/>
      <c r="U1" s="1656"/>
      <c r="V1" s="1656"/>
      <c r="W1" s="1657"/>
      <c r="X1" s="1600" t="s">
        <v>35</v>
      </c>
    </row>
    <row r="2" spans="1:24" ht="15" customHeight="1" x14ac:dyDescent="0.25">
      <c r="A2" s="1598"/>
      <c r="B2" s="1598"/>
      <c r="C2" s="1598"/>
      <c r="D2" s="1658"/>
      <c r="E2" s="1659"/>
      <c r="F2" s="1659"/>
      <c r="G2" s="1659"/>
      <c r="H2" s="1659"/>
      <c r="I2" s="1659"/>
      <c r="J2" s="1659"/>
      <c r="K2" s="1659"/>
      <c r="L2" s="1659"/>
      <c r="M2" s="1659"/>
      <c r="N2" s="1659"/>
      <c r="O2" s="1659"/>
      <c r="P2" s="1659"/>
      <c r="Q2" s="1659"/>
      <c r="R2" s="1659"/>
      <c r="S2" s="1659"/>
      <c r="T2" s="1659"/>
      <c r="U2" s="1659"/>
      <c r="V2" s="1659"/>
      <c r="W2" s="1660"/>
      <c r="X2" s="1600"/>
    </row>
    <row r="3" spans="1:24" ht="15" customHeight="1" x14ac:dyDescent="0.25">
      <c r="A3" s="1598"/>
      <c r="B3" s="1598"/>
      <c r="C3" s="1598"/>
      <c r="D3" s="1658"/>
      <c r="E3" s="1659"/>
      <c r="F3" s="1659"/>
      <c r="G3" s="1659"/>
      <c r="H3" s="1659"/>
      <c r="I3" s="1659"/>
      <c r="J3" s="1659"/>
      <c r="K3" s="1659"/>
      <c r="L3" s="1659"/>
      <c r="M3" s="1659"/>
      <c r="N3" s="1659"/>
      <c r="O3" s="1659"/>
      <c r="P3" s="1659"/>
      <c r="Q3" s="1659"/>
      <c r="R3" s="1659"/>
      <c r="S3" s="1659"/>
      <c r="T3" s="1659"/>
      <c r="U3" s="1659"/>
      <c r="V3" s="1659"/>
      <c r="W3" s="1660"/>
      <c r="X3" s="1600" t="s">
        <v>56</v>
      </c>
    </row>
    <row r="4" spans="1:24" ht="15.75" customHeight="1" thickBot="1" x14ac:dyDescent="0.3">
      <c r="A4" s="1598"/>
      <c r="B4" s="1598"/>
      <c r="C4" s="1598"/>
      <c r="D4" s="1661"/>
      <c r="E4" s="1662"/>
      <c r="F4" s="1662"/>
      <c r="G4" s="1662"/>
      <c r="H4" s="1662"/>
      <c r="I4" s="1662"/>
      <c r="J4" s="1662"/>
      <c r="K4" s="1662"/>
      <c r="L4" s="1662"/>
      <c r="M4" s="1662"/>
      <c r="N4" s="1662"/>
      <c r="O4" s="1662"/>
      <c r="P4" s="1662"/>
      <c r="Q4" s="1662"/>
      <c r="R4" s="1662"/>
      <c r="S4" s="1662"/>
      <c r="T4" s="1662"/>
      <c r="U4" s="1662"/>
      <c r="V4" s="1662"/>
      <c r="W4" s="1663"/>
      <c r="X4" s="1600"/>
    </row>
    <row r="5" spans="1:24" ht="18.75" customHeight="1" x14ac:dyDescent="0.25">
      <c r="A5" s="1674" t="s">
        <v>57</v>
      </c>
      <c r="B5" s="1675"/>
      <c r="C5" s="1675"/>
      <c r="D5" s="1675"/>
      <c r="E5" s="1675"/>
      <c r="F5" s="1675"/>
      <c r="G5" s="1675"/>
      <c r="H5" s="1675"/>
      <c r="I5" s="1676"/>
      <c r="J5" s="757"/>
      <c r="K5" s="1677" t="s">
        <v>58</v>
      </c>
      <c r="L5" s="1677"/>
      <c r="M5" s="1677"/>
      <c r="N5" s="1677"/>
      <c r="O5" s="1677"/>
      <c r="P5" s="1678"/>
      <c r="Q5" s="1679" t="s">
        <v>59</v>
      </c>
      <c r="R5" s="1679"/>
      <c r="S5" s="1679"/>
      <c r="T5" s="1679"/>
      <c r="U5" s="1679"/>
      <c r="V5" s="1679"/>
      <c r="W5" s="1679"/>
      <c r="X5" s="1679"/>
    </row>
    <row r="6" spans="1:24" s="763" customFormat="1" ht="51" x14ac:dyDescent="0.2">
      <c r="A6" s="813" t="s">
        <v>44</v>
      </c>
      <c r="B6" s="813" t="s">
        <v>64</v>
      </c>
      <c r="C6" s="813" t="s">
        <v>65</v>
      </c>
      <c r="D6" s="814" t="s">
        <v>66</v>
      </c>
      <c r="E6" s="813" t="s">
        <v>67</v>
      </c>
      <c r="F6" s="813" t="s">
        <v>68</v>
      </c>
      <c r="G6" s="814" t="s">
        <v>69</v>
      </c>
      <c r="H6" s="814" t="s">
        <v>70</v>
      </c>
      <c r="I6" s="813" t="s">
        <v>71</v>
      </c>
      <c r="J6" s="813" t="s">
        <v>72</v>
      </c>
      <c r="K6" s="813" t="s">
        <v>73</v>
      </c>
      <c r="L6" s="813" t="s">
        <v>74</v>
      </c>
      <c r="M6" s="846" t="s">
        <v>75</v>
      </c>
      <c r="N6" s="813" t="s">
        <v>76</v>
      </c>
      <c r="O6" s="813" t="s">
        <v>77</v>
      </c>
      <c r="P6" s="813" t="s">
        <v>78</v>
      </c>
      <c r="Q6" s="813" t="s">
        <v>79</v>
      </c>
      <c r="R6" s="813" t="s">
        <v>80</v>
      </c>
      <c r="S6" s="813" t="s">
        <v>67</v>
      </c>
      <c r="T6" s="813" t="s">
        <v>70</v>
      </c>
      <c r="U6" s="813" t="s">
        <v>81</v>
      </c>
      <c r="V6" s="813" t="s">
        <v>82</v>
      </c>
      <c r="W6" s="813" t="s">
        <v>83</v>
      </c>
      <c r="X6" s="813" t="s">
        <v>84</v>
      </c>
    </row>
    <row r="7" spans="1:24" s="780" customFormat="1" ht="185.25" x14ac:dyDescent="0.2">
      <c r="A7" s="847">
        <f>'[17]Identificación del Riesgo GF'!D9</f>
        <v>1</v>
      </c>
      <c r="B7" s="848" t="str">
        <f>'[17]Identificación del Riesgo GF'!E9</f>
        <v>Información presupuestal, contable, tributaria ó financiera errada ó inorportuna</v>
      </c>
      <c r="C7" s="848" t="str">
        <f>'[17]Identificación del Riesgo GF'!H9</f>
        <v>Desactualización del personal asignado al area Financiera
Falta de inducción 
Errores de digitación
Fallas en los controles establecidos para cada una de las actividades
Limitación de personal asignado al area
Conexión intermitente con la plataforma Orfeo, o acceso a la pagina web, correo electronico de la UPME y/o SIIF Nación</v>
      </c>
      <c r="D7" s="819" t="s">
        <v>223</v>
      </c>
      <c r="E7" s="847">
        <f>IF(D7="Selecciona un descriptor de frecuencia."," ",IF(D7="","",VLOOKUP(D7,[17]Datos!$G$8:$J$12,2,FALSE)))</f>
        <v>2</v>
      </c>
      <c r="F7" s="847" t="str">
        <f>IF(D7="Selecciona un descriptor de frecuencia."," ",IF(D7="","",VLOOKUP(D7,[17]Datos!$G$8:$J$12,3,FALSE)))</f>
        <v>Improbable</v>
      </c>
      <c r="G7" s="819" t="s">
        <v>204</v>
      </c>
      <c r="H7" s="847">
        <f>IF(G7="Selecciona un descriptor de impacto."," ",IF(G7="","",VLOOKUP(G7,[17]Datos!$K$8:$L$12,2,FALSE)))</f>
        <v>3</v>
      </c>
      <c r="I7" s="849" t="str">
        <f>IF(D7="Selecciona un descriptor de frecuencia."," ",IF(G7="Selecciona un descriptor de impacto."," ",IF(E7+H7=" ","",IF(E7="","",VLOOKUP(E7,[17]Datos!$U$8:$Z$12,MATCH(H7,[17]Datos!$V$7:$Z$7,0)+1,FALSE)))))</f>
        <v>MODERADO</v>
      </c>
      <c r="J7" s="818" t="s">
        <v>122</v>
      </c>
      <c r="K7" s="853" t="s">
        <v>1319</v>
      </c>
      <c r="L7" s="853" t="s">
        <v>1320</v>
      </c>
      <c r="M7" s="820">
        <f>[17]Controles!T9</f>
        <v>100</v>
      </c>
      <c r="N7" s="820" t="str">
        <f>[17]Controles!AB9</f>
        <v>No</v>
      </c>
      <c r="O7" s="547">
        <f>[17]Controles!W9</f>
        <v>1</v>
      </c>
      <c r="P7" s="547">
        <f>[17]Controles!X9</f>
        <v>1</v>
      </c>
      <c r="Q7" s="547">
        <f t="shared" ref="Q7:R10" si="0">SUM(O7:O7)</f>
        <v>1</v>
      </c>
      <c r="R7" s="547">
        <f t="shared" si="0"/>
        <v>1</v>
      </c>
      <c r="S7" s="850">
        <f>IF(D7="Selecciona un descriptor de frecuencia."," ",IF(ROUNDUP(E7-Q7,0)&lt;0,1,ROUNDUP(E7-Q7,0)))</f>
        <v>1</v>
      </c>
      <c r="T7" s="850">
        <f>IF(G7="Selecciona un descriptor de impacto."," ",IF(ROUNDUP(H7-R7,0)&lt;0,1,ROUNDUP(H7-R7,0)))</f>
        <v>2</v>
      </c>
      <c r="U7" s="547" t="str">
        <f>IF(D7="Selecciona un descriptor de frecuencia."," ",VLOOKUP(S7,[17]Datos!$H$8:$I$12,2,FALSE))</f>
        <v>Rara vez</v>
      </c>
      <c r="V7" s="547" t="str">
        <f>IF(G7="Selecciona un descriptor de impacto."," ",VLOOKUP(T7,[17]Datos!$L$8:$M$12,2,FALSE))</f>
        <v>Menor</v>
      </c>
      <c r="W7" s="849" t="str">
        <f>IF(S7=" "," ",VLOOKUP(S7,[17]Datos!$U$8:$Z$12,MATCH(T7,[17]Datos!$V$7:$Z$7,0)+1,FALSE))</f>
        <v>BAJO</v>
      </c>
      <c r="X7" s="819" t="s">
        <v>202</v>
      </c>
    </row>
    <row r="8" spans="1:24" s="799" customFormat="1" ht="99.75" x14ac:dyDescent="0.2">
      <c r="A8" s="851">
        <f>'[17]Identificación del Riesgo GF'!D10</f>
        <v>2</v>
      </c>
      <c r="B8" s="848" t="str">
        <f>'[17]Identificación del Riesgo GF'!E10</f>
        <v>Impactos presupuestales por efectos de reestructuracion del sector Minero Energetico</v>
      </c>
      <c r="C8" s="848" t="str">
        <f>'[17]Identificación del Riesgo GF'!H10</f>
        <v>Cambio de Gobierno
Efectos colaterales causados por la situación economica actual del pais
Reforma de las Entidades aportantes del presupuesto de la UPME</v>
      </c>
      <c r="D8" s="819" t="s">
        <v>236</v>
      </c>
      <c r="E8" s="847">
        <f>IF(D8="Selecciona un descriptor de frecuencia."," ",IF(D8="","",VLOOKUP(D8,[17]Datos!$G$8:$J$12,2,FALSE)))</f>
        <v>1</v>
      </c>
      <c r="F8" s="847" t="str">
        <f>IF(D8="Selecciona un descriptor de frecuencia."," ",IF(D8="","",VLOOKUP(D8,[17]Datos!$G$8:$J$12,3,FALSE)))</f>
        <v>Rara vez</v>
      </c>
      <c r="G8" s="819" t="s">
        <v>199</v>
      </c>
      <c r="H8" s="851">
        <f>IF(G8="","",VLOOKUP(G8,[17]Datos!$K$8:$L$12,2,FALSE))</f>
        <v>4</v>
      </c>
      <c r="I8" s="849" t="str">
        <f>IF(D8="Selecciona un descriptor de frecuencia."," ",IF(G8="Selecciona un descriptor de impacto."," ",IF(E8+H8=" ","",IF(E8="","",VLOOKUP(E8,[17]Datos!$U$8:$Z$12,MATCH(H8,[17]Datos!$V$7:$Z$7,0)+1,FALSE)))))</f>
        <v>ALTO</v>
      </c>
      <c r="J8" s="819" t="s">
        <v>263</v>
      </c>
      <c r="K8" s="853" t="s">
        <v>1272</v>
      </c>
      <c r="L8" s="853" t="s">
        <v>1272</v>
      </c>
      <c r="M8" s="820">
        <f>[17]Controles!T10</f>
        <v>0</v>
      </c>
      <c r="N8" s="820" t="str">
        <f>[17]Controles!AB10</f>
        <v>SI</v>
      </c>
      <c r="O8" s="547">
        <f>[17]Controles!W10</f>
        <v>0</v>
      </c>
      <c r="P8" s="547">
        <f>[17]Controles!X10</f>
        <v>0</v>
      </c>
      <c r="Q8" s="852">
        <f t="shared" si="0"/>
        <v>0</v>
      </c>
      <c r="R8" s="852">
        <f t="shared" si="0"/>
        <v>0</v>
      </c>
      <c r="S8" s="850">
        <f t="shared" ref="S8:S10" si="1">IF(D8="Selecciona un descriptor de frecuencia."," ",IF(ROUNDUP(E8-Q8,0)&lt;0,1,ROUNDUP(E8-Q8,0)))</f>
        <v>1</v>
      </c>
      <c r="T8" s="850">
        <f t="shared" ref="T8:T10" si="2">IF(G8="Selecciona un descriptor de impacto."," ",IF(ROUNDUP(H8-R8,0)&lt;0,1,ROUNDUP(H8-R8,0)))</f>
        <v>4</v>
      </c>
      <c r="U8" s="547" t="str">
        <f>IF(D8="Selecciona un descriptor de frecuencia."," ",VLOOKUP(S8,[17]Datos!$H$8:$I$12,2,FALSE))</f>
        <v>Rara vez</v>
      </c>
      <c r="V8" s="547" t="str">
        <f>IF(G8="Selecciona un descriptor de impacto."," ",VLOOKUP(T8,[17]Datos!$L$8:$M$12,2,FALSE))</f>
        <v>Mayor</v>
      </c>
      <c r="W8" s="849" t="str">
        <f>IF(S8=" "," ",VLOOKUP(S8,[17]Datos!$U$8:$Z$12,MATCH(T8,[17]Datos!$V$7:$Z$7,0)+1,FALSE))</f>
        <v>ALTO</v>
      </c>
      <c r="X8" s="819" t="s">
        <v>202</v>
      </c>
    </row>
    <row r="9" spans="1:24" s="780" customFormat="1" ht="231.75" customHeight="1" x14ac:dyDescent="0.2">
      <c r="A9" s="851">
        <f>'[17]Identificación del Riesgo GF'!D11</f>
        <v>3</v>
      </c>
      <c r="B9" s="848" t="str">
        <f>'[17]Identificación del Riesgo GF'!E11</f>
        <v xml:space="preserve">Perdida de información contable, presupuestal  o financiera </v>
      </c>
      <c r="C9" s="848" t="str">
        <f>'[17]Identificación del Riesgo GF'!H11</f>
        <v xml:space="preserve">Desconocimiento de las directrices establecidas en los procedimientos
No aplicación de los procedimientos establecidos
Fallas tecnologicas
No se han establecido frecuencias de realización copias de seguridad
</v>
      </c>
      <c r="D9" s="819" t="s">
        <v>236</v>
      </c>
      <c r="E9" s="847">
        <f>IF(D9="Selecciona un descriptor de frecuencia."," ",IF(D9="","",VLOOKUP(D9,[17]Datos!$G$8:$J$12,2,FALSE)))</f>
        <v>1</v>
      </c>
      <c r="F9" s="847" t="str">
        <f>IF(D9="Selecciona un descriptor de frecuencia."," ",IF(D9="","",VLOOKUP(D9,[17]Datos!$G$8:$J$12,3,FALSE)))</f>
        <v>Rara vez</v>
      </c>
      <c r="G9" s="819" t="s">
        <v>199</v>
      </c>
      <c r="H9" s="851">
        <f>IF(G9="","",VLOOKUP(G9,[17]Datos!$K$8:$L$12,2,FALSE))</f>
        <v>4</v>
      </c>
      <c r="I9" s="849" t="str">
        <f>IF(D9="Selecciona un descriptor de frecuencia."," ",IF(G9="Selecciona un descriptor de impacto."," ",IF(E9+H9=" ","",IF(E9="","",VLOOKUP(E9,[17]Datos!$U$8:$Z$12,MATCH(H9,[17]Datos!$V$7:$Z$7,0)+1,FALSE)))))</f>
        <v>ALTO</v>
      </c>
      <c r="J9" s="819" t="s">
        <v>122</v>
      </c>
      <c r="K9" s="853" t="s">
        <v>1321</v>
      </c>
      <c r="L9" s="853" t="s">
        <v>1322</v>
      </c>
      <c r="M9" s="820">
        <f>[17]Controles!T11</f>
        <v>85</v>
      </c>
      <c r="N9" s="820" t="str">
        <f>[17]Controles!AB11</f>
        <v>SI</v>
      </c>
      <c r="O9" s="547">
        <f>[17]Controles!W11</f>
        <v>0.85</v>
      </c>
      <c r="P9" s="547">
        <f>[17]Controles!X11</f>
        <v>0.85</v>
      </c>
      <c r="Q9" s="852">
        <f t="shared" si="0"/>
        <v>0.85</v>
      </c>
      <c r="R9" s="852">
        <f t="shared" si="0"/>
        <v>0.85</v>
      </c>
      <c r="S9" s="850">
        <f t="shared" si="1"/>
        <v>1</v>
      </c>
      <c r="T9" s="850">
        <f t="shared" si="2"/>
        <v>4</v>
      </c>
      <c r="U9" s="547" t="str">
        <f>IF(D9="Selecciona un descriptor de frecuencia."," ",VLOOKUP(S9,[17]Datos!$H$8:$I$12,2,FALSE))</f>
        <v>Rara vez</v>
      </c>
      <c r="V9" s="547" t="str">
        <f>IF(G9="Selecciona un descriptor de impacto."," ",VLOOKUP(T9,[17]Datos!$L$8:$M$12,2,FALSE))</f>
        <v>Mayor</v>
      </c>
      <c r="W9" s="849" t="str">
        <f>IF(S9=" "," ",VLOOKUP(S9,[17]Datos!$U$8:$Z$12,MATCH(T9,[17]Datos!$V$7:$Z$7,0)+1,FALSE))</f>
        <v>ALTO</v>
      </c>
      <c r="X9" s="819" t="s">
        <v>202</v>
      </c>
    </row>
    <row r="10" spans="1:24" s="780" customFormat="1" ht="128.25" x14ac:dyDescent="0.2">
      <c r="A10" s="851">
        <f>'[17]Identificación del Riesgo GF'!D12</f>
        <v>4</v>
      </c>
      <c r="B10" s="848" t="str">
        <f>'[17]Identificación del Riesgo GF'!E12</f>
        <v>Ordenes de pago con errores, duplicados o extemporaneos</v>
      </c>
      <c r="C10" s="848" t="str">
        <f>'[17]Identificación del Riesgo GF'!H12</f>
        <v>Desconocimiento o no aplicación del procedimiento o normatividad referente
Errores de digitación
No se cuenta con una herramientas de verificación y control previo a la ejecución de pagos
Actuación para beneficio propio o a un tercero</v>
      </c>
      <c r="D10" s="819" t="s">
        <v>196</v>
      </c>
      <c r="E10" s="847">
        <f>IF(D10="Selecciona un descriptor de frecuencia."," ",IF(D10="","",VLOOKUP(D10,[17]Datos!$G$8:$J$12,2,FALSE)))</f>
        <v>4</v>
      </c>
      <c r="F10" s="847" t="str">
        <f>IF(D10="Selecciona un descriptor de frecuencia."," ",IF(D10="","",VLOOKUP(D10,[17]Datos!$G$8:$J$12,3,FALSE)))</f>
        <v>Probable</v>
      </c>
      <c r="G10" s="819" t="s">
        <v>199</v>
      </c>
      <c r="H10" s="851">
        <f>IF(G10="","",VLOOKUP(G10,[17]Datos!$K$8:$L$12,2,FALSE))</f>
        <v>4</v>
      </c>
      <c r="I10" s="849" t="str">
        <f>IF(D10="Selecciona un descriptor de frecuencia."," ",IF(G10="Selecciona un descriptor de impacto."," ",IF(E10+H10=" ","",IF(E10="","",VLOOKUP(E10,[17]Datos!$U$8:$Z$12,MATCH(H10,[17]Datos!$V$7:$Z$7,0)+1,FALSE)))))</f>
        <v>EXTREMO</v>
      </c>
      <c r="J10" s="819" t="s">
        <v>263</v>
      </c>
      <c r="K10" s="853" t="s">
        <v>1272</v>
      </c>
      <c r="L10" s="853" t="s">
        <v>1272</v>
      </c>
      <c r="M10" s="820">
        <f>[17]Controles!T12</f>
        <v>0</v>
      </c>
      <c r="N10" s="820" t="str">
        <f>[17]Controles!AB12</f>
        <v>SI</v>
      </c>
      <c r="O10" s="547">
        <f>[17]Controles!W12</f>
        <v>0</v>
      </c>
      <c r="P10" s="547">
        <f>[17]Controles!X12</f>
        <v>0</v>
      </c>
      <c r="Q10" s="852">
        <f t="shared" si="0"/>
        <v>0</v>
      </c>
      <c r="R10" s="852">
        <f t="shared" si="0"/>
        <v>0</v>
      </c>
      <c r="S10" s="850">
        <f t="shared" si="1"/>
        <v>4</v>
      </c>
      <c r="T10" s="850">
        <f t="shared" si="2"/>
        <v>4</v>
      </c>
      <c r="U10" s="547" t="str">
        <f>IF(D10="Selecciona un descriptor de frecuencia."," ",VLOOKUP(S10,[17]Datos!$H$8:$I$12,2,FALSE))</f>
        <v>Probable</v>
      </c>
      <c r="V10" s="547" t="str">
        <f>IF(G10="Selecciona un descriptor de impacto."," ",VLOOKUP(T10,[17]Datos!$L$8:$M$12,2,FALSE))</f>
        <v>Mayor</v>
      </c>
      <c r="W10" s="849" t="str">
        <f>IF(S10=" "," ",VLOOKUP(S10,[17]Datos!$U$8:$Z$12,MATCH(T10,[17]Datos!$V$7:$Z$7,0)+1,FALSE))</f>
        <v>EXTREMO</v>
      </c>
      <c r="X10" s="819" t="s">
        <v>202</v>
      </c>
    </row>
  </sheetData>
  <mergeCells count="7">
    <mergeCell ref="A1:C4"/>
    <mergeCell ref="D1:W4"/>
    <mergeCell ref="X1:X2"/>
    <mergeCell ref="X3:X4"/>
    <mergeCell ref="A5:I5"/>
    <mergeCell ref="K5:P5"/>
    <mergeCell ref="Q5:X5"/>
  </mergeCells>
  <conditionalFormatting sqref="W7:X7 X8 I7:J10 W8:W10">
    <cfRule type="cellIs" dxfId="35" priority="9" operator="equal">
      <formula>"Extremo"</formula>
    </cfRule>
    <cfRule type="cellIs" dxfId="34" priority="10" operator="equal">
      <formula>"Moderado"</formula>
    </cfRule>
    <cfRule type="cellIs" dxfId="33" priority="11" operator="equal">
      <formula>"Bajo"</formula>
    </cfRule>
    <cfRule type="cellIs" dxfId="32" priority="12" operator="equal">
      <formula>"Alto"</formula>
    </cfRule>
  </conditionalFormatting>
  <conditionalFormatting sqref="X9">
    <cfRule type="cellIs" dxfId="31" priority="5" operator="equal">
      <formula>"Extremo"</formula>
    </cfRule>
    <cfRule type="cellIs" dxfId="30" priority="6" operator="equal">
      <formula>"Moderado"</formula>
    </cfRule>
    <cfRule type="cellIs" dxfId="29" priority="7" operator="equal">
      <formula>"Bajo"</formula>
    </cfRule>
    <cfRule type="cellIs" dxfId="28" priority="8" operator="equal">
      <formula>"Alto"</formula>
    </cfRule>
  </conditionalFormatting>
  <conditionalFormatting sqref="X10">
    <cfRule type="cellIs" dxfId="27" priority="1" operator="equal">
      <formula>"Extremo"</formula>
    </cfRule>
    <cfRule type="cellIs" dxfId="26" priority="2" operator="equal">
      <formula>"Moderado"</formula>
    </cfRule>
    <cfRule type="cellIs" dxfId="25" priority="3" operator="equal">
      <formula>"Bajo"</formula>
    </cfRule>
    <cfRule type="cellIs" dxfId="24" priority="4" operator="equal">
      <formula>"Alto"</formula>
    </cfRule>
  </conditionalFormatting>
  <dataValidations count="2">
    <dataValidation type="list" allowBlank="1" showInputMessage="1" showErrorMessage="1" sqref="X8:X10" xr:uid="{00000000-0002-0000-6A00-000000000000}">
      <formula1>$U$4:$U$5</formula1>
    </dataValidation>
    <dataValidation type="list" allowBlank="1" showInputMessage="1" showErrorMessage="1" sqref="J7:J10" xr:uid="{00000000-0002-0000-6A00-000001000000}">
      <formula1>"SI,NO"</formula1>
    </dataValidation>
  </dataValidations>
  <pageMargins left="7.874015748031496E-2" right="7.874015748031496E-2" top="1.1417322834645669" bottom="0.15748031496062992" header="0.31496062992125984" footer="0.31496062992125984"/>
  <pageSetup scale="38" orientation="landscape" horizontalDpi="1200" verticalDpi="1200" r:id="rId1"/>
  <headerFooter>
    <oddHeader>&amp;L&amp;G&amp;C
&amp;"-,Negrita"Matriz de Riesgos</oddHeader>
  </headerFooter>
  <rowBreaks count="1" manualBreakCount="1">
    <brk id="8" max="16383" man="1"/>
  </rowBreaks>
  <colBreaks count="1" manualBreakCount="1">
    <brk id="16" max="1048575" man="1"/>
  </col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6A00-000002000000}">
          <x14:formula1>
            <xm:f>'C:\Users\sgomez.UPME\Documents\UPME 2020\Documents\Mapas de riesgos\[Mapa de riesgos. Gestión Financiera.xlsx]Datos'!#REF!</xm:f>
          </x14:formula1>
          <xm:sqref>G7:G10 X7 D7:D10</xm:sqref>
        </x14:dataValidation>
      </x14:dataValidations>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AD12"/>
  <sheetViews>
    <sheetView zoomScale="85" zoomScaleNormal="85" zoomScaleSheetLayoutView="160" workbookViewId="0">
      <selection activeCell="A9" sqref="A9"/>
    </sheetView>
  </sheetViews>
  <sheetFormatPr baseColWidth="10" defaultColWidth="10" defaultRowHeight="12.75" x14ac:dyDescent="0.2"/>
  <cols>
    <col min="1" max="1" width="6.625" style="811" customWidth="1"/>
    <col min="2" max="2" width="16.75" style="811" customWidth="1"/>
    <col min="3" max="3" width="60.375" style="811" customWidth="1"/>
    <col min="4" max="4" width="22" style="763" customWidth="1"/>
    <col min="5" max="5" width="38" style="763" customWidth="1"/>
    <col min="6" max="10" width="21.75" style="811" customWidth="1"/>
    <col min="11" max="11" width="33.875" style="811" customWidth="1"/>
    <col min="12" max="12" width="21.75" style="811" customWidth="1"/>
    <col min="13" max="17" width="19.25" style="825" customWidth="1"/>
    <col min="18" max="18" width="22.625" style="825" customWidth="1"/>
    <col min="19" max="19" width="19.25" style="825" customWidth="1"/>
    <col min="20" max="20" width="8" style="825" customWidth="1"/>
    <col min="21" max="22" width="18.125" style="825" customWidth="1"/>
    <col min="23" max="23" width="17.75" style="825" hidden="1" customWidth="1"/>
    <col min="24" max="24" width="16.25" style="825" hidden="1" customWidth="1"/>
    <col min="25" max="25" width="15.25" style="825" customWidth="1"/>
    <col min="26" max="26" width="18.875" style="825" customWidth="1"/>
    <col min="27" max="27" width="15.625" style="825" customWidth="1"/>
    <col min="28" max="28" width="23.125" style="825" customWidth="1"/>
    <col min="29" max="29" width="22.25" style="826" customWidth="1"/>
    <col min="30" max="30" width="26.5" style="826" customWidth="1"/>
    <col min="31" max="16384" width="10" style="811"/>
  </cols>
  <sheetData>
    <row r="1" spans="1:30" ht="15.75" customHeight="1" x14ac:dyDescent="0.2">
      <c r="A1" s="1630"/>
      <c r="B1" s="1630"/>
      <c r="C1" s="1630"/>
      <c r="D1" s="1631" t="s">
        <v>0</v>
      </c>
      <c r="E1" s="1631"/>
      <c r="F1" s="1631"/>
      <c r="G1" s="1631"/>
      <c r="H1" s="1631"/>
      <c r="I1" s="1631"/>
      <c r="J1" s="1631"/>
      <c r="K1" s="1631"/>
      <c r="L1" s="1631"/>
      <c r="M1" s="1631"/>
      <c r="N1" s="1631"/>
      <c r="O1" s="1631"/>
      <c r="P1" s="1631"/>
      <c r="Q1" s="1631"/>
      <c r="R1" s="1631"/>
      <c r="S1" s="1631"/>
      <c r="T1" s="1631"/>
      <c r="U1" s="1631"/>
      <c r="V1" s="1631"/>
      <c r="W1" s="1631"/>
      <c r="X1" s="1631"/>
      <c r="Y1" s="1631"/>
      <c r="Z1" s="1631"/>
      <c r="AA1" s="1631"/>
      <c r="AB1" s="1631"/>
      <c r="AC1" s="1632" t="s">
        <v>128</v>
      </c>
      <c r="AD1" s="1632"/>
    </row>
    <row r="2" spans="1:30" ht="15.75" customHeight="1" x14ac:dyDescent="0.2">
      <c r="A2" s="1630"/>
      <c r="B2" s="1630"/>
      <c r="C2" s="1630"/>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2"/>
      <c r="AD2" s="1632"/>
    </row>
    <row r="3" spans="1:30" ht="15.75" customHeight="1" x14ac:dyDescent="0.2">
      <c r="A3" s="1630"/>
      <c r="B3" s="1630"/>
      <c r="C3" s="1630"/>
      <c r="D3" s="1631"/>
      <c r="E3" s="1631"/>
      <c r="F3" s="1631"/>
      <c r="G3" s="1631"/>
      <c r="H3" s="1631"/>
      <c r="I3" s="1631"/>
      <c r="J3" s="1631"/>
      <c r="K3" s="1631"/>
      <c r="L3" s="1631"/>
      <c r="M3" s="1631"/>
      <c r="N3" s="1631"/>
      <c r="O3" s="1631"/>
      <c r="P3" s="1631"/>
      <c r="Q3" s="1631"/>
      <c r="R3" s="1631"/>
      <c r="S3" s="1631"/>
      <c r="T3" s="1631"/>
      <c r="U3" s="1631"/>
      <c r="V3" s="1631"/>
      <c r="W3" s="1631"/>
      <c r="X3" s="1631"/>
      <c r="Y3" s="1631"/>
      <c r="Z3" s="1631"/>
      <c r="AA3" s="1631"/>
      <c r="AB3" s="1631"/>
      <c r="AC3" s="1632" t="s">
        <v>2</v>
      </c>
      <c r="AD3" s="1632"/>
    </row>
    <row r="4" spans="1:30" ht="15.75" customHeight="1" x14ac:dyDescent="0.2">
      <c r="A4" s="1630"/>
      <c r="B4" s="1630"/>
      <c r="C4" s="1630"/>
      <c r="D4" s="1631"/>
      <c r="E4" s="1631"/>
      <c r="F4" s="1631"/>
      <c r="G4" s="1631"/>
      <c r="H4" s="1631"/>
      <c r="I4" s="1631"/>
      <c r="J4" s="1631"/>
      <c r="K4" s="1631"/>
      <c r="L4" s="1631"/>
      <c r="M4" s="1631"/>
      <c r="N4" s="1631"/>
      <c r="O4" s="1631"/>
      <c r="P4" s="1631"/>
      <c r="Q4" s="1631"/>
      <c r="R4" s="1631"/>
      <c r="S4" s="1631"/>
      <c r="T4" s="1631"/>
      <c r="U4" s="1631"/>
      <c r="V4" s="1631"/>
      <c r="W4" s="1631"/>
      <c r="X4" s="1631"/>
      <c r="Y4" s="1631"/>
      <c r="Z4" s="1631"/>
      <c r="AA4" s="1631"/>
      <c r="AB4" s="1631"/>
      <c r="AC4" s="1632"/>
      <c r="AD4" s="1632"/>
    </row>
    <row r="5" spans="1:30" ht="15.75" customHeight="1" x14ac:dyDescent="0.2">
      <c r="A5" s="1585" t="s">
        <v>36</v>
      </c>
      <c r="B5" s="1586"/>
      <c r="C5" s="1587"/>
      <c r="D5" s="1633" t="str">
        <f t="array" ref="D5">+'[17]Identificación del Riesgo GF'!D5:N5</f>
        <v>Gestión Financiera</v>
      </c>
      <c r="E5" s="1634"/>
      <c r="F5" s="1634"/>
      <c r="G5" s="1634"/>
      <c r="H5" s="1634"/>
      <c r="I5" s="1634"/>
      <c r="J5" s="1634"/>
      <c r="K5" s="1634"/>
      <c r="L5" s="1634"/>
      <c r="M5" s="1634"/>
      <c r="N5" s="1634"/>
      <c r="O5" s="1634"/>
      <c r="P5" s="1634"/>
      <c r="Q5" s="1634"/>
      <c r="R5" s="1634"/>
      <c r="S5" s="1634"/>
      <c r="T5" s="1634"/>
      <c r="U5" s="1634"/>
      <c r="V5" s="1634"/>
      <c r="W5" s="1634"/>
      <c r="X5" s="1634"/>
      <c r="Y5" s="1634"/>
      <c r="Z5" s="1634"/>
      <c r="AA5" s="1634"/>
      <c r="AB5" s="1634"/>
      <c r="AC5" s="1634"/>
      <c r="AD5" s="1634"/>
    </row>
    <row r="6" spans="1:30" ht="15.75" customHeight="1" thickBot="1" x14ac:dyDescent="0.25">
      <c r="A6" s="1585" t="s">
        <v>37</v>
      </c>
      <c r="B6" s="1586"/>
      <c r="C6" s="1587"/>
      <c r="D6" s="1633" t="str">
        <f t="array" ref="D6">+'[17]Identificación del Riesgo GF'!D6:N6</f>
        <v>Recaudar, ejecutar y controlar los recursos financieros de la Entidad y presentar de forma oportuna, fidedigna, relevante y comparable la información financiera y presupuestal para la toma de decisiones, a partir de la clasificación, registro y análisis de los hechos económicos, sociales y ambientales de la entidad.</v>
      </c>
      <c r="E6" s="1634"/>
      <c r="F6" s="1634"/>
      <c r="G6" s="1634"/>
      <c r="H6" s="1634"/>
      <c r="I6" s="1634"/>
      <c r="J6" s="1634"/>
      <c r="K6" s="1634"/>
      <c r="L6" s="1634"/>
      <c r="M6" s="1634"/>
      <c r="N6" s="1634"/>
      <c r="O6" s="1634"/>
      <c r="P6" s="1634"/>
      <c r="Q6" s="1634"/>
      <c r="R6" s="1634"/>
      <c r="S6" s="1634"/>
      <c r="T6" s="1634"/>
      <c r="U6" s="1634"/>
      <c r="V6" s="1634"/>
      <c r="W6" s="1634"/>
      <c r="X6" s="1634"/>
      <c r="Y6" s="1634"/>
      <c r="Z6" s="1634"/>
      <c r="AA6" s="1634"/>
      <c r="AB6" s="1634"/>
      <c r="AC6" s="1634"/>
      <c r="AD6" s="1634"/>
    </row>
    <row r="7" spans="1:30" ht="15" customHeight="1" x14ac:dyDescent="0.2">
      <c r="A7" s="1635" t="s">
        <v>129</v>
      </c>
      <c r="B7" s="1636"/>
      <c r="C7" s="1636"/>
      <c r="D7" s="1636"/>
      <c r="E7" s="1636"/>
      <c r="F7" s="1636"/>
      <c r="G7" s="1636"/>
      <c r="H7" s="1636"/>
      <c r="I7" s="1636"/>
      <c r="J7" s="1636"/>
      <c r="K7" s="1636"/>
      <c r="L7" s="1636"/>
      <c r="M7" s="1636" t="s">
        <v>75</v>
      </c>
      <c r="N7" s="1636"/>
      <c r="O7" s="1636"/>
      <c r="P7" s="1636"/>
      <c r="Q7" s="1636"/>
      <c r="R7" s="1636"/>
      <c r="S7" s="1636"/>
      <c r="T7" s="1636"/>
      <c r="U7" s="1636"/>
      <c r="V7" s="1636"/>
      <c r="W7" s="1636"/>
      <c r="X7" s="1636"/>
      <c r="Y7" s="1636"/>
      <c r="Z7" s="1637" t="s">
        <v>130</v>
      </c>
      <c r="AA7" s="1637"/>
      <c r="AB7" s="1637"/>
      <c r="AC7" s="1638" t="s">
        <v>131</v>
      </c>
      <c r="AD7" s="1639"/>
    </row>
    <row r="8" spans="1:30" ht="51" x14ac:dyDescent="0.2">
      <c r="A8" s="812" t="s">
        <v>44</v>
      </c>
      <c r="B8" s="813" t="s">
        <v>64</v>
      </c>
      <c r="C8" s="813" t="s">
        <v>132</v>
      </c>
      <c r="D8" s="813" t="s">
        <v>73</v>
      </c>
      <c r="E8" s="813" t="s">
        <v>133</v>
      </c>
      <c r="F8" s="813" t="s">
        <v>134</v>
      </c>
      <c r="G8" s="813" t="s">
        <v>135</v>
      </c>
      <c r="H8" s="813" t="s">
        <v>136</v>
      </c>
      <c r="I8" s="813" t="s">
        <v>137</v>
      </c>
      <c r="J8" s="813" t="s">
        <v>138</v>
      </c>
      <c r="K8" s="813" t="s">
        <v>139</v>
      </c>
      <c r="L8" s="813" t="s">
        <v>140</v>
      </c>
      <c r="M8" s="813" t="s">
        <v>134</v>
      </c>
      <c r="N8" s="813" t="s">
        <v>135</v>
      </c>
      <c r="O8" s="813" t="s">
        <v>141</v>
      </c>
      <c r="P8" s="813" t="s">
        <v>137</v>
      </c>
      <c r="Q8" s="813" t="s">
        <v>138</v>
      </c>
      <c r="R8" s="813" t="s">
        <v>139</v>
      </c>
      <c r="S8" s="813" t="s">
        <v>140</v>
      </c>
      <c r="T8" s="814" t="s">
        <v>121</v>
      </c>
      <c r="U8" s="813" t="s">
        <v>142</v>
      </c>
      <c r="V8" s="813" t="s">
        <v>143</v>
      </c>
      <c r="W8" s="813" t="s">
        <v>142</v>
      </c>
      <c r="X8" s="813" t="s">
        <v>143</v>
      </c>
      <c r="Y8" s="813" t="s">
        <v>144</v>
      </c>
      <c r="Z8" s="813" t="s">
        <v>145</v>
      </c>
      <c r="AA8" s="813" t="s">
        <v>146</v>
      </c>
      <c r="AB8" s="813" t="s">
        <v>76</v>
      </c>
      <c r="AC8" s="813" t="s">
        <v>147</v>
      </c>
      <c r="AD8" s="815" t="s">
        <v>148</v>
      </c>
    </row>
    <row r="9" spans="1:30" s="780" customFormat="1" ht="195" customHeight="1" x14ac:dyDescent="0.2">
      <c r="A9" s="816">
        <f>'[17]Identificación del Riesgo GF'!D9</f>
        <v>1</v>
      </c>
      <c r="B9" s="654" t="str">
        <f>'[17]Identificación del Riesgo GF'!E9</f>
        <v>Información presupuestal, contable, tributaria ó financiera errada ó inorportuna</v>
      </c>
      <c r="C9" s="817" t="str">
        <f>'[17]Identificación del Riesgo GF'!H9</f>
        <v>Desactualización del personal asignado al area Financiera
Falta de inducción 
Errores de digitación
Fallas en los controles establecidos para cada una de las actividades
Limitación de personal asignado al area
Conexión intermitente con la plataforma Orfeo, o acceso a la pagina web, correo electronico de la UPME y/o SIIF Nación</v>
      </c>
      <c r="D9" s="654" t="str">
        <f>'[17]Analisis Riesgo'!K7</f>
        <v>Plan de trabajo anual
Procedimientos para verificación de la información 
Sistemas de información 
SIIF, Chip, Orfeo, Muisca (Dian)</v>
      </c>
      <c r="E9" s="654" t="str">
        <f>'[17]Analisis Riesgo'!L7</f>
        <v>Plan de trabajo anual donde se desagregan las actividades y fechas de vencimiento; el plan es monitoreado trimestralmente
Controles establecidos dentro de los Procedimientos del proceso, para verificación de la información 
Reportes generados para validar los tramites en los sistemas de información</v>
      </c>
      <c r="F9" s="818" t="s">
        <v>296</v>
      </c>
      <c r="G9" s="818" t="s">
        <v>299</v>
      </c>
      <c r="H9" s="818" t="s">
        <v>300</v>
      </c>
      <c r="I9" s="818" t="s">
        <v>301</v>
      </c>
      <c r="J9" s="818" t="s">
        <v>302</v>
      </c>
      <c r="K9" s="819" t="s">
        <v>303</v>
      </c>
      <c r="L9" s="818" t="s">
        <v>304</v>
      </c>
      <c r="M9" s="820">
        <f>IF(F9="Asignado", 15,0)</f>
        <v>15</v>
      </c>
      <c r="N9" s="820">
        <f>IF(G9="Adecuado",15,0)</f>
        <v>15</v>
      </c>
      <c r="O9" s="820">
        <f t="shared" ref="O9:O12" si="0">IF(H9="Oportuna",15,0)</f>
        <v>15</v>
      </c>
      <c r="P9" s="820">
        <f t="shared" ref="P9:P12" si="1">IF(I9="Prevenir",15,IF(I9="Detectar",10,0))</f>
        <v>15</v>
      </c>
      <c r="Q9" s="820">
        <f t="shared" ref="Q9:Q12" si="2">IF(J9="Confiable", 15,0)</f>
        <v>15</v>
      </c>
      <c r="R9" s="820">
        <f>IF(K9="Se investigan y resuelven oportunamente",15,0)</f>
        <v>15</v>
      </c>
      <c r="S9" s="820">
        <f t="shared" ref="S9:S12" si="3">IF(L9="Completa",10,IF(L9="Incompleta",5,0))</f>
        <v>10</v>
      </c>
      <c r="T9" s="820">
        <f t="shared" ref="T9:T12" si="4">SUM(M9:S9)</f>
        <v>100</v>
      </c>
      <c r="U9" s="818" t="s">
        <v>122</v>
      </c>
      <c r="V9" s="818" t="s">
        <v>122</v>
      </c>
      <c r="W9" s="820">
        <f t="shared" ref="W9:W12" si="5">IF(U9="SI",1,0)*T9/100</f>
        <v>1</v>
      </c>
      <c r="X9" s="820">
        <f t="shared" ref="X9:X12" si="6">IF(V9="SI",1,0)*T9/100</f>
        <v>1</v>
      </c>
      <c r="Y9" s="820" t="str">
        <f t="shared" ref="Y9:Y12" si="7">IF(W9&gt;=0.96,"Fuerte",IF(W9&gt;=0.86,"Moderado","Debil"))</f>
        <v>Fuerte</v>
      </c>
      <c r="Z9" s="818" t="s">
        <v>305</v>
      </c>
      <c r="AA9" s="820" t="str">
        <f t="shared" ref="AA9:AA12" si="8">IF(Z9="Siempre se ejecuta","Fuerte",IF(Z9="Algunas veces se ejecuta","Moderado","Debil"))</f>
        <v>Fuerte</v>
      </c>
      <c r="AB9" s="820" t="str">
        <f>IF(Y9="Fuerte",IF(AA9="Fuerte","No","SI"),"SI")</f>
        <v>No</v>
      </c>
      <c r="AC9" s="821" t="s">
        <v>1323</v>
      </c>
      <c r="AD9" s="822"/>
    </row>
    <row r="10" spans="1:30" s="780" customFormat="1" ht="86.25" customHeight="1" x14ac:dyDescent="0.2">
      <c r="A10" s="816">
        <f>'[17]Identificación del Riesgo GF'!D10</f>
        <v>2</v>
      </c>
      <c r="B10" s="654" t="str">
        <f>'[17]Identificación del Riesgo GF'!E10</f>
        <v>Impactos presupuestales por efectos de reestructuracion del sector Minero Energetico</v>
      </c>
      <c r="C10" s="908" t="str">
        <f>'[17]Identificación del Riesgo GF'!H10</f>
        <v>Cambio de Gobierno
Efectos colaterales causados por la situación economica actual del pais
Reforma de las Entidades aportantes del presupuesto de la UPME</v>
      </c>
      <c r="D10" s="654" t="str">
        <f>'[17]Analisis Riesgo'!K8</f>
        <v>No se identifican controles existentes</v>
      </c>
      <c r="E10" s="654" t="str">
        <f>'[17]Analisis Riesgo'!L8</f>
        <v>No se identifican controles existentes</v>
      </c>
      <c r="F10" s="818"/>
      <c r="G10" s="818"/>
      <c r="H10" s="818"/>
      <c r="I10" s="818"/>
      <c r="J10" s="818"/>
      <c r="K10" s="819"/>
      <c r="L10" s="818"/>
      <c r="M10" s="820">
        <f t="shared" ref="M10:M12" si="9">IF(F10="Asignado", 15,0)</f>
        <v>0</v>
      </c>
      <c r="N10" s="820">
        <f t="shared" ref="N10:N12" si="10">IF(G10="Adecuado",15,0)</f>
        <v>0</v>
      </c>
      <c r="O10" s="820">
        <f t="shared" si="0"/>
        <v>0</v>
      </c>
      <c r="P10" s="820">
        <f t="shared" si="1"/>
        <v>0</v>
      </c>
      <c r="Q10" s="820">
        <f t="shared" si="2"/>
        <v>0</v>
      </c>
      <c r="R10" s="820">
        <f t="shared" ref="R10:R12" si="11">IF(K10="Se investigan y resuelven oportunamente",15,0)</f>
        <v>0</v>
      </c>
      <c r="S10" s="820">
        <f t="shared" si="3"/>
        <v>0</v>
      </c>
      <c r="T10" s="820">
        <f t="shared" si="4"/>
        <v>0</v>
      </c>
      <c r="U10" s="818"/>
      <c r="V10" s="818"/>
      <c r="W10" s="820">
        <f t="shared" si="5"/>
        <v>0</v>
      </c>
      <c r="X10" s="820">
        <f t="shared" si="6"/>
        <v>0</v>
      </c>
      <c r="Y10" s="820" t="str">
        <f t="shared" si="7"/>
        <v>Debil</v>
      </c>
      <c r="Z10" s="818"/>
      <c r="AA10" s="820" t="str">
        <f t="shared" si="8"/>
        <v>Debil</v>
      </c>
      <c r="AB10" s="820" t="str">
        <f t="shared" ref="AB10:AB12" si="12">IF(Y10="Fuerte",IF(AA10="Fuerte","No","SI"),"SI")</f>
        <v>SI</v>
      </c>
      <c r="AC10" s="824"/>
      <c r="AD10" s="822"/>
    </row>
    <row r="11" spans="1:30" s="780" customFormat="1" ht="71.25" customHeight="1" x14ac:dyDescent="0.2">
      <c r="A11" s="816">
        <f>'[17]Identificación del Riesgo GF'!D11</f>
        <v>3</v>
      </c>
      <c r="B11" s="654" t="str">
        <f>'[17]Identificación del Riesgo GF'!E11</f>
        <v xml:space="preserve">Perdida de información contable, presupuestal  o financiera </v>
      </c>
      <c r="C11" s="656" t="str">
        <f>'[17]Identificación del Riesgo GF'!H11</f>
        <v xml:space="preserve">Desconocimiento de las directrices establecidas en los procedimientos
No aplicación de los procedimientos establecidos
Fallas tecnologicas
No se han establecido frecuencias de realización copias de seguridad
</v>
      </c>
      <c r="D11" s="654" t="str">
        <f>'[17]Analisis Riesgo'!K9</f>
        <v>Procedimientos del proceso</v>
      </c>
      <c r="E11" s="654" t="str">
        <f>'[17]Analisis Riesgo'!L9</f>
        <v>Procedimientos donde se estipula la obligatoriedad de alimentar los sistemas de información</v>
      </c>
      <c r="F11" s="818" t="s">
        <v>296</v>
      </c>
      <c r="G11" s="818" t="s">
        <v>299</v>
      </c>
      <c r="H11" s="818" t="s">
        <v>300</v>
      </c>
      <c r="I11" s="818" t="s">
        <v>868</v>
      </c>
      <c r="J11" s="818" t="s">
        <v>302</v>
      </c>
      <c r="K11" s="819" t="s">
        <v>303</v>
      </c>
      <c r="L11" s="818" t="s">
        <v>304</v>
      </c>
      <c r="M11" s="820">
        <f t="shared" si="9"/>
        <v>15</v>
      </c>
      <c r="N11" s="820">
        <f t="shared" si="10"/>
        <v>15</v>
      </c>
      <c r="O11" s="820">
        <f t="shared" si="0"/>
        <v>15</v>
      </c>
      <c r="P11" s="820">
        <f t="shared" si="1"/>
        <v>0</v>
      </c>
      <c r="Q11" s="820">
        <f t="shared" si="2"/>
        <v>15</v>
      </c>
      <c r="R11" s="820">
        <f>IF(K11="Se investigan y resuelven oportunamente",15,0)</f>
        <v>15</v>
      </c>
      <c r="S11" s="820">
        <f t="shared" si="3"/>
        <v>10</v>
      </c>
      <c r="T11" s="820">
        <f t="shared" si="4"/>
        <v>85</v>
      </c>
      <c r="U11" s="818" t="s">
        <v>122</v>
      </c>
      <c r="V11" s="818" t="s">
        <v>122</v>
      </c>
      <c r="W11" s="820">
        <f t="shared" si="5"/>
        <v>0.85</v>
      </c>
      <c r="X11" s="820">
        <f t="shared" si="6"/>
        <v>0.85</v>
      </c>
      <c r="Y11" s="820" t="str">
        <f t="shared" si="7"/>
        <v>Debil</v>
      </c>
      <c r="Z11" s="818" t="s">
        <v>305</v>
      </c>
      <c r="AA11" s="820" t="str">
        <f t="shared" si="8"/>
        <v>Fuerte</v>
      </c>
      <c r="AB11" s="820" t="str">
        <f t="shared" si="12"/>
        <v>SI</v>
      </c>
      <c r="AC11" s="854" t="s">
        <v>1324</v>
      </c>
      <c r="AD11" s="822"/>
    </row>
    <row r="12" spans="1:30" s="780" customFormat="1" ht="158.25" customHeight="1" x14ac:dyDescent="0.2">
      <c r="A12" s="816">
        <f>'[17]Identificación del Riesgo GF'!D12</f>
        <v>4</v>
      </c>
      <c r="B12" s="654" t="str">
        <f>'[17]Identificación del Riesgo GF'!E12</f>
        <v>Ordenes de pago con errores, duplicados o extemporaneos</v>
      </c>
      <c r="C12" s="656" t="str">
        <f>'[17]Identificación del Riesgo GF'!H12</f>
        <v>Desconocimiento o no aplicación del procedimiento o normatividad referente
Errores de digitación
No se cuenta con una herramientas de verificación y control previo a la ejecución de pagos
Actuación para beneficio propio o a un tercero</v>
      </c>
      <c r="D12" s="654" t="str">
        <f>'[17]Analisis Riesgo'!K10</f>
        <v>No se identifican controles existentes</v>
      </c>
      <c r="E12" s="654" t="str">
        <f>'[17]Analisis Riesgo'!L10</f>
        <v>No se identifican controles existentes</v>
      </c>
      <c r="F12" s="818"/>
      <c r="G12" s="818"/>
      <c r="H12" s="818"/>
      <c r="I12" s="818"/>
      <c r="J12" s="818"/>
      <c r="K12" s="819"/>
      <c r="L12" s="818"/>
      <c r="M12" s="820">
        <f t="shared" si="9"/>
        <v>0</v>
      </c>
      <c r="N12" s="820">
        <f t="shared" si="10"/>
        <v>0</v>
      </c>
      <c r="O12" s="820">
        <f t="shared" si="0"/>
        <v>0</v>
      </c>
      <c r="P12" s="820">
        <f t="shared" si="1"/>
        <v>0</v>
      </c>
      <c r="Q12" s="820">
        <f t="shared" si="2"/>
        <v>0</v>
      </c>
      <c r="R12" s="820">
        <f t="shared" si="11"/>
        <v>0</v>
      </c>
      <c r="S12" s="820">
        <f t="shared" si="3"/>
        <v>0</v>
      </c>
      <c r="T12" s="820">
        <f t="shared" si="4"/>
        <v>0</v>
      </c>
      <c r="U12" s="818"/>
      <c r="V12" s="818"/>
      <c r="W12" s="820">
        <f t="shared" si="5"/>
        <v>0</v>
      </c>
      <c r="X12" s="820">
        <f t="shared" si="6"/>
        <v>0</v>
      </c>
      <c r="Y12" s="820" t="str">
        <f t="shared" si="7"/>
        <v>Debil</v>
      </c>
      <c r="Z12" s="818"/>
      <c r="AA12" s="820" t="str">
        <f t="shared" si="8"/>
        <v>Debil</v>
      </c>
      <c r="AB12" s="820" t="str">
        <f t="shared" si="12"/>
        <v>SI</v>
      </c>
      <c r="AC12" s="897"/>
      <c r="AD12" s="822"/>
    </row>
  </sheetData>
  <mergeCells count="12">
    <mergeCell ref="A6:C6"/>
    <mergeCell ref="D6:AD6"/>
    <mergeCell ref="A7:L7"/>
    <mergeCell ref="M7:Y7"/>
    <mergeCell ref="Z7:AB7"/>
    <mergeCell ref="AC7:AD7"/>
    <mergeCell ref="A1:C4"/>
    <mergeCell ref="D1:AB4"/>
    <mergeCell ref="AC1:AD2"/>
    <mergeCell ref="AC3:AD4"/>
    <mergeCell ref="A5:C5"/>
    <mergeCell ref="D5:AD5"/>
  </mergeCells>
  <dataValidations count="18">
    <dataValidation type="list" allowBlank="1" showInputMessage="1" showErrorMessage="1" sqref="Z10:Z12" xr:uid="{00000000-0002-0000-6B00-000000000000}">
      <formula1>"Siempre se ejecuta,Algunas veces se ejecuta,No se ejecuta"</formula1>
    </dataValidation>
    <dataValidation type="list" allowBlank="1" showInputMessage="1" showErrorMessage="1" sqref="F10:F12" xr:uid="{00000000-0002-0000-6B00-000001000000}">
      <formula1>"Asignado, No asignado"</formula1>
    </dataValidation>
    <dataValidation type="list" allowBlank="1" showInputMessage="1" showErrorMessage="1" sqref="G10:G12" xr:uid="{00000000-0002-0000-6B00-000002000000}">
      <formula1>"Adecuado, Inadecuado"</formula1>
    </dataValidation>
    <dataValidation type="list" allowBlank="1" showInputMessage="1" showErrorMessage="1" sqref="H10:H12" xr:uid="{00000000-0002-0000-6B00-000003000000}">
      <formula1>"Oportuna, Inoportuna"</formula1>
    </dataValidation>
    <dataValidation type="list" allowBlank="1" showInputMessage="1" showErrorMessage="1" sqref="I10:I12" xr:uid="{00000000-0002-0000-6B00-000004000000}">
      <formula1>"Prevenir, Detectar, No es un control"</formula1>
    </dataValidation>
    <dataValidation type="list" allowBlank="1" showInputMessage="1" showErrorMessage="1" sqref="J10:J12" xr:uid="{00000000-0002-0000-6B00-000005000000}">
      <formula1>"Confiable, No Confiable"</formula1>
    </dataValidation>
    <dataValidation type="list" allowBlank="1" showInputMessage="1" showErrorMessage="1" sqref="K10 K12" xr:uid="{00000000-0002-0000-6B00-000006000000}">
      <formula1>"Se invesigan y resuelven oportunamente, No se investigan y resuelven oportunamente"</formula1>
    </dataValidation>
    <dataValidation type="list" allowBlank="1" showInputMessage="1" showErrorMessage="1" sqref="L10:L12" xr:uid="{00000000-0002-0000-6B00-000007000000}">
      <formula1>"Completa, Incompleta, No existe"</formula1>
    </dataValidation>
    <dataValidation type="list" allowBlank="1" showInputMessage="1" showErrorMessage="1" sqref="U10:V12" xr:uid="{00000000-0002-0000-6B00-000008000000}">
      <formula1>"SI, NO"</formula1>
    </dataValidation>
    <dataValidation type="list" allowBlank="1" showInputMessage="1" showErrorMessage="1" sqref="Z9" xr:uid="{00000000-0002-0000-6B00-000009000000}">
      <formula1>"Siempre se ejecuta,Algunas veces se ejecuta,No se ejecuta,Seleccione"</formula1>
    </dataValidation>
    <dataValidation type="list" allowBlank="1" showInputMessage="1" showErrorMessage="1" sqref="U9:V9" xr:uid="{00000000-0002-0000-6B00-00000A000000}">
      <formula1>"SI, NO,Seleccione"</formula1>
    </dataValidation>
    <dataValidation type="list" allowBlank="1" showInputMessage="1" showErrorMessage="1" sqref="L9" xr:uid="{00000000-0002-0000-6B00-00000B000000}">
      <formula1>"Completa, Incompleta, No existe,Seleccione"</formula1>
    </dataValidation>
    <dataValidation type="list" allowBlank="1" showInputMessage="1" showErrorMessage="1" sqref="K9 K11" xr:uid="{00000000-0002-0000-6B00-00000C000000}">
      <formula1>"Se investigan y resuelven oportunamente, No se investigan y resuelven oportunamente,Seleccione"</formula1>
    </dataValidation>
    <dataValidation type="list" allowBlank="1" showInputMessage="1" showErrorMessage="1" sqref="J9" xr:uid="{00000000-0002-0000-6B00-00000D000000}">
      <formula1>"Confiable, No Confiable,Seleccione"</formula1>
    </dataValidation>
    <dataValidation type="list" allowBlank="1" showInputMessage="1" showErrorMessage="1" sqref="I9" xr:uid="{00000000-0002-0000-6B00-00000E000000}">
      <formula1>"Prevenir, Detectar, No es un control,Seleccione"</formula1>
    </dataValidation>
    <dataValidation type="list" allowBlank="1" showInputMessage="1" showErrorMessage="1" sqref="H9" xr:uid="{00000000-0002-0000-6B00-00000F000000}">
      <formula1>"Oportuna, Inoportuna,Seleccione"</formula1>
    </dataValidation>
    <dataValidation type="list" allowBlank="1" showInputMessage="1" showErrorMessage="1" sqref="G9" xr:uid="{00000000-0002-0000-6B00-000010000000}">
      <formula1>"Adecuado, Inadecuado,Seleccione"</formula1>
    </dataValidation>
    <dataValidation type="list" allowBlank="1" showInputMessage="1" showErrorMessage="1" sqref="F9" xr:uid="{00000000-0002-0000-6B00-000011000000}">
      <formula1>"Asignado, No asignado, Seleccione"</formula1>
    </dataValidation>
  </dataValidations>
  <pageMargins left="0.11811023622047245" right="0.11811023622047245" top="1.1417322834645669" bottom="0.74803149606299213" header="0.31496062992125984" footer="0.31496062992125984"/>
  <pageSetup scale="36" orientation="landscape" horizontalDpi="1200" verticalDpi="1200" r:id="rId1"/>
  <headerFooter>
    <oddHeader>&amp;L&amp;G&amp;C
&amp;"-,Negrita"Matriz de Riesgos</oddHeader>
  </headerFooter>
  <rowBreaks count="1" manualBreakCount="1">
    <brk id="10" max="16383" man="1"/>
  </rowBreaks>
  <colBreaks count="1" manualBreakCount="1">
    <brk id="12" max="1048575" man="1"/>
  </colBreaks>
  <drawing r:id="rId2"/>
  <legacyDrawingHF r:id="rId3"/>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X8"/>
  <sheetViews>
    <sheetView topLeftCell="R1" zoomScale="85" zoomScaleNormal="85" workbookViewId="0">
      <selection activeCell="W2" sqref="W2"/>
    </sheetView>
  </sheetViews>
  <sheetFormatPr baseColWidth="10" defaultRowHeight="18" customHeight="1" x14ac:dyDescent="0.2"/>
  <cols>
    <col min="1" max="1" width="3.625" style="534" customWidth="1"/>
    <col min="2" max="2" width="28.75" style="534" customWidth="1"/>
    <col min="3" max="3" width="48.375" style="534" customWidth="1"/>
    <col min="4" max="4" width="38.5" style="534" customWidth="1"/>
    <col min="5" max="5" width="20.5" style="534" customWidth="1"/>
    <col min="6" max="6" width="15.75" style="534" customWidth="1"/>
    <col min="7" max="7" width="23" style="534" customWidth="1"/>
    <col min="8" max="10" width="19.375" style="534" customWidth="1"/>
    <col min="11" max="11" width="18.25" style="534" customWidth="1"/>
    <col min="12" max="12" width="57.25" style="534" customWidth="1"/>
    <col min="13" max="13" width="27.25" style="534" customWidth="1"/>
    <col min="14" max="15" width="10.75" style="534" customWidth="1"/>
    <col min="16" max="16" width="27.25" style="534" customWidth="1"/>
    <col min="17" max="22" width="25.75" style="534" customWidth="1"/>
    <col min="23" max="23" width="33.5" style="534" customWidth="1"/>
    <col min="24" max="24" width="45.625" style="534" customWidth="1"/>
    <col min="25" max="16384" width="11" style="534"/>
  </cols>
  <sheetData>
    <row r="1" spans="1:24" ht="18.75" x14ac:dyDescent="0.2">
      <c r="A1" s="1179"/>
      <c r="B1" s="1179"/>
      <c r="C1" s="1179"/>
      <c r="D1" s="1180" t="s">
        <v>314</v>
      </c>
      <c r="E1" s="1181"/>
      <c r="F1" s="1181"/>
      <c r="G1" s="1181"/>
      <c r="H1" s="1181"/>
      <c r="I1" s="1181"/>
      <c r="J1" s="1181"/>
      <c r="K1" s="1181"/>
      <c r="L1" s="1181"/>
      <c r="M1" s="1181"/>
      <c r="N1" s="1181"/>
      <c r="O1" s="1181"/>
      <c r="P1" s="1181"/>
      <c r="Q1" s="1181"/>
      <c r="R1" s="1181"/>
      <c r="S1" s="1181"/>
      <c r="T1" s="1181"/>
      <c r="U1" s="1181"/>
      <c r="V1" s="1182"/>
      <c r="W1" s="532" t="s">
        <v>315</v>
      </c>
      <c r="X1" s="533"/>
    </row>
    <row r="2" spans="1:24" ht="19.5" thickBot="1" x14ac:dyDescent="0.25">
      <c r="A2" s="1179"/>
      <c r="B2" s="1179"/>
      <c r="C2" s="1179"/>
      <c r="D2" s="1183"/>
      <c r="E2" s="1184"/>
      <c r="F2" s="1184"/>
      <c r="G2" s="1184"/>
      <c r="H2" s="1184"/>
      <c r="I2" s="1184"/>
      <c r="J2" s="1184"/>
      <c r="K2" s="1184"/>
      <c r="L2" s="1184"/>
      <c r="M2" s="1184"/>
      <c r="N2" s="1184"/>
      <c r="O2" s="1184"/>
      <c r="P2" s="1184"/>
      <c r="Q2" s="1184"/>
      <c r="R2" s="1184"/>
      <c r="S2" s="1184"/>
      <c r="T2" s="1184"/>
      <c r="U2" s="1184"/>
      <c r="V2" s="1185"/>
      <c r="W2" s="532" t="s">
        <v>316</v>
      </c>
      <c r="X2" s="533"/>
    </row>
    <row r="3" spans="1:24" ht="30" x14ac:dyDescent="0.25">
      <c r="A3" s="1186" t="s">
        <v>57</v>
      </c>
      <c r="B3" s="1187"/>
      <c r="C3" s="1187"/>
      <c r="D3" s="1187"/>
      <c r="E3" s="1187"/>
      <c r="F3" s="1187"/>
      <c r="G3" s="1188"/>
      <c r="H3" s="1189"/>
      <c r="I3" s="1189"/>
      <c r="J3" s="1189"/>
      <c r="K3" s="1189"/>
      <c r="L3" s="1649" t="s">
        <v>60</v>
      </c>
      <c r="M3" s="1650"/>
      <c r="N3" s="1650"/>
      <c r="O3" s="1650"/>
      <c r="P3" s="1651"/>
      <c r="Q3" s="1652" t="s">
        <v>61</v>
      </c>
      <c r="R3" s="1653"/>
      <c r="S3" s="1653"/>
      <c r="T3" s="1653"/>
      <c r="U3" s="1653"/>
      <c r="V3" s="1654"/>
      <c r="W3" s="855" t="s">
        <v>62</v>
      </c>
      <c r="X3" s="855" t="s">
        <v>63</v>
      </c>
    </row>
    <row r="4" spans="1:24" ht="39" thickBot="1" x14ac:dyDescent="0.25">
      <c r="A4" s="698" t="s">
        <v>44</v>
      </c>
      <c r="B4" s="699" t="s">
        <v>64</v>
      </c>
      <c r="C4" s="699" t="s">
        <v>65</v>
      </c>
      <c r="D4" s="699" t="s">
        <v>317</v>
      </c>
      <c r="E4" s="699" t="s">
        <v>68</v>
      </c>
      <c r="F4" s="699" t="s">
        <v>69</v>
      </c>
      <c r="G4" s="700" t="s">
        <v>71</v>
      </c>
      <c r="H4" s="699" t="s">
        <v>81</v>
      </c>
      <c r="I4" s="699" t="s">
        <v>82</v>
      </c>
      <c r="J4" s="699" t="s">
        <v>83</v>
      </c>
      <c r="K4" s="701" t="s">
        <v>84</v>
      </c>
      <c r="L4" s="827" t="s">
        <v>85</v>
      </c>
      <c r="M4" s="828" t="s">
        <v>86</v>
      </c>
      <c r="N4" s="828" t="s">
        <v>87</v>
      </c>
      <c r="O4" s="828" t="s">
        <v>88</v>
      </c>
      <c r="P4" s="829" t="s">
        <v>89</v>
      </c>
      <c r="Q4" s="827" t="s">
        <v>90</v>
      </c>
      <c r="R4" s="828" t="s">
        <v>91</v>
      </c>
      <c r="S4" s="828" t="s">
        <v>92</v>
      </c>
      <c r="T4" s="828" t="s">
        <v>91</v>
      </c>
      <c r="U4" s="828" t="s">
        <v>93</v>
      </c>
      <c r="V4" s="829" t="s">
        <v>91</v>
      </c>
      <c r="W4" s="830" t="s">
        <v>94</v>
      </c>
      <c r="X4" s="830" t="s">
        <v>95</v>
      </c>
    </row>
    <row r="5" spans="1:24" ht="180.75" customHeight="1" x14ac:dyDescent="0.2">
      <c r="A5" s="703"/>
      <c r="B5" s="703" t="str">
        <f>+'[17]Identificación del Riesgo GF'!E9</f>
        <v>Información presupuestal, contable, tributaria ó financiera errada ó inorportuna</v>
      </c>
      <c r="C5" s="703" t="str">
        <f>+'[17]Identificación del Riesgo GF'!H9</f>
        <v>Desactualización del personal asignado al area Financiera
Falta de inducción 
Errores de digitación
Fallas en los controles establecidos para cada una de las actividades
Limitación de personal asignado al area
Conexión intermitente con la plataforma Orfeo, o acceso a la pagina web, correo electronico de la UPME y/o SIIF Nación</v>
      </c>
      <c r="D5" s="703" t="str">
        <f>+'[17]Identificación del Riesgo GF'!I9</f>
        <v>Reprocesos
Demoras en el suministro de información financiera
Información no ajustada a la realidad
Hallazgos por parte de los entes de control
Sanciones disciplinarias</v>
      </c>
      <c r="E5" s="705" t="str">
        <f>+'[17]Analisis Riesgo'!F7</f>
        <v>Improbable</v>
      </c>
      <c r="F5" s="705" t="str">
        <f>+'[17]Analisis Riesgo'!G7</f>
        <v>Moderado</v>
      </c>
      <c r="G5" s="716" t="str">
        <f>+'[17]Analisis Riesgo'!I7</f>
        <v>MODERADO</v>
      </c>
      <c r="H5" s="705" t="str">
        <f>+'[17]Analisis Riesgo'!U7</f>
        <v>Rara vez</v>
      </c>
      <c r="I5" s="705" t="str">
        <f>+'[17]Analisis Riesgo'!V7</f>
        <v>Menor</v>
      </c>
      <c r="J5" s="706" t="str">
        <f>+'[17]Analisis Riesgo'!W7</f>
        <v>BAJO</v>
      </c>
      <c r="K5" s="703" t="str">
        <f>+'[17]Analisis Riesgo'!X7</f>
        <v>Reducir el riesgo</v>
      </c>
      <c r="L5" s="725" t="s">
        <v>1325</v>
      </c>
      <c r="M5" s="726" t="s">
        <v>1326</v>
      </c>
      <c r="N5" s="727">
        <v>44197</v>
      </c>
      <c r="O5" s="727">
        <v>44561</v>
      </c>
      <c r="P5" s="728" t="s">
        <v>1327</v>
      </c>
      <c r="Q5" s="856"/>
      <c r="R5" s="857"/>
      <c r="S5" s="857"/>
      <c r="T5" s="857"/>
      <c r="U5" s="857"/>
      <c r="V5" s="858"/>
      <c r="W5" s="859"/>
      <c r="X5" s="859"/>
    </row>
    <row r="6" spans="1:24" ht="129" customHeight="1" x14ac:dyDescent="0.2">
      <c r="A6" s="703"/>
      <c r="B6" s="703" t="str">
        <f>+'[17]Identificación del Riesgo GF'!E10</f>
        <v>Impactos presupuestales por efectos de reestructuracion del sector Minero Energetico</v>
      </c>
      <c r="C6" s="703" t="str">
        <f>+'[17]Identificación del Riesgo GF'!H10</f>
        <v>Cambio de Gobierno
Efectos colaterales causados por la situación economica actual del pais
Reforma de las Entidades aportantes del presupuesto de la UPME</v>
      </c>
      <c r="D6" s="703" t="str">
        <f>+'[17]Identificación del Riesgo GF'!I10</f>
        <v xml:space="preserve">Disminución de recursos designados para la Gestión misional y adminsitrativa de la UPME
Reforma estructural interna
Incumplimiento de actividades establecidas por normatividad vigente, debido a personal insufiente
</v>
      </c>
      <c r="E6" s="705" t="str">
        <f>+'[17]Analisis Riesgo'!F8</f>
        <v>Rara vez</v>
      </c>
      <c r="F6" s="705" t="str">
        <f>+'[17]Analisis Riesgo'!G8</f>
        <v>Mayor</v>
      </c>
      <c r="G6" s="831" t="str">
        <f>+'[17]Analisis Riesgo'!I8</f>
        <v>ALTO</v>
      </c>
      <c r="H6" s="705" t="str">
        <f>+'[17]Analisis Riesgo'!U8</f>
        <v>Rara vez</v>
      </c>
      <c r="I6" s="705" t="str">
        <f>+'[17]Analisis Riesgo'!V8</f>
        <v>Mayor</v>
      </c>
      <c r="J6" s="831" t="str">
        <f>+'[17]Analisis Riesgo'!W8</f>
        <v>ALTO</v>
      </c>
      <c r="K6" s="703" t="str">
        <f>+'[17]Analisis Riesgo'!X8</f>
        <v>Reducir el riesgo</v>
      </c>
      <c r="L6" s="732" t="s">
        <v>1328</v>
      </c>
      <c r="M6" s="726" t="s">
        <v>1329</v>
      </c>
      <c r="N6" s="709">
        <v>44256</v>
      </c>
      <c r="O6" s="709">
        <v>44408</v>
      </c>
      <c r="P6" s="733" t="s">
        <v>1330</v>
      </c>
      <c r="Q6" s="837"/>
      <c r="R6" s="838"/>
      <c r="S6" s="838"/>
      <c r="T6" s="838"/>
      <c r="U6" s="838"/>
      <c r="V6" s="839"/>
      <c r="W6" s="840"/>
      <c r="X6" s="840"/>
    </row>
    <row r="7" spans="1:24" ht="206.25" customHeight="1" x14ac:dyDescent="0.2">
      <c r="A7" s="703"/>
      <c r="B7" s="703" t="str">
        <f>+'[17]Identificación del Riesgo GF'!E11</f>
        <v xml:space="preserve">Perdida de información contable, presupuestal  o financiera </v>
      </c>
      <c r="C7" s="703" t="str">
        <f>+'[17]Identificación del Riesgo GF'!H11</f>
        <v xml:space="preserve">Desconocimiento de las directrices establecidas en los procedimientos
No aplicación de los procedimientos establecidos
Fallas tecnologicas
No se han establecido frecuencias de realización copias de seguridad
</v>
      </c>
      <c r="D7" s="703" t="str">
        <f>+'[17]Identificación del Riesgo GF'!I11</f>
        <v>Hallazgos por parte de los entes de control
Sanciones disciplinarias
Reprocesos 
Demoras en el suministro de información</v>
      </c>
      <c r="E7" s="705" t="str">
        <f>+'[17]Analisis Riesgo'!F9</f>
        <v>Rara vez</v>
      </c>
      <c r="F7" s="705" t="str">
        <f>+'[17]Analisis Riesgo'!G9</f>
        <v>Mayor</v>
      </c>
      <c r="G7" s="831" t="str">
        <f>+'[17]Analisis Riesgo'!I9</f>
        <v>ALTO</v>
      </c>
      <c r="H7" s="705" t="str">
        <f>+'[17]Analisis Riesgo'!U9</f>
        <v>Rara vez</v>
      </c>
      <c r="I7" s="705" t="str">
        <f>+'[17]Analisis Riesgo'!V9</f>
        <v>Mayor</v>
      </c>
      <c r="J7" s="831" t="str">
        <f>+'[17]Analisis Riesgo'!W9</f>
        <v>ALTO</v>
      </c>
      <c r="K7" s="703" t="str">
        <f>+'[17]Analisis Riesgo'!X9</f>
        <v>Reducir el riesgo</v>
      </c>
      <c r="L7" s="734" t="s">
        <v>1331</v>
      </c>
      <c r="M7" s="726" t="s">
        <v>1332</v>
      </c>
      <c r="N7" s="832" t="s">
        <v>1333</v>
      </c>
      <c r="O7" s="832" t="s">
        <v>1334</v>
      </c>
      <c r="P7" s="733" t="s">
        <v>1335</v>
      </c>
      <c r="Q7" s="837"/>
      <c r="R7" s="838"/>
      <c r="S7" s="838"/>
      <c r="T7" s="838"/>
      <c r="U7" s="838"/>
      <c r="V7" s="839"/>
      <c r="W7" s="840"/>
      <c r="X7" s="840"/>
    </row>
    <row r="8" spans="1:24" ht="171" x14ac:dyDescent="0.2">
      <c r="A8" s="703"/>
      <c r="B8" s="703" t="str">
        <f>+'[17]Identificación del Riesgo GF'!E12</f>
        <v>Ordenes de pago con errores, duplicados o extemporaneos</v>
      </c>
      <c r="C8" s="703" t="str">
        <f>+'[17]Identificación del Riesgo GF'!H12</f>
        <v>Desconocimiento o no aplicación del procedimiento o normatividad referente
Errores de digitación
No se cuenta con una herramientas de verificación y control previo a la ejecución de pagos
Actuación para beneficio propio o a un tercero</v>
      </c>
      <c r="D8" s="703" t="str">
        <f>+'[17]Identificación del Riesgo GF'!I12</f>
        <v xml:space="preserve">Reprocesos
Hallazgos adminsitrativos y de indole fiscal, por parte de los Entes de Control
Faltante de recursos financieros
Imagen negativa de la Entidad
Insatisfaccion de las partes interesadas
</v>
      </c>
      <c r="E8" s="705" t="str">
        <f>+'[17]Analisis Riesgo'!F10</f>
        <v>Probable</v>
      </c>
      <c r="F8" s="705" t="str">
        <f>+'[17]Analisis Riesgo'!G10</f>
        <v>Mayor</v>
      </c>
      <c r="G8" s="898" t="str">
        <f>+'[17]Analisis Riesgo'!I10</f>
        <v>EXTREMO</v>
      </c>
      <c r="H8" s="705" t="str">
        <f>+'[17]Analisis Riesgo'!U10</f>
        <v>Probable</v>
      </c>
      <c r="I8" s="705" t="str">
        <f>+'[17]Analisis Riesgo'!V10</f>
        <v>Mayor</v>
      </c>
      <c r="J8" s="898" t="str">
        <f>+'[17]Analisis Riesgo'!W10</f>
        <v>EXTREMO</v>
      </c>
      <c r="K8" s="703" t="str">
        <f>+'[17]Analisis Riesgo'!X10</f>
        <v>Reducir el riesgo</v>
      </c>
      <c r="L8" s="734" t="s">
        <v>1336</v>
      </c>
      <c r="M8" s="726" t="s">
        <v>1337</v>
      </c>
      <c r="N8" s="860" t="s">
        <v>1338</v>
      </c>
      <c r="O8" s="860" t="s">
        <v>1339</v>
      </c>
      <c r="P8" s="736" t="s">
        <v>1340</v>
      </c>
      <c r="Q8" s="837"/>
      <c r="R8" s="838"/>
      <c r="S8" s="838"/>
      <c r="T8" s="838"/>
      <c r="U8" s="838"/>
      <c r="V8" s="839"/>
      <c r="W8" s="840"/>
      <c r="X8" s="840"/>
    </row>
  </sheetData>
  <mergeCells count="6">
    <mergeCell ref="A1:C2"/>
    <mergeCell ref="D1:V2"/>
    <mergeCell ref="A3:G3"/>
    <mergeCell ref="H3:K3"/>
    <mergeCell ref="L3:P3"/>
    <mergeCell ref="Q3:V3"/>
  </mergeCells>
  <pageMargins left="0.7" right="0.7" top="0.75" bottom="0.75" header="0.3" footer="0.3"/>
  <pageSetup orientation="portrait" verticalDpi="0"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BEAE25"/>
  </sheetPr>
  <dimension ref="A1:AG1000"/>
  <sheetViews>
    <sheetView showGridLines="0" topLeftCell="L6" workbookViewId="0">
      <selection activeCell="N9" sqref="N9"/>
    </sheetView>
  </sheetViews>
  <sheetFormatPr baseColWidth="10" defaultColWidth="12.625" defaultRowHeight="15" customHeight="1" x14ac:dyDescent="0.2"/>
  <cols>
    <col min="1" max="1" width="18.25" customWidth="1"/>
    <col min="2" max="2" width="15.75" customWidth="1"/>
    <col min="3" max="3" width="16.875" customWidth="1"/>
    <col min="4" max="4" width="17.625" customWidth="1"/>
    <col min="5" max="5" width="30.625" customWidth="1"/>
    <col min="6" max="6" width="9.375" customWidth="1"/>
    <col min="7" max="7" width="15.125" customWidth="1"/>
    <col min="8" max="8" width="10.5" customWidth="1"/>
    <col min="9" max="9" width="18.25" customWidth="1"/>
    <col min="10" max="10" width="28.875" customWidth="1"/>
    <col min="11" max="11" width="13.375" customWidth="1"/>
    <col min="12" max="12" width="9.375" customWidth="1"/>
    <col min="13" max="13" width="12.375" customWidth="1"/>
    <col min="14" max="14" width="94.5" customWidth="1"/>
    <col min="15" max="15" width="84.25" customWidth="1"/>
    <col min="16" max="16" width="27.125" customWidth="1"/>
    <col min="17" max="17" width="34" customWidth="1"/>
    <col min="18" max="19" width="9.375" customWidth="1"/>
    <col min="20" max="20" width="4.5" customWidth="1"/>
    <col min="21" max="21" width="6.625" customWidth="1"/>
    <col min="22" max="22" width="13.625" customWidth="1"/>
    <col min="23" max="23" width="12" customWidth="1"/>
    <col min="24" max="24" width="17.875" customWidth="1"/>
    <col min="25" max="33" width="9.375" customWidth="1"/>
  </cols>
  <sheetData>
    <row r="1" spans="1:33" ht="14.25" x14ac:dyDescent="0.2">
      <c r="A1" s="1085"/>
      <c r="B1" s="930"/>
      <c r="C1" s="930"/>
      <c r="D1" s="930"/>
      <c r="E1" s="930"/>
      <c r="F1" s="930"/>
      <c r="G1" s="930"/>
      <c r="H1" s="930"/>
      <c r="I1" s="930"/>
      <c r="J1" s="930"/>
      <c r="K1" s="930"/>
      <c r="L1" s="930"/>
      <c r="M1" s="930"/>
      <c r="N1" s="930"/>
      <c r="O1" s="930"/>
      <c r="P1" s="930"/>
      <c r="Q1" s="930"/>
      <c r="R1" s="930"/>
      <c r="S1" s="930"/>
      <c r="T1" s="930"/>
      <c r="U1" s="930"/>
      <c r="V1" s="930"/>
      <c r="W1" s="930"/>
      <c r="X1" s="930"/>
      <c r="Y1" s="930"/>
      <c r="Z1" s="930"/>
      <c r="AA1" s="930"/>
      <c r="AB1" s="930"/>
      <c r="AC1" s="931"/>
      <c r="AD1" s="1015" t="s">
        <v>128</v>
      </c>
      <c r="AE1" s="930"/>
      <c r="AF1" s="930"/>
      <c r="AG1" s="931"/>
    </row>
    <row r="2" spans="1:33" ht="14.25" x14ac:dyDescent="0.2">
      <c r="A2" s="932"/>
      <c r="B2" s="933"/>
      <c r="C2" s="933"/>
      <c r="D2" s="933"/>
      <c r="E2" s="933"/>
      <c r="F2" s="933"/>
      <c r="G2" s="933"/>
      <c r="H2" s="933"/>
      <c r="I2" s="933"/>
      <c r="J2" s="933"/>
      <c r="K2" s="933"/>
      <c r="L2" s="933"/>
      <c r="M2" s="933"/>
      <c r="N2" s="933"/>
      <c r="O2" s="933"/>
      <c r="P2" s="933"/>
      <c r="Q2" s="933"/>
      <c r="R2" s="933"/>
      <c r="S2" s="933"/>
      <c r="T2" s="933"/>
      <c r="U2" s="933"/>
      <c r="V2" s="933"/>
      <c r="W2" s="933"/>
      <c r="X2" s="933"/>
      <c r="Y2" s="933"/>
      <c r="Z2" s="933"/>
      <c r="AA2" s="933"/>
      <c r="AB2" s="933"/>
      <c r="AC2" s="934"/>
      <c r="AD2" s="935"/>
      <c r="AE2" s="936"/>
      <c r="AF2" s="936"/>
      <c r="AG2" s="937"/>
    </row>
    <row r="3" spans="1:33" ht="14.25" x14ac:dyDescent="0.2">
      <c r="A3" s="932"/>
      <c r="B3" s="933"/>
      <c r="C3" s="933"/>
      <c r="D3" s="933"/>
      <c r="E3" s="933"/>
      <c r="F3" s="933"/>
      <c r="G3" s="933"/>
      <c r="H3" s="933"/>
      <c r="I3" s="933"/>
      <c r="J3" s="933"/>
      <c r="K3" s="933"/>
      <c r="L3" s="933"/>
      <c r="M3" s="933"/>
      <c r="N3" s="933"/>
      <c r="O3" s="933"/>
      <c r="P3" s="933"/>
      <c r="Q3" s="933"/>
      <c r="R3" s="933"/>
      <c r="S3" s="933"/>
      <c r="T3" s="933"/>
      <c r="U3" s="933"/>
      <c r="V3" s="933"/>
      <c r="W3" s="933"/>
      <c r="X3" s="933"/>
      <c r="Y3" s="933"/>
      <c r="Z3" s="933"/>
      <c r="AA3" s="933"/>
      <c r="AB3" s="933"/>
      <c r="AC3" s="934"/>
      <c r="AD3" s="975" t="s">
        <v>166</v>
      </c>
      <c r="AE3" s="930"/>
      <c r="AF3" s="930"/>
      <c r="AG3" s="931"/>
    </row>
    <row r="4" spans="1:33" ht="14.25" x14ac:dyDescent="0.2">
      <c r="A4" s="932"/>
      <c r="B4" s="933"/>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4"/>
      <c r="AD4" s="935"/>
      <c r="AE4" s="936"/>
      <c r="AF4" s="936"/>
      <c r="AG4" s="937"/>
    </row>
    <row r="5" spans="1:33" ht="21.75" customHeight="1" x14ac:dyDescent="0.25">
      <c r="A5" s="935"/>
      <c r="B5" s="936"/>
      <c r="C5" s="936"/>
      <c r="D5" s="936"/>
      <c r="E5" s="936"/>
      <c r="F5" s="936"/>
      <c r="G5" s="936"/>
      <c r="H5" s="936"/>
      <c r="I5" s="936"/>
      <c r="J5" s="936"/>
      <c r="K5" s="936"/>
      <c r="L5" s="936"/>
      <c r="M5" s="936"/>
      <c r="N5" s="936"/>
      <c r="O5" s="936"/>
      <c r="P5" s="936"/>
      <c r="Q5" s="936"/>
      <c r="R5" s="936"/>
      <c r="S5" s="936"/>
      <c r="T5" s="936"/>
      <c r="U5" s="936"/>
      <c r="V5" s="936"/>
      <c r="W5" s="936"/>
      <c r="X5" s="936"/>
      <c r="Y5" s="936"/>
      <c r="Z5" s="936"/>
      <c r="AA5" s="936"/>
      <c r="AB5" s="936"/>
      <c r="AC5" s="937"/>
      <c r="AD5" s="1086" t="s">
        <v>167</v>
      </c>
      <c r="AE5" s="951"/>
      <c r="AF5" s="951"/>
      <c r="AG5" s="952"/>
    </row>
    <row r="6" spans="1:33" ht="30" customHeight="1" x14ac:dyDescent="0.35">
      <c r="G6" s="1087" t="s">
        <v>125</v>
      </c>
      <c r="H6" s="1019"/>
      <c r="I6" s="1019"/>
      <c r="J6" s="1020"/>
      <c r="K6" s="1087" t="s">
        <v>69</v>
      </c>
      <c r="L6" s="1019"/>
      <c r="M6" s="1019"/>
      <c r="N6" s="1019"/>
      <c r="O6" s="1020"/>
      <c r="P6" s="1088" t="s">
        <v>84</v>
      </c>
      <c r="Q6" s="1090" t="s">
        <v>168</v>
      </c>
      <c r="V6" s="1093" t="s">
        <v>69</v>
      </c>
      <c r="W6" s="936"/>
      <c r="X6" s="936"/>
      <c r="Y6" s="936"/>
      <c r="Z6" s="937"/>
      <c r="AC6" s="1092" t="s">
        <v>69</v>
      </c>
      <c r="AD6" s="936"/>
      <c r="AE6" s="936"/>
      <c r="AF6" s="936"/>
      <c r="AG6" s="937"/>
    </row>
    <row r="7" spans="1:33" x14ac:dyDescent="0.25">
      <c r="A7" s="16" t="s">
        <v>41</v>
      </c>
      <c r="B7" s="16" t="s">
        <v>42</v>
      </c>
      <c r="C7" s="16" t="s">
        <v>43</v>
      </c>
      <c r="D7" s="16" t="s">
        <v>169</v>
      </c>
      <c r="E7" s="16" t="s">
        <v>170</v>
      </c>
      <c r="F7" s="60"/>
      <c r="G7" s="88" t="s">
        <v>171</v>
      </c>
      <c r="H7" s="88" t="s">
        <v>172</v>
      </c>
      <c r="I7" s="88" t="s">
        <v>173</v>
      </c>
      <c r="J7" s="88" t="s">
        <v>46</v>
      </c>
      <c r="K7" s="88" t="s">
        <v>173</v>
      </c>
      <c r="L7" s="88" t="s">
        <v>172</v>
      </c>
      <c r="M7" s="88" t="s">
        <v>173</v>
      </c>
      <c r="N7" s="16" t="s">
        <v>174</v>
      </c>
      <c r="O7" s="16" t="s">
        <v>175</v>
      </c>
      <c r="P7" s="1089"/>
      <c r="Q7" s="1091"/>
      <c r="R7" s="60"/>
      <c r="S7" s="60"/>
      <c r="T7" s="60"/>
      <c r="U7" s="60"/>
      <c r="V7" s="89">
        <v>1</v>
      </c>
      <c r="W7" s="89">
        <v>2</v>
      </c>
      <c r="X7" s="89">
        <v>3</v>
      </c>
      <c r="Y7" s="89">
        <v>4</v>
      </c>
      <c r="Z7" s="89">
        <v>5</v>
      </c>
      <c r="AA7" s="60"/>
      <c r="AB7" s="60"/>
      <c r="AC7" s="90">
        <v>1</v>
      </c>
      <c r="AD7" s="90">
        <v>2</v>
      </c>
      <c r="AE7" s="90">
        <v>3</v>
      </c>
      <c r="AF7" s="90">
        <v>4</v>
      </c>
      <c r="AG7" s="90">
        <v>5</v>
      </c>
    </row>
    <row r="8" spans="1:33" ht="105" x14ac:dyDescent="0.2">
      <c r="A8" s="32" t="s">
        <v>176</v>
      </c>
      <c r="B8" s="15" t="s">
        <v>177</v>
      </c>
      <c r="C8" s="13" t="s">
        <v>178</v>
      </c>
      <c r="D8" s="15" t="s">
        <v>179</v>
      </c>
      <c r="E8" s="15" t="s">
        <v>180</v>
      </c>
      <c r="G8" s="91" t="s">
        <v>181</v>
      </c>
      <c r="H8" s="92">
        <v>5</v>
      </c>
      <c r="I8" s="92" t="s">
        <v>182</v>
      </c>
      <c r="J8" s="91" t="s">
        <v>183</v>
      </c>
      <c r="K8" s="93" t="s">
        <v>184</v>
      </c>
      <c r="L8" s="92">
        <v>5</v>
      </c>
      <c r="M8" s="94" t="s">
        <v>184</v>
      </c>
      <c r="N8" s="95" t="s">
        <v>185</v>
      </c>
      <c r="O8" s="95" t="s">
        <v>186</v>
      </c>
      <c r="P8" s="41" t="s">
        <v>187</v>
      </c>
      <c r="Q8" s="15" t="s">
        <v>188</v>
      </c>
      <c r="T8" s="1083" t="s">
        <v>68</v>
      </c>
      <c r="U8" s="89">
        <v>5</v>
      </c>
      <c r="V8" s="71" t="s">
        <v>149</v>
      </c>
      <c r="W8" s="71" t="s">
        <v>149</v>
      </c>
      <c r="X8" s="72" t="s">
        <v>150</v>
      </c>
      <c r="Y8" s="72" t="s">
        <v>150</v>
      </c>
      <c r="Z8" s="72" t="s">
        <v>150</v>
      </c>
      <c r="AA8" s="1084" t="s">
        <v>68</v>
      </c>
      <c r="AB8" s="90">
        <v>5</v>
      </c>
      <c r="AC8" s="89" t="s">
        <v>189</v>
      </c>
      <c r="AD8" s="89" t="s">
        <v>189</v>
      </c>
      <c r="AE8" s="89" t="s">
        <v>190</v>
      </c>
      <c r="AF8" s="89" t="s">
        <v>190</v>
      </c>
      <c r="AG8" s="89" t="s">
        <v>190</v>
      </c>
    </row>
    <row r="9" spans="1:33" ht="105" x14ac:dyDescent="0.2">
      <c r="A9" s="15" t="s">
        <v>191</v>
      </c>
      <c r="B9" s="15" t="s">
        <v>192</v>
      </c>
      <c r="C9" s="13" t="s">
        <v>193</v>
      </c>
      <c r="D9" s="15" t="s">
        <v>194</v>
      </c>
      <c r="E9" s="15" t="s">
        <v>195</v>
      </c>
      <c r="G9" s="91" t="s">
        <v>196</v>
      </c>
      <c r="H9" s="92">
        <v>4</v>
      </c>
      <c r="I9" s="92" t="s">
        <v>197</v>
      </c>
      <c r="J9" s="91" t="s">
        <v>198</v>
      </c>
      <c r="K9" s="93" t="s">
        <v>199</v>
      </c>
      <c r="L9" s="92">
        <v>4</v>
      </c>
      <c r="M9" s="94" t="s">
        <v>199</v>
      </c>
      <c r="N9" s="95" t="s">
        <v>200</v>
      </c>
      <c r="O9" s="95" t="s">
        <v>201</v>
      </c>
      <c r="P9" s="41" t="s">
        <v>202</v>
      </c>
      <c r="Q9" s="15" t="s">
        <v>203</v>
      </c>
      <c r="T9" s="1029"/>
      <c r="U9" s="89">
        <v>4</v>
      </c>
      <c r="V9" s="75" t="s">
        <v>151</v>
      </c>
      <c r="W9" s="71" t="s">
        <v>149</v>
      </c>
      <c r="X9" s="71" t="s">
        <v>149</v>
      </c>
      <c r="Y9" s="72" t="s">
        <v>150</v>
      </c>
      <c r="Z9" s="72" t="s">
        <v>150</v>
      </c>
      <c r="AA9" s="934"/>
      <c r="AB9" s="90">
        <v>4</v>
      </c>
      <c r="AC9" s="89" t="s">
        <v>204</v>
      </c>
      <c r="AD9" s="89" t="s">
        <v>189</v>
      </c>
      <c r="AE9" s="89" t="s">
        <v>189</v>
      </c>
      <c r="AF9" s="89" t="s">
        <v>190</v>
      </c>
      <c r="AG9" s="89" t="s">
        <v>190</v>
      </c>
    </row>
    <row r="10" spans="1:33" ht="120" x14ac:dyDescent="0.2">
      <c r="A10" s="15" t="s">
        <v>205</v>
      </c>
      <c r="B10" s="15" t="s">
        <v>206</v>
      </c>
      <c r="C10" s="13" t="s">
        <v>207</v>
      </c>
      <c r="D10" s="15" t="s">
        <v>208</v>
      </c>
      <c r="E10" s="15" t="s">
        <v>209</v>
      </c>
      <c r="G10" s="91" t="s">
        <v>210</v>
      </c>
      <c r="H10" s="92">
        <v>3</v>
      </c>
      <c r="I10" s="92" t="s">
        <v>211</v>
      </c>
      <c r="J10" s="91" t="s">
        <v>212</v>
      </c>
      <c r="K10" s="93" t="s">
        <v>204</v>
      </c>
      <c r="L10" s="92">
        <v>3</v>
      </c>
      <c r="M10" s="94" t="s">
        <v>204</v>
      </c>
      <c r="N10" s="95" t="s">
        <v>213</v>
      </c>
      <c r="O10" s="95" t="s">
        <v>214</v>
      </c>
      <c r="P10" s="41" t="s">
        <v>215</v>
      </c>
      <c r="Q10" s="15" t="s">
        <v>216</v>
      </c>
      <c r="T10" s="1029"/>
      <c r="U10" s="89">
        <v>3</v>
      </c>
      <c r="V10" s="76" t="s">
        <v>152</v>
      </c>
      <c r="W10" s="75" t="s">
        <v>151</v>
      </c>
      <c r="X10" s="71" t="s">
        <v>149</v>
      </c>
      <c r="Y10" s="72" t="s">
        <v>150</v>
      </c>
      <c r="Z10" s="72" t="s">
        <v>150</v>
      </c>
      <c r="AA10" s="934"/>
      <c r="AB10" s="90">
        <v>3</v>
      </c>
      <c r="AC10" s="89" t="s">
        <v>217</v>
      </c>
      <c r="AD10" s="89" t="s">
        <v>204</v>
      </c>
      <c r="AE10" s="89" t="s">
        <v>189</v>
      </c>
      <c r="AF10" s="89" t="s">
        <v>190</v>
      </c>
      <c r="AG10" s="89" t="s">
        <v>190</v>
      </c>
    </row>
    <row r="11" spans="1:33" ht="105" x14ac:dyDescent="0.2">
      <c r="A11" s="15" t="s">
        <v>218</v>
      </c>
      <c r="B11" s="15" t="s">
        <v>219</v>
      </c>
      <c r="C11" s="13" t="s">
        <v>220</v>
      </c>
      <c r="D11" s="15" t="s">
        <v>221</v>
      </c>
      <c r="E11" s="15" t="s">
        <v>222</v>
      </c>
      <c r="G11" s="91" t="s">
        <v>223</v>
      </c>
      <c r="H11" s="92">
        <v>2</v>
      </c>
      <c r="I11" s="92" t="s">
        <v>224</v>
      </c>
      <c r="J11" s="91" t="s">
        <v>225</v>
      </c>
      <c r="K11" s="93" t="s">
        <v>226</v>
      </c>
      <c r="L11" s="92">
        <v>2</v>
      </c>
      <c r="M11" s="94" t="s">
        <v>226</v>
      </c>
      <c r="N11" s="95" t="s">
        <v>227</v>
      </c>
      <c r="O11" s="95" t="s">
        <v>228</v>
      </c>
      <c r="P11" s="41" t="s">
        <v>229</v>
      </c>
      <c r="Q11" s="15" t="s">
        <v>230</v>
      </c>
      <c r="T11" s="1029"/>
      <c r="U11" s="89">
        <v>2</v>
      </c>
      <c r="V11" s="76" t="s">
        <v>152</v>
      </c>
      <c r="W11" s="76" t="s">
        <v>152</v>
      </c>
      <c r="X11" s="75" t="s">
        <v>151</v>
      </c>
      <c r="Y11" s="71" t="s">
        <v>149</v>
      </c>
      <c r="Z11" s="72" t="s">
        <v>150</v>
      </c>
      <c r="AA11" s="934"/>
      <c r="AB11" s="90">
        <v>2</v>
      </c>
      <c r="AC11" s="89" t="s">
        <v>217</v>
      </c>
      <c r="AD11" s="89" t="s">
        <v>217</v>
      </c>
      <c r="AE11" s="89" t="s">
        <v>204</v>
      </c>
      <c r="AF11" s="89" t="s">
        <v>189</v>
      </c>
      <c r="AG11" s="89" t="s">
        <v>190</v>
      </c>
    </row>
    <row r="12" spans="1:33" ht="90" x14ac:dyDescent="0.2">
      <c r="A12" s="15" t="s">
        <v>231</v>
      </c>
      <c r="B12" s="15" t="s">
        <v>232</v>
      </c>
      <c r="C12" s="13" t="s">
        <v>233</v>
      </c>
      <c r="D12" s="15" t="s">
        <v>234</v>
      </c>
      <c r="E12" s="15" t="s">
        <v>235</v>
      </c>
      <c r="G12" s="91" t="s">
        <v>236</v>
      </c>
      <c r="H12" s="92">
        <v>1</v>
      </c>
      <c r="I12" s="92" t="s">
        <v>237</v>
      </c>
      <c r="J12" s="91" t="s">
        <v>238</v>
      </c>
      <c r="K12" s="93" t="s">
        <v>239</v>
      </c>
      <c r="L12" s="92">
        <v>1</v>
      </c>
      <c r="M12" s="94" t="s">
        <v>239</v>
      </c>
      <c r="N12" s="95" t="s">
        <v>240</v>
      </c>
      <c r="O12" s="95" t="s">
        <v>241</v>
      </c>
      <c r="P12" s="15" t="s">
        <v>242</v>
      </c>
      <c r="Q12" s="15" t="s">
        <v>242</v>
      </c>
      <c r="T12" s="961"/>
      <c r="U12" s="89">
        <v>1</v>
      </c>
      <c r="V12" s="76" t="s">
        <v>152</v>
      </c>
      <c r="W12" s="76" t="s">
        <v>152</v>
      </c>
      <c r="X12" s="75" t="s">
        <v>151</v>
      </c>
      <c r="Y12" s="71" t="s">
        <v>149</v>
      </c>
      <c r="Z12" s="72" t="s">
        <v>150</v>
      </c>
      <c r="AA12" s="934"/>
      <c r="AB12" s="90">
        <v>1</v>
      </c>
      <c r="AC12" s="89" t="s">
        <v>217</v>
      </c>
      <c r="AD12" s="89" t="s">
        <v>217</v>
      </c>
      <c r="AE12" s="89" t="s">
        <v>204</v>
      </c>
      <c r="AF12" s="89" t="s">
        <v>189</v>
      </c>
      <c r="AG12" s="89" t="s">
        <v>190</v>
      </c>
    </row>
    <row r="13" spans="1:33" ht="90" x14ac:dyDescent="0.2">
      <c r="A13" s="15" t="s">
        <v>243</v>
      </c>
      <c r="B13" s="15" t="s">
        <v>244</v>
      </c>
      <c r="C13" s="13" t="s">
        <v>245</v>
      </c>
      <c r="D13" s="15" t="s">
        <v>246</v>
      </c>
      <c r="E13" s="15" t="s">
        <v>247</v>
      </c>
      <c r="G13" s="96" t="s">
        <v>96</v>
      </c>
      <c r="K13" s="15" t="s">
        <v>97</v>
      </c>
    </row>
    <row r="14" spans="1:33" ht="75" x14ac:dyDescent="0.2">
      <c r="A14" s="14"/>
      <c r="B14" s="15" t="s">
        <v>248</v>
      </c>
      <c r="C14" s="14"/>
      <c r="D14" s="15" t="s">
        <v>249</v>
      </c>
      <c r="E14" s="15" t="s">
        <v>250</v>
      </c>
      <c r="S14" s="24" t="s">
        <v>251</v>
      </c>
      <c r="T14" s="97">
        <v>1</v>
      </c>
      <c r="W14" s="32" t="str">
        <f>VLOOKUP(T14,U8:Z12,MATCH(T15,V7:Z7,0)+1,FALSE)</f>
        <v>BAJO</v>
      </c>
    </row>
    <row r="15" spans="1:33" ht="60" x14ac:dyDescent="0.2">
      <c r="D15" s="15" t="s">
        <v>252</v>
      </c>
      <c r="E15" s="15" t="s">
        <v>253</v>
      </c>
      <c r="S15" s="24" t="s">
        <v>254</v>
      </c>
      <c r="T15" s="97">
        <v>1</v>
      </c>
    </row>
    <row r="16" spans="1:33" ht="30" x14ac:dyDescent="0.2">
      <c r="D16" s="15" t="s">
        <v>255</v>
      </c>
      <c r="E16" s="14"/>
      <c r="S16" s="24"/>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2">
    <mergeCell ref="T8:T12"/>
    <mergeCell ref="AA8:AA12"/>
    <mergeCell ref="A1:AC5"/>
    <mergeCell ref="AD1:AG2"/>
    <mergeCell ref="AD3:AG4"/>
    <mergeCell ref="AD5:AG5"/>
    <mergeCell ref="G6:J6"/>
    <mergeCell ref="P6:P7"/>
    <mergeCell ref="Q6:Q7"/>
    <mergeCell ref="AC6:AG6"/>
    <mergeCell ref="K6:O6"/>
    <mergeCell ref="V6:Z6"/>
  </mergeCells>
  <conditionalFormatting sqref="AE8:AG8 AF9:AG10 AG11">
    <cfRule type="cellIs" dxfId="375" priority="1" operator="equal">
      <formula>"Extremo"</formula>
    </cfRule>
  </conditionalFormatting>
  <conditionalFormatting sqref="AE8:AG8 AF9:AG10 AG11">
    <cfRule type="cellIs" dxfId="374" priority="2" operator="equal">
      <formula>"Moderado"</formula>
    </cfRule>
  </conditionalFormatting>
  <conditionalFormatting sqref="AE8:AG8 AF9:AG10 AG11">
    <cfRule type="cellIs" dxfId="373" priority="3" operator="equal">
      <formula>"Bajo"</formula>
    </cfRule>
  </conditionalFormatting>
  <conditionalFormatting sqref="AE8:AG8 AF9:AG10 AG11">
    <cfRule type="cellIs" dxfId="372" priority="4" operator="equal">
      <formula>"Alto"</formula>
    </cfRule>
  </conditionalFormatting>
  <conditionalFormatting sqref="X8:Z8 W11:X11 Z11 W10 Y9:Z10">
    <cfRule type="cellIs" dxfId="371" priority="5" operator="equal">
      <formula>"Extremo"</formula>
    </cfRule>
  </conditionalFormatting>
  <conditionalFormatting sqref="X8:Z8 W11:X11 Z11 W10 Y9:Z10">
    <cfRule type="cellIs" dxfId="370" priority="6" operator="equal">
      <formula>"Moderado"</formula>
    </cfRule>
  </conditionalFormatting>
  <conditionalFormatting sqref="X8:Z8 W11:X11 Z11 W10 Y9:Z10">
    <cfRule type="cellIs" dxfId="369" priority="7" operator="equal">
      <formula>"Bajo"</formula>
    </cfRule>
  </conditionalFormatting>
  <conditionalFormatting sqref="X8:Z8 W11:X11 Z11 W10 Y9:Z10">
    <cfRule type="cellIs" dxfId="368" priority="8" operator="equal">
      <formula>"Alto"</formula>
    </cfRule>
  </conditionalFormatting>
  <conditionalFormatting sqref="W12:Z12">
    <cfRule type="cellIs" dxfId="367" priority="9" operator="equal">
      <formula>"Extremo"</formula>
    </cfRule>
  </conditionalFormatting>
  <conditionalFormatting sqref="W12:Z12">
    <cfRule type="cellIs" dxfId="366" priority="10" operator="equal">
      <formula>"Moderado"</formula>
    </cfRule>
  </conditionalFormatting>
  <conditionalFormatting sqref="W12:Z12">
    <cfRule type="cellIs" dxfId="365" priority="11" operator="equal">
      <formula>"Bajo"</formula>
    </cfRule>
  </conditionalFormatting>
  <conditionalFormatting sqref="W12:Z12">
    <cfRule type="cellIs" dxfId="364" priority="12" operator="equal">
      <formula>"Alto"</formula>
    </cfRule>
  </conditionalFormatting>
  <conditionalFormatting sqref="AC8">
    <cfRule type="cellIs" dxfId="363" priority="13" operator="equal">
      <formula>"Extremo"</formula>
    </cfRule>
  </conditionalFormatting>
  <conditionalFormatting sqref="AC8">
    <cfRule type="cellIs" dxfId="362" priority="14" operator="equal">
      <formula>"Moderado"</formula>
    </cfRule>
  </conditionalFormatting>
  <conditionalFormatting sqref="AC8">
    <cfRule type="cellIs" dxfId="361" priority="15" operator="equal">
      <formula>"Bajo"</formula>
    </cfRule>
  </conditionalFormatting>
  <conditionalFormatting sqref="AC8">
    <cfRule type="cellIs" dxfId="360" priority="16" operator="equal">
      <formula>"Alto"</formula>
    </cfRule>
  </conditionalFormatting>
  <conditionalFormatting sqref="AC12:AE12">
    <cfRule type="cellIs" dxfId="359" priority="17" operator="equal">
      <formula>"Extremo"</formula>
    </cfRule>
  </conditionalFormatting>
  <conditionalFormatting sqref="AC12:AE12">
    <cfRule type="cellIs" dxfId="358" priority="18" operator="equal">
      <formula>"Moderado"</formula>
    </cfRule>
  </conditionalFormatting>
  <conditionalFormatting sqref="AC12:AE12">
    <cfRule type="cellIs" dxfId="357" priority="19" operator="equal">
      <formula>"Bajo"</formula>
    </cfRule>
  </conditionalFormatting>
  <conditionalFormatting sqref="AC12:AE12">
    <cfRule type="cellIs" dxfId="356" priority="20" operator="equal">
      <formula>"Alto"</formula>
    </cfRule>
  </conditionalFormatting>
  <conditionalFormatting sqref="W8">
    <cfRule type="cellIs" dxfId="355" priority="21" operator="equal">
      <formula>"Extremo"</formula>
    </cfRule>
  </conditionalFormatting>
  <conditionalFormatting sqref="W8">
    <cfRule type="cellIs" dxfId="354" priority="22" operator="equal">
      <formula>"Moderado"</formula>
    </cfRule>
  </conditionalFormatting>
  <conditionalFormatting sqref="W8">
    <cfRule type="cellIs" dxfId="353" priority="23" operator="equal">
      <formula>"Bajo"</formula>
    </cfRule>
  </conditionalFormatting>
  <conditionalFormatting sqref="W8">
    <cfRule type="cellIs" dxfId="352" priority="24" operator="equal">
      <formula>"Alto"</formula>
    </cfRule>
  </conditionalFormatting>
  <conditionalFormatting sqref="AC11">
    <cfRule type="cellIs" dxfId="351" priority="25" operator="equal">
      <formula>"Extremo"</formula>
    </cfRule>
  </conditionalFormatting>
  <conditionalFormatting sqref="AC11">
    <cfRule type="cellIs" dxfId="350" priority="26" operator="equal">
      <formula>"Moderado"</formula>
    </cfRule>
  </conditionalFormatting>
  <conditionalFormatting sqref="AC11">
    <cfRule type="cellIs" dxfId="349" priority="27" operator="equal">
      <formula>"Bajo"</formula>
    </cfRule>
  </conditionalFormatting>
  <conditionalFormatting sqref="AC11">
    <cfRule type="cellIs" dxfId="348" priority="28" operator="equal">
      <formula>"Alto"</formula>
    </cfRule>
  </conditionalFormatting>
  <conditionalFormatting sqref="AD11">
    <cfRule type="cellIs" dxfId="347" priority="29" operator="equal">
      <formula>"Extremo"</formula>
    </cfRule>
  </conditionalFormatting>
  <conditionalFormatting sqref="AD11">
    <cfRule type="cellIs" dxfId="346" priority="30" operator="equal">
      <formula>"Moderado"</formula>
    </cfRule>
  </conditionalFormatting>
  <conditionalFormatting sqref="AD11">
    <cfRule type="cellIs" dxfId="345" priority="31" operator="equal">
      <formula>"Bajo"</formula>
    </cfRule>
  </conditionalFormatting>
  <conditionalFormatting sqref="AD11">
    <cfRule type="cellIs" dxfId="344" priority="32" operator="equal">
      <formula>"Alto"</formula>
    </cfRule>
  </conditionalFormatting>
  <conditionalFormatting sqref="AC10">
    <cfRule type="cellIs" dxfId="343" priority="33" operator="equal">
      <formula>"Extremo"</formula>
    </cfRule>
  </conditionalFormatting>
  <conditionalFormatting sqref="AC10">
    <cfRule type="cellIs" dxfId="342" priority="34" operator="equal">
      <formula>"Moderado"</formula>
    </cfRule>
  </conditionalFormatting>
  <conditionalFormatting sqref="AC10">
    <cfRule type="cellIs" dxfId="341" priority="35" operator="equal">
      <formula>"Bajo"</formula>
    </cfRule>
  </conditionalFormatting>
  <conditionalFormatting sqref="AC10">
    <cfRule type="cellIs" dxfId="340" priority="36" operator="equal">
      <formula>"Alto"</formula>
    </cfRule>
  </conditionalFormatting>
  <conditionalFormatting sqref="AE11">
    <cfRule type="cellIs" dxfId="339" priority="37" operator="equal">
      <formula>"Extremo"</formula>
    </cfRule>
  </conditionalFormatting>
  <conditionalFormatting sqref="AE11">
    <cfRule type="cellIs" dxfId="338" priority="38" operator="equal">
      <formula>"Moderado"</formula>
    </cfRule>
  </conditionalFormatting>
  <conditionalFormatting sqref="AE11">
    <cfRule type="cellIs" dxfId="337" priority="39" operator="equal">
      <formula>"Bajo"</formula>
    </cfRule>
  </conditionalFormatting>
  <conditionalFormatting sqref="AE11">
    <cfRule type="cellIs" dxfId="336" priority="40" operator="equal">
      <formula>"Alto"</formula>
    </cfRule>
  </conditionalFormatting>
  <conditionalFormatting sqref="AD10">
    <cfRule type="cellIs" dxfId="335" priority="41" operator="equal">
      <formula>"Extremo"</formula>
    </cfRule>
  </conditionalFormatting>
  <conditionalFormatting sqref="AD10">
    <cfRule type="cellIs" dxfId="334" priority="42" operator="equal">
      <formula>"Moderado"</formula>
    </cfRule>
  </conditionalFormatting>
  <conditionalFormatting sqref="AD10">
    <cfRule type="cellIs" dxfId="333" priority="43" operator="equal">
      <formula>"Bajo"</formula>
    </cfRule>
  </conditionalFormatting>
  <conditionalFormatting sqref="AD10">
    <cfRule type="cellIs" dxfId="332" priority="44" operator="equal">
      <formula>"Alto"</formula>
    </cfRule>
  </conditionalFormatting>
  <conditionalFormatting sqref="AC9">
    <cfRule type="cellIs" dxfId="331" priority="45" operator="equal">
      <formula>"Extremo"</formula>
    </cfRule>
  </conditionalFormatting>
  <conditionalFormatting sqref="AC9">
    <cfRule type="cellIs" dxfId="330" priority="46" operator="equal">
      <formula>"Moderado"</formula>
    </cfRule>
  </conditionalFormatting>
  <conditionalFormatting sqref="AC9">
    <cfRule type="cellIs" dxfId="329" priority="47" operator="equal">
      <formula>"Bajo"</formula>
    </cfRule>
  </conditionalFormatting>
  <conditionalFormatting sqref="AC9">
    <cfRule type="cellIs" dxfId="328" priority="48" operator="equal">
      <formula>"Alto"</formula>
    </cfRule>
  </conditionalFormatting>
  <conditionalFormatting sqref="AD8">
    <cfRule type="cellIs" dxfId="327" priority="49" operator="equal">
      <formula>"Extremo"</formula>
    </cfRule>
  </conditionalFormatting>
  <conditionalFormatting sqref="AD8">
    <cfRule type="cellIs" dxfId="326" priority="50" operator="equal">
      <formula>"Moderado"</formula>
    </cfRule>
  </conditionalFormatting>
  <conditionalFormatting sqref="AD8">
    <cfRule type="cellIs" dxfId="325" priority="51" operator="equal">
      <formula>"Bajo"</formula>
    </cfRule>
  </conditionalFormatting>
  <conditionalFormatting sqref="AD8">
    <cfRule type="cellIs" dxfId="324" priority="52" operator="equal">
      <formula>"Alto"</formula>
    </cfRule>
  </conditionalFormatting>
  <conditionalFormatting sqref="AD9">
    <cfRule type="cellIs" dxfId="323" priority="53" operator="equal">
      <formula>"Extremo"</formula>
    </cfRule>
  </conditionalFormatting>
  <conditionalFormatting sqref="AD9">
    <cfRule type="cellIs" dxfId="322" priority="54" operator="equal">
      <formula>"Moderado"</formula>
    </cfRule>
  </conditionalFormatting>
  <conditionalFormatting sqref="AD9">
    <cfRule type="cellIs" dxfId="321" priority="55" operator="equal">
      <formula>"Bajo"</formula>
    </cfRule>
  </conditionalFormatting>
  <conditionalFormatting sqref="AD9">
    <cfRule type="cellIs" dxfId="320" priority="56" operator="equal">
      <formula>"Alto"</formula>
    </cfRule>
  </conditionalFormatting>
  <conditionalFormatting sqref="AE9">
    <cfRule type="cellIs" dxfId="319" priority="57" operator="equal">
      <formula>"Extremo"</formula>
    </cfRule>
  </conditionalFormatting>
  <conditionalFormatting sqref="AE9">
    <cfRule type="cellIs" dxfId="318" priority="58" operator="equal">
      <formula>"Moderado"</formula>
    </cfRule>
  </conditionalFormatting>
  <conditionalFormatting sqref="AE9">
    <cfRule type="cellIs" dxfId="317" priority="59" operator="equal">
      <formula>"Bajo"</formula>
    </cfRule>
  </conditionalFormatting>
  <conditionalFormatting sqref="AE9">
    <cfRule type="cellIs" dxfId="316" priority="60" operator="equal">
      <formula>"Alto"</formula>
    </cfRule>
  </conditionalFormatting>
  <conditionalFormatting sqref="AE10">
    <cfRule type="cellIs" dxfId="315" priority="61" operator="equal">
      <formula>"Extremo"</formula>
    </cfRule>
  </conditionalFormatting>
  <conditionalFormatting sqref="AE10">
    <cfRule type="cellIs" dxfId="314" priority="62" operator="equal">
      <formula>"Moderado"</formula>
    </cfRule>
  </conditionalFormatting>
  <conditionalFormatting sqref="AE10">
    <cfRule type="cellIs" dxfId="313" priority="63" operator="equal">
      <formula>"Bajo"</formula>
    </cfRule>
  </conditionalFormatting>
  <conditionalFormatting sqref="AE10">
    <cfRule type="cellIs" dxfId="312" priority="64" operator="equal">
      <formula>"Alto"</formula>
    </cfRule>
  </conditionalFormatting>
  <conditionalFormatting sqref="AF11">
    <cfRule type="cellIs" dxfId="311" priority="65" operator="equal">
      <formula>"Extremo"</formula>
    </cfRule>
  </conditionalFormatting>
  <conditionalFormatting sqref="AF11">
    <cfRule type="cellIs" dxfId="310" priority="66" operator="equal">
      <formula>"Moderado"</formula>
    </cfRule>
  </conditionalFormatting>
  <conditionalFormatting sqref="AF11">
    <cfRule type="cellIs" dxfId="309" priority="67" operator="equal">
      <formula>"Bajo"</formula>
    </cfRule>
  </conditionalFormatting>
  <conditionalFormatting sqref="AF11">
    <cfRule type="cellIs" dxfId="308" priority="68" operator="equal">
      <formula>"Alto"</formula>
    </cfRule>
  </conditionalFormatting>
  <conditionalFormatting sqref="AF12">
    <cfRule type="cellIs" dxfId="307" priority="69" operator="equal">
      <formula>"Extremo"</formula>
    </cfRule>
  </conditionalFormatting>
  <conditionalFormatting sqref="AF12">
    <cfRule type="cellIs" dxfId="306" priority="70" operator="equal">
      <formula>"Moderado"</formula>
    </cfRule>
  </conditionalFormatting>
  <conditionalFormatting sqref="AF12">
    <cfRule type="cellIs" dxfId="305" priority="71" operator="equal">
      <formula>"Bajo"</formula>
    </cfRule>
  </conditionalFormatting>
  <conditionalFormatting sqref="AF12">
    <cfRule type="cellIs" dxfId="304" priority="72" operator="equal">
      <formula>"Alto"</formula>
    </cfRule>
  </conditionalFormatting>
  <conditionalFormatting sqref="AG12">
    <cfRule type="cellIs" dxfId="303" priority="73" operator="equal">
      <formula>"Extremo"</formula>
    </cfRule>
  </conditionalFormatting>
  <conditionalFormatting sqref="AG12">
    <cfRule type="cellIs" dxfId="302" priority="74" operator="equal">
      <formula>"Moderado"</formula>
    </cfRule>
  </conditionalFormatting>
  <conditionalFormatting sqref="AG12">
    <cfRule type="cellIs" dxfId="301" priority="75" operator="equal">
      <formula>"Bajo"</formula>
    </cfRule>
  </conditionalFormatting>
  <conditionalFormatting sqref="AG12">
    <cfRule type="cellIs" dxfId="300" priority="76" operator="equal">
      <formula>"Alto"</formula>
    </cfRule>
  </conditionalFormatting>
  <conditionalFormatting sqref="Y11">
    <cfRule type="cellIs" dxfId="299" priority="77" operator="equal">
      <formula>"Extremo"</formula>
    </cfRule>
  </conditionalFormatting>
  <conditionalFormatting sqref="Y11">
    <cfRule type="cellIs" dxfId="298" priority="78" operator="equal">
      <formula>"Moderado"</formula>
    </cfRule>
  </conditionalFormatting>
  <conditionalFormatting sqref="Y11">
    <cfRule type="cellIs" dxfId="297" priority="79" operator="equal">
      <formula>"Bajo"</formula>
    </cfRule>
  </conditionalFormatting>
  <conditionalFormatting sqref="Y11">
    <cfRule type="cellIs" dxfId="296" priority="80" operator="equal">
      <formula>"Alto"</formula>
    </cfRule>
  </conditionalFormatting>
  <conditionalFormatting sqref="V12">
    <cfRule type="cellIs" dxfId="295" priority="81" operator="equal">
      <formula>"Extremo"</formula>
    </cfRule>
  </conditionalFormatting>
  <conditionalFormatting sqref="V12">
    <cfRule type="cellIs" dxfId="294" priority="82" operator="equal">
      <formula>"Moderado"</formula>
    </cfRule>
  </conditionalFormatting>
  <conditionalFormatting sqref="V12">
    <cfRule type="cellIs" dxfId="293" priority="83" operator="equal">
      <formula>"Bajo"</formula>
    </cfRule>
  </conditionalFormatting>
  <conditionalFormatting sqref="V12">
    <cfRule type="cellIs" dxfId="292" priority="84" operator="equal">
      <formula>"Alto"</formula>
    </cfRule>
  </conditionalFormatting>
  <conditionalFormatting sqref="X10">
    <cfRule type="cellIs" dxfId="291" priority="85" operator="equal">
      <formula>"Extremo"</formula>
    </cfRule>
  </conditionalFormatting>
  <conditionalFormatting sqref="X10">
    <cfRule type="cellIs" dxfId="290" priority="86" operator="equal">
      <formula>"Moderado"</formula>
    </cfRule>
  </conditionalFormatting>
  <conditionalFormatting sqref="X10">
    <cfRule type="cellIs" dxfId="289" priority="87" operator="equal">
      <formula>"Bajo"</formula>
    </cfRule>
  </conditionalFormatting>
  <conditionalFormatting sqref="X10">
    <cfRule type="cellIs" dxfId="288" priority="88" operator="equal">
      <formula>"Alto"</formula>
    </cfRule>
  </conditionalFormatting>
  <conditionalFormatting sqref="X9">
    <cfRule type="cellIs" dxfId="287" priority="89" operator="equal">
      <formula>"Extremo"</formula>
    </cfRule>
  </conditionalFormatting>
  <conditionalFormatting sqref="X9">
    <cfRule type="cellIs" dxfId="286" priority="90" operator="equal">
      <formula>"Moderado"</formula>
    </cfRule>
  </conditionalFormatting>
  <conditionalFormatting sqref="X9">
    <cfRule type="cellIs" dxfId="285" priority="91" operator="equal">
      <formula>"Bajo"</formula>
    </cfRule>
  </conditionalFormatting>
  <conditionalFormatting sqref="X9">
    <cfRule type="cellIs" dxfId="284" priority="92" operator="equal">
      <formula>"Alto"</formula>
    </cfRule>
  </conditionalFormatting>
  <conditionalFormatting sqref="W9">
    <cfRule type="cellIs" dxfId="283" priority="93" operator="equal">
      <formula>"Extremo"</formula>
    </cfRule>
  </conditionalFormatting>
  <conditionalFormatting sqref="W9">
    <cfRule type="cellIs" dxfId="282" priority="94" operator="equal">
      <formula>"Moderado"</formula>
    </cfRule>
  </conditionalFormatting>
  <conditionalFormatting sqref="W9">
    <cfRule type="cellIs" dxfId="281" priority="95" operator="equal">
      <formula>"Bajo"</formula>
    </cfRule>
  </conditionalFormatting>
  <conditionalFormatting sqref="W9">
    <cfRule type="cellIs" dxfId="280" priority="96" operator="equal">
      <formula>"Alto"</formula>
    </cfRule>
  </conditionalFormatting>
  <conditionalFormatting sqref="V8">
    <cfRule type="cellIs" dxfId="279" priority="97" operator="equal">
      <formula>"Extremo"</formula>
    </cfRule>
  </conditionalFormatting>
  <conditionalFormatting sqref="V8">
    <cfRule type="cellIs" dxfId="278" priority="98" operator="equal">
      <formula>"Moderado"</formula>
    </cfRule>
  </conditionalFormatting>
  <conditionalFormatting sqref="V8">
    <cfRule type="cellIs" dxfId="277" priority="99" operator="equal">
      <formula>"Bajo"</formula>
    </cfRule>
  </conditionalFormatting>
  <conditionalFormatting sqref="V8">
    <cfRule type="cellIs" dxfId="276" priority="100" operator="equal">
      <formula>"Alto"</formula>
    </cfRule>
  </conditionalFormatting>
  <conditionalFormatting sqref="V9">
    <cfRule type="cellIs" dxfId="275" priority="101" operator="equal">
      <formula>"Extremo"</formula>
    </cfRule>
  </conditionalFormatting>
  <conditionalFormatting sqref="V9">
    <cfRule type="cellIs" dxfId="274" priority="102" operator="equal">
      <formula>"Moderado"</formula>
    </cfRule>
  </conditionalFormatting>
  <conditionalFormatting sqref="V9">
    <cfRule type="cellIs" dxfId="273" priority="103" operator="equal">
      <formula>"Bajo"</formula>
    </cfRule>
  </conditionalFormatting>
  <conditionalFormatting sqref="V9">
    <cfRule type="cellIs" dxfId="272" priority="104" operator="equal">
      <formula>"Alto"</formula>
    </cfRule>
  </conditionalFormatting>
  <conditionalFormatting sqref="V10">
    <cfRule type="cellIs" dxfId="271" priority="105" operator="equal">
      <formula>"Extremo"</formula>
    </cfRule>
  </conditionalFormatting>
  <conditionalFormatting sqref="V10">
    <cfRule type="cellIs" dxfId="270" priority="106" operator="equal">
      <formula>"Moderado"</formula>
    </cfRule>
  </conditionalFormatting>
  <conditionalFormatting sqref="V10">
    <cfRule type="cellIs" dxfId="269" priority="107" operator="equal">
      <formula>"Bajo"</formula>
    </cfRule>
  </conditionalFormatting>
  <conditionalFormatting sqref="V10">
    <cfRule type="cellIs" dxfId="268" priority="108" operator="equal">
      <formula>"Alto"</formula>
    </cfRule>
  </conditionalFormatting>
  <conditionalFormatting sqref="V11">
    <cfRule type="cellIs" dxfId="267" priority="109" operator="equal">
      <formula>"Extremo"</formula>
    </cfRule>
  </conditionalFormatting>
  <conditionalFormatting sqref="V11">
    <cfRule type="cellIs" dxfId="266" priority="110" operator="equal">
      <formula>"Moderado"</formula>
    </cfRule>
  </conditionalFormatting>
  <conditionalFormatting sqref="V11">
    <cfRule type="cellIs" dxfId="265" priority="111" operator="equal">
      <formula>"Bajo"</formula>
    </cfRule>
  </conditionalFormatting>
  <conditionalFormatting sqref="V11">
    <cfRule type="cellIs" dxfId="264" priority="112" operator="equal">
      <formula>"Alto"</formula>
    </cfRule>
  </conditionalFormatting>
  <pageMargins left="0.7" right="0.7" top="0.75" bottom="0.75" header="0" footer="0"/>
  <pageSetup orientation="landscape" r:id="rId1"/>
  <drawing r:id="rId2"/>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tabColor rgb="FFBEAE25"/>
  </sheetPr>
  <dimension ref="A1:X16"/>
  <sheetViews>
    <sheetView showGridLines="0" view="pageBreakPreview" topLeftCell="A3" zoomScale="115" zoomScaleNormal="100" zoomScaleSheetLayoutView="115" workbookViewId="0">
      <pane xSplit="4" ySplit="4" topLeftCell="E10" activePane="bottomRight" state="frozen"/>
      <selection activeCell="A3" sqref="A3"/>
      <selection pane="topRight" activeCell="E3" sqref="E3"/>
      <selection pane="bottomLeft" activeCell="A7" sqref="A7"/>
      <selection pane="bottomRight" activeCell="E10" sqref="E10"/>
    </sheetView>
  </sheetViews>
  <sheetFormatPr baseColWidth="10" defaultRowHeight="15" x14ac:dyDescent="0.25"/>
  <cols>
    <col min="1" max="1" width="5.625" style="743" customWidth="1"/>
    <col min="2" max="2" width="21.625" style="743" customWidth="1"/>
    <col min="3" max="3" width="15.75" style="743" customWidth="1"/>
    <col min="4" max="4" width="17.875" style="743" customWidth="1"/>
    <col min="5" max="11" width="16.625" style="743" customWidth="1"/>
    <col min="12" max="12" width="21.375" style="743" customWidth="1"/>
    <col min="13" max="14" width="16.625" style="743" customWidth="1"/>
    <col min="15" max="15" width="18.5" style="743" customWidth="1"/>
    <col min="16" max="16" width="16.625" style="743" customWidth="1"/>
    <col min="17" max="23" width="13.75" style="743" customWidth="1"/>
    <col min="24" max="24" width="9.125" style="746" bestFit="1" customWidth="1"/>
    <col min="25" max="26" width="25.625" style="743" customWidth="1"/>
    <col min="27" max="16384" width="11" style="743"/>
  </cols>
  <sheetData>
    <row r="1" spans="1:24" ht="15" customHeight="1" x14ac:dyDescent="0.25">
      <c r="A1" s="1610"/>
      <c r="B1" s="1611"/>
      <c r="C1" s="1611"/>
      <c r="D1" s="1612"/>
      <c r="E1" s="1615" t="s">
        <v>0</v>
      </c>
      <c r="F1" s="1616"/>
      <c r="G1" s="1616"/>
      <c r="H1" s="1616"/>
      <c r="I1" s="1616"/>
      <c r="J1" s="1616"/>
      <c r="K1" s="1616"/>
      <c r="L1" s="1616"/>
      <c r="M1" s="1616"/>
      <c r="N1" s="1616"/>
      <c r="O1" s="1616"/>
      <c r="P1" s="1616"/>
      <c r="Q1" s="1616"/>
      <c r="R1" s="1616"/>
      <c r="S1" s="1616"/>
      <c r="T1" s="1617"/>
      <c r="U1" s="1621" t="s">
        <v>98</v>
      </c>
      <c r="V1" s="1622"/>
      <c r="W1" s="1622"/>
      <c r="X1" s="1623"/>
    </row>
    <row r="2" spans="1:24" ht="15" customHeight="1" x14ac:dyDescent="0.25">
      <c r="A2" s="1613"/>
      <c r="B2" s="1614"/>
      <c r="C2" s="1614"/>
      <c r="D2" s="1568"/>
      <c r="E2" s="1618"/>
      <c r="F2" s="1619"/>
      <c r="G2" s="1619"/>
      <c r="H2" s="1619"/>
      <c r="I2" s="1619"/>
      <c r="J2" s="1619"/>
      <c r="K2" s="1619"/>
      <c r="L2" s="1619"/>
      <c r="M2" s="1619"/>
      <c r="N2" s="1619"/>
      <c r="O2" s="1619"/>
      <c r="P2" s="1619"/>
      <c r="Q2" s="1619"/>
      <c r="R2" s="1619"/>
      <c r="S2" s="1619"/>
      <c r="T2" s="1620"/>
      <c r="U2" s="1624"/>
      <c r="V2" s="1625"/>
      <c r="W2" s="1625"/>
      <c r="X2" s="1626"/>
    </row>
    <row r="3" spans="1:24" ht="15" customHeight="1" x14ac:dyDescent="0.25">
      <c r="A3" s="1613"/>
      <c r="B3" s="1614"/>
      <c r="C3" s="1614"/>
      <c r="D3" s="1568"/>
      <c r="E3" s="1618"/>
      <c r="F3" s="1619"/>
      <c r="G3" s="1619"/>
      <c r="H3" s="1619"/>
      <c r="I3" s="1619"/>
      <c r="J3" s="1619"/>
      <c r="K3" s="1619"/>
      <c r="L3" s="1619"/>
      <c r="M3" s="1619"/>
      <c r="N3" s="1619"/>
      <c r="O3" s="1619"/>
      <c r="P3" s="1619"/>
      <c r="Q3" s="1619"/>
      <c r="R3" s="1619"/>
      <c r="S3" s="1619"/>
      <c r="T3" s="1620"/>
      <c r="U3" s="1621" t="s">
        <v>367</v>
      </c>
      <c r="V3" s="1622"/>
      <c r="W3" s="1622"/>
      <c r="X3" s="1622"/>
    </row>
    <row r="4" spans="1:24" ht="15" customHeight="1" x14ac:dyDescent="0.25">
      <c r="A4" s="1613"/>
      <c r="B4" s="1614"/>
      <c r="C4" s="1614"/>
      <c r="D4" s="1568"/>
      <c r="E4" s="1618"/>
      <c r="F4" s="1619"/>
      <c r="G4" s="1619"/>
      <c r="H4" s="1619"/>
      <c r="I4" s="1619"/>
      <c r="J4" s="1619"/>
      <c r="K4" s="1619"/>
      <c r="L4" s="1619"/>
      <c r="M4" s="1619"/>
      <c r="N4" s="1619"/>
      <c r="O4" s="1619"/>
      <c r="P4" s="1619"/>
      <c r="Q4" s="1619"/>
      <c r="R4" s="1619"/>
      <c r="S4" s="1619"/>
      <c r="T4" s="1620"/>
      <c r="U4" s="1627"/>
      <c r="V4" s="1628"/>
      <c r="W4" s="1628"/>
      <c r="X4" s="1628"/>
    </row>
    <row r="5" spans="1:24" ht="15" customHeight="1" x14ac:dyDescent="0.25">
      <c r="A5" s="1560" t="s">
        <v>100</v>
      </c>
      <c r="B5" s="1560"/>
      <c r="C5" s="1560"/>
      <c r="D5" s="1629"/>
      <c r="E5" s="1591" t="s">
        <v>101</v>
      </c>
      <c r="F5" s="1592"/>
      <c r="G5" s="1592"/>
      <c r="H5" s="1592"/>
      <c r="I5" s="1592"/>
      <c r="J5" s="1592"/>
      <c r="K5" s="1592"/>
      <c r="L5" s="1592"/>
      <c r="M5" s="1592"/>
      <c r="N5" s="1592"/>
      <c r="O5" s="1592"/>
      <c r="P5" s="1592"/>
      <c r="Q5" s="1592"/>
      <c r="R5" s="1592"/>
      <c r="S5" s="1592"/>
      <c r="T5" s="1592"/>
      <c r="U5" s="1592"/>
      <c r="V5" s="1592"/>
      <c r="W5" s="1592"/>
      <c r="X5" s="1593"/>
    </row>
    <row r="6" spans="1:24" s="804" customFormat="1" ht="114.75" customHeight="1" x14ac:dyDescent="0.2">
      <c r="A6" s="749" t="s">
        <v>44</v>
      </c>
      <c r="B6" s="803" t="s">
        <v>64</v>
      </c>
      <c r="C6" s="803" t="s">
        <v>70</v>
      </c>
      <c r="D6" s="803" t="s">
        <v>69</v>
      </c>
      <c r="E6" s="749" t="s">
        <v>102</v>
      </c>
      <c r="F6" s="749" t="s">
        <v>103</v>
      </c>
      <c r="G6" s="749" t="s">
        <v>104</v>
      </c>
      <c r="H6" s="749" t="s">
        <v>105</v>
      </c>
      <c r="I6" s="803" t="s">
        <v>106</v>
      </c>
      <c r="J6" s="803" t="s">
        <v>107</v>
      </c>
      <c r="K6" s="803" t="s">
        <v>108</v>
      </c>
      <c r="L6" s="803" t="s">
        <v>109</v>
      </c>
      <c r="M6" s="803" t="s">
        <v>110</v>
      </c>
      <c r="N6" s="803" t="s">
        <v>111</v>
      </c>
      <c r="O6" s="803" t="s">
        <v>112</v>
      </c>
      <c r="P6" s="803" t="s">
        <v>113</v>
      </c>
      <c r="Q6" s="803" t="s">
        <v>114</v>
      </c>
      <c r="R6" s="803" t="s">
        <v>115</v>
      </c>
      <c r="S6" s="803" t="s">
        <v>116</v>
      </c>
      <c r="T6" s="803" t="s">
        <v>117</v>
      </c>
      <c r="U6" s="803" t="s">
        <v>118</v>
      </c>
      <c r="V6" s="803" t="s">
        <v>119</v>
      </c>
      <c r="W6" s="803" t="s">
        <v>120</v>
      </c>
      <c r="X6" s="803" t="s">
        <v>121</v>
      </c>
    </row>
    <row r="7" spans="1:24" s="809" customFormat="1" ht="111" customHeight="1" x14ac:dyDescent="0.2">
      <c r="A7" s="805">
        <f>'[17]Identificación del Riesgo GF'!D9</f>
        <v>1</v>
      </c>
      <c r="B7" s="805" t="str">
        <f>'[17]Identificación del Riesgo GF'!E9</f>
        <v>Información presupuestal, contable, tributaria ó financiera errada ó inorportuna</v>
      </c>
      <c r="C7" s="756" t="str">
        <f>IF(D7="PENDIENTE EVALUAR EL IMPACTO","PENDIENTE EVALUAR EL IMPACTO COLUMNAS H-W",VLOOKUP(D7,[17]Datos!$K$8:$L$12,2,FALSE))</f>
        <v>PENDIENTE EVALUAR EL IMPACTO COLUMNAS H-W</v>
      </c>
      <c r="D7" s="756" t="str">
        <f>IF(X7=0,"PENDIENTE EVALUAR EL IMPACTO",IF(X7&lt;=5,"MODERADO",IF(X7&lt;=11,"MAYOR","CATASTRÓFICO")))</f>
        <v>PENDIENTE EVALUAR EL IMPACTO</v>
      </c>
      <c r="E7" s="806"/>
      <c r="F7" s="806"/>
      <c r="G7" s="806"/>
      <c r="H7" s="806"/>
      <c r="I7" s="807"/>
      <c r="J7" s="807"/>
      <c r="K7" s="807"/>
      <c r="L7" s="807"/>
      <c r="M7" s="807"/>
      <c r="N7" s="807"/>
      <c r="O7" s="807"/>
      <c r="P7" s="807"/>
      <c r="Q7" s="807"/>
      <c r="R7" s="807"/>
      <c r="S7" s="807"/>
      <c r="T7" s="807"/>
      <c r="U7" s="807"/>
      <c r="V7" s="807"/>
      <c r="W7" s="807"/>
      <c r="X7" s="808">
        <f>COUNTIF(E7:W7,"SI")</f>
        <v>0</v>
      </c>
    </row>
    <row r="8" spans="1:24" ht="84.75" customHeight="1" x14ac:dyDescent="0.25">
      <c r="A8" s="805">
        <f>'[17]Identificación del Riesgo GF'!D10</f>
        <v>2</v>
      </c>
      <c r="B8" s="805" t="str">
        <f>'[17]Identificación del Riesgo GF'!E10</f>
        <v>Impactos presupuestales por efectos de reestructuracion del sector Minero Energetico</v>
      </c>
      <c r="C8" s="756" t="str">
        <f>IF(D8="PENDIENTE EVALUAR EL IMPACTO","PENDIENTE EVALUAR EL IMPACTO COLUMNAS H-W",VLOOKUP(D8,[17]Datos!$K$8:$L$12,2,FALSE))</f>
        <v>PENDIENTE EVALUAR EL IMPACTO COLUMNAS H-W</v>
      </c>
      <c r="D8" s="805" t="str">
        <f>IF(X8=0,"PENDIENTE EVALUAR EL IMPACTO",IF(X8&lt;=5,"MODERADO",IF(X8&lt;=11,"MAYOR","CATASTRÓFICO")))</f>
        <v>PENDIENTE EVALUAR EL IMPACTO</v>
      </c>
      <c r="E8" s="806"/>
      <c r="F8" s="806"/>
      <c r="G8" s="806"/>
      <c r="H8" s="806"/>
      <c r="I8" s="807"/>
      <c r="J8" s="807"/>
      <c r="K8" s="807"/>
      <c r="L8" s="807"/>
      <c r="M8" s="807"/>
      <c r="N8" s="807"/>
      <c r="O8" s="807"/>
      <c r="P8" s="807"/>
      <c r="Q8" s="807"/>
      <c r="R8" s="807"/>
      <c r="S8" s="807"/>
      <c r="T8" s="807"/>
      <c r="U8" s="807"/>
      <c r="V8" s="807"/>
      <c r="W8" s="807"/>
      <c r="X8" s="808">
        <f t="shared" ref="X8:X16" si="0">COUNTIF(E8:W8,"SI")</f>
        <v>0</v>
      </c>
    </row>
    <row r="9" spans="1:24" ht="72.75" customHeight="1" x14ac:dyDescent="0.25">
      <c r="A9" s="805">
        <f>'[17]Identificación del Riesgo GF'!D11</f>
        <v>3</v>
      </c>
      <c r="B9" s="805" t="str">
        <f>'[17]Identificación del Riesgo GF'!E11</f>
        <v xml:space="preserve">Perdida de información contable, presupuestal  o financiera </v>
      </c>
      <c r="C9" s="756">
        <f>IF(D9="PENDIENTE EVALUAR EL IMPACTO","PENDIENTE EVALUAR EL IMPACTO COLUMNAS H-W",VLOOKUP(D9,[17]Datos!$K$8:$L$12,2,FALSE))</f>
        <v>4</v>
      </c>
      <c r="D9" s="805" t="str">
        <f t="shared" ref="D9:D16" si="1">IF(X9=0,"PENDIENTE EVALUAR EL IMPACTO",IF(X9&lt;=5,"MODERADO",IF(X9&lt;=11,"MAYOR","CATASTRÓFICO")))</f>
        <v>MAYOR</v>
      </c>
      <c r="E9" s="895" t="s">
        <v>122</v>
      </c>
      <c r="F9" s="895" t="s">
        <v>122</v>
      </c>
      <c r="G9" s="895" t="s">
        <v>263</v>
      </c>
      <c r="H9" s="895" t="s">
        <v>263</v>
      </c>
      <c r="I9" s="895" t="s">
        <v>122</v>
      </c>
      <c r="J9" s="895" t="s">
        <v>263</v>
      </c>
      <c r="K9" s="895" t="s">
        <v>263</v>
      </c>
      <c r="L9" s="895" t="s">
        <v>263</v>
      </c>
      <c r="M9" s="895" t="s">
        <v>122</v>
      </c>
      <c r="N9" s="895" t="s">
        <v>122</v>
      </c>
      <c r="O9" s="895" t="s">
        <v>122</v>
      </c>
      <c r="P9" s="895" t="s">
        <v>122</v>
      </c>
      <c r="Q9" s="895" t="s">
        <v>263</v>
      </c>
      <c r="R9" s="895" t="s">
        <v>263</v>
      </c>
      <c r="S9" s="895" t="s">
        <v>263</v>
      </c>
      <c r="T9" s="895" t="s">
        <v>263</v>
      </c>
      <c r="U9" s="895" t="s">
        <v>263</v>
      </c>
      <c r="V9" s="895" t="s">
        <v>263</v>
      </c>
      <c r="W9" s="895" t="s">
        <v>263</v>
      </c>
      <c r="X9" s="808">
        <f t="shared" si="0"/>
        <v>7</v>
      </c>
    </row>
    <row r="10" spans="1:24" ht="105" customHeight="1" x14ac:dyDescent="0.25">
      <c r="A10" s="805">
        <f>'[17]Identificación del Riesgo GF'!D12</f>
        <v>4</v>
      </c>
      <c r="B10" s="805" t="str">
        <f>'[17]Identificación del Riesgo GF'!E12</f>
        <v>Ordenes de pago con errores, duplicados o extemporaneos</v>
      </c>
      <c r="C10" s="756">
        <f>IF(D10="PENDIENTE EVALUAR EL IMPACTO","PENDIENTE EVALUAR EL IMPACTO COLUMNAS H-W",VLOOKUP(D10,[17]Datos!$K$8:$L$12,2,FALSE))</f>
        <v>4</v>
      </c>
      <c r="D10" s="805" t="str">
        <f t="shared" si="1"/>
        <v>MAYOR</v>
      </c>
      <c r="E10" s="895" t="s">
        <v>122</v>
      </c>
      <c r="F10" s="895" t="s">
        <v>122</v>
      </c>
      <c r="G10" s="895" t="s">
        <v>263</v>
      </c>
      <c r="H10" s="895" t="s">
        <v>263</v>
      </c>
      <c r="I10" s="895" t="s">
        <v>122</v>
      </c>
      <c r="J10" s="895" t="s">
        <v>122</v>
      </c>
      <c r="K10" s="895" t="s">
        <v>263</v>
      </c>
      <c r="L10" s="895" t="s">
        <v>263</v>
      </c>
      <c r="M10" s="895" t="s">
        <v>263</v>
      </c>
      <c r="N10" s="895" t="s">
        <v>122</v>
      </c>
      <c r="O10" s="895" t="s">
        <v>122</v>
      </c>
      <c r="P10" s="895" t="s">
        <v>122</v>
      </c>
      <c r="Q10" s="895" t="s">
        <v>122</v>
      </c>
      <c r="R10" s="895" t="s">
        <v>122</v>
      </c>
      <c r="S10" s="895" t="s">
        <v>263</v>
      </c>
      <c r="T10" s="895" t="s">
        <v>263</v>
      </c>
      <c r="U10" s="895" t="s">
        <v>263</v>
      </c>
      <c r="V10" s="895" t="s">
        <v>263</v>
      </c>
      <c r="W10" s="895" t="s">
        <v>263</v>
      </c>
      <c r="X10" s="808">
        <f t="shared" si="0"/>
        <v>9</v>
      </c>
    </row>
    <row r="11" spans="1:24" ht="60" x14ac:dyDescent="0.25">
      <c r="A11" s="805" t="e">
        <f>'[17]Identificación del Riesgo GF'!#REF!</f>
        <v>#REF!</v>
      </c>
      <c r="B11" s="805" t="e">
        <f>'[17]Identificación del Riesgo GF'!#REF!</f>
        <v>#REF!</v>
      </c>
      <c r="C11" s="756" t="str">
        <f>IF(D11="PENDIENTE EVALUAR EL IMPACTO","PENDIENTE EVALUAR EL IMPACTO COLUMNAS H-W",VLOOKUP(D11,[17]Datos!$K$8:$L$12,2,FALSE))</f>
        <v>PENDIENTE EVALUAR EL IMPACTO COLUMNAS H-W</v>
      </c>
      <c r="D11" s="805" t="str">
        <f t="shared" si="1"/>
        <v>PENDIENTE EVALUAR EL IMPACTO</v>
      </c>
      <c r="E11" s="895"/>
      <c r="F11" s="895"/>
      <c r="G11" s="895"/>
      <c r="H11" s="895"/>
      <c r="I11" s="895"/>
      <c r="J11" s="895"/>
      <c r="K11" s="895"/>
      <c r="L11" s="895"/>
      <c r="M11" s="895"/>
      <c r="N11" s="895"/>
      <c r="O11" s="895"/>
      <c r="P11" s="895"/>
      <c r="Q11" s="895"/>
      <c r="R11" s="895"/>
      <c r="S11" s="895"/>
      <c r="T11" s="895"/>
      <c r="U11" s="895"/>
      <c r="V11" s="895"/>
      <c r="W11" s="895"/>
      <c r="X11" s="808">
        <f t="shared" si="0"/>
        <v>0</v>
      </c>
    </row>
    <row r="12" spans="1:24" ht="60" x14ac:dyDescent="0.25">
      <c r="A12" s="805" t="e">
        <f>'[17]Identificación del Riesgo GF'!#REF!</f>
        <v>#REF!</v>
      </c>
      <c r="B12" s="805" t="e">
        <f>'[17]Identificación del Riesgo GF'!#REF!</f>
        <v>#REF!</v>
      </c>
      <c r="C12" s="756" t="str">
        <f>IF(D12="PENDIENTE EVALUAR EL IMPACTO","PENDIENTE EVALUAR EL IMPACTO COLUMNAS H-W",VLOOKUP(D12,[17]Datos!$K$8:$L$12,2,FALSE))</f>
        <v>PENDIENTE EVALUAR EL IMPACTO COLUMNAS H-W</v>
      </c>
      <c r="D12" s="805" t="str">
        <f t="shared" si="1"/>
        <v>PENDIENTE EVALUAR EL IMPACTO</v>
      </c>
      <c r="E12" s="895"/>
      <c r="F12" s="895"/>
      <c r="G12" s="895"/>
      <c r="H12" s="895"/>
      <c r="I12" s="895"/>
      <c r="J12" s="895"/>
      <c r="K12" s="895"/>
      <c r="L12" s="895"/>
      <c r="M12" s="895"/>
      <c r="N12" s="895"/>
      <c r="O12" s="895"/>
      <c r="P12" s="895"/>
      <c r="Q12" s="895"/>
      <c r="R12" s="895"/>
      <c r="S12" s="895"/>
      <c r="T12" s="895"/>
      <c r="U12" s="895"/>
      <c r="V12" s="895"/>
      <c r="W12" s="895"/>
      <c r="X12" s="808">
        <f t="shared" si="0"/>
        <v>0</v>
      </c>
    </row>
    <row r="13" spans="1:24" ht="60" x14ac:dyDescent="0.25">
      <c r="A13" s="805" t="e">
        <f>'[17]Identificación del Riesgo GF'!#REF!</f>
        <v>#REF!</v>
      </c>
      <c r="B13" s="805" t="e">
        <f>'[17]Identificación del Riesgo GF'!#REF!</f>
        <v>#REF!</v>
      </c>
      <c r="C13" s="756" t="str">
        <f>IF(D13="PENDIENTE EVALUAR EL IMPACTO","PENDIENTE EVALUAR EL IMPACTO COLUMNAS H-W",VLOOKUP(D13,[17]Datos!$K$8:$L$12,2,FALSE))</f>
        <v>PENDIENTE EVALUAR EL IMPACTO COLUMNAS H-W</v>
      </c>
      <c r="D13" s="805" t="str">
        <f t="shared" si="1"/>
        <v>PENDIENTE EVALUAR EL IMPACTO</v>
      </c>
      <c r="E13" s="895"/>
      <c r="F13" s="895"/>
      <c r="G13" s="895"/>
      <c r="H13" s="895"/>
      <c r="I13" s="895"/>
      <c r="J13" s="895"/>
      <c r="K13" s="895"/>
      <c r="L13" s="895"/>
      <c r="M13" s="895"/>
      <c r="N13" s="895"/>
      <c r="O13" s="895"/>
      <c r="P13" s="895"/>
      <c r="Q13" s="895"/>
      <c r="R13" s="895"/>
      <c r="S13" s="895"/>
      <c r="T13" s="895"/>
      <c r="U13" s="895"/>
      <c r="V13" s="895"/>
      <c r="W13" s="895"/>
      <c r="X13" s="808">
        <f t="shared" si="0"/>
        <v>0</v>
      </c>
    </row>
    <row r="14" spans="1:24" ht="60" x14ac:dyDescent="0.25">
      <c r="A14" s="805" t="e">
        <f>'[17]Identificación del Riesgo GF'!#REF!</f>
        <v>#REF!</v>
      </c>
      <c r="B14" s="805" t="e">
        <f>'[17]Identificación del Riesgo GF'!#REF!</f>
        <v>#REF!</v>
      </c>
      <c r="C14" s="756" t="str">
        <f>IF(D14="PENDIENTE EVALUAR EL IMPACTO","PENDIENTE EVALUAR EL IMPACTO COLUMNAS H-W",VLOOKUP(D14,[17]Datos!$K$8:$L$12,2,FALSE))</f>
        <v>PENDIENTE EVALUAR EL IMPACTO COLUMNAS H-W</v>
      </c>
      <c r="D14" s="805" t="str">
        <f t="shared" si="1"/>
        <v>PENDIENTE EVALUAR EL IMPACTO</v>
      </c>
      <c r="E14" s="895"/>
      <c r="F14" s="895"/>
      <c r="G14" s="895"/>
      <c r="H14" s="895"/>
      <c r="I14" s="895"/>
      <c r="J14" s="895"/>
      <c r="K14" s="895"/>
      <c r="L14" s="895"/>
      <c r="M14" s="895"/>
      <c r="N14" s="895"/>
      <c r="O14" s="895"/>
      <c r="P14" s="895"/>
      <c r="Q14" s="895"/>
      <c r="R14" s="895"/>
      <c r="S14" s="895"/>
      <c r="T14" s="895"/>
      <c r="U14" s="895"/>
      <c r="V14" s="895"/>
      <c r="W14" s="895"/>
      <c r="X14" s="808">
        <f t="shared" si="0"/>
        <v>0</v>
      </c>
    </row>
    <row r="15" spans="1:24" ht="60" x14ac:dyDescent="0.25">
      <c r="A15" s="805" t="e">
        <f>'[17]Identificación del Riesgo GF'!#REF!</f>
        <v>#REF!</v>
      </c>
      <c r="B15" s="805" t="e">
        <f>'[17]Identificación del Riesgo GF'!#REF!</f>
        <v>#REF!</v>
      </c>
      <c r="C15" s="756" t="str">
        <f>IF(D15="PENDIENTE EVALUAR EL IMPACTO","PENDIENTE EVALUAR EL IMPACTO COLUMNAS H-W",VLOOKUP(D15,[17]Datos!$K$8:$L$12,2,FALSE))</f>
        <v>PENDIENTE EVALUAR EL IMPACTO COLUMNAS H-W</v>
      </c>
      <c r="D15" s="805" t="str">
        <f t="shared" si="1"/>
        <v>PENDIENTE EVALUAR EL IMPACTO</v>
      </c>
      <c r="E15" s="895"/>
      <c r="F15" s="895"/>
      <c r="G15" s="895"/>
      <c r="H15" s="895"/>
      <c r="I15" s="895"/>
      <c r="J15" s="895"/>
      <c r="K15" s="895"/>
      <c r="L15" s="895"/>
      <c r="M15" s="895"/>
      <c r="N15" s="895"/>
      <c r="O15" s="895"/>
      <c r="P15" s="895"/>
      <c r="Q15" s="895"/>
      <c r="R15" s="895"/>
      <c r="S15" s="895"/>
      <c r="T15" s="895"/>
      <c r="U15" s="895"/>
      <c r="V15" s="895"/>
      <c r="W15" s="895"/>
      <c r="X15" s="808">
        <f t="shared" si="0"/>
        <v>0</v>
      </c>
    </row>
    <row r="16" spans="1:24" ht="60" x14ac:dyDescent="0.25">
      <c r="A16" s="805" t="e">
        <f>'[17]Identificación del Riesgo GF'!#REF!</f>
        <v>#REF!</v>
      </c>
      <c r="B16" s="805" t="e">
        <f>'[17]Identificación del Riesgo GF'!#REF!</f>
        <v>#REF!</v>
      </c>
      <c r="C16" s="756" t="str">
        <f>IF(D16="PENDIENTE EVALUAR EL IMPACTO","PENDIENTE EVALUAR EL IMPACTO COLUMNAS H-W",VLOOKUP(D16,[17]Datos!$K$8:$L$12,2,FALSE))</f>
        <v>PENDIENTE EVALUAR EL IMPACTO COLUMNAS H-W</v>
      </c>
      <c r="D16" s="805" t="str">
        <f t="shared" si="1"/>
        <v>PENDIENTE EVALUAR EL IMPACTO</v>
      </c>
      <c r="E16" s="895"/>
      <c r="F16" s="895"/>
      <c r="G16" s="895"/>
      <c r="H16" s="895"/>
      <c r="I16" s="895"/>
      <c r="J16" s="895"/>
      <c r="K16" s="895"/>
      <c r="L16" s="895"/>
      <c r="M16" s="895"/>
      <c r="N16" s="895"/>
      <c r="O16" s="895"/>
      <c r="P16" s="895"/>
      <c r="Q16" s="895"/>
      <c r="R16" s="895"/>
      <c r="S16" s="895"/>
      <c r="T16" s="895"/>
      <c r="U16" s="895"/>
      <c r="V16" s="895"/>
      <c r="W16" s="895"/>
      <c r="X16" s="808">
        <f t="shared" si="0"/>
        <v>0</v>
      </c>
    </row>
  </sheetData>
  <mergeCells count="6">
    <mergeCell ref="A1:D4"/>
    <mergeCell ref="E1:T4"/>
    <mergeCell ref="U1:X2"/>
    <mergeCell ref="U3:X4"/>
    <mergeCell ref="A5:D5"/>
    <mergeCell ref="E5:X5"/>
  </mergeCells>
  <dataValidations count="1">
    <dataValidation type="list" allowBlank="1" showInputMessage="1" showErrorMessage="1" sqref="E7:W16" xr:uid="{00000000-0002-0000-6D00-000000000000}">
      <formula1>"SI,NO"</formula1>
    </dataValidation>
  </dataValidations>
  <pageMargins left="0.51181102362204722" right="0.70866141732283472" top="1.1417322834645669" bottom="0.74803149606299213" header="0.31496062992125984" footer="0.31496062992125984"/>
  <pageSetup scale="35" orientation="landscape" horizontalDpi="1200" verticalDpi="1200" r:id="rId1"/>
  <headerFooter>
    <oddHeader>&amp;L&amp;G&amp;C
&amp;"-,Negrita"Matriz de Riesgos</oddHeader>
  </headerFooter>
  <colBreaks count="1" manualBreakCount="1">
    <brk id="4" max="1048575" man="1"/>
  </colBreaks>
  <drawing r:id="rId2"/>
  <legacyDrawing r:id="rId3"/>
  <legacyDrawingHF r:id="rId4"/>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E21"/>
  <sheetViews>
    <sheetView showGridLines="0" zoomScaleNormal="100" zoomScaleSheetLayoutView="115" zoomScalePageLayoutView="90" workbookViewId="0">
      <selection activeCell="B7" sqref="B7"/>
    </sheetView>
  </sheetViews>
  <sheetFormatPr baseColWidth="10" defaultRowHeight="15" x14ac:dyDescent="0.25"/>
  <cols>
    <col min="1" max="1" width="20.375" style="743" customWidth="1"/>
    <col min="2" max="2" width="37.125" style="743" customWidth="1"/>
    <col min="3" max="3" width="39" style="743" customWidth="1"/>
    <col min="4" max="4" width="14.25" style="743" customWidth="1"/>
    <col min="5" max="5" width="21.125" style="743" customWidth="1"/>
    <col min="6" max="16384" width="11" style="743"/>
  </cols>
  <sheetData>
    <row r="1" spans="1:5" x14ac:dyDescent="0.25">
      <c r="A1" s="1568"/>
      <c r="B1" s="1570" t="s">
        <v>0</v>
      </c>
      <c r="C1" s="1570"/>
      <c r="D1" s="1570"/>
      <c r="E1" s="1571" t="s">
        <v>29</v>
      </c>
    </row>
    <row r="2" spans="1:5" x14ac:dyDescent="0.25">
      <c r="A2" s="1568"/>
      <c r="B2" s="1570"/>
      <c r="C2" s="1570"/>
      <c r="D2" s="1570"/>
      <c r="E2" s="1571"/>
    </row>
    <row r="3" spans="1:5" x14ac:dyDescent="0.25">
      <c r="A3" s="1568"/>
      <c r="B3" s="1570"/>
      <c r="C3" s="1570"/>
      <c r="D3" s="1570"/>
      <c r="E3" s="1572" t="s">
        <v>2</v>
      </c>
    </row>
    <row r="4" spans="1:5" ht="15.75" thickBot="1" x14ac:dyDescent="0.3">
      <c r="A4" s="1568"/>
      <c r="B4" s="1570"/>
      <c r="C4" s="1570"/>
      <c r="D4" s="1570"/>
      <c r="E4" s="1572"/>
    </row>
    <row r="5" spans="1:5" ht="15.75" thickBot="1" x14ac:dyDescent="0.3">
      <c r="A5" s="1573" t="s">
        <v>30</v>
      </c>
      <c r="B5" s="1574"/>
      <c r="C5" s="1574"/>
      <c r="D5" s="1574"/>
      <c r="E5" s="1575"/>
    </row>
    <row r="6" spans="1:5" ht="15" customHeight="1" x14ac:dyDescent="0.25">
      <c r="A6" s="744" t="s">
        <v>31</v>
      </c>
      <c r="B6" s="745" t="s">
        <v>32</v>
      </c>
      <c r="C6" s="744" t="s">
        <v>33</v>
      </c>
      <c r="D6" s="1576" t="s">
        <v>34</v>
      </c>
      <c r="E6" s="1577"/>
    </row>
    <row r="7" spans="1:5" ht="409.5" customHeight="1" x14ac:dyDescent="0.25">
      <c r="A7" s="841"/>
      <c r="B7" s="842" t="s">
        <v>1341</v>
      </c>
      <c r="C7" s="843" t="s">
        <v>1342</v>
      </c>
      <c r="D7" s="1640" t="s">
        <v>1343</v>
      </c>
      <c r="E7" s="1641"/>
    </row>
    <row r="15" spans="1:5" x14ac:dyDescent="0.25">
      <c r="C15" s="844"/>
    </row>
    <row r="16" spans="1:5" x14ac:dyDescent="0.25">
      <c r="C16" s="844"/>
    </row>
    <row r="17" spans="2:3" ht="90" x14ac:dyDescent="0.25">
      <c r="B17" s="541" t="s">
        <v>801</v>
      </c>
      <c r="C17" s="844"/>
    </row>
    <row r="18" spans="2:3" x14ac:dyDescent="0.25">
      <c r="C18" s="844"/>
    </row>
    <row r="19" spans="2:3" x14ac:dyDescent="0.25">
      <c r="C19" s="844"/>
    </row>
    <row r="20" spans="2:3" x14ac:dyDescent="0.25">
      <c r="C20" s="844"/>
    </row>
    <row r="21" spans="2:3" x14ac:dyDescent="0.25">
      <c r="C21" s="845"/>
    </row>
  </sheetData>
  <mergeCells count="7">
    <mergeCell ref="D7:E7"/>
    <mergeCell ref="A1:A4"/>
    <mergeCell ref="B1:D4"/>
    <mergeCell ref="E1:E2"/>
    <mergeCell ref="E3:E4"/>
    <mergeCell ref="A5:E5"/>
    <mergeCell ref="D6:E6"/>
  </mergeCells>
  <pageMargins left="0.31496062992125984" right="0.31496062992125984" top="1.1417322834645669" bottom="0.35433070866141736" header="0.31496062992125984" footer="0.31496062992125984"/>
  <pageSetup scale="88" orientation="landscape" horizontalDpi="1200" verticalDpi="1200" r:id="rId1"/>
  <headerFooter>
    <oddHeader>&amp;L&amp;G&amp;C
&amp;"-,Negrita"Matriz de Riesgos</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6E00-000000000000}">
          <x14:formula1>
            <xm:f>'C:\Users\sgomez.UPME\Documents\UPME 2020\Documents\Mapas de riesgos\[Mapa de riesgos. Gestion Juridica.xlsx]Datos'!#REF!</xm:f>
          </x14:formula1>
          <xm:sqref>A7</xm:sqref>
        </x14:dataValidation>
      </x14:dataValidations>
    </ext>
  </extLst>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N13"/>
  <sheetViews>
    <sheetView showGridLines="0" topLeftCell="A3" zoomScale="80" zoomScaleNormal="80" zoomScaleSheetLayoutView="130" zoomScalePageLayoutView="90" workbookViewId="0">
      <selection activeCell="E10" sqref="E10"/>
    </sheetView>
  </sheetViews>
  <sheetFormatPr baseColWidth="10" defaultRowHeight="15" x14ac:dyDescent="0.25"/>
  <cols>
    <col min="1" max="1" width="15.25" style="743" customWidth="1"/>
    <col min="2" max="2" width="13.25" style="743" customWidth="1"/>
    <col min="3" max="3" width="16.875" style="743" customWidth="1"/>
    <col min="4" max="4" width="3.625" style="746" customWidth="1"/>
    <col min="5" max="5" width="18.375" style="743" customWidth="1"/>
    <col min="6" max="6" width="21.625" style="743" customWidth="1"/>
    <col min="7" max="7" width="15" style="743" customWidth="1"/>
    <col min="8" max="8" width="28" style="743" customWidth="1"/>
    <col min="9" max="9" width="33.375" style="743" customWidth="1"/>
    <col min="10" max="10" width="20.625" style="743" customWidth="1"/>
    <col min="11" max="11" width="14.75" style="743" customWidth="1"/>
    <col min="12" max="12" width="18.75" style="743" customWidth="1"/>
    <col min="13" max="13" width="12.75" style="743" customWidth="1"/>
    <col min="14" max="14" width="27.125" style="743" customWidth="1"/>
    <col min="15" max="16384" width="11" style="743"/>
  </cols>
  <sheetData>
    <row r="1" spans="1:14" ht="15" customHeight="1" x14ac:dyDescent="0.25">
      <c r="A1" s="1578"/>
      <c r="B1" s="1578"/>
      <c r="C1" s="1578"/>
      <c r="D1" s="1580" t="s">
        <v>0</v>
      </c>
      <c r="E1" s="1580"/>
      <c r="F1" s="1580"/>
      <c r="G1" s="1580"/>
      <c r="H1" s="1580"/>
      <c r="I1" s="1580"/>
      <c r="J1" s="1580"/>
      <c r="K1" s="1580"/>
      <c r="L1" s="1580"/>
      <c r="M1" s="1581"/>
      <c r="N1" s="1584" t="s">
        <v>35</v>
      </c>
    </row>
    <row r="2" spans="1:14" ht="15" customHeight="1" x14ac:dyDescent="0.25">
      <c r="A2" s="1578"/>
      <c r="B2" s="1578"/>
      <c r="C2" s="1578"/>
      <c r="D2" s="1580"/>
      <c r="E2" s="1580"/>
      <c r="F2" s="1580"/>
      <c r="G2" s="1580"/>
      <c r="H2" s="1580"/>
      <c r="I2" s="1580"/>
      <c r="J2" s="1580"/>
      <c r="K2" s="1580"/>
      <c r="L2" s="1580"/>
      <c r="M2" s="1581"/>
      <c r="N2" s="1584"/>
    </row>
    <row r="3" spans="1:14" ht="15" customHeight="1" x14ac:dyDescent="0.25">
      <c r="A3" s="1578"/>
      <c r="B3" s="1578"/>
      <c r="C3" s="1578"/>
      <c r="D3" s="1580"/>
      <c r="E3" s="1580"/>
      <c r="F3" s="1580"/>
      <c r="G3" s="1580"/>
      <c r="H3" s="1580"/>
      <c r="I3" s="1580"/>
      <c r="J3" s="1580"/>
      <c r="K3" s="1580"/>
      <c r="L3" s="1580"/>
      <c r="M3" s="1581"/>
      <c r="N3" s="1584" t="s">
        <v>2</v>
      </c>
    </row>
    <row r="4" spans="1:14" ht="15" customHeight="1" x14ac:dyDescent="0.25">
      <c r="A4" s="1579"/>
      <c r="B4" s="1579"/>
      <c r="C4" s="1579"/>
      <c r="D4" s="1582"/>
      <c r="E4" s="1582"/>
      <c r="F4" s="1582"/>
      <c r="G4" s="1582"/>
      <c r="H4" s="1582"/>
      <c r="I4" s="1582"/>
      <c r="J4" s="1582"/>
      <c r="K4" s="1582"/>
      <c r="L4" s="1582"/>
      <c r="M4" s="1583"/>
      <c r="N4" s="1584"/>
    </row>
    <row r="5" spans="1:14" ht="21" x14ac:dyDescent="0.25">
      <c r="A5" s="1585" t="s">
        <v>36</v>
      </c>
      <c r="B5" s="1586"/>
      <c r="C5" s="1587"/>
      <c r="D5" s="1642" t="s">
        <v>1344</v>
      </c>
      <c r="E5" s="1643"/>
      <c r="F5" s="1643"/>
      <c r="G5" s="1643"/>
      <c r="H5" s="1643"/>
      <c r="I5" s="1643"/>
      <c r="J5" s="1643"/>
      <c r="K5" s="1643"/>
      <c r="L5" s="1643"/>
      <c r="M5" s="1643"/>
      <c r="N5" s="1644"/>
    </row>
    <row r="6" spans="1:14" x14ac:dyDescent="0.25">
      <c r="A6" s="1585" t="s">
        <v>37</v>
      </c>
      <c r="B6" s="1586"/>
      <c r="C6" s="1587"/>
      <c r="D6" s="1665" t="s">
        <v>1345</v>
      </c>
      <c r="E6" s="1666"/>
      <c r="F6" s="1666"/>
      <c r="G6" s="1666"/>
      <c r="H6" s="1666"/>
      <c r="I6" s="1666"/>
      <c r="J6" s="1666"/>
      <c r="K6" s="1666"/>
      <c r="L6" s="1666"/>
      <c r="M6" s="1666"/>
      <c r="N6" s="1667"/>
    </row>
    <row r="7" spans="1:14" x14ac:dyDescent="0.25">
      <c r="A7" s="1591" t="s">
        <v>38</v>
      </c>
      <c r="B7" s="1592"/>
      <c r="C7" s="1593"/>
      <c r="D7" s="1594" t="s">
        <v>39</v>
      </c>
      <c r="E7" s="1595"/>
      <c r="F7" s="1595"/>
      <c r="G7" s="1595"/>
      <c r="H7" s="1595"/>
      <c r="I7" s="1596"/>
      <c r="J7" s="1597" t="s">
        <v>40</v>
      </c>
      <c r="K7" s="1597"/>
      <c r="L7" s="1597"/>
      <c r="M7" s="1597"/>
      <c r="N7" s="1597"/>
    </row>
    <row r="8" spans="1:14" ht="36" x14ac:dyDescent="0.25">
      <c r="A8" s="749" t="s">
        <v>41</v>
      </c>
      <c r="B8" s="749" t="s">
        <v>42</v>
      </c>
      <c r="C8" s="749" t="s">
        <v>43</v>
      </c>
      <c r="D8" s="749" t="s">
        <v>44</v>
      </c>
      <c r="E8" s="749" t="s">
        <v>45</v>
      </c>
      <c r="F8" s="749" t="s">
        <v>46</v>
      </c>
      <c r="G8" s="749" t="s">
        <v>47</v>
      </c>
      <c r="H8" s="749" t="s">
        <v>48</v>
      </c>
      <c r="I8" s="749" t="s">
        <v>49</v>
      </c>
      <c r="J8" s="750" t="s">
        <v>50</v>
      </c>
      <c r="K8" s="750" t="s">
        <v>51</v>
      </c>
      <c r="L8" s="750" t="s">
        <v>52</v>
      </c>
      <c r="M8" s="750" t="s">
        <v>53</v>
      </c>
      <c r="N8" s="750" t="s">
        <v>54</v>
      </c>
    </row>
    <row r="9" spans="1:14" ht="155.25" customHeight="1" x14ac:dyDescent="0.25">
      <c r="A9" s="751" t="s">
        <v>191</v>
      </c>
      <c r="B9" s="752" t="s">
        <v>219</v>
      </c>
      <c r="C9" s="752"/>
      <c r="D9" s="542">
        <v>1</v>
      </c>
      <c r="E9" s="162" t="s">
        <v>1346</v>
      </c>
      <c r="F9" s="162" t="s">
        <v>1347</v>
      </c>
      <c r="G9" s="754" t="s">
        <v>208</v>
      </c>
      <c r="H9" s="303" t="s">
        <v>1348</v>
      </c>
      <c r="I9" s="303" t="s">
        <v>1349</v>
      </c>
      <c r="J9" s="754" t="s">
        <v>263</v>
      </c>
      <c r="K9" s="754" t="s">
        <v>263</v>
      </c>
      <c r="L9" s="754" t="s">
        <v>263</v>
      </c>
      <c r="M9" s="754" t="s">
        <v>263</v>
      </c>
      <c r="N9" s="756" t="str">
        <f t="shared" ref="N9:N13" si="0">IF(COUNTIF(J9:M9,"SI")=4,"Riesgo de Corrupción","No es Riesgo de Corrupción")</f>
        <v>No es Riesgo de Corrupción</v>
      </c>
    </row>
    <row r="10" spans="1:14" ht="146.25" customHeight="1" x14ac:dyDescent="0.25">
      <c r="A10" s="751"/>
      <c r="B10" s="751" t="s">
        <v>219</v>
      </c>
      <c r="C10" s="751" t="s">
        <v>193</v>
      </c>
      <c r="D10" s="542">
        <v>2</v>
      </c>
      <c r="E10" s="554" t="s">
        <v>1350</v>
      </c>
      <c r="F10" s="554" t="s">
        <v>1351</v>
      </c>
      <c r="G10" s="754" t="s">
        <v>208</v>
      </c>
      <c r="H10" s="755" t="s">
        <v>1352</v>
      </c>
      <c r="I10" s="303" t="s">
        <v>1353</v>
      </c>
      <c r="J10" s="754" t="s">
        <v>263</v>
      </c>
      <c r="K10" s="754" t="s">
        <v>263</v>
      </c>
      <c r="L10" s="754" t="s">
        <v>263</v>
      </c>
      <c r="M10" s="754" t="s">
        <v>263</v>
      </c>
      <c r="N10" s="756" t="str">
        <f t="shared" si="0"/>
        <v>No es Riesgo de Corrupción</v>
      </c>
    </row>
    <row r="11" spans="1:14" ht="147.75" customHeight="1" x14ac:dyDescent="0.25">
      <c r="A11" s="751"/>
      <c r="B11" s="751" t="s">
        <v>244</v>
      </c>
      <c r="C11" s="751" t="s">
        <v>233</v>
      </c>
      <c r="D11" s="542">
        <v>3</v>
      </c>
      <c r="E11" s="162" t="s">
        <v>1354</v>
      </c>
      <c r="F11" s="162" t="s">
        <v>1355</v>
      </c>
      <c r="G11" s="754" t="s">
        <v>208</v>
      </c>
      <c r="H11" s="303" t="s">
        <v>1356</v>
      </c>
      <c r="I11" s="303" t="s">
        <v>1357</v>
      </c>
      <c r="J11" s="754" t="s">
        <v>263</v>
      </c>
      <c r="K11" s="754" t="s">
        <v>263</v>
      </c>
      <c r="L11" s="754" t="s">
        <v>263</v>
      </c>
      <c r="M11" s="754" t="s">
        <v>263</v>
      </c>
      <c r="N11" s="756" t="str">
        <f t="shared" si="0"/>
        <v>No es Riesgo de Corrupción</v>
      </c>
    </row>
    <row r="12" spans="1:14" ht="54" customHeight="1" x14ac:dyDescent="0.25">
      <c r="A12" s="751" t="s">
        <v>243</v>
      </c>
      <c r="B12" s="751"/>
      <c r="C12" s="751"/>
      <c r="D12" s="542">
        <v>4</v>
      </c>
      <c r="E12" s="554" t="s">
        <v>1358</v>
      </c>
      <c r="F12" s="554" t="s">
        <v>1359</v>
      </c>
      <c r="G12" s="754" t="s">
        <v>246</v>
      </c>
      <c r="H12" s="755" t="s">
        <v>1360</v>
      </c>
      <c r="I12" s="303" t="s">
        <v>1361</v>
      </c>
      <c r="J12" s="754" t="s">
        <v>122</v>
      </c>
      <c r="K12" s="754" t="s">
        <v>263</v>
      </c>
      <c r="L12" s="754" t="s">
        <v>263</v>
      </c>
      <c r="M12" s="754" t="s">
        <v>263</v>
      </c>
      <c r="N12" s="756" t="str">
        <f t="shared" si="0"/>
        <v>No es Riesgo de Corrupción</v>
      </c>
    </row>
    <row r="13" spans="1:14" ht="96" customHeight="1" x14ac:dyDescent="0.25">
      <c r="A13" s="751"/>
      <c r="B13" s="751" t="s">
        <v>219</v>
      </c>
      <c r="C13" s="751"/>
      <c r="D13" s="542">
        <v>5</v>
      </c>
      <c r="E13" s="554" t="s">
        <v>1362</v>
      </c>
      <c r="F13" s="554" t="s">
        <v>1363</v>
      </c>
      <c r="G13" s="754" t="s">
        <v>252</v>
      </c>
      <c r="H13" s="755" t="s">
        <v>1364</v>
      </c>
      <c r="I13" s="303" t="s">
        <v>1365</v>
      </c>
      <c r="J13" s="754" t="s">
        <v>122</v>
      </c>
      <c r="K13" s="754" t="s">
        <v>122</v>
      </c>
      <c r="L13" s="754" t="s">
        <v>122</v>
      </c>
      <c r="M13" s="754" t="s">
        <v>122</v>
      </c>
      <c r="N13" s="756" t="str">
        <f t="shared" si="0"/>
        <v>Riesgo de Corrupción</v>
      </c>
    </row>
  </sheetData>
  <mergeCells count="11">
    <mergeCell ref="A6:C6"/>
    <mergeCell ref="D6:N6"/>
    <mergeCell ref="A7:C7"/>
    <mergeCell ref="D7:I7"/>
    <mergeCell ref="J7:N7"/>
    <mergeCell ref="A1:C4"/>
    <mergeCell ref="D1:M4"/>
    <mergeCell ref="N1:N2"/>
    <mergeCell ref="N3:N4"/>
    <mergeCell ref="A5:C5"/>
    <mergeCell ref="D5:N5"/>
  </mergeCells>
  <dataValidations count="1">
    <dataValidation type="list" allowBlank="1" showInputMessage="1" showErrorMessage="1" sqref="J9:M13" xr:uid="{00000000-0002-0000-6F00-000000000000}">
      <formula1>"SI,NO"</formula1>
    </dataValidation>
  </dataValidations>
  <pageMargins left="0.11811023622047245" right="0.11811023622047245" top="1.1417322834645669" bottom="0.19685039370078741" header="0.31496062992125984" footer="0.31496062992125984"/>
  <pageSetup scale="79" orientation="landscape" horizontalDpi="1200" verticalDpi="1200" r:id="rId1"/>
  <headerFooter>
    <oddHeader>&amp;L&amp;G&amp;C
&amp;"-,Negrita"Matriz de Riesgos</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6F00-000001000000}">
          <x14:formula1>
            <xm:f>'C:\Users\sgomez.UPME\Documents\UPME 2020\Documents\Mapas de riesgos\[Mapa de riesgos. Gestion Juridica.xlsx]Datos'!#REF!</xm:f>
          </x14:formula1>
          <xm:sqref>A9:C13 G9:G13</xm:sqref>
        </x14:dataValidation>
      </x14:dataValidations>
    </ext>
  </extLst>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X11"/>
  <sheetViews>
    <sheetView showGridLines="0" showWhiteSpace="0" topLeftCell="A4" zoomScale="55" zoomScaleNormal="55" zoomScaleSheetLayoutView="85" zoomScalePageLayoutView="70" workbookViewId="0">
      <selection activeCell="C8" sqref="C8"/>
    </sheetView>
  </sheetViews>
  <sheetFormatPr baseColWidth="10" defaultRowHeight="15" x14ac:dyDescent="0.25"/>
  <cols>
    <col min="1" max="1" width="4.75" style="746" customWidth="1"/>
    <col min="2" max="2" width="18.125" style="743" customWidth="1"/>
    <col min="3" max="3" width="56.25" style="800" customWidth="1"/>
    <col min="4" max="4" width="26.25" style="801" customWidth="1"/>
    <col min="5" max="5" width="10.625" style="746" customWidth="1"/>
    <col min="6" max="6" width="17.25" style="746" customWidth="1"/>
    <col min="7" max="7" width="12.875" style="746" customWidth="1"/>
    <col min="8" max="8" width="5.375" style="746" customWidth="1"/>
    <col min="9" max="9" width="14" style="743" customWidth="1"/>
    <col min="10" max="10" width="12.75" style="743" customWidth="1"/>
    <col min="11" max="11" width="22.875" style="802" customWidth="1"/>
    <col min="12" max="12" width="41" style="743" customWidth="1"/>
    <col min="13" max="13" width="13.75" style="743" customWidth="1"/>
    <col min="14" max="14" width="15" style="743" customWidth="1"/>
    <col min="15" max="15" width="19.25" style="743" customWidth="1"/>
    <col min="16" max="16" width="18.875" style="743" customWidth="1"/>
    <col min="17" max="17" width="12" style="743" hidden="1" customWidth="1"/>
    <col min="18" max="18" width="12.625" style="743" hidden="1" customWidth="1"/>
    <col min="19" max="19" width="13.625" style="746" hidden="1" customWidth="1"/>
    <col min="20" max="20" width="13.625" style="743" hidden="1" customWidth="1"/>
    <col min="21" max="21" width="17.5" style="743" customWidth="1"/>
    <col min="22" max="22" width="12.125" style="743" customWidth="1"/>
    <col min="23" max="23" width="13.875" style="743" customWidth="1"/>
    <col min="24" max="24" width="68.5" style="743" customWidth="1"/>
    <col min="25" max="16384" width="11" style="743"/>
  </cols>
  <sheetData>
    <row r="1" spans="1:24" ht="15" customHeight="1" x14ac:dyDescent="0.25">
      <c r="A1" s="1598"/>
      <c r="B1" s="1598"/>
      <c r="C1" s="1598"/>
      <c r="D1" s="1655" t="s">
        <v>55</v>
      </c>
      <c r="E1" s="1656"/>
      <c r="F1" s="1656"/>
      <c r="G1" s="1656"/>
      <c r="H1" s="1656"/>
      <c r="I1" s="1656"/>
      <c r="J1" s="1656"/>
      <c r="K1" s="1656"/>
      <c r="L1" s="1656"/>
      <c r="M1" s="1656"/>
      <c r="N1" s="1656"/>
      <c r="O1" s="1656"/>
      <c r="P1" s="1656"/>
      <c r="Q1" s="1656"/>
      <c r="R1" s="1656"/>
      <c r="S1" s="1656"/>
      <c r="T1" s="1656"/>
      <c r="U1" s="1656"/>
      <c r="V1" s="1656"/>
      <c r="W1" s="1657"/>
      <c r="X1" s="1600" t="s">
        <v>35</v>
      </c>
    </row>
    <row r="2" spans="1:24" ht="15" customHeight="1" x14ac:dyDescent="0.25">
      <c r="A2" s="1598"/>
      <c r="B2" s="1598"/>
      <c r="C2" s="1598"/>
      <c r="D2" s="1658"/>
      <c r="E2" s="1659"/>
      <c r="F2" s="1659"/>
      <c r="G2" s="1659"/>
      <c r="H2" s="1659"/>
      <c r="I2" s="1659"/>
      <c r="J2" s="1659"/>
      <c r="K2" s="1659"/>
      <c r="L2" s="1659"/>
      <c r="M2" s="1659"/>
      <c r="N2" s="1659"/>
      <c r="O2" s="1659"/>
      <c r="P2" s="1659"/>
      <c r="Q2" s="1659"/>
      <c r="R2" s="1659"/>
      <c r="S2" s="1659"/>
      <c r="T2" s="1659"/>
      <c r="U2" s="1659"/>
      <c r="V2" s="1659"/>
      <c r="W2" s="1660"/>
      <c r="X2" s="1600"/>
    </row>
    <row r="3" spans="1:24" ht="15" customHeight="1" x14ac:dyDescent="0.25">
      <c r="A3" s="1598"/>
      <c r="B3" s="1598"/>
      <c r="C3" s="1598"/>
      <c r="D3" s="1658"/>
      <c r="E3" s="1659"/>
      <c r="F3" s="1659"/>
      <c r="G3" s="1659"/>
      <c r="H3" s="1659"/>
      <c r="I3" s="1659"/>
      <c r="J3" s="1659"/>
      <c r="K3" s="1659"/>
      <c r="L3" s="1659"/>
      <c r="M3" s="1659"/>
      <c r="N3" s="1659"/>
      <c r="O3" s="1659"/>
      <c r="P3" s="1659"/>
      <c r="Q3" s="1659"/>
      <c r="R3" s="1659"/>
      <c r="S3" s="1659"/>
      <c r="T3" s="1659"/>
      <c r="U3" s="1659"/>
      <c r="V3" s="1659"/>
      <c r="W3" s="1660"/>
      <c r="X3" s="1600" t="s">
        <v>56</v>
      </c>
    </row>
    <row r="4" spans="1:24" ht="15.75" customHeight="1" thickBot="1" x14ac:dyDescent="0.3">
      <c r="A4" s="1598"/>
      <c r="B4" s="1598"/>
      <c r="C4" s="1598"/>
      <c r="D4" s="1661"/>
      <c r="E4" s="1662"/>
      <c r="F4" s="1662"/>
      <c r="G4" s="1662"/>
      <c r="H4" s="1662"/>
      <c r="I4" s="1662"/>
      <c r="J4" s="1662"/>
      <c r="K4" s="1662"/>
      <c r="L4" s="1662"/>
      <c r="M4" s="1662"/>
      <c r="N4" s="1662"/>
      <c r="O4" s="1662"/>
      <c r="P4" s="1662"/>
      <c r="Q4" s="1662"/>
      <c r="R4" s="1662"/>
      <c r="S4" s="1662"/>
      <c r="T4" s="1662"/>
      <c r="U4" s="1662"/>
      <c r="V4" s="1662"/>
      <c r="W4" s="1663"/>
      <c r="X4" s="1600"/>
    </row>
    <row r="5" spans="1:24" ht="18.75" customHeight="1" x14ac:dyDescent="0.25">
      <c r="A5" s="1674" t="s">
        <v>57</v>
      </c>
      <c r="B5" s="1675"/>
      <c r="C5" s="1675"/>
      <c r="D5" s="1675"/>
      <c r="E5" s="1675"/>
      <c r="F5" s="1675"/>
      <c r="G5" s="1675"/>
      <c r="H5" s="1675"/>
      <c r="I5" s="1676"/>
      <c r="J5" s="757"/>
      <c r="K5" s="1677" t="s">
        <v>58</v>
      </c>
      <c r="L5" s="1677"/>
      <c r="M5" s="1677"/>
      <c r="N5" s="1677"/>
      <c r="O5" s="1677"/>
      <c r="P5" s="1678"/>
      <c r="Q5" s="1679" t="s">
        <v>59</v>
      </c>
      <c r="R5" s="1679"/>
      <c r="S5" s="1679"/>
      <c r="T5" s="1679"/>
      <c r="U5" s="1679"/>
      <c r="V5" s="1679"/>
      <c r="W5" s="1679"/>
      <c r="X5" s="1679"/>
    </row>
    <row r="6" spans="1:24" s="763" customFormat="1" ht="51" x14ac:dyDescent="0.2">
      <c r="A6" s="813" t="s">
        <v>44</v>
      </c>
      <c r="B6" s="813" t="s">
        <v>64</v>
      </c>
      <c r="C6" s="813" t="s">
        <v>65</v>
      </c>
      <c r="D6" s="814" t="s">
        <v>66</v>
      </c>
      <c r="E6" s="813" t="s">
        <v>67</v>
      </c>
      <c r="F6" s="813" t="s">
        <v>68</v>
      </c>
      <c r="G6" s="814" t="s">
        <v>69</v>
      </c>
      <c r="H6" s="814" t="s">
        <v>70</v>
      </c>
      <c r="I6" s="813" t="s">
        <v>71</v>
      </c>
      <c r="J6" s="813" t="s">
        <v>72</v>
      </c>
      <c r="K6" s="813" t="s">
        <v>73</v>
      </c>
      <c r="L6" s="813" t="s">
        <v>74</v>
      </c>
      <c r="M6" s="846" t="s">
        <v>75</v>
      </c>
      <c r="N6" s="813" t="s">
        <v>76</v>
      </c>
      <c r="O6" s="813" t="s">
        <v>77</v>
      </c>
      <c r="P6" s="813" t="s">
        <v>78</v>
      </c>
      <c r="Q6" s="813" t="s">
        <v>79</v>
      </c>
      <c r="R6" s="813" t="s">
        <v>80</v>
      </c>
      <c r="S6" s="813" t="s">
        <v>67</v>
      </c>
      <c r="T6" s="813" t="s">
        <v>70</v>
      </c>
      <c r="U6" s="813" t="s">
        <v>81</v>
      </c>
      <c r="V6" s="813" t="s">
        <v>82</v>
      </c>
      <c r="W6" s="813" t="s">
        <v>83</v>
      </c>
      <c r="X6" s="813" t="s">
        <v>84</v>
      </c>
    </row>
    <row r="7" spans="1:24" s="780" customFormat="1" ht="164.25" customHeight="1" x14ac:dyDescent="0.2">
      <c r="A7" s="847">
        <f>'[18]Identificación del Riesgo GJ'!D9</f>
        <v>1</v>
      </c>
      <c r="B7" s="848" t="str">
        <f>'[18]Identificación del Riesgo GJ'!E9</f>
        <v xml:space="preserve">Personal con competencias desactualizadas </v>
      </c>
      <c r="C7" s="848" t="str">
        <f>'[18]Identificación del Riesgo GJ'!H9</f>
        <v>Falta de capacitación y actualización de competencias
Falta de capacitación en temas relacionados con otras areas de conocimiento afines a la misionalidad de la Entidad.</v>
      </c>
      <c r="D7" s="819" t="s">
        <v>181</v>
      </c>
      <c r="E7" s="847">
        <f>IF(D7="Selecciona un descriptor de frecuencia."," ",IF(D7="","",VLOOKUP(D7,[18]Datos!$G$8:$J$12,2,FALSE)))</f>
        <v>5</v>
      </c>
      <c r="F7" s="847" t="str">
        <f>IF(D7="Selecciona un descriptor de frecuencia."," ",IF(D7="","",VLOOKUP(D7,[18]Datos!$G$8:$J$12,3,FALSE)))</f>
        <v>Casi Seguro</v>
      </c>
      <c r="G7" s="819" t="s">
        <v>226</v>
      </c>
      <c r="H7" s="847">
        <f>IF(G7="Selecciona un descriptor de impacto."," ",IF(G7="","",VLOOKUP(G7,[18]Datos!$K$8:$L$12,2,FALSE)))</f>
        <v>2</v>
      </c>
      <c r="I7" s="849" t="str">
        <f>IF(D7="Selecciona un descriptor de frecuencia."," ",IF(G7="Selecciona un descriptor de impacto."," ",IF(E7+H7=" ","",IF(E7="","",VLOOKUP(E7,[18]Datos!$U$8:$Z$12,MATCH(H7,[18]Datos!$V$7:$Z$7,0)+1,FALSE)))))</f>
        <v>ALTO</v>
      </c>
      <c r="J7" s="818" t="s">
        <v>263</v>
      </c>
      <c r="K7" s="853" t="s">
        <v>1272</v>
      </c>
      <c r="L7" s="853" t="s">
        <v>1272</v>
      </c>
      <c r="M7" s="820">
        <f>[18]Controles!T9</f>
        <v>0</v>
      </c>
      <c r="N7" s="820" t="str">
        <f>[18]Controles!AB9</f>
        <v>SI</v>
      </c>
      <c r="O7" s="547">
        <f>[18]Controles!W9</f>
        <v>0</v>
      </c>
      <c r="P7" s="547">
        <f>[18]Controles!X9</f>
        <v>0</v>
      </c>
      <c r="Q7" s="547">
        <f t="shared" ref="Q7:R11" si="0">SUM(O7:O7)</f>
        <v>0</v>
      </c>
      <c r="R7" s="547">
        <f t="shared" si="0"/>
        <v>0</v>
      </c>
      <c r="S7" s="850">
        <f>IF(D7="Selecciona un descriptor de frecuencia."," ",IF(ROUNDUP(E7-Q7,0)&lt;0,1,ROUNDUP(E7-Q7,0)))</f>
        <v>5</v>
      </c>
      <c r="T7" s="850">
        <f>IF(G7="Selecciona un descriptor de impacto."," ",IF(ROUNDUP(H7-R7,0)&lt;0,1,ROUNDUP(H7-R7,0)))</f>
        <v>2</v>
      </c>
      <c r="U7" s="547" t="str">
        <f>IF(D7="Selecciona un descriptor de frecuencia."," ",VLOOKUP(S7,[18]Datos!$H$8:$I$12,2,FALSE))</f>
        <v>Casi Seguro</v>
      </c>
      <c r="V7" s="547" t="str">
        <f>IF(G7="Selecciona un descriptor de impacto."," ",VLOOKUP(T7,[18]Datos!$L$8:$M$12,2,FALSE))</f>
        <v>Menor</v>
      </c>
      <c r="W7" s="849" t="str">
        <f>IF(S7=" "," ",VLOOKUP(S7,[18]Datos!$U$8:$Z$12,MATCH(T7,[18]Datos!$V$7:$Z$7,0)+1,FALSE))</f>
        <v>ALTO</v>
      </c>
      <c r="X7" s="819" t="s">
        <v>202</v>
      </c>
    </row>
    <row r="8" spans="1:24" s="799" customFormat="1" ht="85.5" x14ac:dyDescent="0.2">
      <c r="A8" s="851">
        <f>'[18]Identificación del Riesgo GJ'!D10</f>
        <v>2</v>
      </c>
      <c r="B8" s="848" t="str">
        <f>'[18]Identificación del Riesgo GJ'!E10</f>
        <v>Inadecuada defensa judicial y/o consultas juridicas</v>
      </c>
      <c r="C8" s="848" t="str">
        <f>'[18]Identificación del Riesgo GJ'!H10</f>
        <v xml:space="preserve">Conceptos juridicos encontrados entre los profesionales del area, sin conclusión oportuna sobre los temas
Personal sin las competencias requeridas
</v>
      </c>
      <c r="D8" s="819" t="s">
        <v>196</v>
      </c>
      <c r="E8" s="847">
        <f>IF(D8="Selecciona un descriptor de frecuencia."," ",IF(D8="","",VLOOKUP(D8,[18]Datos!$G$8:$J$12,2,FALSE)))</f>
        <v>4</v>
      </c>
      <c r="F8" s="847" t="str">
        <f>IF(D8="Selecciona un descriptor de frecuencia."," ",IF(D8="","",VLOOKUP(D8,[18]Datos!$G$8:$J$12,3,FALSE)))</f>
        <v>Probable</v>
      </c>
      <c r="G8" s="819" t="s">
        <v>204</v>
      </c>
      <c r="H8" s="851">
        <f>IF(G8="","",VLOOKUP(G8,[18]Datos!$K$8:$L$12,2,FALSE))</f>
        <v>3</v>
      </c>
      <c r="I8" s="849" t="str">
        <f>IF(D8="Selecciona un descriptor de frecuencia."," ",IF(G8="Selecciona un descriptor de impacto."," ",IF(E8+H8=" ","",IF(E8="","",VLOOKUP(E8,[18]Datos!$U$8:$Z$12,MATCH(H8,[18]Datos!$V$7:$Z$7,0)+1,FALSE)))))</f>
        <v>ALTO</v>
      </c>
      <c r="J8" s="819" t="s">
        <v>122</v>
      </c>
      <c r="K8" s="853" t="s">
        <v>1366</v>
      </c>
      <c r="L8" s="853" t="s">
        <v>1367</v>
      </c>
      <c r="M8" s="820">
        <f>[18]Controles!T10</f>
        <v>25</v>
      </c>
      <c r="N8" s="820" t="str">
        <f>[18]Controles!AB10</f>
        <v>SI</v>
      </c>
      <c r="O8" s="547">
        <f>[18]Controles!W10</f>
        <v>0</v>
      </c>
      <c r="P8" s="547">
        <f>[18]Controles!X10</f>
        <v>0</v>
      </c>
      <c r="Q8" s="852">
        <f t="shared" si="0"/>
        <v>0</v>
      </c>
      <c r="R8" s="852">
        <f t="shared" si="0"/>
        <v>0</v>
      </c>
      <c r="S8" s="850">
        <f t="shared" ref="S8:S11" si="1">IF(D8="Selecciona un descriptor de frecuencia."," ",IF(ROUNDUP(E8-Q8,0)&lt;0,1,ROUNDUP(E8-Q8,0)))</f>
        <v>4</v>
      </c>
      <c r="T8" s="850">
        <f t="shared" ref="T8:T11" si="2">IF(G8="Selecciona un descriptor de impacto."," ",IF(ROUNDUP(H8-R8,0)&lt;0,1,ROUNDUP(H8-R8,0)))</f>
        <v>3</v>
      </c>
      <c r="U8" s="547" t="str">
        <f>IF(D8="Selecciona un descriptor de frecuencia."," ",VLOOKUP(S8,[18]Datos!$H$8:$I$12,2,FALSE))</f>
        <v>Probable</v>
      </c>
      <c r="V8" s="547" t="str">
        <f>IF(G8="Selecciona un descriptor de impacto."," ",VLOOKUP(T8,[18]Datos!$L$8:$M$12,2,FALSE))</f>
        <v>Moderado</v>
      </c>
      <c r="W8" s="849" t="str">
        <f>IF(S8=" "," ",VLOOKUP(S8,[18]Datos!$U$8:$Z$12,MATCH(T8,[18]Datos!$V$7:$Z$7,0)+1,FALSE))</f>
        <v>ALTO</v>
      </c>
      <c r="X8" s="819" t="s">
        <v>202</v>
      </c>
    </row>
    <row r="9" spans="1:24" s="780" customFormat="1" ht="85.5" customHeight="1" x14ac:dyDescent="0.2">
      <c r="A9" s="851">
        <f>'[18]Identificación del Riesgo GJ'!D11</f>
        <v>3</v>
      </c>
      <c r="B9" s="848" t="str">
        <f>'[18]Identificación del Riesgo GJ'!E11</f>
        <v>Recepción de solicitudes y/o requerimientos de concepto, que no son de competencia del proceso juridico</v>
      </c>
      <c r="C9" s="848" t="str">
        <f>'[18]Identificación del Riesgo GJ'!H11</f>
        <v xml:space="preserve">No existe uniformidad para la solicitud de conceptos juridicos por parte de los otros procesos
Desconocimiento de las competencias del proceso juridico, por parte de las dependencias 
</v>
      </c>
      <c r="D9" s="819" t="s">
        <v>181</v>
      </c>
      <c r="E9" s="847">
        <f>IF(D9="Selecciona un descriptor de frecuencia."," ",IF(D9="","",VLOOKUP(D9,[18]Datos!$G$8:$J$12,2,FALSE)))</f>
        <v>5</v>
      </c>
      <c r="F9" s="847" t="str">
        <f>IF(D9="Selecciona un descriptor de frecuencia."," ",IF(D9="","",VLOOKUP(D9,[18]Datos!$G$8:$J$12,3,FALSE)))</f>
        <v>Casi Seguro</v>
      </c>
      <c r="G9" s="819" t="s">
        <v>239</v>
      </c>
      <c r="H9" s="851">
        <f>IF(G9="","",VLOOKUP(G9,[18]Datos!$K$8:$L$12,2,FALSE))</f>
        <v>1</v>
      </c>
      <c r="I9" s="849" t="str">
        <f>IF(D9="Selecciona un descriptor de frecuencia."," ",IF(G9="Selecciona un descriptor de impacto."," ",IF(E9+H9=" ","",IF(E9="","",VLOOKUP(E9,[18]Datos!$U$8:$Z$12,MATCH(H9,[18]Datos!$V$7:$Z$7,0)+1,FALSE)))))</f>
        <v>ALTO</v>
      </c>
      <c r="J9" s="819" t="s">
        <v>263</v>
      </c>
      <c r="K9" s="853" t="s">
        <v>1272</v>
      </c>
      <c r="L9" s="853" t="s">
        <v>1272</v>
      </c>
      <c r="M9" s="820">
        <f>[18]Controles!T11</f>
        <v>0</v>
      </c>
      <c r="N9" s="820" t="str">
        <f>[18]Controles!AB11</f>
        <v>SI</v>
      </c>
      <c r="O9" s="547">
        <f>[18]Controles!W11</f>
        <v>0</v>
      </c>
      <c r="P9" s="547">
        <f>[18]Controles!X11</f>
        <v>0</v>
      </c>
      <c r="Q9" s="852">
        <f t="shared" si="0"/>
        <v>0</v>
      </c>
      <c r="R9" s="852">
        <f t="shared" si="0"/>
        <v>0</v>
      </c>
      <c r="S9" s="850">
        <f t="shared" si="1"/>
        <v>5</v>
      </c>
      <c r="T9" s="850">
        <f t="shared" si="2"/>
        <v>1</v>
      </c>
      <c r="U9" s="547" t="str">
        <f>IF(D9="Selecciona un descriptor de frecuencia."," ",VLOOKUP(S9,[18]Datos!$H$8:$I$12,2,FALSE))</f>
        <v>Casi Seguro</v>
      </c>
      <c r="V9" s="547" t="str">
        <f>IF(G9="Selecciona un descriptor de impacto."," ",VLOOKUP(T9,[18]Datos!$L$8:$M$12,2,FALSE))</f>
        <v>Insignificante</v>
      </c>
      <c r="W9" s="849" t="str">
        <f>IF(S9=" "," ",VLOOKUP(S9,[18]Datos!$U$8:$Z$12,MATCH(T9,[18]Datos!$V$7:$Z$7,0)+1,FALSE))</f>
        <v>ALTO</v>
      </c>
      <c r="X9" s="819" t="s">
        <v>202</v>
      </c>
    </row>
    <row r="10" spans="1:24" s="780" customFormat="1" ht="42.75" x14ac:dyDescent="0.2">
      <c r="A10" s="851">
        <f>'[18]Identificación del Riesgo GJ'!D12</f>
        <v>4</v>
      </c>
      <c r="B10" s="848" t="str">
        <f>'[18]Identificación del Riesgo GJ'!E12</f>
        <v>Normatividad desarticulada y/o desactualizada</v>
      </c>
      <c r="C10" s="848" t="str">
        <f>'[18]Identificación del Riesgo GJ'!H12</f>
        <v>Normograma desactualizado</v>
      </c>
      <c r="D10" s="819" t="s">
        <v>181</v>
      </c>
      <c r="E10" s="847">
        <f>IF(D10="Selecciona un descriptor de frecuencia."," ",IF(D10="","",VLOOKUP(D10,[18]Datos!$G$8:$J$12,2,FALSE)))</f>
        <v>5</v>
      </c>
      <c r="F10" s="847" t="str">
        <f>IF(D10="Selecciona un descriptor de frecuencia."," ",IF(D10="","",VLOOKUP(D10,[18]Datos!$G$8:$J$12,3,FALSE)))</f>
        <v>Casi Seguro</v>
      </c>
      <c r="G10" s="819" t="s">
        <v>226</v>
      </c>
      <c r="H10" s="851">
        <f>IF(G10="","",VLOOKUP(G10,[18]Datos!$K$8:$L$12,2,FALSE))</f>
        <v>2</v>
      </c>
      <c r="I10" s="849" t="str">
        <f>IF(D10="Selecciona un descriptor de frecuencia."," ",IF(G10="Selecciona un descriptor de impacto."," ",IF(E10+H10=" ","",IF(E10="","",VLOOKUP(E10,[18]Datos!$U$8:$Z$12,MATCH(H10,[18]Datos!$V$7:$Z$7,0)+1,FALSE)))))</f>
        <v>ALTO</v>
      </c>
      <c r="J10" s="819" t="s">
        <v>263</v>
      </c>
      <c r="K10" s="853" t="s">
        <v>1272</v>
      </c>
      <c r="L10" s="853" t="s">
        <v>1272</v>
      </c>
      <c r="M10" s="820">
        <f>[18]Controles!T12</f>
        <v>0</v>
      </c>
      <c r="N10" s="820" t="str">
        <f>[18]Controles!AB12</f>
        <v>SI</v>
      </c>
      <c r="O10" s="547">
        <f>[18]Controles!W12</f>
        <v>0</v>
      </c>
      <c r="P10" s="547">
        <f>[18]Controles!X12</f>
        <v>0</v>
      </c>
      <c r="Q10" s="852">
        <f t="shared" si="0"/>
        <v>0</v>
      </c>
      <c r="R10" s="852">
        <f t="shared" si="0"/>
        <v>0</v>
      </c>
      <c r="S10" s="850">
        <f t="shared" si="1"/>
        <v>5</v>
      </c>
      <c r="T10" s="850">
        <f t="shared" si="2"/>
        <v>2</v>
      </c>
      <c r="U10" s="547" t="str">
        <f>IF(D10="Selecciona un descriptor de frecuencia."," ",VLOOKUP(S10,[18]Datos!$H$8:$I$12,2,FALSE))</f>
        <v>Casi Seguro</v>
      </c>
      <c r="V10" s="547" t="str">
        <f>IF(G10="Selecciona un descriptor de impacto."," ",VLOOKUP(T10,[18]Datos!$L$8:$M$12,2,FALSE))</f>
        <v>Menor</v>
      </c>
      <c r="W10" s="849" t="str">
        <f>IF(S10=" "," ",VLOOKUP(S10,[18]Datos!$U$8:$Z$12,MATCH(T10,[18]Datos!$V$7:$Z$7,0)+1,FALSE))</f>
        <v>ALTO</v>
      </c>
      <c r="X10" s="819" t="s">
        <v>202</v>
      </c>
    </row>
    <row r="11" spans="1:24" s="780" customFormat="1" ht="85.5" x14ac:dyDescent="0.2">
      <c r="A11" s="904">
        <f>'[18]Identificación del Riesgo GJ'!D13</f>
        <v>5</v>
      </c>
      <c r="B11" s="848" t="str">
        <f>'[18]Identificación del Riesgo GJ'!E13</f>
        <v>Favorecimiento de terceros mediante la orientación de conceptos juridicos o procesos de defensa judicial</v>
      </c>
      <c r="C11" s="848" t="str">
        <f>'[18]Identificación del Riesgo GJ'!H13</f>
        <v xml:space="preserve">Manipulación de los abogados apoderados mediante dadivas
No existe una instancia donde se discutan y concluyan los conceptos juridicos
</v>
      </c>
      <c r="D11" s="819" t="s">
        <v>236</v>
      </c>
      <c r="E11" s="847">
        <f>IF(D11="Selecciona un descriptor de frecuencia."," ",IF(D11="","",VLOOKUP(D11,[18]Datos!$G$8:$J$12,2,FALSE)))</f>
        <v>1</v>
      </c>
      <c r="F11" s="847" t="str">
        <f>IF(D11="Selecciona un descriptor de frecuencia."," ",IF(D11="","",VLOOKUP(D11,[18]Datos!$G$8:$J$12,3,FALSE)))</f>
        <v>Rara vez</v>
      </c>
      <c r="G11" s="819" t="s">
        <v>184</v>
      </c>
      <c r="H11" s="851">
        <f>IF(G11="","",VLOOKUP(G11,[18]Datos!$K$8:$L$12,2,FALSE))</f>
        <v>5</v>
      </c>
      <c r="I11" s="849" t="str">
        <f>IF(D11="Selecciona un descriptor de frecuencia."," ",IF(G11="Selecciona un descriptor de impacto."," ",IF(E11+H11=" ","",IF(E11="","",VLOOKUP(E11,[18]Datos!$U$8:$Z$12,MATCH(H11,[18]Datos!$V$7:$Z$7,0)+1,FALSE)))))</f>
        <v>EXTREMO</v>
      </c>
      <c r="J11" s="819" t="s">
        <v>263</v>
      </c>
      <c r="K11" s="853" t="s">
        <v>1272</v>
      </c>
      <c r="L11" s="853" t="s">
        <v>1272</v>
      </c>
      <c r="M11" s="820">
        <f>[18]Controles!T13</f>
        <v>0</v>
      </c>
      <c r="N11" s="820" t="str">
        <f>[18]Controles!AB13</f>
        <v>SI</v>
      </c>
      <c r="O11" s="547">
        <f>[18]Controles!W13</f>
        <v>0</v>
      </c>
      <c r="P11" s="547">
        <f>[18]Controles!X13</f>
        <v>0</v>
      </c>
      <c r="Q11" s="852">
        <f t="shared" si="0"/>
        <v>0</v>
      </c>
      <c r="R11" s="852">
        <f t="shared" si="0"/>
        <v>0</v>
      </c>
      <c r="S11" s="850">
        <f t="shared" si="1"/>
        <v>1</v>
      </c>
      <c r="T11" s="850">
        <f t="shared" si="2"/>
        <v>5</v>
      </c>
      <c r="U11" s="547" t="str">
        <f>IF(D11="Selecciona un descriptor de frecuencia."," ",VLOOKUP(S11,[18]Datos!$H$8:$I$12,2,FALSE))</f>
        <v>Rara vez</v>
      </c>
      <c r="V11" s="547" t="str">
        <f>IF(G11="Selecciona un descriptor de impacto."," ",VLOOKUP(T11,[18]Datos!$L$8:$M$12,2,FALSE))</f>
        <v>Catastrófico</v>
      </c>
      <c r="W11" s="849" t="str">
        <f>IF(S11=" "," ",VLOOKUP(S11,[18]Datos!$U$8:$Z$12,MATCH(T11,[18]Datos!$V$7:$Z$7,0)+1,FALSE))</f>
        <v>EXTREMO</v>
      </c>
      <c r="X11" s="819" t="s">
        <v>202</v>
      </c>
    </row>
  </sheetData>
  <mergeCells count="7">
    <mergeCell ref="A1:C4"/>
    <mergeCell ref="D1:W4"/>
    <mergeCell ref="X1:X2"/>
    <mergeCell ref="X3:X4"/>
    <mergeCell ref="A5:I5"/>
    <mergeCell ref="K5:P5"/>
    <mergeCell ref="Q5:X5"/>
  </mergeCells>
  <conditionalFormatting sqref="W7:X7 X8 I7:J11 W8:W11">
    <cfRule type="cellIs" dxfId="23" priority="13" operator="equal">
      <formula>"Extremo"</formula>
    </cfRule>
    <cfRule type="cellIs" dxfId="22" priority="14" operator="equal">
      <formula>"Moderado"</formula>
    </cfRule>
    <cfRule type="cellIs" dxfId="21" priority="15" operator="equal">
      <formula>"Bajo"</formula>
    </cfRule>
    <cfRule type="cellIs" dxfId="20" priority="16" operator="equal">
      <formula>"Alto"</formula>
    </cfRule>
  </conditionalFormatting>
  <conditionalFormatting sqref="X9">
    <cfRule type="cellIs" dxfId="19" priority="9" operator="equal">
      <formula>"Extremo"</formula>
    </cfRule>
    <cfRule type="cellIs" dxfId="18" priority="10" operator="equal">
      <formula>"Moderado"</formula>
    </cfRule>
    <cfRule type="cellIs" dxfId="17" priority="11" operator="equal">
      <formula>"Bajo"</formula>
    </cfRule>
    <cfRule type="cellIs" dxfId="16" priority="12" operator="equal">
      <formula>"Alto"</formula>
    </cfRule>
  </conditionalFormatting>
  <conditionalFormatting sqref="X10">
    <cfRule type="cellIs" dxfId="15" priority="5" operator="equal">
      <formula>"Extremo"</formula>
    </cfRule>
    <cfRule type="cellIs" dxfId="14" priority="6" operator="equal">
      <formula>"Moderado"</formula>
    </cfRule>
    <cfRule type="cellIs" dxfId="13" priority="7" operator="equal">
      <formula>"Bajo"</formula>
    </cfRule>
    <cfRule type="cellIs" dxfId="12" priority="8" operator="equal">
      <formula>"Alto"</formula>
    </cfRule>
  </conditionalFormatting>
  <conditionalFormatting sqref="X11">
    <cfRule type="cellIs" dxfId="11" priority="1" operator="equal">
      <formula>"Extremo"</formula>
    </cfRule>
    <cfRule type="cellIs" dxfId="10" priority="2" operator="equal">
      <formula>"Moderado"</formula>
    </cfRule>
    <cfRule type="cellIs" dxfId="9" priority="3" operator="equal">
      <formula>"Bajo"</formula>
    </cfRule>
    <cfRule type="cellIs" dxfId="8" priority="4" operator="equal">
      <formula>"Alto"</formula>
    </cfRule>
  </conditionalFormatting>
  <dataValidations count="2">
    <dataValidation type="list" allowBlank="1" showInputMessage="1" showErrorMessage="1" sqref="X8:X11" xr:uid="{00000000-0002-0000-7000-000000000000}">
      <formula1>$U$4:$U$5</formula1>
    </dataValidation>
    <dataValidation type="list" allowBlank="1" showInputMessage="1" showErrorMessage="1" sqref="J7:J11" xr:uid="{00000000-0002-0000-7000-000001000000}">
      <formula1>"SI,NO"</formula1>
    </dataValidation>
  </dataValidations>
  <pageMargins left="7.874015748031496E-2" right="7.874015748031496E-2" top="1.1417322834645669" bottom="0.15748031496062992" header="0.31496062992125984" footer="0.31496062992125984"/>
  <pageSetup scale="38" orientation="landscape" horizontalDpi="1200" verticalDpi="1200" r:id="rId1"/>
  <headerFooter>
    <oddHeader>&amp;L&amp;G&amp;C
&amp;"-,Negrita"Matriz de Riesgos</oddHeader>
  </headerFooter>
  <rowBreaks count="2" manualBreakCount="2">
    <brk id="8" max="16383" man="1"/>
    <brk id="10" max="16383" man="1"/>
  </rowBreaks>
  <colBreaks count="1" manualBreakCount="1">
    <brk id="16" max="1048575" man="1"/>
  </col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7000-000002000000}">
          <x14:formula1>
            <xm:f>'C:\Users\sgomez.UPME\Documents\UPME 2020\Documents\Mapas de riesgos\[Mapa de riesgos. Gestion Juridica.xlsx]Datos'!#REF!</xm:f>
          </x14:formula1>
          <xm:sqref>G7:G11 X7 D7:D11</xm:sqref>
        </x14:dataValidation>
      </x14:dataValidations>
    </ext>
  </extLs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AD13"/>
  <sheetViews>
    <sheetView topLeftCell="I1" zoomScaleNormal="100" zoomScaleSheetLayoutView="160" workbookViewId="0">
      <selection activeCell="K9" sqref="K9"/>
    </sheetView>
  </sheetViews>
  <sheetFormatPr baseColWidth="10" defaultColWidth="10" defaultRowHeight="12.75" x14ac:dyDescent="0.2"/>
  <cols>
    <col min="1" max="1" width="6.625" style="811" customWidth="1"/>
    <col min="2" max="2" width="16.75" style="811" customWidth="1"/>
    <col min="3" max="3" width="40.5" style="811" customWidth="1"/>
    <col min="4" max="4" width="22" style="763" customWidth="1"/>
    <col min="5" max="5" width="38" style="763" customWidth="1"/>
    <col min="6" max="10" width="21.75" style="811" customWidth="1"/>
    <col min="11" max="11" width="33.875" style="811" customWidth="1"/>
    <col min="12" max="12" width="21.75" style="811" customWidth="1"/>
    <col min="13" max="17" width="19.25" style="825" hidden="1" customWidth="1"/>
    <col min="18" max="18" width="22.625" style="825" hidden="1" customWidth="1"/>
    <col min="19" max="19" width="19.25" style="825" hidden="1" customWidth="1"/>
    <col min="20" max="20" width="8" style="825" customWidth="1"/>
    <col min="21" max="22" width="18.125" style="825" customWidth="1"/>
    <col min="23" max="23" width="17.75" style="825" hidden="1" customWidth="1"/>
    <col min="24" max="24" width="16.25" style="825" hidden="1" customWidth="1"/>
    <col min="25" max="25" width="15.25" style="825" customWidth="1"/>
    <col min="26" max="26" width="18.875" style="825" customWidth="1"/>
    <col min="27" max="27" width="15.625" style="825" customWidth="1"/>
    <col min="28" max="28" width="23.125" style="825" customWidth="1"/>
    <col min="29" max="29" width="22.25" style="826" customWidth="1"/>
    <col min="30" max="30" width="26.5" style="826" customWidth="1"/>
    <col min="31" max="16384" width="10" style="811"/>
  </cols>
  <sheetData>
    <row r="1" spans="1:30" ht="15.75" customHeight="1" x14ac:dyDescent="0.2">
      <c r="A1" s="1630"/>
      <c r="B1" s="1630"/>
      <c r="C1" s="1630"/>
      <c r="D1" s="1631" t="s">
        <v>0</v>
      </c>
      <c r="E1" s="1631"/>
      <c r="F1" s="1631"/>
      <c r="G1" s="1631"/>
      <c r="H1" s="1631"/>
      <c r="I1" s="1631"/>
      <c r="J1" s="1631"/>
      <c r="K1" s="1631"/>
      <c r="L1" s="1631"/>
      <c r="M1" s="1631"/>
      <c r="N1" s="1631"/>
      <c r="O1" s="1631"/>
      <c r="P1" s="1631"/>
      <c r="Q1" s="1631"/>
      <c r="R1" s="1631"/>
      <c r="S1" s="1631"/>
      <c r="T1" s="1631"/>
      <c r="U1" s="1631"/>
      <c r="V1" s="1631"/>
      <c r="W1" s="1631"/>
      <c r="X1" s="1631"/>
      <c r="Y1" s="1631"/>
      <c r="Z1" s="1631"/>
      <c r="AA1" s="1631"/>
      <c r="AB1" s="1631"/>
      <c r="AC1" s="1632" t="s">
        <v>128</v>
      </c>
      <c r="AD1" s="1632"/>
    </row>
    <row r="2" spans="1:30" ht="15.75" customHeight="1" x14ac:dyDescent="0.2">
      <c r="A2" s="1630"/>
      <c r="B2" s="1630"/>
      <c r="C2" s="1630"/>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2"/>
      <c r="AD2" s="1632"/>
    </row>
    <row r="3" spans="1:30" ht="15.75" customHeight="1" x14ac:dyDescent="0.2">
      <c r="A3" s="1630"/>
      <c r="B3" s="1630"/>
      <c r="C3" s="1630"/>
      <c r="D3" s="1631"/>
      <c r="E3" s="1631"/>
      <c r="F3" s="1631"/>
      <c r="G3" s="1631"/>
      <c r="H3" s="1631"/>
      <c r="I3" s="1631"/>
      <c r="J3" s="1631"/>
      <c r="K3" s="1631"/>
      <c r="L3" s="1631"/>
      <c r="M3" s="1631"/>
      <c r="N3" s="1631"/>
      <c r="O3" s="1631"/>
      <c r="P3" s="1631"/>
      <c r="Q3" s="1631"/>
      <c r="R3" s="1631"/>
      <c r="S3" s="1631"/>
      <c r="T3" s="1631"/>
      <c r="U3" s="1631"/>
      <c r="V3" s="1631"/>
      <c r="W3" s="1631"/>
      <c r="X3" s="1631"/>
      <c r="Y3" s="1631"/>
      <c r="Z3" s="1631"/>
      <c r="AA3" s="1631"/>
      <c r="AB3" s="1631"/>
      <c r="AC3" s="1632" t="s">
        <v>2</v>
      </c>
      <c r="AD3" s="1632"/>
    </row>
    <row r="4" spans="1:30" ht="15.75" customHeight="1" x14ac:dyDescent="0.2">
      <c r="A4" s="1630"/>
      <c r="B4" s="1630"/>
      <c r="C4" s="1630"/>
      <c r="D4" s="1631"/>
      <c r="E4" s="1631"/>
      <c r="F4" s="1631"/>
      <c r="G4" s="1631"/>
      <c r="H4" s="1631"/>
      <c r="I4" s="1631"/>
      <c r="J4" s="1631"/>
      <c r="K4" s="1631"/>
      <c r="L4" s="1631"/>
      <c r="M4" s="1631"/>
      <c r="N4" s="1631"/>
      <c r="O4" s="1631"/>
      <c r="P4" s="1631"/>
      <c r="Q4" s="1631"/>
      <c r="R4" s="1631"/>
      <c r="S4" s="1631"/>
      <c r="T4" s="1631"/>
      <c r="U4" s="1631"/>
      <c r="V4" s="1631"/>
      <c r="W4" s="1631"/>
      <c r="X4" s="1631"/>
      <c r="Y4" s="1631"/>
      <c r="Z4" s="1631"/>
      <c r="AA4" s="1631"/>
      <c r="AB4" s="1631"/>
      <c r="AC4" s="1632"/>
      <c r="AD4" s="1632"/>
    </row>
    <row r="5" spans="1:30" ht="15.75" customHeight="1" x14ac:dyDescent="0.2">
      <c r="A5" s="1585" t="s">
        <v>36</v>
      </c>
      <c r="B5" s="1586"/>
      <c r="C5" s="1587"/>
      <c r="D5" s="1633" t="str">
        <f t="array" ref="D5">+'[18]Identificación del Riesgo GJ'!D5:N5</f>
        <v>GESTIÓN JURIDICA</v>
      </c>
      <c r="E5" s="1634"/>
      <c r="F5" s="1634"/>
      <c r="G5" s="1634"/>
      <c r="H5" s="1634"/>
      <c r="I5" s="1634"/>
      <c r="J5" s="1634"/>
      <c r="K5" s="1634"/>
      <c r="L5" s="1634"/>
      <c r="M5" s="1634"/>
      <c r="N5" s="1634"/>
      <c r="O5" s="1634"/>
      <c r="P5" s="1634"/>
      <c r="Q5" s="1634"/>
      <c r="R5" s="1634"/>
      <c r="S5" s="1634"/>
      <c r="T5" s="1634"/>
      <c r="U5" s="1634"/>
      <c r="V5" s="1634"/>
      <c r="W5" s="1634"/>
      <c r="X5" s="1634"/>
      <c r="Y5" s="1634"/>
      <c r="Z5" s="1634"/>
      <c r="AA5" s="1634"/>
      <c r="AB5" s="1634"/>
      <c r="AC5" s="1634"/>
      <c r="AD5" s="1634"/>
    </row>
    <row r="6" spans="1:30" ht="15.75" customHeight="1" thickBot="1" x14ac:dyDescent="0.25">
      <c r="A6" s="1585" t="s">
        <v>37</v>
      </c>
      <c r="B6" s="1586"/>
      <c r="C6" s="1587"/>
      <c r="D6" s="1633" t="str">
        <f t="array" ref="D6">+'[18]Identificación del Riesgo GJ'!D6:N6</f>
        <v>Asesorar y conceptuar sobre los asuntos jurídicos de competencia de la Entidad, representar a la UPME en los asuntos judiciales y extrajudiciales a través de asistencia jurídica especializada y gestionar la política de prevención del daño antijurídico</v>
      </c>
      <c r="E6" s="1634"/>
      <c r="F6" s="1634"/>
      <c r="G6" s="1634"/>
      <c r="H6" s="1634"/>
      <c r="I6" s="1634"/>
      <c r="J6" s="1634"/>
      <c r="K6" s="1634"/>
      <c r="L6" s="1634"/>
      <c r="M6" s="1634"/>
      <c r="N6" s="1634"/>
      <c r="O6" s="1634"/>
      <c r="P6" s="1634"/>
      <c r="Q6" s="1634"/>
      <c r="R6" s="1634"/>
      <c r="S6" s="1634"/>
      <c r="T6" s="1634"/>
      <c r="U6" s="1634"/>
      <c r="V6" s="1634"/>
      <c r="W6" s="1634"/>
      <c r="X6" s="1634"/>
      <c r="Y6" s="1634"/>
      <c r="Z6" s="1634"/>
      <c r="AA6" s="1634"/>
      <c r="AB6" s="1634"/>
      <c r="AC6" s="1634"/>
      <c r="AD6" s="1634"/>
    </row>
    <row r="7" spans="1:30" ht="15" customHeight="1" x14ac:dyDescent="0.2">
      <c r="A7" s="1635" t="s">
        <v>129</v>
      </c>
      <c r="B7" s="1636"/>
      <c r="C7" s="1636"/>
      <c r="D7" s="1636"/>
      <c r="E7" s="1636"/>
      <c r="F7" s="1636"/>
      <c r="G7" s="1636"/>
      <c r="H7" s="1636"/>
      <c r="I7" s="1636"/>
      <c r="J7" s="1636"/>
      <c r="K7" s="1636"/>
      <c r="L7" s="1636"/>
      <c r="M7" s="1636" t="s">
        <v>75</v>
      </c>
      <c r="N7" s="1636"/>
      <c r="O7" s="1636"/>
      <c r="P7" s="1636"/>
      <c r="Q7" s="1636"/>
      <c r="R7" s="1636"/>
      <c r="S7" s="1636"/>
      <c r="T7" s="1636"/>
      <c r="U7" s="1636"/>
      <c r="V7" s="1636"/>
      <c r="W7" s="1636"/>
      <c r="X7" s="1636"/>
      <c r="Y7" s="1636"/>
      <c r="Z7" s="1637" t="s">
        <v>130</v>
      </c>
      <c r="AA7" s="1637"/>
      <c r="AB7" s="1637"/>
      <c r="AC7" s="1638" t="s">
        <v>131</v>
      </c>
      <c r="AD7" s="1639"/>
    </row>
    <row r="8" spans="1:30" ht="51" x14ac:dyDescent="0.2">
      <c r="A8" s="812" t="s">
        <v>44</v>
      </c>
      <c r="B8" s="813" t="s">
        <v>64</v>
      </c>
      <c r="C8" s="813" t="s">
        <v>132</v>
      </c>
      <c r="D8" s="813" t="s">
        <v>73</v>
      </c>
      <c r="E8" s="813" t="s">
        <v>133</v>
      </c>
      <c r="F8" s="813" t="s">
        <v>134</v>
      </c>
      <c r="G8" s="813" t="s">
        <v>135</v>
      </c>
      <c r="H8" s="813" t="s">
        <v>136</v>
      </c>
      <c r="I8" s="813" t="s">
        <v>137</v>
      </c>
      <c r="J8" s="813" t="s">
        <v>138</v>
      </c>
      <c r="K8" s="813" t="s">
        <v>139</v>
      </c>
      <c r="L8" s="813" t="s">
        <v>140</v>
      </c>
      <c r="M8" s="813" t="s">
        <v>134</v>
      </c>
      <c r="N8" s="813" t="s">
        <v>135</v>
      </c>
      <c r="O8" s="813" t="s">
        <v>141</v>
      </c>
      <c r="P8" s="813" t="s">
        <v>137</v>
      </c>
      <c r="Q8" s="813" t="s">
        <v>138</v>
      </c>
      <c r="R8" s="813" t="s">
        <v>139</v>
      </c>
      <c r="S8" s="813" t="s">
        <v>140</v>
      </c>
      <c r="T8" s="814" t="s">
        <v>121</v>
      </c>
      <c r="U8" s="813" t="s">
        <v>142</v>
      </c>
      <c r="V8" s="813" t="s">
        <v>143</v>
      </c>
      <c r="W8" s="813" t="s">
        <v>142</v>
      </c>
      <c r="X8" s="813" t="s">
        <v>143</v>
      </c>
      <c r="Y8" s="813" t="s">
        <v>144</v>
      </c>
      <c r="Z8" s="813" t="s">
        <v>145</v>
      </c>
      <c r="AA8" s="813" t="s">
        <v>146</v>
      </c>
      <c r="AB8" s="813" t="s">
        <v>76</v>
      </c>
      <c r="AC8" s="813" t="s">
        <v>147</v>
      </c>
      <c r="AD8" s="815" t="s">
        <v>148</v>
      </c>
    </row>
    <row r="9" spans="1:30" s="780" customFormat="1" ht="118.5" customHeight="1" x14ac:dyDescent="0.2">
      <c r="A9" s="816">
        <f>'[18]Identificación del Riesgo GJ'!D9</f>
        <v>1</v>
      </c>
      <c r="B9" s="654" t="str">
        <f>'[18]Identificación del Riesgo GJ'!E9</f>
        <v xml:space="preserve">Personal con competencias desactualizadas </v>
      </c>
      <c r="C9" s="817" t="str">
        <f>'[18]Identificación del Riesgo GJ'!H9</f>
        <v>Falta de capacitación y actualización de competencias
Falta de capacitación en temas relacionados con otras areas de conocimiento afines a la misionalidad de la Entidad.</v>
      </c>
      <c r="D9" s="654" t="str">
        <f>'[18]Analisis Riesgo'!K7</f>
        <v>No se identifican controles existentes</v>
      </c>
      <c r="E9" s="654" t="str">
        <f>'[18]Analisis Riesgo'!L7</f>
        <v>No se identifican controles existentes</v>
      </c>
      <c r="F9" s="818"/>
      <c r="G9" s="818"/>
      <c r="H9" s="818"/>
      <c r="I9" s="818"/>
      <c r="J9" s="818"/>
      <c r="K9" s="819"/>
      <c r="L9" s="818"/>
      <c r="M9" s="820">
        <f>IF(F9="Asignado", 15,0)</f>
        <v>0</v>
      </c>
      <c r="N9" s="820">
        <f>IF(G9="Adecuado",15,0)</f>
        <v>0</v>
      </c>
      <c r="O9" s="820">
        <f t="shared" ref="O9:O13" si="0">IF(H9="Oportuna",15,0)</f>
        <v>0</v>
      </c>
      <c r="P9" s="820">
        <f t="shared" ref="P9:P13" si="1">IF(I9="Prevenir",15,IF(I9="Detectar",10,0))</f>
        <v>0</v>
      </c>
      <c r="Q9" s="820">
        <f t="shared" ref="Q9:Q13" si="2">IF(J9="Confiable", 15,0)</f>
        <v>0</v>
      </c>
      <c r="R9" s="820">
        <f t="shared" ref="R9:R13" si="3">IF(K9="Se invesigan y resuelven oportunamente",15,0)</f>
        <v>0</v>
      </c>
      <c r="S9" s="820">
        <f t="shared" ref="S9:S13" si="4">IF(L9="Completa",10,IF(L9="Incompleta",5,0))</f>
        <v>0</v>
      </c>
      <c r="T9" s="820">
        <f t="shared" ref="T9:T13" si="5">SUM(M9:S9)</f>
        <v>0</v>
      </c>
      <c r="U9" s="818"/>
      <c r="V9" s="818"/>
      <c r="W9" s="820">
        <f t="shared" ref="W9:W13" si="6">IF(U9="SI",1,0)*T9/100</f>
        <v>0</v>
      </c>
      <c r="X9" s="820">
        <f t="shared" ref="X9:X13" si="7">IF(V9="SI",1,0)*T9/100</f>
        <v>0</v>
      </c>
      <c r="Y9" s="820" t="str">
        <f t="shared" ref="Y9:Y13" si="8">IF(W9&gt;=0.96,"Fuerte",IF(W9&gt;=0.86,"Moderado","Debil"))</f>
        <v>Debil</v>
      </c>
      <c r="Z9" s="818"/>
      <c r="AA9" s="820" t="str">
        <f t="shared" ref="AA9:AA13" si="9">IF(Z9="Siempre se ejecuta","Fuerte",IF(Z9="Algunas veces se ejecuta","Moderado","Debil"))</f>
        <v>Debil</v>
      </c>
      <c r="AB9" s="820" t="str">
        <f>IF(Y9="Fuerte",IF(AA9="Fuerte","No","SI"),"SI")</f>
        <v>SI</v>
      </c>
      <c r="AC9" s="821"/>
      <c r="AD9" s="822"/>
    </row>
    <row r="10" spans="1:30" s="780" customFormat="1" ht="100.5" customHeight="1" x14ac:dyDescent="0.2">
      <c r="A10" s="816">
        <f>'[18]Identificación del Riesgo GJ'!D10</f>
        <v>2</v>
      </c>
      <c r="B10" s="654" t="str">
        <f>'[18]Identificación del Riesgo GJ'!E10</f>
        <v>Inadecuada defensa judicial y/o consultas juridicas</v>
      </c>
      <c r="C10" s="823" t="str">
        <f>'[18]Identificación del Riesgo GJ'!H10</f>
        <v xml:space="preserve">Conceptos juridicos encontrados entre los profesionales del area, sin conclusión oportuna sobre los temas
Personal sin las competencias requeridas
</v>
      </c>
      <c r="D10" s="654" t="str">
        <f>'[18]Analisis Riesgo'!K8</f>
        <v>Revisión de los conceptos juridicos por parte de la Coordinadora del grupo de trabajo de Gestión Juridica y contractual</v>
      </c>
      <c r="E10" s="654" t="str">
        <f>'[18]Analisis Riesgo'!L8</f>
        <v>Los conceptos juridicos son verificados y aprobados por parte de la Coordinadora del grupo de trabajo de Gestión Juridica y contractual</v>
      </c>
      <c r="F10" s="818" t="s">
        <v>833</v>
      </c>
      <c r="G10" s="818" t="s">
        <v>834</v>
      </c>
      <c r="H10" s="818" t="s">
        <v>867</v>
      </c>
      <c r="I10" s="818" t="s">
        <v>301</v>
      </c>
      <c r="J10" s="818" t="s">
        <v>869</v>
      </c>
      <c r="K10" s="819" t="s">
        <v>870</v>
      </c>
      <c r="L10" s="818" t="s">
        <v>304</v>
      </c>
      <c r="M10" s="820">
        <f t="shared" ref="M10:M13" si="10">IF(F10="Asignado", 15,0)</f>
        <v>0</v>
      </c>
      <c r="N10" s="820">
        <f t="shared" ref="N10:N13" si="11">IF(G10="Adecuado",15,0)</f>
        <v>0</v>
      </c>
      <c r="O10" s="820">
        <f t="shared" si="0"/>
        <v>0</v>
      </c>
      <c r="P10" s="820">
        <f t="shared" si="1"/>
        <v>15</v>
      </c>
      <c r="Q10" s="820">
        <f t="shared" si="2"/>
        <v>0</v>
      </c>
      <c r="R10" s="820">
        <f t="shared" si="3"/>
        <v>0</v>
      </c>
      <c r="S10" s="820">
        <f t="shared" si="4"/>
        <v>10</v>
      </c>
      <c r="T10" s="820">
        <f t="shared" si="5"/>
        <v>25</v>
      </c>
      <c r="U10" s="818" t="s">
        <v>263</v>
      </c>
      <c r="V10" s="818" t="s">
        <v>263</v>
      </c>
      <c r="W10" s="820">
        <f t="shared" si="6"/>
        <v>0</v>
      </c>
      <c r="X10" s="820">
        <f t="shared" si="7"/>
        <v>0</v>
      </c>
      <c r="Y10" s="820" t="str">
        <f t="shared" si="8"/>
        <v>Debil</v>
      </c>
      <c r="Z10" s="818" t="s">
        <v>1368</v>
      </c>
      <c r="AA10" s="820" t="str">
        <f t="shared" si="9"/>
        <v>Moderado</v>
      </c>
      <c r="AB10" s="820" t="str">
        <f t="shared" ref="AB10:AB13" si="12">IF(Y10="Fuerte",IF(AA10="Fuerte","No","SI"),"SI")</f>
        <v>SI</v>
      </c>
      <c r="AC10" s="824" t="s">
        <v>1369</v>
      </c>
      <c r="AD10" s="822"/>
    </row>
    <row r="11" spans="1:30" s="780" customFormat="1" ht="99" customHeight="1" x14ac:dyDescent="0.2">
      <c r="A11" s="816">
        <f>'[18]Identificación del Riesgo GJ'!D11</f>
        <v>3</v>
      </c>
      <c r="B11" s="654" t="str">
        <f>'[18]Identificación del Riesgo GJ'!E11</f>
        <v>Recepción de solicitudes y/o requerimientos de concepto, que no son de competencia del proceso juridico</v>
      </c>
      <c r="C11" s="823" t="str">
        <f>'[18]Identificación del Riesgo GJ'!H11</f>
        <v xml:space="preserve">No existe uniformidad para la solicitud de conceptos juridicos por parte de los otros procesos
Desconocimiento de las competencias del proceso juridico, por parte de las dependencias 
</v>
      </c>
      <c r="D11" s="654" t="str">
        <f>'[18]Analisis Riesgo'!K9</f>
        <v>No se identifican controles existentes</v>
      </c>
      <c r="E11" s="654" t="str">
        <f>'[18]Analisis Riesgo'!L9</f>
        <v>No se identifican controles existentes</v>
      </c>
      <c r="F11" s="818"/>
      <c r="G11" s="818"/>
      <c r="H11" s="818"/>
      <c r="I11" s="818"/>
      <c r="J11" s="818"/>
      <c r="K11" s="819"/>
      <c r="L11" s="818"/>
      <c r="M11" s="820">
        <f t="shared" si="10"/>
        <v>0</v>
      </c>
      <c r="N11" s="820">
        <f t="shared" si="11"/>
        <v>0</v>
      </c>
      <c r="O11" s="820">
        <f t="shared" si="0"/>
        <v>0</v>
      </c>
      <c r="P11" s="820">
        <f t="shared" si="1"/>
        <v>0</v>
      </c>
      <c r="Q11" s="820">
        <f t="shared" si="2"/>
        <v>0</v>
      </c>
      <c r="R11" s="820">
        <f t="shared" si="3"/>
        <v>0</v>
      </c>
      <c r="S11" s="820">
        <f t="shared" si="4"/>
        <v>0</v>
      </c>
      <c r="T11" s="820">
        <f t="shared" si="5"/>
        <v>0</v>
      </c>
      <c r="U11" s="818"/>
      <c r="V11" s="818"/>
      <c r="W11" s="820">
        <f t="shared" si="6"/>
        <v>0</v>
      </c>
      <c r="X11" s="820">
        <f t="shared" si="7"/>
        <v>0</v>
      </c>
      <c r="Y11" s="820" t="str">
        <f t="shared" si="8"/>
        <v>Debil</v>
      </c>
      <c r="Z11" s="818"/>
      <c r="AA11" s="820" t="str">
        <f t="shared" si="9"/>
        <v>Debil</v>
      </c>
      <c r="AB11" s="820" t="str">
        <f t="shared" si="12"/>
        <v>SI</v>
      </c>
      <c r="AC11" s="854"/>
      <c r="AD11" s="822"/>
    </row>
    <row r="12" spans="1:30" s="780" customFormat="1" ht="106.5" customHeight="1" x14ac:dyDescent="0.2">
      <c r="A12" s="816">
        <f>'[18]Identificación del Riesgo GJ'!D12</f>
        <v>4</v>
      </c>
      <c r="B12" s="654" t="str">
        <f>'[18]Identificación del Riesgo GJ'!E12</f>
        <v>Normatividad desarticulada y/o desactualizada</v>
      </c>
      <c r="C12" s="823" t="str">
        <f>'[18]Identificación del Riesgo GJ'!H12</f>
        <v>Normograma desactualizado</v>
      </c>
      <c r="D12" s="654" t="str">
        <f>'[18]Analisis Riesgo'!K10</f>
        <v>No se identifican controles existentes</v>
      </c>
      <c r="E12" s="654" t="str">
        <f>'[18]Analisis Riesgo'!L10</f>
        <v>No se identifican controles existentes</v>
      </c>
      <c r="F12" s="818"/>
      <c r="G12" s="818"/>
      <c r="H12" s="818"/>
      <c r="I12" s="818"/>
      <c r="J12" s="818"/>
      <c r="K12" s="819"/>
      <c r="L12" s="818"/>
      <c r="M12" s="820">
        <f t="shared" si="10"/>
        <v>0</v>
      </c>
      <c r="N12" s="820">
        <f t="shared" si="11"/>
        <v>0</v>
      </c>
      <c r="O12" s="820">
        <f t="shared" si="0"/>
        <v>0</v>
      </c>
      <c r="P12" s="820">
        <f t="shared" si="1"/>
        <v>0</v>
      </c>
      <c r="Q12" s="820">
        <f t="shared" si="2"/>
        <v>0</v>
      </c>
      <c r="R12" s="820">
        <f t="shared" si="3"/>
        <v>0</v>
      </c>
      <c r="S12" s="820">
        <f t="shared" si="4"/>
        <v>0</v>
      </c>
      <c r="T12" s="820">
        <f t="shared" si="5"/>
        <v>0</v>
      </c>
      <c r="U12" s="818"/>
      <c r="V12" s="818"/>
      <c r="W12" s="820">
        <f t="shared" si="6"/>
        <v>0</v>
      </c>
      <c r="X12" s="820">
        <f t="shared" si="7"/>
        <v>0</v>
      </c>
      <c r="Y12" s="820" t="str">
        <f t="shared" si="8"/>
        <v>Debil</v>
      </c>
      <c r="Z12" s="818"/>
      <c r="AA12" s="820" t="str">
        <f t="shared" si="9"/>
        <v>Debil</v>
      </c>
      <c r="AB12" s="820" t="str">
        <f t="shared" si="12"/>
        <v>SI</v>
      </c>
      <c r="AC12" s="897"/>
      <c r="AD12" s="822"/>
    </row>
    <row r="13" spans="1:30" s="780" customFormat="1" ht="106.5" customHeight="1" x14ac:dyDescent="0.2">
      <c r="A13" s="816">
        <f>'[18]Identificación del Riesgo GJ'!D13</f>
        <v>5</v>
      </c>
      <c r="B13" s="654" t="str">
        <f>'[18]Identificación del Riesgo GJ'!E13</f>
        <v>Favorecimiento de terceros mediante la orientación de conceptos juridicos o procesos de defensa judicial</v>
      </c>
      <c r="C13" s="823" t="str">
        <f>'[18]Identificación del Riesgo GJ'!H13</f>
        <v xml:space="preserve">Manipulación de los abogados apoderados mediante dadivas
No existe una instancia donde se discutan y concluyan los conceptos juridicos
</v>
      </c>
      <c r="D13" s="654" t="str">
        <f>'[18]Analisis Riesgo'!K11</f>
        <v>No se identifican controles existentes</v>
      </c>
      <c r="E13" s="654" t="str">
        <f>'[18]Analisis Riesgo'!L11</f>
        <v>No se identifican controles existentes</v>
      </c>
      <c r="F13" s="818"/>
      <c r="G13" s="818"/>
      <c r="H13" s="818"/>
      <c r="I13" s="818"/>
      <c r="J13" s="818"/>
      <c r="K13" s="819"/>
      <c r="L13" s="818"/>
      <c r="M13" s="820">
        <f t="shared" si="10"/>
        <v>0</v>
      </c>
      <c r="N13" s="820">
        <f t="shared" si="11"/>
        <v>0</v>
      </c>
      <c r="O13" s="820">
        <f t="shared" si="0"/>
        <v>0</v>
      </c>
      <c r="P13" s="820">
        <f t="shared" si="1"/>
        <v>0</v>
      </c>
      <c r="Q13" s="820">
        <f t="shared" si="2"/>
        <v>0</v>
      </c>
      <c r="R13" s="820">
        <f t="shared" si="3"/>
        <v>0</v>
      </c>
      <c r="S13" s="820">
        <f t="shared" si="4"/>
        <v>0</v>
      </c>
      <c r="T13" s="820">
        <f t="shared" si="5"/>
        <v>0</v>
      </c>
      <c r="U13" s="818"/>
      <c r="V13" s="818"/>
      <c r="W13" s="820">
        <f t="shared" si="6"/>
        <v>0</v>
      </c>
      <c r="X13" s="820">
        <f t="shared" si="7"/>
        <v>0</v>
      </c>
      <c r="Y13" s="820" t="str">
        <f t="shared" si="8"/>
        <v>Debil</v>
      </c>
      <c r="Z13" s="818"/>
      <c r="AA13" s="820" t="str">
        <f t="shared" si="9"/>
        <v>Debil</v>
      </c>
      <c r="AB13" s="820" t="str">
        <f t="shared" si="12"/>
        <v>SI</v>
      </c>
      <c r="AC13" s="897"/>
      <c r="AD13" s="822"/>
    </row>
  </sheetData>
  <mergeCells count="12">
    <mergeCell ref="A6:C6"/>
    <mergeCell ref="D6:AD6"/>
    <mergeCell ref="A7:L7"/>
    <mergeCell ref="M7:Y7"/>
    <mergeCell ref="Z7:AB7"/>
    <mergeCell ref="AC7:AD7"/>
    <mergeCell ref="A1:C4"/>
    <mergeCell ref="D1:AB4"/>
    <mergeCell ref="AC1:AD2"/>
    <mergeCell ref="AC3:AD4"/>
    <mergeCell ref="A5:C5"/>
    <mergeCell ref="D5:AD5"/>
  </mergeCells>
  <dataValidations count="18">
    <dataValidation type="list" allowBlank="1" showInputMessage="1" showErrorMessage="1" sqref="Z10:Z13" xr:uid="{00000000-0002-0000-7100-000000000000}">
      <formula1>"Siempre se ejecuta,Algunas veces se ejecuta,No se ejecuta"</formula1>
    </dataValidation>
    <dataValidation type="list" allowBlank="1" showInputMessage="1" showErrorMessage="1" sqref="F10:F13" xr:uid="{00000000-0002-0000-7100-000001000000}">
      <formula1>"Asignado, No asignado"</formula1>
    </dataValidation>
    <dataValidation type="list" allowBlank="1" showInputMessage="1" showErrorMessage="1" sqref="G10:G13" xr:uid="{00000000-0002-0000-7100-000002000000}">
      <formula1>"Adecuado, Inadecuado"</formula1>
    </dataValidation>
    <dataValidation type="list" allowBlank="1" showInputMessage="1" showErrorMessage="1" sqref="H10:H13" xr:uid="{00000000-0002-0000-7100-000003000000}">
      <formula1>"Oportuna, Inoportuna"</formula1>
    </dataValidation>
    <dataValidation type="list" allowBlank="1" showInputMessage="1" showErrorMessage="1" sqref="I10:I13" xr:uid="{00000000-0002-0000-7100-000004000000}">
      <formula1>"Prevenir, Detectar, No es un control"</formula1>
    </dataValidation>
    <dataValidation type="list" allowBlank="1" showInputMessage="1" showErrorMessage="1" sqref="J10:J13" xr:uid="{00000000-0002-0000-7100-000005000000}">
      <formula1>"Confiable, No Confiable"</formula1>
    </dataValidation>
    <dataValidation type="list" allowBlank="1" showInputMessage="1" showErrorMessage="1" sqref="K10:K13" xr:uid="{00000000-0002-0000-7100-000006000000}">
      <formula1>"Se invesigan y resuelven oportunamente, No se investigan y resuelven oportunamente"</formula1>
    </dataValidation>
    <dataValidation type="list" allowBlank="1" showInputMessage="1" showErrorMessage="1" sqref="L10:L13" xr:uid="{00000000-0002-0000-7100-000007000000}">
      <formula1>"Completa, Incompleta, No existe"</formula1>
    </dataValidation>
    <dataValidation type="list" allowBlank="1" showInputMessage="1" showErrorMessage="1" sqref="U10:V13" xr:uid="{00000000-0002-0000-7100-000008000000}">
      <formula1>"SI, NO"</formula1>
    </dataValidation>
    <dataValidation type="list" allowBlank="1" showInputMessage="1" showErrorMessage="1" sqref="Z9" xr:uid="{00000000-0002-0000-7100-000009000000}">
      <formula1>"Siempre se ejecuta,Algunas veces se ejecuta,No se ejecuta,Seleccione"</formula1>
    </dataValidation>
    <dataValidation type="list" allowBlank="1" showInputMessage="1" showErrorMessage="1" sqref="U9:V9" xr:uid="{00000000-0002-0000-7100-00000A000000}">
      <formula1>"SI, NO,Seleccione"</formula1>
    </dataValidation>
    <dataValidation type="list" allowBlank="1" showInputMessage="1" showErrorMessage="1" sqref="L9" xr:uid="{00000000-0002-0000-7100-00000B000000}">
      <formula1>"Completa, Incompleta, No existe,Seleccione"</formula1>
    </dataValidation>
    <dataValidation type="list" allowBlank="1" showInputMessage="1" showErrorMessage="1" sqref="K9" xr:uid="{00000000-0002-0000-7100-00000C000000}">
      <formula1>"Se investigan y resuelven oportunamente, No se investigan y resuelven oportunamente,Seleccione"</formula1>
    </dataValidation>
    <dataValidation type="list" allowBlank="1" showInputMessage="1" showErrorMessage="1" sqref="J9" xr:uid="{00000000-0002-0000-7100-00000D000000}">
      <formula1>"Confiable, No Confiable,Seleccione"</formula1>
    </dataValidation>
    <dataValidation type="list" allowBlank="1" showInputMessage="1" showErrorMessage="1" sqref="I9" xr:uid="{00000000-0002-0000-7100-00000E000000}">
      <formula1>"Prevenir, Detectar, No es un control,Seleccione"</formula1>
    </dataValidation>
    <dataValidation type="list" allowBlank="1" showInputMessage="1" showErrorMessage="1" sqref="H9" xr:uid="{00000000-0002-0000-7100-00000F000000}">
      <formula1>"Oportuna, Inoportuna,Seleccione"</formula1>
    </dataValidation>
    <dataValidation type="list" allowBlank="1" showInputMessage="1" showErrorMessage="1" sqref="G9" xr:uid="{00000000-0002-0000-7100-000010000000}">
      <formula1>"Adecuado, Inadecuado,Seleccione"</formula1>
    </dataValidation>
    <dataValidation type="list" allowBlank="1" showInputMessage="1" showErrorMessage="1" sqref="F9" xr:uid="{00000000-0002-0000-7100-000011000000}">
      <formula1>"Asignado, No asignado, Seleccione"</formula1>
    </dataValidation>
  </dataValidations>
  <pageMargins left="0.11811023622047245" right="0.11811023622047245" top="1.1417322834645669" bottom="0.74803149606299213" header="0.31496062992125984" footer="0.31496062992125984"/>
  <pageSetup scale="36" orientation="landscape" horizontalDpi="1200" verticalDpi="1200" r:id="rId1"/>
  <headerFooter>
    <oddHeader>&amp;L&amp;G&amp;C
&amp;"-,Negrita"Matriz de Riesgos</oddHeader>
  </headerFooter>
  <rowBreaks count="2" manualBreakCount="2">
    <brk id="10" max="16383" man="1"/>
    <brk id="12" max="16383" man="1"/>
  </rowBreaks>
  <colBreaks count="1" manualBreakCount="1">
    <brk id="12" max="1048575" man="1"/>
  </colBreaks>
  <drawing r:id="rId2"/>
  <legacyDrawingHF r:id="rId3"/>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X9"/>
  <sheetViews>
    <sheetView topLeftCell="M1" zoomScale="85" zoomScaleNormal="85" workbookViewId="0">
      <selection activeCell="P9" sqref="P9"/>
    </sheetView>
  </sheetViews>
  <sheetFormatPr baseColWidth="10" defaultRowHeight="18" customHeight="1" x14ac:dyDescent="0.2"/>
  <cols>
    <col min="1" max="1" width="3.625" style="534" customWidth="1"/>
    <col min="2" max="2" width="28.75" style="534" customWidth="1"/>
    <col min="3" max="3" width="48.375" style="534" customWidth="1"/>
    <col min="4" max="4" width="38.5" style="534" customWidth="1"/>
    <col min="5" max="5" width="20.5" style="534" customWidth="1"/>
    <col min="6" max="6" width="15.75" style="534" customWidth="1"/>
    <col min="7" max="7" width="23" style="534" customWidth="1"/>
    <col min="8" max="10" width="19.375" style="534" customWidth="1"/>
    <col min="11" max="11" width="18.25" style="534" customWidth="1"/>
    <col min="12" max="12" width="57.25" style="534" customWidth="1"/>
    <col min="13" max="13" width="27.25" style="534" customWidth="1"/>
    <col min="14" max="14" width="10.75" style="534" customWidth="1"/>
    <col min="15" max="15" width="24.375" style="534" customWidth="1"/>
    <col min="16" max="16" width="27.25" style="534" customWidth="1"/>
    <col min="17" max="22" width="25.75" style="534" customWidth="1"/>
    <col min="23" max="23" width="33.5" style="534" customWidth="1"/>
    <col min="24" max="24" width="45.625" style="534" customWidth="1"/>
    <col min="25" max="16384" width="11" style="534"/>
  </cols>
  <sheetData>
    <row r="1" spans="1:24" ht="18.75" x14ac:dyDescent="0.2">
      <c r="A1" s="1179"/>
      <c r="B1" s="1179"/>
      <c r="C1" s="1179"/>
      <c r="D1" s="1180" t="s">
        <v>314</v>
      </c>
      <c r="E1" s="1181"/>
      <c r="F1" s="1181"/>
      <c r="G1" s="1181"/>
      <c r="H1" s="1181"/>
      <c r="I1" s="1181"/>
      <c r="J1" s="1181"/>
      <c r="K1" s="1181"/>
      <c r="L1" s="1181"/>
      <c r="M1" s="1181"/>
      <c r="N1" s="1181"/>
      <c r="O1" s="1181"/>
      <c r="P1" s="1181"/>
      <c r="Q1" s="1181"/>
      <c r="R1" s="1181"/>
      <c r="S1" s="1181"/>
      <c r="T1" s="1181"/>
      <c r="U1" s="1181"/>
      <c r="V1" s="1182"/>
      <c r="W1" s="532" t="s">
        <v>315</v>
      </c>
      <c r="X1" s="533"/>
    </row>
    <row r="2" spans="1:24" ht="19.5" thickBot="1" x14ac:dyDescent="0.25">
      <c r="A2" s="1179"/>
      <c r="B2" s="1179"/>
      <c r="C2" s="1179"/>
      <c r="D2" s="1183"/>
      <c r="E2" s="1184"/>
      <c r="F2" s="1184"/>
      <c r="G2" s="1184"/>
      <c r="H2" s="1184"/>
      <c r="I2" s="1184"/>
      <c r="J2" s="1184"/>
      <c r="K2" s="1184"/>
      <c r="L2" s="1184"/>
      <c r="M2" s="1184"/>
      <c r="N2" s="1184"/>
      <c r="O2" s="1184"/>
      <c r="P2" s="1184"/>
      <c r="Q2" s="1184"/>
      <c r="R2" s="1184"/>
      <c r="S2" s="1184"/>
      <c r="T2" s="1184"/>
      <c r="U2" s="1184"/>
      <c r="V2" s="1185"/>
      <c r="W2" s="532" t="s">
        <v>316</v>
      </c>
      <c r="X2" s="533"/>
    </row>
    <row r="3" spans="1:24" ht="30" x14ac:dyDescent="0.25">
      <c r="A3" s="1186" t="s">
        <v>57</v>
      </c>
      <c r="B3" s="1187"/>
      <c r="C3" s="1187"/>
      <c r="D3" s="1187"/>
      <c r="E3" s="1187"/>
      <c r="F3" s="1187"/>
      <c r="G3" s="1188"/>
      <c r="H3" s="1189"/>
      <c r="I3" s="1189"/>
      <c r="J3" s="1189"/>
      <c r="K3" s="1189"/>
      <c r="L3" s="1649" t="s">
        <v>60</v>
      </c>
      <c r="M3" s="1650"/>
      <c r="N3" s="1650"/>
      <c r="O3" s="1650"/>
      <c r="P3" s="1651"/>
      <c r="Q3" s="1652" t="s">
        <v>61</v>
      </c>
      <c r="R3" s="1653"/>
      <c r="S3" s="1653"/>
      <c r="T3" s="1653"/>
      <c r="U3" s="1653"/>
      <c r="V3" s="1654"/>
      <c r="W3" s="855" t="s">
        <v>62</v>
      </c>
      <c r="X3" s="855" t="s">
        <v>63</v>
      </c>
    </row>
    <row r="4" spans="1:24" ht="39" thickBot="1" x14ac:dyDescent="0.25">
      <c r="A4" s="698" t="s">
        <v>44</v>
      </c>
      <c r="B4" s="699" t="s">
        <v>64</v>
      </c>
      <c r="C4" s="699" t="s">
        <v>65</v>
      </c>
      <c r="D4" s="699" t="s">
        <v>317</v>
      </c>
      <c r="E4" s="699" t="s">
        <v>68</v>
      </c>
      <c r="F4" s="699" t="s">
        <v>69</v>
      </c>
      <c r="G4" s="700" t="s">
        <v>71</v>
      </c>
      <c r="H4" s="699" t="s">
        <v>81</v>
      </c>
      <c r="I4" s="699" t="s">
        <v>82</v>
      </c>
      <c r="J4" s="699" t="s">
        <v>83</v>
      </c>
      <c r="K4" s="701" t="s">
        <v>84</v>
      </c>
      <c r="L4" s="827" t="s">
        <v>85</v>
      </c>
      <c r="M4" s="828" t="s">
        <v>86</v>
      </c>
      <c r="N4" s="828" t="s">
        <v>87</v>
      </c>
      <c r="O4" s="828" t="s">
        <v>88</v>
      </c>
      <c r="P4" s="829" t="s">
        <v>89</v>
      </c>
      <c r="Q4" s="827" t="s">
        <v>90</v>
      </c>
      <c r="R4" s="828" t="s">
        <v>91</v>
      </c>
      <c r="S4" s="828" t="s">
        <v>92</v>
      </c>
      <c r="T4" s="828" t="s">
        <v>91</v>
      </c>
      <c r="U4" s="828" t="s">
        <v>93</v>
      </c>
      <c r="V4" s="829" t="s">
        <v>91</v>
      </c>
      <c r="W4" s="830" t="s">
        <v>94</v>
      </c>
      <c r="X4" s="830" t="s">
        <v>95</v>
      </c>
    </row>
    <row r="5" spans="1:24" ht="161.25" customHeight="1" x14ac:dyDescent="0.2">
      <c r="A5" s="703">
        <v>1</v>
      </c>
      <c r="B5" s="703" t="str">
        <f>+'[18]Identificación del Riesgo GJ'!E9</f>
        <v xml:space="preserve">Personal con competencias desactualizadas </v>
      </c>
      <c r="C5" s="703" t="str">
        <f>+'[18]Identificación del Riesgo GJ'!H9</f>
        <v>Falta de capacitación y actualización de competencias
Falta de capacitación en temas relacionados con otras areas de conocimiento afines a la misionalidad de la Entidad.</v>
      </c>
      <c r="D5" s="703" t="str">
        <f>+'[18]Identificación del Riesgo GJ'!I9</f>
        <v>Perdida de los procesos
Vencimiento de terminos
Conceptos juridicos errados
Reprocesos</v>
      </c>
      <c r="E5" s="705" t="str">
        <f>+'[18]Analisis Riesgo'!F7</f>
        <v>Casi Seguro</v>
      </c>
      <c r="F5" s="705" t="str">
        <f>+'[18]Analisis Riesgo'!G7</f>
        <v>Menor</v>
      </c>
      <c r="G5" s="831" t="str">
        <f>+'[18]Analisis Riesgo'!I7</f>
        <v>ALTO</v>
      </c>
      <c r="H5" s="705" t="str">
        <f>+'[18]Analisis Riesgo'!U7</f>
        <v>Casi Seguro</v>
      </c>
      <c r="I5" s="705" t="str">
        <f>+'[18]Analisis Riesgo'!V7</f>
        <v>Menor</v>
      </c>
      <c r="J5" s="831" t="str">
        <f>+'[18]Analisis Riesgo'!W7</f>
        <v>ALTO</v>
      </c>
      <c r="K5" s="703" t="str">
        <f>+'[18]Analisis Riesgo'!X7</f>
        <v>Reducir el riesgo</v>
      </c>
      <c r="L5" s="725" t="s">
        <v>1370</v>
      </c>
      <c r="M5" s="726" t="s">
        <v>1371</v>
      </c>
      <c r="N5" s="860" t="s">
        <v>1372</v>
      </c>
      <c r="O5" s="860" t="s">
        <v>1373</v>
      </c>
      <c r="P5" s="736" t="s">
        <v>1374</v>
      </c>
      <c r="Q5" s="856"/>
      <c r="R5" s="857"/>
      <c r="S5" s="857"/>
      <c r="T5" s="857"/>
      <c r="U5" s="857"/>
      <c r="V5" s="858"/>
      <c r="W5" s="859"/>
      <c r="X5" s="859"/>
    </row>
    <row r="6" spans="1:24" ht="156.75" x14ac:dyDescent="0.2">
      <c r="A6" s="703">
        <v>2</v>
      </c>
      <c r="B6" s="703" t="str">
        <f>+'[18]Identificación del Riesgo GJ'!E10</f>
        <v>Inadecuada defensa judicial y/o consultas juridicas</v>
      </c>
      <c r="C6" s="703" t="str">
        <f>+'[18]Identificación del Riesgo GJ'!H10</f>
        <v xml:space="preserve">Conceptos juridicos encontrados entre los profesionales del area, sin conclusión oportuna sobre los temas
Personal sin las competencias requeridas
</v>
      </c>
      <c r="D6" s="703" t="str">
        <f>+'[18]Identificación del Riesgo GJ'!I10</f>
        <v>Perdida de los procesos
Vencimiento de terminos
Conceptos juridicos errados
Reprocesos
Falta de credibilidad del equipo Juridico
Imagen institucional debilitada</v>
      </c>
      <c r="E6" s="705" t="str">
        <f>+'[18]Analisis Riesgo'!F8</f>
        <v>Probable</v>
      </c>
      <c r="F6" s="705" t="str">
        <f>+'[18]Analisis Riesgo'!G8</f>
        <v>Moderado</v>
      </c>
      <c r="G6" s="831" t="str">
        <f>+'[18]Analisis Riesgo'!I8</f>
        <v>ALTO</v>
      </c>
      <c r="H6" s="705" t="str">
        <f>+'[18]Analisis Riesgo'!U8</f>
        <v>Probable</v>
      </c>
      <c r="I6" s="705" t="str">
        <f>+'[18]Analisis Riesgo'!V8</f>
        <v>Moderado</v>
      </c>
      <c r="J6" s="831" t="str">
        <f>+'[18]Analisis Riesgo'!W8</f>
        <v>ALTO</v>
      </c>
      <c r="K6" s="703" t="str">
        <f>+'[18]Analisis Riesgo'!X8</f>
        <v>Reducir el riesgo</v>
      </c>
      <c r="L6" s="738" t="s">
        <v>1375</v>
      </c>
      <c r="M6" s="726" t="s">
        <v>1376</v>
      </c>
      <c r="N6" s="860">
        <v>44256</v>
      </c>
      <c r="O6" s="860" t="s">
        <v>1377</v>
      </c>
      <c r="P6" s="736" t="s">
        <v>1378</v>
      </c>
      <c r="Q6" s="837"/>
      <c r="R6" s="838"/>
      <c r="S6" s="838"/>
      <c r="T6" s="838"/>
      <c r="U6" s="838"/>
      <c r="V6" s="839"/>
      <c r="W6" s="840"/>
      <c r="X6" s="840"/>
    </row>
    <row r="7" spans="1:24" ht="99.75" x14ac:dyDescent="0.2">
      <c r="A7" s="703">
        <v>3</v>
      </c>
      <c r="B7" s="703" t="str">
        <f>+'[18]Identificación del Riesgo GJ'!E11</f>
        <v>Recepción de solicitudes y/o requerimientos de concepto, que no son de competencia del proceso juridico</v>
      </c>
      <c r="C7" s="703" t="str">
        <f>+'[18]Identificación del Riesgo GJ'!H11</f>
        <v xml:space="preserve">No existe uniformidad para la solicitud de conceptos juridicos por parte de los otros procesos
Desconocimiento de las competencias del proceso juridico, por parte de las dependencias 
</v>
      </c>
      <c r="D7" s="703" t="str">
        <f>+'[18]Identificación del Riesgo GJ'!I11</f>
        <v>Recarga laboral
Desatención de actividades propias del proceso</v>
      </c>
      <c r="E7" s="705" t="str">
        <f>+'[18]Analisis Riesgo'!F9</f>
        <v>Casi Seguro</v>
      </c>
      <c r="F7" s="705" t="str">
        <f>+'[18]Analisis Riesgo'!G9</f>
        <v>Insignificante</v>
      </c>
      <c r="G7" s="831" t="str">
        <f>+'[18]Analisis Riesgo'!I9</f>
        <v>ALTO</v>
      </c>
      <c r="H7" s="705" t="str">
        <f>+'[18]Analisis Riesgo'!U9</f>
        <v>Casi Seguro</v>
      </c>
      <c r="I7" s="705" t="str">
        <f>+'[18]Analisis Riesgo'!V9</f>
        <v>Insignificante</v>
      </c>
      <c r="J7" s="831" t="str">
        <f>+'[18]Analisis Riesgo'!W9</f>
        <v>ALTO</v>
      </c>
      <c r="K7" s="703" t="str">
        <f>+'[18]Analisis Riesgo'!X9</f>
        <v>Reducir el riesgo</v>
      </c>
      <c r="L7" s="734" t="s">
        <v>1379</v>
      </c>
      <c r="M7" s="708" t="s">
        <v>1380</v>
      </c>
      <c r="N7" s="860">
        <v>44256</v>
      </c>
      <c r="O7" s="860" t="s">
        <v>1377</v>
      </c>
      <c r="P7" s="733" t="s">
        <v>1381</v>
      </c>
      <c r="Q7" s="837"/>
      <c r="R7" s="838"/>
      <c r="S7" s="838"/>
      <c r="T7" s="838"/>
      <c r="U7" s="838"/>
      <c r="V7" s="839"/>
      <c r="W7" s="840"/>
      <c r="X7" s="840"/>
    </row>
    <row r="8" spans="1:24" ht="42.75" x14ac:dyDescent="0.2">
      <c r="A8" s="703">
        <v>4</v>
      </c>
      <c r="B8" s="703" t="str">
        <f>+'[18]Identificación del Riesgo GJ'!E12</f>
        <v>Normatividad desarticulada y/o desactualizada</v>
      </c>
      <c r="C8" s="703" t="str">
        <f>+'[18]Identificación del Riesgo GJ'!H12</f>
        <v>Normograma desactualizado</v>
      </c>
      <c r="D8" s="703" t="str">
        <f>+'[18]Identificación del Riesgo GJ'!I12</f>
        <v>Sanciones por desconocimiento de normatividad vigente</v>
      </c>
      <c r="E8" s="705" t="str">
        <f>+'[18]Analisis Riesgo'!F10</f>
        <v>Casi Seguro</v>
      </c>
      <c r="F8" s="705" t="str">
        <f>+'[18]Analisis Riesgo'!G10</f>
        <v>Menor</v>
      </c>
      <c r="G8" s="831" t="str">
        <f>+'[18]Analisis Riesgo'!I10</f>
        <v>ALTO</v>
      </c>
      <c r="H8" s="705" t="str">
        <f>+'[18]Analisis Riesgo'!U10</f>
        <v>Casi Seguro</v>
      </c>
      <c r="I8" s="705" t="str">
        <f>+'[18]Analisis Riesgo'!V10</f>
        <v>Menor</v>
      </c>
      <c r="J8" s="831" t="str">
        <f>+'[18]Analisis Riesgo'!W10</f>
        <v>ALTO</v>
      </c>
      <c r="K8" s="703" t="str">
        <f>+'[18]Analisis Riesgo'!X10</f>
        <v>Reducir el riesgo</v>
      </c>
      <c r="L8" s="734" t="s">
        <v>1382</v>
      </c>
      <c r="M8" s="708" t="s">
        <v>1383</v>
      </c>
      <c r="N8" s="860">
        <v>44256</v>
      </c>
      <c r="O8" s="860" t="s">
        <v>1377</v>
      </c>
      <c r="P8" s="733" t="s">
        <v>1384</v>
      </c>
      <c r="Q8" s="837"/>
      <c r="R8" s="838"/>
      <c r="S8" s="838"/>
      <c r="T8" s="838"/>
      <c r="U8" s="838"/>
      <c r="V8" s="839"/>
      <c r="W8" s="840"/>
      <c r="X8" s="840"/>
    </row>
    <row r="9" spans="1:24" ht="156.75" x14ac:dyDescent="0.2">
      <c r="A9" s="703">
        <v>5</v>
      </c>
      <c r="B9" s="703" t="str">
        <f>+'[18]Identificación del Riesgo GJ'!E13</f>
        <v>Favorecimiento de terceros mediante la orientación de conceptos juridicos o procesos de defensa judicial</v>
      </c>
      <c r="C9" s="703" t="str">
        <f>+'[18]Identificación del Riesgo GJ'!H13</f>
        <v xml:space="preserve">Manipulación de los abogados apoderados mediante dadivas
No existe una instancia donde se discutan y concluyan los conceptos juridicos
</v>
      </c>
      <c r="D9" s="703" t="str">
        <f>+'[18]Identificación del Riesgo GJ'!I13</f>
        <v xml:space="preserve">Sanciones
Detrimento
Tutelas
</v>
      </c>
      <c r="E9" s="705" t="str">
        <f>+'[18]Analisis Riesgo'!F11</f>
        <v>Rara vez</v>
      </c>
      <c r="F9" s="705" t="str">
        <f>+'[18]Analisis Riesgo'!G11</f>
        <v>Catastrófico</v>
      </c>
      <c r="G9" s="898" t="str">
        <f>+'[18]Analisis Riesgo'!I11</f>
        <v>EXTREMO</v>
      </c>
      <c r="H9" s="705" t="str">
        <f>+'[18]Analisis Riesgo'!U11</f>
        <v>Rara vez</v>
      </c>
      <c r="I9" s="705" t="str">
        <f>+'[18]Analisis Riesgo'!V11</f>
        <v>Catastrófico</v>
      </c>
      <c r="J9" s="898" t="str">
        <f>+'[18]Analisis Riesgo'!W11</f>
        <v>EXTREMO</v>
      </c>
      <c r="K9" s="703" t="str">
        <f>+'[18]Analisis Riesgo'!X11</f>
        <v>Reducir el riesgo</v>
      </c>
      <c r="L9" s="738" t="s">
        <v>1385</v>
      </c>
      <c r="M9" s="726" t="s">
        <v>1376</v>
      </c>
      <c r="N9" s="860">
        <v>44256</v>
      </c>
      <c r="O9" s="860" t="s">
        <v>1377</v>
      </c>
      <c r="P9" s="736" t="s">
        <v>1386</v>
      </c>
      <c r="Q9" s="837"/>
      <c r="R9" s="838"/>
      <c r="S9" s="838"/>
      <c r="T9" s="838"/>
      <c r="U9" s="838"/>
      <c r="V9" s="839"/>
      <c r="W9" s="840"/>
      <c r="X9" s="840"/>
    </row>
  </sheetData>
  <mergeCells count="6">
    <mergeCell ref="A1:C2"/>
    <mergeCell ref="D1:V2"/>
    <mergeCell ref="A3:G3"/>
    <mergeCell ref="H3:K3"/>
    <mergeCell ref="L3:P3"/>
    <mergeCell ref="Q3:V3"/>
  </mergeCells>
  <pageMargins left="0.7" right="0.7" top="0.75" bottom="0.75" header="0.3" footer="0.3"/>
  <drawing r:id="rId1"/>
  <legacyDrawing r:id="rId2"/>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tabColor rgb="FFBEAE25"/>
  </sheetPr>
  <dimension ref="A1:X16"/>
  <sheetViews>
    <sheetView showGridLines="0" view="pageBreakPreview" topLeftCell="A5" zoomScale="80" zoomScaleNormal="100" zoomScaleSheetLayoutView="80" workbookViewId="0">
      <pane xSplit="4" ySplit="2" topLeftCell="E10" activePane="bottomRight" state="frozen"/>
      <selection activeCell="A5" sqref="A5"/>
      <selection pane="topRight" activeCell="E5" sqref="E5"/>
      <selection pane="bottomLeft" activeCell="A7" sqref="A7"/>
      <selection pane="bottomRight" activeCell="H11" sqref="H11"/>
    </sheetView>
  </sheetViews>
  <sheetFormatPr baseColWidth="10" defaultRowHeight="15" x14ac:dyDescent="0.25"/>
  <cols>
    <col min="1" max="1" width="5.625" style="743" customWidth="1"/>
    <col min="2" max="2" width="21.625" style="743" customWidth="1"/>
    <col min="3" max="3" width="15.75" style="743" customWidth="1"/>
    <col min="4" max="4" width="17.875" style="743" customWidth="1"/>
    <col min="5" max="11" width="16.625" style="743" customWidth="1"/>
    <col min="12" max="12" width="21.375" style="743" customWidth="1"/>
    <col min="13" max="14" width="16.625" style="743" customWidth="1"/>
    <col min="15" max="15" width="18.5" style="743" customWidth="1"/>
    <col min="16" max="16" width="16.625" style="743" customWidth="1"/>
    <col min="17" max="23" width="13.75" style="743" customWidth="1"/>
    <col min="24" max="24" width="9.125" style="746" bestFit="1" customWidth="1"/>
    <col min="25" max="26" width="25.625" style="743" customWidth="1"/>
    <col min="27" max="16384" width="11" style="743"/>
  </cols>
  <sheetData>
    <row r="1" spans="1:24" ht="15" customHeight="1" x14ac:dyDescent="0.25">
      <c r="A1" s="1610"/>
      <c r="B1" s="1611"/>
      <c r="C1" s="1611"/>
      <c r="D1" s="1612"/>
      <c r="E1" s="1615" t="s">
        <v>0</v>
      </c>
      <c r="F1" s="1616"/>
      <c r="G1" s="1616"/>
      <c r="H1" s="1616"/>
      <c r="I1" s="1616"/>
      <c r="J1" s="1616"/>
      <c r="K1" s="1616"/>
      <c r="L1" s="1616"/>
      <c r="M1" s="1616"/>
      <c r="N1" s="1616"/>
      <c r="O1" s="1616"/>
      <c r="P1" s="1616"/>
      <c r="Q1" s="1616"/>
      <c r="R1" s="1616"/>
      <c r="S1" s="1616"/>
      <c r="T1" s="1617"/>
      <c r="U1" s="1621" t="s">
        <v>98</v>
      </c>
      <c r="V1" s="1622"/>
      <c r="W1" s="1622"/>
      <c r="X1" s="1623"/>
    </row>
    <row r="2" spans="1:24" ht="15" customHeight="1" x14ac:dyDescent="0.25">
      <c r="A2" s="1613"/>
      <c r="B2" s="1614"/>
      <c r="C2" s="1614"/>
      <c r="D2" s="1568"/>
      <c r="E2" s="1618"/>
      <c r="F2" s="1619"/>
      <c r="G2" s="1619"/>
      <c r="H2" s="1619"/>
      <c r="I2" s="1619"/>
      <c r="J2" s="1619"/>
      <c r="K2" s="1619"/>
      <c r="L2" s="1619"/>
      <c r="M2" s="1619"/>
      <c r="N2" s="1619"/>
      <c r="O2" s="1619"/>
      <c r="P2" s="1619"/>
      <c r="Q2" s="1619"/>
      <c r="R2" s="1619"/>
      <c r="S2" s="1619"/>
      <c r="T2" s="1620"/>
      <c r="U2" s="1624"/>
      <c r="V2" s="1625"/>
      <c r="W2" s="1625"/>
      <c r="X2" s="1626"/>
    </row>
    <row r="3" spans="1:24" ht="15" customHeight="1" x14ac:dyDescent="0.25">
      <c r="A3" s="1613"/>
      <c r="B3" s="1614"/>
      <c r="C3" s="1614"/>
      <c r="D3" s="1568"/>
      <c r="E3" s="1618"/>
      <c r="F3" s="1619"/>
      <c r="G3" s="1619"/>
      <c r="H3" s="1619"/>
      <c r="I3" s="1619"/>
      <c r="J3" s="1619"/>
      <c r="K3" s="1619"/>
      <c r="L3" s="1619"/>
      <c r="M3" s="1619"/>
      <c r="N3" s="1619"/>
      <c r="O3" s="1619"/>
      <c r="P3" s="1619"/>
      <c r="Q3" s="1619"/>
      <c r="R3" s="1619"/>
      <c r="S3" s="1619"/>
      <c r="T3" s="1620"/>
      <c r="U3" s="1621" t="s">
        <v>367</v>
      </c>
      <c r="V3" s="1622"/>
      <c r="W3" s="1622"/>
      <c r="X3" s="1622"/>
    </row>
    <row r="4" spans="1:24" ht="15" customHeight="1" x14ac:dyDescent="0.25">
      <c r="A4" s="1613"/>
      <c r="B4" s="1614"/>
      <c r="C4" s="1614"/>
      <c r="D4" s="1568"/>
      <c r="E4" s="1618"/>
      <c r="F4" s="1619"/>
      <c r="G4" s="1619"/>
      <c r="H4" s="1619"/>
      <c r="I4" s="1619"/>
      <c r="J4" s="1619"/>
      <c r="K4" s="1619"/>
      <c r="L4" s="1619"/>
      <c r="M4" s="1619"/>
      <c r="N4" s="1619"/>
      <c r="O4" s="1619"/>
      <c r="P4" s="1619"/>
      <c r="Q4" s="1619"/>
      <c r="R4" s="1619"/>
      <c r="S4" s="1619"/>
      <c r="T4" s="1620"/>
      <c r="U4" s="1627"/>
      <c r="V4" s="1628"/>
      <c r="W4" s="1628"/>
      <c r="X4" s="1628"/>
    </row>
    <row r="5" spans="1:24" ht="15" customHeight="1" x14ac:dyDescent="0.25">
      <c r="A5" s="1560" t="s">
        <v>100</v>
      </c>
      <c r="B5" s="1560"/>
      <c r="C5" s="1560"/>
      <c r="D5" s="1629"/>
      <c r="E5" s="1591" t="s">
        <v>101</v>
      </c>
      <c r="F5" s="1592"/>
      <c r="G5" s="1592"/>
      <c r="H5" s="1592"/>
      <c r="I5" s="1592"/>
      <c r="J5" s="1592"/>
      <c r="K5" s="1592"/>
      <c r="L5" s="1592"/>
      <c r="M5" s="1592"/>
      <c r="N5" s="1592"/>
      <c r="O5" s="1592"/>
      <c r="P5" s="1592"/>
      <c r="Q5" s="1592"/>
      <c r="R5" s="1592"/>
      <c r="S5" s="1592"/>
      <c r="T5" s="1592"/>
      <c r="U5" s="1592"/>
      <c r="V5" s="1592"/>
      <c r="W5" s="1592"/>
      <c r="X5" s="1593"/>
    </row>
    <row r="6" spans="1:24" s="804" customFormat="1" ht="114.75" customHeight="1" x14ac:dyDescent="0.2">
      <c r="A6" s="749" t="s">
        <v>44</v>
      </c>
      <c r="B6" s="803" t="s">
        <v>64</v>
      </c>
      <c r="C6" s="803" t="s">
        <v>70</v>
      </c>
      <c r="D6" s="803" t="s">
        <v>69</v>
      </c>
      <c r="E6" s="749" t="s">
        <v>102</v>
      </c>
      <c r="F6" s="749" t="s">
        <v>103</v>
      </c>
      <c r="G6" s="749" t="s">
        <v>104</v>
      </c>
      <c r="H6" s="749" t="s">
        <v>105</v>
      </c>
      <c r="I6" s="803" t="s">
        <v>106</v>
      </c>
      <c r="J6" s="803" t="s">
        <v>107</v>
      </c>
      <c r="K6" s="803" t="s">
        <v>108</v>
      </c>
      <c r="L6" s="803" t="s">
        <v>109</v>
      </c>
      <c r="M6" s="803" t="s">
        <v>110</v>
      </c>
      <c r="N6" s="803" t="s">
        <v>111</v>
      </c>
      <c r="O6" s="803" t="s">
        <v>112</v>
      </c>
      <c r="P6" s="803" t="s">
        <v>113</v>
      </c>
      <c r="Q6" s="803" t="s">
        <v>114</v>
      </c>
      <c r="R6" s="803" t="s">
        <v>115</v>
      </c>
      <c r="S6" s="803" t="s">
        <v>116</v>
      </c>
      <c r="T6" s="803" t="s">
        <v>117</v>
      </c>
      <c r="U6" s="803" t="s">
        <v>118</v>
      </c>
      <c r="V6" s="803" t="s">
        <v>119</v>
      </c>
      <c r="W6" s="803" t="s">
        <v>120</v>
      </c>
      <c r="X6" s="803" t="s">
        <v>121</v>
      </c>
    </row>
    <row r="7" spans="1:24" s="809" customFormat="1" ht="111" customHeight="1" x14ac:dyDescent="0.2">
      <c r="A7" s="805">
        <f>'[18]Identificación del Riesgo GJ'!D9</f>
        <v>1</v>
      </c>
      <c r="B7" s="805" t="str">
        <f>'[18]Identificación del Riesgo GJ'!E9</f>
        <v xml:space="preserve">Personal con competencias desactualizadas </v>
      </c>
      <c r="C7" s="756" t="str">
        <f>IF(D7="PENDIENTE EVALUAR EL IMPACTO","PENDIENTE EVALUAR EL IMPACTO COLUMNAS H-W",VLOOKUP(D7,[18]Datos!$K$8:$L$12,2,FALSE))</f>
        <v>PENDIENTE EVALUAR EL IMPACTO COLUMNAS H-W</v>
      </c>
      <c r="D7" s="756" t="str">
        <f>IF(X7=0,"PENDIENTE EVALUAR EL IMPACTO",IF(X7&lt;=5,"MODERADO",IF(X7&lt;=11,"MAYOR","CATASTRÓFICO")))</f>
        <v>PENDIENTE EVALUAR EL IMPACTO</v>
      </c>
      <c r="E7" s="806"/>
      <c r="F7" s="806"/>
      <c r="G7" s="806"/>
      <c r="H7" s="806"/>
      <c r="I7" s="807"/>
      <c r="J7" s="807"/>
      <c r="K7" s="807"/>
      <c r="L7" s="807"/>
      <c r="M7" s="807"/>
      <c r="N7" s="807"/>
      <c r="O7" s="807"/>
      <c r="P7" s="807"/>
      <c r="Q7" s="807"/>
      <c r="R7" s="807"/>
      <c r="S7" s="807"/>
      <c r="T7" s="807"/>
      <c r="U7" s="807"/>
      <c r="V7" s="807"/>
      <c r="W7" s="807"/>
      <c r="X7" s="808">
        <f>COUNTIF(E7:W7,"SI")</f>
        <v>0</v>
      </c>
    </row>
    <row r="8" spans="1:24" ht="84.75" customHeight="1" x14ac:dyDescent="0.25">
      <c r="A8" s="805">
        <f>'[18]Identificación del Riesgo GJ'!D10</f>
        <v>2</v>
      </c>
      <c r="B8" s="805" t="str">
        <f>'[18]Identificación del Riesgo GJ'!E10</f>
        <v>Inadecuada defensa judicial y/o consultas juridicas</v>
      </c>
      <c r="C8" s="756" t="str">
        <f>IF(D8="PENDIENTE EVALUAR EL IMPACTO","PENDIENTE EVALUAR EL IMPACTO COLUMNAS H-W",VLOOKUP(D8,[18]Datos!$K$8:$L$12,2,FALSE))</f>
        <v>PENDIENTE EVALUAR EL IMPACTO COLUMNAS H-W</v>
      </c>
      <c r="D8" s="805" t="str">
        <f>IF(X8=0,"PENDIENTE EVALUAR EL IMPACTO",IF(X8&lt;=5,"MODERADO",IF(X8&lt;=11,"MAYOR","CATASTRÓFICO")))</f>
        <v>PENDIENTE EVALUAR EL IMPACTO</v>
      </c>
      <c r="E8" s="806"/>
      <c r="F8" s="806"/>
      <c r="G8" s="806"/>
      <c r="H8" s="806"/>
      <c r="I8" s="807"/>
      <c r="J8" s="807"/>
      <c r="K8" s="807"/>
      <c r="L8" s="807"/>
      <c r="M8" s="807"/>
      <c r="N8" s="807"/>
      <c r="O8" s="807"/>
      <c r="P8" s="807"/>
      <c r="Q8" s="807"/>
      <c r="R8" s="807"/>
      <c r="S8" s="807"/>
      <c r="T8" s="807"/>
      <c r="U8" s="807"/>
      <c r="V8" s="807"/>
      <c r="W8" s="807"/>
      <c r="X8" s="808">
        <f t="shared" ref="X8:X16" si="0">COUNTIF(E8:W8,"SI")</f>
        <v>0</v>
      </c>
    </row>
    <row r="9" spans="1:24" ht="72.75" customHeight="1" x14ac:dyDescent="0.25">
      <c r="A9" s="805">
        <f>'[18]Identificación del Riesgo GJ'!D11</f>
        <v>3</v>
      </c>
      <c r="B9" s="805" t="str">
        <f>'[18]Identificación del Riesgo GJ'!E11</f>
        <v>Recepción de solicitudes y/o requerimientos de concepto, que no son de competencia del proceso juridico</v>
      </c>
      <c r="C9" s="756" t="str">
        <f>IF(D9="PENDIENTE EVALUAR EL IMPACTO","PENDIENTE EVALUAR EL IMPACTO COLUMNAS H-W",VLOOKUP(D9,[18]Datos!$K$8:$L$12,2,FALSE))</f>
        <v>PENDIENTE EVALUAR EL IMPACTO COLUMNAS H-W</v>
      </c>
      <c r="D9" s="805" t="str">
        <f t="shared" ref="D9:D16" si="1">IF(X9=0,"PENDIENTE EVALUAR EL IMPACTO",IF(X9&lt;=5,"MODERADO",IF(X9&lt;=11,"MAYOR","CATASTRÓFICO")))</f>
        <v>PENDIENTE EVALUAR EL IMPACTO</v>
      </c>
      <c r="E9" s="806"/>
      <c r="F9" s="806"/>
      <c r="G9" s="806"/>
      <c r="H9" s="806"/>
      <c r="I9" s="807"/>
      <c r="J9" s="807"/>
      <c r="K9" s="807"/>
      <c r="L9" s="807"/>
      <c r="M9" s="807"/>
      <c r="N9" s="807"/>
      <c r="O9" s="807"/>
      <c r="P9" s="807"/>
      <c r="Q9" s="807"/>
      <c r="R9" s="807"/>
      <c r="S9" s="807"/>
      <c r="T9" s="807"/>
      <c r="U9" s="807"/>
      <c r="V9" s="807"/>
      <c r="W9" s="807"/>
      <c r="X9" s="808">
        <f t="shared" si="0"/>
        <v>0</v>
      </c>
    </row>
    <row r="10" spans="1:24" ht="105" customHeight="1" x14ac:dyDescent="0.25">
      <c r="A10" s="805">
        <f>'[18]Identificación del Riesgo GJ'!D12</f>
        <v>4</v>
      </c>
      <c r="B10" s="805" t="str">
        <f>'[18]Identificación del Riesgo GJ'!E12</f>
        <v>Normatividad desarticulada y/o desactualizada</v>
      </c>
      <c r="C10" s="756" t="str">
        <f>IF(D10="PENDIENTE EVALUAR EL IMPACTO","PENDIENTE EVALUAR EL IMPACTO COLUMNAS H-W",VLOOKUP(D10,[18]Datos!$K$8:$L$12,2,FALSE))</f>
        <v>PENDIENTE EVALUAR EL IMPACTO COLUMNAS H-W</v>
      </c>
      <c r="D10" s="805" t="str">
        <f t="shared" si="1"/>
        <v>PENDIENTE EVALUAR EL IMPACTO</v>
      </c>
      <c r="E10" s="806"/>
      <c r="F10" s="806"/>
      <c r="G10" s="806"/>
      <c r="H10" s="806"/>
      <c r="I10" s="807"/>
      <c r="J10" s="807"/>
      <c r="K10" s="807"/>
      <c r="L10" s="807"/>
      <c r="M10" s="807"/>
      <c r="N10" s="807"/>
      <c r="O10" s="807"/>
      <c r="P10" s="807"/>
      <c r="Q10" s="807"/>
      <c r="R10" s="807"/>
      <c r="S10" s="807"/>
      <c r="T10" s="807"/>
      <c r="U10" s="807"/>
      <c r="V10" s="807"/>
      <c r="W10" s="807"/>
      <c r="X10" s="808">
        <f t="shared" si="0"/>
        <v>0</v>
      </c>
    </row>
    <row r="11" spans="1:24" ht="103.5" customHeight="1" x14ac:dyDescent="0.25">
      <c r="A11" s="805">
        <f>'[18]Identificación del Riesgo GJ'!D13</f>
        <v>5</v>
      </c>
      <c r="B11" s="805" t="str">
        <f>'[18]Identificación del Riesgo GJ'!E13</f>
        <v>Favorecimiento de terceros mediante la orientación de conceptos juridicos o procesos de defensa judicial</v>
      </c>
      <c r="C11" s="756">
        <f>IF(D11="PENDIENTE EVALUAR EL IMPACTO","PENDIENTE EVALUAR EL IMPACTO COLUMNAS H-W",VLOOKUP(D11,[18]Datos!$K$8:$L$12,2,FALSE))</f>
        <v>5</v>
      </c>
      <c r="D11" s="805" t="str">
        <f t="shared" si="1"/>
        <v>CATASTRÓFICO</v>
      </c>
      <c r="E11" s="895" t="s">
        <v>122</v>
      </c>
      <c r="F11" s="895" t="s">
        <v>122</v>
      </c>
      <c r="G11" s="895" t="s">
        <v>122</v>
      </c>
      <c r="H11" s="895" t="s">
        <v>122</v>
      </c>
      <c r="I11" s="895" t="s">
        <v>122</v>
      </c>
      <c r="J11" s="895" t="s">
        <v>122</v>
      </c>
      <c r="K11" s="895" t="s">
        <v>263</v>
      </c>
      <c r="L11" s="895" t="s">
        <v>263</v>
      </c>
      <c r="M11" s="895" t="s">
        <v>263</v>
      </c>
      <c r="N11" s="895" t="s">
        <v>122</v>
      </c>
      <c r="O11" s="895" t="s">
        <v>122</v>
      </c>
      <c r="P11" s="895" t="s">
        <v>122</v>
      </c>
      <c r="Q11" s="895" t="s">
        <v>122</v>
      </c>
      <c r="R11" s="895" t="s">
        <v>122</v>
      </c>
      <c r="S11" s="895" t="s">
        <v>122</v>
      </c>
      <c r="T11" s="895" t="s">
        <v>263</v>
      </c>
      <c r="U11" s="895" t="s">
        <v>263</v>
      </c>
      <c r="V11" s="895" t="s">
        <v>263</v>
      </c>
      <c r="W11" s="895" t="s">
        <v>263</v>
      </c>
      <c r="X11" s="808">
        <f t="shared" si="0"/>
        <v>12</v>
      </c>
    </row>
    <row r="12" spans="1:24" ht="60" x14ac:dyDescent="0.25">
      <c r="A12" s="805" t="e">
        <f>'[18]Identificación del Riesgo GJ'!#REF!</f>
        <v>#REF!</v>
      </c>
      <c r="B12" s="805" t="e">
        <f>'[18]Identificación del Riesgo GJ'!#REF!</f>
        <v>#REF!</v>
      </c>
      <c r="C12" s="756" t="str">
        <f>IF(D12="PENDIENTE EVALUAR EL IMPACTO","PENDIENTE EVALUAR EL IMPACTO COLUMNAS H-W",VLOOKUP(D12,[18]Datos!$K$8:$L$12,2,FALSE))</f>
        <v>PENDIENTE EVALUAR EL IMPACTO COLUMNAS H-W</v>
      </c>
      <c r="D12" s="805" t="str">
        <f t="shared" si="1"/>
        <v>PENDIENTE EVALUAR EL IMPACTO</v>
      </c>
      <c r="E12" s="895"/>
      <c r="F12" s="895"/>
      <c r="G12" s="895"/>
      <c r="H12" s="895"/>
      <c r="I12" s="895"/>
      <c r="J12" s="895"/>
      <c r="K12" s="895"/>
      <c r="L12" s="895"/>
      <c r="M12" s="895"/>
      <c r="N12" s="895"/>
      <c r="O12" s="895"/>
      <c r="P12" s="895"/>
      <c r="Q12" s="895"/>
      <c r="R12" s="895"/>
      <c r="S12" s="895"/>
      <c r="T12" s="895"/>
      <c r="U12" s="895"/>
      <c r="V12" s="895"/>
      <c r="W12" s="895"/>
      <c r="X12" s="808">
        <f t="shared" si="0"/>
        <v>0</v>
      </c>
    </row>
    <row r="13" spans="1:24" ht="60" x14ac:dyDescent="0.25">
      <c r="A13" s="805" t="e">
        <f>'[18]Identificación del Riesgo GJ'!#REF!</f>
        <v>#REF!</v>
      </c>
      <c r="B13" s="805" t="e">
        <f>'[18]Identificación del Riesgo GJ'!#REF!</f>
        <v>#REF!</v>
      </c>
      <c r="C13" s="756" t="str">
        <f>IF(D13="PENDIENTE EVALUAR EL IMPACTO","PENDIENTE EVALUAR EL IMPACTO COLUMNAS H-W",VLOOKUP(D13,[18]Datos!$K$8:$L$12,2,FALSE))</f>
        <v>PENDIENTE EVALUAR EL IMPACTO COLUMNAS H-W</v>
      </c>
      <c r="D13" s="805" t="str">
        <f t="shared" si="1"/>
        <v>PENDIENTE EVALUAR EL IMPACTO</v>
      </c>
      <c r="E13" s="895"/>
      <c r="F13" s="895"/>
      <c r="G13" s="895"/>
      <c r="H13" s="895"/>
      <c r="I13" s="895"/>
      <c r="J13" s="895"/>
      <c r="K13" s="895"/>
      <c r="L13" s="895"/>
      <c r="M13" s="895"/>
      <c r="N13" s="895"/>
      <c r="O13" s="895"/>
      <c r="P13" s="895"/>
      <c r="Q13" s="895"/>
      <c r="R13" s="895"/>
      <c r="S13" s="895"/>
      <c r="T13" s="895"/>
      <c r="U13" s="895"/>
      <c r="V13" s="895"/>
      <c r="W13" s="895"/>
      <c r="X13" s="808">
        <f t="shared" si="0"/>
        <v>0</v>
      </c>
    </row>
    <row r="14" spans="1:24" ht="60" x14ac:dyDescent="0.25">
      <c r="A14" s="805" t="e">
        <f>'[18]Identificación del Riesgo GJ'!#REF!</f>
        <v>#REF!</v>
      </c>
      <c r="B14" s="805" t="e">
        <f>'[18]Identificación del Riesgo GJ'!#REF!</f>
        <v>#REF!</v>
      </c>
      <c r="C14" s="756" t="str">
        <f>IF(D14="PENDIENTE EVALUAR EL IMPACTO","PENDIENTE EVALUAR EL IMPACTO COLUMNAS H-W",VLOOKUP(D14,[18]Datos!$K$8:$L$12,2,FALSE))</f>
        <v>PENDIENTE EVALUAR EL IMPACTO COLUMNAS H-W</v>
      </c>
      <c r="D14" s="805" t="str">
        <f t="shared" si="1"/>
        <v>PENDIENTE EVALUAR EL IMPACTO</v>
      </c>
      <c r="E14" s="895"/>
      <c r="F14" s="895"/>
      <c r="G14" s="895"/>
      <c r="H14" s="895"/>
      <c r="I14" s="895"/>
      <c r="J14" s="895"/>
      <c r="K14" s="895"/>
      <c r="L14" s="895"/>
      <c r="M14" s="895"/>
      <c r="N14" s="895"/>
      <c r="O14" s="895"/>
      <c r="P14" s="895"/>
      <c r="Q14" s="895"/>
      <c r="R14" s="895"/>
      <c r="S14" s="895"/>
      <c r="T14" s="895"/>
      <c r="U14" s="895"/>
      <c r="V14" s="895"/>
      <c r="W14" s="895"/>
      <c r="X14" s="808">
        <f t="shared" si="0"/>
        <v>0</v>
      </c>
    </row>
    <row r="15" spans="1:24" ht="60" x14ac:dyDescent="0.25">
      <c r="A15" s="805" t="e">
        <f>'[18]Identificación del Riesgo GJ'!#REF!</f>
        <v>#REF!</v>
      </c>
      <c r="B15" s="805" t="e">
        <f>'[18]Identificación del Riesgo GJ'!#REF!</f>
        <v>#REF!</v>
      </c>
      <c r="C15" s="756" t="str">
        <f>IF(D15="PENDIENTE EVALUAR EL IMPACTO","PENDIENTE EVALUAR EL IMPACTO COLUMNAS H-W",VLOOKUP(D15,[18]Datos!$K$8:$L$12,2,FALSE))</f>
        <v>PENDIENTE EVALUAR EL IMPACTO COLUMNAS H-W</v>
      </c>
      <c r="D15" s="805" t="str">
        <f t="shared" si="1"/>
        <v>PENDIENTE EVALUAR EL IMPACTO</v>
      </c>
      <c r="E15" s="895"/>
      <c r="F15" s="895"/>
      <c r="G15" s="895"/>
      <c r="H15" s="895"/>
      <c r="I15" s="895"/>
      <c r="J15" s="895"/>
      <c r="K15" s="895"/>
      <c r="L15" s="895"/>
      <c r="M15" s="895"/>
      <c r="N15" s="895"/>
      <c r="O15" s="895"/>
      <c r="P15" s="895"/>
      <c r="Q15" s="895"/>
      <c r="R15" s="895"/>
      <c r="S15" s="895"/>
      <c r="T15" s="895"/>
      <c r="U15" s="895"/>
      <c r="V15" s="895"/>
      <c r="W15" s="895"/>
      <c r="X15" s="808">
        <f t="shared" si="0"/>
        <v>0</v>
      </c>
    </row>
    <row r="16" spans="1:24" ht="60" x14ac:dyDescent="0.25">
      <c r="A16" s="805" t="e">
        <f>'[18]Identificación del Riesgo GJ'!#REF!</f>
        <v>#REF!</v>
      </c>
      <c r="B16" s="805" t="e">
        <f>'[18]Identificación del Riesgo GJ'!#REF!</f>
        <v>#REF!</v>
      </c>
      <c r="C16" s="756" t="str">
        <f>IF(D16="PENDIENTE EVALUAR EL IMPACTO","PENDIENTE EVALUAR EL IMPACTO COLUMNAS H-W",VLOOKUP(D16,[18]Datos!$K$8:$L$12,2,FALSE))</f>
        <v>PENDIENTE EVALUAR EL IMPACTO COLUMNAS H-W</v>
      </c>
      <c r="D16" s="805" t="str">
        <f t="shared" si="1"/>
        <v>PENDIENTE EVALUAR EL IMPACTO</v>
      </c>
      <c r="E16" s="895"/>
      <c r="F16" s="895"/>
      <c r="G16" s="895"/>
      <c r="H16" s="895"/>
      <c r="I16" s="895"/>
      <c r="J16" s="895"/>
      <c r="K16" s="895"/>
      <c r="L16" s="895"/>
      <c r="M16" s="895"/>
      <c r="N16" s="895"/>
      <c r="O16" s="895"/>
      <c r="P16" s="895"/>
      <c r="Q16" s="895"/>
      <c r="R16" s="895"/>
      <c r="S16" s="895"/>
      <c r="T16" s="895"/>
      <c r="U16" s="895"/>
      <c r="V16" s="895"/>
      <c r="W16" s="895"/>
      <c r="X16" s="808">
        <f t="shared" si="0"/>
        <v>0</v>
      </c>
    </row>
  </sheetData>
  <mergeCells count="6">
    <mergeCell ref="A1:D4"/>
    <mergeCell ref="E1:T4"/>
    <mergeCell ref="U1:X2"/>
    <mergeCell ref="U3:X4"/>
    <mergeCell ref="A5:D5"/>
    <mergeCell ref="E5:X5"/>
  </mergeCells>
  <dataValidations count="1">
    <dataValidation type="list" allowBlank="1" showInputMessage="1" showErrorMessage="1" sqref="E7:W16" xr:uid="{00000000-0002-0000-7300-000000000000}">
      <formula1>"SI,NO"</formula1>
    </dataValidation>
  </dataValidations>
  <pageMargins left="0.51181102362204722" right="0.70866141732283472" top="1.1417322834645669" bottom="0.74803149606299213" header="0.31496062992125984" footer="0.31496062992125984"/>
  <pageSetup scale="35" orientation="landscape" horizontalDpi="1200" verticalDpi="1200" r:id="rId1"/>
  <headerFooter>
    <oddHeader>&amp;L&amp;G&amp;C
&amp;"-,Negrita"Matriz de Riesgos</oddHeader>
  </headerFooter>
  <colBreaks count="1" manualBreakCount="1">
    <brk id="4" max="1048575" man="1"/>
  </colBreaks>
  <drawing r:id="rId2"/>
  <legacyDrawing r:id="rId3"/>
  <legacyDrawingHF r:id="rId4"/>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E7"/>
  <sheetViews>
    <sheetView showGridLines="0" topLeftCell="A7" zoomScale="145" zoomScaleNormal="145" zoomScaleSheetLayoutView="115" zoomScalePageLayoutView="90" workbookViewId="0">
      <selection activeCell="B7" sqref="B7"/>
    </sheetView>
  </sheetViews>
  <sheetFormatPr baseColWidth="10" defaultRowHeight="15" x14ac:dyDescent="0.25"/>
  <cols>
    <col min="1" max="1" width="13.625" style="743" customWidth="1"/>
    <col min="2" max="2" width="37.125" style="743" customWidth="1"/>
    <col min="3" max="3" width="66.75" style="743" customWidth="1"/>
    <col min="4" max="4" width="14.25" style="743" customWidth="1"/>
    <col min="5" max="5" width="33.25" style="743" customWidth="1"/>
    <col min="6" max="16384" width="11" style="743"/>
  </cols>
  <sheetData>
    <row r="1" spans="1:5" x14ac:dyDescent="0.25">
      <c r="A1" s="1568"/>
      <c r="B1" s="1569" t="s">
        <v>837</v>
      </c>
      <c r="C1" s="1570"/>
      <c r="D1" s="1570"/>
      <c r="E1" s="1571" t="s">
        <v>29</v>
      </c>
    </row>
    <row r="2" spans="1:5" x14ac:dyDescent="0.25">
      <c r="A2" s="1568"/>
      <c r="B2" s="1570"/>
      <c r="C2" s="1570"/>
      <c r="D2" s="1570"/>
      <c r="E2" s="1571"/>
    </row>
    <row r="3" spans="1:5" x14ac:dyDescent="0.25">
      <c r="A3" s="1568"/>
      <c r="B3" s="1570"/>
      <c r="C3" s="1570"/>
      <c r="D3" s="1570"/>
      <c r="E3" s="1572" t="s">
        <v>2</v>
      </c>
    </row>
    <row r="4" spans="1:5" ht="15.75" thickBot="1" x14ac:dyDescent="0.3">
      <c r="A4" s="1568"/>
      <c r="B4" s="1570"/>
      <c r="C4" s="1570"/>
      <c r="D4" s="1570"/>
      <c r="E4" s="1572"/>
    </row>
    <row r="5" spans="1:5" ht="15.75" thickBot="1" x14ac:dyDescent="0.3">
      <c r="A5" s="1573" t="s">
        <v>30</v>
      </c>
      <c r="B5" s="1574"/>
      <c r="C5" s="1574"/>
      <c r="D5" s="1574"/>
      <c r="E5" s="1575"/>
    </row>
    <row r="6" spans="1:5" ht="15" customHeight="1" x14ac:dyDescent="0.25">
      <c r="A6" s="744" t="s">
        <v>31</v>
      </c>
      <c r="B6" s="745" t="s">
        <v>32</v>
      </c>
      <c r="C6" s="744" t="s">
        <v>33</v>
      </c>
      <c r="D6" s="1576" t="s">
        <v>34</v>
      </c>
      <c r="E6" s="1577"/>
    </row>
    <row r="7" spans="1:5" ht="409.5" customHeight="1" x14ac:dyDescent="0.25">
      <c r="A7" s="746"/>
      <c r="B7" s="747" t="s">
        <v>1387</v>
      </c>
      <c r="C7" s="748" t="s">
        <v>1388</v>
      </c>
      <c r="D7" s="1566" t="s">
        <v>1389</v>
      </c>
      <c r="E7" s="1567"/>
    </row>
  </sheetData>
  <mergeCells count="7">
    <mergeCell ref="D7:E7"/>
    <mergeCell ref="A1:A4"/>
    <mergeCell ref="B1:D4"/>
    <mergeCell ref="E1:E2"/>
    <mergeCell ref="E3:E4"/>
    <mergeCell ref="A5:E5"/>
    <mergeCell ref="D6:E6"/>
  </mergeCells>
  <pageMargins left="0.31496062992125984" right="0.31496062992125984" top="1.1417322834645669" bottom="0.35433070866141736" header="0.31496062992125984" footer="0.31496062992125984"/>
  <pageSetup scale="88" orientation="landscape" horizontalDpi="1200" verticalDpi="1200" r:id="rId1"/>
  <headerFooter>
    <oddHeader>&amp;L&amp;G&amp;C
&amp;"-,Negrita"Matriz de Riesgos</oddHeader>
  </headerFooter>
  <drawing r:id="rId2"/>
  <legacyDrawing r:id="rId3"/>
  <legacyDrawingHF r:id="rId4"/>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N12"/>
  <sheetViews>
    <sheetView showGridLines="0" topLeftCell="A4" zoomScaleNormal="100" zoomScaleSheetLayoutView="130" zoomScalePageLayoutView="90" workbookViewId="0">
      <pane ySplit="5" topLeftCell="A9" activePane="bottomLeft" state="frozen"/>
      <selection activeCell="B4" sqref="B4"/>
      <selection pane="bottomLeft" activeCell="E9" sqref="E9"/>
    </sheetView>
  </sheetViews>
  <sheetFormatPr baseColWidth="10" defaultRowHeight="15" x14ac:dyDescent="0.25"/>
  <cols>
    <col min="1" max="3" width="17.125" style="743" customWidth="1"/>
    <col min="4" max="4" width="3.625" style="746" customWidth="1"/>
    <col min="5" max="5" width="26.875" style="743" customWidth="1"/>
    <col min="6" max="6" width="21.625" style="743" customWidth="1"/>
    <col min="7" max="7" width="15" style="743" customWidth="1"/>
    <col min="8" max="8" width="53.875" style="743" customWidth="1"/>
    <col min="9" max="9" width="33.375" style="743" customWidth="1"/>
    <col min="10" max="10" width="20.625" style="743" customWidth="1"/>
    <col min="11" max="11" width="25" style="743" customWidth="1"/>
    <col min="12" max="12" width="22.125" style="743" customWidth="1"/>
    <col min="13" max="13" width="17.75" style="743" customWidth="1"/>
    <col min="14" max="14" width="27.125" style="743" customWidth="1"/>
    <col min="15" max="16384" width="11" style="743"/>
  </cols>
  <sheetData>
    <row r="1" spans="1:14" x14ac:dyDescent="0.25">
      <c r="A1" s="1578"/>
      <c r="B1" s="1578"/>
      <c r="C1" s="1578"/>
      <c r="D1" s="1580" t="s">
        <v>0</v>
      </c>
      <c r="E1" s="1580"/>
      <c r="F1" s="1580"/>
      <c r="G1" s="1580"/>
      <c r="H1" s="1580"/>
      <c r="I1" s="1580"/>
      <c r="J1" s="1580"/>
      <c r="K1" s="1580"/>
      <c r="L1" s="1580"/>
      <c r="M1" s="1581"/>
      <c r="N1" s="1584" t="s">
        <v>35</v>
      </c>
    </row>
    <row r="2" spans="1:14" x14ac:dyDescent="0.25">
      <c r="A2" s="1578"/>
      <c r="B2" s="1578"/>
      <c r="C2" s="1578"/>
      <c r="D2" s="1580"/>
      <c r="E2" s="1580"/>
      <c r="F2" s="1580"/>
      <c r="G2" s="1580"/>
      <c r="H2" s="1580"/>
      <c r="I2" s="1580"/>
      <c r="J2" s="1580"/>
      <c r="K2" s="1580"/>
      <c r="L2" s="1580"/>
      <c r="M2" s="1581"/>
      <c r="N2" s="1584"/>
    </row>
    <row r="3" spans="1:14" x14ac:dyDescent="0.25">
      <c r="A3" s="1578"/>
      <c r="B3" s="1578"/>
      <c r="C3" s="1578"/>
      <c r="D3" s="1580"/>
      <c r="E3" s="1580"/>
      <c r="F3" s="1580"/>
      <c r="G3" s="1580"/>
      <c r="H3" s="1580"/>
      <c r="I3" s="1580"/>
      <c r="J3" s="1580"/>
      <c r="K3" s="1580"/>
      <c r="L3" s="1580"/>
      <c r="M3" s="1581"/>
      <c r="N3" s="1584" t="s">
        <v>2</v>
      </c>
    </row>
    <row r="4" spans="1:14" x14ac:dyDescent="0.25">
      <c r="A4" s="1579"/>
      <c r="B4" s="1579"/>
      <c r="C4" s="1579"/>
      <c r="D4" s="1582"/>
      <c r="E4" s="1582"/>
      <c r="F4" s="1582"/>
      <c r="G4" s="1582"/>
      <c r="H4" s="1582"/>
      <c r="I4" s="1582"/>
      <c r="J4" s="1582"/>
      <c r="K4" s="1582"/>
      <c r="L4" s="1582"/>
      <c r="M4" s="1583"/>
      <c r="N4" s="1584"/>
    </row>
    <row r="5" spans="1:14" ht="15.75" x14ac:dyDescent="0.25">
      <c r="A5" s="1680" t="s">
        <v>36</v>
      </c>
      <c r="B5" s="1681"/>
      <c r="C5" s="1682"/>
      <c r="D5" s="1588" t="s">
        <v>1390</v>
      </c>
      <c r="E5" s="1589"/>
      <c r="F5" s="1589"/>
      <c r="G5" s="1589"/>
      <c r="H5" s="1589"/>
      <c r="I5" s="1589"/>
      <c r="J5" s="1589"/>
      <c r="K5" s="1589"/>
      <c r="L5" s="1589"/>
      <c r="M5" s="1589"/>
      <c r="N5" s="1590"/>
    </row>
    <row r="6" spans="1:14" ht="34.5" customHeight="1" x14ac:dyDescent="0.25">
      <c r="A6" s="1680" t="s">
        <v>37</v>
      </c>
      <c r="B6" s="1681"/>
      <c r="C6" s="1682"/>
      <c r="D6" s="1588" t="s">
        <v>1391</v>
      </c>
      <c r="E6" s="1589"/>
      <c r="F6" s="1589"/>
      <c r="G6" s="1589"/>
      <c r="H6" s="1589"/>
      <c r="I6" s="1589"/>
      <c r="J6" s="1589"/>
      <c r="K6" s="1589"/>
      <c r="L6" s="1589"/>
      <c r="M6" s="1589"/>
      <c r="N6" s="1590"/>
    </row>
    <row r="7" spans="1:14" x14ac:dyDescent="0.25">
      <c r="A7" s="1683" t="s">
        <v>38</v>
      </c>
      <c r="B7" s="1684"/>
      <c r="C7" s="1685"/>
      <c r="D7" s="1594" t="s">
        <v>39</v>
      </c>
      <c r="E7" s="1595"/>
      <c r="F7" s="1595"/>
      <c r="G7" s="1595"/>
      <c r="H7" s="1595"/>
      <c r="I7" s="1596"/>
      <c r="J7" s="1597" t="s">
        <v>40</v>
      </c>
      <c r="K7" s="1597"/>
      <c r="L7" s="1597"/>
      <c r="M7" s="1597"/>
      <c r="N7" s="1597"/>
    </row>
    <row r="8" spans="1:14" ht="36" x14ac:dyDescent="0.25">
      <c r="A8" s="749" t="s">
        <v>41</v>
      </c>
      <c r="B8" s="749" t="s">
        <v>42</v>
      </c>
      <c r="C8" s="749" t="s">
        <v>43</v>
      </c>
      <c r="D8" s="749" t="s">
        <v>44</v>
      </c>
      <c r="E8" s="749" t="s">
        <v>45</v>
      </c>
      <c r="F8" s="749" t="s">
        <v>46</v>
      </c>
      <c r="G8" s="749" t="s">
        <v>47</v>
      </c>
      <c r="H8" s="749" t="s">
        <v>48</v>
      </c>
      <c r="I8" s="749" t="s">
        <v>49</v>
      </c>
      <c r="J8" s="750" t="s">
        <v>50</v>
      </c>
      <c r="K8" s="750" t="s">
        <v>51</v>
      </c>
      <c r="L8" s="750" t="s">
        <v>52</v>
      </c>
      <c r="M8" s="750" t="s">
        <v>53</v>
      </c>
      <c r="N8" s="750" t="s">
        <v>54</v>
      </c>
    </row>
    <row r="9" spans="1:14" ht="185.25" customHeight="1" x14ac:dyDescent="0.25">
      <c r="A9" s="751"/>
      <c r="B9" s="752"/>
      <c r="C9" s="752" t="s">
        <v>220</v>
      </c>
      <c r="D9" s="542">
        <v>1</v>
      </c>
      <c r="E9" s="554" t="s">
        <v>1392</v>
      </c>
      <c r="F9" s="753" t="s">
        <v>1393</v>
      </c>
      <c r="G9" s="754" t="s">
        <v>208</v>
      </c>
      <c r="H9" s="755" t="s">
        <v>1394</v>
      </c>
      <c r="I9" s="303" t="s">
        <v>1395</v>
      </c>
      <c r="J9" s="754" t="s">
        <v>263</v>
      </c>
      <c r="K9" s="754" t="s">
        <v>263</v>
      </c>
      <c r="L9" s="754" t="s">
        <v>263</v>
      </c>
      <c r="M9" s="754" t="s">
        <v>263</v>
      </c>
      <c r="N9" s="756" t="str">
        <f t="shared" ref="N9:N12" si="0">IF(COUNTIF(J9:M9,"SI")=4,"Riesgo de Corrupción","No es Riesgo de Corrupción")</f>
        <v>No es Riesgo de Corrupción</v>
      </c>
    </row>
    <row r="10" spans="1:14" ht="133.5" customHeight="1" x14ac:dyDescent="0.25">
      <c r="A10" s="751"/>
      <c r="B10" s="751"/>
      <c r="C10" s="751" t="s">
        <v>220</v>
      </c>
      <c r="D10" s="542">
        <v>2</v>
      </c>
      <c r="E10" s="162" t="s">
        <v>1396</v>
      </c>
      <c r="F10" s="466" t="s">
        <v>1397</v>
      </c>
      <c r="G10" s="754" t="s">
        <v>208</v>
      </c>
      <c r="H10" s="303" t="s">
        <v>1398</v>
      </c>
      <c r="I10" s="303" t="s">
        <v>1395</v>
      </c>
      <c r="J10" s="754" t="s">
        <v>263</v>
      </c>
      <c r="K10" s="754" t="s">
        <v>263</v>
      </c>
      <c r="L10" s="754" t="s">
        <v>263</v>
      </c>
      <c r="M10" s="754" t="s">
        <v>263</v>
      </c>
      <c r="N10" s="756" t="str">
        <f t="shared" si="0"/>
        <v>No es Riesgo de Corrupción</v>
      </c>
    </row>
    <row r="11" spans="1:14" ht="147" customHeight="1" x14ac:dyDescent="0.25">
      <c r="A11" s="751"/>
      <c r="B11" s="751"/>
      <c r="C11" s="751" t="s">
        <v>220</v>
      </c>
      <c r="D11" s="542">
        <v>3</v>
      </c>
      <c r="E11" s="554" t="s">
        <v>1399</v>
      </c>
      <c r="F11" s="753" t="s">
        <v>1400</v>
      </c>
      <c r="G11" s="754" t="s">
        <v>208</v>
      </c>
      <c r="H11" s="303" t="s">
        <v>1401</v>
      </c>
      <c r="I11" s="303" t="s">
        <v>1402</v>
      </c>
      <c r="J11" s="754" t="s">
        <v>263</v>
      </c>
      <c r="K11" s="754" t="s">
        <v>263</v>
      </c>
      <c r="L11" s="754" t="s">
        <v>263</v>
      </c>
      <c r="M11" s="754" t="s">
        <v>263</v>
      </c>
      <c r="N11" s="756" t="str">
        <f t="shared" si="0"/>
        <v>No es Riesgo de Corrupción</v>
      </c>
    </row>
    <row r="12" spans="1:14" ht="95.25" customHeight="1" x14ac:dyDescent="0.25">
      <c r="A12" s="751"/>
      <c r="B12" s="751"/>
      <c r="C12" s="751" t="s">
        <v>220</v>
      </c>
      <c r="D12" s="542">
        <v>4</v>
      </c>
      <c r="E12" s="554" t="s">
        <v>1403</v>
      </c>
      <c r="F12" s="753" t="s">
        <v>1404</v>
      </c>
      <c r="G12" s="754" t="s">
        <v>252</v>
      </c>
      <c r="H12" s="303" t="s">
        <v>1405</v>
      </c>
      <c r="I12" s="303" t="s">
        <v>1395</v>
      </c>
      <c r="J12" s="754" t="s">
        <v>122</v>
      </c>
      <c r="K12" s="754" t="s">
        <v>122</v>
      </c>
      <c r="L12" s="754" t="s">
        <v>122</v>
      </c>
      <c r="M12" s="754" t="s">
        <v>122</v>
      </c>
      <c r="N12" s="756" t="str">
        <f t="shared" si="0"/>
        <v>Riesgo de Corrupción</v>
      </c>
    </row>
  </sheetData>
  <mergeCells count="11">
    <mergeCell ref="A6:C6"/>
    <mergeCell ref="D6:N6"/>
    <mergeCell ref="A7:C7"/>
    <mergeCell ref="D7:I7"/>
    <mergeCell ref="J7:N7"/>
    <mergeCell ref="A1:C4"/>
    <mergeCell ref="D1:M4"/>
    <mergeCell ref="N1:N2"/>
    <mergeCell ref="N3:N4"/>
    <mergeCell ref="A5:C5"/>
    <mergeCell ref="D5:N5"/>
  </mergeCells>
  <dataValidations count="1">
    <dataValidation type="list" allowBlank="1" showInputMessage="1" showErrorMessage="1" sqref="J9:M12" xr:uid="{00000000-0002-0000-7500-000000000000}">
      <formula1>"SI,NO"</formula1>
    </dataValidation>
  </dataValidations>
  <pageMargins left="0.11811023622047245" right="0.11811023622047245" top="1.1417322834645669" bottom="0.19685039370078741" header="0.31496062992125984" footer="0.31496062992125984"/>
  <pageSetup scale="79" orientation="landscape" horizontalDpi="1200" verticalDpi="1200" r:id="rId1"/>
  <headerFooter>
    <oddHeader>&amp;L&amp;G&amp;C
&amp;"-,Negrita"Matriz de Riesgos</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7500-000001000000}">
          <x14:formula1>
            <xm:f>'C:\Users\sgomez.UPME\Documents\UPME 2020\Documents\Mapas de riesgos\[Mapa de riesgos. Información sectorial.xlsx]Datos'!#REF!</xm:f>
          </x14:formula1>
          <xm:sqref>A9:C12 G9:G12</xm:sqref>
        </x14:dataValidation>
      </x14:dataValidations>
    </ext>
  </extLst>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X10"/>
  <sheetViews>
    <sheetView showGridLines="0" showWhiteSpace="0" topLeftCell="U1" zoomScaleNormal="100" zoomScaleSheetLayoutView="85" zoomScalePageLayoutView="70" workbookViewId="0">
      <selection activeCell="X6" sqref="X6"/>
    </sheetView>
  </sheetViews>
  <sheetFormatPr baseColWidth="10" defaultRowHeight="15" x14ac:dyDescent="0.25"/>
  <cols>
    <col min="1" max="1" width="4.75" style="746" customWidth="1"/>
    <col min="2" max="2" width="19.125" style="743" customWidth="1"/>
    <col min="3" max="3" width="38.875" style="800" customWidth="1"/>
    <col min="4" max="4" width="21.125" style="801" customWidth="1"/>
    <col min="5" max="5" width="2.875" style="746" customWidth="1"/>
    <col min="6" max="6" width="17.25" style="746" customWidth="1"/>
    <col min="7" max="7" width="12.875" style="746" customWidth="1"/>
    <col min="8" max="8" width="5" style="746" customWidth="1"/>
    <col min="9" max="9" width="14" style="743" customWidth="1"/>
    <col min="10" max="10" width="8.375" style="743" customWidth="1"/>
    <col min="11" max="11" width="20.125" style="802" customWidth="1"/>
    <col min="12" max="12" width="41" style="743" customWidth="1"/>
    <col min="13" max="13" width="13.75" style="743" customWidth="1"/>
    <col min="14" max="14" width="15" style="743" customWidth="1"/>
    <col min="15" max="15" width="19.25" style="743" customWidth="1"/>
    <col min="16" max="16" width="18.875" style="743" customWidth="1"/>
    <col min="17" max="17" width="12" style="743" customWidth="1"/>
    <col min="18" max="18" width="12.625" style="743" customWidth="1"/>
    <col min="19" max="19" width="13.625" style="746" customWidth="1"/>
    <col min="20" max="20" width="13.625" style="743" customWidth="1"/>
    <col min="21" max="21" width="17.5" style="743" customWidth="1"/>
    <col min="22" max="22" width="12.125" style="743" customWidth="1"/>
    <col min="23" max="23" width="13.875" style="743" customWidth="1"/>
    <col min="24" max="24" width="34.25" style="743" customWidth="1"/>
    <col min="25" max="16384" width="11" style="743"/>
  </cols>
  <sheetData>
    <row r="1" spans="1:24" ht="15" customHeight="1" x14ac:dyDescent="0.25">
      <c r="A1" s="1598"/>
      <c r="B1" s="1598"/>
      <c r="C1" s="1598"/>
      <c r="D1" s="909" t="s">
        <v>55</v>
      </c>
      <c r="E1" s="909"/>
      <c r="F1" s="909"/>
      <c r="G1" s="909"/>
      <c r="H1" s="909"/>
      <c r="I1" s="909"/>
      <c r="J1" s="909"/>
      <c r="K1" s="909"/>
      <c r="L1" s="909"/>
      <c r="M1" s="909"/>
      <c r="N1" s="909"/>
      <c r="O1" s="909"/>
      <c r="P1" s="909"/>
      <c r="Q1" s="909"/>
      <c r="R1" s="909"/>
      <c r="S1" s="909"/>
      <c r="T1" s="909"/>
      <c r="U1" s="909"/>
      <c r="V1" s="909"/>
      <c r="W1" s="909"/>
      <c r="X1" s="1600" t="s">
        <v>35</v>
      </c>
    </row>
    <row r="2" spans="1:24" ht="15" customHeight="1" x14ac:dyDescent="0.25">
      <c r="A2" s="1598"/>
      <c r="B2" s="1598"/>
      <c r="C2" s="1598"/>
      <c r="D2" s="909"/>
      <c r="E2" s="909"/>
      <c r="F2" s="909"/>
      <c r="G2" s="909"/>
      <c r="H2" s="909"/>
      <c r="I2" s="909"/>
      <c r="J2" s="909"/>
      <c r="K2" s="909"/>
      <c r="L2" s="909"/>
      <c r="M2" s="909"/>
      <c r="N2" s="909"/>
      <c r="O2" s="909"/>
      <c r="P2" s="909"/>
      <c r="Q2" s="909"/>
      <c r="R2" s="909"/>
      <c r="S2" s="909"/>
      <c r="T2" s="909"/>
      <c r="U2" s="909"/>
      <c r="V2" s="909"/>
      <c r="W2" s="909"/>
      <c r="X2" s="1600"/>
    </row>
    <row r="3" spans="1:24" ht="15" customHeight="1" x14ac:dyDescent="0.25">
      <c r="A3" s="1598"/>
      <c r="B3" s="1598"/>
      <c r="C3" s="1598"/>
      <c r="D3" s="909"/>
      <c r="E3" s="909"/>
      <c r="F3" s="909"/>
      <c r="G3" s="909"/>
      <c r="H3" s="909"/>
      <c r="I3" s="909"/>
      <c r="J3" s="909"/>
      <c r="K3" s="909"/>
      <c r="L3" s="909"/>
      <c r="M3" s="909"/>
      <c r="N3" s="909"/>
      <c r="O3" s="909"/>
      <c r="P3" s="909"/>
      <c r="Q3" s="909"/>
      <c r="R3" s="909"/>
      <c r="S3" s="909"/>
      <c r="T3" s="909"/>
      <c r="U3" s="909"/>
      <c r="V3" s="909"/>
      <c r="W3" s="909"/>
      <c r="X3" s="1600" t="s">
        <v>56</v>
      </c>
    </row>
    <row r="4" spans="1:24" ht="15.75" customHeight="1" thickBot="1" x14ac:dyDescent="0.3">
      <c r="A4" s="1598"/>
      <c r="B4" s="1598"/>
      <c r="C4" s="1598"/>
      <c r="D4" s="909"/>
      <c r="E4" s="909"/>
      <c r="F4" s="909"/>
      <c r="G4" s="909"/>
      <c r="H4" s="909"/>
      <c r="I4" s="909"/>
      <c r="J4" s="909"/>
      <c r="K4" s="909"/>
      <c r="L4" s="909"/>
      <c r="M4" s="909"/>
      <c r="N4" s="909"/>
      <c r="O4" s="909"/>
      <c r="P4" s="909"/>
      <c r="Q4" s="909"/>
      <c r="R4" s="909"/>
      <c r="S4" s="909"/>
      <c r="T4" s="909"/>
      <c r="U4" s="909"/>
      <c r="V4" s="909"/>
      <c r="W4" s="909"/>
      <c r="X4" s="1600"/>
    </row>
    <row r="5" spans="1:24" ht="18.75" customHeight="1" thickBot="1" x14ac:dyDescent="0.3">
      <c r="A5" s="1601" t="s">
        <v>57</v>
      </c>
      <c r="B5" s="1602"/>
      <c r="C5" s="1602"/>
      <c r="D5" s="1602"/>
      <c r="E5" s="1602"/>
      <c r="F5" s="1602"/>
      <c r="G5" s="1602"/>
      <c r="H5" s="1602"/>
      <c r="I5" s="1603"/>
      <c r="J5" s="757"/>
      <c r="K5" s="1604" t="s">
        <v>58</v>
      </c>
      <c r="L5" s="1604"/>
      <c r="M5" s="1604"/>
      <c r="N5" s="1604"/>
      <c r="O5" s="1604"/>
      <c r="P5" s="1605"/>
      <c r="Q5" s="1606" t="s">
        <v>59</v>
      </c>
      <c r="R5" s="1606"/>
      <c r="S5" s="1606"/>
      <c r="T5" s="1606"/>
      <c r="U5" s="1606"/>
      <c r="V5" s="1606"/>
      <c r="W5" s="1606"/>
      <c r="X5" s="1606"/>
    </row>
    <row r="6" spans="1:24" s="763" customFormat="1" ht="51.75" thickBot="1" x14ac:dyDescent="0.25">
      <c r="A6" s="827" t="s">
        <v>44</v>
      </c>
      <c r="B6" s="828" t="s">
        <v>64</v>
      </c>
      <c r="C6" s="828" t="s">
        <v>65</v>
      </c>
      <c r="D6" s="861" t="s">
        <v>66</v>
      </c>
      <c r="E6" s="828" t="s">
        <v>67</v>
      </c>
      <c r="F6" s="828" t="s">
        <v>68</v>
      </c>
      <c r="G6" s="861" t="s">
        <v>69</v>
      </c>
      <c r="H6" s="861" t="s">
        <v>70</v>
      </c>
      <c r="I6" s="829" t="s">
        <v>71</v>
      </c>
      <c r="J6" s="862" t="s">
        <v>72</v>
      </c>
      <c r="K6" s="863" t="s">
        <v>73</v>
      </c>
      <c r="L6" s="828" t="s">
        <v>74</v>
      </c>
      <c r="M6" s="864" t="s">
        <v>75</v>
      </c>
      <c r="N6" s="828" t="s">
        <v>76</v>
      </c>
      <c r="O6" s="828" t="s">
        <v>77</v>
      </c>
      <c r="P6" s="829" t="s">
        <v>78</v>
      </c>
      <c r="Q6" s="863" t="s">
        <v>79</v>
      </c>
      <c r="R6" s="828" t="s">
        <v>80</v>
      </c>
      <c r="S6" s="828" t="s">
        <v>67</v>
      </c>
      <c r="T6" s="828" t="s">
        <v>70</v>
      </c>
      <c r="U6" s="537" t="s">
        <v>81</v>
      </c>
      <c r="V6" s="537" t="s">
        <v>82</v>
      </c>
      <c r="W6" s="537" t="s">
        <v>83</v>
      </c>
      <c r="X6" s="539" t="s">
        <v>84</v>
      </c>
    </row>
    <row r="7" spans="1:24" s="780" customFormat="1" ht="237.75" customHeight="1" x14ac:dyDescent="0.2">
      <c r="A7" s="865">
        <f>'[19]Identificación del Riesgo IS'!D9</f>
        <v>1</v>
      </c>
      <c r="B7" s="866" t="str">
        <f>'[19]Identificación del Riesgo IS'!E9</f>
        <v>Entrega de información a las partes interesadas con demoras</v>
      </c>
      <c r="C7" s="910" t="str">
        <f>'[19]Identificación del Riesgo IS'!H9</f>
        <v>Posibles afectaciones sobre el proceso ante los posibles variaciones tecnológicas relacionadas al desarrollo de software
Falta de oportunidad en la entrega de la información al proceso por parte de las fuentes.
No se han materializado los acuerdos interinstitucionales para la entrega de la información requerida como entrada en el proceso.
Los procedimientos del proceso no se encuentran alineados en su totalidad al objetivo principal del proceso.</v>
      </c>
      <c r="D7" s="867" t="s">
        <v>181</v>
      </c>
      <c r="E7" s="868">
        <f>IF(D7="Selecciona un descriptor de frecuencia."," ",IF(D7="","",VLOOKUP(D7,[19]Datos!$G$8:$J$12,2,FALSE)))</f>
        <v>5</v>
      </c>
      <c r="F7" s="868" t="str">
        <f>IF(D7="Selecciona un descriptor de frecuencia."," ",IF(D7="","",VLOOKUP(D7,[19]Datos!$G$8:$J$12,3,FALSE)))</f>
        <v>Casi Seguro</v>
      </c>
      <c r="G7" s="867" t="s">
        <v>199</v>
      </c>
      <c r="H7" s="868">
        <f>IF(G7="Selecciona un descriptor de impacto."," ",IF(G7="","",VLOOKUP(G7,[19]Datos!$K$8:$L$12,2,FALSE)))</f>
        <v>4</v>
      </c>
      <c r="I7" s="869" t="str">
        <f>IF(D7="Selecciona un descriptor de frecuencia."," ",IF(G7="Selecciona un descriptor de impacto."," ",IF(E7+H7=" ","",IF(E7="","",VLOOKUP(E7,[19]Datos!$U$8:$Z$12,MATCH(H7,[19]Datos!$V$7:$Z$7,0)+1,FALSE)))))</f>
        <v>EXTREMO</v>
      </c>
      <c r="J7" s="870" t="s">
        <v>263</v>
      </c>
      <c r="K7" s="871" t="s">
        <v>1087</v>
      </c>
      <c r="L7" s="871" t="s">
        <v>1087</v>
      </c>
      <c r="M7" s="873">
        <f>[19]Controles!T9</f>
        <v>5</v>
      </c>
      <c r="N7" s="873" t="str">
        <f>[19]Controles!AB9</f>
        <v>SI</v>
      </c>
      <c r="O7" s="874">
        <f>[19]Controles!W9</f>
        <v>0</v>
      </c>
      <c r="P7" s="875">
        <f>[19]Controles!X9</f>
        <v>0</v>
      </c>
      <c r="Q7" s="876">
        <f t="shared" ref="Q7:R10" si="0">SUM(O7:O7)</f>
        <v>0</v>
      </c>
      <c r="R7" s="877">
        <f t="shared" si="0"/>
        <v>0</v>
      </c>
      <c r="S7" s="878">
        <f>IF(D7="Selecciona un descriptor de frecuencia."," ",IF(ROUNDUP(E7-Q7,0)&lt;0,1,ROUNDUP(E7-Q7,0)))</f>
        <v>5</v>
      </c>
      <c r="T7" s="878">
        <f>IF(G7="Selecciona un descriptor de impacto."," ",IF(ROUNDUP(H7-R7,0)&lt;0,1,ROUNDUP(H7-R7,0)))</f>
        <v>4</v>
      </c>
      <c r="U7" s="547" t="str">
        <f>IF(D7="Selecciona un descriptor de frecuencia."," ",VLOOKUP(S7,[19]Datos!$H$8:$I$12,2,FALSE))</f>
        <v>Casi Seguro</v>
      </c>
      <c r="V7" s="547" t="str">
        <f>IF(G7="Selecciona un descriptor de impacto."," ",VLOOKUP(T7,[19]Datos!$L$8:$M$12,2,FALSE))</f>
        <v>Mayor</v>
      </c>
      <c r="W7" s="849" t="str">
        <f>IF(S7=" "," ",VLOOKUP(S7,[19]Datos!$U$8:$Z$12,MATCH(T7,[19]Datos!$V$7:$Z$7,0)+1,FALSE))</f>
        <v>EXTREMO</v>
      </c>
      <c r="X7" s="819" t="s">
        <v>202</v>
      </c>
    </row>
    <row r="8" spans="1:24" s="799" customFormat="1" ht="139.5" customHeight="1" x14ac:dyDescent="0.2">
      <c r="A8" s="880">
        <f>'[19]Identificación del Riesgo IS'!D10</f>
        <v>2</v>
      </c>
      <c r="B8" s="881" t="str">
        <f>'[19]Identificación del Riesgo IS'!E10</f>
        <v>Generar información poco confiable o con análisis deficiente.</v>
      </c>
      <c r="C8" s="881" t="str">
        <f>'[19]Identificación del Riesgo IS'!H10</f>
        <v>No se han desarrollado actividades que mejoren las competencias del personal en los temas específicos del proceso.
No se ha planificado institucionalmente los recursos humanos para el procesamiento de la información en función de las necesidades de operación.
No se han asignado funciones específicas sobre la gestión y procesamiento de la información bajo una perspectiva descentralizada en los demás procesos.</v>
      </c>
      <c r="D8" s="882" t="s">
        <v>210</v>
      </c>
      <c r="E8" s="883">
        <f>IF(D8="Selecciona un descriptor de frecuencia."," ",IF(D8="","",VLOOKUP(D8,[19]Datos!$G$8:$J$12,2,FALSE)))</f>
        <v>3</v>
      </c>
      <c r="F8" s="883" t="str">
        <f>IF(D8="Selecciona un descriptor de frecuencia."," ",IF(D8="","",VLOOKUP(D8,[19]Datos!$G$8:$J$12,3,FALSE)))</f>
        <v>Posible</v>
      </c>
      <c r="G8" s="882" t="s">
        <v>199</v>
      </c>
      <c r="H8" s="884">
        <f>IF(G8="","",VLOOKUP(G8,[19]Datos!$K$8:$L$12,2,FALSE))</f>
        <v>4</v>
      </c>
      <c r="I8" s="885" t="str">
        <f>IF(D8="Selecciona un descriptor de frecuencia."," ",IF(G8="Selecciona un descriptor de impacto."," ",IF(E8+H8=" ","",IF(E8="","",VLOOKUP(E8,[19]Datos!$U$8:$Z$12,MATCH(H8,[19]Datos!$V$7:$Z$7,0)+1,FALSE)))))</f>
        <v>EXTREMO</v>
      </c>
      <c r="J8" s="886" t="s">
        <v>263</v>
      </c>
      <c r="K8" s="871" t="s">
        <v>1087</v>
      </c>
      <c r="L8" s="871" t="s">
        <v>1087</v>
      </c>
      <c r="M8" s="820">
        <f>[19]Controles!T10</f>
        <v>5</v>
      </c>
      <c r="N8" s="820" t="str">
        <f>[19]Controles!AB10</f>
        <v>SI</v>
      </c>
      <c r="O8" s="547">
        <f>[19]Controles!W10</f>
        <v>0</v>
      </c>
      <c r="P8" s="888">
        <f>[19]Controles!X10</f>
        <v>0</v>
      </c>
      <c r="Q8" s="889">
        <f t="shared" si="0"/>
        <v>0</v>
      </c>
      <c r="R8" s="890">
        <f t="shared" si="0"/>
        <v>0</v>
      </c>
      <c r="S8" s="891">
        <f t="shared" ref="S8:S10" si="1">IF(D8="Selecciona un descriptor de frecuencia."," ",IF(ROUNDUP(E8-Q8,0)&lt;0,1,ROUNDUP(E8-Q8,0)))</f>
        <v>3</v>
      </c>
      <c r="T8" s="891">
        <f t="shared" ref="T8:T10" si="2">IF(G8="Selecciona un descriptor de impacto."," ",IF(ROUNDUP(H8-R8,0)&lt;0,1,ROUNDUP(H8-R8,0)))</f>
        <v>4</v>
      </c>
      <c r="U8" s="547" t="str">
        <f>IF(D8="Selecciona un descriptor de frecuencia."," ",VLOOKUP(S8,[19]Datos!$H$8:$I$12,2,FALSE))</f>
        <v>Posible</v>
      </c>
      <c r="V8" s="547" t="str">
        <f>IF(G8="Selecciona un descriptor de impacto."," ",VLOOKUP(T8,[19]Datos!$L$8:$M$12,2,FALSE))</f>
        <v>Mayor</v>
      </c>
      <c r="W8" s="849" t="str">
        <f>IF(S8=" "," ",VLOOKUP(S8,[19]Datos!$U$8:$Z$12,MATCH(T8,[19]Datos!$V$7:$Z$7,0)+1,FALSE))</f>
        <v>EXTREMO</v>
      </c>
      <c r="X8" s="819" t="s">
        <v>202</v>
      </c>
    </row>
    <row r="9" spans="1:24" s="780" customFormat="1" ht="130.5" customHeight="1" x14ac:dyDescent="0.2">
      <c r="A9" s="851">
        <f>'[19]Identificación del Riesgo IS'!D11</f>
        <v>3</v>
      </c>
      <c r="B9" s="848" t="str">
        <f>'[19]Identificación del Riesgo IS'!E11</f>
        <v xml:space="preserve">Presentar información del sector con herramientas poco prácticas para las partes interesadas </v>
      </c>
      <c r="C9" s="848" t="str">
        <f>'[19]Identificación del Riesgo IS'!H11</f>
        <v>No se cuenta con la capacidad tecnológica ni humana para el análisis de grandes volúmenes de información.
Obsolecencia técnológica de herramientas de procesamiento de información.</v>
      </c>
      <c r="D9" s="819" t="s">
        <v>181</v>
      </c>
      <c r="E9" s="847">
        <f>IF(D9="Selecciona un descriptor de frecuencia."," ",IF(D9="","",VLOOKUP(D9,[19]Datos!$G$8:$J$12,2,FALSE)))</f>
        <v>5</v>
      </c>
      <c r="F9" s="847" t="str">
        <f>IF(D9="Selecciona un descriptor de frecuencia."," ",IF(D9="","",VLOOKUP(D9,[19]Datos!$G$8:$J$12,3,FALSE)))</f>
        <v>Casi Seguro</v>
      </c>
      <c r="G9" s="819" t="s">
        <v>204</v>
      </c>
      <c r="H9" s="851">
        <f>IF(G9="","",VLOOKUP(G9,[19]Datos!$K$8:$L$12,2,FALSE))</f>
        <v>3</v>
      </c>
      <c r="I9" s="849" t="str">
        <f>IF(D9="Selecciona un descriptor de frecuencia."," ",IF(G9="Selecciona un descriptor de impacto."," ",IF(E9+H9=" ","",IF(E9="","",VLOOKUP(E9,[19]Datos!$U$8:$Z$12,MATCH(H9,[19]Datos!$V$7:$Z$7,0)+1,FALSE)))))</f>
        <v>EXTREMO</v>
      </c>
      <c r="J9" s="819" t="s">
        <v>263</v>
      </c>
      <c r="K9" s="871" t="s">
        <v>1087</v>
      </c>
      <c r="L9" s="871" t="s">
        <v>1087</v>
      </c>
      <c r="M9" s="820">
        <f>[19]Controles!T11</f>
        <v>5</v>
      </c>
      <c r="N9" s="820" t="str">
        <f>[19]Controles!AB11</f>
        <v>SI</v>
      </c>
      <c r="O9" s="547">
        <f>[19]Controles!W11</f>
        <v>0</v>
      </c>
      <c r="P9" s="547">
        <f>[19]Controles!X11</f>
        <v>0</v>
      </c>
      <c r="Q9" s="852">
        <f t="shared" si="0"/>
        <v>0</v>
      </c>
      <c r="R9" s="852">
        <f t="shared" si="0"/>
        <v>0</v>
      </c>
      <c r="S9" s="850">
        <f t="shared" si="1"/>
        <v>5</v>
      </c>
      <c r="T9" s="850">
        <f t="shared" si="2"/>
        <v>3</v>
      </c>
      <c r="U9" s="547" t="str">
        <f>IF(D9="Selecciona un descriptor de frecuencia."," ",VLOOKUP(S9,[19]Datos!$H$8:$I$12,2,FALSE))</f>
        <v>Casi Seguro</v>
      </c>
      <c r="V9" s="547" t="str">
        <f>IF(G9="Selecciona un descriptor de impacto."," ",VLOOKUP(T9,[19]Datos!$L$8:$M$12,2,FALSE))</f>
        <v>Moderado</v>
      </c>
      <c r="W9" s="849" t="str">
        <f>IF(S9=" "," ",VLOOKUP(S9,[19]Datos!$U$8:$Z$12,MATCH(T9,[19]Datos!$V$7:$Z$7,0)+1,FALSE))</f>
        <v>EXTREMO</v>
      </c>
      <c r="X9" s="819" t="s">
        <v>202</v>
      </c>
    </row>
    <row r="10" spans="1:24" s="780" customFormat="1" ht="145.5" customHeight="1" x14ac:dyDescent="0.2">
      <c r="A10" s="851">
        <f>'[19]Identificación del Riesgo IS'!D12</f>
        <v>4</v>
      </c>
      <c r="B10" s="848" t="str">
        <f>'[19]Identificación del Riesgo IS'!E12</f>
        <v>Filtración de información institucional  para beneficios de un tercero</v>
      </c>
      <c r="C10" s="848" t="str">
        <f>'[19]Identificación del Riesgo IS'!H12</f>
        <v>No contar con sistemas de seguridad eficientes.
No se tiene trazabilidad de la firmas de acuerdos de confidencialidad de la información que se maneja en el proceso.</v>
      </c>
      <c r="D10" s="819" t="s">
        <v>236</v>
      </c>
      <c r="E10" s="847">
        <f>IF(D10="Selecciona un descriptor de frecuencia."," ",IF(D10="","",VLOOKUP(D10,[19]Datos!$G$8:$J$12,2,FALSE)))</f>
        <v>1</v>
      </c>
      <c r="F10" s="847" t="str">
        <f>IF(D10="Selecciona un descriptor de frecuencia."," ",IF(D10="","",VLOOKUP(D10,[19]Datos!$G$8:$J$12,3,FALSE)))</f>
        <v>Rara vez</v>
      </c>
      <c r="G10" s="819" t="s">
        <v>184</v>
      </c>
      <c r="H10" s="851">
        <f>IF(G10="","",VLOOKUP(G10,[19]Datos!$K$8:$L$12,2,FALSE))</f>
        <v>5</v>
      </c>
      <c r="I10" s="849" t="str">
        <f>IF(D10="Selecciona un descriptor de frecuencia."," ",IF(G10="Selecciona un descriptor de impacto."," ",IF(E10+H10=" ","",IF(E10="","",VLOOKUP(E10,[19]Datos!$U$8:$Z$12,MATCH(H10,[19]Datos!$V$7:$Z$7,0)+1,FALSE)))))</f>
        <v>EXTREMO</v>
      </c>
      <c r="J10" s="819" t="s">
        <v>263</v>
      </c>
      <c r="K10" s="871" t="s">
        <v>1087</v>
      </c>
      <c r="L10" s="871" t="s">
        <v>1087</v>
      </c>
      <c r="M10" s="820">
        <f>[19]Controles!T12</f>
        <v>5</v>
      </c>
      <c r="N10" s="820" t="str">
        <f>[19]Controles!AB12</f>
        <v>SI</v>
      </c>
      <c r="O10" s="547">
        <f>[19]Controles!W12</f>
        <v>0</v>
      </c>
      <c r="P10" s="547">
        <f>[19]Controles!X12</f>
        <v>0</v>
      </c>
      <c r="Q10" s="852">
        <f t="shared" si="0"/>
        <v>0</v>
      </c>
      <c r="R10" s="852">
        <f t="shared" si="0"/>
        <v>0</v>
      </c>
      <c r="S10" s="850">
        <f t="shared" si="1"/>
        <v>1</v>
      </c>
      <c r="T10" s="850">
        <f t="shared" si="2"/>
        <v>5</v>
      </c>
      <c r="U10" s="547" t="str">
        <f>IF(D10="Selecciona un descriptor de frecuencia."," ",VLOOKUP(S10,[19]Datos!$H$8:$I$12,2,FALSE))</f>
        <v>Rara vez</v>
      </c>
      <c r="V10" s="547" t="str">
        <f>IF(G10="Selecciona un descriptor de impacto."," ",VLOOKUP(T10,[19]Datos!$L$8:$M$12,2,FALSE))</f>
        <v>Catastrófico</v>
      </c>
      <c r="W10" s="849" t="str">
        <f>IF(S10=" "," ",VLOOKUP(S10,[19]Datos!$U$8:$Z$12,MATCH(T10,[19]Datos!$V$7:$Z$7,0)+1,FALSE))</f>
        <v>EXTREMO</v>
      </c>
      <c r="X10" s="819" t="s">
        <v>202</v>
      </c>
    </row>
  </sheetData>
  <mergeCells count="6">
    <mergeCell ref="A1:C4"/>
    <mergeCell ref="X1:X2"/>
    <mergeCell ref="X3:X4"/>
    <mergeCell ref="A5:I5"/>
    <mergeCell ref="K5:P5"/>
    <mergeCell ref="Q5:X5"/>
  </mergeCells>
  <conditionalFormatting sqref="I7:J10 W7:X10">
    <cfRule type="cellIs" dxfId="7" priority="1" operator="equal">
      <formula>"Extremo"</formula>
    </cfRule>
    <cfRule type="cellIs" dxfId="6" priority="2" operator="equal">
      <formula>"Moderado"</formula>
    </cfRule>
    <cfRule type="cellIs" dxfId="5" priority="3" operator="equal">
      <formula>"Bajo"</formula>
    </cfRule>
    <cfRule type="cellIs" dxfId="4" priority="4" operator="equal">
      <formula>"Alto"</formula>
    </cfRule>
  </conditionalFormatting>
  <dataValidations count="1">
    <dataValidation type="list" allowBlank="1" showInputMessage="1" showErrorMessage="1" sqref="J7:J10" xr:uid="{00000000-0002-0000-7600-000000000000}">
      <formula1>"SI,NO"</formula1>
    </dataValidation>
  </dataValidations>
  <pageMargins left="7.874015748031496E-2" right="7.874015748031496E-2" top="1.1417322834645669" bottom="0.15748031496062992" header="0.31496062992125984" footer="0.31496062992125984"/>
  <pageSetup scale="38" orientation="landscape" horizontalDpi="1200" verticalDpi="1200" r:id="rId1"/>
  <headerFooter>
    <oddHeader>&amp;L&amp;G&amp;C
&amp;"-,Negrita"Matriz de Riesgos</oddHeader>
  </headerFooter>
  <rowBreaks count="1" manualBreakCount="1">
    <brk id="8" max="16383" man="1"/>
  </rowBreaks>
  <colBreaks count="1" manualBreakCount="1">
    <brk id="16" max="1048575" man="1"/>
  </col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7600-000001000000}">
          <x14:formula1>
            <xm:f>'C:\Users\sgomez.UPME\Documents\UPME 2020\Documents\Mapas de riesgos\[Mapa de riesgos. Información sectorial.xlsx]Datos'!#REF!</xm:f>
          </x14:formula1>
          <xm:sqref>G7:G10 X7:X10 D7:D10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7"/>
  <sheetViews>
    <sheetView showGridLines="0" zoomScale="115" zoomScaleNormal="115" zoomScaleSheetLayoutView="110" zoomScalePageLayoutView="90" workbookViewId="0">
      <selection activeCell="C7" sqref="C7"/>
    </sheetView>
  </sheetViews>
  <sheetFormatPr baseColWidth="10" defaultRowHeight="15" x14ac:dyDescent="0.25"/>
  <cols>
    <col min="1" max="1" width="20.375" style="151" customWidth="1"/>
    <col min="2" max="2" width="37.125" style="151" customWidth="1"/>
    <col min="3" max="3" width="39" style="151" customWidth="1"/>
    <col min="4" max="4" width="14.25" style="151" customWidth="1"/>
    <col min="5" max="5" width="21.125" style="151" customWidth="1"/>
    <col min="6" max="16384" width="11" style="151"/>
  </cols>
  <sheetData>
    <row r="1" spans="1:5" x14ac:dyDescent="0.25">
      <c r="A1" s="1096"/>
      <c r="B1" s="1097" t="s">
        <v>0</v>
      </c>
      <c r="C1" s="1097"/>
      <c r="D1" s="1097"/>
      <c r="E1" s="1098" t="s">
        <v>29</v>
      </c>
    </row>
    <row r="2" spans="1:5" x14ac:dyDescent="0.25">
      <c r="A2" s="1096"/>
      <c r="B2" s="1097"/>
      <c r="C2" s="1097"/>
      <c r="D2" s="1097"/>
      <c r="E2" s="1098"/>
    </row>
    <row r="3" spans="1:5" x14ac:dyDescent="0.25">
      <c r="A3" s="1096"/>
      <c r="B3" s="1097"/>
      <c r="C3" s="1097"/>
      <c r="D3" s="1097"/>
      <c r="E3" s="1099" t="s">
        <v>2</v>
      </c>
    </row>
    <row r="4" spans="1:5" ht="15.75" thickBot="1" x14ac:dyDescent="0.3">
      <c r="A4" s="1096"/>
      <c r="B4" s="1097"/>
      <c r="C4" s="1097"/>
      <c r="D4" s="1097"/>
      <c r="E4" s="1099"/>
    </row>
    <row r="5" spans="1:5" ht="15.75" thickBot="1" x14ac:dyDescent="0.3">
      <c r="A5" s="1100" t="s">
        <v>30</v>
      </c>
      <c r="B5" s="1101"/>
      <c r="C5" s="1101"/>
      <c r="D5" s="1101"/>
      <c r="E5" s="1102"/>
    </row>
    <row r="6" spans="1:5" ht="15" customHeight="1" x14ac:dyDescent="0.25">
      <c r="A6" s="152" t="s">
        <v>31</v>
      </c>
      <c r="B6" s="153" t="s">
        <v>32</v>
      </c>
      <c r="C6" s="152" t="s">
        <v>33</v>
      </c>
      <c r="D6" s="1103" t="s">
        <v>34</v>
      </c>
      <c r="E6" s="1104"/>
    </row>
    <row r="7" spans="1:5" ht="409.5" customHeight="1" x14ac:dyDescent="0.25">
      <c r="A7" s="154"/>
      <c r="B7" s="155" t="s">
        <v>319</v>
      </c>
      <c r="C7" s="156" t="s">
        <v>320</v>
      </c>
      <c r="D7" s="1094" t="s">
        <v>321</v>
      </c>
      <c r="E7" s="1095"/>
    </row>
  </sheetData>
  <mergeCells count="7">
    <mergeCell ref="D7:E7"/>
    <mergeCell ref="A1:A4"/>
    <mergeCell ref="B1:D4"/>
    <mergeCell ref="E1:E2"/>
    <mergeCell ref="E3:E4"/>
    <mergeCell ref="A5:E5"/>
    <mergeCell ref="D6:E6"/>
  </mergeCells>
  <pageMargins left="0.31496062992125984" right="0.31496062992125984" top="1.1417322834645669" bottom="0.35433070866141736" header="0.31496062992125984" footer="0.31496062992125984"/>
  <pageSetup scale="88" orientation="landscape" horizontalDpi="1200" verticalDpi="1200" r:id="rId1"/>
  <headerFooter>
    <oddHeader>&amp;L&amp;G&amp;C
&amp;"-,Negrita"Matriz de Riesgos</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'C:\Users\sgomez.UPME\Documents\UPME 2020\Documents\Mapas de riesgos\[Mapa de riesgos CONVOCATORIAS.xlsx]Datos'!#REF!</xm:f>
          </x14:formula1>
          <xm:sqref>A7</xm:sqref>
        </x14:dataValidation>
      </x14:dataValidations>
    </ext>
  </extLst>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tabColor rgb="FFBEAE25"/>
  </sheetPr>
  <dimension ref="A1:X16"/>
  <sheetViews>
    <sheetView showGridLines="0" view="pageBreakPreview" topLeftCell="A4" zoomScale="55" zoomScaleNormal="100" zoomScaleSheetLayoutView="55" workbookViewId="0">
      <pane ySplit="3" topLeftCell="A7" activePane="bottomLeft" state="frozen"/>
      <selection activeCell="A4" sqref="A4"/>
      <selection pane="bottomLeft" activeCell="K10" sqref="K10"/>
    </sheetView>
  </sheetViews>
  <sheetFormatPr baseColWidth="10" defaultRowHeight="15" x14ac:dyDescent="0.25"/>
  <cols>
    <col min="1" max="1" width="5.625" style="743" customWidth="1"/>
    <col min="2" max="2" width="21.625" style="743" customWidth="1"/>
    <col min="3" max="3" width="15.75" style="743" customWidth="1"/>
    <col min="4" max="4" width="17.875" style="743" customWidth="1"/>
    <col min="5" max="11" width="16.625" style="743" customWidth="1"/>
    <col min="12" max="12" width="21.375" style="743" customWidth="1"/>
    <col min="13" max="14" width="16.625" style="743" customWidth="1"/>
    <col min="15" max="15" width="18.5" style="743" customWidth="1"/>
    <col min="16" max="16" width="16.625" style="743" customWidth="1"/>
    <col min="17" max="23" width="13.75" style="743" customWidth="1"/>
    <col min="24" max="24" width="9.125" style="746" bestFit="1" customWidth="1"/>
    <col min="25" max="26" width="25.625" style="743" customWidth="1"/>
    <col min="27" max="16384" width="11" style="743"/>
  </cols>
  <sheetData>
    <row r="1" spans="1:24" ht="15" customHeight="1" x14ac:dyDescent="0.25">
      <c r="A1" s="1610"/>
      <c r="B1" s="1611"/>
      <c r="C1" s="1611"/>
      <c r="D1" s="1612"/>
      <c r="E1" s="1615" t="s">
        <v>0</v>
      </c>
      <c r="F1" s="1616"/>
      <c r="G1" s="1616"/>
      <c r="H1" s="1616"/>
      <c r="I1" s="1616"/>
      <c r="J1" s="1616"/>
      <c r="K1" s="1616"/>
      <c r="L1" s="1616"/>
      <c r="M1" s="1616"/>
      <c r="N1" s="1616"/>
      <c r="O1" s="1616"/>
      <c r="P1" s="1616"/>
      <c r="Q1" s="1616"/>
      <c r="R1" s="1616"/>
      <c r="S1" s="1616"/>
      <c r="T1" s="1617"/>
      <c r="U1" s="1621" t="s">
        <v>98</v>
      </c>
      <c r="V1" s="1622"/>
      <c r="W1" s="1622"/>
      <c r="X1" s="1623"/>
    </row>
    <row r="2" spans="1:24" ht="15" customHeight="1" x14ac:dyDescent="0.25">
      <c r="A2" s="1613"/>
      <c r="B2" s="1614"/>
      <c r="C2" s="1614"/>
      <c r="D2" s="1568"/>
      <c r="E2" s="1618"/>
      <c r="F2" s="1619"/>
      <c r="G2" s="1619"/>
      <c r="H2" s="1619"/>
      <c r="I2" s="1619"/>
      <c r="J2" s="1619"/>
      <c r="K2" s="1619"/>
      <c r="L2" s="1619"/>
      <c r="M2" s="1619"/>
      <c r="N2" s="1619"/>
      <c r="O2" s="1619"/>
      <c r="P2" s="1619"/>
      <c r="Q2" s="1619"/>
      <c r="R2" s="1619"/>
      <c r="S2" s="1619"/>
      <c r="T2" s="1620"/>
      <c r="U2" s="1624"/>
      <c r="V2" s="1625"/>
      <c r="W2" s="1625"/>
      <c r="X2" s="1626"/>
    </row>
    <row r="3" spans="1:24" ht="15" customHeight="1" x14ac:dyDescent="0.25">
      <c r="A3" s="1613"/>
      <c r="B3" s="1614"/>
      <c r="C3" s="1614"/>
      <c r="D3" s="1568"/>
      <c r="E3" s="1618"/>
      <c r="F3" s="1619"/>
      <c r="G3" s="1619"/>
      <c r="H3" s="1619"/>
      <c r="I3" s="1619"/>
      <c r="J3" s="1619"/>
      <c r="K3" s="1619"/>
      <c r="L3" s="1619"/>
      <c r="M3" s="1619"/>
      <c r="N3" s="1619"/>
      <c r="O3" s="1619"/>
      <c r="P3" s="1619"/>
      <c r="Q3" s="1619"/>
      <c r="R3" s="1619"/>
      <c r="S3" s="1619"/>
      <c r="T3" s="1620"/>
      <c r="U3" s="1621" t="s">
        <v>367</v>
      </c>
      <c r="V3" s="1622"/>
      <c r="W3" s="1622"/>
      <c r="X3" s="1622"/>
    </row>
    <row r="4" spans="1:24" ht="15" customHeight="1" x14ac:dyDescent="0.25">
      <c r="A4" s="1613"/>
      <c r="B4" s="1614"/>
      <c r="C4" s="1614"/>
      <c r="D4" s="1568"/>
      <c r="E4" s="1618"/>
      <c r="F4" s="1619"/>
      <c r="G4" s="1619"/>
      <c r="H4" s="1619"/>
      <c r="I4" s="1619"/>
      <c r="J4" s="1619"/>
      <c r="K4" s="1619"/>
      <c r="L4" s="1619"/>
      <c r="M4" s="1619"/>
      <c r="N4" s="1619"/>
      <c r="O4" s="1619"/>
      <c r="P4" s="1619"/>
      <c r="Q4" s="1619"/>
      <c r="R4" s="1619"/>
      <c r="S4" s="1619"/>
      <c r="T4" s="1620"/>
      <c r="U4" s="1627"/>
      <c r="V4" s="1628"/>
      <c r="W4" s="1628"/>
      <c r="X4" s="1628"/>
    </row>
    <row r="5" spans="1:24" ht="15" customHeight="1" x14ac:dyDescent="0.25">
      <c r="A5" s="1560" t="s">
        <v>100</v>
      </c>
      <c r="B5" s="1560"/>
      <c r="C5" s="1560"/>
      <c r="D5" s="1629"/>
      <c r="E5" s="1591" t="s">
        <v>101</v>
      </c>
      <c r="F5" s="1592"/>
      <c r="G5" s="1592"/>
      <c r="H5" s="1592"/>
      <c r="I5" s="1592"/>
      <c r="J5" s="1592"/>
      <c r="K5" s="1592"/>
      <c r="L5" s="1592"/>
      <c r="M5" s="1592"/>
      <c r="N5" s="1592"/>
      <c r="O5" s="1592"/>
      <c r="P5" s="1592"/>
      <c r="Q5" s="1592"/>
      <c r="R5" s="1592"/>
      <c r="S5" s="1592"/>
      <c r="T5" s="1592"/>
      <c r="U5" s="1592"/>
      <c r="V5" s="1592"/>
      <c r="W5" s="1592"/>
      <c r="X5" s="1593"/>
    </row>
    <row r="6" spans="1:24" s="804" customFormat="1" ht="114.75" customHeight="1" x14ac:dyDescent="0.2">
      <c r="A6" s="749" t="s">
        <v>44</v>
      </c>
      <c r="B6" s="803" t="s">
        <v>64</v>
      </c>
      <c r="C6" s="803" t="s">
        <v>70</v>
      </c>
      <c r="D6" s="803" t="s">
        <v>69</v>
      </c>
      <c r="E6" s="749" t="s">
        <v>102</v>
      </c>
      <c r="F6" s="749" t="s">
        <v>103</v>
      </c>
      <c r="G6" s="749" t="s">
        <v>104</v>
      </c>
      <c r="H6" s="749" t="s">
        <v>105</v>
      </c>
      <c r="I6" s="803" t="s">
        <v>106</v>
      </c>
      <c r="J6" s="803" t="s">
        <v>107</v>
      </c>
      <c r="K6" s="803" t="s">
        <v>108</v>
      </c>
      <c r="L6" s="803" t="s">
        <v>793</v>
      </c>
      <c r="M6" s="803" t="s">
        <v>110</v>
      </c>
      <c r="N6" s="803" t="s">
        <v>111</v>
      </c>
      <c r="O6" s="803" t="s">
        <v>112</v>
      </c>
      <c r="P6" s="803" t="s">
        <v>113</v>
      </c>
      <c r="Q6" s="803" t="s">
        <v>114</v>
      </c>
      <c r="R6" s="803" t="s">
        <v>115</v>
      </c>
      <c r="S6" s="803" t="s">
        <v>116</v>
      </c>
      <c r="T6" s="803" t="s">
        <v>117</v>
      </c>
      <c r="U6" s="803" t="s">
        <v>118</v>
      </c>
      <c r="V6" s="803" t="s">
        <v>119</v>
      </c>
      <c r="W6" s="803" t="s">
        <v>120</v>
      </c>
      <c r="X6" s="803" t="s">
        <v>121</v>
      </c>
    </row>
    <row r="7" spans="1:24" s="809" customFormat="1" ht="111" customHeight="1" x14ac:dyDescent="0.2">
      <c r="A7" s="805">
        <f>'[19]Identificación del Riesgo IS'!D9</f>
        <v>1</v>
      </c>
      <c r="B7" s="805" t="str">
        <f>'[19]Identificación del Riesgo IS'!E9</f>
        <v>Entrega de información a las partes interesadas con demoras</v>
      </c>
      <c r="C7" s="756" t="str">
        <f>IF(D7="PENDIENTE EVALUAR EL IMPACTO","PENDIENTE EVALUAR EL IMPACTO COLUMNAS H-W",VLOOKUP(D7,[19]Datos!$K$8:$L$12,2,FALSE))</f>
        <v>PENDIENTE EVALUAR EL IMPACTO COLUMNAS H-W</v>
      </c>
      <c r="D7" s="756" t="str">
        <f>IF(X7=0,"PENDIENTE EVALUAR EL IMPACTO",IF(X7&lt;=5,"MODERADO",IF(X7&lt;=11,"MAYOR","CATASTRÓFICO")))</f>
        <v>PENDIENTE EVALUAR EL IMPACTO</v>
      </c>
      <c r="E7" s="806"/>
      <c r="F7" s="806"/>
      <c r="G7" s="806"/>
      <c r="H7" s="806"/>
      <c r="I7" s="807"/>
      <c r="J7" s="807"/>
      <c r="K7" s="807"/>
      <c r="L7" s="807"/>
      <c r="M7" s="807"/>
      <c r="N7" s="807"/>
      <c r="O7" s="807"/>
      <c r="P7" s="807"/>
      <c r="Q7" s="807"/>
      <c r="R7" s="807"/>
      <c r="S7" s="807"/>
      <c r="T7" s="807"/>
      <c r="U7" s="807"/>
      <c r="V7" s="807"/>
      <c r="W7" s="807"/>
      <c r="X7" s="808">
        <f>COUNTIF(E7:W7,"SI")</f>
        <v>0</v>
      </c>
    </row>
    <row r="8" spans="1:24" ht="84.75" customHeight="1" x14ac:dyDescent="0.25">
      <c r="A8" s="805">
        <f>'[19]Identificación del Riesgo IS'!D10</f>
        <v>2</v>
      </c>
      <c r="B8" s="805" t="str">
        <f>'[19]Identificación del Riesgo IS'!E10</f>
        <v>Generar información poco confiable o con análisis deficiente.</v>
      </c>
      <c r="C8" s="756">
        <f>IF(D8="PENDIENTE EVALUAR EL IMPACTO","PENDIENTE EVALUAR EL IMPACTO COLUMNAS H-W",VLOOKUP(D8,[19]Datos!$K$8:$L$12,2,FALSE))</f>
        <v>4</v>
      </c>
      <c r="D8" s="805" t="str">
        <f>IF(X8=0,"PENDIENTE EVALUAR EL IMPACTO",IF(X8&lt;=5,"MODERADO",IF(X8&lt;=11,"MAYOR","CATASTRÓFICO")))</f>
        <v>MAYOR</v>
      </c>
      <c r="E8" s="810" t="s">
        <v>122</v>
      </c>
      <c r="F8" s="810" t="s">
        <v>122</v>
      </c>
      <c r="G8" s="810" t="s">
        <v>122</v>
      </c>
      <c r="H8" s="810"/>
      <c r="I8" s="754" t="s">
        <v>122</v>
      </c>
      <c r="J8" s="754"/>
      <c r="K8" s="754"/>
      <c r="L8" s="754" t="s">
        <v>122</v>
      </c>
      <c r="M8" s="754" t="s">
        <v>122</v>
      </c>
      <c r="N8" s="754"/>
      <c r="O8" s="754"/>
      <c r="P8" s="754" t="s">
        <v>122</v>
      </c>
      <c r="Q8" s="754"/>
      <c r="R8" s="754"/>
      <c r="S8" s="754" t="s">
        <v>122</v>
      </c>
      <c r="T8" s="754"/>
      <c r="U8" s="754" t="s">
        <v>122</v>
      </c>
      <c r="V8" s="754"/>
      <c r="W8" s="754" t="s">
        <v>122</v>
      </c>
      <c r="X8" s="808">
        <f t="shared" ref="X8:X16" si="0">COUNTIF(E8:W8,"SI")</f>
        <v>10</v>
      </c>
    </row>
    <row r="9" spans="1:24" ht="72.75" customHeight="1" x14ac:dyDescent="0.25">
      <c r="A9" s="805">
        <f>'[19]Identificación del Riesgo IS'!D11</f>
        <v>3</v>
      </c>
      <c r="B9" s="805" t="str">
        <f>'[19]Identificación del Riesgo IS'!E11</f>
        <v xml:space="preserve">Presentar información del sector con herramientas poco prácticas para las partes interesadas </v>
      </c>
      <c r="C9" s="756" t="str">
        <f>IF(D9="PENDIENTE EVALUAR EL IMPACTO","PENDIENTE EVALUAR EL IMPACTO COLUMNAS H-W",VLOOKUP(D9,[19]Datos!$K$8:$L$12,2,FALSE))</f>
        <v>PENDIENTE EVALUAR EL IMPACTO COLUMNAS H-W</v>
      </c>
      <c r="D9" s="805" t="str">
        <f t="shared" ref="D9:D16" si="1">IF(X9=0,"PENDIENTE EVALUAR EL IMPACTO",IF(X9&lt;=5,"MODERADO",IF(X9&lt;=11,"MAYOR","CATASTRÓFICO")))</f>
        <v>PENDIENTE EVALUAR EL IMPACTO</v>
      </c>
      <c r="E9" s="895"/>
      <c r="F9" s="895"/>
      <c r="G9" s="895"/>
      <c r="H9" s="895"/>
      <c r="I9" s="895"/>
      <c r="J9" s="895"/>
      <c r="K9" s="895"/>
      <c r="L9" s="895"/>
      <c r="M9" s="895"/>
      <c r="N9" s="895"/>
      <c r="O9" s="895"/>
      <c r="P9" s="895"/>
      <c r="Q9" s="895"/>
      <c r="R9" s="895"/>
      <c r="S9" s="895"/>
      <c r="T9" s="895"/>
      <c r="U9" s="895"/>
      <c r="V9" s="895"/>
      <c r="W9" s="895"/>
      <c r="X9" s="808">
        <f t="shared" si="0"/>
        <v>0</v>
      </c>
    </row>
    <row r="10" spans="1:24" ht="105" customHeight="1" x14ac:dyDescent="0.25">
      <c r="A10" s="805">
        <f>'[19]Identificación del Riesgo IS'!D12</f>
        <v>4</v>
      </c>
      <c r="B10" s="805" t="str">
        <f>'[19]Identificación del Riesgo IS'!E12</f>
        <v>Filtración de información institucional  para beneficios de un tercero</v>
      </c>
      <c r="C10" s="756">
        <f>IF(D10="PENDIENTE EVALUAR EL IMPACTO","PENDIENTE EVALUAR EL IMPACTO COLUMNAS H-W",VLOOKUP(D10,[19]Datos!$K$8:$L$12,2,FALSE))</f>
        <v>5</v>
      </c>
      <c r="D10" s="805" t="str">
        <f t="shared" si="1"/>
        <v>CATASTRÓFICO</v>
      </c>
      <c r="E10" s="895" t="s">
        <v>122</v>
      </c>
      <c r="F10" s="895" t="s">
        <v>122</v>
      </c>
      <c r="G10" s="895" t="s">
        <v>122</v>
      </c>
      <c r="H10" s="895" t="s">
        <v>122</v>
      </c>
      <c r="I10" s="895" t="s">
        <v>122</v>
      </c>
      <c r="J10" s="895" t="s">
        <v>263</v>
      </c>
      <c r="K10" s="895" t="s">
        <v>263</v>
      </c>
      <c r="L10" s="895" t="s">
        <v>263</v>
      </c>
      <c r="M10" s="895" t="s">
        <v>122</v>
      </c>
      <c r="N10" s="895" t="s">
        <v>122</v>
      </c>
      <c r="O10" s="895" t="s">
        <v>122</v>
      </c>
      <c r="P10" s="895" t="s">
        <v>122</v>
      </c>
      <c r="Q10" s="895" t="s">
        <v>122</v>
      </c>
      <c r="R10" s="895" t="s">
        <v>122</v>
      </c>
      <c r="S10" s="895" t="s">
        <v>122</v>
      </c>
      <c r="T10" s="895" t="s">
        <v>263</v>
      </c>
      <c r="U10" s="895" t="s">
        <v>263</v>
      </c>
      <c r="V10" s="895" t="s">
        <v>122</v>
      </c>
      <c r="W10" s="895" t="s">
        <v>263</v>
      </c>
      <c r="X10" s="808">
        <f t="shared" si="0"/>
        <v>13</v>
      </c>
    </row>
    <row r="11" spans="1:24" ht="60" x14ac:dyDescent="0.25">
      <c r="A11" s="805" t="e">
        <f>'[19]Identificación del Riesgo IS'!#REF!</f>
        <v>#REF!</v>
      </c>
      <c r="B11" s="805" t="e">
        <f>'[19]Identificación del Riesgo IS'!#REF!</f>
        <v>#REF!</v>
      </c>
      <c r="C11" s="756" t="str">
        <f>IF(D11="PENDIENTE EVALUAR EL IMPACTO","PENDIENTE EVALUAR EL IMPACTO COLUMNAS H-W",VLOOKUP(D11,[19]Datos!$K$8:$L$12,2,FALSE))</f>
        <v>PENDIENTE EVALUAR EL IMPACTO COLUMNAS H-W</v>
      </c>
      <c r="D11" s="805" t="str">
        <f t="shared" si="1"/>
        <v>PENDIENTE EVALUAR EL IMPACTO</v>
      </c>
      <c r="E11" s="895"/>
      <c r="F11" s="895"/>
      <c r="G11" s="895"/>
      <c r="H11" s="895"/>
      <c r="I11" s="895"/>
      <c r="J11" s="895"/>
      <c r="K11" s="895"/>
      <c r="L11" s="895"/>
      <c r="M11" s="895"/>
      <c r="N11" s="895"/>
      <c r="O11" s="895"/>
      <c r="P11" s="895"/>
      <c r="Q11" s="895"/>
      <c r="R11" s="895"/>
      <c r="S11" s="895"/>
      <c r="T11" s="895"/>
      <c r="U11" s="895"/>
      <c r="V11" s="895"/>
      <c r="W11" s="895"/>
      <c r="X11" s="808">
        <f t="shared" si="0"/>
        <v>0</v>
      </c>
    </row>
    <row r="12" spans="1:24" ht="60" x14ac:dyDescent="0.25">
      <c r="A12" s="805" t="e">
        <f>'[19]Identificación del Riesgo IS'!#REF!</f>
        <v>#REF!</v>
      </c>
      <c r="B12" s="805" t="e">
        <f>'[19]Identificación del Riesgo IS'!#REF!</f>
        <v>#REF!</v>
      </c>
      <c r="C12" s="756" t="str">
        <f>IF(D12="PENDIENTE EVALUAR EL IMPACTO","PENDIENTE EVALUAR EL IMPACTO COLUMNAS H-W",VLOOKUP(D12,[19]Datos!$K$8:$L$12,2,FALSE))</f>
        <v>PENDIENTE EVALUAR EL IMPACTO COLUMNAS H-W</v>
      </c>
      <c r="D12" s="805" t="str">
        <f t="shared" si="1"/>
        <v>PENDIENTE EVALUAR EL IMPACTO</v>
      </c>
      <c r="E12" s="895"/>
      <c r="F12" s="895"/>
      <c r="G12" s="895"/>
      <c r="H12" s="895"/>
      <c r="I12" s="895"/>
      <c r="J12" s="895"/>
      <c r="K12" s="895"/>
      <c r="L12" s="895"/>
      <c r="M12" s="895"/>
      <c r="N12" s="895"/>
      <c r="O12" s="895"/>
      <c r="P12" s="895"/>
      <c r="Q12" s="895"/>
      <c r="R12" s="895"/>
      <c r="S12" s="895"/>
      <c r="T12" s="895"/>
      <c r="U12" s="895"/>
      <c r="V12" s="895"/>
      <c r="W12" s="895"/>
      <c r="X12" s="808">
        <f t="shared" si="0"/>
        <v>0</v>
      </c>
    </row>
    <row r="13" spans="1:24" ht="60" x14ac:dyDescent="0.25">
      <c r="A13" s="805" t="e">
        <f>'[19]Identificación del Riesgo IS'!#REF!</f>
        <v>#REF!</v>
      </c>
      <c r="B13" s="805" t="e">
        <f>'[19]Identificación del Riesgo IS'!#REF!</f>
        <v>#REF!</v>
      </c>
      <c r="C13" s="756" t="str">
        <f>IF(D13="PENDIENTE EVALUAR EL IMPACTO","PENDIENTE EVALUAR EL IMPACTO COLUMNAS H-W",VLOOKUP(D13,[19]Datos!$K$8:$L$12,2,FALSE))</f>
        <v>PENDIENTE EVALUAR EL IMPACTO COLUMNAS H-W</v>
      </c>
      <c r="D13" s="805" t="str">
        <f t="shared" si="1"/>
        <v>PENDIENTE EVALUAR EL IMPACTO</v>
      </c>
      <c r="E13" s="895"/>
      <c r="F13" s="895"/>
      <c r="G13" s="895"/>
      <c r="H13" s="895"/>
      <c r="I13" s="895"/>
      <c r="J13" s="895"/>
      <c r="K13" s="895"/>
      <c r="L13" s="895"/>
      <c r="M13" s="895"/>
      <c r="N13" s="895"/>
      <c r="O13" s="895"/>
      <c r="P13" s="895"/>
      <c r="Q13" s="895"/>
      <c r="R13" s="895"/>
      <c r="S13" s="895"/>
      <c r="T13" s="895"/>
      <c r="U13" s="895"/>
      <c r="V13" s="895"/>
      <c r="W13" s="895"/>
      <c r="X13" s="808">
        <f t="shared" si="0"/>
        <v>0</v>
      </c>
    </row>
    <row r="14" spans="1:24" ht="60" x14ac:dyDescent="0.25">
      <c r="A14" s="805" t="e">
        <f>'[19]Identificación del Riesgo IS'!#REF!</f>
        <v>#REF!</v>
      </c>
      <c r="B14" s="805" t="e">
        <f>'[19]Identificación del Riesgo IS'!#REF!</f>
        <v>#REF!</v>
      </c>
      <c r="C14" s="756" t="str">
        <f>IF(D14="PENDIENTE EVALUAR EL IMPACTO","PENDIENTE EVALUAR EL IMPACTO COLUMNAS H-W",VLOOKUP(D14,[19]Datos!$K$8:$L$12,2,FALSE))</f>
        <v>PENDIENTE EVALUAR EL IMPACTO COLUMNAS H-W</v>
      </c>
      <c r="D14" s="805" t="str">
        <f t="shared" si="1"/>
        <v>PENDIENTE EVALUAR EL IMPACTO</v>
      </c>
      <c r="E14" s="895"/>
      <c r="F14" s="895"/>
      <c r="G14" s="895"/>
      <c r="H14" s="895"/>
      <c r="I14" s="895"/>
      <c r="J14" s="895"/>
      <c r="K14" s="895"/>
      <c r="L14" s="895"/>
      <c r="M14" s="895"/>
      <c r="N14" s="895"/>
      <c r="O14" s="895"/>
      <c r="P14" s="895"/>
      <c r="Q14" s="895"/>
      <c r="R14" s="895"/>
      <c r="S14" s="895"/>
      <c r="T14" s="895"/>
      <c r="U14" s="895"/>
      <c r="V14" s="895"/>
      <c r="W14" s="895"/>
      <c r="X14" s="808">
        <f t="shared" si="0"/>
        <v>0</v>
      </c>
    </row>
    <row r="15" spans="1:24" ht="60" x14ac:dyDescent="0.25">
      <c r="A15" s="805" t="e">
        <f>'[19]Identificación del Riesgo IS'!#REF!</f>
        <v>#REF!</v>
      </c>
      <c r="B15" s="805" t="e">
        <f>'[19]Identificación del Riesgo IS'!#REF!</f>
        <v>#REF!</v>
      </c>
      <c r="C15" s="756" t="str">
        <f>IF(D15="PENDIENTE EVALUAR EL IMPACTO","PENDIENTE EVALUAR EL IMPACTO COLUMNAS H-W",VLOOKUP(D15,[19]Datos!$K$8:$L$12,2,FALSE))</f>
        <v>PENDIENTE EVALUAR EL IMPACTO COLUMNAS H-W</v>
      </c>
      <c r="D15" s="805" t="str">
        <f t="shared" si="1"/>
        <v>PENDIENTE EVALUAR EL IMPACTO</v>
      </c>
      <c r="E15" s="895"/>
      <c r="F15" s="895"/>
      <c r="G15" s="895"/>
      <c r="H15" s="895"/>
      <c r="I15" s="895"/>
      <c r="J15" s="895"/>
      <c r="K15" s="895"/>
      <c r="L15" s="895"/>
      <c r="M15" s="895"/>
      <c r="N15" s="895"/>
      <c r="O15" s="895"/>
      <c r="P15" s="895"/>
      <c r="Q15" s="895"/>
      <c r="R15" s="895"/>
      <c r="S15" s="895"/>
      <c r="T15" s="895"/>
      <c r="U15" s="895"/>
      <c r="V15" s="895"/>
      <c r="W15" s="895"/>
      <c r="X15" s="808">
        <f t="shared" si="0"/>
        <v>0</v>
      </c>
    </row>
    <row r="16" spans="1:24" ht="60" x14ac:dyDescent="0.25">
      <c r="A16" s="805" t="e">
        <f>'[19]Identificación del Riesgo IS'!#REF!</f>
        <v>#REF!</v>
      </c>
      <c r="B16" s="805" t="e">
        <f>'[19]Identificación del Riesgo IS'!#REF!</f>
        <v>#REF!</v>
      </c>
      <c r="C16" s="756" t="str">
        <f>IF(D16="PENDIENTE EVALUAR EL IMPACTO","PENDIENTE EVALUAR EL IMPACTO COLUMNAS H-W",VLOOKUP(D16,[19]Datos!$K$8:$L$12,2,FALSE))</f>
        <v>PENDIENTE EVALUAR EL IMPACTO COLUMNAS H-W</v>
      </c>
      <c r="D16" s="805" t="str">
        <f t="shared" si="1"/>
        <v>PENDIENTE EVALUAR EL IMPACTO</v>
      </c>
      <c r="E16" s="895"/>
      <c r="F16" s="895"/>
      <c r="G16" s="895"/>
      <c r="H16" s="895"/>
      <c r="I16" s="895"/>
      <c r="J16" s="895"/>
      <c r="K16" s="895"/>
      <c r="L16" s="895"/>
      <c r="M16" s="895"/>
      <c r="N16" s="895"/>
      <c r="O16" s="895"/>
      <c r="P16" s="895"/>
      <c r="Q16" s="895"/>
      <c r="R16" s="895"/>
      <c r="S16" s="895"/>
      <c r="T16" s="895"/>
      <c r="U16" s="895"/>
      <c r="V16" s="895"/>
      <c r="W16" s="895"/>
      <c r="X16" s="808">
        <f t="shared" si="0"/>
        <v>0</v>
      </c>
    </row>
  </sheetData>
  <mergeCells count="6">
    <mergeCell ref="A1:D4"/>
    <mergeCell ref="E1:T4"/>
    <mergeCell ref="U1:X2"/>
    <mergeCell ref="U3:X4"/>
    <mergeCell ref="A5:D5"/>
    <mergeCell ref="E5:X5"/>
  </mergeCells>
  <dataValidations count="1">
    <dataValidation type="list" allowBlank="1" showInputMessage="1" showErrorMessage="1" sqref="E7:W16" xr:uid="{00000000-0002-0000-7700-000000000000}">
      <formula1>"SI,NO"</formula1>
    </dataValidation>
  </dataValidations>
  <pageMargins left="0.51181102362204722" right="0.70866141732283472" top="1.1417322834645669" bottom="0.74803149606299213" header="0.31496062992125984" footer="0.31496062992125984"/>
  <pageSetup scale="35" orientation="landscape" horizontalDpi="1200" verticalDpi="1200" r:id="rId1"/>
  <headerFooter>
    <oddHeader>&amp;L&amp;G&amp;C
&amp;"-,Negrita"Matriz de Riesgos</oddHeader>
  </headerFooter>
  <colBreaks count="1" manualBreakCount="1">
    <brk id="4" max="1048575" man="1"/>
  </colBreaks>
  <drawing r:id="rId2"/>
  <legacyDrawing r:id="rId3"/>
  <legacyDrawingHF r:id="rId4"/>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AD12"/>
  <sheetViews>
    <sheetView zoomScaleNormal="100" zoomScaleSheetLayoutView="160" workbookViewId="0">
      <selection activeCell="A9" sqref="A9"/>
    </sheetView>
  </sheetViews>
  <sheetFormatPr baseColWidth="10" defaultColWidth="10" defaultRowHeight="12.75" x14ac:dyDescent="0.2"/>
  <cols>
    <col min="1" max="1" width="6.625" style="811" customWidth="1"/>
    <col min="2" max="2" width="16.75" style="811" customWidth="1"/>
    <col min="3" max="3" width="56.75" style="811" customWidth="1"/>
    <col min="4" max="4" width="22" style="763" customWidth="1"/>
    <col min="5" max="5" width="38" style="763" customWidth="1"/>
    <col min="6" max="10" width="21.75" style="811" customWidth="1"/>
    <col min="11" max="11" width="33.875" style="811" customWidth="1"/>
    <col min="12" max="12" width="21.75" style="811" customWidth="1"/>
    <col min="13" max="17" width="19.25" style="825" customWidth="1"/>
    <col min="18" max="18" width="22.625" style="825" customWidth="1"/>
    <col min="19" max="19" width="19.25" style="825" customWidth="1"/>
    <col min="20" max="20" width="8" style="825" customWidth="1"/>
    <col min="21" max="22" width="18.125" style="825" customWidth="1"/>
    <col min="23" max="23" width="17.75" style="825" customWidth="1"/>
    <col min="24" max="24" width="16.25" style="825" customWidth="1"/>
    <col min="25" max="25" width="15.25" style="825" customWidth="1"/>
    <col min="26" max="26" width="18.875" style="825" customWidth="1"/>
    <col min="27" max="27" width="15.625" style="825" customWidth="1"/>
    <col min="28" max="28" width="23.125" style="825" customWidth="1"/>
    <col min="29" max="29" width="22.25" style="826" customWidth="1"/>
    <col min="30" max="30" width="26.5" style="826" customWidth="1"/>
    <col min="31" max="16384" width="10" style="811"/>
  </cols>
  <sheetData>
    <row r="1" spans="1:30" ht="15.75" customHeight="1" x14ac:dyDescent="0.2">
      <c r="A1" s="1630"/>
      <c r="B1" s="1630"/>
      <c r="C1" s="1630"/>
      <c r="D1" s="1631" t="s">
        <v>0</v>
      </c>
      <c r="E1" s="1631"/>
      <c r="F1" s="1631"/>
      <c r="G1" s="1631"/>
      <c r="H1" s="1631"/>
      <c r="I1" s="1631"/>
      <c r="J1" s="1631"/>
      <c r="K1" s="1631"/>
      <c r="L1" s="1631"/>
      <c r="M1" s="1631"/>
      <c r="N1" s="1631"/>
      <c r="O1" s="1631"/>
      <c r="P1" s="1631"/>
      <c r="Q1" s="1631"/>
      <c r="R1" s="1631"/>
      <c r="S1" s="1631"/>
      <c r="T1" s="1631"/>
      <c r="U1" s="1631"/>
      <c r="V1" s="1631"/>
      <c r="W1" s="1631"/>
      <c r="X1" s="1631"/>
      <c r="Y1" s="1631"/>
      <c r="Z1" s="1631"/>
      <c r="AA1" s="1631"/>
      <c r="AB1" s="1631"/>
      <c r="AC1" s="1632" t="s">
        <v>128</v>
      </c>
      <c r="AD1" s="1632"/>
    </row>
    <row r="2" spans="1:30" ht="15.75" customHeight="1" x14ac:dyDescent="0.2">
      <c r="A2" s="1630"/>
      <c r="B2" s="1630"/>
      <c r="C2" s="1630"/>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2"/>
      <c r="AD2" s="1632"/>
    </row>
    <row r="3" spans="1:30" ht="15.75" customHeight="1" x14ac:dyDescent="0.2">
      <c r="A3" s="1630"/>
      <c r="B3" s="1630"/>
      <c r="C3" s="1630"/>
      <c r="D3" s="1631"/>
      <c r="E3" s="1631"/>
      <c r="F3" s="1631"/>
      <c r="G3" s="1631"/>
      <c r="H3" s="1631"/>
      <c r="I3" s="1631"/>
      <c r="J3" s="1631"/>
      <c r="K3" s="1631"/>
      <c r="L3" s="1631"/>
      <c r="M3" s="1631"/>
      <c r="N3" s="1631"/>
      <c r="O3" s="1631"/>
      <c r="P3" s="1631"/>
      <c r="Q3" s="1631"/>
      <c r="R3" s="1631"/>
      <c r="S3" s="1631"/>
      <c r="T3" s="1631"/>
      <c r="U3" s="1631"/>
      <c r="V3" s="1631"/>
      <c r="W3" s="1631"/>
      <c r="X3" s="1631"/>
      <c r="Y3" s="1631"/>
      <c r="Z3" s="1631"/>
      <c r="AA3" s="1631"/>
      <c r="AB3" s="1631"/>
      <c r="AC3" s="1632" t="s">
        <v>2</v>
      </c>
      <c r="AD3" s="1632"/>
    </row>
    <row r="4" spans="1:30" ht="15.75" customHeight="1" x14ac:dyDescent="0.2">
      <c r="A4" s="1630"/>
      <c r="B4" s="1630"/>
      <c r="C4" s="1630"/>
      <c r="D4" s="1631"/>
      <c r="E4" s="1631"/>
      <c r="F4" s="1631"/>
      <c r="G4" s="1631"/>
      <c r="H4" s="1631"/>
      <c r="I4" s="1631"/>
      <c r="J4" s="1631"/>
      <c r="K4" s="1631"/>
      <c r="L4" s="1631"/>
      <c r="M4" s="1631"/>
      <c r="N4" s="1631"/>
      <c r="O4" s="1631"/>
      <c r="P4" s="1631"/>
      <c r="Q4" s="1631"/>
      <c r="R4" s="1631"/>
      <c r="S4" s="1631"/>
      <c r="T4" s="1631"/>
      <c r="U4" s="1631"/>
      <c r="V4" s="1631"/>
      <c r="W4" s="1631"/>
      <c r="X4" s="1631"/>
      <c r="Y4" s="1631"/>
      <c r="Z4" s="1631"/>
      <c r="AA4" s="1631"/>
      <c r="AB4" s="1631"/>
      <c r="AC4" s="1632"/>
      <c r="AD4" s="1632"/>
    </row>
    <row r="5" spans="1:30" ht="15.75" customHeight="1" x14ac:dyDescent="0.2">
      <c r="A5" s="1585" t="s">
        <v>36</v>
      </c>
      <c r="B5" s="1586"/>
      <c r="C5" s="1587"/>
      <c r="D5" s="1633" t="str">
        <f t="array" ref="D5">+'[19]Identificación del Riesgo IS'!D5:N5</f>
        <v>Información sectorial</v>
      </c>
      <c r="E5" s="1634"/>
      <c r="F5" s="1634"/>
      <c r="G5" s="1634"/>
      <c r="H5" s="1634"/>
      <c r="I5" s="1634"/>
      <c r="J5" s="1634"/>
      <c r="K5" s="1634"/>
      <c r="L5" s="1634"/>
      <c r="M5" s="1634"/>
      <c r="N5" s="1634"/>
      <c r="O5" s="1634"/>
      <c r="P5" s="1634"/>
      <c r="Q5" s="1634"/>
      <c r="R5" s="1634"/>
      <c r="S5" s="1634"/>
      <c r="T5" s="1634"/>
      <c r="U5" s="1634"/>
      <c r="V5" s="1634"/>
      <c r="W5" s="1634"/>
      <c r="X5" s="1634"/>
      <c r="Y5" s="1634"/>
      <c r="Z5" s="1634"/>
      <c r="AA5" s="1634"/>
      <c r="AB5" s="1634"/>
      <c r="AC5" s="1634"/>
      <c r="AD5" s="1634"/>
    </row>
    <row r="6" spans="1:30" ht="15.75" customHeight="1" thickBot="1" x14ac:dyDescent="0.25">
      <c r="A6" s="1585" t="s">
        <v>37</v>
      </c>
      <c r="B6" s="1586"/>
      <c r="C6" s="1587"/>
      <c r="D6" s="1633" t="str">
        <f t="array" ref="D6">+'[19]Identificación del Riesgo IS'!D6:N6</f>
        <v>Establecer lineamientos y directrices para mantener la coherencia en el propósito de la entidad desde el enfoque de información con oportunidad y confiabilidad.</v>
      </c>
      <c r="E6" s="1634"/>
      <c r="F6" s="1634"/>
      <c r="G6" s="1634"/>
      <c r="H6" s="1634"/>
      <c r="I6" s="1634"/>
      <c r="J6" s="1634"/>
      <c r="K6" s="1634"/>
      <c r="L6" s="1634"/>
      <c r="M6" s="1634"/>
      <c r="N6" s="1634"/>
      <c r="O6" s="1634"/>
      <c r="P6" s="1634"/>
      <c r="Q6" s="1634"/>
      <c r="R6" s="1634"/>
      <c r="S6" s="1634"/>
      <c r="T6" s="1634"/>
      <c r="U6" s="1634"/>
      <c r="V6" s="1634"/>
      <c r="W6" s="1634"/>
      <c r="X6" s="1634"/>
      <c r="Y6" s="1634"/>
      <c r="Z6" s="1634"/>
      <c r="AA6" s="1634"/>
      <c r="AB6" s="1634"/>
      <c r="AC6" s="1634"/>
      <c r="AD6" s="1634"/>
    </row>
    <row r="7" spans="1:30" ht="15" customHeight="1" x14ac:dyDescent="0.2">
      <c r="A7" s="1635" t="s">
        <v>129</v>
      </c>
      <c r="B7" s="1636"/>
      <c r="C7" s="1636"/>
      <c r="D7" s="1636"/>
      <c r="E7" s="1636"/>
      <c r="F7" s="1636"/>
      <c r="G7" s="1636"/>
      <c r="H7" s="1636"/>
      <c r="I7" s="1636"/>
      <c r="J7" s="1636"/>
      <c r="K7" s="1636"/>
      <c r="L7" s="1636"/>
      <c r="M7" s="1636" t="s">
        <v>75</v>
      </c>
      <c r="N7" s="1636"/>
      <c r="O7" s="1636"/>
      <c r="P7" s="1636"/>
      <c r="Q7" s="1636"/>
      <c r="R7" s="1636"/>
      <c r="S7" s="1636"/>
      <c r="T7" s="1636"/>
      <c r="U7" s="1636"/>
      <c r="V7" s="1636"/>
      <c r="W7" s="1636"/>
      <c r="X7" s="1636"/>
      <c r="Y7" s="1636"/>
      <c r="Z7" s="1637" t="s">
        <v>130</v>
      </c>
      <c r="AA7" s="1637"/>
      <c r="AB7" s="1637"/>
      <c r="AC7" s="1638" t="s">
        <v>131</v>
      </c>
      <c r="AD7" s="1639"/>
    </row>
    <row r="8" spans="1:30" ht="51" x14ac:dyDescent="0.2">
      <c r="A8" s="812" t="s">
        <v>44</v>
      </c>
      <c r="B8" s="813" t="s">
        <v>64</v>
      </c>
      <c r="C8" s="813" t="s">
        <v>132</v>
      </c>
      <c r="D8" s="813" t="s">
        <v>73</v>
      </c>
      <c r="E8" s="813" t="s">
        <v>133</v>
      </c>
      <c r="F8" s="813" t="s">
        <v>134</v>
      </c>
      <c r="G8" s="813" t="s">
        <v>135</v>
      </c>
      <c r="H8" s="813" t="s">
        <v>136</v>
      </c>
      <c r="I8" s="813" t="s">
        <v>137</v>
      </c>
      <c r="J8" s="813" t="s">
        <v>138</v>
      </c>
      <c r="K8" s="813" t="s">
        <v>139</v>
      </c>
      <c r="L8" s="813" t="s">
        <v>140</v>
      </c>
      <c r="M8" s="813" t="s">
        <v>134</v>
      </c>
      <c r="N8" s="813" t="s">
        <v>135</v>
      </c>
      <c r="O8" s="813" t="s">
        <v>141</v>
      </c>
      <c r="P8" s="813" t="s">
        <v>137</v>
      </c>
      <c r="Q8" s="813" t="s">
        <v>138</v>
      </c>
      <c r="R8" s="813" t="s">
        <v>139</v>
      </c>
      <c r="S8" s="813" t="s">
        <v>140</v>
      </c>
      <c r="T8" s="814" t="s">
        <v>121</v>
      </c>
      <c r="U8" s="813" t="s">
        <v>142</v>
      </c>
      <c r="V8" s="813" t="s">
        <v>143</v>
      </c>
      <c r="W8" s="813" t="s">
        <v>142</v>
      </c>
      <c r="X8" s="813" t="s">
        <v>143</v>
      </c>
      <c r="Y8" s="813" t="s">
        <v>144</v>
      </c>
      <c r="Z8" s="813" t="s">
        <v>145</v>
      </c>
      <c r="AA8" s="813" t="s">
        <v>146</v>
      </c>
      <c r="AB8" s="813" t="s">
        <v>76</v>
      </c>
      <c r="AC8" s="813" t="s">
        <v>147</v>
      </c>
      <c r="AD8" s="815" t="s">
        <v>148</v>
      </c>
    </row>
    <row r="9" spans="1:30" s="780" customFormat="1" ht="185.25" customHeight="1" x14ac:dyDescent="0.2">
      <c r="A9" s="816">
        <f>'[19]Identificación del Riesgo IS'!D9</f>
        <v>1</v>
      </c>
      <c r="B9" s="654" t="str">
        <f>'[19]Identificación del Riesgo IS'!E9</f>
        <v>Entrega de información a las partes interesadas con demoras</v>
      </c>
      <c r="C9" s="896" t="str">
        <f>'[19]Identificación del Riesgo IS'!H9</f>
        <v>Posibles afectaciones sobre el proceso ante los posibles variaciones tecnológicas relacionadas al desarrollo de software
Falta de oportunidad en la entrega de la información al proceso por parte de las fuentes.
No se han materializado los acuerdos interinstitucionales para la entrega de la información requerida como entrada en el proceso.
Los procedimientos del proceso no se encuentran alineados en su totalidad al objetivo principal del proceso.</v>
      </c>
      <c r="D9" s="654" t="str">
        <f>'[19]Analisis Riesgo'!K7</f>
        <v>No se cuentan con controles</v>
      </c>
      <c r="E9" s="654" t="str">
        <f>'[19]Analisis Riesgo'!L7</f>
        <v>No se cuentan con controles</v>
      </c>
      <c r="F9" s="818" t="s">
        <v>833</v>
      </c>
      <c r="G9" s="818" t="s">
        <v>834</v>
      </c>
      <c r="H9" s="818" t="s">
        <v>867</v>
      </c>
      <c r="I9" s="818" t="s">
        <v>868</v>
      </c>
      <c r="J9" s="818" t="s">
        <v>869</v>
      </c>
      <c r="K9" s="819" t="s">
        <v>870</v>
      </c>
      <c r="L9" s="818" t="s">
        <v>713</v>
      </c>
      <c r="M9" s="820">
        <f>IF(F9="Asignado", 15,0)</f>
        <v>0</v>
      </c>
      <c r="N9" s="820">
        <f>IF(G9="Adecuado",15,0)</f>
        <v>0</v>
      </c>
      <c r="O9" s="820">
        <f t="shared" ref="O9:O12" si="0">IF(H9="Oportuna",15,0)</f>
        <v>0</v>
      </c>
      <c r="P9" s="820">
        <f t="shared" ref="P9:P12" si="1">IF(I9="Prevenir",15,IF(I9="Detectar",10,0))</f>
        <v>0</v>
      </c>
      <c r="Q9" s="820">
        <f t="shared" ref="Q9:Q12" si="2">IF(J9="Confiable", 15,0)</f>
        <v>0</v>
      </c>
      <c r="R9" s="820">
        <f t="shared" ref="R9:R12" si="3">IF(K9="Se invesigan y resuelven oportunamente",15,0)</f>
        <v>0</v>
      </c>
      <c r="S9" s="820">
        <f t="shared" ref="S9:S12" si="4">IF(L9="Completa",10,IF(L9="Incompleta",5,0))</f>
        <v>5</v>
      </c>
      <c r="T9" s="820">
        <f t="shared" ref="T9:T12" si="5">SUM(M9:S9)</f>
        <v>5</v>
      </c>
      <c r="U9" s="818" t="s">
        <v>263</v>
      </c>
      <c r="V9" s="818" t="s">
        <v>263</v>
      </c>
      <c r="W9" s="820">
        <f t="shared" ref="W9:W12" si="6">IF(U9="SI",1,0)*T9/100</f>
        <v>0</v>
      </c>
      <c r="X9" s="820">
        <f t="shared" ref="X9:X12" si="7">IF(V9="SI",1,0)*T9/100</f>
        <v>0</v>
      </c>
      <c r="Y9" s="820" t="str">
        <f t="shared" ref="Y9:Y12" si="8">IF(W9&gt;=0.96,"Fuerte",IF(W9&gt;=0.86,"Moderado","Debil"))</f>
        <v>Debil</v>
      </c>
      <c r="Z9" s="818" t="s">
        <v>872</v>
      </c>
      <c r="AA9" s="820" t="str">
        <f t="shared" ref="AA9:AA12" si="9">IF(Z9="Siempre se ejecuta","Fuerte",IF(Z9="Algunas veces se ejecuta","Moderado","Debil"))</f>
        <v>Debil</v>
      </c>
      <c r="AB9" s="820" t="str">
        <f>IF(Y9="Fuerte",IF(AA9="Fuerte","No","SI"),"SI")</f>
        <v>SI</v>
      </c>
      <c r="AC9" s="821"/>
      <c r="AD9" s="822"/>
    </row>
    <row r="10" spans="1:30" s="780" customFormat="1" ht="177.75" customHeight="1" x14ac:dyDescent="0.2">
      <c r="A10" s="816">
        <f>'[19]Identificación del Riesgo IS'!D10</f>
        <v>2</v>
      </c>
      <c r="B10" s="654" t="str">
        <f>'[19]Identificación del Riesgo IS'!E10</f>
        <v>Generar información poco confiable o con análisis deficiente.</v>
      </c>
      <c r="C10" s="656" t="str">
        <f>'[19]Identificación del Riesgo IS'!H10</f>
        <v>No se han desarrollado actividades que mejoren las competencias del personal en los temas específicos del proceso.
No se ha planificado institucionalmente los recursos humanos para el procesamiento de la información en función de las necesidades de operación.
No se han asignado funciones específicas sobre la gestión y procesamiento de la información bajo una perspectiva descentralizada en los demás procesos.</v>
      </c>
      <c r="D10" s="654" t="str">
        <f>'[19]Analisis Riesgo'!K8</f>
        <v>No se cuentan con controles</v>
      </c>
      <c r="E10" s="654" t="str">
        <f>'[19]Analisis Riesgo'!L8</f>
        <v>No se cuentan con controles</v>
      </c>
      <c r="F10" s="818" t="s">
        <v>833</v>
      </c>
      <c r="G10" s="818" t="s">
        <v>834</v>
      </c>
      <c r="H10" s="818" t="s">
        <v>867</v>
      </c>
      <c r="I10" s="818" t="s">
        <v>868</v>
      </c>
      <c r="J10" s="818" t="s">
        <v>869</v>
      </c>
      <c r="K10" s="819" t="s">
        <v>870</v>
      </c>
      <c r="L10" s="818" t="s">
        <v>713</v>
      </c>
      <c r="M10" s="820">
        <f t="shared" ref="M10:M12" si="10">IF(F10="Asignado", 15,0)</f>
        <v>0</v>
      </c>
      <c r="N10" s="820">
        <f t="shared" ref="N10:N12" si="11">IF(G10="Adecuado",15,0)</f>
        <v>0</v>
      </c>
      <c r="O10" s="820">
        <f t="shared" si="0"/>
        <v>0</v>
      </c>
      <c r="P10" s="820">
        <f t="shared" si="1"/>
        <v>0</v>
      </c>
      <c r="Q10" s="820">
        <f t="shared" si="2"/>
        <v>0</v>
      </c>
      <c r="R10" s="820">
        <f t="shared" si="3"/>
        <v>0</v>
      </c>
      <c r="S10" s="820">
        <f t="shared" si="4"/>
        <v>5</v>
      </c>
      <c r="T10" s="820">
        <f t="shared" si="5"/>
        <v>5</v>
      </c>
      <c r="U10" s="818" t="s">
        <v>263</v>
      </c>
      <c r="V10" s="818" t="s">
        <v>263</v>
      </c>
      <c r="W10" s="820">
        <f t="shared" si="6"/>
        <v>0</v>
      </c>
      <c r="X10" s="820">
        <f t="shared" si="7"/>
        <v>0</v>
      </c>
      <c r="Y10" s="820" t="str">
        <f t="shared" si="8"/>
        <v>Debil</v>
      </c>
      <c r="Z10" s="818" t="s">
        <v>872</v>
      </c>
      <c r="AA10" s="820" t="str">
        <f t="shared" si="9"/>
        <v>Debil</v>
      </c>
      <c r="AB10" s="820" t="str">
        <f t="shared" ref="AB10:AB12" si="12">IF(Y10="Fuerte",IF(AA10="Fuerte","No","SI"),"SI")</f>
        <v>SI</v>
      </c>
      <c r="AC10" s="824"/>
      <c r="AD10" s="822"/>
    </row>
    <row r="11" spans="1:30" s="780" customFormat="1" ht="99" customHeight="1" x14ac:dyDescent="0.2">
      <c r="A11" s="816">
        <f>'[19]Identificación del Riesgo IS'!D11</f>
        <v>3</v>
      </c>
      <c r="B11" s="654" t="str">
        <f>'[19]Identificación del Riesgo IS'!E11</f>
        <v xml:space="preserve">Presentar información del sector con herramientas poco prácticas para las partes interesadas </v>
      </c>
      <c r="C11" s="656" t="str">
        <f>'[19]Identificación del Riesgo IS'!H11</f>
        <v>No se cuenta con la capacidad tecnológica ni humana para el análisis de grandes volúmenes de información.
Obsolecencia técnológica de herramientas de procesamiento de información.</v>
      </c>
      <c r="D11" s="654" t="str">
        <f>'[19]Analisis Riesgo'!K9</f>
        <v>No se cuentan con controles</v>
      </c>
      <c r="E11" s="654" t="str">
        <f>'[19]Analisis Riesgo'!L9</f>
        <v>No se cuentan con controles</v>
      </c>
      <c r="F11" s="818" t="s">
        <v>833</v>
      </c>
      <c r="G11" s="818" t="s">
        <v>834</v>
      </c>
      <c r="H11" s="818" t="s">
        <v>867</v>
      </c>
      <c r="I11" s="818" t="s">
        <v>868</v>
      </c>
      <c r="J11" s="818" t="s">
        <v>869</v>
      </c>
      <c r="K11" s="819" t="s">
        <v>870</v>
      </c>
      <c r="L11" s="818" t="s">
        <v>713</v>
      </c>
      <c r="M11" s="820">
        <f t="shared" si="10"/>
        <v>0</v>
      </c>
      <c r="N11" s="820">
        <f t="shared" si="11"/>
        <v>0</v>
      </c>
      <c r="O11" s="820">
        <f t="shared" si="0"/>
        <v>0</v>
      </c>
      <c r="P11" s="820">
        <f t="shared" si="1"/>
        <v>0</v>
      </c>
      <c r="Q11" s="820">
        <f t="shared" si="2"/>
        <v>0</v>
      </c>
      <c r="R11" s="820">
        <f t="shared" si="3"/>
        <v>0</v>
      </c>
      <c r="S11" s="820">
        <f t="shared" si="4"/>
        <v>5</v>
      </c>
      <c r="T11" s="820">
        <f t="shared" si="5"/>
        <v>5</v>
      </c>
      <c r="U11" s="818" t="s">
        <v>263</v>
      </c>
      <c r="V11" s="818" t="s">
        <v>263</v>
      </c>
      <c r="W11" s="820">
        <f t="shared" si="6"/>
        <v>0</v>
      </c>
      <c r="X11" s="820">
        <f t="shared" si="7"/>
        <v>0</v>
      </c>
      <c r="Y11" s="820" t="str">
        <f t="shared" si="8"/>
        <v>Debil</v>
      </c>
      <c r="Z11" s="818" t="s">
        <v>872</v>
      </c>
      <c r="AA11" s="820" t="str">
        <f t="shared" si="9"/>
        <v>Debil</v>
      </c>
      <c r="AB11" s="820" t="str">
        <f t="shared" si="12"/>
        <v>SI</v>
      </c>
      <c r="AC11" s="854"/>
      <c r="AD11" s="822"/>
    </row>
    <row r="12" spans="1:30" s="780" customFormat="1" ht="99" customHeight="1" x14ac:dyDescent="0.2">
      <c r="A12" s="816">
        <f>'[19]Identificación del Riesgo IS'!D12</f>
        <v>4</v>
      </c>
      <c r="B12" s="654" t="str">
        <f>'[19]Identificación del Riesgo IS'!E12</f>
        <v>Filtración de información institucional  para beneficios de un tercero</v>
      </c>
      <c r="C12" s="656" t="str">
        <f>'[19]Identificación del Riesgo IS'!H12</f>
        <v>No contar con sistemas de seguridad eficientes.
No se tiene trazabilidad de la firmas de acuerdos de confidencialidad de la información que se maneja en el proceso.</v>
      </c>
      <c r="D12" s="654" t="str">
        <f>'[19]Analisis Riesgo'!K10</f>
        <v>No se cuentan con controles</v>
      </c>
      <c r="E12" s="654" t="str">
        <f>'[19]Analisis Riesgo'!L10</f>
        <v>No se cuentan con controles</v>
      </c>
      <c r="F12" s="818" t="s">
        <v>833</v>
      </c>
      <c r="G12" s="818" t="s">
        <v>834</v>
      </c>
      <c r="H12" s="818" t="s">
        <v>867</v>
      </c>
      <c r="I12" s="818" t="s">
        <v>868</v>
      </c>
      <c r="J12" s="818" t="s">
        <v>869</v>
      </c>
      <c r="K12" s="819" t="s">
        <v>870</v>
      </c>
      <c r="L12" s="818" t="s">
        <v>713</v>
      </c>
      <c r="M12" s="820">
        <f t="shared" si="10"/>
        <v>0</v>
      </c>
      <c r="N12" s="820">
        <f t="shared" si="11"/>
        <v>0</v>
      </c>
      <c r="O12" s="820">
        <f t="shared" si="0"/>
        <v>0</v>
      </c>
      <c r="P12" s="820">
        <f t="shared" si="1"/>
        <v>0</v>
      </c>
      <c r="Q12" s="820">
        <f t="shared" si="2"/>
        <v>0</v>
      </c>
      <c r="R12" s="820">
        <f t="shared" si="3"/>
        <v>0</v>
      </c>
      <c r="S12" s="820">
        <f t="shared" si="4"/>
        <v>5</v>
      </c>
      <c r="T12" s="820">
        <f t="shared" si="5"/>
        <v>5</v>
      </c>
      <c r="U12" s="818" t="s">
        <v>263</v>
      </c>
      <c r="V12" s="818" t="s">
        <v>263</v>
      </c>
      <c r="W12" s="820">
        <f t="shared" si="6"/>
        <v>0</v>
      </c>
      <c r="X12" s="820">
        <f t="shared" si="7"/>
        <v>0</v>
      </c>
      <c r="Y12" s="820" t="str">
        <f t="shared" si="8"/>
        <v>Debil</v>
      </c>
      <c r="Z12" s="818" t="s">
        <v>872</v>
      </c>
      <c r="AA12" s="820" t="str">
        <f t="shared" si="9"/>
        <v>Debil</v>
      </c>
      <c r="AB12" s="820" t="str">
        <f t="shared" si="12"/>
        <v>SI</v>
      </c>
      <c r="AC12" s="897"/>
      <c r="AD12" s="822"/>
    </row>
  </sheetData>
  <mergeCells count="12">
    <mergeCell ref="A6:C6"/>
    <mergeCell ref="D6:AD6"/>
    <mergeCell ref="A7:L7"/>
    <mergeCell ref="M7:Y7"/>
    <mergeCell ref="Z7:AB7"/>
    <mergeCell ref="AC7:AD7"/>
    <mergeCell ref="A1:C4"/>
    <mergeCell ref="D1:AB4"/>
    <mergeCell ref="AC1:AD2"/>
    <mergeCell ref="AC3:AD4"/>
    <mergeCell ref="A5:C5"/>
    <mergeCell ref="D5:AD5"/>
  </mergeCells>
  <dataValidations count="9">
    <dataValidation type="list" allowBlank="1" showInputMessage="1" showErrorMessage="1" sqref="Z9:Z12" xr:uid="{00000000-0002-0000-7800-000000000000}">
      <formula1>"Siempre se ejecuta,Algunas veces se ejecuta,No se ejecuta,Seleccione"</formula1>
    </dataValidation>
    <dataValidation type="list" allowBlank="1" showInputMessage="1" showErrorMessage="1" sqref="U9:V12" xr:uid="{00000000-0002-0000-7800-000001000000}">
      <formula1>"SI, NO,Seleccione"</formula1>
    </dataValidation>
    <dataValidation type="list" allowBlank="1" showInputMessage="1" showErrorMessage="1" sqref="L9:L12" xr:uid="{00000000-0002-0000-7800-000002000000}">
      <formula1>"Completa, Incompleta, No existe,Seleccione"</formula1>
    </dataValidation>
    <dataValidation type="list" allowBlank="1" showInputMessage="1" showErrorMessage="1" sqref="K9:K12" xr:uid="{00000000-0002-0000-7800-000003000000}">
      <formula1>"Se investigan y resuelven oportunamente, No se investigan y resuelven oportunamente,Seleccione"</formula1>
    </dataValidation>
    <dataValidation type="list" allowBlank="1" showInputMessage="1" showErrorMessage="1" sqref="J9:J12" xr:uid="{00000000-0002-0000-7800-000004000000}">
      <formula1>"Confiable, No Confiable,Seleccione"</formula1>
    </dataValidation>
    <dataValidation type="list" allowBlank="1" showInputMessage="1" showErrorMessage="1" sqref="I9:I12" xr:uid="{00000000-0002-0000-7800-000005000000}">
      <formula1>"Prevenir, Detectar, No es un control,Seleccione"</formula1>
    </dataValidation>
    <dataValidation type="list" allowBlank="1" showInputMessage="1" showErrorMessage="1" sqref="H9:H12" xr:uid="{00000000-0002-0000-7800-000006000000}">
      <formula1>"Oportuna, Inoportuna,Seleccione"</formula1>
    </dataValidation>
    <dataValidation type="list" allowBlank="1" showInputMessage="1" showErrorMessage="1" sqref="G9:G12" xr:uid="{00000000-0002-0000-7800-000007000000}">
      <formula1>"Adecuado, Inadecuado,Seleccione"</formula1>
    </dataValidation>
    <dataValidation type="list" allowBlank="1" showInputMessage="1" showErrorMessage="1" sqref="F9:F12" xr:uid="{00000000-0002-0000-7800-000008000000}">
      <formula1>"Asignado, No asignado, Seleccione"</formula1>
    </dataValidation>
  </dataValidations>
  <pageMargins left="0.11811023622047245" right="0.11811023622047245" top="1.1417322834645669" bottom="0.74803149606299213" header="0.31496062992125984" footer="0.31496062992125984"/>
  <pageSetup scale="36" orientation="landscape" horizontalDpi="1200" verticalDpi="1200" r:id="rId1"/>
  <headerFooter>
    <oddHeader>&amp;L&amp;G&amp;C
&amp;"-,Negrita"Matriz de Riesgos</oddHeader>
  </headerFooter>
  <rowBreaks count="1" manualBreakCount="1">
    <brk id="10" max="16383" man="1"/>
  </rowBreaks>
  <colBreaks count="1" manualBreakCount="1">
    <brk id="12" max="1048575" man="1"/>
  </colBreaks>
  <drawing r:id="rId2"/>
  <legacyDrawingHF r:id="rId3"/>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X8"/>
  <sheetViews>
    <sheetView workbookViewId="0">
      <selection activeCell="D1" sqref="D1:V2"/>
    </sheetView>
  </sheetViews>
  <sheetFormatPr baseColWidth="10" defaultRowHeight="18" customHeight="1" x14ac:dyDescent="0.2"/>
  <cols>
    <col min="1" max="1" width="3.625" style="534" customWidth="1"/>
    <col min="2" max="2" width="28.75" style="534" customWidth="1"/>
    <col min="3" max="3" width="48.375" style="534" customWidth="1"/>
    <col min="4" max="4" width="38.5" style="534" customWidth="1"/>
    <col min="5" max="5" width="20.5" style="534" customWidth="1"/>
    <col min="6" max="6" width="15.75" style="534" customWidth="1"/>
    <col min="7" max="7" width="23" style="534" customWidth="1"/>
    <col min="8" max="10" width="19.375" style="534" customWidth="1"/>
    <col min="11" max="11" width="18.25" style="534" customWidth="1"/>
    <col min="12" max="12" width="41.625" style="534" customWidth="1"/>
    <col min="13" max="13" width="27.25" style="534" customWidth="1"/>
    <col min="14" max="15" width="10.75" style="534" customWidth="1"/>
    <col min="16" max="16" width="27.25" style="534" customWidth="1"/>
    <col min="17" max="22" width="25.75" style="534" customWidth="1"/>
    <col min="23" max="23" width="33.5" style="534" customWidth="1"/>
    <col min="24" max="24" width="45.625" style="534" customWidth="1"/>
    <col min="25" max="16384" width="11" style="534"/>
  </cols>
  <sheetData>
    <row r="1" spans="1:24" ht="18.75" x14ac:dyDescent="0.2">
      <c r="A1" s="1179"/>
      <c r="B1" s="1179"/>
      <c r="C1" s="1179"/>
      <c r="D1" s="1180" t="s">
        <v>314</v>
      </c>
      <c r="E1" s="1181"/>
      <c r="F1" s="1181"/>
      <c r="G1" s="1181"/>
      <c r="H1" s="1181"/>
      <c r="I1" s="1181"/>
      <c r="J1" s="1181"/>
      <c r="K1" s="1181"/>
      <c r="L1" s="1181"/>
      <c r="M1" s="1181"/>
      <c r="N1" s="1181"/>
      <c r="O1" s="1181"/>
      <c r="P1" s="1181"/>
      <c r="Q1" s="1181"/>
      <c r="R1" s="1181"/>
      <c r="S1" s="1181"/>
      <c r="T1" s="1181"/>
      <c r="U1" s="1181"/>
      <c r="V1" s="1182"/>
      <c r="W1" s="532" t="s">
        <v>315</v>
      </c>
      <c r="X1" s="533"/>
    </row>
    <row r="2" spans="1:24" ht="54.75" customHeight="1" thickBot="1" x14ac:dyDescent="0.25">
      <c r="A2" s="1179"/>
      <c r="B2" s="1179"/>
      <c r="C2" s="1179"/>
      <c r="D2" s="1183"/>
      <c r="E2" s="1184"/>
      <c r="F2" s="1184"/>
      <c r="G2" s="1184"/>
      <c r="H2" s="1184"/>
      <c r="I2" s="1184"/>
      <c r="J2" s="1184"/>
      <c r="K2" s="1184"/>
      <c r="L2" s="1184"/>
      <c r="M2" s="1184"/>
      <c r="N2" s="1184"/>
      <c r="O2" s="1184"/>
      <c r="P2" s="1184"/>
      <c r="Q2" s="1184"/>
      <c r="R2" s="1184"/>
      <c r="S2" s="1184"/>
      <c r="T2" s="1184"/>
      <c r="U2" s="1184"/>
      <c r="V2" s="1185"/>
      <c r="W2" s="532" t="s">
        <v>316</v>
      </c>
      <c r="X2" s="533"/>
    </row>
    <row r="3" spans="1:24" ht="18.75" x14ac:dyDescent="0.25">
      <c r="A3" s="1186" t="s">
        <v>57</v>
      </c>
      <c r="B3" s="1187"/>
      <c r="C3" s="1187"/>
      <c r="D3" s="1187"/>
      <c r="E3" s="1187"/>
      <c r="F3" s="1187"/>
      <c r="G3" s="1188"/>
      <c r="H3" s="1189"/>
      <c r="I3" s="1189"/>
      <c r="J3" s="1189"/>
      <c r="K3" s="1189"/>
      <c r="L3" s="1607" t="s">
        <v>60</v>
      </c>
      <c r="M3" s="1606"/>
      <c r="N3" s="1606"/>
      <c r="O3" s="1606"/>
      <c r="P3" s="1608"/>
      <c r="Q3" s="1609" t="s">
        <v>61</v>
      </c>
      <c r="R3" s="1604"/>
      <c r="S3" s="1604"/>
      <c r="T3" s="1604"/>
      <c r="U3" s="1604"/>
      <c r="V3" s="1605"/>
      <c r="W3" s="758" t="s">
        <v>62</v>
      </c>
      <c r="X3" s="758" t="s">
        <v>63</v>
      </c>
    </row>
    <row r="4" spans="1:24" ht="39" thickBot="1" x14ac:dyDescent="0.25">
      <c r="A4" s="698" t="s">
        <v>44</v>
      </c>
      <c r="B4" s="699" t="s">
        <v>64</v>
      </c>
      <c r="C4" s="699" t="s">
        <v>65</v>
      </c>
      <c r="D4" s="699" t="s">
        <v>317</v>
      </c>
      <c r="E4" s="699" t="s">
        <v>68</v>
      </c>
      <c r="F4" s="699" t="s">
        <v>69</v>
      </c>
      <c r="G4" s="700" t="s">
        <v>71</v>
      </c>
      <c r="H4" s="699" t="s">
        <v>81</v>
      </c>
      <c r="I4" s="699" t="s">
        <v>82</v>
      </c>
      <c r="J4" s="699" t="s">
        <v>83</v>
      </c>
      <c r="K4" s="701" t="s">
        <v>84</v>
      </c>
      <c r="L4" s="827" t="s">
        <v>85</v>
      </c>
      <c r="M4" s="828" t="s">
        <v>86</v>
      </c>
      <c r="N4" s="828" t="s">
        <v>87</v>
      </c>
      <c r="O4" s="828" t="s">
        <v>88</v>
      </c>
      <c r="P4" s="829" t="s">
        <v>89</v>
      </c>
      <c r="Q4" s="827" t="s">
        <v>90</v>
      </c>
      <c r="R4" s="828" t="s">
        <v>91</v>
      </c>
      <c r="S4" s="828" t="s">
        <v>92</v>
      </c>
      <c r="T4" s="828" t="s">
        <v>91</v>
      </c>
      <c r="U4" s="828" t="s">
        <v>93</v>
      </c>
      <c r="V4" s="829" t="s">
        <v>91</v>
      </c>
      <c r="W4" s="830" t="s">
        <v>94</v>
      </c>
      <c r="X4" s="830" t="s">
        <v>95</v>
      </c>
    </row>
    <row r="5" spans="1:24" ht="237.75" customHeight="1" x14ac:dyDescent="0.2">
      <c r="A5" s="703">
        <f>+'[9]Analisis Riesgo'!A7</f>
        <v>1</v>
      </c>
      <c r="B5" s="703" t="str">
        <f>+'[19]Identificación del Riesgo IS'!E9</f>
        <v>Entrega de información a las partes interesadas con demoras</v>
      </c>
      <c r="C5" s="703" t="str">
        <f>+'[19]Identificación del Riesgo IS'!H9</f>
        <v>Posibles afectaciones sobre el proceso ante los posibles variaciones tecnológicas relacionadas al desarrollo de software
Falta de oportunidad en la entrega de la información al proceso por parte de las fuentes.
No se han materializado los acuerdos interinstitucionales para la entrega de la información requerida como entrada en el proceso.
Los procedimientos del proceso no se encuentran alineados en su totalidad al objetivo principal del proceso.</v>
      </c>
      <c r="D5" s="703" t="str">
        <f>+'[19]Identificación del Riesgo IS'!I9</f>
        <v>Afectaciones a la toma de decisiones sectoriales.
Pérdida de credibilidad de la entidad en el sector.</v>
      </c>
      <c r="E5" s="705" t="str">
        <f>+'[19]Analisis Riesgo'!F7</f>
        <v>Casi Seguro</v>
      </c>
      <c r="F5" s="705" t="str">
        <f>+'[19]Analisis Riesgo'!G7</f>
        <v>Mayor</v>
      </c>
      <c r="G5" s="898" t="str">
        <f>+'[19]Analisis Riesgo'!I7</f>
        <v>EXTREMO</v>
      </c>
      <c r="H5" s="705" t="str">
        <f>+'[19]Analisis Riesgo'!U7</f>
        <v>Casi Seguro</v>
      </c>
      <c r="I5" s="705" t="str">
        <f>+'[19]Analisis Riesgo'!V7</f>
        <v>Mayor</v>
      </c>
      <c r="J5" s="898" t="str">
        <f>+'[19]Analisis Riesgo'!W7</f>
        <v>EXTREMO</v>
      </c>
      <c r="K5" s="703" t="str">
        <f>+'[19]Analisis Riesgo'!X7</f>
        <v>Reducir el riesgo</v>
      </c>
      <c r="L5" s="911" t="s">
        <v>1406</v>
      </c>
      <c r="M5" s="726" t="s">
        <v>1145</v>
      </c>
      <c r="N5" s="727">
        <v>44285</v>
      </c>
      <c r="O5" s="727">
        <v>44560</v>
      </c>
      <c r="P5" s="728" t="s">
        <v>1407</v>
      </c>
      <c r="Q5" s="833"/>
      <c r="R5" s="834"/>
      <c r="S5" s="834"/>
      <c r="T5" s="834"/>
      <c r="U5" s="834"/>
      <c r="V5" s="835"/>
      <c r="W5" s="836"/>
      <c r="X5" s="836"/>
    </row>
    <row r="6" spans="1:24" ht="156.75" x14ac:dyDescent="0.2">
      <c r="A6" s="703">
        <f>+'[9]Analisis Riesgo'!A8</f>
        <v>2</v>
      </c>
      <c r="B6" s="703" t="str">
        <f>+'[19]Identificación del Riesgo IS'!E10</f>
        <v>Generar información poco confiable o con análisis deficiente.</v>
      </c>
      <c r="C6" s="703" t="str">
        <f>+'[19]Identificación del Riesgo IS'!H10</f>
        <v>No se han desarrollado actividades que mejoren las competencias del personal en los temas específicos del proceso.
No se ha planificado institucionalmente los recursos humanos para el procesamiento de la información en función de las necesidades de operación.
No se han asignado funciones específicas sobre la gestión y procesamiento de la información bajo una perspectiva descentralizada en los demás procesos.</v>
      </c>
      <c r="D6" s="703" t="str">
        <f>+'[19]Identificación del Riesgo IS'!I10</f>
        <v>Afectaciones a la toma de decisiones sectoriales.
Pérdida de credibilidad de la entidad en el sector.</v>
      </c>
      <c r="E6" s="705" t="str">
        <f>+'[19]Analisis Riesgo'!F8</f>
        <v>Posible</v>
      </c>
      <c r="F6" s="705" t="str">
        <f>+'[19]Analisis Riesgo'!G8</f>
        <v>Mayor</v>
      </c>
      <c r="G6" s="898" t="str">
        <f>+'[19]Analisis Riesgo'!I8</f>
        <v>EXTREMO</v>
      </c>
      <c r="H6" s="705" t="str">
        <f>+'[19]Analisis Riesgo'!U8</f>
        <v>Posible</v>
      </c>
      <c r="I6" s="705" t="str">
        <f>+'[19]Analisis Riesgo'!V8</f>
        <v>Mayor</v>
      </c>
      <c r="J6" s="898" t="str">
        <f>+'[19]Analisis Riesgo'!W8</f>
        <v>EXTREMO</v>
      </c>
      <c r="K6" s="703" t="str">
        <f>+'[19]Analisis Riesgo'!X8</f>
        <v>Reducir el riesgo</v>
      </c>
      <c r="L6" s="912" t="s">
        <v>1408</v>
      </c>
      <c r="M6" s="726" t="s">
        <v>1145</v>
      </c>
      <c r="N6" s="727">
        <v>44285</v>
      </c>
      <c r="O6" s="709">
        <v>44439</v>
      </c>
      <c r="P6" s="733" t="s">
        <v>1409</v>
      </c>
      <c r="Q6" s="837"/>
      <c r="R6" s="838"/>
      <c r="S6" s="838"/>
      <c r="T6" s="838"/>
      <c r="U6" s="838"/>
      <c r="V6" s="839"/>
      <c r="W6" s="840"/>
      <c r="X6" s="840"/>
    </row>
    <row r="7" spans="1:24" ht="85.5" x14ac:dyDescent="0.2">
      <c r="A7" s="703">
        <f>+'[9]Analisis Riesgo'!A9</f>
        <v>3</v>
      </c>
      <c r="B7" s="703" t="str">
        <f>+'[19]Identificación del Riesgo IS'!E11</f>
        <v xml:space="preserve">Presentar información del sector con herramientas poco prácticas para las partes interesadas </v>
      </c>
      <c r="C7" s="703" t="str">
        <f>+'[19]Identificación del Riesgo IS'!H11</f>
        <v>No se cuenta con la capacidad tecnológica ni humana para el análisis de grandes volúmenes de información.
Obsolecencia técnológica de herramientas de procesamiento de información.</v>
      </c>
      <c r="D7" s="703" t="str">
        <f>+'[19]Identificación del Riesgo IS'!I11</f>
        <v>Afectaciones a los análisis sectoriales.</v>
      </c>
      <c r="E7" s="705" t="str">
        <f>+'[19]Analisis Riesgo'!F9</f>
        <v>Casi Seguro</v>
      </c>
      <c r="F7" s="705" t="str">
        <f>+'[19]Analisis Riesgo'!G9</f>
        <v>Moderado</v>
      </c>
      <c r="G7" s="898" t="str">
        <f>+'[19]Analisis Riesgo'!I9</f>
        <v>EXTREMO</v>
      </c>
      <c r="H7" s="705" t="str">
        <f>+'[19]Analisis Riesgo'!U9</f>
        <v>Casi Seguro</v>
      </c>
      <c r="I7" s="705" t="str">
        <f>+'[19]Analisis Riesgo'!V9</f>
        <v>Moderado</v>
      </c>
      <c r="J7" s="898" t="str">
        <f>+'[19]Analisis Riesgo'!W9</f>
        <v>EXTREMO</v>
      </c>
      <c r="K7" s="703" t="str">
        <f>+'[19]Analisis Riesgo'!X9</f>
        <v>Reducir el riesgo</v>
      </c>
      <c r="L7" s="913" t="s">
        <v>1410</v>
      </c>
      <c r="M7" s="708" t="s">
        <v>1145</v>
      </c>
      <c r="N7" s="709">
        <v>44285</v>
      </c>
      <c r="O7" s="709">
        <v>44560</v>
      </c>
      <c r="P7" s="708" t="s">
        <v>1411</v>
      </c>
      <c r="Q7" s="837"/>
      <c r="R7" s="838"/>
      <c r="S7" s="838"/>
      <c r="T7" s="838"/>
      <c r="U7" s="838"/>
      <c r="V7" s="839"/>
      <c r="W7" s="840"/>
      <c r="X7" s="840"/>
    </row>
    <row r="8" spans="1:24" ht="71.25" x14ac:dyDescent="0.2">
      <c r="A8" s="703">
        <f>+'[9]Analisis Riesgo'!A10</f>
        <v>4</v>
      </c>
      <c r="B8" s="703" t="str">
        <f>+'[19]Identificación del Riesgo IS'!E12</f>
        <v>Filtración de información institucional  para beneficios de un tercero</v>
      </c>
      <c r="C8" s="703" t="str">
        <f>+'[19]Identificación del Riesgo IS'!H12</f>
        <v>No contar con sistemas de seguridad eficientes.
No se tiene trazabilidad de la firmas de acuerdos de confidencialidad de la información que se maneja en el proceso.</v>
      </c>
      <c r="D8" s="703" t="str">
        <f>+'[19]Identificación del Riesgo IS'!I12</f>
        <v>Afectaciones a la toma de decisiones sectoriales.
Pérdida de credibilidad de la entidad en el sector.</v>
      </c>
      <c r="E8" s="705" t="str">
        <f>+'[19]Analisis Riesgo'!F10</f>
        <v>Rara vez</v>
      </c>
      <c r="F8" s="705" t="str">
        <f>+'[19]Analisis Riesgo'!G10</f>
        <v>Catastrófico</v>
      </c>
      <c r="G8" s="898" t="str">
        <f>+'[19]Analisis Riesgo'!I10</f>
        <v>EXTREMO</v>
      </c>
      <c r="H8" s="705" t="str">
        <f>+'[19]Analisis Riesgo'!U10</f>
        <v>Rara vez</v>
      </c>
      <c r="I8" s="705" t="str">
        <f>+'[19]Analisis Riesgo'!V10</f>
        <v>Catastrófico</v>
      </c>
      <c r="J8" s="898" t="str">
        <f>+'[19]Analisis Riesgo'!W10</f>
        <v>EXTREMO</v>
      </c>
      <c r="K8" s="703" t="str">
        <f>+'[19]Analisis Riesgo'!X10</f>
        <v>Reducir el riesgo</v>
      </c>
      <c r="L8" s="913" t="s">
        <v>1412</v>
      </c>
      <c r="M8" s="708" t="s">
        <v>1145</v>
      </c>
      <c r="N8" s="709">
        <v>44285</v>
      </c>
      <c r="O8" s="709">
        <v>44560</v>
      </c>
      <c r="P8" s="708" t="s">
        <v>1413</v>
      </c>
      <c r="Q8" s="837"/>
      <c r="R8" s="838"/>
      <c r="S8" s="838"/>
      <c r="T8" s="838"/>
      <c r="U8" s="838"/>
      <c r="V8" s="839"/>
      <c r="W8" s="840"/>
      <c r="X8" s="840"/>
    </row>
  </sheetData>
  <mergeCells count="6">
    <mergeCell ref="A1:C2"/>
    <mergeCell ref="D1:V2"/>
    <mergeCell ref="A3:G3"/>
    <mergeCell ref="H3:K3"/>
    <mergeCell ref="L3:P3"/>
    <mergeCell ref="Q3:V3"/>
  </mergeCells>
  <pageMargins left="0.7" right="0.7" top="0.75" bottom="0.75" header="0.3" footer="0.3"/>
  <drawing r:id="rId1"/>
  <legacyDrawing r:id="rId2"/>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E7"/>
  <sheetViews>
    <sheetView showGridLines="0" topLeftCell="C1" zoomScale="130" zoomScaleNormal="130" zoomScaleSheetLayoutView="115" zoomScalePageLayoutView="90" workbookViewId="0">
      <selection activeCell="D7" sqref="D7:E7"/>
    </sheetView>
  </sheetViews>
  <sheetFormatPr baseColWidth="10" defaultRowHeight="15" x14ac:dyDescent="0.25"/>
  <cols>
    <col min="1" max="1" width="8.5" style="743" customWidth="1"/>
    <col min="2" max="2" width="32.5" style="743" customWidth="1"/>
    <col min="3" max="3" width="43.625" style="743" customWidth="1"/>
    <col min="4" max="4" width="28.5" style="743" customWidth="1"/>
    <col min="5" max="5" width="33.25" style="743" customWidth="1"/>
    <col min="6" max="16384" width="11" style="743"/>
  </cols>
  <sheetData>
    <row r="1" spans="1:5" x14ac:dyDescent="0.25">
      <c r="A1" s="1568"/>
      <c r="B1" s="1569" t="s">
        <v>837</v>
      </c>
      <c r="C1" s="1570"/>
      <c r="D1" s="1570"/>
      <c r="E1" s="1571" t="s">
        <v>29</v>
      </c>
    </row>
    <row r="2" spans="1:5" x14ac:dyDescent="0.25">
      <c r="A2" s="1568"/>
      <c r="B2" s="1570"/>
      <c r="C2" s="1570"/>
      <c r="D2" s="1570"/>
      <c r="E2" s="1571"/>
    </row>
    <row r="3" spans="1:5" x14ac:dyDescent="0.25">
      <c r="A3" s="1568"/>
      <c r="B3" s="1570"/>
      <c r="C3" s="1570"/>
      <c r="D3" s="1570"/>
      <c r="E3" s="1572" t="s">
        <v>2</v>
      </c>
    </row>
    <row r="4" spans="1:5" ht="15.75" thickBot="1" x14ac:dyDescent="0.3">
      <c r="A4" s="1568"/>
      <c r="B4" s="1570"/>
      <c r="C4" s="1570"/>
      <c r="D4" s="1570"/>
      <c r="E4" s="1572"/>
    </row>
    <row r="5" spans="1:5" ht="15.75" thickBot="1" x14ac:dyDescent="0.3">
      <c r="A5" s="1573" t="s">
        <v>30</v>
      </c>
      <c r="B5" s="1574"/>
      <c r="C5" s="1574"/>
      <c r="D5" s="1574"/>
      <c r="E5" s="1575"/>
    </row>
    <row r="6" spans="1:5" ht="15" customHeight="1" x14ac:dyDescent="0.25">
      <c r="A6" s="744" t="s">
        <v>31</v>
      </c>
      <c r="B6" s="745" t="s">
        <v>32</v>
      </c>
      <c r="C6" s="744" t="s">
        <v>33</v>
      </c>
      <c r="D6" s="1576" t="s">
        <v>34</v>
      </c>
      <c r="E6" s="1577"/>
    </row>
    <row r="7" spans="1:5" ht="409.5" customHeight="1" x14ac:dyDescent="0.25">
      <c r="A7" s="746"/>
      <c r="B7" s="747" t="s">
        <v>1414</v>
      </c>
      <c r="C7" s="748" t="s">
        <v>1415</v>
      </c>
      <c r="D7" s="1686" t="s">
        <v>1416</v>
      </c>
      <c r="E7" s="1687"/>
    </row>
  </sheetData>
  <mergeCells count="7">
    <mergeCell ref="D7:E7"/>
    <mergeCell ref="A1:A4"/>
    <mergeCell ref="B1:D4"/>
    <mergeCell ref="E1:E2"/>
    <mergeCell ref="E3:E4"/>
    <mergeCell ref="A5:E5"/>
    <mergeCell ref="D6:E6"/>
  </mergeCells>
  <pageMargins left="0.31496062992125984" right="0.31496062992125984" top="1.1417322834645669" bottom="0.35433070866141736" header="0.31496062992125984" footer="0.31496062992125984"/>
  <pageSetup scale="88" orientation="landscape" horizontalDpi="1200" verticalDpi="1200" r:id="rId1"/>
  <headerFooter>
    <oddHeader>&amp;L&amp;G&amp;C
&amp;"-,Negrita"Matriz de Riesgos</oddHeader>
  </headerFooter>
  <drawing r:id="rId2"/>
  <legacyDrawing r:id="rId3"/>
  <legacyDrawingHF r:id="rId4"/>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N17"/>
  <sheetViews>
    <sheetView showGridLines="0" topLeftCell="A8" zoomScale="85" zoomScaleNormal="85" zoomScaleSheetLayoutView="130" zoomScalePageLayoutView="90" workbookViewId="0">
      <pane ySplit="1" topLeftCell="A9" activePane="bottomLeft" state="frozen"/>
      <selection activeCell="A8" sqref="A8"/>
      <selection pane="bottomLeft" activeCell="E11" sqref="E11"/>
    </sheetView>
  </sheetViews>
  <sheetFormatPr baseColWidth="10" defaultRowHeight="15" x14ac:dyDescent="0.25"/>
  <cols>
    <col min="1" max="1" width="8.5" style="743" customWidth="1"/>
    <col min="2" max="2" width="10.125" style="743" customWidth="1"/>
    <col min="3" max="3" width="8.5" style="743" customWidth="1"/>
    <col min="4" max="4" width="3.625" style="746" customWidth="1"/>
    <col min="5" max="5" width="26.875" style="743" customWidth="1"/>
    <col min="6" max="6" width="25.75" style="743" customWidth="1"/>
    <col min="7" max="7" width="15" style="743" customWidth="1"/>
    <col min="8" max="8" width="53.875" style="743" customWidth="1"/>
    <col min="9" max="9" width="33.375" style="743" customWidth="1"/>
    <col min="10" max="10" width="20.625" style="743" customWidth="1"/>
    <col min="11" max="11" width="14.75" style="743" customWidth="1"/>
    <col min="12" max="12" width="18.75" style="743" customWidth="1"/>
    <col min="13" max="13" width="12.75" style="743" customWidth="1"/>
    <col min="14" max="14" width="27.125" style="743" customWidth="1"/>
    <col min="15" max="16384" width="11" style="743"/>
  </cols>
  <sheetData>
    <row r="1" spans="1:14" x14ac:dyDescent="0.25">
      <c r="A1" s="1578"/>
      <c r="B1" s="1578"/>
      <c r="C1" s="1578"/>
      <c r="D1" s="1580" t="s">
        <v>0</v>
      </c>
      <c r="E1" s="1580"/>
      <c r="F1" s="1580"/>
      <c r="G1" s="1580"/>
      <c r="H1" s="1580"/>
      <c r="I1" s="1580"/>
      <c r="J1" s="1580"/>
      <c r="K1" s="1580"/>
      <c r="L1" s="1580"/>
      <c r="M1" s="1581"/>
      <c r="N1" s="1584" t="s">
        <v>35</v>
      </c>
    </row>
    <row r="2" spans="1:14" x14ac:dyDescent="0.25">
      <c r="A2" s="1578"/>
      <c r="B2" s="1578"/>
      <c r="C2" s="1578"/>
      <c r="D2" s="1580"/>
      <c r="E2" s="1580"/>
      <c r="F2" s="1580"/>
      <c r="G2" s="1580"/>
      <c r="H2" s="1580"/>
      <c r="I2" s="1580"/>
      <c r="J2" s="1580"/>
      <c r="K2" s="1580"/>
      <c r="L2" s="1580"/>
      <c r="M2" s="1581"/>
      <c r="N2" s="1584"/>
    </row>
    <row r="3" spans="1:14" x14ac:dyDescent="0.25">
      <c r="A3" s="1578"/>
      <c r="B3" s="1578"/>
      <c r="C3" s="1578"/>
      <c r="D3" s="1580"/>
      <c r="E3" s="1580"/>
      <c r="F3" s="1580"/>
      <c r="G3" s="1580"/>
      <c r="H3" s="1580"/>
      <c r="I3" s="1580"/>
      <c r="J3" s="1580"/>
      <c r="K3" s="1580"/>
      <c r="L3" s="1580"/>
      <c r="M3" s="1581"/>
      <c r="N3" s="1584" t="s">
        <v>2</v>
      </c>
    </row>
    <row r="4" spans="1:14" x14ac:dyDescent="0.25">
      <c r="A4" s="1579"/>
      <c r="B4" s="1579"/>
      <c r="C4" s="1579"/>
      <c r="D4" s="1582"/>
      <c r="E4" s="1582"/>
      <c r="F4" s="1582"/>
      <c r="G4" s="1582"/>
      <c r="H4" s="1582"/>
      <c r="I4" s="1582"/>
      <c r="J4" s="1582"/>
      <c r="K4" s="1582"/>
      <c r="L4" s="1582"/>
      <c r="M4" s="1583"/>
      <c r="N4" s="1584"/>
    </row>
    <row r="5" spans="1:14" ht="15.75" x14ac:dyDescent="0.25">
      <c r="A5" s="1585" t="s">
        <v>36</v>
      </c>
      <c r="B5" s="1586"/>
      <c r="C5" s="1587"/>
      <c r="D5" s="1588"/>
      <c r="E5" s="1589"/>
      <c r="F5" s="1589"/>
      <c r="G5" s="1589"/>
      <c r="H5" s="1589"/>
      <c r="I5" s="1589"/>
      <c r="J5" s="1589"/>
      <c r="K5" s="1589"/>
      <c r="L5" s="1589"/>
      <c r="M5" s="1589"/>
      <c r="N5" s="1590"/>
    </row>
    <row r="6" spans="1:14" ht="15.75" x14ac:dyDescent="0.25">
      <c r="A6" s="1585" t="s">
        <v>37</v>
      </c>
      <c r="B6" s="1586"/>
      <c r="C6" s="1587"/>
      <c r="D6" s="1588"/>
      <c r="E6" s="1589"/>
      <c r="F6" s="1589"/>
      <c r="G6" s="1589"/>
      <c r="H6" s="1589"/>
      <c r="I6" s="1589"/>
      <c r="J6" s="1589"/>
      <c r="K6" s="1589"/>
      <c r="L6" s="1589"/>
      <c r="M6" s="1589"/>
      <c r="N6" s="1590"/>
    </row>
    <row r="7" spans="1:14" x14ac:dyDescent="0.25">
      <c r="A7" s="1591" t="s">
        <v>38</v>
      </c>
      <c r="B7" s="1592"/>
      <c r="C7" s="1593"/>
      <c r="D7" s="1594" t="s">
        <v>39</v>
      </c>
      <c r="E7" s="1595"/>
      <c r="F7" s="1595"/>
      <c r="G7" s="1595"/>
      <c r="H7" s="1595"/>
      <c r="I7" s="1596"/>
      <c r="J7" s="1597" t="s">
        <v>40</v>
      </c>
      <c r="K7" s="1597"/>
      <c r="L7" s="1597"/>
      <c r="M7" s="1597"/>
      <c r="N7" s="1597"/>
    </row>
    <row r="8" spans="1:14" ht="45" x14ac:dyDescent="0.25">
      <c r="A8" s="749" t="s">
        <v>41</v>
      </c>
      <c r="B8" s="749" t="s">
        <v>42</v>
      </c>
      <c r="C8" s="749" t="s">
        <v>43</v>
      </c>
      <c r="D8" s="749" t="s">
        <v>44</v>
      </c>
      <c r="E8" s="749" t="s">
        <v>45</v>
      </c>
      <c r="F8" s="749" t="s">
        <v>46</v>
      </c>
      <c r="G8" s="749" t="s">
        <v>47</v>
      </c>
      <c r="H8" s="749" t="s">
        <v>48</v>
      </c>
      <c r="I8" s="749" t="s">
        <v>49</v>
      </c>
      <c r="J8" s="750" t="s">
        <v>50</v>
      </c>
      <c r="K8" s="750" t="s">
        <v>51</v>
      </c>
      <c r="L8" s="750" t="s">
        <v>52</v>
      </c>
      <c r="M8" s="750" t="s">
        <v>53</v>
      </c>
      <c r="N8" s="750" t="s">
        <v>54</v>
      </c>
    </row>
    <row r="9" spans="1:14" ht="177.75" customHeight="1" x14ac:dyDescent="0.25">
      <c r="A9" s="751"/>
      <c r="B9" s="752" t="s">
        <v>248</v>
      </c>
      <c r="C9" s="752"/>
      <c r="D9" s="542">
        <v>1</v>
      </c>
      <c r="E9" s="554" t="s">
        <v>1417</v>
      </c>
      <c r="F9" s="466" t="s">
        <v>1418</v>
      </c>
      <c r="G9" s="754" t="s">
        <v>246</v>
      </c>
      <c r="H9" s="303" t="s">
        <v>1419</v>
      </c>
      <c r="I9" s="303" t="s">
        <v>1420</v>
      </c>
      <c r="J9" s="754" t="s">
        <v>263</v>
      </c>
      <c r="K9" s="754" t="s">
        <v>263</v>
      </c>
      <c r="L9" s="754" t="s">
        <v>263</v>
      </c>
      <c r="M9" s="754" t="s">
        <v>263</v>
      </c>
      <c r="N9" s="756" t="str">
        <f t="shared" ref="N9:N17" si="0">IF(COUNTIF(J9:M9,"SI")=4,"Riesgo de Corrupción","No es Riesgo de Corrupción")</f>
        <v>No es Riesgo de Corrupción</v>
      </c>
    </row>
    <row r="10" spans="1:14" ht="135" customHeight="1" x14ac:dyDescent="0.25">
      <c r="A10" s="751"/>
      <c r="B10" s="752" t="s">
        <v>248</v>
      </c>
      <c r="C10" s="751"/>
      <c r="D10" s="542">
        <v>2</v>
      </c>
      <c r="E10" s="554" t="s">
        <v>1421</v>
      </c>
      <c r="F10" s="753" t="s">
        <v>1422</v>
      </c>
      <c r="G10" s="754" t="s">
        <v>246</v>
      </c>
      <c r="H10" s="755" t="s">
        <v>1423</v>
      </c>
      <c r="I10" s="303" t="s">
        <v>1424</v>
      </c>
      <c r="J10" s="754" t="s">
        <v>263</v>
      </c>
      <c r="K10" s="754" t="s">
        <v>263</v>
      </c>
      <c r="L10" s="754" t="s">
        <v>263</v>
      </c>
      <c r="M10" s="754" t="s">
        <v>263</v>
      </c>
      <c r="N10" s="756" t="str">
        <f t="shared" si="0"/>
        <v>No es Riesgo de Corrupción</v>
      </c>
    </row>
    <row r="11" spans="1:14" ht="86.25" customHeight="1" x14ac:dyDescent="0.25">
      <c r="A11" s="751"/>
      <c r="B11" s="752" t="s">
        <v>177</v>
      </c>
      <c r="C11" s="751"/>
      <c r="D11" s="542">
        <v>3</v>
      </c>
      <c r="E11" s="162" t="s">
        <v>1425</v>
      </c>
      <c r="F11" s="466" t="s">
        <v>1426</v>
      </c>
      <c r="G11" s="754" t="s">
        <v>246</v>
      </c>
      <c r="H11" s="303" t="s">
        <v>1427</v>
      </c>
      <c r="I11" s="303" t="s">
        <v>1428</v>
      </c>
      <c r="J11" s="754" t="s">
        <v>263</v>
      </c>
      <c r="K11" s="754" t="s">
        <v>263</v>
      </c>
      <c r="L11" s="754" t="s">
        <v>263</v>
      </c>
      <c r="M11" s="754" t="s">
        <v>263</v>
      </c>
      <c r="N11" s="756" t="str">
        <f t="shared" si="0"/>
        <v>No es Riesgo de Corrupción</v>
      </c>
    </row>
    <row r="12" spans="1:14" ht="54" customHeight="1" x14ac:dyDescent="0.25">
      <c r="A12" s="751"/>
      <c r="B12" s="752" t="s">
        <v>248</v>
      </c>
      <c r="C12" s="751"/>
      <c r="D12" s="542">
        <v>4</v>
      </c>
      <c r="E12" s="554" t="s">
        <v>1429</v>
      </c>
      <c r="F12" s="466" t="s">
        <v>1426</v>
      </c>
      <c r="G12" s="754" t="s">
        <v>246</v>
      </c>
      <c r="H12" s="755" t="s">
        <v>1430</v>
      </c>
      <c r="I12" s="303" t="s">
        <v>1431</v>
      </c>
      <c r="J12" s="754" t="s">
        <v>263</v>
      </c>
      <c r="K12" s="754" t="s">
        <v>263</v>
      </c>
      <c r="L12" s="754" t="s">
        <v>263</v>
      </c>
      <c r="M12" s="754" t="s">
        <v>263</v>
      </c>
      <c r="N12" s="756" t="str">
        <f t="shared" si="0"/>
        <v>No es Riesgo de Corrupción</v>
      </c>
    </row>
    <row r="13" spans="1:14" ht="66.75" customHeight="1" x14ac:dyDescent="0.25">
      <c r="A13" s="751"/>
      <c r="B13" s="752" t="s">
        <v>248</v>
      </c>
      <c r="C13" s="751"/>
      <c r="D13" s="542">
        <v>5</v>
      </c>
      <c r="E13" s="554" t="s">
        <v>1432</v>
      </c>
      <c r="F13" s="466" t="s">
        <v>1433</v>
      </c>
      <c r="G13" s="754" t="s">
        <v>246</v>
      </c>
      <c r="H13" s="755" t="s">
        <v>1434</v>
      </c>
      <c r="I13" s="303" t="s">
        <v>1435</v>
      </c>
      <c r="J13" s="754" t="s">
        <v>263</v>
      </c>
      <c r="K13" s="754" t="s">
        <v>263</v>
      </c>
      <c r="L13" s="754" t="s">
        <v>263</v>
      </c>
      <c r="M13" s="754" t="s">
        <v>263</v>
      </c>
      <c r="N13" s="756" t="str">
        <f t="shared" si="0"/>
        <v>No es Riesgo de Corrupción</v>
      </c>
    </row>
    <row r="14" spans="1:14" ht="148.5" customHeight="1" x14ac:dyDescent="0.25">
      <c r="A14" s="751"/>
      <c r="B14" s="752" t="s">
        <v>248</v>
      </c>
      <c r="C14" s="751"/>
      <c r="D14" s="542">
        <v>6</v>
      </c>
      <c r="E14" s="554" t="s">
        <v>1436</v>
      </c>
      <c r="F14" s="466" t="s">
        <v>1437</v>
      </c>
      <c r="G14" s="754" t="s">
        <v>246</v>
      </c>
      <c r="H14" s="755" t="s">
        <v>1438</v>
      </c>
      <c r="I14" s="303" t="s">
        <v>1439</v>
      </c>
      <c r="J14" s="754" t="s">
        <v>263</v>
      </c>
      <c r="K14" s="754" t="s">
        <v>263</v>
      </c>
      <c r="L14" s="754" t="s">
        <v>263</v>
      </c>
      <c r="M14" s="754" t="s">
        <v>263</v>
      </c>
      <c r="N14" s="756" t="str">
        <f t="shared" si="0"/>
        <v>No es Riesgo de Corrupción</v>
      </c>
    </row>
    <row r="15" spans="1:14" ht="96.75" customHeight="1" x14ac:dyDescent="0.25">
      <c r="A15" s="751"/>
      <c r="B15" s="751" t="s">
        <v>177</v>
      </c>
      <c r="C15" s="751"/>
      <c r="D15" s="542">
        <v>7</v>
      </c>
      <c r="E15" s="554" t="s">
        <v>1440</v>
      </c>
      <c r="F15" s="753" t="s">
        <v>1441</v>
      </c>
      <c r="G15" s="754" t="s">
        <v>179</v>
      </c>
      <c r="H15" s="755" t="s">
        <v>1442</v>
      </c>
      <c r="I15" s="303" t="s">
        <v>1443</v>
      </c>
      <c r="J15" s="754" t="s">
        <v>263</v>
      </c>
      <c r="K15" s="754" t="s">
        <v>263</v>
      </c>
      <c r="L15" s="754" t="s">
        <v>263</v>
      </c>
      <c r="M15" s="754" t="s">
        <v>263</v>
      </c>
      <c r="N15" s="756" t="str">
        <f t="shared" si="0"/>
        <v>No es Riesgo de Corrupción</v>
      </c>
    </row>
    <row r="16" spans="1:14" ht="79.5" customHeight="1" x14ac:dyDescent="0.25">
      <c r="A16" s="751"/>
      <c r="B16" s="751" t="s">
        <v>219</v>
      </c>
      <c r="C16" s="751"/>
      <c r="D16" s="542">
        <v>8</v>
      </c>
      <c r="E16" s="554" t="s">
        <v>1444</v>
      </c>
      <c r="F16" s="753" t="s">
        <v>1445</v>
      </c>
      <c r="G16" s="754" t="s">
        <v>252</v>
      </c>
      <c r="H16" s="755" t="s">
        <v>1446</v>
      </c>
      <c r="I16" s="303" t="s">
        <v>1447</v>
      </c>
      <c r="J16" s="754" t="s">
        <v>122</v>
      </c>
      <c r="K16" s="754" t="s">
        <v>122</v>
      </c>
      <c r="L16" s="754" t="s">
        <v>122</v>
      </c>
      <c r="M16" s="754" t="s">
        <v>122</v>
      </c>
      <c r="N16" s="756" t="str">
        <f t="shared" si="0"/>
        <v>Riesgo de Corrupción</v>
      </c>
    </row>
    <row r="17" spans="1:14" ht="108" customHeight="1" x14ac:dyDescent="0.25">
      <c r="A17" s="751"/>
      <c r="B17" s="751" t="s">
        <v>219</v>
      </c>
      <c r="C17" s="751"/>
      <c r="D17" s="542">
        <v>9</v>
      </c>
      <c r="E17" s="554" t="s">
        <v>1448</v>
      </c>
      <c r="F17" s="753" t="s">
        <v>1449</v>
      </c>
      <c r="G17" s="754" t="s">
        <v>252</v>
      </c>
      <c r="H17" s="755" t="s">
        <v>1450</v>
      </c>
      <c r="I17" s="303" t="s">
        <v>1451</v>
      </c>
      <c r="J17" s="754" t="s">
        <v>122</v>
      </c>
      <c r="K17" s="754" t="s">
        <v>122</v>
      </c>
      <c r="L17" s="754" t="s">
        <v>122</v>
      </c>
      <c r="M17" s="754" t="s">
        <v>122</v>
      </c>
      <c r="N17" s="756" t="str">
        <f t="shared" si="0"/>
        <v>Riesgo de Corrupción</v>
      </c>
    </row>
  </sheetData>
  <mergeCells count="11">
    <mergeCell ref="A6:C6"/>
    <mergeCell ref="D6:N6"/>
    <mergeCell ref="A7:C7"/>
    <mergeCell ref="D7:I7"/>
    <mergeCell ref="J7:N7"/>
    <mergeCell ref="A1:C4"/>
    <mergeCell ref="D1:M4"/>
    <mergeCell ref="N1:N2"/>
    <mergeCell ref="N3:N4"/>
    <mergeCell ref="A5:C5"/>
    <mergeCell ref="D5:N5"/>
  </mergeCells>
  <dataValidations count="1">
    <dataValidation type="list" allowBlank="1" showInputMessage="1" showErrorMessage="1" sqref="J9:M17" xr:uid="{00000000-0002-0000-7B00-000000000000}">
      <formula1>"SI,NO"</formula1>
    </dataValidation>
  </dataValidations>
  <pageMargins left="0.11811023622047245" right="0.11811023622047245" top="1.1417322834645669" bottom="0.19685039370078741" header="0.31496062992125984" footer="0.31496062992125984"/>
  <pageSetup scale="79" orientation="landscape" horizontalDpi="1200" verticalDpi="1200" r:id="rId1"/>
  <headerFooter>
    <oddHeader>&amp;L&amp;G&amp;C
&amp;"-,Negrita"Matriz de Riesgos</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7B00-000001000000}">
          <x14:formula1>
            <xm:f>'C:\Users\sgomez.UPME\Documents\UPME 2020\Documents\Mapas de riesgos\[Mapa de riesgos. Mejora Continua.xlsx]Datos'!#REF!</xm:f>
          </x14:formula1>
          <xm:sqref>A9:C17 G9:G17</xm:sqref>
        </x14:dataValidation>
      </x14:dataValidations>
    </ext>
  </extLst>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X15"/>
  <sheetViews>
    <sheetView showGridLines="0" showWhiteSpace="0" topLeftCell="G7" zoomScale="55" zoomScaleNormal="55" zoomScaleSheetLayoutView="85" zoomScalePageLayoutView="70" workbookViewId="0">
      <selection activeCell="M7" sqref="M7"/>
    </sheetView>
  </sheetViews>
  <sheetFormatPr baseColWidth="10" defaultRowHeight="15" x14ac:dyDescent="0.25"/>
  <cols>
    <col min="1" max="1" width="4.75" style="746" customWidth="1"/>
    <col min="2" max="2" width="30" style="743" customWidth="1"/>
    <col min="3" max="3" width="52.75" style="800" customWidth="1"/>
    <col min="4" max="4" width="26.25" style="801" customWidth="1"/>
    <col min="5" max="5" width="2.875" style="746" customWidth="1"/>
    <col min="6" max="6" width="17.25" style="746" customWidth="1"/>
    <col min="7" max="7" width="12.875" style="746" customWidth="1"/>
    <col min="8" max="8" width="5" style="746" customWidth="1"/>
    <col min="9" max="9" width="14" style="743" customWidth="1"/>
    <col min="10" max="10" width="16" style="743" customWidth="1"/>
    <col min="11" max="11" width="23.5" style="802" customWidth="1"/>
    <col min="12" max="12" width="41" style="743" customWidth="1"/>
    <col min="13" max="13" width="13.75" style="743" customWidth="1"/>
    <col min="14" max="14" width="15" style="743" customWidth="1"/>
    <col min="15" max="15" width="19.25" style="743" customWidth="1"/>
    <col min="16" max="16" width="18.875" style="743" customWidth="1"/>
    <col min="17" max="17" width="12" style="743" customWidth="1"/>
    <col min="18" max="18" width="12.625" style="743" customWidth="1"/>
    <col min="19" max="19" width="13.625" style="746" customWidth="1"/>
    <col min="20" max="20" width="13.625" style="743" customWidth="1"/>
    <col min="21" max="21" width="17.5" style="743" customWidth="1"/>
    <col min="22" max="22" width="12.125" style="743" customWidth="1"/>
    <col min="23" max="23" width="13.875" style="743" customWidth="1"/>
    <col min="24" max="24" width="14.375" style="743" customWidth="1"/>
    <col min="25" max="16384" width="11" style="743"/>
  </cols>
  <sheetData>
    <row r="1" spans="1:24" ht="15" customHeight="1" x14ac:dyDescent="0.25">
      <c r="A1" s="1598"/>
      <c r="B1" s="1598"/>
      <c r="C1" s="1598"/>
      <c r="D1" s="1655" t="s">
        <v>314</v>
      </c>
      <c r="E1" s="1656"/>
      <c r="F1" s="1656"/>
      <c r="G1" s="1656"/>
      <c r="H1" s="1656"/>
      <c r="I1" s="1656"/>
      <c r="J1" s="1656"/>
      <c r="K1" s="1656"/>
      <c r="L1" s="1656"/>
      <c r="M1" s="1656"/>
      <c r="N1" s="1656"/>
      <c r="O1" s="1656"/>
      <c r="P1" s="1656"/>
      <c r="Q1" s="1656"/>
      <c r="R1" s="1656"/>
      <c r="S1" s="1656"/>
      <c r="T1" s="1656"/>
      <c r="U1" s="1656"/>
      <c r="V1" s="1656"/>
      <c r="W1" s="1657"/>
      <c r="X1" s="1600" t="s">
        <v>35</v>
      </c>
    </row>
    <row r="2" spans="1:24" ht="15" customHeight="1" x14ac:dyDescent="0.25">
      <c r="A2" s="1598"/>
      <c r="B2" s="1598"/>
      <c r="C2" s="1598"/>
      <c r="D2" s="1658"/>
      <c r="E2" s="1659"/>
      <c r="F2" s="1659"/>
      <c r="G2" s="1659"/>
      <c r="H2" s="1659"/>
      <c r="I2" s="1659"/>
      <c r="J2" s="1659"/>
      <c r="K2" s="1659"/>
      <c r="L2" s="1659"/>
      <c r="M2" s="1659"/>
      <c r="N2" s="1659"/>
      <c r="O2" s="1659"/>
      <c r="P2" s="1659"/>
      <c r="Q2" s="1659"/>
      <c r="R2" s="1659"/>
      <c r="S2" s="1659"/>
      <c r="T2" s="1659"/>
      <c r="U2" s="1659"/>
      <c r="V2" s="1659"/>
      <c r="W2" s="1660"/>
      <c r="X2" s="1600"/>
    </row>
    <row r="3" spans="1:24" ht="15" customHeight="1" x14ac:dyDescent="0.25">
      <c r="A3" s="1598"/>
      <c r="B3" s="1598"/>
      <c r="C3" s="1598"/>
      <c r="D3" s="1658"/>
      <c r="E3" s="1659"/>
      <c r="F3" s="1659"/>
      <c r="G3" s="1659"/>
      <c r="H3" s="1659"/>
      <c r="I3" s="1659"/>
      <c r="J3" s="1659"/>
      <c r="K3" s="1659"/>
      <c r="L3" s="1659"/>
      <c r="M3" s="1659"/>
      <c r="N3" s="1659"/>
      <c r="O3" s="1659"/>
      <c r="P3" s="1659"/>
      <c r="Q3" s="1659"/>
      <c r="R3" s="1659"/>
      <c r="S3" s="1659"/>
      <c r="T3" s="1659"/>
      <c r="U3" s="1659"/>
      <c r="V3" s="1659"/>
      <c r="W3" s="1660"/>
      <c r="X3" s="1600" t="s">
        <v>56</v>
      </c>
    </row>
    <row r="4" spans="1:24" ht="15.75" customHeight="1" thickBot="1" x14ac:dyDescent="0.3">
      <c r="A4" s="1598"/>
      <c r="B4" s="1598"/>
      <c r="C4" s="1598"/>
      <c r="D4" s="1661"/>
      <c r="E4" s="1662"/>
      <c r="F4" s="1662"/>
      <c r="G4" s="1662"/>
      <c r="H4" s="1662"/>
      <c r="I4" s="1662"/>
      <c r="J4" s="1662"/>
      <c r="K4" s="1662"/>
      <c r="L4" s="1662"/>
      <c r="M4" s="1662"/>
      <c r="N4" s="1662"/>
      <c r="O4" s="1662"/>
      <c r="P4" s="1662"/>
      <c r="Q4" s="1662"/>
      <c r="R4" s="1662"/>
      <c r="S4" s="1662"/>
      <c r="T4" s="1662"/>
      <c r="U4" s="1662"/>
      <c r="V4" s="1662"/>
      <c r="W4" s="1663"/>
      <c r="X4" s="1600"/>
    </row>
    <row r="5" spans="1:24" ht="18.75" customHeight="1" thickBot="1" x14ac:dyDescent="0.3">
      <c r="A5" s="1674" t="s">
        <v>57</v>
      </c>
      <c r="B5" s="1675"/>
      <c r="C5" s="1675"/>
      <c r="D5" s="1675"/>
      <c r="E5" s="1675"/>
      <c r="F5" s="1675"/>
      <c r="G5" s="1675"/>
      <c r="H5" s="1675"/>
      <c r="I5" s="1676"/>
      <c r="J5" s="757"/>
      <c r="K5" s="1677" t="s">
        <v>58</v>
      </c>
      <c r="L5" s="1677"/>
      <c r="M5" s="1677"/>
      <c r="N5" s="1677"/>
      <c r="O5" s="1677"/>
      <c r="P5" s="1678"/>
      <c r="Q5" s="1679" t="s">
        <v>59</v>
      </c>
      <c r="R5" s="1679"/>
      <c r="S5" s="1679"/>
      <c r="T5" s="1679"/>
      <c r="U5" s="1679"/>
      <c r="V5" s="1679"/>
      <c r="W5" s="1679"/>
      <c r="X5" s="1679"/>
    </row>
    <row r="6" spans="1:24" s="763" customFormat="1" ht="51" x14ac:dyDescent="0.2">
      <c r="A6" s="914" t="s">
        <v>44</v>
      </c>
      <c r="B6" s="915" t="s">
        <v>64</v>
      </c>
      <c r="C6" s="915" t="s">
        <v>65</v>
      </c>
      <c r="D6" s="916" t="s">
        <v>66</v>
      </c>
      <c r="E6" s="915" t="s">
        <v>67</v>
      </c>
      <c r="F6" s="915" t="s">
        <v>68</v>
      </c>
      <c r="G6" s="916" t="s">
        <v>69</v>
      </c>
      <c r="H6" s="916" t="s">
        <v>70</v>
      </c>
      <c r="I6" s="915" t="s">
        <v>71</v>
      </c>
      <c r="J6" s="915" t="s">
        <v>72</v>
      </c>
      <c r="K6" s="915" t="s">
        <v>73</v>
      </c>
      <c r="L6" s="915" t="s">
        <v>74</v>
      </c>
      <c r="M6" s="917" t="s">
        <v>75</v>
      </c>
      <c r="N6" s="915" t="s">
        <v>76</v>
      </c>
      <c r="O6" s="915" t="s">
        <v>77</v>
      </c>
      <c r="P6" s="915" t="s">
        <v>78</v>
      </c>
      <c r="Q6" s="915" t="s">
        <v>79</v>
      </c>
      <c r="R6" s="915" t="s">
        <v>80</v>
      </c>
      <c r="S6" s="915" t="s">
        <v>67</v>
      </c>
      <c r="T6" s="915" t="s">
        <v>70</v>
      </c>
      <c r="U6" s="915" t="s">
        <v>81</v>
      </c>
      <c r="V6" s="915" t="s">
        <v>82</v>
      </c>
      <c r="W6" s="915" t="s">
        <v>83</v>
      </c>
      <c r="X6" s="915" t="s">
        <v>84</v>
      </c>
    </row>
    <row r="7" spans="1:24" s="780" customFormat="1" ht="220.5" customHeight="1" x14ac:dyDescent="0.2">
      <c r="A7" s="918">
        <f>'[20]Identificación del Riesgo MC'!D9</f>
        <v>1</v>
      </c>
      <c r="B7" s="848" t="str">
        <f>'[20]Identificación del Riesgo MC'!E9</f>
        <v>Planes de Mejora no eficaces</v>
      </c>
      <c r="C7" s="848" t="str">
        <f>'[20]Identificación del Riesgo MC'!H9</f>
        <v>No se ha estandarizado los lineamientos para establecer y realizar seguimiento a los planes de mejoramiento.
Falta de cultura por parte de los procesos para establecer planes de mejoramiento producto de fuentes de medición y evaluación.
Desconocimiento por parte de algunos servidores públicos sobre la importancia y aplicación de los sistemas de gestión y control.
Desconocimiento por parte de algunos servidores públicos sobre las diferentes metodologías de análisis de causa para el establecimiento de planes de mejoramiento.</v>
      </c>
      <c r="D7" s="819" t="s">
        <v>181</v>
      </c>
      <c r="E7" s="847">
        <f>IF(D7="Selecciona un descriptor de frecuencia."," ",IF(D7="","",VLOOKUP(D7,[20]Datos!$G$8:$J$12,2,FALSE)))</f>
        <v>5</v>
      </c>
      <c r="F7" s="847" t="str">
        <f>IF(D7="Selecciona un descriptor de frecuencia."," ",IF(D7="","",VLOOKUP(D7,[20]Datos!$G$8:$J$12,3,FALSE)))</f>
        <v>Casi Seguro</v>
      </c>
      <c r="G7" s="819" t="s">
        <v>199</v>
      </c>
      <c r="H7" s="847">
        <f>IF(G7="Selecciona un descriptor de impacto."," ",IF(G7="","",VLOOKUP(G7,[20]Datos!$K$8:$L$12,2,FALSE)))</f>
        <v>4</v>
      </c>
      <c r="I7" s="849" t="str">
        <f>IF(D7="Selecciona un descriptor de frecuencia."," ",IF(G7="Selecciona un descriptor de impacto."," ",IF(E7+H7=" ","",IF(E7="","",VLOOKUP(E7,[20]Datos!$U$8:$Z$12,MATCH(H7,[20]Datos!$V$7:$Z$7,0)+1,FALSE)))))</f>
        <v>EXTREMO</v>
      </c>
      <c r="J7" s="818" t="s">
        <v>122</v>
      </c>
      <c r="K7" s="853" t="s">
        <v>1452</v>
      </c>
      <c r="L7" s="707" t="s">
        <v>1453</v>
      </c>
      <c r="M7" s="820">
        <f>[20]Controles!T9</f>
        <v>20</v>
      </c>
      <c r="N7" s="820" t="str">
        <f>[20]Controles!AB9</f>
        <v>SI</v>
      </c>
      <c r="O7" s="547">
        <f>[20]Controles!W9</f>
        <v>0.2</v>
      </c>
      <c r="P7" s="547">
        <f>[20]Controles!X9</f>
        <v>0</v>
      </c>
      <c r="Q7" s="547">
        <f t="shared" ref="Q7:Q15" si="0">SUM(O7:O7)</f>
        <v>0.2</v>
      </c>
      <c r="R7" s="547">
        <f t="shared" ref="R7:R15" si="1">SUM(P7:P7)</f>
        <v>0</v>
      </c>
      <c r="S7" s="850">
        <f>IF(D7="Selecciona un descriptor de frecuencia."," ",IF(ROUNDUP(E7-Q7,0)&lt;0,1,ROUNDUP(E7-Q7,0)))</f>
        <v>5</v>
      </c>
      <c r="T7" s="850">
        <f>IF(G7="Selecciona un descriptor de impacto."," ",IF(ROUNDUP(H7-R7,0)&lt;0,1,ROUNDUP(H7-R7,0)))</f>
        <v>4</v>
      </c>
      <c r="U7" s="547" t="str">
        <f>IF(D7="Selecciona un descriptor de frecuencia."," ",VLOOKUP(S7,[20]Datos!$H$8:$I$12,2,FALSE))</f>
        <v>Casi Seguro</v>
      </c>
      <c r="V7" s="547" t="str">
        <f>IF(G7="Selecciona un descriptor de impacto."," ",VLOOKUP(T7,[20]Datos!$L$8:$M$12,2,FALSE))</f>
        <v>Mayor</v>
      </c>
      <c r="W7" s="849" t="str">
        <f>IF(S7=" "," ",VLOOKUP(S7,[20]Datos!$U$8:$Z$12,MATCH(T7,[20]Datos!$V$7:$Z$7,0)+1,FALSE))</f>
        <v>EXTREMO</v>
      </c>
      <c r="X7" s="819" t="s">
        <v>202</v>
      </c>
    </row>
    <row r="8" spans="1:24" s="799" customFormat="1" ht="149.25" customHeight="1" x14ac:dyDescent="0.2">
      <c r="A8" s="919">
        <f>'[20]Identificación del Riesgo MC'!D10</f>
        <v>2</v>
      </c>
      <c r="B8" s="848" t="str">
        <f>'[20]Identificación del Riesgo MC'!E10</f>
        <v>Establecer sistemas de gestión y control que no sean adecuados, eficaces y convenientes</v>
      </c>
      <c r="C8" s="848" t="str">
        <f>'[20]Identificación del Riesgo MC'!H10</f>
        <v>Las herramientas de autodiagnósticos suministradas por el DAFP en algunos casos no contienen criterios objetivos para determinar el grado de cumplimiento.
Cambios metodológicos en herramientas de gestión de riesgos tomadas para el desarrollo del sistema de gestión.</v>
      </c>
      <c r="D8" s="819" t="s">
        <v>181</v>
      </c>
      <c r="E8" s="847">
        <f>IF(D8="Selecciona un descriptor de frecuencia."," ",IF(D8="","",VLOOKUP(D8,[20]Datos!$G$8:$J$12,2,FALSE)))</f>
        <v>5</v>
      </c>
      <c r="F8" s="847" t="str">
        <f>IF(D8="Selecciona un descriptor de frecuencia."," ",IF(D8="","",VLOOKUP(D8,[20]Datos!$G$8:$J$12,3,FALSE)))</f>
        <v>Casi Seguro</v>
      </c>
      <c r="G8" s="819" t="s">
        <v>199</v>
      </c>
      <c r="H8" s="851">
        <f>IF(G8="","",VLOOKUP(G8,[20]Datos!$K$8:$L$12,2,FALSE))</f>
        <v>4</v>
      </c>
      <c r="I8" s="849" t="str">
        <f>IF(D8="Selecciona un descriptor de frecuencia."," ",IF(G8="Selecciona un descriptor de impacto."," ",IF(E8+H8=" ","",IF(E8="","",VLOOKUP(E8,[20]Datos!$U$8:$Z$12,MATCH(H8,[20]Datos!$V$7:$Z$7,0)+1,FALSE)))))</f>
        <v>EXTREMO</v>
      </c>
      <c r="J8" s="819" t="s">
        <v>263</v>
      </c>
      <c r="K8" s="853" t="s">
        <v>1454</v>
      </c>
      <c r="L8" s="853" t="s">
        <v>1454</v>
      </c>
      <c r="M8" s="820">
        <f>[20]Controles!T10</f>
        <v>0</v>
      </c>
      <c r="N8" s="820" t="str">
        <f>[20]Controles!AB10</f>
        <v>SI</v>
      </c>
      <c r="O8" s="547">
        <f>[20]Controles!W10</f>
        <v>0</v>
      </c>
      <c r="P8" s="547">
        <f>[20]Controles!X10</f>
        <v>0</v>
      </c>
      <c r="Q8" s="852">
        <f t="shared" si="0"/>
        <v>0</v>
      </c>
      <c r="R8" s="852">
        <f t="shared" si="1"/>
        <v>0</v>
      </c>
      <c r="S8" s="850">
        <f t="shared" ref="S8:S15" si="2">IF(D8="Selecciona un descriptor de frecuencia."," ",IF(ROUNDUP(E8-Q8,0)&lt;0,1,ROUNDUP(E8-Q8,0)))</f>
        <v>5</v>
      </c>
      <c r="T8" s="850">
        <f t="shared" ref="T8:T15" si="3">IF(G8="Selecciona un descriptor de impacto."," ",IF(ROUNDUP(H8-R8,0)&lt;0,1,ROUNDUP(H8-R8,0)))</f>
        <v>4</v>
      </c>
      <c r="U8" s="547" t="str">
        <f>IF(D8="Selecciona un descriptor de frecuencia."," ",VLOOKUP(S8,[20]Datos!$H$8:$I$12,2,FALSE))</f>
        <v>Casi Seguro</v>
      </c>
      <c r="V8" s="547" t="str">
        <f>IF(G8="Selecciona un descriptor de impacto."," ",VLOOKUP(T8,[20]Datos!$L$8:$M$12,2,FALSE))</f>
        <v>Mayor</v>
      </c>
      <c r="W8" s="849" t="str">
        <f>IF(S8=" "," ",VLOOKUP(S8,[20]Datos!$U$8:$Z$12,MATCH(T8,[20]Datos!$V$7:$Z$7,0)+1,FALSE))</f>
        <v>EXTREMO</v>
      </c>
      <c r="X8" s="819" t="s">
        <v>202</v>
      </c>
    </row>
    <row r="9" spans="1:24" s="780" customFormat="1" ht="114" customHeight="1" x14ac:dyDescent="0.2">
      <c r="A9" s="919">
        <f>'[20]Identificación del Riesgo MC'!D11</f>
        <v>3</v>
      </c>
      <c r="B9" s="848" t="str">
        <f>'[20]Identificación del Riesgo MC'!E11</f>
        <v>Establecer inadecuadamente el programa de auditoría de calidad.</v>
      </c>
      <c r="C9" s="848" t="str">
        <f>'[20]Identificación del Riesgo MC'!H11</f>
        <v>Las personas que administran el programa  no cuentan con la competencia para establecer estos documentos.
No considerar en el establecimiento del programa de auditoría los requisitos de la norma ISO 9001:2015 en el apartado 9,2</v>
      </c>
      <c r="D9" s="819" t="s">
        <v>181</v>
      </c>
      <c r="E9" s="847">
        <f>IF(D9="Selecciona un descriptor de frecuencia."," ",IF(D9="","",VLOOKUP(D9,[20]Datos!$G$8:$J$12,2,FALSE)))</f>
        <v>5</v>
      </c>
      <c r="F9" s="847" t="str">
        <f>IF(D9="Selecciona un descriptor de frecuencia."," ",IF(D9="","",VLOOKUP(D9,[20]Datos!$G$8:$J$12,3,FALSE)))</f>
        <v>Casi Seguro</v>
      </c>
      <c r="G9" s="819" t="s">
        <v>204</v>
      </c>
      <c r="H9" s="851">
        <f>IF(G9="","",VLOOKUP(G9,[20]Datos!$K$8:$L$12,2,FALSE))</f>
        <v>3</v>
      </c>
      <c r="I9" s="849" t="str">
        <f>IF(D9="Selecciona un descriptor de frecuencia."," ",IF(G9="Selecciona un descriptor de impacto."," ",IF(E9+H9=" ","",IF(E9="","",VLOOKUP(E9,[20]Datos!$U$8:$Z$12,MATCH(H9,[20]Datos!$V$7:$Z$7,0)+1,FALSE)))))</f>
        <v>EXTREMO</v>
      </c>
      <c r="J9" s="819" t="s">
        <v>122</v>
      </c>
      <c r="K9" s="853" t="s">
        <v>1455</v>
      </c>
      <c r="L9" s="853" t="s">
        <v>1456</v>
      </c>
      <c r="M9" s="820">
        <f>[20]Controles!T11</f>
        <v>65</v>
      </c>
      <c r="N9" s="820" t="str">
        <f>[20]Controles!AB11</f>
        <v>SI</v>
      </c>
      <c r="O9" s="547">
        <f>[20]Controles!W11</f>
        <v>0.65</v>
      </c>
      <c r="P9" s="547">
        <f>[20]Controles!X11</f>
        <v>0</v>
      </c>
      <c r="Q9" s="852">
        <f t="shared" si="0"/>
        <v>0.65</v>
      </c>
      <c r="R9" s="852">
        <f t="shared" si="1"/>
        <v>0</v>
      </c>
      <c r="S9" s="850">
        <f t="shared" si="2"/>
        <v>5</v>
      </c>
      <c r="T9" s="850">
        <f t="shared" si="3"/>
        <v>3</v>
      </c>
      <c r="U9" s="547" t="str">
        <f>IF(D9="Selecciona un descriptor de frecuencia."," ",VLOOKUP(S9,[20]Datos!$H$8:$I$12,2,FALSE))</f>
        <v>Casi Seguro</v>
      </c>
      <c r="V9" s="547" t="str">
        <f>IF(G9="Selecciona un descriptor de impacto."," ",VLOOKUP(T9,[20]Datos!$L$8:$M$12,2,FALSE))</f>
        <v>Moderado</v>
      </c>
      <c r="W9" s="849" t="str">
        <f>IF(S9=" "," ",VLOOKUP(S9,[20]Datos!$U$8:$Z$12,MATCH(T9,[20]Datos!$V$7:$Z$7,0)+1,FALSE))</f>
        <v>EXTREMO</v>
      </c>
      <c r="X9" s="819" t="s">
        <v>202</v>
      </c>
    </row>
    <row r="10" spans="1:24" s="780" customFormat="1" ht="62.25" customHeight="1" x14ac:dyDescent="0.2">
      <c r="A10" s="919">
        <f>'[20]Identificación del Riesgo MC'!D12</f>
        <v>4</v>
      </c>
      <c r="B10" s="848" t="str">
        <f>'[20]Identificación del Riesgo MC'!E12</f>
        <v>Incumplimientos en los objetivos de auditorías internas.</v>
      </c>
      <c r="C10" s="848" t="str">
        <f>'[20]Identificación del Riesgo MC'!H12</f>
        <v>Desconocimiento de los servidores públicos sobre la importancia y beneficios de las auditorías internas sobre los procesos.</v>
      </c>
      <c r="D10" s="819" t="s">
        <v>181</v>
      </c>
      <c r="E10" s="847">
        <f>IF(D10="Selecciona un descriptor de frecuencia."," ",IF(D10="","",VLOOKUP(D10,[20]Datos!$G$8:$J$12,2,FALSE)))</f>
        <v>5</v>
      </c>
      <c r="F10" s="847" t="str">
        <f>IF(D10="Selecciona un descriptor de frecuencia."," ",IF(D10="","",VLOOKUP(D10,[20]Datos!$G$8:$J$12,3,FALSE)))</f>
        <v>Casi Seguro</v>
      </c>
      <c r="G10" s="819" t="s">
        <v>204</v>
      </c>
      <c r="H10" s="851">
        <f>IF(G10="","",VLOOKUP(G10,[20]Datos!$K$8:$L$12,2,FALSE))</f>
        <v>3</v>
      </c>
      <c r="I10" s="849" t="str">
        <f>IF(D10="Selecciona un descriptor de frecuencia."," ",IF(G10="Selecciona un descriptor de impacto."," ",IF(E10+H10=" ","",IF(E10="","",VLOOKUP(E10,[20]Datos!$U$8:$Z$12,MATCH(H10,[20]Datos!$V$7:$Z$7,0)+1,FALSE)))))</f>
        <v>EXTREMO</v>
      </c>
      <c r="J10" s="819" t="s">
        <v>122</v>
      </c>
      <c r="K10" s="853" t="s">
        <v>1455</v>
      </c>
      <c r="L10" s="853" t="s">
        <v>1456</v>
      </c>
      <c r="M10" s="820">
        <f>[20]Controles!T12</f>
        <v>65</v>
      </c>
      <c r="N10" s="820" t="str">
        <f>[20]Controles!AB12</f>
        <v>SI</v>
      </c>
      <c r="O10" s="547">
        <f>[20]Controles!W12</f>
        <v>0.65</v>
      </c>
      <c r="P10" s="547">
        <f>[20]Controles!X12</f>
        <v>0</v>
      </c>
      <c r="Q10" s="852">
        <f t="shared" si="0"/>
        <v>0.65</v>
      </c>
      <c r="R10" s="852">
        <f t="shared" si="1"/>
        <v>0</v>
      </c>
      <c r="S10" s="850">
        <f t="shared" si="2"/>
        <v>5</v>
      </c>
      <c r="T10" s="850">
        <f t="shared" si="3"/>
        <v>3</v>
      </c>
      <c r="U10" s="547" t="str">
        <f>IF(D10="Selecciona un descriptor de frecuencia."," ",VLOOKUP(S10,[20]Datos!$H$8:$I$12,2,FALSE))</f>
        <v>Casi Seguro</v>
      </c>
      <c r="V10" s="547" t="str">
        <f>IF(G10="Selecciona un descriptor de impacto."," ",VLOOKUP(T10,[20]Datos!$L$8:$M$12,2,FALSE))</f>
        <v>Moderado</v>
      </c>
      <c r="W10" s="849" t="str">
        <f>IF(S10=" "," ",VLOOKUP(S10,[20]Datos!$U$8:$Z$12,MATCH(T10,[20]Datos!$V$7:$Z$7,0)+1,FALSE))</f>
        <v>EXTREMO</v>
      </c>
      <c r="X10" s="819" t="s">
        <v>202</v>
      </c>
    </row>
    <row r="11" spans="1:24" s="780" customFormat="1" ht="124.5" customHeight="1" x14ac:dyDescent="0.2">
      <c r="A11" s="920">
        <f>'[20]Identificación del Riesgo MC'!D13</f>
        <v>5</v>
      </c>
      <c r="B11" s="848" t="str">
        <f>'[20]Identificación del Riesgo MC'!E13</f>
        <v>Utilización de documentación con información obsoleta o no vigente por parte de los procesos.</v>
      </c>
      <c r="C11" s="848" t="str">
        <f>'[20]Identificación del Riesgo MC'!H13</f>
        <v>Falta de toma de conciencia sobre el control de documentos del sistema de gestión de calidad por parte de los procesos.
El aplicativo para la documentación del Sistema de Gestión de calidad se encuentra desactualizado.</v>
      </c>
      <c r="D11" s="819" t="s">
        <v>181</v>
      </c>
      <c r="E11" s="847">
        <f>IF(D11="Selecciona un descriptor de frecuencia."," ",IF(D11="","",VLOOKUP(D11,[20]Datos!$G$8:$J$12,2,FALSE)))</f>
        <v>5</v>
      </c>
      <c r="F11" s="847" t="str">
        <f>IF(D11="Selecciona un descriptor de frecuencia."," ",IF(D11="","",VLOOKUP(D11,[20]Datos!$G$8:$J$12,3,FALSE)))</f>
        <v>Casi Seguro</v>
      </c>
      <c r="G11" s="819" t="s">
        <v>184</v>
      </c>
      <c r="H11" s="851">
        <f>IF(G11="","",VLOOKUP(G11,[20]Datos!$K$8:$L$12,2,FALSE))</f>
        <v>5</v>
      </c>
      <c r="I11" s="849" t="str">
        <f>IF(D11="Selecciona un descriptor de frecuencia."," ",IF(G11="Selecciona un descriptor de impacto."," ",IF(E11+H11=" ","",IF(E11="","",VLOOKUP(E11,[20]Datos!$U$8:$Z$12,MATCH(H11,[20]Datos!$V$7:$Z$7,0)+1,FALSE)))))</f>
        <v>EXTREMO</v>
      </c>
      <c r="J11" s="819" t="s">
        <v>122</v>
      </c>
      <c r="K11" s="853" t="s">
        <v>1457</v>
      </c>
      <c r="L11" s="707" t="s">
        <v>1458</v>
      </c>
      <c r="M11" s="820">
        <f>[20]Controles!T13</f>
        <v>100</v>
      </c>
      <c r="N11" s="820" t="str">
        <f>[20]Controles!AB13</f>
        <v>SI</v>
      </c>
      <c r="O11" s="547">
        <f>[20]Controles!W13</f>
        <v>1</v>
      </c>
      <c r="P11" s="547">
        <f>[20]Controles!X13</f>
        <v>0</v>
      </c>
      <c r="Q11" s="852">
        <f t="shared" si="0"/>
        <v>1</v>
      </c>
      <c r="R11" s="852">
        <f t="shared" si="1"/>
        <v>0</v>
      </c>
      <c r="S11" s="850">
        <f t="shared" si="2"/>
        <v>4</v>
      </c>
      <c r="T11" s="850">
        <f t="shared" si="3"/>
        <v>5</v>
      </c>
      <c r="U11" s="547" t="str">
        <f>IF(D11="Selecciona un descriptor de frecuencia."," ",VLOOKUP(S11,[20]Datos!$H$8:$I$12,2,FALSE))</f>
        <v>Probable</v>
      </c>
      <c r="V11" s="547" t="str">
        <f>IF(G11="Selecciona un descriptor de impacto."," ",VLOOKUP(T11,[20]Datos!$L$8:$M$12,2,FALSE))</f>
        <v>Catastrófico</v>
      </c>
      <c r="W11" s="849" t="str">
        <f>IF(S11=" "," ",VLOOKUP(S11,[20]Datos!$U$8:$Z$12,MATCH(T11,[20]Datos!$V$7:$Z$7,0)+1,FALSE))</f>
        <v>EXTREMO</v>
      </c>
      <c r="X11" s="819" t="s">
        <v>202</v>
      </c>
    </row>
    <row r="12" spans="1:24" s="780" customFormat="1" ht="168" customHeight="1" x14ac:dyDescent="0.2">
      <c r="A12" s="919">
        <f>'[20]Identificación del Riesgo MC'!D14</f>
        <v>6</v>
      </c>
      <c r="B12" s="848" t="str">
        <f>'[20]Identificación del Riesgo MC'!E14</f>
        <v>Materialización de los riesgos en los procesos.</v>
      </c>
      <c r="C12" s="848" t="str">
        <f>'[20]Identificación del Riesgo MC'!H14</f>
        <v>No se ha estandarizado los lineamientos para establecer y realizar seguimiento a los planes de mejoramiento.
No se han socializado a los procesos el contexto de la organización (DOFA) para su respectiva toma de decisiones.
Desconocimiento de la metodología de administración de riesgos.
Inadecuada identificación de controles para tratar riesgos residuales e ineficacia.</v>
      </c>
      <c r="D12" s="819" t="s">
        <v>181</v>
      </c>
      <c r="E12" s="847">
        <f>IF(D12="Selecciona un descriptor de frecuencia."," ",IF(D12="","",VLOOKUP(D12,[20]Datos!$G$8:$J$12,2,FALSE)))</f>
        <v>5</v>
      </c>
      <c r="F12" s="847" t="str">
        <f>IF(D12="Selecciona un descriptor de frecuencia."," ",IF(D12="","",VLOOKUP(D12,[20]Datos!$G$8:$J$12,3,FALSE)))</f>
        <v>Casi Seguro</v>
      </c>
      <c r="G12" s="819" t="s">
        <v>184</v>
      </c>
      <c r="H12" s="851">
        <f>IF(G12="","",VLOOKUP(G12,[20]Datos!$K$8:$L$12,2,FALSE))</f>
        <v>5</v>
      </c>
      <c r="I12" s="849" t="str">
        <f>IF(D12="Selecciona un descriptor de frecuencia."," ",IF(G12="Selecciona un descriptor de impacto."," ",IF(E12+H12=" ","",IF(E12="","",VLOOKUP(E12,[20]Datos!$U$8:$Z$12,MATCH(H12,[20]Datos!$V$7:$Z$7,0)+1,FALSE)))))</f>
        <v>EXTREMO</v>
      </c>
      <c r="J12" s="819" t="s">
        <v>122</v>
      </c>
      <c r="K12" s="853" t="s">
        <v>1459</v>
      </c>
      <c r="L12" s="707" t="s">
        <v>1460</v>
      </c>
      <c r="M12" s="820">
        <f>[20]Controles!T14</f>
        <v>100</v>
      </c>
      <c r="N12" s="820" t="str">
        <f>[20]Controles!AB14</f>
        <v>SI</v>
      </c>
      <c r="O12" s="547">
        <f>[20]Controles!W14</f>
        <v>1</v>
      </c>
      <c r="P12" s="547">
        <f>[20]Controles!X14</f>
        <v>0</v>
      </c>
      <c r="Q12" s="852">
        <f t="shared" si="0"/>
        <v>1</v>
      </c>
      <c r="R12" s="852">
        <f t="shared" si="1"/>
        <v>0</v>
      </c>
      <c r="S12" s="850">
        <f t="shared" si="2"/>
        <v>4</v>
      </c>
      <c r="T12" s="850">
        <f t="shared" si="3"/>
        <v>5</v>
      </c>
      <c r="U12" s="547" t="str">
        <f>IF(D12="Selecciona un descriptor de frecuencia."," ",VLOOKUP(S12,[20]Datos!$H$8:$I$12,2,FALSE))</f>
        <v>Probable</v>
      </c>
      <c r="V12" s="547" t="str">
        <f>IF(G12="Selecciona un descriptor de impacto."," ",VLOOKUP(T12,[20]Datos!$L$8:$M$12,2,FALSE))</f>
        <v>Catastrófico</v>
      </c>
      <c r="W12" s="849" t="str">
        <f>IF(S12=" "," ",VLOOKUP(S12,[20]Datos!$U$8:$Z$12,MATCH(T12,[20]Datos!$V$7:$Z$7,0)+1,FALSE))</f>
        <v>EXTREMO</v>
      </c>
      <c r="X12" s="819" t="s">
        <v>202</v>
      </c>
    </row>
    <row r="13" spans="1:24" s="780" customFormat="1" ht="94.5" customHeight="1" x14ac:dyDescent="0.2">
      <c r="A13" s="919">
        <f>'[20]Identificación del Riesgo MC'!D15</f>
        <v>7</v>
      </c>
      <c r="B13" s="848" t="str">
        <f>'[20]Identificación del Riesgo MC'!E15</f>
        <v>Los mecanismos de medición, seguimiento y control no son considerados para la toma de decisiones.</v>
      </c>
      <c r="C13" s="848" t="str">
        <f>'[20]Identificación del Riesgo MC'!H15</f>
        <v>Desconocimiento por parte de algunos servidores públicos sobre la importancia y aplicación de los mecanismos de medición, seguimiento y control.</v>
      </c>
      <c r="D13" s="819" t="s">
        <v>181</v>
      </c>
      <c r="E13" s="847">
        <f>IF(D13="Selecciona un descriptor de frecuencia."," ",IF(D13="","",VLOOKUP(D13,[20]Datos!$G$8:$J$12,2,FALSE)))</f>
        <v>5</v>
      </c>
      <c r="F13" s="847" t="str">
        <f>IF(D13="Selecciona un descriptor de frecuencia."," ",IF(D13="","",VLOOKUP(D13,[20]Datos!$G$8:$J$12,3,FALSE)))</f>
        <v>Casi Seguro</v>
      </c>
      <c r="G13" s="819" t="s">
        <v>199</v>
      </c>
      <c r="H13" s="851">
        <f>IF(G13="","",VLOOKUP(G13,[20]Datos!$K$8:$L$12,2,FALSE))</f>
        <v>4</v>
      </c>
      <c r="I13" s="849" t="str">
        <f>IF(D13="Selecciona un descriptor de frecuencia."," ",IF(G13="Selecciona un descriptor de impacto."," ",IF(E13+H13=" ","",IF(E13="","",VLOOKUP(E13,[20]Datos!$U$8:$Z$12,MATCH(H13,[20]Datos!$V$7:$Z$7,0)+1,FALSE)))))</f>
        <v>EXTREMO</v>
      </c>
      <c r="J13" s="819" t="s">
        <v>263</v>
      </c>
      <c r="K13" s="853" t="s">
        <v>1454</v>
      </c>
      <c r="L13" s="853" t="s">
        <v>1454</v>
      </c>
      <c r="M13" s="820">
        <f>[20]Controles!T15</f>
        <v>0</v>
      </c>
      <c r="N13" s="820" t="str">
        <f>[20]Controles!AB15</f>
        <v>SI</v>
      </c>
      <c r="O13" s="547">
        <f>[20]Controles!W15</f>
        <v>0</v>
      </c>
      <c r="P13" s="547">
        <f>[20]Controles!X15</f>
        <v>0</v>
      </c>
      <c r="Q13" s="852">
        <f t="shared" si="0"/>
        <v>0</v>
      </c>
      <c r="R13" s="852">
        <f t="shared" si="1"/>
        <v>0</v>
      </c>
      <c r="S13" s="850">
        <f t="shared" si="2"/>
        <v>5</v>
      </c>
      <c r="T13" s="850">
        <f t="shared" si="3"/>
        <v>4</v>
      </c>
      <c r="U13" s="547" t="str">
        <f>IF(D13="Selecciona un descriptor de frecuencia."," ",VLOOKUP(S13,[20]Datos!$H$8:$I$12,2,FALSE))</f>
        <v>Casi Seguro</v>
      </c>
      <c r="V13" s="547" t="str">
        <f>IF(G13="Selecciona un descriptor de impacto."," ",VLOOKUP(T13,[20]Datos!$L$8:$M$12,2,FALSE))</f>
        <v>Mayor</v>
      </c>
      <c r="W13" s="849" t="str">
        <f>IF(S13=" "," ",VLOOKUP(S13,[20]Datos!$U$8:$Z$12,MATCH(T13,[20]Datos!$V$7:$Z$7,0)+1,FALSE))</f>
        <v>EXTREMO</v>
      </c>
      <c r="X13" s="819" t="s">
        <v>202</v>
      </c>
    </row>
    <row r="14" spans="1:24" s="780" customFormat="1" ht="45.75" customHeight="1" x14ac:dyDescent="0.2">
      <c r="A14" s="919">
        <f>'[20]Identificación del Riesgo MC'!D16</f>
        <v>8</v>
      </c>
      <c r="B14" s="848" t="str">
        <f>'[20]Identificación del Riesgo MC'!E16</f>
        <v>Existencia de conflictos de interéses para llevar a cabo las auditorías.</v>
      </c>
      <c r="C14" s="848" t="str">
        <f>'[20]Identificación del Riesgo MC'!H16</f>
        <v>El procedimiento de auditorías internas no contempla las posibles situaciones de conflictos de intereses.</v>
      </c>
      <c r="D14" s="819" t="s">
        <v>210</v>
      </c>
      <c r="E14" s="847">
        <f>IF(D14="Selecciona un descriptor de frecuencia."," ",IF(D14="","",VLOOKUP(D14,[20]Datos!$G$8:$J$12,2,FALSE)))</f>
        <v>3</v>
      </c>
      <c r="F14" s="847" t="str">
        <f>IF(D14="Selecciona un descriptor de frecuencia."," ",IF(D14="","",VLOOKUP(D14,[20]Datos!$G$8:$J$12,3,FALSE)))</f>
        <v>Posible</v>
      </c>
      <c r="G14" s="819" t="s">
        <v>199</v>
      </c>
      <c r="H14" s="851">
        <f>IF(G14="","",VLOOKUP(G14,[20]Datos!$K$8:$L$12,2,FALSE))</f>
        <v>4</v>
      </c>
      <c r="I14" s="849" t="str">
        <f>IF(D14="Selecciona un descriptor de frecuencia."," ",IF(G14="Selecciona un descriptor de impacto."," ",IF(E14+H14=" ","",IF(E14="","",VLOOKUP(E14,[20]Datos!$U$8:$Z$12,MATCH(H14,[20]Datos!$V$7:$Z$7,0)+1,FALSE)))))</f>
        <v>EXTREMO</v>
      </c>
      <c r="J14" s="819" t="s">
        <v>122</v>
      </c>
      <c r="K14" s="853" t="s">
        <v>1455</v>
      </c>
      <c r="L14" s="853" t="s">
        <v>1456</v>
      </c>
      <c r="M14" s="820">
        <f>[20]Controles!T16</f>
        <v>65</v>
      </c>
      <c r="N14" s="820" t="str">
        <f>[20]Controles!AB16</f>
        <v>SI</v>
      </c>
      <c r="O14" s="547">
        <f>[20]Controles!W16</f>
        <v>0.65</v>
      </c>
      <c r="P14" s="547">
        <f>[20]Controles!X16</f>
        <v>0</v>
      </c>
      <c r="Q14" s="852">
        <f t="shared" si="0"/>
        <v>0.65</v>
      </c>
      <c r="R14" s="852">
        <f t="shared" si="1"/>
        <v>0</v>
      </c>
      <c r="S14" s="850">
        <f t="shared" si="2"/>
        <v>3</v>
      </c>
      <c r="T14" s="850">
        <f t="shared" si="3"/>
        <v>4</v>
      </c>
      <c r="U14" s="547" t="str">
        <f>IF(D14="Selecciona un descriptor de frecuencia."," ",VLOOKUP(S14,[20]Datos!$H$8:$I$12,2,FALSE))</f>
        <v>Posible</v>
      </c>
      <c r="V14" s="547" t="str">
        <f>IF(G14="Selecciona un descriptor de impacto."," ",VLOOKUP(T14,[20]Datos!$L$8:$M$12,2,FALSE))</f>
        <v>Mayor</v>
      </c>
      <c r="W14" s="849" t="str">
        <f>IF(S14=" "," ",VLOOKUP(S14,[20]Datos!$U$8:$Z$12,MATCH(T14,[20]Datos!$V$7:$Z$7,0)+1,FALSE))</f>
        <v>EXTREMO</v>
      </c>
      <c r="X14" s="819" t="s">
        <v>202</v>
      </c>
    </row>
    <row r="15" spans="1:24" s="780" customFormat="1" ht="130.5" customHeight="1" thickBot="1" x14ac:dyDescent="0.25">
      <c r="A15" s="781">
        <f>'[20]Identificación del Riesgo MC'!D17</f>
        <v>9</v>
      </c>
      <c r="B15" s="782" t="str">
        <f>'[20]Identificación del Riesgo MC'!E17</f>
        <v>Manipulación de la información producto de los mecanismos de medición, seguimiento y control.</v>
      </c>
      <c r="C15" s="782" t="str">
        <f>'[20]Identificación del Riesgo MC'!H17</f>
        <v>Falta de claridad sobre la aplicación de las responsabilidades, roles de las líneas de defensa.
Falta de apropiación del sistema de Control Interno.
Los procedimientos de auditorías, administración de riesgos, indicadores y planes de mejoramiento no contemplan explícitamente los roles para su gestión.</v>
      </c>
      <c r="D15" s="783" t="s">
        <v>236</v>
      </c>
      <c r="E15" s="784">
        <f>IF(D15="Selecciona un descriptor de frecuencia."," ",IF(D15="","",VLOOKUP(D15,[20]Datos!$G$8:$J$12,2,FALSE)))</f>
        <v>1</v>
      </c>
      <c r="F15" s="784" t="str">
        <f>IF(D15="Selecciona un descriptor de frecuencia."," ",IF(D15="","",VLOOKUP(D15,[20]Datos!$G$8:$J$12,3,FALSE)))</f>
        <v>Rara vez</v>
      </c>
      <c r="G15" s="783" t="s">
        <v>184</v>
      </c>
      <c r="H15" s="785">
        <f>IF(G15="","",VLOOKUP(G15,[20]Datos!$K$8:$L$12,2,FALSE))</f>
        <v>5</v>
      </c>
      <c r="I15" s="786" t="str">
        <f>IF(D15="Selecciona un descriptor de frecuencia."," ",IF(G15="Selecciona un descriptor de impacto."," ",IF(E15+H15=" ","",IF(E15="","",VLOOKUP(E15,[20]Datos!$U$8:$Z$12,MATCH(H15,[20]Datos!$V$7:$Z$7,0)+1,FALSE)))))</f>
        <v>EXTREMO</v>
      </c>
      <c r="J15" s="783" t="s">
        <v>122</v>
      </c>
      <c r="K15" s="853" t="s">
        <v>1455</v>
      </c>
      <c r="L15" s="853" t="s">
        <v>1461</v>
      </c>
      <c r="M15" s="789">
        <f>[20]Controles!T17</f>
        <v>65</v>
      </c>
      <c r="N15" s="789" t="str">
        <f>[20]Controles!AB17</f>
        <v>SI</v>
      </c>
      <c r="O15" s="790">
        <f>[20]Controles!W17</f>
        <v>0.65</v>
      </c>
      <c r="P15" s="790">
        <f>[20]Controles!X17</f>
        <v>0</v>
      </c>
      <c r="Q15" s="791">
        <f t="shared" si="0"/>
        <v>0.65</v>
      </c>
      <c r="R15" s="791">
        <f t="shared" si="1"/>
        <v>0</v>
      </c>
      <c r="S15" s="792">
        <f t="shared" si="2"/>
        <v>1</v>
      </c>
      <c r="T15" s="792">
        <f t="shared" si="3"/>
        <v>5</v>
      </c>
      <c r="U15" s="790" t="str">
        <f>IF(D15="Selecciona un descriptor de frecuencia."," ",VLOOKUP(S15,[20]Datos!$H$8:$I$12,2,FALSE))</f>
        <v>Rara vez</v>
      </c>
      <c r="V15" s="790" t="str">
        <f>IF(G15="Selecciona un descriptor de impacto."," ",VLOOKUP(T15,[20]Datos!$L$8:$M$12,2,FALSE))</f>
        <v>Catastrófico</v>
      </c>
      <c r="W15" s="786" t="str">
        <f>IF(S15=" "," ",VLOOKUP(S15,[20]Datos!$U$8:$Z$12,MATCH(T15,[20]Datos!$V$7:$Z$7,0)+1,FALSE))</f>
        <v>EXTREMO</v>
      </c>
      <c r="X15" s="819" t="s">
        <v>202</v>
      </c>
    </row>
  </sheetData>
  <mergeCells count="7">
    <mergeCell ref="A1:C4"/>
    <mergeCell ref="D1:W4"/>
    <mergeCell ref="X1:X2"/>
    <mergeCell ref="X3:X4"/>
    <mergeCell ref="A5:I5"/>
    <mergeCell ref="K5:P5"/>
    <mergeCell ref="Q5:X5"/>
  </mergeCells>
  <conditionalFormatting sqref="I7:J15 W7:X15">
    <cfRule type="cellIs" dxfId="3" priority="1" operator="equal">
      <formula>"Extremo"</formula>
    </cfRule>
    <cfRule type="cellIs" dxfId="2" priority="2" operator="equal">
      <formula>"Moderado"</formula>
    </cfRule>
    <cfRule type="cellIs" dxfId="1" priority="3" operator="equal">
      <formula>"Bajo"</formula>
    </cfRule>
    <cfRule type="cellIs" dxfId="0" priority="4" operator="equal">
      <formula>"Alto"</formula>
    </cfRule>
  </conditionalFormatting>
  <dataValidations count="1">
    <dataValidation type="list" allowBlank="1" showInputMessage="1" showErrorMessage="1" sqref="J7:J15" xr:uid="{00000000-0002-0000-7C00-000000000000}">
      <formula1>"SI,NO"</formula1>
    </dataValidation>
  </dataValidations>
  <pageMargins left="7.874015748031496E-2" right="7.874015748031496E-2" top="1.1417322834645669" bottom="0.15748031496062992" header="0.31496062992125984" footer="0.31496062992125984"/>
  <pageSetup scale="38" orientation="landscape" horizontalDpi="1200" verticalDpi="1200" r:id="rId1"/>
  <headerFooter>
    <oddHeader>&amp;L&amp;G&amp;C
&amp;"-,Negrita"Matriz de Riesgos</oddHeader>
  </headerFooter>
  <rowBreaks count="4" manualBreakCount="4">
    <brk id="8" max="16383" man="1"/>
    <brk id="10" max="16383" man="1"/>
    <brk id="12" max="16383" man="1"/>
    <brk id="14" max="16383" man="1"/>
  </rowBreaks>
  <colBreaks count="1" manualBreakCount="1">
    <brk id="16" max="1048575" man="1"/>
  </col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7C00-000001000000}">
          <x14:formula1>
            <xm:f>'C:\Users\sgomez.UPME\Documents\UPME 2020\Documents\Mapas de riesgos\[Mapa de riesgos. Mejora Continua.xlsx]Datos'!#REF!</xm:f>
          </x14:formula1>
          <xm:sqref>G7:G15 X7:X15 D7:D15</xm:sqref>
        </x14:dataValidation>
      </x14:dataValidations>
    </ext>
  </extLst>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AD18"/>
  <sheetViews>
    <sheetView topLeftCell="O1" zoomScale="70" zoomScaleNormal="70" zoomScaleSheetLayoutView="160" workbookViewId="0">
      <selection activeCell="O9" sqref="O9"/>
    </sheetView>
  </sheetViews>
  <sheetFormatPr baseColWidth="10" defaultColWidth="10" defaultRowHeight="12.75" x14ac:dyDescent="0.2"/>
  <cols>
    <col min="1" max="1" width="6.625" style="811" customWidth="1"/>
    <col min="2" max="2" width="26.75" style="811" customWidth="1"/>
    <col min="3" max="3" width="65.75" style="811" customWidth="1"/>
    <col min="4" max="4" width="22" style="763" customWidth="1"/>
    <col min="5" max="5" width="38" style="763" customWidth="1"/>
    <col min="6" max="10" width="21.75" style="811" customWidth="1"/>
    <col min="11" max="11" width="33.875" style="811" customWidth="1"/>
    <col min="12" max="12" width="21.75" style="811" customWidth="1"/>
    <col min="13" max="17" width="19.25" style="825" customWidth="1"/>
    <col min="18" max="18" width="22.625" style="825" customWidth="1"/>
    <col min="19" max="19" width="19.25" style="825" customWidth="1"/>
    <col min="20" max="20" width="8" style="825" customWidth="1"/>
    <col min="21" max="22" width="18.125" style="825" customWidth="1"/>
    <col min="23" max="23" width="17.75" style="825" customWidth="1"/>
    <col min="24" max="24" width="16.25" style="825" customWidth="1"/>
    <col min="25" max="25" width="15.25" style="825" customWidth="1"/>
    <col min="26" max="26" width="18.875" style="825" customWidth="1"/>
    <col min="27" max="27" width="15.625" style="825" customWidth="1"/>
    <col min="28" max="28" width="23.125" style="825" customWidth="1"/>
    <col min="29" max="29" width="22.25" style="826" customWidth="1"/>
    <col min="30" max="30" width="26.5" style="826" customWidth="1"/>
    <col min="31" max="16384" width="10" style="811"/>
  </cols>
  <sheetData>
    <row r="1" spans="1:30" ht="15.75" customHeight="1" x14ac:dyDescent="0.2">
      <c r="A1" s="1630"/>
      <c r="B1" s="1630"/>
      <c r="C1" s="1630"/>
      <c r="D1" s="1631" t="s">
        <v>0</v>
      </c>
      <c r="E1" s="1631"/>
      <c r="F1" s="1631"/>
      <c r="G1" s="1631"/>
      <c r="H1" s="1631"/>
      <c r="I1" s="1631"/>
      <c r="J1" s="1631"/>
      <c r="K1" s="1631"/>
      <c r="L1" s="1631"/>
      <c r="M1" s="1631"/>
      <c r="N1" s="1631"/>
      <c r="O1" s="1631"/>
      <c r="P1" s="1631"/>
      <c r="Q1" s="1631"/>
      <c r="R1" s="1631"/>
      <c r="S1" s="1631"/>
      <c r="T1" s="1631"/>
      <c r="U1" s="1631"/>
      <c r="V1" s="1631"/>
      <c r="W1" s="1631"/>
      <c r="X1" s="1631"/>
      <c r="Y1" s="1631"/>
      <c r="Z1" s="1631"/>
      <c r="AA1" s="1631"/>
      <c r="AB1" s="1631"/>
      <c r="AC1" s="1632" t="s">
        <v>128</v>
      </c>
      <c r="AD1" s="1632"/>
    </row>
    <row r="2" spans="1:30" ht="15.75" customHeight="1" x14ac:dyDescent="0.2">
      <c r="A2" s="1630"/>
      <c r="B2" s="1630"/>
      <c r="C2" s="1630"/>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2"/>
      <c r="AD2" s="1632"/>
    </row>
    <row r="3" spans="1:30" ht="15.75" customHeight="1" x14ac:dyDescent="0.2">
      <c r="A3" s="1630"/>
      <c r="B3" s="1630"/>
      <c r="C3" s="1630"/>
      <c r="D3" s="1631"/>
      <c r="E3" s="1631"/>
      <c r="F3" s="1631"/>
      <c r="G3" s="1631"/>
      <c r="H3" s="1631"/>
      <c r="I3" s="1631"/>
      <c r="J3" s="1631"/>
      <c r="K3" s="1631"/>
      <c r="L3" s="1631"/>
      <c r="M3" s="1631"/>
      <c r="N3" s="1631"/>
      <c r="O3" s="1631"/>
      <c r="P3" s="1631"/>
      <c r="Q3" s="1631"/>
      <c r="R3" s="1631"/>
      <c r="S3" s="1631"/>
      <c r="T3" s="1631"/>
      <c r="U3" s="1631"/>
      <c r="V3" s="1631"/>
      <c r="W3" s="1631"/>
      <c r="X3" s="1631"/>
      <c r="Y3" s="1631"/>
      <c r="Z3" s="1631"/>
      <c r="AA3" s="1631"/>
      <c r="AB3" s="1631"/>
      <c r="AC3" s="1632" t="s">
        <v>2</v>
      </c>
      <c r="AD3" s="1632"/>
    </row>
    <row r="4" spans="1:30" ht="15.75" customHeight="1" x14ac:dyDescent="0.2">
      <c r="A4" s="1630"/>
      <c r="B4" s="1630"/>
      <c r="C4" s="1630"/>
      <c r="D4" s="1631"/>
      <c r="E4" s="1631"/>
      <c r="F4" s="1631"/>
      <c r="G4" s="1631"/>
      <c r="H4" s="1631"/>
      <c r="I4" s="1631"/>
      <c r="J4" s="1631"/>
      <c r="K4" s="1631"/>
      <c r="L4" s="1631"/>
      <c r="M4" s="1631"/>
      <c r="N4" s="1631"/>
      <c r="O4" s="1631"/>
      <c r="P4" s="1631"/>
      <c r="Q4" s="1631"/>
      <c r="R4" s="1631"/>
      <c r="S4" s="1631"/>
      <c r="T4" s="1631"/>
      <c r="U4" s="1631"/>
      <c r="V4" s="1631"/>
      <c r="W4" s="1631"/>
      <c r="X4" s="1631"/>
      <c r="Y4" s="1631"/>
      <c r="Z4" s="1631"/>
      <c r="AA4" s="1631"/>
      <c r="AB4" s="1631"/>
      <c r="AC4" s="1632"/>
      <c r="AD4" s="1632"/>
    </row>
    <row r="5" spans="1:30" ht="15.75" customHeight="1" x14ac:dyDescent="0.2">
      <c r="A5" s="1585" t="s">
        <v>36</v>
      </c>
      <c r="B5" s="1586"/>
      <c r="C5" s="1587"/>
      <c r="D5" s="1633" t="s">
        <v>1462</v>
      </c>
      <c r="E5" s="1634"/>
      <c r="F5" s="1634"/>
      <c r="G5" s="1634"/>
      <c r="H5" s="1634"/>
      <c r="I5" s="1634"/>
      <c r="J5" s="1634"/>
      <c r="K5" s="1634"/>
      <c r="L5" s="1634"/>
      <c r="M5" s="1634"/>
      <c r="N5" s="1634"/>
      <c r="O5" s="1634"/>
      <c r="P5" s="1634"/>
      <c r="Q5" s="1634"/>
      <c r="R5" s="1634"/>
      <c r="S5" s="1634"/>
      <c r="T5" s="1634"/>
      <c r="U5" s="1634"/>
      <c r="V5" s="1634"/>
      <c r="W5" s="1634"/>
      <c r="X5" s="1634"/>
      <c r="Y5" s="1634"/>
      <c r="Z5" s="1634"/>
      <c r="AA5" s="1634"/>
      <c r="AB5" s="1634"/>
      <c r="AC5" s="1634"/>
      <c r="AD5" s="1634"/>
    </row>
    <row r="6" spans="1:30" ht="27.75" customHeight="1" thickBot="1" x14ac:dyDescent="0.25">
      <c r="A6" s="1585" t="s">
        <v>37</v>
      </c>
      <c r="B6" s="1586"/>
      <c r="C6" s="1587"/>
      <c r="D6" s="1633" t="s">
        <v>1463</v>
      </c>
      <c r="E6" s="1634"/>
      <c r="F6" s="1634"/>
      <c r="G6" s="1634"/>
      <c r="H6" s="1634"/>
      <c r="I6" s="1634"/>
      <c r="J6" s="1634"/>
      <c r="K6" s="1634"/>
      <c r="L6" s="1634"/>
      <c r="M6" s="1634"/>
      <c r="N6" s="1634"/>
      <c r="O6" s="1634"/>
      <c r="P6" s="1634"/>
      <c r="Q6" s="1634"/>
      <c r="R6" s="1634"/>
      <c r="S6" s="1634"/>
      <c r="T6" s="1634"/>
      <c r="U6" s="1634"/>
      <c r="V6" s="1634"/>
      <c r="W6" s="1634"/>
      <c r="X6" s="1634"/>
      <c r="Y6" s="1634"/>
      <c r="Z6" s="1634"/>
      <c r="AA6" s="1634"/>
      <c r="AB6" s="1634"/>
      <c r="AC6" s="1634"/>
      <c r="AD6" s="1634"/>
    </row>
    <row r="7" spans="1:30" ht="15" customHeight="1" x14ac:dyDescent="0.2">
      <c r="A7" s="1635" t="s">
        <v>129</v>
      </c>
      <c r="B7" s="1636"/>
      <c r="C7" s="1636"/>
      <c r="D7" s="1636"/>
      <c r="E7" s="1636"/>
      <c r="F7" s="1636"/>
      <c r="G7" s="1636"/>
      <c r="H7" s="1636"/>
      <c r="I7" s="1636"/>
      <c r="J7" s="1636"/>
      <c r="K7" s="1636"/>
      <c r="L7" s="1636"/>
      <c r="M7" s="1636" t="s">
        <v>75</v>
      </c>
      <c r="N7" s="1636"/>
      <c r="O7" s="1636"/>
      <c r="P7" s="1636"/>
      <c r="Q7" s="1636"/>
      <c r="R7" s="1636"/>
      <c r="S7" s="1636"/>
      <c r="T7" s="1636"/>
      <c r="U7" s="1636"/>
      <c r="V7" s="1636"/>
      <c r="W7" s="1636"/>
      <c r="X7" s="1636"/>
      <c r="Y7" s="1636"/>
      <c r="Z7" s="1637" t="s">
        <v>130</v>
      </c>
      <c r="AA7" s="1637"/>
      <c r="AB7" s="1637"/>
      <c r="AC7" s="1638" t="s">
        <v>131</v>
      </c>
      <c r="AD7" s="1639"/>
    </row>
    <row r="8" spans="1:30" ht="51" x14ac:dyDescent="0.2">
      <c r="A8" s="812" t="s">
        <v>44</v>
      </c>
      <c r="B8" s="813" t="s">
        <v>64</v>
      </c>
      <c r="C8" s="813" t="s">
        <v>132</v>
      </c>
      <c r="D8" s="813" t="s">
        <v>73</v>
      </c>
      <c r="E8" s="813" t="s">
        <v>133</v>
      </c>
      <c r="F8" s="813" t="s">
        <v>134</v>
      </c>
      <c r="G8" s="813" t="s">
        <v>135</v>
      </c>
      <c r="H8" s="813" t="s">
        <v>136</v>
      </c>
      <c r="I8" s="813" t="s">
        <v>137</v>
      </c>
      <c r="J8" s="813" t="s">
        <v>138</v>
      </c>
      <c r="K8" s="813" t="s">
        <v>139</v>
      </c>
      <c r="L8" s="813" t="s">
        <v>140</v>
      </c>
      <c r="M8" s="813" t="s">
        <v>134</v>
      </c>
      <c r="N8" s="813" t="s">
        <v>135</v>
      </c>
      <c r="O8" s="813" t="s">
        <v>141</v>
      </c>
      <c r="P8" s="813" t="s">
        <v>137</v>
      </c>
      <c r="Q8" s="813" t="s">
        <v>138</v>
      </c>
      <c r="R8" s="813" t="s">
        <v>139</v>
      </c>
      <c r="S8" s="813" t="s">
        <v>140</v>
      </c>
      <c r="T8" s="814" t="s">
        <v>121</v>
      </c>
      <c r="U8" s="813" t="s">
        <v>142</v>
      </c>
      <c r="V8" s="813" t="s">
        <v>143</v>
      </c>
      <c r="W8" s="813" t="s">
        <v>142</v>
      </c>
      <c r="X8" s="813" t="s">
        <v>143</v>
      </c>
      <c r="Y8" s="813" t="s">
        <v>144</v>
      </c>
      <c r="Z8" s="813" t="s">
        <v>145</v>
      </c>
      <c r="AA8" s="813" t="s">
        <v>146</v>
      </c>
      <c r="AB8" s="813" t="s">
        <v>76</v>
      </c>
      <c r="AC8" s="813" t="s">
        <v>147</v>
      </c>
      <c r="AD8" s="815" t="s">
        <v>148</v>
      </c>
    </row>
    <row r="9" spans="1:30" s="780" customFormat="1" ht="111.75" customHeight="1" x14ac:dyDescent="0.2">
      <c r="A9" s="816">
        <f>'[20]Identificación del Riesgo MC'!D9</f>
        <v>1</v>
      </c>
      <c r="B9" s="654" t="str">
        <f>'[20]Identificación del Riesgo MC'!E9</f>
        <v>Planes de Mejora no eficaces</v>
      </c>
      <c r="C9" s="817" t="str">
        <f>'[20]Identificación del Riesgo MC'!H9</f>
        <v>No se ha estandarizado los lineamientos para establecer y realizar seguimiento a los planes de mejoramiento.
Falta de cultura por parte de los procesos para establecer planes de mejoramiento producto de fuentes de medición y evaluación.
Desconocimiento por parte de algunos servidores públicos sobre la importancia y aplicación de los sistemas de gestión y control.
Desconocimiento por parte de algunos servidores públicos sobre las diferentes metodologías de análisis de causa para el establecimiento de planes de mejoramiento.</v>
      </c>
      <c r="D9" s="654" t="str">
        <f>'[20]Analisis Riesgo'!K7</f>
        <v>Formato de plan de mejoramiento.</v>
      </c>
      <c r="E9" s="654" t="str">
        <f>'[20]Analisis Riesgo'!L7</f>
        <v>Se establece para planificar y hacer seguimiento a las acciones que surjan de incumplimiento de los estandares y controles. Sin embargo el documento actual es del proceso de Monitoreo y Control y no cumple las directrices de ISO 9001:2015 en su apartado 10,2</v>
      </c>
      <c r="F9" s="818" t="s">
        <v>833</v>
      </c>
      <c r="G9" s="818" t="s">
        <v>834</v>
      </c>
      <c r="H9" s="818" t="s">
        <v>867</v>
      </c>
      <c r="I9" s="818" t="s">
        <v>301</v>
      </c>
      <c r="J9" s="818" t="s">
        <v>869</v>
      </c>
      <c r="K9" s="819" t="s">
        <v>303</v>
      </c>
      <c r="L9" s="818" t="s">
        <v>713</v>
      </c>
      <c r="M9" s="820">
        <f>IF(F9="Asignado", 15,0)</f>
        <v>0</v>
      </c>
      <c r="N9" s="820">
        <f>IF(G9="Adecuado",15,0)</f>
        <v>0</v>
      </c>
      <c r="O9" s="820">
        <f t="shared" ref="O9:O17" si="0">IF(H9="Oportuna",15,0)</f>
        <v>0</v>
      </c>
      <c r="P9" s="820">
        <f t="shared" ref="P9:P17" si="1">IF(I9="Prevenir",15,IF(I9="Detectar",10,0))</f>
        <v>15</v>
      </c>
      <c r="Q9" s="820">
        <f t="shared" ref="Q9:Q17" si="2">IF(J9="Confiable", 15,0)</f>
        <v>0</v>
      </c>
      <c r="R9" s="820">
        <f t="shared" ref="R9:R17" si="3">IF(K9="Se invesigan y resuelven oportunamente",15,0)</f>
        <v>0</v>
      </c>
      <c r="S9" s="820">
        <f t="shared" ref="S9:S17" si="4">IF(L9="Completa",10,IF(L9="Incompleta",5,0))</f>
        <v>5</v>
      </c>
      <c r="T9" s="820">
        <f t="shared" ref="T9:T17" si="5">SUM(M9:S9)</f>
        <v>20</v>
      </c>
      <c r="U9" s="818" t="s">
        <v>122</v>
      </c>
      <c r="V9" s="818" t="s">
        <v>263</v>
      </c>
      <c r="W9" s="820">
        <f>IF(U9="SI",1,0)*T9/100</f>
        <v>0.2</v>
      </c>
      <c r="X9" s="820">
        <f t="shared" ref="X9:X17" si="6">IF(V9="SI",1,0)*T9/100</f>
        <v>0</v>
      </c>
      <c r="Y9" s="820" t="str">
        <f t="shared" ref="Y9:Y17" si="7">IF(W9&gt;=0.96,"Fuerte",IF(W9&gt;=0.86,"Moderado","Debil"))</f>
        <v>Debil</v>
      </c>
      <c r="Z9" s="818" t="s">
        <v>305</v>
      </c>
      <c r="AA9" s="820" t="str">
        <f t="shared" ref="AA9:AA17" si="8">IF(Z9="Siempre se ejecuta","Fuerte",IF(Z9="Algunas veces se ejecuta","Moderado","Debil"))</f>
        <v>Fuerte</v>
      </c>
      <c r="AB9" s="820" t="str">
        <f>IF(Y9="Fuerte",IF(AA9="Fuerte","No","SI"),"SI")</f>
        <v>SI</v>
      </c>
      <c r="AC9" s="821"/>
      <c r="AD9" s="822"/>
    </row>
    <row r="10" spans="1:30" s="780" customFormat="1" ht="120.75" customHeight="1" x14ac:dyDescent="0.2">
      <c r="A10" s="816">
        <f>'[20]Identificación del Riesgo MC'!D10</f>
        <v>2</v>
      </c>
      <c r="B10" s="654" t="str">
        <f>'[20]Identificación del Riesgo MC'!E10</f>
        <v>Establecer sistemas de gestión y control que no sean adecuados, eficaces y convenientes</v>
      </c>
      <c r="C10" s="823" t="str">
        <f>'[20]Identificación del Riesgo MC'!H10</f>
        <v>Las herramientas de autodiagnósticos suministradas por el DAFP en algunos casos no contienen criterios objetivos para determinar el grado de cumplimiento.
Cambios metodológicos en herramientas de gestión de riesgos tomadas para el desarrollo del sistema de gestión.</v>
      </c>
      <c r="D10" s="654" t="str">
        <f>'[20]Analisis Riesgo'!K8</f>
        <v>No se identifican controles existentes.</v>
      </c>
      <c r="E10" s="654" t="str">
        <f>'[20]Analisis Riesgo'!L8</f>
        <v>No se identifican controles existentes.</v>
      </c>
      <c r="F10" s="818" t="s">
        <v>833</v>
      </c>
      <c r="G10" s="818" t="s">
        <v>834</v>
      </c>
      <c r="H10" s="818" t="s">
        <v>867</v>
      </c>
      <c r="I10" s="818" t="s">
        <v>868</v>
      </c>
      <c r="J10" s="818" t="s">
        <v>869</v>
      </c>
      <c r="K10" s="819" t="s">
        <v>870</v>
      </c>
      <c r="L10" s="818" t="s">
        <v>871</v>
      </c>
      <c r="M10" s="820">
        <f t="shared" ref="M10:M17" si="9">IF(F10="Asignado", 15,0)</f>
        <v>0</v>
      </c>
      <c r="N10" s="820">
        <f t="shared" ref="N10:N17" si="10">IF(G10="Adecuado",15,0)</f>
        <v>0</v>
      </c>
      <c r="O10" s="820">
        <f t="shared" si="0"/>
        <v>0</v>
      </c>
      <c r="P10" s="820">
        <f t="shared" si="1"/>
        <v>0</v>
      </c>
      <c r="Q10" s="820">
        <f t="shared" si="2"/>
        <v>0</v>
      </c>
      <c r="R10" s="820">
        <f t="shared" si="3"/>
        <v>0</v>
      </c>
      <c r="S10" s="820">
        <f t="shared" si="4"/>
        <v>0</v>
      </c>
      <c r="T10" s="820">
        <f t="shared" si="5"/>
        <v>0</v>
      </c>
      <c r="U10" s="818" t="s">
        <v>263</v>
      </c>
      <c r="V10" s="818" t="s">
        <v>263</v>
      </c>
      <c r="W10" s="820">
        <f t="shared" ref="W10:W17" si="11">IF(U10="SI",1,0)*T10/100</f>
        <v>0</v>
      </c>
      <c r="X10" s="820">
        <f t="shared" si="6"/>
        <v>0</v>
      </c>
      <c r="Y10" s="820" t="str">
        <f t="shared" si="7"/>
        <v>Debil</v>
      </c>
      <c r="Z10" s="818" t="s">
        <v>872</v>
      </c>
      <c r="AA10" s="820" t="str">
        <f t="shared" si="8"/>
        <v>Debil</v>
      </c>
      <c r="AB10" s="820" t="str">
        <f t="shared" ref="AB10:AB17" si="12">IF(Y10="Fuerte",IF(AA10="Fuerte","No","SI"),"SI")</f>
        <v>SI</v>
      </c>
      <c r="AC10" s="824"/>
      <c r="AD10" s="822"/>
    </row>
    <row r="11" spans="1:30" s="780" customFormat="1" ht="120.75" customHeight="1" x14ac:dyDescent="0.2">
      <c r="A11" s="816">
        <f>'[20]Identificación del Riesgo MC'!D11</f>
        <v>3</v>
      </c>
      <c r="B11" s="654" t="str">
        <f>'[20]Identificación del Riesgo MC'!E11</f>
        <v>Establecer inadecuadamente el programa de auditoría de calidad.</v>
      </c>
      <c r="C11" s="823" t="str">
        <f>'[20]Identificación del Riesgo MC'!H11</f>
        <v>Las personas que administran el programa  no cuentan con la competencia para establecer estos documentos.
No considerar en el establecimiento del programa de auditoría los requisitos de la norma ISO 9001:2015 en el apartado 9,2</v>
      </c>
      <c r="D11" s="654" t="str">
        <f>'[20]Analisis Riesgo'!K9</f>
        <v>Procedimiento de auditorías codigo P-CI-02</v>
      </c>
      <c r="E11" s="654" t="str">
        <f>'[20]Analisis Riesgo'!L9</f>
        <v>EL procedimiento contiene las directrices para establecer y desarrollar un programa de auditoría en función de unos objetivos de auditoría</v>
      </c>
      <c r="F11" s="818" t="s">
        <v>296</v>
      </c>
      <c r="G11" s="818" t="s">
        <v>299</v>
      </c>
      <c r="H11" s="818" t="s">
        <v>867</v>
      </c>
      <c r="I11" s="818" t="s">
        <v>301</v>
      </c>
      <c r="J11" s="818" t="s">
        <v>869</v>
      </c>
      <c r="K11" s="819" t="s">
        <v>368</v>
      </c>
      <c r="L11" s="818" t="s">
        <v>713</v>
      </c>
      <c r="M11" s="820">
        <f t="shared" si="9"/>
        <v>15</v>
      </c>
      <c r="N11" s="820">
        <f t="shared" si="10"/>
        <v>15</v>
      </c>
      <c r="O11" s="820">
        <f t="shared" si="0"/>
        <v>0</v>
      </c>
      <c r="P11" s="820">
        <f t="shared" si="1"/>
        <v>15</v>
      </c>
      <c r="Q11" s="820">
        <f t="shared" si="2"/>
        <v>0</v>
      </c>
      <c r="R11" s="820">
        <f t="shared" si="3"/>
        <v>15</v>
      </c>
      <c r="S11" s="820">
        <f t="shared" si="4"/>
        <v>5</v>
      </c>
      <c r="T11" s="820">
        <f t="shared" si="5"/>
        <v>65</v>
      </c>
      <c r="U11" s="818" t="s">
        <v>122</v>
      </c>
      <c r="V11" s="818" t="s">
        <v>263</v>
      </c>
      <c r="W11" s="820">
        <f t="shared" si="11"/>
        <v>0.65</v>
      </c>
      <c r="X11" s="820">
        <f t="shared" si="6"/>
        <v>0</v>
      </c>
      <c r="Y11" s="820" t="str">
        <f t="shared" si="7"/>
        <v>Debil</v>
      </c>
      <c r="Z11" s="818" t="s">
        <v>1368</v>
      </c>
      <c r="AA11" s="820" t="str">
        <f t="shared" si="8"/>
        <v>Moderado</v>
      </c>
      <c r="AB11" s="820" t="str">
        <f t="shared" si="12"/>
        <v>SI</v>
      </c>
      <c r="AC11" s="854"/>
      <c r="AD11" s="822"/>
    </row>
    <row r="12" spans="1:30" s="780" customFormat="1" ht="120.75" customHeight="1" x14ac:dyDescent="0.2">
      <c r="A12" s="816">
        <f>'[20]Identificación del Riesgo MC'!D12</f>
        <v>4</v>
      </c>
      <c r="B12" s="654" t="str">
        <f>'[20]Identificación del Riesgo MC'!E12</f>
        <v>Incumplimientos en los objetivos de auditorías internas.</v>
      </c>
      <c r="C12" s="823" t="str">
        <f>'[20]Identificación del Riesgo MC'!H12</f>
        <v>Desconocimiento de los servidores públicos sobre la importancia y beneficios de las auditorías internas sobre los procesos.</v>
      </c>
      <c r="D12" s="654" t="str">
        <f>'[20]Analisis Riesgo'!K10</f>
        <v>Procedimiento de auditorías codigo P-CI-02</v>
      </c>
      <c r="E12" s="654" t="str">
        <f>'[20]Analisis Riesgo'!L10</f>
        <v>EL procedimiento contiene las directrices para establecer y desarrollar un programa de auditoría en función de unos objetivos de auditoría</v>
      </c>
      <c r="F12" s="818" t="s">
        <v>296</v>
      </c>
      <c r="G12" s="818" t="s">
        <v>299</v>
      </c>
      <c r="H12" s="818" t="s">
        <v>867</v>
      </c>
      <c r="I12" s="818" t="s">
        <v>301</v>
      </c>
      <c r="J12" s="818" t="s">
        <v>869</v>
      </c>
      <c r="K12" s="819" t="s">
        <v>368</v>
      </c>
      <c r="L12" s="818" t="s">
        <v>713</v>
      </c>
      <c r="M12" s="820">
        <f t="shared" si="9"/>
        <v>15</v>
      </c>
      <c r="N12" s="820">
        <f t="shared" si="10"/>
        <v>15</v>
      </c>
      <c r="O12" s="820">
        <f t="shared" si="0"/>
        <v>0</v>
      </c>
      <c r="P12" s="820">
        <f t="shared" si="1"/>
        <v>15</v>
      </c>
      <c r="Q12" s="820">
        <f t="shared" si="2"/>
        <v>0</v>
      </c>
      <c r="R12" s="820">
        <f t="shared" si="3"/>
        <v>15</v>
      </c>
      <c r="S12" s="820">
        <f t="shared" si="4"/>
        <v>5</v>
      </c>
      <c r="T12" s="820">
        <f t="shared" si="5"/>
        <v>65</v>
      </c>
      <c r="U12" s="818" t="s">
        <v>122</v>
      </c>
      <c r="V12" s="818" t="s">
        <v>263</v>
      </c>
      <c r="W12" s="820">
        <f t="shared" si="11"/>
        <v>0.65</v>
      </c>
      <c r="X12" s="820">
        <f t="shared" si="6"/>
        <v>0</v>
      </c>
      <c r="Y12" s="820" t="str">
        <f t="shared" si="7"/>
        <v>Debil</v>
      </c>
      <c r="Z12" s="818" t="s">
        <v>1368</v>
      </c>
      <c r="AA12" s="820" t="str">
        <f t="shared" si="8"/>
        <v>Moderado</v>
      </c>
      <c r="AB12" s="820" t="str">
        <f t="shared" si="12"/>
        <v>SI</v>
      </c>
      <c r="AC12" s="897"/>
      <c r="AD12" s="822"/>
    </row>
    <row r="13" spans="1:30" s="780" customFormat="1" ht="120.75" customHeight="1" x14ac:dyDescent="0.2">
      <c r="A13" s="816">
        <f>'[20]Identificación del Riesgo MC'!D13</f>
        <v>5</v>
      </c>
      <c r="B13" s="654" t="str">
        <f>'[20]Identificación del Riesgo MC'!E13</f>
        <v>Utilización de documentación con información obsoleta o no vigente por parte de los procesos.</v>
      </c>
      <c r="C13" s="823" t="str">
        <f>'[20]Identificación del Riesgo MC'!H13</f>
        <v>Falta de toma de conciencia sobre el control de documentos del sistema de gestión de calidad por parte de los procesos.
El aplicativo para la documentación del Sistema de Gestión de calidad se encuentra desactualizado.</v>
      </c>
      <c r="D13" s="654" t="str">
        <f>'[20]Analisis Riesgo'!K11</f>
        <v>Sistema SIGUEME.</v>
      </c>
      <c r="E13" s="654" t="str">
        <f>'[20]Analisis Riesgo'!L11</f>
        <v>Es un sistema de información donde reposan todos los documentos oficiales de la entidad para el sistema de gestión de calidad.</v>
      </c>
      <c r="F13" s="818" t="s">
        <v>296</v>
      </c>
      <c r="G13" s="818" t="s">
        <v>299</v>
      </c>
      <c r="H13" s="818" t="s">
        <v>300</v>
      </c>
      <c r="I13" s="818" t="s">
        <v>301</v>
      </c>
      <c r="J13" s="818" t="s">
        <v>302</v>
      </c>
      <c r="K13" s="819" t="s">
        <v>368</v>
      </c>
      <c r="L13" s="818" t="s">
        <v>304</v>
      </c>
      <c r="M13" s="820">
        <f t="shared" si="9"/>
        <v>15</v>
      </c>
      <c r="N13" s="820">
        <f t="shared" si="10"/>
        <v>15</v>
      </c>
      <c r="O13" s="820">
        <f t="shared" si="0"/>
        <v>15</v>
      </c>
      <c r="P13" s="820">
        <f t="shared" si="1"/>
        <v>15</v>
      </c>
      <c r="Q13" s="820">
        <f t="shared" si="2"/>
        <v>15</v>
      </c>
      <c r="R13" s="820">
        <f t="shared" si="3"/>
        <v>15</v>
      </c>
      <c r="S13" s="820">
        <f t="shared" si="4"/>
        <v>10</v>
      </c>
      <c r="T13" s="820">
        <f t="shared" si="5"/>
        <v>100</v>
      </c>
      <c r="U13" s="818" t="s">
        <v>122</v>
      </c>
      <c r="V13" s="818" t="s">
        <v>263</v>
      </c>
      <c r="W13" s="820">
        <f t="shared" si="11"/>
        <v>1</v>
      </c>
      <c r="X13" s="820">
        <f t="shared" si="6"/>
        <v>0</v>
      </c>
      <c r="Y13" s="820" t="str">
        <f t="shared" si="7"/>
        <v>Fuerte</v>
      </c>
      <c r="Z13" s="818" t="s">
        <v>1368</v>
      </c>
      <c r="AA13" s="820" t="str">
        <f t="shared" si="8"/>
        <v>Moderado</v>
      </c>
      <c r="AB13" s="820" t="str">
        <f t="shared" si="12"/>
        <v>SI</v>
      </c>
      <c r="AC13" s="897"/>
      <c r="AD13" s="822"/>
    </row>
    <row r="14" spans="1:30" s="780" customFormat="1" ht="146.25" customHeight="1" x14ac:dyDescent="0.2">
      <c r="A14" s="816">
        <f>'[20]Identificación del Riesgo MC'!D14</f>
        <v>6</v>
      </c>
      <c r="B14" s="654" t="str">
        <f>'[20]Identificación del Riesgo MC'!E14</f>
        <v>Materialización de los riesgos en los procesos.</v>
      </c>
      <c r="C14" s="823" t="str">
        <f>'[20]Identificación del Riesgo MC'!H14</f>
        <v>No se ha estandarizado los lineamientos para establecer y realizar seguimiento a los planes de mejoramiento.
No se han socializado a los procesos el contexto de la organización (DOFA) para su respectiva toma de decisiones.
Desconocimiento de la metodología de administración de riesgos.
Inadecuada identificación de controles para tratar riesgos residuales e ineficacia.</v>
      </c>
      <c r="D14" s="654" t="str">
        <f>'[20]Analisis Riesgo'!K12</f>
        <v>Asistencia técnica del proceso de Mejora Continua</v>
      </c>
      <c r="E14" s="654" t="str">
        <f>'[20]Analisis Riesgo'!L12</f>
        <v>Se realiza visita a los procesos con el fin de apoyarlos metodologicamente en la planificación de la gestión de riegos a través de su adecuada identificación</v>
      </c>
      <c r="F14" s="818" t="s">
        <v>296</v>
      </c>
      <c r="G14" s="818" t="s">
        <v>299</v>
      </c>
      <c r="H14" s="818" t="s">
        <v>300</v>
      </c>
      <c r="I14" s="818" t="s">
        <v>301</v>
      </c>
      <c r="J14" s="818" t="s">
        <v>302</v>
      </c>
      <c r="K14" s="819" t="s">
        <v>368</v>
      </c>
      <c r="L14" s="818" t="s">
        <v>304</v>
      </c>
      <c r="M14" s="820">
        <f t="shared" si="9"/>
        <v>15</v>
      </c>
      <c r="N14" s="820">
        <f t="shared" si="10"/>
        <v>15</v>
      </c>
      <c r="O14" s="820">
        <f t="shared" si="0"/>
        <v>15</v>
      </c>
      <c r="P14" s="820">
        <f t="shared" si="1"/>
        <v>15</v>
      </c>
      <c r="Q14" s="820">
        <f t="shared" si="2"/>
        <v>15</v>
      </c>
      <c r="R14" s="820">
        <f t="shared" si="3"/>
        <v>15</v>
      </c>
      <c r="S14" s="820">
        <f t="shared" si="4"/>
        <v>10</v>
      </c>
      <c r="T14" s="820">
        <f t="shared" si="5"/>
        <v>100</v>
      </c>
      <c r="U14" s="818" t="s">
        <v>122</v>
      </c>
      <c r="V14" s="818" t="s">
        <v>263</v>
      </c>
      <c r="W14" s="820">
        <f t="shared" si="11"/>
        <v>1</v>
      </c>
      <c r="X14" s="820">
        <f t="shared" si="6"/>
        <v>0</v>
      </c>
      <c r="Y14" s="820" t="str">
        <f t="shared" si="7"/>
        <v>Fuerte</v>
      </c>
      <c r="Z14" s="818" t="s">
        <v>1368</v>
      </c>
      <c r="AA14" s="820" t="str">
        <f t="shared" si="8"/>
        <v>Moderado</v>
      </c>
      <c r="AB14" s="820" t="str">
        <f t="shared" si="12"/>
        <v>SI</v>
      </c>
      <c r="AC14" s="821"/>
      <c r="AD14" s="901"/>
    </row>
    <row r="15" spans="1:30" s="780" customFormat="1" ht="120.75" customHeight="1" x14ac:dyDescent="0.2">
      <c r="A15" s="816">
        <f>'[20]Identificación del Riesgo MC'!D15</f>
        <v>7</v>
      </c>
      <c r="B15" s="654" t="str">
        <f>'[20]Identificación del Riesgo MC'!E15</f>
        <v>Los mecanismos de medición, seguimiento y control no son considerados para la toma de decisiones.</v>
      </c>
      <c r="C15" s="823" t="str">
        <f>'[20]Identificación del Riesgo MC'!H15</f>
        <v>Desconocimiento por parte de algunos servidores públicos sobre la importancia y aplicación de los mecanismos de medición, seguimiento y control.</v>
      </c>
      <c r="D15" s="654" t="str">
        <f>'[20]Analisis Riesgo'!K13</f>
        <v>No se identifican controles existentes.</v>
      </c>
      <c r="E15" s="654" t="str">
        <f>'[20]Analisis Riesgo'!L13</f>
        <v>No se identifican controles existentes.</v>
      </c>
      <c r="F15" s="818" t="s">
        <v>833</v>
      </c>
      <c r="G15" s="818" t="s">
        <v>834</v>
      </c>
      <c r="H15" s="818" t="s">
        <v>867</v>
      </c>
      <c r="I15" s="818" t="s">
        <v>868</v>
      </c>
      <c r="J15" s="818" t="s">
        <v>869</v>
      </c>
      <c r="K15" s="819" t="s">
        <v>870</v>
      </c>
      <c r="L15" s="818" t="s">
        <v>871</v>
      </c>
      <c r="M15" s="820">
        <f t="shared" si="9"/>
        <v>0</v>
      </c>
      <c r="N15" s="820">
        <f t="shared" si="10"/>
        <v>0</v>
      </c>
      <c r="O15" s="820">
        <f t="shared" si="0"/>
        <v>0</v>
      </c>
      <c r="P15" s="820">
        <f t="shared" si="1"/>
        <v>0</v>
      </c>
      <c r="Q15" s="820">
        <f t="shared" si="2"/>
        <v>0</v>
      </c>
      <c r="R15" s="820">
        <f t="shared" si="3"/>
        <v>0</v>
      </c>
      <c r="S15" s="820">
        <f t="shared" si="4"/>
        <v>0</v>
      </c>
      <c r="T15" s="820">
        <f t="shared" si="5"/>
        <v>0</v>
      </c>
      <c r="U15" s="818" t="s">
        <v>263</v>
      </c>
      <c r="V15" s="818" t="s">
        <v>263</v>
      </c>
      <c r="W15" s="820">
        <f t="shared" si="11"/>
        <v>0</v>
      </c>
      <c r="X15" s="820">
        <f t="shared" si="6"/>
        <v>0</v>
      </c>
      <c r="Y15" s="820" t="str">
        <f t="shared" si="7"/>
        <v>Debil</v>
      </c>
      <c r="Z15" s="818" t="s">
        <v>872</v>
      </c>
      <c r="AA15" s="820" t="str">
        <f t="shared" si="8"/>
        <v>Debil</v>
      </c>
      <c r="AB15" s="820" t="str">
        <f t="shared" si="12"/>
        <v>SI</v>
      </c>
      <c r="AC15" s="902"/>
      <c r="AD15" s="822"/>
    </row>
    <row r="16" spans="1:30" s="780" customFormat="1" ht="120.75" customHeight="1" x14ac:dyDescent="0.2">
      <c r="A16" s="816">
        <f>'[20]Identificación del Riesgo MC'!D16</f>
        <v>8</v>
      </c>
      <c r="B16" s="654" t="str">
        <f>'[20]Identificación del Riesgo MC'!E16</f>
        <v>Existencia de conflictos de interéses para llevar a cabo las auditorías.</v>
      </c>
      <c r="C16" s="823" t="str">
        <f>'[20]Identificación del Riesgo MC'!H16</f>
        <v>El procedimiento de auditorías internas no contempla las posibles situaciones de conflictos de intereses.</v>
      </c>
      <c r="D16" s="654" t="str">
        <f>'[20]Analisis Riesgo'!K14</f>
        <v>Procedimiento de auditorías codigo P-CI-02</v>
      </c>
      <c r="E16" s="654" t="str">
        <f>'[20]Analisis Riesgo'!L14</f>
        <v>EL procedimiento contiene las directrices para establecer y desarrollar un programa de auditoría en función de unos objetivos de auditoría</v>
      </c>
      <c r="F16" s="818" t="s">
        <v>296</v>
      </c>
      <c r="G16" s="818" t="s">
        <v>299</v>
      </c>
      <c r="H16" s="818" t="s">
        <v>867</v>
      </c>
      <c r="I16" s="818" t="s">
        <v>301</v>
      </c>
      <c r="J16" s="818" t="s">
        <v>869</v>
      </c>
      <c r="K16" s="819" t="s">
        <v>368</v>
      </c>
      <c r="L16" s="818" t="s">
        <v>713</v>
      </c>
      <c r="M16" s="820">
        <f t="shared" si="9"/>
        <v>15</v>
      </c>
      <c r="N16" s="820">
        <f t="shared" si="10"/>
        <v>15</v>
      </c>
      <c r="O16" s="820">
        <f t="shared" si="0"/>
        <v>0</v>
      </c>
      <c r="P16" s="820">
        <f t="shared" si="1"/>
        <v>15</v>
      </c>
      <c r="Q16" s="820">
        <f t="shared" si="2"/>
        <v>0</v>
      </c>
      <c r="R16" s="820">
        <f t="shared" si="3"/>
        <v>15</v>
      </c>
      <c r="S16" s="820">
        <f t="shared" si="4"/>
        <v>5</v>
      </c>
      <c r="T16" s="820">
        <f t="shared" si="5"/>
        <v>65</v>
      </c>
      <c r="U16" s="818" t="s">
        <v>122</v>
      </c>
      <c r="V16" s="818" t="s">
        <v>263</v>
      </c>
      <c r="W16" s="820">
        <f t="shared" si="11"/>
        <v>0.65</v>
      </c>
      <c r="X16" s="820">
        <f t="shared" si="6"/>
        <v>0</v>
      </c>
      <c r="Y16" s="820" t="str">
        <f t="shared" si="7"/>
        <v>Debil</v>
      </c>
      <c r="Z16" s="818" t="s">
        <v>1368</v>
      </c>
      <c r="AA16" s="820" t="str">
        <f t="shared" si="8"/>
        <v>Moderado</v>
      </c>
      <c r="AB16" s="820" t="str">
        <f t="shared" si="12"/>
        <v>SI</v>
      </c>
      <c r="AC16" s="897"/>
      <c r="AD16" s="907"/>
    </row>
    <row r="17" spans="1:30" s="780" customFormat="1" ht="120.75" customHeight="1" x14ac:dyDescent="0.2">
      <c r="A17" s="816">
        <f>'[20]Identificación del Riesgo MC'!D17</f>
        <v>9</v>
      </c>
      <c r="B17" s="654" t="str">
        <f>'[20]Identificación del Riesgo MC'!E17</f>
        <v>Manipulación de la información producto de los mecanismos de medición, seguimiento y control.</v>
      </c>
      <c r="C17" s="823" t="str">
        <f>'[20]Identificación del Riesgo MC'!H17</f>
        <v>Falta de claridad sobre la aplicación de las responsabilidades, roles de las líneas de defensa.
Falta de apropiación del sistema de Control Interno.
Los procedimientos de auditorías, administración de riesgos, indicadores y planes de mejoramiento no contemplan explícitamente los roles para su gestión.</v>
      </c>
      <c r="D17" s="654" t="str">
        <f>'[20]Analisis Riesgo'!K15</f>
        <v>Procedimiento de auditorías codigo P-CI-02</v>
      </c>
      <c r="E17" s="654" t="str">
        <f>'[20]Analisis Riesgo'!L15</f>
        <v>El procedimiento contiene las directrices para establecer y desarrollar un programa de auditoría en función de unos objetivos de auditoría</v>
      </c>
      <c r="F17" s="818" t="s">
        <v>296</v>
      </c>
      <c r="G17" s="818" t="s">
        <v>299</v>
      </c>
      <c r="H17" s="818" t="s">
        <v>867</v>
      </c>
      <c r="I17" s="818" t="s">
        <v>301</v>
      </c>
      <c r="J17" s="818" t="s">
        <v>869</v>
      </c>
      <c r="K17" s="819" t="s">
        <v>368</v>
      </c>
      <c r="L17" s="818" t="s">
        <v>713</v>
      </c>
      <c r="M17" s="820">
        <f t="shared" si="9"/>
        <v>15</v>
      </c>
      <c r="N17" s="820">
        <f t="shared" si="10"/>
        <v>15</v>
      </c>
      <c r="O17" s="820">
        <f t="shared" si="0"/>
        <v>0</v>
      </c>
      <c r="P17" s="820">
        <f t="shared" si="1"/>
        <v>15</v>
      </c>
      <c r="Q17" s="820">
        <f t="shared" si="2"/>
        <v>0</v>
      </c>
      <c r="R17" s="820">
        <f t="shared" si="3"/>
        <v>15</v>
      </c>
      <c r="S17" s="820">
        <f t="shared" si="4"/>
        <v>5</v>
      </c>
      <c r="T17" s="820">
        <f t="shared" si="5"/>
        <v>65</v>
      </c>
      <c r="U17" s="818" t="s">
        <v>122</v>
      </c>
      <c r="V17" s="818" t="s">
        <v>263</v>
      </c>
      <c r="W17" s="820">
        <f t="shared" si="11"/>
        <v>0.65</v>
      </c>
      <c r="X17" s="820">
        <f t="shared" si="6"/>
        <v>0</v>
      </c>
      <c r="Y17" s="820" t="str">
        <f t="shared" si="7"/>
        <v>Debil</v>
      </c>
      <c r="Z17" s="818" t="s">
        <v>1368</v>
      </c>
      <c r="AA17" s="820" t="str">
        <f t="shared" si="8"/>
        <v>Moderado</v>
      </c>
      <c r="AB17" s="820" t="str">
        <f t="shared" si="12"/>
        <v>SI</v>
      </c>
      <c r="AC17" s="897"/>
      <c r="AD17" s="822"/>
    </row>
    <row r="18" spans="1:30" ht="120.75" customHeight="1" x14ac:dyDescent="0.2"/>
  </sheetData>
  <mergeCells count="12">
    <mergeCell ref="A6:C6"/>
    <mergeCell ref="D6:AD6"/>
    <mergeCell ref="A7:L7"/>
    <mergeCell ref="M7:Y7"/>
    <mergeCell ref="Z7:AB7"/>
    <mergeCell ref="AC7:AD7"/>
    <mergeCell ref="A1:C4"/>
    <mergeCell ref="D1:AB4"/>
    <mergeCell ref="AC1:AD2"/>
    <mergeCell ref="AC3:AD4"/>
    <mergeCell ref="A5:C5"/>
    <mergeCell ref="D5:AD5"/>
  </mergeCells>
  <dataValidations count="18">
    <dataValidation type="list" allowBlank="1" showInputMessage="1" showErrorMessage="1" sqref="Z10:Z17" xr:uid="{00000000-0002-0000-7D00-000000000000}">
      <formula1>"Siempre se ejecuta,Algunas veces se ejecuta,No se ejecuta"</formula1>
    </dataValidation>
    <dataValidation type="list" allowBlank="1" showInputMessage="1" showErrorMessage="1" sqref="F10:F17" xr:uid="{00000000-0002-0000-7D00-000001000000}">
      <formula1>"Asignado, No asignado"</formula1>
    </dataValidation>
    <dataValidation type="list" allowBlank="1" showInputMessage="1" showErrorMessage="1" sqref="G10:G17" xr:uid="{00000000-0002-0000-7D00-000002000000}">
      <formula1>"Adecuado, Inadecuado"</formula1>
    </dataValidation>
    <dataValidation type="list" allowBlank="1" showInputMessage="1" showErrorMessage="1" sqref="H10:H17" xr:uid="{00000000-0002-0000-7D00-000003000000}">
      <formula1>"Oportuna, Inoportuna"</formula1>
    </dataValidation>
    <dataValidation type="list" allowBlank="1" showInputMessage="1" showErrorMessage="1" sqref="I10:I17" xr:uid="{00000000-0002-0000-7D00-000004000000}">
      <formula1>"Prevenir, Detectar, No es un control"</formula1>
    </dataValidation>
    <dataValidation type="list" allowBlank="1" showInputMessage="1" showErrorMessage="1" sqref="J10:J17" xr:uid="{00000000-0002-0000-7D00-000005000000}">
      <formula1>"Confiable, No Confiable"</formula1>
    </dataValidation>
    <dataValidation type="list" allowBlank="1" showInputMessage="1" showErrorMessage="1" sqref="K10:K17" xr:uid="{00000000-0002-0000-7D00-000006000000}">
      <formula1>"Se invesigan y resuelven oportunamente, No se investigan y resuelven oportunamente"</formula1>
    </dataValidation>
    <dataValidation type="list" allowBlank="1" showInputMessage="1" showErrorMessage="1" sqref="L10:L17" xr:uid="{00000000-0002-0000-7D00-000007000000}">
      <formula1>"Completa, Incompleta, No existe"</formula1>
    </dataValidation>
    <dataValidation type="list" allowBlank="1" showInputMessage="1" showErrorMessage="1" sqref="U10:V17" xr:uid="{00000000-0002-0000-7D00-000008000000}">
      <formula1>"SI, NO"</formula1>
    </dataValidation>
    <dataValidation type="list" allowBlank="1" showInputMessage="1" showErrorMessage="1" sqref="Z9" xr:uid="{00000000-0002-0000-7D00-000009000000}">
      <formula1>"Siempre se ejecuta,Algunas veces se ejecuta,No se ejecuta,Seleccione"</formula1>
    </dataValidation>
    <dataValidation type="list" allowBlank="1" showInputMessage="1" showErrorMessage="1" sqref="U9:V9" xr:uid="{00000000-0002-0000-7D00-00000A000000}">
      <formula1>"SI, NO,Seleccione"</formula1>
    </dataValidation>
    <dataValidation type="list" allowBlank="1" showInputMessage="1" showErrorMessage="1" sqref="L9" xr:uid="{00000000-0002-0000-7D00-00000B000000}">
      <formula1>"Completa, Incompleta, No existe,Seleccione"</formula1>
    </dataValidation>
    <dataValidation type="list" allowBlank="1" showInputMessage="1" showErrorMessage="1" sqref="K9" xr:uid="{00000000-0002-0000-7D00-00000C000000}">
      <formula1>"Se investigan y resuelven oportunamente, No se investigan y resuelven oportunamente,Seleccione"</formula1>
    </dataValidation>
    <dataValidation type="list" allowBlank="1" showInputMessage="1" showErrorMessage="1" sqref="J9" xr:uid="{00000000-0002-0000-7D00-00000D000000}">
      <formula1>"Confiable, No Confiable,Seleccione"</formula1>
    </dataValidation>
    <dataValidation type="list" allowBlank="1" showInputMessage="1" showErrorMessage="1" sqref="I9" xr:uid="{00000000-0002-0000-7D00-00000E000000}">
      <formula1>"Prevenir, Detectar, No es un control,Seleccione"</formula1>
    </dataValidation>
    <dataValidation type="list" allowBlank="1" showInputMessage="1" showErrorMessage="1" sqref="H9" xr:uid="{00000000-0002-0000-7D00-00000F000000}">
      <formula1>"Oportuna, Inoportuna,Seleccione"</formula1>
    </dataValidation>
    <dataValidation type="list" allowBlank="1" showInputMessage="1" showErrorMessage="1" sqref="G9" xr:uid="{00000000-0002-0000-7D00-000010000000}">
      <formula1>"Adecuado, Inadecuado,Seleccione"</formula1>
    </dataValidation>
    <dataValidation type="list" allowBlank="1" showInputMessage="1" showErrorMessage="1" sqref="F9" xr:uid="{00000000-0002-0000-7D00-000011000000}">
      <formula1>"Asignado, No asignado, Seleccione"</formula1>
    </dataValidation>
  </dataValidations>
  <pageMargins left="0.11811023622047245" right="0.11811023622047245" top="1.1417322834645669" bottom="0.74803149606299213" header="0.31496062992125984" footer="0.31496062992125984"/>
  <pageSetup scale="36" orientation="landscape" horizontalDpi="1200" verticalDpi="1200" r:id="rId1"/>
  <headerFooter>
    <oddHeader>&amp;L&amp;G&amp;C
&amp;"-,Negrita"Matriz de Riesgos</oddHeader>
  </headerFooter>
  <rowBreaks count="3" manualBreakCount="3">
    <brk id="10" max="16383" man="1"/>
    <brk id="12" max="16383" man="1"/>
    <brk id="14" max="16383" man="1"/>
  </rowBreaks>
  <colBreaks count="1" manualBreakCount="1">
    <brk id="12" max="1048575" man="1"/>
  </colBreaks>
  <drawing r:id="rId2"/>
  <legacyDrawingHF r:id="rId3"/>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tabColor rgb="FFBEAE25"/>
  </sheetPr>
  <dimension ref="A1:X16"/>
  <sheetViews>
    <sheetView showGridLines="0" view="pageBreakPreview" topLeftCell="B1" zoomScale="115" zoomScaleNormal="100" zoomScaleSheetLayoutView="115" workbookViewId="0">
      <pane xSplit="3" ySplit="6" topLeftCell="E7" activePane="bottomRight" state="frozen"/>
      <selection activeCell="B1" sqref="B1"/>
      <selection pane="topRight" activeCell="E1" sqref="E1"/>
      <selection pane="bottomLeft" activeCell="B7" sqref="B7"/>
      <selection pane="bottomRight" activeCell="F7" sqref="F7"/>
    </sheetView>
  </sheetViews>
  <sheetFormatPr baseColWidth="10" defaultRowHeight="15" x14ac:dyDescent="0.25"/>
  <cols>
    <col min="1" max="1" width="5.625" style="743" customWidth="1"/>
    <col min="2" max="2" width="21.625" style="743" customWidth="1"/>
    <col min="3" max="3" width="15.75" style="743" customWidth="1"/>
    <col min="4" max="4" width="17.875" style="743" customWidth="1"/>
    <col min="5" max="11" width="16.625" style="743" customWidth="1"/>
    <col min="12" max="12" width="21.375" style="743" customWidth="1"/>
    <col min="13" max="14" width="16.625" style="743" customWidth="1"/>
    <col min="15" max="15" width="18.5" style="743" customWidth="1"/>
    <col min="16" max="16" width="16.625" style="743" customWidth="1"/>
    <col min="17" max="23" width="13.75" style="743" customWidth="1"/>
    <col min="24" max="24" width="9.125" style="746" bestFit="1" customWidth="1"/>
    <col min="25" max="26" width="25.625" style="743" customWidth="1"/>
    <col min="27" max="16384" width="11" style="743"/>
  </cols>
  <sheetData>
    <row r="1" spans="1:24" ht="15" customHeight="1" x14ac:dyDescent="0.25">
      <c r="A1" s="1610"/>
      <c r="B1" s="1611"/>
      <c r="C1" s="1611"/>
      <c r="D1" s="1612"/>
      <c r="E1" s="1615" t="s">
        <v>0</v>
      </c>
      <c r="F1" s="1616"/>
      <c r="G1" s="1616"/>
      <c r="H1" s="1616"/>
      <c r="I1" s="1616"/>
      <c r="J1" s="1616"/>
      <c r="K1" s="1616"/>
      <c r="L1" s="1616"/>
      <c r="M1" s="1616"/>
      <c r="N1" s="1616"/>
      <c r="O1" s="1616"/>
      <c r="P1" s="1616"/>
      <c r="Q1" s="1616"/>
      <c r="R1" s="1616"/>
      <c r="S1" s="1616"/>
      <c r="T1" s="1617"/>
      <c r="U1" s="1621" t="s">
        <v>98</v>
      </c>
      <c r="V1" s="1622"/>
      <c r="W1" s="1622"/>
      <c r="X1" s="1623"/>
    </row>
    <row r="2" spans="1:24" ht="15" customHeight="1" x14ac:dyDescent="0.25">
      <c r="A2" s="1613"/>
      <c r="B2" s="1614"/>
      <c r="C2" s="1614"/>
      <c r="D2" s="1568"/>
      <c r="E2" s="1618"/>
      <c r="F2" s="1619"/>
      <c r="G2" s="1619"/>
      <c r="H2" s="1619"/>
      <c r="I2" s="1619"/>
      <c r="J2" s="1619"/>
      <c r="K2" s="1619"/>
      <c r="L2" s="1619"/>
      <c r="M2" s="1619"/>
      <c r="N2" s="1619"/>
      <c r="O2" s="1619"/>
      <c r="P2" s="1619"/>
      <c r="Q2" s="1619"/>
      <c r="R2" s="1619"/>
      <c r="S2" s="1619"/>
      <c r="T2" s="1620"/>
      <c r="U2" s="1624"/>
      <c r="V2" s="1625"/>
      <c r="W2" s="1625"/>
      <c r="X2" s="1626"/>
    </row>
    <row r="3" spans="1:24" ht="15" customHeight="1" x14ac:dyDescent="0.25">
      <c r="A3" s="1613"/>
      <c r="B3" s="1614"/>
      <c r="C3" s="1614"/>
      <c r="D3" s="1568"/>
      <c r="E3" s="1618"/>
      <c r="F3" s="1619"/>
      <c r="G3" s="1619"/>
      <c r="H3" s="1619"/>
      <c r="I3" s="1619"/>
      <c r="J3" s="1619"/>
      <c r="K3" s="1619"/>
      <c r="L3" s="1619"/>
      <c r="M3" s="1619"/>
      <c r="N3" s="1619"/>
      <c r="O3" s="1619"/>
      <c r="P3" s="1619"/>
      <c r="Q3" s="1619"/>
      <c r="R3" s="1619"/>
      <c r="S3" s="1619"/>
      <c r="T3" s="1620"/>
      <c r="U3" s="1621" t="s">
        <v>367</v>
      </c>
      <c r="V3" s="1622"/>
      <c r="W3" s="1622"/>
      <c r="X3" s="1622"/>
    </row>
    <row r="4" spans="1:24" ht="15" customHeight="1" x14ac:dyDescent="0.25">
      <c r="A4" s="1613"/>
      <c r="B4" s="1614"/>
      <c r="C4" s="1614"/>
      <c r="D4" s="1568"/>
      <c r="E4" s="1618"/>
      <c r="F4" s="1619"/>
      <c r="G4" s="1619"/>
      <c r="H4" s="1619"/>
      <c r="I4" s="1619"/>
      <c r="J4" s="1619"/>
      <c r="K4" s="1619"/>
      <c r="L4" s="1619"/>
      <c r="M4" s="1619"/>
      <c r="N4" s="1619"/>
      <c r="O4" s="1619"/>
      <c r="P4" s="1619"/>
      <c r="Q4" s="1619"/>
      <c r="R4" s="1619"/>
      <c r="S4" s="1619"/>
      <c r="T4" s="1620"/>
      <c r="U4" s="1627"/>
      <c r="V4" s="1628"/>
      <c r="W4" s="1628"/>
      <c r="X4" s="1628"/>
    </row>
    <row r="5" spans="1:24" ht="15" customHeight="1" x14ac:dyDescent="0.25">
      <c r="A5" s="1560" t="s">
        <v>100</v>
      </c>
      <c r="B5" s="1560"/>
      <c r="C5" s="1560"/>
      <c r="D5" s="1629"/>
      <c r="E5" s="1591" t="s">
        <v>101</v>
      </c>
      <c r="F5" s="1592"/>
      <c r="G5" s="1592"/>
      <c r="H5" s="1592"/>
      <c r="I5" s="1592"/>
      <c r="J5" s="1592"/>
      <c r="K5" s="1592"/>
      <c r="L5" s="1592"/>
      <c r="M5" s="1592"/>
      <c r="N5" s="1592"/>
      <c r="O5" s="1592"/>
      <c r="P5" s="1592"/>
      <c r="Q5" s="1592"/>
      <c r="R5" s="1592"/>
      <c r="S5" s="1592"/>
      <c r="T5" s="1592"/>
      <c r="U5" s="1592"/>
      <c r="V5" s="1592"/>
      <c r="W5" s="1592"/>
      <c r="X5" s="1593"/>
    </row>
    <row r="6" spans="1:24" s="804" customFormat="1" ht="114.75" customHeight="1" x14ac:dyDescent="0.2">
      <c r="A6" s="749" t="s">
        <v>44</v>
      </c>
      <c r="B6" s="803" t="s">
        <v>64</v>
      </c>
      <c r="C6" s="803" t="s">
        <v>70</v>
      </c>
      <c r="D6" s="803" t="s">
        <v>69</v>
      </c>
      <c r="E6" s="749" t="s">
        <v>102</v>
      </c>
      <c r="F6" s="749" t="s">
        <v>103</v>
      </c>
      <c r="G6" s="749" t="s">
        <v>104</v>
      </c>
      <c r="H6" s="749" t="s">
        <v>105</v>
      </c>
      <c r="I6" s="803" t="s">
        <v>106</v>
      </c>
      <c r="J6" s="803" t="s">
        <v>107</v>
      </c>
      <c r="K6" s="803" t="s">
        <v>108</v>
      </c>
      <c r="L6" s="803" t="s">
        <v>712</v>
      </c>
      <c r="M6" s="803" t="s">
        <v>110</v>
      </c>
      <c r="N6" s="803" t="s">
        <v>111</v>
      </c>
      <c r="O6" s="803" t="s">
        <v>112</v>
      </c>
      <c r="P6" s="803" t="s">
        <v>113</v>
      </c>
      <c r="Q6" s="803" t="s">
        <v>114</v>
      </c>
      <c r="R6" s="803" t="s">
        <v>115</v>
      </c>
      <c r="S6" s="803" t="s">
        <v>116</v>
      </c>
      <c r="T6" s="803" t="s">
        <v>117</v>
      </c>
      <c r="U6" s="803" t="s">
        <v>118</v>
      </c>
      <c r="V6" s="803" t="s">
        <v>119</v>
      </c>
      <c r="W6" s="803" t="s">
        <v>120</v>
      </c>
      <c r="X6" s="803" t="s">
        <v>121</v>
      </c>
    </row>
    <row r="7" spans="1:24" s="809" customFormat="1" ht="111" customHeight="1" x14ac:dyDescent="0.2">
      <c r="A7" s="805">
        <f>'[20]Identificación del Riesgo MC'!D9</f>
        <v>1</v>
      </c>
      <c r="B7" s="805" t="str">
        <f>'[20]Identificación del Riesgo MC'!E9</f>
        <v>Planes de Mejora no eficaces</v>
      </c>
      <c r="C7" s="756" t="str">
        <f>IF(D7="PENDIENTE EVALUAR EL IMPACTO","PENDIENTE EVALUAR EL IMPACTO COLUMNAS H-W",VLOOKUP(D7,[20]Datos!$K$8:$L$12,2,FALSE))</f>
        <v>PENDIENTE EVALUAR EL IMPACTO COLUMNAS H-W</v>
      </c>
      <c r="D7" s="756" t="str">
        <f>IF(X7=0,"PENDIENTE EVALUAR EL IMPACTO",IF(X7&lt;=5,"MODERADO",IF(X7&lt;=11,"MAYOR","CATASTRÓFICO")))</f>
        <v>PENDIENTE EVALUAR EL IMPACTO</v>
      </c>
      <c r="E7" s="806"/>
      <c r="F7" s="806"/>
      <c r="G7" s="806"/>
      <c r="H7" s="806"/>
      <c r="I7" s="807"/>
      <c r="J7" s="807"/>
      <c r="K7" s="807"/>
      <c r="L7" s="807"/>
      <c r="M7" s="807"/>
      <c r="N7" s="807"/>
      <c r="O7" s="807"/>
      <c r="P7" s="807"/>
      <c r="Q7" s="807"/>
      <c r="R7" s="807"/>
      <c r="S7" s="807"/>
      <c r="T7" s="807"/>
      <c r="U7" s="807"/>
      <c r="V7" s="807"/>
      <c r="W7" s="807"/>
      <c r="X7" s="808">
        <f>COUNTIF(E7:W7,"SI")</f>
        <v>0</v>
      </c>
    </row>
    <row r="8" spans="1:24" ht="84.75" customHeight="1" x14ac:dyDescent="0.25">
      <c r="A8" s="805">
        <f>'[20]Identificación del Riesgo MC'!D10</f>
        <v>2</v>
      </c>
      <c r="B8" s="805" t="str">
        <f>'[20]Identificación del Riesgo MC'!E10</f>
        <v>Establecer sistemas de gestión y control que no sean adecuados, eficaces y convenientes</v>
      </c>
      <c r="C8" s="756">
        <f>IF(D8="PENDIENTE EVALUAR EL IMPACTO","PENDIENTE EVALUAR EL IMPACTO COLUMNAS H-W",VLOOKUP(D8,[20]Datos!$K$8:$L$12,2,FALSE))</f>
        <v>4</v>
      </c>
      <c r="D8" s="805" t="str">
        <f>IF(X8=0,"PENDIENTE EVALUAR EL IMPACTO",IF(X8&lt;=5,"MODERADO",IF(X8&lt;=11,"MAYOR","CATASTRÓFICO")))</f>
        <v>MAYOR</v>
      </c>
      <c r="E8" s="810" t="s">
        <v>122</v>
      </c>
      <c r="F8" s="810" t="s">
        <v>122</v>
      </c>
      <c r="G8" s="810" t="s">
        <v>122</v>
      </c>
      <c r="H8" s="810"/>
      <c r="I8" s="754" t="s">
        <v>122</v>
      </c>
      <c r="J8" s="754"/>
      <c r="K8" s="754"/>
      <c r="L8" s="754" t="s">
        <v>122</v>
      </c>
      <c r="M8" s="754" t="s">
        <v>122</v>
      </c>
      <c r="N8" s="754"/>
      <c r="O8" s="754"/>
      <c r="P8" s="754" t="s">
        <v>122</v>
      </c>
      <c r="Q8" s="754"/>
      <c r="R8" s="754"/>
      <c r="S8" s="754" t="s">
        <v>122</v>
      </c>
      <c r="T8" s="754"/>
      <c r="U8" s="754" t="s">
        <v>122</v>
      </c>
      <c r="V8" s="754"/>
      <c r="W8" s="754" t="s">
        <v>122</v>
      </c>
      <c r="X8" s="808">
        <f t="shared" ref="X8:X16" si="0">COUNTIF(E8:W8,"SI")</f>
        <v>10</v>
      </c>
    </row>
    <row r="9" spans="1:24" ht="72.75" customHeight="1" x14ac:dyDescent="0.25">
      <c r="A9" s="805">
        <f>'[20]Identificación del Riesgo MC'!D11</f>
        <v>3</v>
      </c>
      <c r="B9" s="805" t="str">
        <f>'[20]Identificación del Riesgo MC'!E11</f>
        <v>Establecer inadecuadamente el programa de auditoría de calidad.</v>
      </c>
      <c r="C9" s="756" t="str">
        <f>IF(D9="PENDIENTE EVALUAR EL IMPACTO","PENDIENTE EVALUAR EL IMPACTO COLUMNAS H-W",VLOOKUP(D9,[20]Datos!$K$8:$L$12,2,FALSE))</f>
        <v>PENDIENTE EVALUAR EL IMPACTO COLUMNAS H-W</v>
      </c>
      <c r="D9" s="805" t="str">
        <f t="shared" ref="D9:D16" si="1">IF(X9=0,"PENDIENTE EVALUAR EL IMPACTO",IF(X9&lt;=5,"MODERADO",IF(X9&lt;=11,"MAYOR","CATASTRÓFICO")))</f>
        <v>PENDIENTE EVALUAR EL IMPACTO</v>
      </c>
      <c r="E9" s="895"/>
      <c r="F9" s="895"/>
      <c r="G9" s="895"/>
      <c r="H9" s="895"/>
      <c r="I9" s="895"/>
      <c r="J9" s="895"/>
      <c r="K9" s="895"/>
      <c r="L9" s="895"/>
      <c r="M9" s="895"/>
      <c r="N9" s="895"/>
      <c r="O9" s="895"/>
      <c r="P9" s="895"/>
      <c r="Q9" s="895"/>
      <c r="R9" s="895"/>
      <c r="S9" s="895"/>
      <c r="T9" s="895"/>
      <c r="U9" s="895"/>
      <c r="V9" s="895"/>
      <c r="W9" s="895"/>
      <c r="X9" s="808">
        <f t="shared" si="0"/>
        <v>0</v>
      </c>
    </row>
    <row r="10" spans="1:24" ht="105" customHeight="1" x14ac:dyDescent="0.25">
      <c r="A10" s="805">
        <f>'[20]Identificación del Riesgo MC'!D12</f>
        <v>4</v>
      </c>
      <c r="B10" s="805" t="str">
        <f>'[20]Identificación del Riesgo MC'!E12</f>
        <v>Incumplimientos en los objetivos de auditorías internas.</v>
      </c>
      <c r="C10" s="756" t="str">
        <f>IF(D10="PENDIENTE EVALUAR EL IMPACTO","PENDIENTE EVALUAR EL IMPACTO COLUMNAS H-W",VLOOKUP(D10,[20]Datos!$K$8:$L$12,2,FALSE))</f>
        <v>PENDIENTE EVALUAR EL IMPACTO COLUMNAS H-W</v>
      </c>
      <c r="D10" s="805" t="str">
        <f t="shared" si="1"/>
        <v>PENDIENTE EVALUAR EL IMPACTO</v>
      </c>
      <c r="E10" s="895"/>
      <c r="F10" s="895"/>
      <c r="G10" s="895"/>
      <c r="H10" s="895"/>
      <c r="I10" s="895"/>
      <c r="J10" s="895"/>
      <c r="K10" s="895"/>
      <c r="L10" s="895"/>
      <c r="M10" s="895"/>
      <c r="N10" s="895"/>
      <c r="O10" s="895"/>
      <c r="P10" s="895"/>
      <c r="Q10" s="895"/>
      <c r="R10" s="895"/>
      <c r="S10" s="895"/>
      <c r="T10" s="895"/>
      <c r="U10" s="895"/>
      <c r="V10" s="895"/>
      <c r="W10" s="895"/>
      <c r="X10" s="808">
        <f t="shared" si="0"/>
        <v>0</v>
      </c>
    </row>
    <row r="11" spans="1:24" ht="75" x14ac:dyDescent="0.25">
      <c r="A11" s="805">
        <f>'[20]Identificación del Riesgo MC'!D13</f>
        <v>5</v>
      </c>
      <c r="B11" s="805" t="str">
        <f>'[20]Identificación del Riesgo MC'!E13</f>
        <v>Utilización de documentación con información obsoleta o no vigente por parte de los procesos.</v>
      </c>
      <c r="C11" s="756" t="str">
        <f>IF(D11="PENDIENTE EVALUAR EL IMPACTO","PENDIENTE EVALUAR EL IMPACTO COLUMNAS H-W",VLOOKUP(D11,[20]Datos!$K$8:$L$12,2,FALSE))</f>
        <v>PENDIENTE EVALUAR EL IMPACTO COLUMNAS H-W</v>
      </c>
      <c r="D11" s="805" t="str">
        <f t="shared" si="1"/>
        <v>PENDIENTE EVALUAR EL IMPACTO</v>
      </c>
      <c r="E11" s="895"/>
      <c r="F11" s="895"/>
      <c r="G11" s="895"/>
      <c r="H11" s="895"/>
      <c r="I11" s="895"/>
      <c r="J11" s="895"/>
      <c r="K11" s="895"/>
      <c r="L11" s="895"/>
      <c r="M11" s="895"/>
      <c r="N11" s="895"/>
      <c r="O11" s="895"/>
      <c r="P11" s="895"/>
      <c r="Q11" s="895"/>
      <c r="R11" s="895"/>
      <c r="S11" s="895"/>
      <c r="T11" s="895"/>
      <c r="U11" s="895"/>
      <c r="V11" s="895"/>
      <c r="W11" s="895"/>
      <c r="X11" s="808">
        <f t="shared" si="0"/>
        <v>0</v>
      </c>
    </row>
    <row r="12" spans="1:24" ht="60" x14ac:dyDescent="0.25">
      <c r="A12" s="805">
        <f>'[20]Identificación del Riesgo MC'!D14</f>
        <v>6</v>
      </c>
      <c r="B12" s="805" t="str">
        <f>'[20]Identificación del Riesgo MC'!E14</f>
        <v>Materialización de los riesgos en los procesos.</v>
      </c>
      <c r="C12" s="756" t="str">
        <f>IF(D12="PENDIENTE EVALUAR EL IMPACTO","PENDIENTE EVALUAR EL IMPACTO COLUMNAS H-W",VLOOKUP(D12,[20]Datos!$K$8:$L$12,2,FALSE))</f>
        <v>PENDIENTE EVALUAR EL IMPACTO COLUMNAS H-W</v>
      </c>
      <c r="D12" s="805" t="str">
        <f t="shared" si="1"/>
        <v>PENDIENTE EVALUAR EL IMPACTO</v>
      </c>
      <c r="E12" s="895"/>
      <c r="F12" s="895"/>
      <c r="G12" s="895"/>
      <c r="H12" s="895"/>
      <c r="I12" s="895"/>
      <c r="J12" s="895"/>
      <c r="K12" s="895"/>
      <c r="L12" s="895"/>
      <c r="M12" s="895"/>
      <c r="N12" s="895"/>
      <c r="O12" s="895"/>
      <c r="P12" s="895"/>
      <c r="Q12" s="895"/>
      <c r="R12" s="895"/>
      <c r="S12" s="895"/>
      <c r="T12" s="895"/>
      <c r="U12" s="895"/>
      <c r="V12" s="895"/>
      <c r="W12" s="895"/>
      <c r="X12" s="808">
        <f t="shared" si="0"/>
        <v>0</v>
      </c>
    </row>
    <row r="13" spans="1:24" ht="75" x14ac:dyDescent="0.25">
      <c r="A13" s="805">
        <f>'[20]Identificación del Riesgo MC'!D15</f>
        <v>7</v>
      </c>
      <c r="B13" s="805" t="str">
        <f>'[20]Identificación del Riesgo MC'!E15</f>
        <v>Los mecanismos de medición, seguimiento y control no son considerados para la toma de decisiones.</v>
      </c>
      <c r="C13" s="756" t="str">
        <f>IF(D13="PENDIENTE EVALUAR EL IMPACTO","PENDIENTE EVALUAR EL IMPACTO COLUMNAS H-W",VLOOKUP(D13,[20]Datos!$K$8:$L$12,2,FALSE))</f>
        <v>PENDIENTE EVALUAR EL IMPACTO COLUMNAS H-W</v>
      </c>
      <c r="D13" s="805" t="str">
        <f t="shared" si="1"/>
        <v>PENDIENTE EVALUAR EL IMPACTO</v>
      </c>
      <c r="E13" s="895"/>
      <c r="F13" s="895"/>
      <c r="G13" s="895"/>
      <c r="H13" s="895"/>
      <c r="I13" s="895"/>
      <c r="J13" s="895"/>
      <c r="K13" s="895"/>
      <c r="L13" s="895"/>
      <c r="M13" s="895"/>
      <c r="N13" s="895"/>
      <c r="O13" s="895"/>
      <c r="P13" s="895"/>
      <c r="Q13" s="895"/>
      <c r="R13" s="895"/>
      <c r="S13" s="895"/>
      <c r="T13" s="895"/>
      <c r="U13" s="895"/>
      <c r="V13" s="895"/>
      <c r="W13" s="895"/>
      <c r="X13" s="808">
        <f t="shared" si="0"/>
        <v>0</v>
      </c>
    </row>
    <row r="14" spans="1:24" ht="45" x14ac:dyDescent="0.25">
      <c r="A14" s="805">
        <f>'[20]Identificación del Riesgo MC'!D16</f>
        <v>8</v>
      </c>
      <c r="B14" s="805" t="str">
        <f>'[20]Identificación del Riesgo MC'!E16</f>
        <v>Existencia de conflictos de interéses para llevar a cabo las auditorías.</v>
      </c>
      <c r="C14" s="756">
        <f>IF(D14="PENDIENTE EVALUAR EL IMPACTO","PENDIENTE EVALUAR EL IMPACTO COLUMNAS H-W",VLOOKUP(D14,[20]Datos!$K$8:$L$12,2,FALSE))</f>
        <v>4</v>
      </c>
      <c r="D14" s="805" t="str">
        <f t="shared" si="1"/>
        <v>MAYOR</v>
      </c>
      <c r="E14" s="895" t="s">
        <v>122</v>
      </c>
      <c r="F14" s="895" t="s">
        <v>122</v>
      </c>
      <c r="G14" s="895" t="s">
        <v>263</v>
      </c>
      <c r="H14" s="895" t="s">
        <v>263</v>
      </c>
      <c r="I14" s="895" t="s">
        <v>122</v>
      </c>
      <c r="J14" s="895" t="s">
        <v>122</v>
      </c>
      <c r="K14" s="895" t="s">
        <v>263</v>
      </c>
      <c r="L14" s="895" t="s">
        <v>263</v>
      </c>
      <c r="M14" s="895" t="s">
        <v>122</v>
      </c>
      <c r="N14" s="895" t="s">
        <v>122</v>
      </c>
      <c r="O14" s="895" t="s">
        <v>122</v>
      </c>
      <c r="P14" s="895" t="s">
        <v>122</v>
      </c>
      <c r="Q14" s="895" t="s">
        <v>263</v>
      </c>
      <c r="R14" s="895" t="s">
        <v>263</v>
      </c>
      <c r="S14" s="895" t="s">
        <v>122</v>
      </c>
      <c r="T14" s="895" t="s">
        <v>263</v>
      </c>
      <c r="U14" s="895" t="s">
        <v>263</v>
      </c>
      <c r="V14" s="895" t="s">
        <v>263</v>
      </c>
      <c r="W14" s="895" t="s">
        <v>263</v>
      </c>
      <c r="X14" s="808">
        <f t="shared" si="0"/>
        <v>9</v>
      </c>
    </row>
    <row r="15" spans="1:24" ht="87.75" customHeight="1" x14ac:dyDescent="0.25">
      <c r="A15" s="805">
        <f>'[20]Identificación del Riesgo MC'!D17</f>
        <v>9</v>
      </c>
      <c r="B15" s="805" t="str">
        <f>'[20]Identificación del Riesgo MC'!E17</f>
        <v>Manipulación de la información producto de los mecanismos de medición, seguimiento y control.</v>
      </c>
      <c r="C15" s="756">
        <f>IF(D15="PENDIENTE EVALUAR EL IMPACTO","PENDIENTE EVALUAR EL IMPACTO COLUMNAS H-W",VLOOKUP(D15,[20]Datos!$K$8:$L$12,2,FALSE))</f>
        <v>5</v>
      </c>
      <c r="D15" s="805" t="str">
        <f t="shared" si="1"/>
        <v>CATASTRÓFICO</v>
      </c>
      <c r="E15" s="895" t="s">
        <v>122</v>
      </c>
      <c r="F15" s="895" t="s">
        <v>122</v>
      </c>
      <c r="G15" s="895" t="s">
        <v>122</v>
      </c>
      <c r="H15" s="895" t="s">
        <v>122</v>
      </c>
      <c r="I15" s="895" t="s">
        <v>122</v>
      </c>
      <c r="J15" s="895" t="s">
        <v>122</v>
      </c>
      <c r="K15" s="895" t="s">
        <v>122</v>
      </c>
      <c r="L15" s="895" t="s">
        <v>122</v>
      </c>
      <c r="M15" s="895" t="s">
        <v>122</v>
      </c>
      <c r="N15" s="895" t="s">
        <v>122</v>
      </c>
      <c r="O15" s="895" t="s">
        <v>122</v>
      </c>
      <c r="P15" s="895" t="s">
        <v>122</v>
      </c>
      <c r="Q15" s="895" t="s">
        <v>263</v>
      </c>
      <c r="R15" s="895" t="s">
        <v>263</v>
      </c>
      <c r="S15" s="895" t="s">
        <v>122</v>
      </c>
      <c r="T15" s="895" t="s">
        <v>263</v>
      </c>
      <c r="U15" s="895" t="s">
        <v>122</v>
      </c>
      <c r="V15" s="895" t="s">
        <v>122</v>
      </c>
      <c r="W15" s="895" t="s">
        <v>263</v>
      </c>
      <c r="X15" s="808">
        <f t="shared" si="0"/>
        <v>15</v>
      </c>
    </row>
    <row r="16" spans="1:24" ht="60" x14ac:dyDescent="0.25">
      <c r="A16" s="805" t="e">
        <f>'[20]Identificación del Riesgo MC'!#REF!</f>
        <v>#REF!</v>
      </c>
      <c r="B16" s="805" t="e">
        <f>'[20]Identificación del Riesgo MC'!#REF!</f>
        <v>#REF!</v>
      </c>
      <c r="C16" s="756" t="str">
        <f>IF(D16="PENDIENTE EVALUAR EL IMPACTO","PENDIENTE EVALUAR EL IMPACTO COLUMNAS H-W",VLOOKUP(D16,[20]Datos!$K$8:$L$12,2,FALSE))</f>
        <v>PENDIENTE EVALUAR EL IMPACTO COLUMNAS H-W</v>
      </c>
      <c r="D16" s="805" t="str">
        <f t="shared" si="1"/>
        <v>PENDIENTE EVALUAR EL IMPACTO</v>
      </c>
      <c r="E16" s="895"/>
      <c r="F16" s="895"/>
      <c r="G16" s="895"/>
      <c r="H16" s="895"/>
      <c r="I16" s="895"/>
      <c r="J16" s="895"/>
      <c r="K16" s="895"/>
      <c r="L16" s="895"/>
      <c r="M16" s="895"/>
      <c r="N16" s="895"/>
      <c r="O16" s="895"/>
      <c r="P16" s="895"/>
      <c r="Q16" s="895"/>
      <c r="R16" s="895"/>
      <c r="S16" s="895"/>
      <c r="T16" s="895"/>
      <c r="U16" s="895"/>
      <c r="V16" s="895"/>
      <c r="W16" s="895"/>
      <c r="X16" s="808">
        <f t="shared" si="0"/>
        <v>0</v>
      </c>
    </row>
  </sheetData>
  <mergeCells count="6">
    <mergeCell ref="A1:D4"/>
    <mergeCell ref="E1:T4"/>
    <mergeCell ref="U1:X2"/>
    <mergeCell ref="U3:X4"/>
    <mergeCell ref="A5:D5"/>
    <mergeCell ref="E5:X5"/>
  </mergeCells>
  <dataValidations count="1">
    <dataValidation type="list" allowBlank="1" showInputMessage="1" showErrorMessage="1" sqref="E7:W16" xr:uid="{00000000-0002-0000-7E00-000000000000}">
      <formula1>"SI,NO"</formula1>
    </dataValidation>
  </dataValidations>
  <pageMargins left="0.51181102362204722" right="0.70866141732283472" top="1.1417322834645669" bottom="0.74803149606299213" header="0.31496062992125984" footer="0.31496062992125984"/>
  <pageSetup scale="35" orientation="landscape" horizontalDpi="1200" verticalDpi="1200" r:id="rId1"/>
  <headerFooter>
    <oddHeader>&amp;L&amp;G&amp;C
&amp;"-,Negrita"Matriz de Riesgos</oddHeader>
  </headerFooter>
  <colBreaks count="1" manualBreakCount="1">
    <brk id="4" max="1048575" man="1"/>
  </colBreaks>
  <drawing r:id="rId2"/>
  <legacyDrawing r:id="rId3"/>
  <legacyDrawingHF r:id="rId4"/>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X13"/>
  <sheetViews>
    <sheetView zoomScale="85" zoomScaleNormal="85" workbookViewId="0">
      <selection activeCell="D1" sqref="D1:V2"/>
    </sheetView>
  </sheetViews>
  <sheetFormatPr baseColWidth="10" defaultRowHeight="15" x14ac:dyDescent="0.2"/>
  <cols>
    <col min="1" max="1" width="3.625" style="719" customWidth="1"/>
    <col min="2" max="2" width="26.625" style="719" customWidth="1"/>
    <col min="3" max="3" width="38.875" style="719" customWidth="1"/>
    <col min="4" max="4" width="38.5" style="719" customWidth="1"/>
    <col min="5" max="5" width="20.5" style="719" customWidth="1"/>
    <col min="6" max="6" width="25.875" style="719" customWidth="1"/>
    <col min="7" max="7" width="23" style="719" customWidth="1"/>
    <col min="8" max="10" width="19.375" style="719" customWidth="1"/>
    <col min="11" max="11" width="18.25" style="719" customWidth="1"/>
    <col min="12" max="12" width="53.125" style="719" customWidth="1"/>
    <col min="13" max="13" width="27.25" style="719" customWidth="1"/>
    <col min="14" max="15" width="10.75" style="719" customWidth="1"/>
    <col min="16" max="16" width="27.25" style="719" customWidth="1"/>
    <col min="17" max="22" width="25.75" style="719" customWidth="1"/>
    <col min="23" max="23" width="33.5" style="719" customWidth="1"/>
    <col min="24" max="24" width="45.625" style="719" customWidth="1"/>
    <col min="25" max="16384" width="11" style="719"/>
  </cols>
  <sheetData>
    <row r="1" spans="1:24" ht="40.5" customHeight="1" x14ac:dyDescent="0.2">
      <c r="A1" s="1556"/>
      <c r="B1" s="1556"/>
      <c r="C1" s="1556"/>
      <c r="D1" s="1180" t="s">
        <v>314</v>
      </c>
      <c r="E1" s="1181"/>
      <c r="F1" s="1181"/>
      <c r="G1" s="1181"/>
      <c r="H1" s="1181"/>
      <c r="I1" s="1181"/>
      <c r="J1" s="1181"/>
      <c r="K1" s="1181"/>
      <c r="L1" s="1181"/>
      <c r="M1" s="1181"/>
      <c r="N1" s="1181"/>
      <c r="O1" s="1181"/>
      <c r="P1" s="1181"/>
      <c r="Q1" s="1181"/>
      <c r="R1" s="1181"/>
      <c r="S1" s="1181"/>
      <c r="T1" s="1181"/>
      <c r="U1" s="1181"/>
      <c r="V1" s="1182"/>
      <c r="W1" s="717" t="s">
        <v>315</v>
      </c>
      <c r="X1" s="718"/>
    </row>
    <row r="2" spans="1:24" ht="40.5" customHeight="1" x14ac:dyDescent="0.2">
      <c r="A2" s="1556"/>
      <c r="B2" s="1556"/>
      <c r="C2" s="1556"/>
      <c r="D2" s="1183"/>
      <c r="E2" s="1184"/>
      <c r="F2" s="1184"/>
      <c r="G2" s="1184"/>
      <c r="H2" s="1184"/>
      <c r="I2" s="1184"/>
      <c r="J2" s="1184"/>
      <c r="K2" s="1184"/>
      <c r="L2" s="1184"/>
      <c r="M2" s="1184"/>
      <c r="N2" s="1184"/>
      <c r="O2" s="1184"/>
      <c r="P2" s="1184"/>
      <c r="Q2" s="1184"/>
      <c r="R2" s="1184"/>
      <c r="S2" s="1184"/>
      <c r="T2" s="1184"/>
      <c r="U2" s="1184"/>
      <c r="V2" s="1185"/>
      <c r="W2" s="717" t="s">
        <v>316</v>
      </c>
      <c r="X2" s="718"/>
    </row>
    <row r="3" spans="1:24" ht="30" x14ac:dyDescent="0.2">
      <c r="A3" s="1557" t="s">
        <v>57</v>
      </c>
      <c r="B3" s="1558"/>
      <c r="C3" s="1558"/>
      <c r="D3" s="1558"/>
      <c r="E3" s="1558"/>
      <c r="F3" s="1558"/>
      <c r="G3" s="1559"/>
      <c r="H3" s="1560"/>
      <c r="I3" s="1560"/>
      <c r="J3" s="1560"/>
      <c r="K3" s="1560"/>
      <c r="L3" s="1561" t="s">
        <v>60</v>
      </c>
      <c r="M3" s="1560"/>
      <c r="N3" s="1560"/>
      <c r="O3" s="1560"/>
      <c r="P3" s="1562"/>
      <c r="Q3" s="1563" t="s">
        <v>61</v>
      </c>
      <c r="R3" s="1564"/>
      <c r="S3" s="1564"/>
      <c r="T3" s="1564"/>
      <c r="U3" s="1564"/>
      <c r="V3" s="1565"/>
      <c r="W3" s="720" t="s">
        <v>62</v>
      </c>
      <c r="X3" s="720" t="s">
        <v>63</v>
      </c>
    </row>
    <row r="4" spans="1:24" ht="38.25" x14ac:dyDescent="0.2">
      <c r="A4" s="536" t="s">
        <v>44</v>
      </c>
      <c r="B4" s="537" t="s">
        <v>64</v>
      </c>
      <c r="C4" s="537" t="s">
        <v>65</v>
      </c>
      <c r="D4" s="537" t="s">
        <v>317</v>
      </c>
      <c r="E4" s="537" t="s">
        <v>68</v>
      </c>
      <c r="F4" s="537" t="s">
        <v>69</v>
      </c>
      <c r="G4" s="538" t="s">
        <v>71</v>
      </c>
      <c r="H4" s="537" t="s">
        <v>81</v>
      </c>
      <c r="I4" s="537" t="s">
        <v>82</v>
      </c>
      <c r="J4" s="537" t="s">
        <v>83</v>
      </c>
      <c r="K4" s="539" t="s">
        <v>84</v>
      </c>
      <c r="L4" s="536" t="s">
        <v>85</v>
      </c>
      <c r="M4" s="537" t="s">
        <v>86</v>
      </c>
      <c r="N4" s="537" t="s">
        <v>87</v>
      </c>
      <c r="O4" s="537" t="s">
        <v>88</v>
      </c>
      <c r="P4" s="538" t="s">
        <v>89</v>
      </c>
      <c r="Q4" s="536" t="s">
        <v>90</v>
      </c>
      <c r="R4" s="537" t="s">
        <v>91</v>
      </c>
      <c r="S4" s="537" t="s">
        <v>92</v>
      </c>
      <c r="T4" s="537" t="s">
        <v>91</v>
      </c>
      <c r="U4" s="537" t="s">
        <v>93</v>
      </c>
      <c r="V4" s="538" t="s">
        <v>91</v>
      </c>
      <c r="W4" s="540" t="s">
        <v>94</v>
      </c>
      <c r="X4" s="540" t="s">
        <v>95</v>
      </c>
    </row>
    <row r="5" spans="1:24" ht="165" customHeight="1" x14ac:dyDescent="0.2">
      <c r="A5" s="721">
        <v>1</v>
      </c>
      <c r="B5" s="721" t="str">
        <f>+'[20]Identificación del Riesgo MC'!E9</f>
        <v>Planes de Mejora no eficaces</v>
      </c>
      <c r="C5" s="721" t="str">
        <f>+'[20]Identificación del Riesgo MC'!H9</f>
        <v>No se ha estandarizado los lineamientos para establecer y realizar seguimiento a los planes de mejoramiento.
Falta de cultura por parte de los procesos para establecer planes de mejoramiento producto de fuentes de medición y evaluación.
Desconocimiento por parte de algunos servidores públicos sobre la importancia y aplicación de los sistemas de gestión y control.
Desconocimiento por parte de algunos servidores públicos sobre las diferentes metodologías de análisis de causa para el establecimiento de planes de mejoramiento.</v>
      </c>
      <c r="D5" s="721" t="str">
        <f>+'[20]Identificación del Riesgo MC'!I9</f>
        <v>Ineficiencia de procesos.
Pérdida de credibilidad de los servidores públicos sobre el Sistema de Gestión.</v>
      </c>
      <c r="E5" s="721" t="str">
        <f>+'[20]Analisis Riesgo'!F7</f>
        <v>Casi Seguro</v>
      </c>
      <c r="F5" s="721" t="str">
        <f>+'[20]Analisis Riesgo'!G7</f>
        <v>Mayor</v>
      </c>
      <c r="G5" s="722" t="str">
        <f>+'[20]Analisis Riesgo'!I7</f>
        <v>EXTREMO</v>
      </c>
      <c r="H5" s="723" t="str">
        <f>+'[20]Analisis Riesgo'!U7</f>
        <v>Casi Seguro</v>
      </c>
      <c r="I5" s="723" t="str">
        <f>+'[20]Analisis Riesgo'!V7</f>
        <v>Mayor</v>
      </c>
      <c r="J5" s="724" t="str">
        <f>+'[20]Analisis Riesgo'!W7</f>
        <v>EXTREMO</v>
      </c>
      <c r="K5" s="721" t="str">
        <f>+'[20]Analisis Riesgo'!X7</f>
        <v>Reducir el riesgo</v>
      </c>
      <c r="L5" s="921" t="s">
        <v>1464</v>
      </c>
      <c r="M5" s="922" t="s">
        <v>1465</v>
      </c>
      <c r="N5" s="923" t="s">
        <v>1466</v>
      </c>
      <c r="O5" s="923" t="s">
        <v>1467</v>
      </c>
      <c r="P5" s="921" t="s">
        <v>1468</v>
      </c>
      <c r="Q5" s="729"/>
      <c r="R5" s="729"/>
      <c r="S5" s="729"/>
      <c r="T5" s="729"/>
      <c r="U5" s="729"/>
      <c r="V5" s="729"/>
      <c r="W5" s="729"/>
      <c r="X5" s="729"/>
    </row>
    <row r="6" spans="1:24" ht="87.75" customHeight="1" x14ac:dyDescent="0.2">
      <c r="A6" s="721">
        <v>2</v>
      </c>
      <c r="B6" s="721" t="str">
        <f>+'[20]Identificación del Riesgo MC'!E10</f>
        <v>Establecer sistemas de gestión y control que no sean adecuados, eficaces y convenientes</v>
      </c>
      <c r="C6" s="721" t="str">
        <f>+'[20]Identificación del Riesgo MC'!H10</f>
        <v>Las herramientas de autodiagnósticos suministradas por el DAFP en algunos casos no contienen criterios objetivos para determinar el grado de cumplimiento.
Cambios metodológicos en herramientas de gestión de riesgos tomadas para el desarrollo del sistema de gestión.</v>
      </c>
      <c r="D6" s="721" t="str">
        <f>+'[20]Identificación del Riesgo MC'!I10</f>
        <v>Ineficiencia de procesos.
Pérdida de credibilidad de los servidores públicos sobre el Sistema de Gestión.
Desgaste administrativo.</v>
      </c>
      <c r="E6" s="721" t="str">
        <f>+'[20]Analisis Riesgo'!F8</f>
        <v>Casi Seguro</v>
      </c>
      <c r="F6" s="721" t="str">
        <f>+'[20]Analisis Riesgo'!G8</f>
        <v>Mayor</v>
      </c>
      <c r="G6" s="722" t="str">
        <f>+'[20]Analisis Riesgo'!I8</f>
        <v>EXTREMO</v>
      </c>
      <c r="H6" s="723" t="str">
        <f>+'[20]Analisis Riesgo'!U8</f>
        <v>Casi Seguro</v>
      </c>
      <c r="I6" s="723" t="str">
        <f>+'[20]Analisis Riesgo'!V8</f>
        <v>Mayor</v>
      </c>
      <c r="J6" s="724" t="str">
        <f>+'[20]Analisis Riesgo'!W8</f>
        <v>EXTREMO</v>
      </c>
      <c r="K6" s="721" t="str">
        <f>+'[20]Analisis Riesgo'!X8</f>
        <v>Reducir el riesgo</v>
      </c>
      <c r="L6" s="921" t="s">
        <v>1469</v>
      </c>
      <c r="M6" s="922" t="s">
        <v>1465</v>
      </c>
      <c r="N6" s="924">
        <v>44256</v>
      </c>
      <c r="O6" s="924">
        <v>44285</v>
      </c>
      <c r="P6" s="921" t="s">
        <v>1470</v>
      </c>
      <c r="Q6" s="729"/>
      <c r="R6" s="729"/>
      <c r="S6" s="729"/>
      <c r="T6" s="729"/>
      <c r="U6" s="729"/>
      <c r="V6" s="729"/>
      <c r="W6" s="729"/>
      <c r="X6" s="729"/>
    </row>
    <row r="7" spans="1:24" ht="111" customHeight="1" x14ac:dyDescent="0.2">
      <c r="A7" s="721">
        <v>3</v>
      </c>
      <c r="B7" s="721" t="str">
        <f>+'[20]Identificación del Riesgo MC'!E11</f>
        <v>Establecer inadecuadamente el programa de auditoría de calidad.</v>
      </c>
      <c r="C7" s="721" t="str">
        <f>+'[20]Identificación del Riesgo MC'!H11</f>
        <v>Las personas que administran el programa  no cuentan con la competencia para establecer estos documentos.
No considerar en el establecimiento del programa de auditoría los requisitos de la norma ISO 9001:2015 en el apartado 9,2</v>
      </c>
      <c r="D7" s="721" t="str">
        <f>+'[20]Identificación del Riesgo MC'!I11</f>
        <v>No cumplir los objetivos de auditoría.</v>
      </c>
      <c r="E7" s="721" t="str">
        <f>+'[20]Analisis Riesgo'!F9</f>
        <v>Casi Seguro</v>
      </c>
      <c r="F7" s="721" t="str">
        <f>+'[20]Analisis Riesgo'!G9</f>
        <v>Moderado</v>
      </c>
      <c r="G7" s="722" t="str">
        <f>+'[20]Analisis Riesgo'!I9</f>
        <v>EXTREMO</v>
      </c>
      <c r="H7" s="723" t="str">
        <f>+'[20]Analisis Riesgo'!U9</f>
        <v>Casi Seguro</v>
      </c>
      <c r="I7" s="723" t="str">
        <f>+'[20]Analisis Riesgo'!V9</f>
        <v>Moderado</v>
      </c>
      <c r="J7" s="724" t="str">
        <f>+'[20]Analisis Riesgo'!W9</f>
        <v>EXTREMO</v>
      </c>
      <c r="K7" s="721" t="str">
        <f>+'[20]Analisis Riesgo'!X9</f>
        <v>Reducir el riesgo</v>
      </c>
      <c r="L7" s="921" t="s">
        <v>1471</v>
      </c>
      <c r="M7" s="922" t="s">
        <v>1465</v>
      </c>
      <c r="N7" s="924">
        <v>44256</v>
      </c>
      <c r="O7" s="924">
        <v>44285</v>
      </c>
      <c r="P7" s="921" t="s">
        <v>1470</v>
      </c>
      <c r="Q7" s="729"/>
      <c r="R7" s="729"/>
      <c r="S7" s="729"/>
      <c r="T7" s="729"/>
      <c r="U7" s="729"/>
      <c r="V7" s="729"/>
      <c r="W7" s="729"/>
      <c r="X7" s="729"/>
    </row>
    <row r="8" spans="1:24" ht="69.75" customHeight="1" x14ac:dyDescent="0.2">
      <c r="A8" s="721">
        <v>4</v>
      </c>
      <c r="B8" s="721" t="str">
        <f>+'[20]Identificación del Riesgo MC'!E12</f>
        <v>Incumplimientos en los objetivos de auditorías internas.</v>
      </c>
      <c r="C8" s="721" t="str">
        <f>+'[20]Identificación del Riesgo MC'!H12</f>
        <v>Desconocimiento de los servidores públicos sobre la importancia y beneficios de las auditorías internas sobre los procesos.</v>
      </c>
      <c r="D8" s="721" t="str">
        <f>+'[20]Identificación del Riesgo MC'!I12</f>
        <v>Desconocimiento del estado y desempeño del sistema de Gestión.</v>
      </c>
      <c r="E8" s="721" t="str">
        <f>+'[20]Analisis Riesgo'!F10</f>
        <v>Casi Seguro</v>
      </c>
      <c r="F8" s="721" t="str">
        <f>+'[20]Analisis Riesgo'!G10</f>
        <v>Moderado</v>
      </c>
      <c r="G8" s="722" t="str">
        <f>+'[20]Analisis Riesgo'!I10</f>
        <v>EXTREMO</v>
      </c>
      <c r="H8" s="723" t="str">
        <f>+'[20]Analisis Riesgo'!U10</f>
        <v>Casi Seguro</v>
      </c>
      <c r="I8" s="723" t="str">
        <f>+'[20]Analisis Riesgo'!V10</f>
        <v>Moderado</v>
      </c>
      <c r="J8" s="724" t="str">
        <f>+'[20]Analisis Riesgo'!W10</f>
        <v>EXTREMO</v>
      </c>
      <c r="K8" s="721" t="str">
        <f>+'[20]Analisis Riesgo'!X10</f>
        <v>Reducir el riesgo</v>
      </c>
      <c r="L8" s="921" t="s">
        <v>1472</v>
      </c>
      <c r="M8" s="922" t="s">
        <v>1465</v>
      </c>
      <c r="N8" s="924">
        <v>44256</v>
      </c>
      <c r="O8" s="924">
        <v>44285</v>
      </c>
      <c r="P8" s="921" t="s">
        <v>1470</v>
      </c>
      <c r="Q8" s="729"/>
      <c r="R8" s="729"/>
      <c r="S8" s="729"/>
      <c r="T8" s="729"/>
      <c r="U8" s="729"/>
      <c r="V8" s="729"/>
      <c r="W8" s="729"/>
      <c r="X8" s="729"/>
    </row>
    <row r="9" spans="1:24" ht="72.75" customHeight="1" x14ac:dyDescent="0.2">
      <c r="A9" s="721">
        <v>5</v>
      </c>
      <c r="B9" s="721" t="str">
        <f>+'[20]Identificación del Riesgo MC'!E13</f>
        <v>Utilización de documentación con información obsoleta o no vigente por parte de los procesos.</v>
      </c>
      <c r="C9" s="721" t="str">
        <f>+'[20]Identificación del Riesgo MC'!H13</f>
        <v>Falta de toma de conciencia sobre el control de documentos del sistema de gestión de calidad por parte de los procesos.
El aplicativo para la documentación del Sistema de Gestión de calidad se encuentra desactualizado.</v>
      </c>
      <c r="D9" s="721" t="str">
        <f>+'[20]Identificación del Riesgo MC'!I13</f>
        <v>Hallazgos de auditoría.
Falta de dinamización del sistema de Gestión.
Incumplimientos normativos</v>
      </c>
      <c r="E9" s="721" t="str">
        <f>+'[20]Analisis Riesgo'!F11</f>
        <v>Casi Seguro</v>
      </c>
      <c r="F9" s="721" t="str">
        <f>+'[20]Analisis Riesgo'!G11</f>
        <v>Catastrófico</v>
      </c>
      <c r="G9" s="722" t="str">
        <f>+'[20]Analisis Riesgo'!I11</f>
        <v>EXTREMO</v>
      </c>
      <c r="H9" s="723" t="str">
        <f>+'[20]Analisis Riesgo'!U11</f>
        <v>Probable</v>
      </c>
      <c r="I9" s="723" t="str">
        <f>+'[20]Analisis Riesgo'!V11</f>
        <v>Catastrófico</v>
      </c>
      <c r="J9" s="724" t="str">
        <f>+'[20]Analisis Riesgo'!W11</f>
        <v>EXTREMO</v>
      </c>
      <c r="K9" s="721" t="str">
        <f>+'[20]Analisis Riesgo'!X11</f>
        <v>Reducir el riesgo</v>
      </c>
      <c r="L9" s="921" t="s">
        <v>1473</v>
      </c>
      <c r="M9" s="922" t="s">
        <v>1465</v>
      </c>
      <c r="N9" s="924">
        <v>44256</v>
      </c>
      <c r="O9" s="924">
        <v>44346</v>
      </c>
      <c r="P9" s="921" t="s">
        <v>1470</v>
      </c>
      <c r="Q9" s="729"/>
      <c r="R9" s="729"/>
      <c r="S9" s="729"/>
      <c r="T9" s="729"/>
      <c r="U9" s="729"/>
      <c r="V9" s="729"/>
      <c r="W9" s="729"/>
      <c r="X9" s="729"/>
    </row>
    <row r="10" spans="1:24" ht="109.5" customHeight="1" x14ac:dyDescent="0.2">
      <c r="A10" s="721">
        <v>6</v>
      </c>
      <c r="B10" s="721" t="str">
        <f>+'[20]Identificación del Riesgo MC'!E14</f>
        <v>Materialización de los riesgos en los procesos.</v>
      </c>
      <c r="C10" s="721" t="str">
        <f>+'[20]Identificación del Riesgo MC'!H14</f>
        <v>No se ha estandarizado los lineamientos para establecer y realizar seguimiento a los planes de mejoramiento.
No se han socializado a los procesos el contexto de la organización (DOFA) para su respectiva toma de decisiones.
Desconocimiento de la metodología de administración de riesgos.
Inadecuada identificación de controles para tratar riesgos residuales e ineficacia.</v>
      </c>
      <c r="D10" s="721" t="str">
        <f>+'[20]Identificación del Riesgo MC'!I14</f>
        <v>Hallazgos disciplinarios y fiscales.
Pérdida de recursos.
Afectación a la imagen institucional.</v>
      </c>
      <c r="E10" s="721" t="str">
        <f>+'[20]Analisis Riesgo'!F12</f>
        <v>Casi Seguro</v>
      </c>
      <c r="F10" s="721" t="str">
        <f>+'[20]Analisis Riesgo'!G12</f>
        <v>Catastrófico</v>
      </c>
      <c r="G10" s="722" t="str">
        <f>+'[20]Analisis Riesgo'!I12</f>
        <v>EXTREMO</v>
      </c>
      <c r="H10" s="723" t="str">
        <f>+'[20]Analisis Riesgo'!U12</f>
        <v>Probable</v>
      </c>
      <c r="I10" s="723" t="str">
        <f>+'[20]Analisis Riesgo'!V12</f>
        <v>Catastrófico</v>
      </c>
      <c r="J10" s="724" t="str">
        <f>+'[20]Analisis Riesgo'!W12</f>
        <v>EXTREMO</v>
      </c>
      <c r="K10" s="721" t="str">
        <f>+'[20]Analisis Riesgo'!X12</f>
        <v>Reducir el riesgo</v>
      </c>
      <c r="L10" s="925" t="s">
        <v>1474</v>
      </c>
      <c r="M10" s="922" t="s">
        <v>1475</v>
      </c>
      <c r="N10" s="923" t="s">
        <v>1476</v>
      </c>
      <c r="O10" s="923" t="s">
        <v>1477</v>
      </c>
      <c r="P10" s="921" t="s">
        <v>1478</v>
      </c>
      <c r="Q10" s="729"/>
      <c r="R10" s="729"/>
      <c r="S10" s="729"/>
      <c r="T10" s="729"/>
      <c r="U10" s="729"/>
      <c r="V10" s="729"/>
      <c r="W10" s="729"/>
      <c r="X10" s="729"/>
    </row>
    <row r="11" spans="1:24" ht="76.5" customHeight="1" x14ac:dyDescent="0.2">
      <c r="A11" s="721">
        <v>7</v>
      </c>
      <c r="B11" s="721" t="str">
        <f>+'[20]Identificación del Riesgo MC'!E15</f>
        <v>Los mecanismos de medición, seguimiento y control no son considerados para la toma de decisiones.</v>
      </c>
      <c r="C11" s="721" t="str">
        <f>+'[20]Identificación del Riesgo MC'!H15</f>
        <v>Desconocimiento por parte de algunos servidores públicos sobre la importancia y aplicación de los mecanismos de medición, seguimiento y control.</v>
      </c>
      <c r="D11" s="721" t="str">
        <f>+'[20]Identificación del Riesgo MC'!I15</f>
        <v>Falta de dinamización del sistema de Gestión.
Ineficiencia de procesos.
Pérdida de credibilidad de los servidores públicos sobre el Sistema de Gestión.
Desgaste administrativo.</v>
      </c>
      <c r="E11" s="721" t="str">
        <f>+'[20]Analisis Riesgo'!F13</f>
        <v>Casi Seguro</v>
      </c>
      <c r="F11" s="721" t="str">
        <f>+'[20]Analisis Riesgo'!G13</f>
        <v>Mayor</v>
      </c>
      <c r="G11" s="722" t="str">
        <f>+'[20]Analisis Riesgo'!I13</f>
        <v>EXTREMO</v>
      </c>
      <c r="H11" s="723" t="str">
        <f>+'[20]Analisis Riesgo'!U13</f>
        <v>Casi Seguro</v>
      </c>
      <c r="I11" s="723" t="str">
        <f>+'[20]Analisis Riesgo'!V13</f>
        <v>Mayor</v>
      </c>
      <c r="J11" s="724" t="str">
        <f>+'[20]Analisis Riesgo'!W13</f>
        <v>EXTREMO</v>
      </c>
      <c r="K11" s="721" t="str">
        <f>+'[20]Analisis Riesgo'!X13</f>
        <v>Reducir el riesgo</v>
      </c>
      <c r="L11" s="921" t="s">
        <v>1479</v>
      </c>
      <c r="M11" s="922" t="s">
        <v>1465</v>
      </c>
      <c r="N11" s="924">
        <v>44256</v>
      </c>
      <c r="O11" s="924">
        <v>44316</v>
      </c>
      <c r="P11" s="921" t="s">
        <v>1470</v>
      </c>
      <c r="Q11" s="729"/>
      <c r="R11" s="729"/>
      <c r="S11" s="729"/>
      <c r="T11" s="729"/>
      <c r="U11" s="729"/>
      <c r="V11" s="729"/>
      <c r="W11" s="729"/>
      <c r="X11" s="729"/>
    </row>
    <row r="12" spans="1:24" ht="75.75" customHeight="1" x14ac:dyDescent="0.2">
      <c r="A12" s="721">
        <v>8</v>
      </c>
      <c r="B12" s="721" t="str">
        <f>+'[20]Identificación del Riesgo MC'!E16</f>
        <v>Existencia de conflictos de interéses para llevar a cabo las auditorías.</v>
      </c>
      <c r="C12" s="721" t="str">
        <f>+'[20]Identificación del Riesgo MC'!H16</f>
        <v>El procedimiento de auditorías internas no contempla las posibles situaciones de conflictos de intereses.</v>
      </c>
      <c r="D12" s="721" t="str">
        <f>+'[20]Identificación del Riesgo MC'!I16</f>
        <v>No lograr la objetividad en los informes de auditoría.
Pérdida de credibilidad de los servidores públicos sobre el Sistema de Gestión.
Procesos disciplinarios.</v>
      </c>
      <c r="E12" s="721" t="str">
        <f>+'[20]Analisis Riesgo'!F14</f>
        <v>Posible</v>
      </c>
      <c r="F12" s="721" t="str">
        <f>+'[20]Analisis Riesgo'!G14</f>
        <v>Mayor</v>
      </c>
      <c r="G12" s="722" t="str">
        <f>+'[20]Analisis Riesgo'!I14</f>
        <v>EXTREMO</v>
      </c>
      <c r="H12" s="723" t="str">
        <f>+'[20]Analisis Riesgo'!U14</f>
        <v>Posible</v>
      </c>
      <c r="I12" s="723" t="str">
        <f>+'[20]Analisis Riesgo'!V14</f>
        <v>Mayor</v>
      </c>
      <c r="J12" s="724" t="str">
        <f>+'[20]Analisis Riesgo'!W14</f>
        <v>EXTREMO</v>
      </c>
      <c r="K12" s="721" t="str">
        <f>+'[20]Analisis Riesgo'!X14</f>
        <v>Reducir el riesgo</v>
      </c>
      <c r="L12" s="921" t="s">
        <v>1480</v>
      </c>
      <c r="M12" s="922" t="s">
        <v>1465</v>
      </c>
      <c r="N12" s="924">
        <v>44256</v>
      </c>
      <c r="O12" s="924">
        <v>44316</v>
      </c>
      <c r="P12" s="921" t="s">
        <v>1481</v>
      </c>
      <c r="Q12" s="729"/>
      <c r="R12" s="729"/>
      <c r="S12" s="729"/>
      <c r="T12" s="729"/>
      <c r="U12" s="729"/>
      <c r="V12" s="729"/>
      <c r="W12" s="729"/>
      <c r="X12" s="729"/>
    </row>
    <row r="13" spans="1:24" ht="161.25" customHeight="1" thickBot="1" x14ac:dyDescent="0.25">
      <c r="A13" s="721">
        <v>9</v>
      </c>
      <c r="B13" s="721" t="str">
        <f>+'[20]Identificación del Riesgo MC'!E17</f>
        <v>Manipulación de la información producto de los mecanismos de medición, seguimiento y control.</v>
      </c>
      <c r="C13" s="721" t="str">
        <f>+'[20]Identificación del Riesgo MC'!H17</f>
        <v>Falta de claridad sobre la aplicación de las responsabilidades, roles de las líneas de defensa.
Falta de apropiación del sistema de Control Interno.
Los procedimientos de auditorías, administración de riesgos, indicadores y planes de mejoramiento no contemplan explícitamente los roles para su gestión.</v>
      </c>
      <c r="D13" s="721" t="str">
        <f>+'[20]Identificación del Riesgo MC'!I17</f>
        <v>Pérdida de credibilidad de los servidores públicos sobre el Sistema de Gestión.
Procesos disciplinarios.</v>
      </c>
      <c r="E13" s="721" t="str">
        <f>+'[20]Analisis Riesgo'!F15</f>
        <v>Rara vez</v>
      </c>
      <c r="F13" s="721" t="str">
        <f>+'[20]Analisis Riesgo'!G15</f>
        <v>Catastrófico</v>
      </c>
      <c r="G13" s="722" t="str">
        <f>+'[20]Analisis Riesgo'!I15</f>
        <v>EXTREMO</v>
      </c>
      <c r="H13" s="723" t="str">
        <f>+'[20]Analisis Riesgo'!U15</f>
        <v>Rara vez</v>
      </c>
      <c r="I13" s="723" t="str">
        <f>+'[20]Analisis Riesgo'!V15</f>
        <v>Catastrófico</v>
      </c>
      <c r="J13" s="724" t="str">
        <f>+'[20]Analisis Riesgo'!W15</f>
        <v>EXTREMO</v>
      </c>
      <c r="K13" s="721" t="str">
        <f>+'[20]Analisis Riesgo'!X15</f>
        <v>Reducir el riesgo</v>
      </c>
      <c r="L13" s="926" t="s">
        <v>1482</v>
      </c>
      <c r="M13" s="927" t="s">
        <v>1465</v>
      </c>
      <c r="N13" s="928" t="s">
        <v>1483</v>
      </c>
      <c r="O13" s="928" t="s">
        <v>1484</v>
      </c>
      <c r="P13" s="926" t="s">
        <v>1485</v>
      </c>
      <c r="Q13" s="729"/>
      <c r="R13" s="729"/>
      <c r="S13" s="729"/>
      <c r="T13" s="729"/>
      <c r="U13" s="729"/>
      <c r="V13" s="729"/>
      <c r="W13" s="729"/>
      <c r="X13" s="729"/>
    </row>
  </sheetData>
  <mergeCells count="6">
    <mergeCell ref="A1:C2"/>
    <mergeCell ref="D1:V2"/>
    <mergeCell ref="A3:G3"/>
    <mergeCell ref="H3:K3"/>
    <mergeCell ref="L3:P3"/>
    <mergeCell ref="Q3:V3"/>
  </mergeCells>
  <pageMargins left="0.7" right="0.7" top="0.75" bottom="0.75" header="0.3" footer="0.3"/>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11"/>
  <sheetViews>
    <sheetView showGridLines="0" zoomScale="70" zoomScaleNormal="70" zoomScaleSheetLayoutView="130" zoomScalePageLayoutView="90" workbookViewId="0">
      <selection activeCell="H9" sqref="H9"/>
    </sheetView>
  </sheetViews>
  <sheetFormatPr baseColWidth="10" defaultRowHeight="15" x14ac:dyDescent="0.25"/>
  <cols>
    <col min="1" max="2" width="13.25" style="151" customWidth="1"/>
    <col min="3" max="3" width="16.875" style="151" customWidth="1"/>
    <col min="4" max="4" width="3.625" style="168" customWidth="1"/>
    <col min="5" max="5" width="18.375" style="151" customWidth="1"/>
    <col min="6" max="6" width="21.625" style="151" customWidth="1"/>
    <col min="7" max="7" width="15" style="151" customWidth="1"/>
    <col min="8" max="8" width="45.125" style="151" customWidth="1"/>
    <col min="9" max="9" width="43.75" style="151" customWidth="1"/>
    <col min="10" max="10" width="20.625" style="151" customWidth="1"/>
    <col min="11" max="11" width="17.625" style="151" customWidth="1"/>
    <col min="12" max="12" width="18.75" style="151" customWidth="1"/>
    <col min="13" max="13" width="12.75" style="151" customWidth="1"/>
    <col min="14" max="14" width="27.125" style="151" customWidth="1"/>
    <col min="15" max="16384" width="11" style="151"/>
  </cols>
  <sheetData>
    <row r="1" spans="1:14" ht="15" customHeight="1" x14ac:dyDescent="0.25">
      <c r="A1" s="1105"/>
      <c r="B1" s="1105"/>
      <c r="C1" s="1105"/>
      <c r="D1" s="1107" t="s">
        <v>0</v>
      </c>
      <c r="E1" s="1107"/>
      <c r="F1" s="1107"/>
      <c r="G1" s="1107"/>
      <c r="H1" s="1107"/>
      <c r="I1" s="1107"/>
      <c r="J1" s="1107"/>
      <c r="K1" s="1107"/>
      <c r="L1" s="1107"/>
      <c r="M1" s="1108"/>
      <c r="N1" s="1111" t="s">
        <v>35</v>
      </c>
    </row>
    <row r="2" spans="1:14" ht="15" customHeight="1" x14ac:dyDescent="0.25">
      <c r="A2" s="1105"/>
      <c r="B2" s="1105"/>
      <c r="C2" s="1105"/>
      <c r="D2" s="1107"/>
      <c r="E2" s="1107"/>
      <c r="F2" s="1107"/>
      <c r="G2" s="1107"/>
      <c r="H2" s="1107"/>
      <c r="I2" s="1107"/>
      <c r="J2" s="1107"/>
      <c r="K2" s="1107"/>
      <c r="L2" s="1107"/>
      <c r="M2" s="1108"/>
      <c r="N2" s="1111"/>
    </row>
    <row r="3" spans="1:14" ht="15" customHeight="1" x14ac:dyDescent="0.25">
      <c r="A3" s="1105"/>
      <c r="B3" s="1105"/>
      <c r="C3" s="1105"/>
      <c r="D3" s="1107"/>
      <c r="E3" s="1107"/>
      <c r="F3" s="1107"/>
      <c r="G3" s="1107"/>
      <c r="H3" s="1107"/>
      <c r="I3" s="1107"/>
      <c r="J3" s="1107"/>
      <c r="K3" s="1107"/>
      <c r="L3" s="1107"/>
      <c r="M3" s="1108"/>
      <c r="N3" s="1111" t="s">
        <v>2</v>
      </c>
    </row>
    <row r="4" spans="1:14" ht="15" customHeight="1" x14ac:dyDescent="0.25">
      <c r="A4" s="1106"/>
      <c r="B4" s="1106"/>
      <c r="C4" s="1106"/>
      <c r="D4" s="1109"/>
      <c r="E4" s="1109"/>
      <c r="F4" s="1109"/>
      <c r="G4" s="1109"/>
      <c r="H4" s="1109"/>
      <c r="I4" s="1109"/>
      <c r="J4" s="1109"/>
      <c r="K4" s="1109"/>
      <c r="L4" s="1109"/>
      <c r="M4" s="1110"/>
      <c r="N4" s="1111"/>
    </row>
    <row r="5" spans="1:14" ht="15.75" x14ac:dyDescent="0.25">
      <c r="A5" s="1112" t="s">
        <v>36</v>
      </c>
      <c r="B5" s="1113"/>
      <c r="C5" s="1114"/>
      <c r="D5" s="1115" t="s">
        <v>322</v>
      </c>
      <c r="E5" s="1116"/>
      <c r="F5" s="1116"/>
      <c r="G5" s="1116"/>
      <c r="H5" s="1116"/>
      <c r="I5" s="1116"/>
      <c r="J5" s="1116"/>
      <c r="K5" s="1116"/>
      <c r="L5" s="1116"/>
      <c r="M5" s="1116"/>
      <c r="N5" s="1117"/>
    </row>
    <row r="6" spans="1:14" ht="15.75" x14ac:dyDescent="0.25">
      <c r="A6" s="1112" t="s">
        <v>37</v>
      </c>
      <c r="B6" s="1113"/>
      <c r="C6" s="1114"/>
      <c r="D6" s="1115" t="s">
        <v>323</v>
      </c>
      <c r="E6" s="1116"/>
      <c r="F6" s="1116"/>
      <c r="G6" s="1116"/>
      <c r="H6" s="1116"/>
      <c r="I6" s="1116"/>
      <c r="J6" s="1116"/>
      <c r="K6" s="1116"/>
      <c r="L6" s="1116"/>
      <c r="M6" s="1116"/>
      <c r="N6" s="1117"/>
    </row>
    <row r="7" spans="1:14" x14ac:dyDescent="0.25">
      <c r="A7" s="1118" t="s">
        <v>38</v>
      </c>
      <c r="B7" s="1119"/>
      <c r="C7" s="1120"/>
      <c r="D7" s="1121" t="s">
        <v>39</v>
      </c>
      <c r="E7" s="1122"/>
      <c r="F7" s="1122"/>
      <c r="G7" s="1122"/>
      <c r="H7" s="1122"/>
      <c r="I7" s="1123"/>
      <c r="J7" s="1124" t="s">
        <v>40</v>
      </c>
      <c r="K7" s="1124"/>
      <c r="L7" s="1124"/>
      <c r="M7" s="1124"/>
      <c r="N7" s="1124"/>
    </row>
    <row r="8" spans="1:14" ht="48" x14ac:dyDescent="0.25">
      <c r="A8" s="157" t="s">
        <v>41</v>
      </c>
      <c r="B8" s="157" t="s">
        <v>42</v>
      </c>
      <c r="C8" s="157" t="s">
        <v>43</v>
      </c>
      <c r="D8" s="157" t="s">
        <v>44</v>
      </c>
      <c r="E8" s="157" t="s">
        <v>45</v>
      </c>
      <c r="F8" s="157" t="s">
        <v>46</v>
      </c>
      <c r="G8" s="157" t="s">
        <v>47</v>
      </c>
      <c r="H8" s="157" t="s">
        <v>48</v>
      </c>
      <c r="I8" s="157" t="s">
        <v>49</v>
      </c>
      <c r="J8" s="158" t="s">
        <v>50</v>
      </c>
      <c r="K8" s="158" t="s">
        <v>51</v>
      </c>
      <c r="L8" s="158" t="s">
        <v>52</v>
      </c>
      <c r="M8" s="158" t="s">
        <v>53</v>
      </c>
      <c r="N8" s="158" t="s">
        <v>54</v>
      </c>
    </row>
    <row r="9" spans="1:14" ht="165.75" customHeight="1" x14ac:dyDescent="0.25">
      <c r="A9" s="159" t="s">
        <v>243</v>
      </c>
      <c r="B9" s="160" t="s">
        <v>248</v>
      </c>
      <c r="C9" s="160" t="s">
        <v>193</v>
      </c>
      <c r="D9" s="161">
        <v>1</v>
      </c>
      <c r="E9" s="162" t="s">
        <v>324</v>
      </c>
      <c r="F9" s="162" t="s">
        <v>325</v>
      </c>
      <c r="G9" s="163" t="s">
        <v>208</v>
      </c>
      <c r="H9" s="164" t="s">
        <v>326</v>
      </c>
      <c r="I9" s="164" t="s">
        <v>327</v>
      </c>
      <c r="J9" s="163" t="s">
        <v>263</v>
      </c>
      <c r="K9" s="163" t="s">
        <v>263</v>
      </c>
      <c r="L9" s="163" t="s">
        <v>263</v>
      </c>
      <c r="M9" s="163" t="s">
        <v>263</v>
      </c>
      <c r="N9" s="165" t="str">
        <f t="shared" ref="N9:N11" si="0">IF(COUNTIF(J9:M9,"SI")=4,"Riesgo de Corrupción","No es Riesgo de Corrupción")</f>
        <v>No es Riesgo de Corrupción</v>
      </c>
    </row>
    <row r="10" spans="1:14" ht="140.25" x14ac:dyDescent="0.25">
      <c r="A10" s="159" t="s">
        <v>205</v>
      </c>
      <c r="B10" s="159" t="s">
        <v>244</v>
      </c>
      <c r="C10" s="159" t="s">
        <v>178</v>
      </c>
      <c r="D10" s="161">
        <v>2</v>
      </c>
      <c r="E10" s="166" t="s">
        <v>328</v>
      </c>
      <c r="F10" s="166" t="s">
        <v>329</v>
      </c>
      <c r="G10" s="163" t="s">
        <v>208</v>
      </c>
      <c r="H10" s="167" t="s">
        <v>330</v>
      </c>
      <c r="I10" s="164" t="s">
        <v>331</v>
      </c>
      <c r="J10" s="163" t="s">
        <v>263</v>
      </c>
      <c r="K10" s="163" t="s">
        <v>263</v>
      </c>
      <c r="L10" s="163" t="s">
        <v>263</v>
      </c>
      <c r="M10" s="163" t="s">
        <v>263</v>
      </c>
      <c r="N10" s="165" t="str">
        <f t="shared" si="0"/>
        <v>No es Riesgo de Corrupción</v>
      </c>
    </row>
    <row r="11" spans="1:14" ht="76.5" x14ac:dyDescent="0.25">
      <c r="A11" s="159" t="s">
        <v>205</v>
      </c>
      <c r="B11" s="159" t="s">
        <v>219</v>
      </c>
      <c r="C11" s="159" t="s">
        <v>178</v>
      </c>
      <c r="D11" s="161">
        <v>3</v>
      </c>
      <c r="E11" s="166" t="s">
        <v>332</v>
      </c>
      <c r="F11" s="166" t="s">
        <v>333</v>
      </c>
      <c r="G11" s="163" t="s">
        <v>252</v>
      </c>
      <c r="H11" s="167" t="s">
        <v>334</v>
      </c>
      <c r="I11" s="164" t="s">
        <v>335</v>
      </c>
      <c r="J11" s="163" t="s">
        <v>122</v>
      </c>
      <c r="K11" s="163" t="s">
        <v>122</v>
      </c>
      <c r="L11" s="163" t="s">
        <v>122</v>
      </c>
      <c r="M11" s="163" t="s">
        <v>122</v>
      </c>
      <c r="N11" s="165" t="str">
        <f t="shared" si="0"/>
        <v>Riesgo de Corrupción</v>
      </c>
    </row>
  </sheetData>
  <mergeCells count="11">
    <mergeCell ref="A6:C6"/>
    <mergeCell ref="D6:N6"/>
    <mergeCell ref="A7:C7"/>
    <mergeCell ref="D7:I7"/>
    <mergeCell ref="J7:N7"/>
    <mergeCell ref="A1:C4"/>
    <mergeCell ref="D1:M4"/>
    <mergeCell ref="N1:N2"/>
    <mergeCell ref="N3:N4"/>
    <mergeCell ref="A5:C5"/>
    <mergeCell ref="D5:N5"/>
  </mergeCells>
  <dataValidations count="1">
    <dataValidation type="list" allowBlank="1" showInputMessage="1" showErrorMessage="1" sqref="J9:M11" xr:uid="{00000000-0002-0000-0C00-000000000000}">
      <formula1>"SI,NO"</formula1>
    </dataValidation>
  </dataValidations>
  <pageMargins left="0.11811023622047245" right="0.11811023622047245" top="1.1417322834645669" bottom="0.19685039370078741" header="0.31496062992125984" footer="0.31496062992125984"/>
  <pageSetup scale="79" orientation="landscape" horizontalDpi="1200" verticalDpi="1200" r:id="rId1"/>
  <headerFooter>
    <oddHeader>&amp;L&amp;G&amp;C
&amp;"-,Negrita"Matriz de Riesgos</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1000000}">
          <x14:formula1>
            <xm:f>'C:\Users\sgomez.UPME\Documents\UPME 2020\Documents\Mapas de riesgos\[Mapa de riesgos CONVOCATORIAS.xlsx]Datos'!#REF!</xm:f>
          </x14:formula1>
          <xm:sqref>A9:C11 G9:G11</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20"/>
  <sheetViews>
    <sheetView showGridLines="0" showWhiteSpace="0" topLeftCell="O16" zoomScale="70" zoomScaleNormal="70" zoomScaleSheetLayoutView="85" zoomScalePageLayoutView="70" workbookViewId="0">
      <selection activeCell="Y18" sqref="Y18:AC18"/>
    </sheetView>
  </sheetViews>
  <sheetFormatPr baseColWidth="10" defaultRowHeight="15.75" x14ac:dyDescent="0.25"/>
  <cols>
    <col min="1" max="1" width="4.75" style="168" customWidth="1"/>
    <col min="2" max="2" width="18.125" style="151" customWidth="1"/>
    <col min="3" max="3" width="56.25" style="202" customWidth="1"/>
    <col min="4" max="4" width="26.25" style="203" customWidth="1"/>
    <col min="5" max="5" width="10.625" style="168" customWidth="1"/>
    <col min="6" max="6" width="17.25" style="168" customWidth="1"/>
    <col min="7" max="7" width="12.875" style="168" customWidth="1"/>
    <col min="8" max="8" width="5.375" style="168" customWidth="1"/>
    <col min="9" max="9" width="14" style="204" customWidth="1"/>
    <col min="10" max="10" width="12.75" style="151" customWidth="1"/>
    <col min="11" max="11" width="34.25" style="205" customWidth="1"/>
    <col min="12" max="12" width="41" style="151" customWidth="1"/>
    <col min="13" max="13" width="13.75" style="151" customWidth="1"/>
    <col min="14" max="14" width="15" style="151" customWidth="1"/>
    <col min="15" max="15" width="19.25" style="151" customWidth="1"/>
    <col min="16" max="16" width="18.875" style="151" customWidth="1"/>
    <col min="17" max="17" width="12" style="151" customWidth="1"/>
    <col min="18" max="18" width="12.625" style="151" customWidth="1"/>
    <col min="19" max="19" width="13.625" style="168" customWidth="1"/>
    <col min="20" max="20" width="13.625" style="151" customWidth="1"/>
    <col min="21" max="21" width="17.5" style="151" customWidth="1"/>
    <col min="22" max="22" width="12.125" style="151" customWidth="1"/>
    <col min="23" max="23" width="13.875" style="206" customWidth="1"/>
    <col min="24" max="24" width="14.375" style="207" customWidth="1"/>
    <col min="25" max="25" width="35.75" style="151" customWidth="1"/>
    <col min="26" max="26" width="24.25" style="151" customWidth="1"/>
    <col min="27" max="28" width="10.875" style="151" customWidth="1"/>
    <col min="29" max="31" width="31.125" style="151" customWidth="1"/>
    <col min="32" max="35" width="22.5" style="151" customWidth="1"/>
    <col min="36" max="37" width="18.5" style="151" customWidth="1"/>
    <col min="38" max="38" width="39.5" style="151" customWidth="1"/>
    <col min="39" max="39" width="59.375" style="151" customWidth="1"/>
    <col min="40" max="16384" width="11" style="151"/>
  </cols>
  <sheetData>
    <row r="1" spans="1:39" ht="15" x14ac:dyDescent="0.25">
      <c r="A1" s="1128"/>
      <c r="B1" s="1128"/>
      <c r="C1" s="1128"/>
      <c r="D1" s="1129" t="s">
        <v>55</v>
      </c>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c r="AG1" s="1129"/>
      <c r="AH1" s="1129"/>
      <c r="AI1" s="1129"/>
      <c r="AJ1" s="1129"/>
      <c r="AK1" s="1129"/>
      <c r="AL1" s="1129"/>
      <c r="AM1" s="1130" t="s">
        <v>35</v>
      </c>
    </row>
    <row r="2" spans="1:39" ht="15" x14ac:dyDescent="0.25">
      <c r="A2" s="1128"/>
      <c r="B2" s="1128"/>
      <c r="C2" s="1128"/>
      <c r="D2" s="1129"/>
      <c r="E2" s="1129"/>
      <c r="F2" s="1129"/>
      <c r="G2" s="1129"/>
      <c r="H2" s="1129"/>
      <c r="I2" s="1129"/>
      <c r="J2" s="1129"/>
      <c r="K2" s="1129"/>
      <c r="L2" s="1129"/>
      <c r="M2" s="1129"/>
      <c r="N2" s="1129"/>
      <c r="O2" s="1129"/>
      <c r="P2" s="1129"/>
      <c r="Q2" s="1129"/>
      <c r="R2" s="1129"/>
      <c r="S2" s="1129"/>
      <c r="T2" s="1129"/>
      <c r="U2" s="1129"/>
      <c r="V2" s="1129"/>
      <c r="W2" s="1129"/>
      <c r="X2" s="1129"/>
      <c r="Y2" s="1129"/>
      <c r="Z2" s="1129"/>
      <c r="AA2" s="1129"/>
      <c r="AB2" s="1129"/>
      <c r="AC2" s="1129"/>
      <c r="AD2" s="1129"/>
      <c r="AE2" s="1129"/>
      <c r="AF2" s="1129"/>
      <c r="AG2" s="1129"/>
      <c r="AH2" s="1129"/>
      <c r="AI2" s="1129"/>
      <c r="AJ2" s="1129"/>
      <c r="AK2" s="1129"/>
      <c r="AL2" s="1129"/>
      <c r="AM2" s="1130"/>
    </row>
    <row r="3" spans="1:39" ht="15" x14ac:dyDescent="0.25">
      <c r="A3" s="1128"/>
      <c r="B3" s="1128"/>
      <c r="C3" s="1128"/>
      <c r="D3" s="1129"/>
      <c r="E3" s="1129"/>
      <c r="F3" s="1129"/>
      <c r="G3" s="1129"/>
      <c r="H3" s="1129"/>
      <c r="I3" s="1129"/>
      <c r="J3" s="1129"/>
      <c r="K3" s="1129"/>
      <c r="L3" s="1129"/>
      <c r="M3" s="1129"/>
      <c r="N3" s="1129"/>
      <c r="O3" s="1129"/>
      <c r="P3" s="1129"/>
      <c r="Q3" s="1129"/>
      <c r="R3" s="1129"/>
      <c r="S3" s="1129"/>
      <c r="T3" s="1129"/>
      <c r="U3" s="1129"/>
      <c r="V3" s="1129"/>
      <c r="W3" s="1129"/>
      <c r="X3" s="1129"/>
      <c r="Y3" s="1129"/>
      <c r="Z3" s="1129"/>
      <c r="AA3" s="1129"/>
      <c r="AB3" s="1129"/>
      <c r="AC3" s="1129"/>
      <c r="AD3" s="1129"/>
      <c r="AE3" s="1129"/>
      <c r="AF3" s="1129"/>
      <c r="AG3" s="1129"/>
      <c r="AH3" s="1129"/>
      <c r="AI3" s="1129"/>
      <c r="AJ3" s="1129"/>
      <c r="AK3" s="1129"/>
      <c r="AL3" s="1129"/>
      <c r="AM3" s="1130" t="s">
        <v>56</v>
      </c>
    </row>
    <row r="4" spans="1:39" thickBot="1" x14ac:dyDescent="0.3">
      <c r="A4" s="1128"/>
      <c r="B4" s="1128"/>
      <c r="C4" s="1128"/>
      <c r="D4" s="1129"/>
      <c r="E4" s="1129"/>
      <c r="F4" s="1129"/>
      <c r="G4" s="1129"/>
      <c r="H4" s="1129"/>
      <c r="I4" s="1129"/>
      <c r="J4" s="1129"/>
      <c r="K4" s="1129"/>
      <c r="L4" s="1129"/>
      <c r="M4" s="1129"/>
      <c r="N4" s="1129"/>
      <c r="O4" s="1129"/>
      <c r="P4" s="1129"/>
      <c r="Q4" s="1129"/>
      <c r="R4" s="1129"/>
      <c r="S4" s="1129"/>
      <c r="T4" s="1129"/>
      <c r="U4" s="1129"/>
      <c r="V4" s="1129"/>
      <c r="W4" s="1129"/>
      <c r="X4" s="1129"/>
      <c r="Y4" s="1129"/>
      <c r="Z4" s="1129"/>
      <c r="AA4" s="1129"/>
      <c r="AB4" s="1129"/>
      <c r="AC4" s="1129"/>
      <c r="AD4" s="1129"/>
      <c r="AE4" s="1129"/>
      <c r="AF4" s="1129"/>
      <c r="AG4" s="1129"/>
      <c r="AH4" s="1129"/>
      <c r="AI4" s="1129"/>
      <c r="AJ4" s="1129"/>
      <c r="AK4" s="1129"/>
      <c r="AL4" s="1129"/>
      <c r="AM4" s="1130"/>
    </row>
    <row r="5" spans="1:39" ht="18.75" customHeight="1" thickBot="1" x14ac:dyDescent="0.3">
      <c r="A5" s="1131" t="s">
        <v>57</v>
      </c>
      <c r="B5" s="1132"/>
      <c r="C5" s="1132"/>
      <c r="D5" s="1132"/>
      <c r="E5" s="1132"/>
      <c r="F5" s="1132"/>
      <c r="G5" s="1132"/>
      <c r="H5" s="1132"/>
      <c r="I5" s="1133"/>
      <c r="J5" s="169"/>
      <c r="K5" s="1134" t="s">
        <v>58</v>
      </c>
      <c r="L5" s="1134"/>
      <c r="M5" s="1134"/>
      <c r="N5" s="1134"/>
      <c r="O5" s="1134"/>
      <c r="P5" s="1135"/>
      <c r="Q5" s="1136" t="s">
        <v>59</v>
      </c>
      <c r="R5" s="1136"/>
      <c r="S5" s="1136"/>
      <c r="T5" s="1136"/>
      <c r="U5" s="1136"/>
      <c r="V5" s="1136"/>
      <c r="W5" s="1136"/>
      <c r="X5" s="1136"/>
      <c r="Y5" s="1137" t="s">
        <v>60</v>
      </c>
      <c r="Z5" s="1136"/>
      <c r="AA5" s="1136"/>
      <c r="AB5" s="1136"/>
      <c r="AC5" s="1138"/>
      <c r="AD5" s="1137" t="s">
        <v>61</v>
      </c>
      <c r="AE5" s="1136"/>
      <c r="AF5" s="1136"/>
      <c r="AG5" s="1136"/>
      <c r="AH5" s="1136"/>
      <c r="AI5" s="1136"/>
      <c r="AJ5" s="1136"/>
      <c r="AK5" s="1138"/>
      <c r="AL5" s="170" t="s">
        <v>62</v>
      </c>
      <c r="AM5" s="170" t="s">
        <v>63</v>
      </c>
    </row>
    <row r="6" spans="1:39" s="182" customFormat="1" ht="51" x14ac:dyDescent="0.2">
      <c r="A6" s="171" t="s">
        <v>44</v>
      </c>
      <c r="B6" s="172" t="s">
        <v>64</v>
      </c>
      <c r="C6" s="172" t="s">
        <v>65</v>
      </c>
      <c r="D6" s="173" t="s">
        <v>66</v>
      </c>
      <c r="E6" s="172" t="s">
        <v>67</v>
      </c>
      <c r="F6" s="172" t="s">
        <v>68</v>
      </c>
      <c r="G6" s="173" t="s">
        <v>69</v>
      </c>
      <c r="H6" s="173" t="s">
        <v>70</v>
      </c>
      <c r="I6" s="174" t="s">
        <v>71</v>
      </c>
      <c r="J6" s="175" t="s">
        <v>72</v>
      </c>
      <c r="K6" s="176" t="s">
        <v>73</v>
      </c>
      <c r="L6" s="172" t="s">
        <v>74</v>
      </c>
      <c r="M6" s="177" t="s">
        <v>75</v>
      </c>
      <c r="N6" s="172" t="s">
        <v>76</v>
      </c>
      <c r="O6" s="172" t="s">
        <v>77</v>
      </c>
      <c r="P6" s="174" t="s">
        <v>78</v>
      </c>
      <c r="Q6" s="176" t="s">
        <v>79</v>
      </c>
      <c r="R6" s="172" t="s">
        <v>80</v>
      </c>
      <c r="S6" s="172" t="s">
        <v>67</v>
      </c>
      <c r="T6" s="172" t="s">
        <v>70</v>
      </c>
      <c r="U6" s="172" t="s">
        <v>81</v>
      </c>
      <c r="V6" s="172" t="s">
        <v>82</v>
      </c>
      <c r="W6" s="178" t="s">
        <v>83</v>
      </c>
      <c r="X6" s="179" t="s">
        <v>84</v>
      </c>
      <c r="Y6" s="171" t="s">
        <v>85</v>
      </c>
      <c r="Z6" s="172" t="s">
        <v>86</v>
      </c>
      <c r="AA6" s="172" t="s">
        <v>87</v>
      </c>
      <c r="AB6" s="172" t="s">
        <v>88</v>
      </c>
      <c r="AC6" s="180" t="s">
        <v>89</v>
      </c>
      <c r="AD6" s="172" t="s">
        <v>336</v>
      </c>
      <c r="AE6" s="172" t="s">
        <v>91</v>
      </c>
      <c r="AF6" s="176" t="s">
        <v>90</v>
      </c>
      <c r="AG6" s="172" t="s">
        <v>91</v>
      </c>
      <c r="AH6" s="172" t="s">
        <v>92</v>
      </c>
      <c r="AI6" s="172" t="s">
        <v>91</v>
      </c>
      <c r="AJ6" s="172" t="s">
        <v>93</v>
      </c>
      <c r="AK6" s="174" t="s">
        <v>91</v>
      </c>
      <c r="AL6" s="181" t="s">
        <v>94</v>
      </c>
      <c r="AM6" s="181" t="s">
        <v>95</v>
      </c>
    </row>
    <row r="7" spans="1:39" s="192" customFormat="1" ht="183.75" customHeight="1" x14ac:dyDescent="0.2">
      <c r="A7" s="1127">
        <f>'[1]Identificación del Riesgo'!D9</f>
        <v>1</v>
      </c>
      <c r="B7" s="1139" t="str">
        <f>'[1]Identificación del Riesgo'!E9</f>
        <v>Ineficacia de los procesos de convocatoria de transmisión.</v>
      </c>
      <c r="C7" s="1140" t="str">
        <f>'[1]Identificación del Riesgo'!H9</f>
        <v>-No contar con los insumos para dar inicio al proceso de convocatoria (garantías de los usuarios, renuncias de los operadores y transportadores e información técnica de los puntos y costos de conexión).
-Limitados recursos (personas) para atender multiples procesos de manera simultánea.
-Propuestas no válidas por no cumplimiento de aspectos técnicos y/o económicos definidos por la UPME y por la CREG.
-No concurrencia de inversionistas al proceso de convocatoria.
-Demoras en la selección del interventor del proyecto.</v>
      </c>
      <c r="D7" s="1125" t="s">
        <v>223</v>
      </c>
      <c r="E7" s="1127">
        <f>IF(D7="Selecciona un descriptor de frecuencia."," ",IF(D7="","",VLOOKUP(D7,[1]Datos!$G$8:$J$12,2,FALSE)))</f>
        <v>2</v>
      </c>
      <c r="F7" s="1127" t="str">
        <f>IF(D7="Selecciona un descriptor de frecuencia."," ",IF(D7="","",VLOOKUP(D7,[1]Datos!$G$8:$J$12,3,FALSE)))</f>
        <v>Improbable</v>
      </c>
      <c r="G7" s="1125" t="s">
        <v>204</v>
      </c>
      <c r="H7" s="1127">
        <f>IF(G7="Selecciona un descriptor de impacto."," ",IF(G7="","",VLOOKUP(G7,[1]Datos!$K$8:$L$12,2,FALSE)))</f>
        <v>3</v>
      </c>
      <c r="I7" s="1141" t="str">
        <f>IF(D7="Selecciona un descriptor de frecuencia."," ",IF(G7="Selecciona un descriptor de impacto."," ",IF(E7+H7=" ","",IF(E7="","",VLOOKUP(E7,[1]Datos!$U$8:$Z$12,MATCH(H7,[1]Datos!$V$7:$Z$7,0)+1,FALSE)))))</f>
        <v>MODERADO</v>
      </c>
      <c r="J7" s="1143" t="s">
        <v>122</v>
      </c>
      <c r="K7" s="183" t="s">
        <v>337</v>
      </c>
      <c r="L7" s="184" t="s">
        <v>338</v>
      </c>
      <c r="M7" s="185">
        <f>[1]Controles!T9</f>
        <v>100</v>
      </c>
      <c r="N7" s="185" t="str">
        <f>[1]Controles!AB9</f>
        <v>No</v>
      </c>
      <c r="O7" s="186">
        <f>[1]Controles!W9</f>
        <v>1</v>
      </c>
      <c r="P7" s="186">
        <f>[1]Controles!X9</f>
        <v>0</v>
      </c>
      <c r="Q7" s="1126">
        <f>SUM(O7:O12)</f>
        <v>5</v>
      </c>
      <c r="R7" s="1126">
        <f>SUM(P7:P12)</f>
        <v>1</v>
      </c>
      <c r="S7" s="1142">
        <f>IF(D7="Selecciona un descriptor de frecuencia."," ",IF(ROUNDUP(E7-Q7,0)&lt;=0,1,ROUNDUP(E7-Q7,0)))</f>
        <v>1</v>
      </c>
      <c r="T7" s="1142">
        <f>IF(G7="Selecciona un descriptor de impacto."," ",IF(ROUNDUP(H7-R7,0)&lt;0,1,ROUNDUP(H7-R7,0)))</f>
        <v>2</v>
      </c>
      <c r="U7" s="1126" t="str">
        <f>IF(D7="Selecciona un descriptor de frecuencia."," ",VLOOKUP(S7,[1]Datos!$H$8:$I$12,2,FALSE))</f>
        <v>Rara vez</v>
      </c>
      <c r="V7" s="1126" t="str">
        <f>IF(G7="Selecciona un descriptor de impacto."," ",VLOOKUP(T7,[1]Datos!$L$8:$M$12,2,FALSE))</f>
        <v>Menor</v>
      </c>
      <c r="W7" s="1141" t="str">
        <f>IF(S7=" "," ",VLOOKUP(S7,[1]Datos!$U$8:$Z$12,MATCH(T7,[1]Datos!$V$7:$Z$7,0)+1,FALSE))</f>
        <v>BAJO</v>
      </c>
      <c r="X7" s="1125" t="s">
        <v>187</v>
      </c>
      <c r="Y7" s="184"/>
      <c r="Z7" s="187"/>
      <c r="AA7" s="188"/>
      <c r="AB7" s="188"/>
      <c r="AC7" s="189"/>
      <c r="AD7" s="190"/>
      <c r="AE7" s="190"/>
      <c r="AF7" s="191"/>
      <c r="AG7" s="191"/>
      <c r="AH7" s="191"/>
      <c r="AI7" s="191"/>
      <c r="AJ7" s="191"/>
      <c r="AK7" s="191"/>
      <c r="AL7" s="191"/>
      <c r="AM7" s="191"/>
    </row>
    <row r="8" spans="1:39" s="192" customFormat="1" ht="161.25" customHeight="1" x14ac:dyDescent="0.2">
      <c r="A8" s="1127"/>
      <c r="B8" s="1139"/>
      <c r="C8" s="1140"/>
      <c r="D8" s="1125"/>
      <c r="E8" s="1127"/>
      <c r="F8" s="1127"/>
      <c r="G8" s="1125"/>
      <c r="H8" s="1127"/>
      <c r="I8" s="1141"/>
      <c r="J8" s="1143"/>
      <c r="K8" s="193" t="s">
        <v>339</v>
      </c>
      <c r="L8" s="184" t="s">
        <v>340</v>
      </c>
      <c r="M8" s="185">
        <f>[1]Controles!T10</f>
        <v>100</v>
      </c>
      <c r="N8" s="185" t="str">
        <f>[1]Controles!AB10</f>
        <v>SI</v>
      </c>
      <c r="O8" s="186">
        <f>[1]Controles!W10</f>
        <v>0</v>
      </c>
      <c r="P8" s="186">
        <f>[1]Controles!X10</f>
        <v>1</v>
      </c>
      <c r="Q8" s="1126"/>
      <c r="R8" s="1126"/>
      <c r="S8" s="1142"/>
      <c r="T8" s="1142"/>
      <c r="U8" s="1126"/>
      <c r="V8" s="1126"/>
      <c r="W8" s="1141"/>
      <c r="X8" s="1125"/>
      <c r="Y8" s="184"/>
      <c r="Z8" s="187"/>
      <c r="AA8" s="188"/>
      <c r="AB8" s="188"/>
      <c r="AC8" s="189"/>
      <c r="AD8" s="194"/>
      <c r="AE8" s="194"/>
      <c r="AF8" s="191"/>
      <c r="AG8" s="191"/>
      <c r="AH8" s="191"/>
      <c r="AI8" s="191"/>
      <c r="AJ8" s="191"/>
      <c r="AK8" s="191"/>
      <c r="AL8" s="191"/>
      <c r="AM8" s="191"/>
    </row>
    <row r="9" spans="1:39" s="192" customFormat="1" ht="154.5" customHeight="1" x14ac:dyDescent="0.2">
      <c r="A9" s="1127"/>
      <c r="B9" s="1139"/>
      <c r="C9" s="1140"/>
      <c r="D9" s="1125"/>
      <c r="E9" s="1127"/>
      <c r="F9" s="1127"/>
      <c r="G9" s="1125"/>
      <c r="H9" s="1127"/>
      <c r="I9" s="1141"/>
      <c r="J9" s="1143"/>
      <c r="K9" s="193" t="s">
        <v>341</v>
      </c>
      <c r="L9" s="184" t="s">
        <v>342</v>
      </c>
      <c r="M9" s="185">
        <f>[1]Controles!T11</f>
        <v>100</v>
      </c>
      <c r="N9" s="185" t="str">
        <f>[1]Controles!AB11</f>
        <v>No</v>
      </c>
      <c r="O9" s="186">
        <f>[1]Controles!W11</f>
        <v>1</v>
      </c>
      <c r="P9" s="186">
        <f>[1]Controles!X11</f>
        <v>0</v>
      </c>
      <c r="Q9" s="1126"/>
      <c r="R9" s="1126"/>
      <c r="S9" s="1142"/>
      <c r="T9" s="1142"/>
      <c r="U9" s="1126"/>
      <c r="V9" s="1126"/>
      <c r="W9" s="1141"/>
      <c r="X9" s="1125"/>
      <c r="Y9" s="184"/>
      <c r="Z9" s="187"/>
      <c r="AA9" s="188"/>
      <c r="AB9" s="188"/>
      <c r="AC9" s="189"/>
      <c r="AD9" s="194"/>
      <c r="AE9" s="194"/>
      <c r="AF9" s="191"/>
      <c r="AG9" s="191"/>
      <c r="AH9" s="191"/>
      <c r="AI9" s="191"/>
      <c r="AJ9" s="191"/>
      <c r="AK9" s="191"/>
      <c r="AL9" s="191"/>
      <c r="AM9" s="191"/>
    </row>
    <row r="10" spans="1:39" s="192" customFormat="1" ht="152.25" customHeight="1" x14ac:dyDescent="0.2">
      <c r="A10" s="1127"/>
      <c r="B10" s="1139"/>
      <c r="C10" s="1140"/>
      <c r="D10" s="1125"/>
      <c r="E10" s="1127"/>
      <c r="F10" s="1127"/>
      <c r="G10" s="1125"/>
      <c r="H10" s="1127"/>
      <c r="I10" s="1141"/>
      <c r="J10" s="1143"/>
      <c r="K10" s="183" t="s">
        <v>343</v>
      </c>
      <c r="L10" s="184" t="s">
        <v>344</v>
      </c>
      <c r="M10" s="185">
        <f>[1]Controles!T13</f>
        <v>100</v>
      </c>
      <c r="N10" s="185" t="str">
        <f>[1]Controles!AB13</f>
        <v>No</v>
      </c>
      <c r="O10" s="186">
        <f>[1]Controles!W13</f>
        <v>1</v>
      </c>
      <c r="P10" s="186">
        <f>[1]Controles!X13</f>
        <v>0</v>
      </c>
      <c r="Q10" s="1126"/>
      <c r="R10" s="1126"/>
      <c r="S10" s="1142"/>
      <c r="T10" s="1142"/>
      <c r="U10" s="1126"/>
      <c r="V10" s="1126"/>
      <c r="W10" s="1141"/>
      <c r="X10" s="1125"/>
      <c r="Y10" s="189"/>
      <c r="Z10" s="187"/>
      <c r="AA10" s="188"/>
      <c r="AB10" s="188"/>
      <c r="AC10" s="189"/>
      <c r="AD10" s="194"/>
      <c r="AE10" s="194"/>
      <c r="AF10" s="191"/>
      <c r="AG10" s="191"/>
      <c r="AH10" s="191"/>
      <c r="AI10" s="191"/>
      <c r="AJ10" s="191"/>
      <c r="AK10" s="191"/>
      <c r="AL10" s="191"/>
      <c r="AM10" s="191"/>
    </row>
    <row r="11" spans="1:39" s="192" customFormat="1" ht="70.5" customHeight="1" x14ac:dyDescent="0.2">
      <c r="A11" s="1127"/>
      <c r="B11" s="1139"/>
      <c r="C11" s="1140"/>
      <c r="D11" s="1125"/>
      <c r="E11" s="1127"/>
      <c r="F11" s="1127"/>
      <c r="G11" s="1125"/>
      <c r="H11" s="1127"/>
      <c r="I11" s="1141"/>
      <c r="J11" s="1143"/>
      <c r="K11" s="193" t="s">
        <v>345</v>
      </c>
      <c r="L11" s="184" t="s">
        <v>346</v>
      </c>
      <c r="M11" s="185">
        <f>[1]Controles!T14</f>
        <v>100</v>
      </c>
      <c r="N11" s="185" t="str">
        <f>[1]Controles!AB14</f>
        <v>No</v>
      </c>
      <c r="O11" s="186">
        <f>[1]Controles!W14</f>
        <v>1</v>
      </c>
      <c r="P11" s="186">
        <f>[1]Controles!X14</f>
        <v>0</v>
      </c>
      <c r="Q11" s="1126"/>
      <c r="R11" s="1126"/>
      <c r="S11" s="1142"/>
      <c r="T11" s="1142"/>
      <c r="U11" s="1126"/>
      <c r="V11" s="1126"/>
      <c r="W11" s="1141"/>
      <c r="X11" s="1125"/>
      <c r="Y11" s="189"/>
      <c r="Z11" s="187"/>
      <c r="AA11" s="188"/>
      <c r="AB11" s="188"/>
      <c r="AC11" s="189"/>
      <c r="AD11" s="190"/>
      <c r="AE11" s="190"/>
      <c r="AF11" s="191"/>
      <c r="AG11" s="191"/>
      <c r="AH11" s="191"/>
      <c r="AI11" s="191"/>
      <c r="AJ11" s="191"/>
      <c r="AK11" s="191"/>
      <c r="AL11" s="191"/>
      <c r="AM11" s="191"/>
    </row>
    <row r="12" spans="1:39" s="192" customFormat="1" ht="81.75" customHeight="1" x14ac:dyDescent="0.2">
      <c r="A12" s="1127"/>
      <c r="B12" s="1139"/>
      <c r="C12" s="1140"/>
      <c r="D12" s="1125"/>
      <c r="E12" s="1127"/>
      <c r="F12" s="1127"/>
      <c r="G12" s="1125"/>
      <c r="H12" s="1127"/>
      <c r="I12" s="1141"/>
      <c r="J12" s="1143"/>
      <c r="K12" s="193" t="s">
        <v>347</v>
      </c>
      <c r="L12" s="184" t="s">
        <v>348</v>
      </c>
      <c r="M12" s="185">
        <f>[1]Controles!T14</f>
        <v>100</v>
      </c>
      <c r="N12" s="185" t="str">
        <f>[1]Controles!AB14</f>
        <v>No</v>
      </c>
      <c r="O12" s="186">
        <f>[1]Controles!W14</f>
        <v>1</v>
      </c>
      <c r="P12" s="186">
        <f>[1]Controles!X14</f>
        <v>0</v>
      </c>
      <c r="Q12" s="1126"/>
      <c r="R12" s="1126"/>
      <c r="S12" s="1142"/>
      <c r="T12" s="1142"/>
      <c r="U12" s="1126"/>
      <c r="V12" s="1126"/>
      <c r="W12" s="1141"/>
      <c r="X12" s="1125"/>
      <c r="Y12" s="189"/>
      <c r="Z12" s="187"/>
      <c r="AA12" s="188"/>
      <c r="AB12" s="188"/>
      <c r="AC12" s="189"/>
      <c r="AD12" s="190"/>
      <c r="AE12" s="190"/>
      <c r="AF12" s="191"/>
      <c r="AG12" s="191"/>
      <c r="AH12" s="191"/>
      <c r="AI12" s="191"/>
      <c r="AJ12" s="191"/>
      <c r="AK12" s="191"/>
      <c r="AL12" s="191"/>
      <c r="AM12" s="191"/>
    </row>
    <row r="13" spans="1:39" s="192" customFormat="1" ht="101.25" customHeight="1" x14ac:dyDescent="0.2">
      <c r="A13" s="1127"/>
      <c r="B13" s="1139"/>
      <c r="C13" s="1140"/>
      <c r="D13" s="1125"/>
      <c r="E13" s="1127"/>
      <c r="F13" s="1127"/>
      <c r="G13" s="1125"/>
      <c r="H13" s="1127"/>
      <c r="I13" s="1141"/>
      <c r="J13" s="1143"/>
      <c r="K13" s="193" t="s">
        <v>349</v>
      </c>
      <c r="L13" s="184" t="s">
        <v>350</v>
      </c>
      <c r="M13" s="185">
        <f>[1]Controles!T15</f>
        <v>100</v>
      </c>
      <c r="N13" s="185" t="str">
        <f>[1]Controles!AB15</f>
        <v>No</v>
      </c>
      <c r="O13" s="186">
        <f>[1]Controles!W15</f>
        <v>1</v>
      </c>
      <c r="P13" s="186">
        <f>[1]Controles!X15</f>
        <v>0</v>
      </c>
      <c r="Q13" s="1126"/>
      <c r="R13" s="1126"/>
      <c r="S13" s="1142"/>
      <c r="T13" s="1142"/>
      <c r="U13" s="1126"/>
      <c r="V13" s="1126"/>
      <c r="W13" s="1141"/>
      <c r="X13" s="1125"/>
      <c r="Y13" s="189"/>
      <c r="Z13" s="187"/>
      <c r="AA13" s="188"/>
      <c r="AB13" s="188"/>
      <c r="AC13" s="189"/>
      <c r="AD13" s="190"/>
      <c r="AE13" s="190"/>
      <c r="AF13" s="191"/>
      <c r="AG13" s="191"/>
      <c r="AH13" s="191"/>
      <c r="AI13" s="191"/>
      <c r="AJ13" s="191"/>
      <c r="AK13" s="191"/>
      <c r="AL13" s="191"/>
      <c r="AM13" s="191"/>
    </row>
    <row r="14" spans="1:39" s="199" customFormat="1" ht="126.75" customHeight="1" x14ac:dyDescent="0.2">
      <c r="A14" s="1139">
        <f>'[1]Identificación del Riesgo'!D10</f>
        <v>2</v>
      </c>
      <c r="B14" s="1140" t="str">
        <f>'[1]Identificación del Riesgo'!E10</f>
        <v>Ineficacia en el seguimiento y control de los proyectos de transmisiòn</v>
      </c>
      <c r="C14" s="1140" t="str">
        <f>'[1]Identificación del Riesgo'!H10</f>
        <v>-Debido a que el inversionista no hace entrega de la información necesaria para el seguimiento y control.
-Debido a que el interventor no realice los análisis y validaciones correspondientes con la calidad requerida en los tiempos establecidos.
- No expedición de certificado de cumplimiento debido a pendientes por parte del inversionista.
-Limitados recursos de planta (personas) para atender el seguimiento de los proyectos.</v>
      </c>
      <c r="D14" s="1125" t="s">
        <v>223</v>
      </c>
      <c r="E14" s="1127">
        <f>IF(D14="Selecciona un descriptor de frecuencia."," ",IF(D14="","",VLOOKUP(D14,[1]Datos!$G$8:$J$12,2,FALSE)))</f>
        <v>2</v>
      </c>
      <c r="F14" s="1127" t="str">
        <f>IF(D14="Selecciona un descriptor de frecuencia."," ",IF(D14="","",VLOOKUP(D14,[1]Datos!$G$8:$J$12,3,FALSE)))</f>
        <v>Improbable</v>
      </c>
      <c r="G14" s="1125" t="s">
        <v>204</v>
      </c>
      <c r="H14" s="1139">
        <f>IF(G14="","",VLOOKUP(G14,[1]Datos!$K$8:$L$12,2,FALSE))</f>
        <v>3</v>
      </c>
      <c r="I14" s="1141" t="str">
        <f>IF(D14="Selecciona un descriptor de frecuencia."," ",IF(G14="Selecciona un descriptor de impacto."," ",IF(E14+H14=" ","",IF(E14="","",VLOOKUP(E14,[1]Datos!$U$8:$Z$12,MATCH(H14,[1]Datos!$V$7:$Z$7,0)+1,FALSE)))))</f>
        <v>MODERADO</v>
      </c>
      <c r="J14" s="1125" t="s">
        <v>122</v>
      </c>
      <c r="K14" s="193" t="s">
        <v>351</v>
      </c>
      <c r="L14" s="195" t="s">
        <v>352</v>
      </c>
      <c r="M14" s="185">
        <f>[1]Controles!T15</f>
        <v>100</v>
      </c>
      <c r="N14" s="185" t="str">
        <f>[1]Controles!AB15</f>
        <v>No</v>
      </c>
      <c r="O14" s="186">
        <f>[1]Controles!W15</f>
        <v>1</v>
      </c>
      <c r="P14" s="186">
        <f>[1]Controles!X15</f>
        <v>0</v>
      </c>
      <c r="Q14" s="1126">
        <f>SUM(O14:O17)</f>
        <v>3</v>
      </c>
      <c r="R14" s="1126">
        <f>SUM(P14:P17)</f>
        <v>1</v>
      </c>
      <c r="S14" s="1142">
        <f>IF(D14="Selecciona un descriptor de frecuencia."," ",IF(ROUNDUP(E14-Q14,0)&lt;=0,1,ROUNDUP(E14-Q14,0)))</f>
        <v>1</v>
      </c>
      <c r="T14" s="1142">
        <f>IF(G14="Selecciona un descriptor de impacto."," ",IF(ROUNDUP(H14-R14,0)&lt;0,1,ROUNDUP(H14-R14,0)))</f>
        <v>2</v>
      </c>
      <c r="U14" s="1126" t="str">
        <f>IF(D14="Selecciona un descriptor de frecuencia."," ",VLOOKUP(S14,[1]Datos!$H$8:$I$12,2,FALSE))</f>
        <v>Rara vez</v>
      </c>
      <c r="V14" s="1126" t="str">
        <f>IF(G14="Selecciona un descriptor de impacto."," ",VLOOKUP(T14,[1]Datos!$L$8:$M$12,2,FALSE))</f>
        <v>Menor</v>
      </c>
      <c r="W14" s="1141" t="str">
        <f>IF(S14=" "," ",VLOOKUP(S14,[1]Datos!$U$8:$Z$12,MATCH(T14,[1]Datos!$V$7:$Z$7,0)+1,FALSE))</f>
        <v>BAJO</v>
      </c>
      <c r="X14" s="1125" t="s">
        <v>187</v>
      </c>
      <c r="Y14" s="196"/>
      <c r="Z14" s="187"/>
      <c r="AA14" s="188"/>
      <c r="AB14" s="188"/>
      <c r="AC14" s="187"/>
      <c r="AD14" s="197"/>
      <c r="AE14" s="197"/>
      <c r="AF14" s="198"/>
      <c r="AG14" s="198"/>
      <c r="AH14" s="198"/>
      <c r="AI14" s="198"/>
      <c r="AJ14" s="198"/>
      <c r="AK14" s="198"/>
      <c r="AL14" s="198"/>
      <c r="AM14" s="198"/>
    </row>
    <row r="15" spans="1:39" s="199" customFormat="1" ht="132" customHeight="1" x14ac:dyDescent="0.2">
      <c r="A15" s="1139"/>
      <c r="B15" s="1140"/>
      <c r="C15" s="1140"/>
      <c r="D15" s="1125"/>
      <c r="E15" s="1127"/>
      <c r="F15" s="1127"/>
      <c r="G15" s="1125"/>
      <c r="H15" s="1139"/>
      <c r="I15" s="1141"/>
      <c r="J15" s="1125"/>
      <c r="K15" s="193" t="s">
        <v>353</v>
      </c>
      <c r="L15" s="195" t="s">
        <v>354</v>
      </c>
      <c r="M15" s="185">
        <f>[1]Controles!T16</f>
        <v>100</v>
      </c>
      <c r="N15" s="185" t="str">
        <f>[1]Controles!AB16</f>
        <v>SI</v>
      </c>
      <c r="O15" s="186">
        <f>[1]Controles!W16</f>
        <v>0</v>
      </c>
      <c r="P15" s="186">
        <f>[1]Controles!X16</f>
        <v>1</v>
      </c>
      <c r="Q15" s="1126"/>
      <c r="R15" s="1126"/>
      <c r="S15" s="1142"/>
      <c r="T15" s="1142"/>
      <c r="U15" s="1126"/>
      <c r="V15" s="1126"/>
      <c r="W15" s="1141"/>
      <c r="X15" s="1125"/>
      <c r="Y15" s="196"/>
      <c r="Z15" s="187"/>
      <c r="AA15" s="188"/>
      <c r="AB15" s="188"/>
      <c r="AC15" s="187"/>
      <c r="AD15" s="197"/>
      <c r="AE15" s="197"/>
      <c r="AF15" s="198"/>
      <c r="AG15" s="198"/>
      <c r="AH15" s="198"/>
      <c r="AI15" s="198"/>
      <c r="AJ15" s="198"/>
      <c r="AK15" s="198"/>
      <c r="AL15" s="198"/>
      <c r="AM15" s="198"/>
    </row>
    <row r="16" spans="1:39" s="199" customFormat="1" ht="135" customHeight="1" x14ac:dyDescent="0.2">
      <c r="A16" s="1139"/>
      <c r="B16" s="1140"/>
      <c r="C16" s="1140"/>
      <c r="D16" s="1125"/>
      <c r="E16" s="1127"/>
      <c r="F16" s="1127"/>
      <c r="G16" s="1125"/>
      <c r="H16" s="1139"/>
      <c r="I16" s="1141"/>
      <c r="J16" s="1125"/>
      <c r="K16" s="193" t="s">
        <v>355</v>
      </c>
      <c r="L16" s="195" t="s">
        <v>356</v>
      </c>
      <c r="M16" s="185">
        <f>[1]Controles!T17</f>
        <v>100</v>
      </c>
      <c r="N16" s="185" t="str">
        <f>[1]Controles!AB17</f>
        <v>No</v>
      </c>
      <c r="O16" s="186">
        <f>[1]Controles!W17</f>
        <v>1</v>
      </c>
      <c r="P16" s="186">
        <f>[1]Controles!X17</f>
        <v>0</v>
      </c>
      <c r="Q16" s="1126"/>
      <c r="R16" s="1126"/>
      <c r="S16" s="1142"/>
      <c r="T16" s="1142"/>
      <c r="U16" s="1126"/>
      <c r="V16" s="1126"/>
      <c r="W16" s="1141"/>
      <c r="X16" s="1125"/>
      <c r="Y16" s="196"/>
      <c r="Z16" s="187"/>
      <c r="AA16" s="188"/>
      <c r="AB16" s="188"/>
      <c r="AC16" s="187"/>
      <c r="AD16" s="197"/>
      <c r="AE16" s="197"/>
      <c r="AF16" s="198"/>
      <c r="AG16" s="198"/>
      <c r="AH16" s="198"/>
      <c r="AI16" s="198"/>
      <c r="AJ16" s="198"/>
      <c r="AK16" s="198"/>
      <c r="AL16" s="198"/>
      <c r="AM16" s="198"/>
    </row>
    <row r="17" spans="1:39" s="199" customFormat="1" ht="57.75" customHeight="1" x14ac:dyDescent="0.2">
      <c r="A17" s="1139"/>
      <c r="B17" s="1140"/>
      <c r="C17" s="1140"/>
      <c r="D17" s="1125"/>
      <c r="E17" s="1127"/>
      <c r="F17" s="1127"/>
      <c r="G17" s="1125"/>
      <c r="H17" s="1139"/>
      <c r="I17" s="1141"/>
      <c r="J17" s="1125"/>
      <c r="K17" s="193" t="s">
        <v>357</v>
      </c>
      <c r="L17" s="195" t="s">
        <v>358</v>
      </c>
      <c r="M17" s="185">
        <f>[1]Controles!T18</f>
        <v>100</v>
      </c>
      <c r="N17" s="185" t="str">
        <f>[1]Controles!AB18</f>
        <v>No</v>
      </c>
      <c r="O17" s="186">
        <f>[1]Controles!W18</f>
        <v>1</v>
      </c>
      <c r="P17" s="186">
        <f>[1]Controles!X18</f>
        <v>0</v>
      </c>
      <c r="Q17" s="1126"/>
      <c r="R17" s="1126"/>
      <c r="S17" s="1142"/>
      <c r="T17" s="1142"/>
      <c r="U17" s="1126"/>
      <c r="V17" s="1126"/>
      <c r="W17" s="1141"/>
      <c r="X17" s="1125"/>
      <c r="Y17" s="196"/>
      <c r="Z17" s="187"/>
      <c r="AA17" s="188"/>
      <c r="AB17" s="188"/>
      <c r="AC17" s="187"/>
      <c r="AD17" s="197"/>
      <c r="AE17" s="197"/>
      <c r="AF17" s="198"/>
      <c r="AG17" s="198"/>
      <c r="AH17" s="198"/>
      <c r="AI17" s="198"/>
      <c r="AJ17" s="198"/>
      <c r="AK17" s="198"/>
      <c r="AL17" s="198"/>
      <c r="AM17" s="198"/>
    </row>
    <row r="18" spans="1:39" s="199" customFormat="1" ht="79.5" customHeight="1" x14ac:dyDescent="0.2">
      <c r="A18" s="1139">
        <f>'[1]Identificación del Riesgo'!D11</f>
        <v>3</v>
      </c>
      <c r="B18" s="1139" t="str">
        <f>'[1]Identificación del Riesgo'!E11</f>
        <v>Conflicto de interés en el proceso de evaluación de Convocatoria.</v>
      </c>
      <c r="C18" s="1140" t="str">
        <f>'[1]Identificación del Riesgo'!H11</f>
        <v>- Por relaciones de consaguinidad y afinidad.
- Por pertenencia o procedencia de otras organizaciones.
- Por interés personales.
- Direrencias entre los evaluadores.</v>
      </c>
      <c r="D18" s="1125" t="s">
        <v>236</v>
      </c>
      <c r="E18" s="1127">
        <f>IF(D18="Selecciona un descriptor de frecuencia."," ",IF(D18="","",VLOOKUP(D18,[1]Datos!$G$8:$J$12,2,FALSE)))</f>
        <v>1</v>
      </c>
      <c r="F18" s="1127" t="str">
        <f>IF(D18="Selecciona un descriptor de frecuencia."," ",IF(D18="","",VLOOKUP(D18,[1]Datos!$G$8:$J$12,3,FALSE)))</f>
        <v>Rara vez</v>
      </c>
      <c r="G18" s="1125" t="s">
        <v>199</v>
      </c>
      <c r="H18" s="1139">
        <f>IF(G18="","",VLOOKUP(G18,[1]Datos!$K$8:$L$12,2,FALSE))</f>
        <v>4</v>
      </c>
      <c r="I18" s="1141" t="str">
        <f>IF(D18="Selecciona un descriptor de frecuencia."," ",IF(G18="Selecciona un descriptor de impacto."," ",IF(E18+H18=" ","",IF(E18="","",VLOOKUP(E18,[1]Datos!$U$8:$Z$12,MATCH(H18,[1]Datos!$V$7:$Z$7,0)+1,FALSE)))))</f>
        <v>ALTO</v>
      </c>
      <c r="J18" s="1125" t="s">
        <v>122</v>
      </c>
      <c r="K18" s="193" t="s">
        <v>359</v>
      </c>
      <c r="L18" s="195" t="s">
        <v>360</v>
      </c>
      <c r="M18" s="185">
        <f>[1]Controles!T19</f>
        <v>100</v>
      </c>
      <c r="N18" s="185" t="str">
        <f>[1]Controles!AB19</f>
        <v>SI</v>
      </c>
      <c r="O18" s="186">
        <f>[1]Controles!W19</f>
        <v>0</v>
      </c>
      <c r="P18" s="186">
        <f>[1]Controles!X19</f>
        <v>1</v>
      </c>
      <c r="Q18" s="1126">
        <f>SUM(O18:O20)</f>
        <v>2</v>
      </c>
      <c r="R18" s="1126">
        <f>SUM(P18:P20)</f>
        <v>1</v>
      </c>
      <c r="S18" s="1142">
        <f>IF(D18="Selecciona un descriptor de frecuencia."," ",IF(ROUNDUP(E18-Q18,0)&lt;0,1,ROUNDUP(E18-Q18,0)))</f>
        <v>1</v>
      </c>
      <c r="T18" s="1142">
        <f>IF(G18="Selecciona un descriptor de impacto."," ",IF(ROUNDUP(H18-R18,0)&lt;0,1,ROUNDUP(H18-R18,0)))</f>
        <v>3</v>
      </c>
      <c r="U18" s="1126" t="str">
        <f>IF(D18="Selecciona un descriptor de frecuencia."," ",VLOOKUP(S18,[1]Datos!$H$8:$I$12,2,FALSE))</f>
        <v>Rara vez</v>
      </c>
      <c r="V18" s="1126" t="str">
        <f>IF(G18="Selecciona un descriptor de impacto."," ",VLOOKUP(T18,[1]Datos!$L$8:$M$12,2,FALSE))</f>
        <v>Moderado</v>
      </c>
      <c r="W18" s="1141" t="str">
        <f>IF(S18=" "," ",VLOOKUP(S18,[1]Datos!$U$8:$Z$12,MATCH(T18,[1]Datos!$V$7:$Z$7,0)+1,FALSE))</f>
        <v>MODERADO</v>
      </c>
      <c r="X18" s="1125" t="s">
        <v>202</v>
      </c>
      <c r="Y18" s="200" t="s">
        <v>361</v>
      </c>
      <c r="Z18" s="187" t="s">
        <v>362</v>
      </c>
      <c r="AA18" s="188">
        <v>44136</v>
      </c>
      <c r="AB18" s="188">
        <v>44561</v>
      </c>
      <c r="AC18" s="201" t="s">
        <v>363</v>
      </c>
      <c r="AD18" s="197"/>
      <c r="AE18" s="197"/>
      <c r="AF18" s="198"/>
      <c r="AG18" s="198"/>
      <c r="AH18" s="198"/>
      <c r="AI18" s="198"/>
      <c r="AJ18" s="198"/>
      <c r="AK18" s="198"/>
      <c r="AL18" s="198"/>
      <c r="AM18" s="198"/>
    </row>
    <row r="19" spans="1:39" s="199" customFormat="1" ht="79.5" customHeight="1" x14ac:dyDescent="0.2">
      <c r="A19" s="1139"/>
      <c r="B19" s="1139"/>
      <c r="C19" s="1140"/>
      <c r="D19" s="1125"/>
      <c r="E19" s="1127"/>
      <c r="F19" s="1127"/>
      <c r="G19" s="1125"/>
      <c r="H19" s="1139"/>
      <c r="I19" s="1141"/>
      <c r="J19" s="1125"/>
      <c r="K19" s="193" t="s">
        <v>364</v>
      </c>
      <c r="L19" s="195" t="s">
        <v>365</v>
      </c>
      <c r="M19" s="185">
        <f>[1]Controles!T20</f>
        <v>100</v>
      </c>
      <c r="N19" s="185" t="str">
        <f>[1]Controles!AB20</f>
        <v>No</v>
      </c>
      <c r="O19" s="186">
        <f>[1]Controles!W20</f>
        <v>1</v>
      </c>
      <c r="P19" s="186">
        <f>[1]Controles!X20</f>
        <v>0</v>
      </c>
      <c r="Q19" s="1126"/>
      <c r="R19" s="1126"/>
      <c r="S19" s="1142"/>
      <c r="T19" s="1142"/>
      <c r="U19" s="1126"/>
      <c r="V19" s="1126"/>
      <c r="W19" s="1141"/>
      <c r="X19" s="1125"/>
      <c r="Y19" s="196"/>
      <c r="Z19" s="187"/>
      <c r="AA19" s="188"/>
      <c r="AB19" s="188"/>
      <c r="AC19" s="187"/>
      <c r="AD19" s="197"/>
      <c r="AE19" s="197"/>
      <c r="AF19" s="198"/>
      <c r="AG19" s="198"/>
      <c r="AH19" s="198"/>
      <c r="AI19" s="198"/>
      <c r="AJ19" s="198"/>
      <c r="AK19" s="198"/>
      <c r="AL19" s="198"/>
      <c r="AM19" s="198"/>
    </row>
    <row r="20" spans="1:39" s="199" customFormat="1" ht="52.5" customHeight="1" x14ac:dyDescent="0.2">
      <c r="A20" s="1139"/>
      <c r="B20" s="1139"/>
      <c r="C20" s="1140"/>
      <c r="D20" s="1125"/>
      <c r="E20" s="1127"/>
      <c r="F20" s="1127"/>
      <c r="G20" s="1125"/>
      <c r="H20" s="1139"/>
      <c r="I20" s="1141"/>
      <c r="J20" s="1125"/>
      <c r="K20" s="193" t="s">
        <v>345</v>
      </c>
      <c r="L20" s="195" t="s">
        <v>366</v>
      </c>
      <c r="M20" s="185">
        <f>[1]Controles!T21</f>
        <v>100</v>
      </c>
      <c r="N20" s="185" t="str">
        <f>[1]Controles!AB21</f>
        <v>No</v>
      </c>
      <c r="O20" s="186">
        <f>[1]Controles!W21</f>
        <v>1</v>
      </c>
      <c r="P20" s="186">
        <f>[1]Controles!X21</f>
        <v>0</v>
      </c>
      <c r="Q20" s="1126"/>
      <c r="R20" s="1126"/>
      <c r="S20" s="1142"/>
      <c r="T20" s="1142"/>
      <c r="U20" s="1126"/>
      <c r="V20" s="1126"/>
      <c r="W20" s="1141"/>
      <c r="X20" s="1125"/>
      <c r="Y20" s="196"/>
      <c r="Z20" s="187"/>
      <c r="AA20" s="188"/>
      <c r="AB20" s="188"/>
      <c r="AC20" s="187"/>
      <c r="AD20" s="197"/>
      <c r="AE20" s="197"/>
      <c r="AF20" s="198"/>
      <c r="AG20" s="198"/>
      <c r="AH20" s="198"/>
      <c r="AI20" s="198"/>
      <c r="AJ20" s="198"/>
      <c r="AK20" s="198"/>
      <c r="AL20" s="198"/>
      <c r="AM20" s="198"/>
    </row>
  </sheetData>
  <mergeCells count="63">
    <mergeCell ref="X18:X20"/>
    <mergeCell ref="G18:G20"/>
    <mergeCell ref="H18:H20"/>
    <mergeCell ref="I18:I20"/>
    <mergeCell ref="J18:J20"/>
    <mergeCell ref="Q18:Q20"/>
    <mergeCell ref="R18:R20"/>
    <mergeCell ref="S18:S20"/>
    <mergeCell ref="T18:T20"/>
    <mergeCell ref="U18:U20"/>
    <mergeCell ref="V18:V20"/>
    <mergeCell ref="W18:W20"/>
    <mergeCell ref="A18:A20"/>
    <mergeCell ref="B18:B20"/>
    <mergeCell ref="C18:C20"/>
    <mergeCell ref="D18:D20"/>
    <mergeCell ref="E18:E20"/>
    <mergeCell ref="F18:F20"/>
    <mergeCell ref="S14:S17"/>
    <mergeCell ref="T14:T17"/>
    <mergeCell ref="U14:U17"/>
    <mergeCell ref="V14:V17"/>
    <mergeCell ref="F14:F17"/>
    <mergeCell ref="X14:X17"/>
    <mergeCell ref="G14:G17"/>
    <mergeCell ref="H14:H17"/>
    <mergeCell ref="I14:I17"/>
    <mergeCell ref="J14:J17"/>
    <mergeCell ref="Q14:Q17"/>
    <mergeCell ref="R14:R17"/>
    <mergeCell ref="W14:W17"/>
    <mergeCell ref="R7:R13"/>
    <mergeCell ref="S7:S13"/>
    <mergeCell ref="T7:T13"/>
    <mergeCell ref="U7:U13"/>
    <mergeCell ref="V7:V13"/>
    <mergeCell ref="A14:A17"/>
    <mergeCell ref="B14:B17"/>
    <mergeCell ref="C14:C17"/>
    <mergeCell ref="D14:D17"/>
    <mergeCell ref="E14:E17"/>
    <mergeCell ref="AM1:AM2"/>
    <mergeCell ref="AM3:AM4"/>
    <mergeCell ref="A5:I5"/>
    <mergeCell ref="K5:P5"/>
    <mergeCell ref="Q5:X5"/>
    <mergeCell ref="Y5:AC5"/>
    <mergeCell ref="AD5:AK5"/>
    <mergeCell ref="X7:X13"/>
    <mergeCell ref="Q7:Q13"/>
    <mergeCell ref="F7:F13"/>
    <mergeCell ref="A1:C4"/>
    <mergeCell ref="D1:AL4"/>
    <mergeCell ref="A7:A13"/>
    <mergeCell ref="B7:B13"/>
    <mergeCell ref="C7:C13"/>
    <mergeCell ref="D7:D13"/>
    <mergeCell ref="E7:E13"/>
    <mergeCell ref="W7:W13"/>
    <mergeCell ref="G7:G13"/>
    <mergeCell ref="H7:H13"/>
    <mergeCell ref="I7:I13"/>
    <mergeCell ref="J7:J13"/>
  </mergeCells>
  <conditionalFormatting sqref="J7 W7:X7 J14:J17 W14:X14 X18:X19">
    <cfRule type="cellIs" dxfId="263" priority="21" operator="equal">
      <formula>"Extremo"</formula>
    </cfRule>
    <cfRule type="cellIs" dxfId="262" priority="22" operator="equal">
      <formula>"Moderado"</formula>
    </cfRule>
    <cfRule type="cellIs" dxfId="261" priority="23" operator="equal">
      <formula>"Bajo"</formula>
    </cfRule>
    <cfRule type="cellIs" dxfId="260" priority="24" operator="equal">
      <formula>"Alto"</formula>
    </cfRule>
  </conditionalFormatting>
  <conditionalFormatting sqref="J18:J19">
    <cfRule type="cellIs" dxfId="259" priority="17" operator="equal">
      <formula>"Extremo"</formula>
    </cfRule>
    <cfRule type="cellIs" dxfId="258" priority="18" operator="equal">
      <formula>"Moderado"</formula>
    </cfRule>
    <cfRule type="cellIs" dxfId="257" priority="19" operator="equal">
      <formula>"Bajo"</formula>
    </cfRule>
    <cfRule type="cellIs" dxfId="256" priority="20" operator="equal">
      <formula>"Alto"</formula>
    </cfRule>
  </conditionalFormatting>
  <conditionalFormatting sqref="W18:W19">
    <cfRule type="cellIs" dxfId="255" priority="13" operator="equal">
      <formula>"Extremo"</formula>
    </cfRule>
    <cfRule type="cellIs" dxfId="254" priority="14" operator="equal">
      <formula>"Moderado"</formula>
    </cfRule>
    <cfRule type="cellIs" dxfId="253" priority="15" operator="equal">
      <formula>"Bajo"</formula>
    </cfRule>
    <cfRule type="cellIs" dxfId="252" priority="16" operator="equal">
      <formula>"Alto"</formula>
    </cfRule>
  </conditionalFormatting>
  <conditionalFormatting sqref="I18:I19">
    <cfRule type="cellIs" dxfId="251" priority="9" operator="equal">
      <formula>"Extremo"</formula>
    </cfRule>
    <cfRule type="cellIs" dxfId="250" priority="10" operator="equal">
      <formula>"Moderado"</formula>
    </cfRule>
    <cfRule type="cellIs" dxfId="249" priority="11" operator="equal">
      <formula>"Bajo"</formula>
    </cfRule>
    <cfRule type="cellIs" dxfId="248" priority="12" operator="equal">
      <formula>"Alto"</formula>
    </cfRule>
  </conditionalFormatting>
  <conditionalFormatting sqref="I14">
    <cfRule type="cellIs" dxfId="247" priority="5" operator="equal">
      <formula>"Extremo"</formula>
    </cfRule>
    <cfRule type="cellIs" dxfId="246" priority="6" operator="equal">
      <formula>"Moderado"</formula>
    </cfRule>
    <cfRule type="cellIs" dxfId="245" priority="7" operator="equal">
      <formula>"Bajo"</formula>
    </cfRule>
    <cfRule type="cellIs" dxfId="244" priority="8" operator="equal">
      <formula>"Alto"</formula>
    </cfRule>
  </conditionalFormatting>
  <conditionalFormatting sqref="I7">
    <cfRule type="cellIs" dxfId="243" priority="1" operator="equal">
      <formula>"Extremo"</formula>
    </cfRule>
    <cfRule type="cellIs" dxfId="242" priority="2" operator="equal">
      <formula>"Moderado"</formula>
    </cfRule>
    <cfRule type="cellIs" dxfId="241" priority="3" operator="equal">
      <formula>"Bajo"</formula>
    </cfRule>
    <cfRule type="cellIs" dxfId="240" priority="4" operator="equal">
      <formula>"Alto"</formula>
    </cfRule>
  </conditionalFormatting>
  <dataValidations count="1">
    <dataValidation type="list" allowBlank="1" showInputMessage="1" showErrorMessage="1" sqref="J7 J14:J19" xr:uid="{00000000-0002-0000-0D00-000000000000}">
      <formula1>"SI,NO"</formula1>
    </dataValidation>
  </dataValidations>
  <pageMargins left="7.874015748031496E-2" right="7.874015748031496E-2" top="1.1417322834645669" bottom="0.15748031496062992" header="0.31496062992125984" footer="0.31496062992125984"/>
  <pageSetup scale="38" orientation="landscape" horizontalDpi="1200" verticalDpi="1200" r:id="rId1"/>
  <headerFooter>
    <oddHeader>&amp;L&amp;G&amp;C
&amp;"-,Negrita"Matriz de Riesgos</oddHeader>
  </headerFooter>
  <rowBreaks count="1" manualBreakCount="1">
    <brk id="17" max="16383" man="1"/>
  </rowBreaks>
  <colBreaks count="2" manualBreakCount="2">
    <brk id="16" max="1048575" man="1"/>
    <brk id="31" max="1048575" man="1"/>
  </col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1000000}">
          <x14:formula1>
            <xm:f>'C:\Users\sgomez.UPME\Documents\UPME 2020\Documents\Mapas de riesgos\[Mapa de riesgos CONVOCATORIAS.xlsx]Datos'!#REF!</xm:f>
          </x14:formula1>
          <xm:sqref>G7 G14:G19 X7 X14:X20 D7 D14:D19</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X7"/>
  <sheetViews>
    <sheetView showGridLines="0" view="pageBreakPreview" zoomScale="115" zoomScaleNormal="100" zoomScaleSheetLayoutView="115" workbookViewId="0">
      <selection activeCell="C7" sqref="C7"/>
    </sheetView>
  </sheetViews>
  <sheetFormatPr baseColWidth="10" defaultRowHeight="15" x14ac:dyDescent="0.25"/>
  <cols>
    <col min="1" max="1" width="5.625" style="151" customWidth="1"/>
    <col min="2" max="2" width="21.625" style="151" customWidth="1"/>
    <col min="3" max="3" width="15.75" style="151" customWidth="1"/>
    <col min="4" max="4" width="17.875" style="151" customWidth="1"/>
    <col min="5" max="11" width="16.625" style="151" customWidth="1"/>
    <col min="12" max="12" width="21.375" style="151" customWidth="1"/>
    <col min="13" max="14" width="16.625" style="151" customWidth="1"/>
    <col min="15" max="15" width="18.5" style="151" customWidth="1"/>
    <col min="16" max="16" width="16.625" style="151" customWidth="1"/>
    <col min="17" max="23" width="13.75" style="151" customWidth="1"/>
    <col min="24" max="24" width="9.125" style="168" bestFit="1" customWidth="1"/>
    <col min="25" max="26" width="25.625" style="151" customWidth="1"/>
    <col min="27" max="16384" width="11" style="151"/>
  </cols>
  <sheetData>
    <row r="1" spans="1:24" ht="15" customHeight="1" x14ac:dyDescent="0.25">
      <c r="A1" s="1144"/>
      <c r="B1" s="1145"/>
      <c r="C1" s="1145"/>
      <c r="D1" s="1146"/>
      <c r="E1" s="1149" t="s">
        <v>0</v>
      </c>
      <c r="F1" s="1150"/>
      <c r="G1" s="1150"/>
      <c r="H1" s="1150"/>
      <c r="I1" s="1150"/>
      <c r="J1" s="1150"/>
      <c r="K1" s="1150"/>
      <c r="L1" s="1150"/>
      <c r="M1" s="1150"/>
      <c r="N1" s="1150"/>
      <c r="O1" s="1150"/>
      <c r="P1" s="1150"/>
      <c r="Q1" s="1150"/>
      <c r="R1" s="1150"/>
      <c r="S1" s="1150"/>
      <c r="T1" s="1151"/>
      <c r="U1" s="1155" t="s">
        <v>98</v>
      </c>
      <c r="V1" s="1156"/>
      <c r="W1" s="1156"/>
      <c r="X1" s="1157"/>
    </row>
    <row r="2" spans="1:24" ht="15" customHeight="1" x14ac:dyDescent="0.25">
      <c r="A2" s="1147"/>
      <c r="B2" s="1148"/>
      <c r="C2" s="1148"/>
      <c r="D2" s="1096"/>
      <c r="E2" s="1152"/>
      <c r="F2" s="1153"/>
      <c r="G2" s="1153"/>
      <c r="H2" s="1153"/>
      <c r="I2" s="1153"/>
      <c r="J2" s="1153"/>
      <c r="K2" s="1153"/>
      <c r="L2" s="1153"/>
      <c r="M2" s="1153"/>
      <c r="N2" s="1153"/>
      <c r="O2" s="1153"/>
      <c r="P2" s="1153"/>
      <c r="Q2" s="1153"/>
      <c r="R2" s="1153"/>
      <c r="S2" s="1153"/>
      <c r="T2" s="1154"/>
      <c r="U2" s="1158"/>
      <c r="V2" s="1159"/>
      <c r="W2" s="1159"/>
      <c r="X2" s="1160"/>
    </row>
    <row r="3" spans="1:24" ht="15" customHeight="1" x14ac:dyDescent="0.25">
      <c r="A3" s="1147"/>
      <c r="B3" s="1148"/>
      <c r="C3" s="1148"/>
      <c r="D3" s="1096"/>
      <c r="E3" s="1152"/>
      <c r="F3" s="1153"/>
      <c r="G3" s="1153"/>
      <c r="H3" s="1153"/>
      <c r="I3" s="1153"/>
      <c r="J3" s="1153"/>
      <c r="K3" s="1153"/>
      <c r="L3" s="1153"/>
      <c r="M3" s="1153"/>
      <c r="N3" s="1153"/>
      <c r="O3" s="1153"/>
      <c r="P3" s="1153"/>
      <c r="Q3" s="1153"/>
      <c r="R3" s="1153"/>
      <c r="S3" s="1153"/>
      <c r="T3" s="1154"/>
      <c r="U3" s="1155" t="s">
        <v>367</v>
      </c>
      <c r="V3" s="1156"/>
      <c r="W3" s="1156"/>
      <c r="X3" s="1156"/>
    </row>
    <row r="4" spans="1:24" ht="15" customHeight="1" x14ac:dyDescent="0.25">
      <c r="A4" s="1147"/>
      <c r="B4" s="1148"/>
      <c r="C4" s="1148"/>
      <c r="D4" s="1096"/>
      <c r="E4" s="1152"/>
      <c r="F4" s="1153"/>
      <c r="G4" s="1153"/>
      <c r="H4" s="1153"/>
      <c r="I4" s="1153"/>
      <c r="J4" s="1153"/>
      <c r="K4" s="1153"/>
      <c r="L4" s="1153"/>
      <c r="M4" s="1153"/>
      <c r="N4" s="1153"/>
      <c r="O4" s="1153"/>
      <c r="P4" s="1153"/>
      <c r="Q4" s="1153"/>
      <c r="R4" s="1153"/>
      <c r="S4" s="1153"/>
      <c r="T4" s="1154"/>
      <c r="U4" s="1161"/>
      <c r="V4" s="1162"/>
      <c r="W4" s="1162"/>
      <c r="X4" s="1162"/>
    </row>
    <row r="5" spans="1:24" ht="15" customHeight="1" x14ac:dyDescent="0.25">
      <c r="A5" s="1163" t="s">
        <v>100</v>
      </c>
      <c r="B5" s="1163"/>
      <c r="C5" s="1163"/>
      <c r="D5" s="1164"/>
      <c r="E5" s="1118" t="s">
        <v>101</v>
      </c>
      <c r="F5" s="1119"/>
      <c r="G5" s="1119"/>
      <c r="H5" s="1119"/>
      <c r="I5" s="1119"/>
      <c r="J5" s="1119"/>
      <c r="K5" s="1119"/>
      <c r="L5" s="1119"/>
      <c r="M5" s="1119"/>
      <c r="N5" s="1119"/>
      <c r="O5" s="1119"/>
      <c r="P5" s="1119"/>
      <c r="Q5" s="1119"/>
      <c r="R5" s="1119"/>
      <c r="S5" s="1119"/>
      <c r="T5" s="1119"/>
      <c r="U5" s="1119"/>
      <c r="V5" s="1119"/>
      <c r="W5" s="1119"/>
      <c r="X5" s="1120"/>
    </row>
    <row r="6" spans="1:24" s="209" customFormat="1" ht="114.75" customHeight="1" x14ac:dyDescent="0.2">
      <c r="A6" s="157" t="s">
        <v>44</v>
      </c>
      <c r="B6" s="208" t="s">
        <v>64</v>
      </c>
      <c r="C6" s="208" t="s">
        <v>70</v>
      </c>
      <c r="D6" s="208" t="s">
        <v>69</v>
      </c>
      <c r="E6" s="157" t="s">
        <v>102</v>
      </c>
      <c r="F6" s="157" t="s">
        <v>103</v>
      </c>
      <c r="G6" s="157" t="s">
        <v>104</v>
      </c>
      <c r="H6" s="157" t="s">
        <v>105</v>
      </c>
      <c r="I6" s="208" t="s">
        <v>106</v>
      </c>
      <c r="J6" s="208" t="s">
        <v>107</v>
      </c>
      <c r="K6" s="208" t="s">
        <v>108</v>
      </c>
      <c r="L6" s="208" t="s">
        <v>109</v>
      </c>
      <c r="M6" s="208" t="s">
        <v>110</v>
      </c>
      <c r="N6" s="208" t="s">
        <v>111</v>
      </c>
      <c r="O6" s="208" t="s">
        <v>112</v>
      </c>
      <c r="P6" s="208" t="s">
        <v>113</v>
      </c>
      <c r="Q6" s="208" t="s">
        <v>114</v>
      </c>
      <c r="R6" s="208" t="s">
        <v>115</v>
      </c>
      <c r="S6" s="208" t="s">
        <v>116</v>
      </c>
      <c r="T6" s="208" t="s">
        <v>117</v>
      </c>
      <c r="U6" s="208" t="s">
        <v>118</v>
      </c>
      <c r="V6" s="208" t="s">
        <v>119</v>
      </c>
      <c r="W6" s="208" t="s">
        <v>120</v>
      </c>
      <c r="X6" s="208" t="s">
        <v>121</v>
      </c>
    </row>
    <row r="7" spans="1:24" ht="72.75" customHeight="1" x14ac:dyDescent="0.25">
      <c r="A7" s="210">
        <f>'[1]Identificación del Riesgo'!D11</f>
        <v>3</v>
      </c>
      <c r="B7" s="210" t="str">
        <f>'[1]Identificación del Riesgo'!E11</f>
        <v>Conflicto de interés en el proceso de evaluación de Convocatoria.</v>
      </c>
      <c r="C7" s="165">
        <f>IF(D7="PENDIENTE EVALUAR EL IMPACTO","PENDIENTE EVALUAR EL IMPACTO COLUMNAS H-W",VLOOKUP(D7,[1]Datos!$K$8:$L$12,2,FALSE))</f>
        <v>4</v>
      </c>
      <c r="D7" s="210" t="str">
        <f t="shared" ref="D7" si="0">IF(X7=0,"PENDIENTE EVALUAR EL IMPACTO",IF(X7&lt;=5,"MODERADO",IF(X7&lt;=11,"MAYOR","CATASTRÓFICO")))</f>
        <v>MAYOR</v>
      </c>
      <c r="E7" s="163" t="s">
        <v>122</v>
      </c>
      <c r="F7" s="163" t="s">
        <v>122</v>
      </c>
      <c r="G7" s="163" t="s">
        <v>122</v>
      </c>
      <c r="H7" s="163" t="s">
        <v>263</v>
      </c>
      <c r="I7" s="163" t="s">
        <v>122</v>
      </c>
      <c r="J7" s="163" t="s">
        <v>122</v>
      </c>
      <c r="K7" s="163" t="s">
        <v>263</v>
      </c>
      <c r="L7" s="163" t="s">
        <v>263</v>
      </c>
      <c r="M7" s="163" t="s">
        <v>263</v>
      </c>
      <c r="N7" s="163" t="s">
        <v>122</v>
      </c>
      <c r="O7" s="163" t="s">
        <v>122</v>
      </c>
      <c r="P7" s="163" t="s">
        <v>122</v>
      </c>
      <c r="Q7" s="163" t="s">
        <v>122</v>
      </c>
      <c r="R7" s="163" t="s">
        <v>122</v>
      </c>
      <c r="S7" s="163" t="s">
        <v>263</v>
      </c>
      <c r="T7" s="163" t="s">
        <v>263</v>
      </c>
      <c r="U7" s="163" t="s">
        <v>263</v>
      </c>
      <c r="V7" s="163" t="s">
        <v>122</v>
      </c>
      <c r="W7" s="163" t="s">
        <v>263</v>
      </c>
      <c r="X7" s="211">
        <f t="shared" ref="X7" si="1">COUNTIF(E7:W7,"SI")</f>
        <v>11</v>
      </c>
    </row>
  </sheetData>
  <mergeCells count="6">
    <mergeCell ref="A1:D4"/>
    <mergeCell ref="E1:T4"/>
    <mergeCell ref="U1:X2"/>
    <mergeCell ref="U3:X4"/>
    <mergeCell ref="A5:D5"/>
    <mergeCell ref="E5:X5"/>
  </mergeCells>
  <dataValidations count="1">
    <dataValidation type="list" allowBlank="1" showInputMessage="1" showErrorMessage="1" sqref="E7:W7" xr:uid="{00000000-0002-0000-0E00-000000000000}">
      <formula1>"SI,NO"</formula1>
    </dataValidation>
  </dataValidations>
  <pageMargins left="0.51181102362204722" right="0.70866141732283472" top="1.1417322834645669" bottom="0.74803149606299213" header="0.31496062992125984" footer="0.31496062992125984"/>
  <pageSetup scale="35" orientation="landscape" horizontalDpi="1200" verticalDpi="1200" r:id="rId1"/>
  <headerFooter>
    <oddHeader>&amp;L&amp;G&amp;C
&amp;"-,Negrita"Matriz de Riesgos</oddHeader>
  </headerFooter>
  <colBreaks count="1" manualBreakCount="1">
    <brk id="4" max="1048575" man="1"/>
  </colBreaks>
  <drawing r:id="rId2"/>
  <legacyDrawing r:id="rId3"/>
  <legacyDrawingHF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D21"/>
  <sheetViews>
    <sheetView showGridLines="0" zoomScaleNormal="100" zoomScaleSheetLayoutView="160" workbookViewId="0">
      <selection activeCell="V19" sqref="V19"/>
    </sheetView>
  </sheetViews>
  <sheetFormatPr baseColWidth="10" defaultColWidth="10" defaultRowHeight="12.75" x14ac:dyDescent="0.2"/>
  <cols>
    <col min="1" max="1" width="6.625" style="212" customWidth="1"/>
    <col min="2" max="2" width="16.75" style="212" customWidth="1"/>
    <col min="3" max="3" width="37.75" style="212" customWidth="1"/>
    <col min="4" max="4" width="27.625" style="182" customWidth="1"/>
    <col min="5" max="5" width="55.875" style="182" customWidth="1"/>
    <col min="6" max="10" width="21.75" style="212" customWidth="1"/>
    <col min="11" max="11" width="24.75" style="212" customWidth="1"/>
    <col min="12" max="12" width="21.75" style="212" customWidth="1"/>
    <col min="13" max="17" width="19.25" style="226" customWidth="1"/>
    <col min="18" max="18" width="22.625" style="226" customWidth="1"/>
    <col min="19" max="19" width="19.25" style="226" customWidth="1"/>
    <col min="20" max="20" width="8" style="226" customWidth="1"/>
    <col min="21" max="22" width="18.125" style="226" customWidth="1"/>
    <col min="23" max="23" width="17.75" style="226" hidden="1" customWidth="1"/>
    <col min="24" max="24" width="16.25" style="226" hidden="1" customWidth="1"/>
    <col min="25" max="25" width="15.25" style="226" customWidth="1"/>
    <col min="26" max="26" width="18.875" style="226" customWidth="1"/>
    <col min="27" max="27" width="15.625" style="226" customWidth="1"/>
    <col min="28" max="28" width="23.125" style="226" customWidth="1"/>
    <col min="29" max="29" width="22.25" style="227" customWidth="1"/>
    <col min="30" max="30" width="26.5" style="227" customWidth="1"/>
    <col min="31" max="16384" width="10" style="212"/>
  </cols>
  <sheetData>
    <row r="1" spans="1:30" ht="15.75" customHeight="1" x14ac:dyDescent="0.2">
      <c r="A1" s="1165"/>
      <c r="B1" s="1165"/>
      <c r="C1" s="1165"/>
      <c r="D1" s="1166" t="s">
        <v>0</v>
      </c>
      <c r="E1" s="1166"/>
      <c r="F1" s="1166"/>
      <c r="G1" s="1166"/>
      <c r="H1" s="1166"/>
      <c r="I1" s="1166"/>
      <c r="J1" s="1166"/>
      <c r="K1" s="1166"/>
      <c r="L1" s="1166"/>
      <c r="M1" s="1166"/>
      <c r="N1" s="1166"/>
      <c r="O1" s="1166"/>
      <c r="P1" s="1166"/>
      <c r="Q1" s="1166"/>
      <c r="R1" s="1166"/>
      <c r="S1" s="1166"/>
      <c r="T1" s="1166"/>
      <c r="U1" s="1166"/>
      <c r="V1" s="1166"/>
      <c r="W1" s="1166"/>
      <c r="X1" s="1166"/>
      <c r="Y1" s="1166"/>
      <c r="Z1" s="1166"/>
      <c r="AA1" s="1166"/>
      <c r="AB1" s="1166"/>
      <c r="AC1" s="1167" t="s">
        <v>128</v>
      </c>
      <c r="AD1" s="1167"/>
    </row>
    <row r="2" spans="1:30" ht="15.75" customHeight="1" x14ac:dyDescent="0.2">
      <c r="A2" s="1165"/>
      <c r="B2" s="1165"/>
      <c r="C2" s="1165"/>
      <c r="D2" s="1166"/>
      <c r="E2" s="1166"/>
      <c r="F2" s="1166"/>
      <c r="G2" s="1166"/>
      <c r="H2" s="1166"/>
      <c r="I2" s="1166"/>
      <c r="J2" s="1166"/>
      <c r="K2" s="1166"/>
      <c r="L2" s="1166"/>
      <c r="M2" s="1166"/>
      <c r="N2" s="1166"/>
      <c r="O2" s="1166"/>
      <c r="P2" s="1166"/>
      <c r="Q2" s="1166"/>
      <c r="R2" s="1166"/>
      <c r="S2" s="1166"/>
      <c r="T2" s="1166"/>
      <c r="U2" s="1166"/>
      <c r="V2" s="1166"/>
      <c r="W2" s="1166"/>
      <c r="X2" s="1166"/>
      <c r="Y2" s="1166"/>
      <c r="Z2" s="1166"/>
      <c r="AA2" s="1166"/>
      <c r="AB2" s="1166"/>
      <c r="AC2" s="1167"/>
      <c r="AD2" s="1167"/>
    </row>
    <row r="3" spans="1:30" ht="15.75" customHeight="1" x14ac:dyDescent="0.2">
      <c r="A3" s="1165"/>
      <c r="B3" s="1165"/>
      <c r="C3" s="1165"/>
      <c r="D3" s="1166"/>
      <c r="E3" s="1166"/>
      <c r="F3" s="1166"/>
      <c r="G3" s="1166"/>
      <c r="H3" s="1166"/>
      <c r="I3" s="1166"/>
      <c r="J3" s="1166"/>
      <c r="K3" s="1166"/>
      <c r="L3" s="1166"/>
      <c r="M3" s="1166"/>
      <c r="N3" s="1166"/>
      <c r="O3" s="1166"/>
      <c r="P3" s="1166"/>
      <c r="Q3" s="1166"/>
      <c r="R3" s="1166"/>
      <c r="S3" s="1166"/>
      <c r="T3" s="1166"/>
      <c r="U3" s="1166"/>
      <c r="V3" s="1166"/>
      <c r="W3" s="1166"/>
      <c r="X3" s="1166"/>
      <c r="Y3" s="1166"/>
      <c r="Z3" s="1166"/>
      <c r="AA3" s="1166"/>
      <c r="AB3" s="1166"/>
      <c r="AC3" s="1167" t="s">
        <v>2</v>
      </c>
      <c r="AD3" s="1167"/>
    </row>
    <row r="4" spans="1:30" ht="15.75" customHeight="1" x14ac:dyDescent="0.2">
      <c r="A4" s="1165"/>
      <c r="B4" s="1165"/>
      <c r="C4" s="1165"/>
      <c r="D4" s="1166"/>
      <c r="E4" s="1166"/>
      <c r="F4" s="1166"/>
      <c r="G4" s="1166"/>
      <c r="H4" s="1166"/>
      <c r="I4" s="1166"/>
      <c r="J4" s="1166"/>
      <c r="K4" s="1166"/>
      <c r="L4" s="1166"/>
      <c r="M4" s="1166"/>
      <c r="N4" s="1166"/>
      <c r="O4" s="1166"/>
      <c r="P4" s="1166"/>
      <c r="Q4" s="1166"/>
      <c r="R4" s="1166"/>
      <c r="S4" s="1166"/>
      <c r="T4" s="1166"/>
      <c r="U4" s="1166"/>
      <c r="V4" s="1166"/>
      <c r="W4" s="1166"/>
      <c r="X4" s="1166"/>
      <c r="Y4" s="1166"/>
      <c r="Z4" s="1166"/>
      <c r="AA4" s="1166"/>
      <c r="AB4" s="1166"/>
      <c r="AC4" s="1167"/>
      <c r="AD4" s="1167"/>
    </row>
    <row r="5" spans="1:30" ht="15.75" customHeight="1" x14ac:dyDescent="0.2">
      <c r="A5" s="1112" t="s">
        <v>36</v>
      </c>
      <c r="B5" s="1113"/>
      <c r="C5" s="1114"/>
      <c r="D5" s="1168" t="str">
        <f t="array" ref="D5">+'[1]Identificación del Riesgo'!D5:N5</f>
        <v>CONVOCATORIA</v>
      </c>
      <c r="E5" s="1169"/>
      <c r="F5" s="1169"/>
      <c r="G5" s="1169"/>
      <c r="H5" s="1169"/>
      <c r="I5" s="1169"/>
      <c r="J5" s="1169"/>
      <c r="K5" s="1169"/>
      <c r="L5" s="1169"/>
      <c r="M5" s="1169"/>
      <c r="N5" s="1169"/>
      <c r="O5" s="1169"/>
      <c r="P5" s="1169"/>
      <c r="Q5" s="1169"/>
      <c r="R5" s="1169"/>
      <c r="S5" s="1169"/>
      <c r="T5" s="1169"/>
      <c r="U5" s="1169"/>
      <c r="V5" s="1169"/>
      <c r="W5" s="1169"/>
      <c r="X5" s="1169"/>
      <c r="Y5" s="1169"/>
      <c r="Z5" s="1169"/>
      <c r="AA5" s="1169"/>
      <c r="AB5" s="1169"/>
      <c r="AC5" s="1169"/>
      <c r="AD5" s="1169"/>
    </row>
    <row r="6" spans="1:30" ht="15.75" customHeight="1" thickBot="1" x14ac:dyDescent="0.25">
      <c r="A6" s="1112" t="s">
        <v>37</v>
      </c>
      <c r="B6" s="1113"/>
      <c r="C6" s="1114"/>
      <c r="D6" s="1168" t="str">
        <f t="array" ref="D6">+'[1]Identificación del Riesgo'!D6:N6</f>
        <v xml:space="preserve">Adelantar las convocatorias de transmisión eléctrica de manera eficaz y realizar el seguimiento para establecer controles o alertas en la ejecución de la obra. </v>
      </c>
      <c r="E6" s="1169"/>
      <c r="F6" s="1169"/>
      <c r="G6" s="1169"/>
      <c r="H6" s="1169"/>
      <c r="I6" s="1169"/>
      <c r="J6" s="1169"/>
      <c r="K6" s="1169"/>
      <c r="L6" s="1169"/>
      <c r="M6" s="1169"/>
      <c r="N6" s="1169"/>
      <c r="O6" s="1169"/>
      <c r="P6" s="1169"/>
      <c r="Q6" s="1169"/>
      <c r="R6" s="1169"/>
      <c r="S6" s="1169"/>
      <c r="T6" s="1169"/>
      <c r="U6" s="1169"/>
      <c r="V6" s="1169"/>
      <c r="W6" s="1169"/>
      <c r="X6" s="1169"/>
      <c r="Y6" s="1169"/>
      <c r="Z6" s="1169"/>
      <c r="AA6" s="1169"/>
      <c r="AB6" s="1169"/>
      <c r="AC6" s="1169"/>
      <c r="AD6" s="1169"/>
    </row>
    <row r="7" spans="1:30" ht="15" customHeight="1" x14ac:dyDescent="0.2">
      <c r="A7" s="1170" t="s">
        <v>129</v>
      </c>
      <c r="B7" s="1171"/>
      <c r="C7" s="1171"/>
      <c r="D7" s="1171"/>
      <c r="E7" s="1171"/>
      <c r="F7" s="1171"/>
      <c r="G7" s="1171"/>
      <c r="H7" s="1171"/>
      <c r="I7" s="1171"/>
      <c r="J7" s="1171"/>
      <c r="K7" s="1171"/>
      <c r="L7" s="1171"/>
      <c r="M7" s="1171" t="s">
        <v>75</v>
      </c>
      <c r="N7" s="1171"/>
      <c r="O7" s="1171"/>
      <c r="P7" s="1171"/>
      <c r="Q7" s="1171"/>
      <c r="R7" s="1171"/>
      <c r="S7" s="1171"/>
      <c r="T7" s="1171"/>
      <c r="U7" s="1171"/>
      <c r="V7" s="1171"/>
      <c r="W7" s="1171"/>
      <c r="X7" s="1171"/>
      <c r="Y7" s="1171"/>
      <c r="Z7" s="1172" t="s">
        <v>130</v>
      </c>
      <c r="AA7" s="1172"/>
      <c r="AB7" s="1172"/>
      <c r="AC7" s="1173" t="s">
        <v>131</v>
      </c>
      <c r="AD7" s="1174"/>
    </row>
    <row r="8" spans="1:30" ht="51" x14ac:dyDescent="0.2">
      <c r="A8" s="213" t="s">
        <v>44</v>
      </c>
      <c r="B8" s="214" t="s">
        <v>64</v>
      </c>
      <c r="C8" s="214" t="s">
        <v>132</v>
      </c>
      <c r="D8" s="214" t="s">
        <v>73</v>
      </c>
      <c r="E8" s="214" t="s">
        <v>133</v>
      </c>
      <c r="F8" s="214" t="s">
        <v>134</v>
      </c>
      <c r="G8" s="214" t="s">
        <v>135</v>
      </c>
      <c r="H8" s="214" t="s">
        <v>136</v>
      </c>
      <c r="I8" s="214" t="s">
        <v>137</v>
      </c>
      <c r="J8" s="214" t="s">
        <v>138</v>
      </c>
      <c r="K8" s="214" t="s">
        <v>139</v>
      </c>
      <c r="L8" s="214" t="s">
        <v>140</v>
      </c>
      <c r="M8" s="214" t="s">
        <v>134</v>
      </c>
      <c r="N8" s="214" t="s">
        <v>135</v>
      </c>
      <c r="O8" s="214" t="s">
        <v>141</v>
      </c>
      <c r="P8" s="214" t="s">
        <v>137</v>
      </c>
      <c r="Q8" s="214" t="s">
        <v>138</v>
      </c>
      <c r="R8" s="214" t="s">
        <v>139</v>
      </c>
      <c r="S8" s="214" t="s">
        <v>140</v>
      </c>
      <c r="T8" s="215" t="s">
        <v>121</v>
      </c>
      <c r="U8" s="214" t="s">
        <v>142</v>
      </c>
      <c r="V8" s="214" t="s">
        <v>143</v>
      </c>
      <c r="W8" s="214" t="s">
        <v>142</v>
      </c>
      <c r="X8" s="214" t="s">
        <v>143</v>
      </c>
      <c r="Y8" s="214" t="s">
        <v>144</v>
      </c>
      <c r="Z8" s="214" t="s">
        <v>145</v>
      </c>
      <c r="AA8" s="214" t="s">
        <v>146</v>
      </c>
      <c r="AB8" s="214" t="s">
        <v>76</v>
      </c>
      <c r="AC8" s="214" t="s">
        <v>147</v>
      </c>
      <c r="AD8" s="216" t="s">
        <v>148</v>
      </c>
    </row>
    <row r="9" spans="1:30" s="192" customFormat="1" ht="150" customHeight="1" x14ac:dyDescent="0.2">
      <c r="A9" s="1175">
        <f>'[1]Identificación del Riesgo'!D9</f>
        <v>1</v>
      </c>
      <c r="B9" s="1176" t="str">
        <f>'[1]Identificación del Riesgo'!E9</f>
        <v>Ineficacia de los procesos de convocatoria de transmisión.</v>
      </c>
      <c r="C9" s="1178" t="str">
        <f>'[1]Identificación del Riesgo'!H9</f>
        <v>-No contar con los insumos para dar inicio al proceso de convocatoria (garantías de los usuarios, renuncias de los operadores y transportadores e información técnica de los puntos y costos de conexión).
-Limitados recursos (personas) para atender multiples procesos de manera simultánea.
-Propuestas no válidas por no cumplimiento de aspectos técnicos y/o económicos definidos por la UPME y por la CREG.
-No concurrencia de inversionistas al proceso de convocatoria.
-Demoras en la selección del interventor del proyecto.</v>
      </c>
      <c r="D9" s="217" t="str">
        <f>'[1]Analisis Riesgo'!K7</f>
        <v>Aplicar niveles de autorización de emisión y publicación de los Documentos de Selección.</v>
      </c>
      <c r="E9" s="217" t="str">
        <f>'[1]Analisis Riesgo'!L7</f>
        <v>Se aplica control de gestión de elaboración, revisión y aprobación de los Documentos de Selección. Están definidos los responsables que en este caso son los Profesionales del Grupo de Convocatorias, el Coordinador del Grupo y el Subdirector de Energía Eléctrica.  Se aplica cada vez que se finaliza la elaboración de documentos de Selección. El propósito del control es evitar errores en los documentos de selección del inversionista e interventor en la Convocatorias Públicas de Transmisión.</v>
      </c>
      <c r="F9" s="218" t="s">
        <v>296</v>
      </c>
      <c r="G9" s="218" t="s">
        <v>299</v>
      </c>
      <c r="H9" s="218" t="s">
        <v>300</v>
      </c>
      <c r="I9" s="218" t="s">
        <v>301</v>
      </c>
      <c r="J9" s="218" t="s">
        <v>302</v>
      </c>
      <c r="K9" s="219" t="s">
        <v>368</v>
      </c>
      <c r="L9" s="218" t="s">
        <v>304</v>
      </c>
      <c r="M9" s="185">
        <f>IF(F9="Asignado", 15,0)</f>
        <v>15</v>
      </c>
      <c r="N9" s="185">
        <f>IF(G9="Adecuado",15,0)</f>
        <v>15</v>
      </c>
      <c r="O9" s="185">
        <f t="shared" ref="O9:O21" si="0">IF(H9="Oportuna",15,0)</f>
        <v>15</v>
      </c>
      <c r="P9" s="185">
        <f t="shared" ref="P9:P21" si="1">IF(I9="Prevenir",15,IF(I9="Detectar",10,0))</f>
        <v>15</v>
      </c>
      <c r="Q9" s="185">
        <f t="shared" ref="Q9:Q21" si="2">IF(J9="Confiable", 15,0)</f>
        <v>15</v>
      </c>
      <c r="R9" s="185">
        <f t="shared" ref="R9:R21" si="3">IF(K9="Se invesigan y resuelven oportunamente",15,0)</f>
        <v>15</v>
      </c>
      <c r="S9" s="185">
        <f t="shared" ref="S9:S21" si="4">IF(L9="Completa",10,IF(L9="Incompleta",5,0))</f>
        <v>10</v>
      </c>
      <c r="T9" s="185">
        <f t="shared" ref="T9:T21" si="5">SUM(M9:S9)</f>
        <v>100</v>
      </c>
      <c r="U9" s="218" t="s">
        <v>122</v>
      </c>
      <c r="V9" s="218" t="s">
        <v>263</v>
      </c>
      <c r="W9" s="185">
        <f t="shared" ref="W9:W21" si="6">IF(U9="SI",1,0)*T9/100</f>
        <v>1</v>
      </c>
      <c r="X9" s="185">
        <f t="shared" ref="X9:X21" si="7">IF(V9="SI",1,0)*T9/100</f>
        <v>0</v>
      </c>
      <c r="Y9" s="185" t="str">
        <f t="shared" ref="Y9:Y21" si="8">IF(W9&gt;=0.96,"Fuerte",IF(W9&gt;=0.86,"Moderado","Debil"))</f>
        <v>Fuerte</v>
      </c>
      <c r="Z9" s="218" t="s">
        <v>305</v>
      </c>
      <c r="AA9" s="185" t="str">
        <f t="shared" ref="AA9:AA21" si="9">IF(Z9="Siempre se ejecuta","Fuerte",IF(Z9="Algunas veces se ejecuta","Moderado","Debil"))</f>
        <v>Fuerte</v>
      </c>
      <c r="AB9" s="185" t="str">
        <f>IF(Y9="Fuerte",IF(AA9="Fuerte","No","SI"),"SI")</f>
        <v>No</v>
      </c>
      <c r="AC9" s="220"/>
      <c r="AD9" s="221"/>
    </row>
    <row r="10" spans="1:30" s="192" customFormat="1" ht="150" customHeight="1" x14ac:dyDescent="0.2">
      <c r="A10" s="1175"/>
      <c r="B10" s="1176"/>
      <c r="C10" s="1178"/>
      <c r="D10" s="217" t="str">
        <f>'[1]Analisis Riesgo'!K8</f>
        <v>Divulgar las Convocatorias Públicas.</v>
      </c>
      <c r="E10" s="217" t="str">
        <f>'[1]Analisis Riesgo'!L8</f>
        <v>Se realiza la divulgación de documentos a través de los canales de información disponibles. Existe un medio determinado para ello en la página web de la entidad, existe un nivel de autorización para divulgar y publicar documentos asignada al Coordinador del Grupo de Convocatorias y al Subdirector de Energía Eléctrica. El propósito del control es comunicar a las partes interesadas a participar en el proceso de Convocatorias Públicas de Transmisión.</v>
      </c>
      <c r="F10" s="218" t="s">
        <v>296</v>
      </c>
      <c r="G10" s="218" t="s">
        <v>299</v>
      </c>
      <c r="H10" s="218" t="s">
        <v>300</v>
      </c>
      <c r="I10" s="218" t="s">
        <v>301</v>
      </c>
      <c r="J10" s="218" t="s">
        <v>302</v>
      </c>
      <c r="K10" s="219" t="s">
        <v>368</v>
      </c>
      <c r="L10" s="218" t="s">
        <v>304</v>
      </c>
      <c r="M10" s="185">
        <f>IF(F10="Asignado", 15,0)</f>
        <v>15</v>
      </c>
      <c r="N10" s="185">
        <f>IF(G10="Adecuado",15,0)</f>
        <v>15</v>
      </c>
      <c r="O10" s="185">
        <f t="shared" si="0"/>
        <v>15</v>
      </c>
      <c r="P10" s="185">
        <f t="shared" si="1"/>
        <v>15</v>
      </c>
      <c r="Q10" s="185">
        <f t="shared" si="2"/>
        <v>15</v>
      </c>
      <c r="R10" s="185">
        <f t="shared" si="3"/>
        <v>15</v>
      </c>
      <c r="S10" s="185">
        <f t="shared" si="4"/>
        <v>10</v>
      </c>
      <c r="T10" s="185">
        <f t="shared" si="5"/>
        <v>100</v>
      </c>
      <c r="U10" s="218" t="s">
        <v>263</v>
      </c>
      <c r="V10" s="218" t="s">
        <v>122</v>
      </c>
      <c r="W10" s="185">
        <f t="shared" si="6"/>
        <v>0</v>
      </c>
      <c r="X10" s="185">
        <f t="shared" si="7"/>
        <v>1</v>
      </c>
      <c r="Y10" s="185" t="str">
        <f t="shared" si="8"/>
        <v>Debil</v>
      </c>
      <c r="Z10" s="218" t="s">
        <v>305</v>
      </c>
      <c r="AA10" s="185" t="str">
        <f t="shared" si="9"/>
        <v>Fuerte</v>
      </c>
      <c r="AB10" s="185" t="str">
        <f t="shared" ref="AB10:AB21" si="10">IF(Y10="Fuerte",IF(AA10="Fuerte","No","SI"),"SI")</f>
        <v>SI</v>
      </c>
      <c r="AC10" s="222"/>
      <c r="AD10" s="221"/>
    </row>
    <row r="11" spans="1:30" s="192" customFormat="1" ht="150" customHeight="1" x14ac:dyDescent="0.2">
      <c r="A11" s="1175"/>
      <c r="B11" s="1176"/>
      <c r="C11" s="1178"/>
      <c r="D11" s="217" t="str">
        <f>'[1]Analisis Riesgo'!K9</f>
        <v>Aplicar niveles de Autorización de emisión y publicación Adendas.</v>
      </c>
      <c r="E11" s="217" t="str">
        <f>'[1]Analisis Riesgo'!L9</f>
        <v>Se aplica control de gestión de elaboración, revisión y aprobación de Adendas.  Adicionalmente existe control sobre el responsable de autorizar la publicación de la adenda. El propósito del control es ajustar o aclarar las condiciones determinadas en los documentos de selección buscando exista un proceso transparente y exista participación de los interesados en el proceso de Convocatorias Públicas de Transmisión.</v>
      </c>
      <c r="F11" s="218" t="s">
        <v>296</v>
      </c>
      <c r="G11" s="218" t="s">
        <v>299</v>
      </c>
      <c r="H11" s="218" t="s">
        <v>300</v>
      </c>
      <c r="I11" s="218" t="s">
        <v>301</v>
      </c>
      <c r="J11" s="218" t="s">
        <v>302</v>
      </c>
      <c r="K11" s="219" t="s">
        <v>368</v>
      </c>
      <c r="L11" s="218" t="s">
        <v>304</v>
      </c>
      <c r="M11" s="185">
        <f>IF(F11="Asignado", 15,0)</f>
        <v>15</v>
      </c>
      <c r="N11" s="185">
        <f>IF(G11="Adecuado",15,0)</f>
        <v>15</v>
      </c>
      <c r="O11" s="185">
        <f t="shared" si="0"/>
        <v>15</v>
      </c>
      <c r="P11" s="185">
        <f t="shared" si="1"/>
        <v>15</v>
      </c>
      <c r="Q11" s="185">
        <f t="shared" si="2"/>
        <v>15</v>
      </c>
      <c r="R11" s="185">
        <f t="shared" si="3"/>
        <v>15</v>
      </c>
      <c r="S11" s="185">
        <f t="shared" si="4"/>
        <v>10</v>
      </c>
      <c r="T11" s="185">
        <f t="shared" si="5"/>
        <v>100</v>
      </c>
      <c r="U11" s="218" t="s">
        <v>122</v>
      </c>
      <c r="V11" s="218" t="s">
        <v>263</v>
      </c>
      <c r="W11" s="185">
        <f t="shared" si="6"/>
        <v>1</v>
      </c>
      <c r="X11" s="185">
        <f t="shared" si="7"/>
        <v>0</v>
      </c>
      <c r="Y11" s="185" t="str">
        <f t="shared" si="8"/>
        <v>Fuerte</v>
      </c>
      <c r="Z11" s="218" t="s">
        <v>305</v>
      </c>
      <c r="AA11" s="185" t="str">
        <f t="shared" si="9"/>
        <v>Fuerte</v>
      </c>
      <c r="AB11" s="185" t="str">
        <f t="shared" si="10"/>
        <v>No</v>
      </c>
      <c r="AC11" s="222"/>
      <c r="AD11" s="221"/>
    </row>
    <row r="12" spans="1:30" s="192" customFormat="1" ht="150" customHeight="1" x14ac:dyDescent="0.2">
      <c r="A12" s="1175"/>
      <c r="B12" s="1176"/>
      <c r="C12" s="1178"/>
      <c r="D12" s="217" t="str">
        <f>'[1]Analisis Riesgo'!K10</f>
        <v>Elaborar oficios con solicitud de información técnica y costos de conexión, solicitudes de garantías, los cuales tienen niveles de autorización para su emisión.</v>
      </c>
      <c r="E12" s="217" t="str">
        <f>'[1]Analisis Riesgo'!L10</f>
        <v>Se aplica control de gestión de elaboración, revisión y aprobación de los Documentos de Selección.  Están definidos los responsables que en este caso son los Profesionales del Grupo de Convocatorias, el Coordinador del Grupo y el Subdirector de Energía Eléctrica. El propósito del control es efectuar revisión preliminar a  la emisión de la información técnica para evitar la salida de información sin verificación de la calidad.</v>
      </c>
      <c r="F12" s="218" t="s">
        <v>296</v>
      </c>
      <c r="G12" s="218" t="s">
        <v>299</v>
      </c>
      <c r="H12" s="218" t="s">
        <v>300</v>
      </c>
      <c r="I12" s="218" t="s">
        <v>301</v>
      </c>
      <c r="J12" s="218" t="s">
        <v>302</v>
      </c>
      <c r="K12" s="219" t="s">
        <v>368</v>
      </c>
      <c r="L12" s="218" t="s">
        <v>304</v>
      </c>
      <c r="M12" s="185">
        <f>IF(F12="Asignado", 15,0)</f>
        <v>15</v>
      </c>
      <c r="N12" s="185">
        <f>IF(G12="Adecuado",15,0)</f>
        <v>15</v>
      </c>
      <c r="O12" s="185">
        <f t="shared" si="0"/>
        <v>15</v>
      </c>
      <c r="P12" s="185">
        <f t="shared" si="1"/>
        <v>15</v>
      </c>
      <c r="Q12" s="185">
        <f t="shared" si="2"/>
        <v>15</v>
      </c>
      <c r="R12" s="185">
        <f t="shared" si="3"/>
        <v>15</v>
      </c>
      <c r="S12" s="185">
        <f t="shared" si="4"/>
        <v>10</v>
      </c>
      <c r="T12" s="185">
        <f t="shared" si="5"/>
        <v>100</v>
      </c>
      <c r="U12" s="218" t="s">
        <v>263</v>
      </c>
      <c r="V12" s="218" t="s">
        <v>122</v>
      </c>
      <c r="W12" s="185">
        <f t="shared" si="6"/>
        <v>0</v>
      </c>
      <c r="X12" s="185">
        <f t="shared" si="7"/>
        <v>1</v>
      </c>
      <c r="Y12" s="185" t="str">
        <f t="shared" si="8"/>
        <v>Debil</v>
      </c>
      <c r="Z12" s="218" t="s">
        <v>305</v>
      </c>
      <c r="AA12" s="185" t="str">
        <f t="shared" si="9"/>
        <v>Fuerte</v>
      </c>
      <c r="AB12" s="185" t="str">
        <f t="shared" si="10"/>
        <v>SI</v>
      </c>
      <c r="AC12" s="222"/>
      <c r="AD12" s="221"/>
    </row>
    <row r="13" spans="1:30" s="192" customFormat="1" ht="150" customHeight="1" x14ac:dyDescent="0.2">
      <c r="A13" s="1175"/>
      <c r="B13" s="1176"/>
      <c r="C13" s="1178"/>
      <c r="D13" s="217" t="str">
        <f>'[1]Analisis Riesgo'!K11</f>
        <v>Realizar designación del comité evaluador.</v>
      </c>
      <c r="E13" s="217" t="str">
        <f>'[1]Analisis Riesgo'!L11</f>
        <v>Se realiza designación de personal competente, idoneo y multidisciplinario para ejecutar el proceso de evaluación de las convocatorias.</v>
      </c>
      <c r="F13" s="218" t="s">
        <v>296</v>
      </c>
      <c r="G13" s="218" t="s">
        <v>299</v>
      </c>
      <c r="H13" s="218" t="s">
        <v>300</v>
      </c>
      <c r="I13" s="218" t="s">
        <v>301</v>
      </c>
      <c r="J13" s="218" t="s">
        <v>302</v>
      </c>
      <c r="K13" s="219" t="s">
        <v>368</v>
      </c>
      <c r="L13" s="218" t="s">
        <v>304</v>
      </c>
      <c r="M13" s="185">
        <f t="shared" ref="M13:M21" si="11">IF(F13="Asignado", 15,0)</f>
        <v>15</v>
      </c>
      <c r="N13" s="185">
        <f t="shared" ref="N13:N21" si="12">IF(G13="Adecuado",15,0)</f>
        <v>15</v>
      </c>
      <c r="O13" s="185">
        <f t="shared" si="0"/>
        <v>15</v>
      </c>
      <c r="P13" s="185">
        <f t="shared" si="1"/>
        <v>15</v>
      </c>
      <c r="Q13" s="185">
        <f t="shared" si="2"/>
        <v>15</v>
      </c>
      <c r="R13" s="185">
        <f t="shared" si="3"/>
        <v>15</v>
      </c>
      <c r="S13" s="185">
        <f t="shared" si="4"/>
        <v>10</v>
      </c>
      <c r="T13" s="185">
        <f t="shared" si="5"/>
        <v>100</v>
      </c>
      <c r="U13" s="218" t="s">
        <v>122</v>
      </c>
      <c r="V13" s="218" t="s">
        <v>263</v>
      </c>
      <c r="W13" s="185">
        <f>IF(U13="SI",1,0)*T13/100</f>
        <v>1</v>
      </c>
      <c r="X13" s="185">
        <f>IF(V13="SI",1,0)*T13/100</f>
        <v>0</v>
      </c>
      <c r="Y13" s="185" t="str">
        <f t="shared" si="8"/>
        <v>Fuerte</v>
      </c>
      <c r="Z13" s="218" t="s">
        <v>305</v>
      </c>
      <c r="AA13" s="185" t="str">
        <f t="shared" si="9"/>
        <v>Fuerte</v>
      </c>
      <c r="AB13" s="185" t="str">
        <f t="shared" si="10"/>
        <v>No</v>
      </c>
      <c r="AC13" s="222"/>
      <c r="AD13" s="221"/>
    </row>
    <row r="14" spans="1:30" s="192" customFormat="1" ht="150" customHeight="1" x14ac:dyDescent="0.2">
      <c r="A14" s="1175"/>
      <c r="B14" s="1176"/>
      <c r="C14" s="1178"/>
      <c r="D14" s="217" t="str">
        <f>'[1]Analisis Riesgo'!K12</f>
        <v>Registrar los resultados de las Audiencias de Presentación del Proyecto y de Selección del Inversionista.</v>
      </c>
      <c r="E14" s="217" t="str">
        <f>'[1]Analisis Riesgo'!L12</f>
        <v>Se registran los hechos ocurridos durante las Audiencias de Selección  documentando en actas, en las que se registra la actividades o de presentación del proyecto y de resultados.</v>
      </c>
      <c r="F14" s="218" t="s">
        <v>296</v>
      </c>
      <c r="G14" s="218" t="s">
        <v>299</v>
      </c>
      <c r="H14" s="218" t="s">
        <v>300</v>
      </c>
      <c r="I14" s="218" t="s">
        <v>301</v>
      </c>
      <c r="J14" s="218" t="s">
        <v>302</v>
      </c>
      <c r="K14" s="219" t="s">
        <v>368</v>
      </c>
      <c r="L14" s="218" t="s">
        <v>304</v>
      </c>
      <c r="M14" s="185">
        <f t="shared" si="11"/>
        <v>15</v>
      </c>
      <c r="N14" s="185">
        <f t="shared" si="12"/>
        <v>15</v>
      </c>
      <c r="O14" s="185">
        <f t="shared" si="0"/>
        <v>15</v>
      </c>
      <c r="P14" s="185">
        <f t="shared" si="1"/>
        <v>15</v>
      </c>
      <c r="Q14" s="185">
        <f t="shared" si="2"/>
        <v>15</v>
      </c>
      <c r="R14" s="185">
        <f t="shared" si="3"/>
        <v>15</v>
      </c>
      <c r="S14" s="185">
        <f t="shared" si="4"/>
        <v>10</v>
      </c>
      <c r="T14" s="185">
        <f t="shared" si="5"/>
        <v>100</v>
      </c>
      <c r="U14" s="218" t="s">
        <v>122</v>
      </c>
      <c r="V14" s="218" t="s">
        <v>263</v>
      </c>
      <c r="W14" s="185">
        <f>IF(U14="SI",1,0)*T14/100</f>
        <v>1</v>
      </c>
      <c r="X14" s="185">
        <f>IF(V14="SI",1,0)*T14/100</f>
        <v>0</v>
      </c>
      <c r="Y14" s="185" t="str">
        <f t="shared" si="8"/>
        <v>Fuerte</v>
      </c>
      <c r="Z14" s="218" t="s">
        <v>305</v>
      </c>
      <c r="AA14" s="185" t="str">
        <f t="shared" si="9"/>
        <v>Fuerte</v>
      </c>
      <c r="AB14" s="185" t="str">
        <f t="shared" si="10"/>
        <v>No</v>
      </c>
      <c r="AC14" s="222"/>
      <c r="AD14" s="221"/>
    </row>
    <row r="15" spans="1:30" s="192" customFormat="1" ht="36.75" customHeight="1" x14ac:dyDescent="0.2">
      <c r="A15" s="1175">
        <f>'[1]Identificación del Riesgo'!D10</f>
        <v>2</v>
      </c>
      <c r="B15" s="1176" t="str">
        <f>'[1]Identificación del Riesgo'!E10</f>
        <v>Ineficacia en el seguimiento y control de los proyectos de transmisiòn</v>
      </c>
      <c r="C15" s="1177" t="str">
        <f>'[1]Identificación del Riesgo'!H10</f>
        <v>-Debido a que el inversionista no hace entrega de la información necesaria para el seguimiento y control.
-Debido a que el interventor no realice los análisis y validaciones correspondientes con la calidad requerida en los tiempos establecidos.
- No expedición de certificado de cumplimiento debido a pendientes por parte del inversionista.
-Limitados recursos de planta (personas) para atender el seguimiento de los proyectos.</v>
      </c>
      <c r="D15" s="217" t="str">
        <f>'[1]Analisis Riesgo'!K14</f>
        <v>Realizar y presentar  informes mensuales a partes interesadas.</v>
      </c>
      <c r="E15" s="217" t="str">
        <f>'[1]Analisis Riesgo'!L14</f>
        <v>Se remiten informes a diferentes a partes interesadas, estos informes contienen el avance de proyectos objeto de convocatoria. (Minminas, CAPT, CNOO). La elaboración de estos informes tienen como propósito efectuar seguimiento a la ejecución de los proyectos e identificar retrasos y alertas que permitan tomar decisiones al sector.</v>
      </c>
      <c r="F15" s="218" t="s">
        <v>296</v>
      </c>
      <c r="G15" s="218" t="s">
        <v>299</v>
      </c>
      <c r="H15" s="218" t="s">
        <v>300</v>
      </c>
      <c r="I15" s="218" t="s">
        <v>301</v>
      </c>
      <c r="J15" s="218" t="s">
        <v>302</v>
      </c>
      <c r="K15" s="219" t="s">
        <v>368</v>
      </c>
      <c r="L15" s="218" t="s">
        <v>304</v>
      </c>
      <c r="M15" s="185">
        <f t="shared" si="11"/>
        <v>15</v>
      </c>
      <c r="N15" s="185">
        <f t="shared" si="12"/>
        <v>15</v>
      </c>
      <c r="O15" s="185">
        <f t="shared" si="0"/>
        <v>15</v>
      </c>
      <c r="P15" s="185">
        <f t="shared" si="1"/>
        <v>15</v>
      </c>
      <c r="Q15" s="185">
        <f t="shared" si="2"/>
        <v>15</v>
      </c>
      <c r="R15" s="185">
        <f>IF(K15="Se invesigan y resuelven oportunamente",15,0)</f>
        <v>15</v>
      </c>
      <c r="S15" s="185">
        <f t="shared" si="4"/>
        <v>10</v>
      </c>
      <c r="T15" s="185">
        <f t="shared" si="5"/>
        <v>100</v>
      </c>
      <c r="U15" s="218" t="s">
        <v>122</v>
      </c>
      <c r="V15" s="218" t="s">
        <v>263</v>
      </c>
      <c r="W15" s="185">
        <f t="shared" si="6"/>
        <v>1</v>
      </c>
      <c r="X15" s="185">
        <f t="shared" si="7"/>
        <v>0</v>
      </c>
      <c r="Y15" s="185" t="str">
        <f t="shared" si="8"/>
        <v>Fuerte</v>
      </c>
      <c r="Z15" s="218" t="s">
        <v>305</v>
      </c>
      <c r="AA15" s="185" t="str">
        <f t="shared" si="9"/>
        <v>Fuerte</v>
      </c>
      <c r="AB15" s="185" t="str">
        <f t="shared" si="10"/>
        <v>No</v>
      </c>
      <c r="AC15" s="223"/>
      <c r="AD15" s="221"/>
    </row>
    <row r="16" spans="1:30" s="192" customFormat="1" ht="36.75" customHeight="1" x14ac:dyDescent="0.2">
      <c r="A16" s="1175"/>
      <c r="B16" s="1176"/>
      <c r="C16" s="1177"/>
      <c r="D16" s="217" t="str">
        <f>'[1]Analisis Riesgo'!K15</f>
        <v>Verificar los informes de interventoria</v>
      </c>
      <c r="E16" s="217" t="str">
        <f>'[1]Analisis Riesgo'!L15</f>
        <v>Se revisan los informes de interventoría ya sea para realizar comentarios a los informes o emitir la aprobación. Existe responsables asignados en revisar la conformidad de los informes con el propósito de verificar el cumplimiento de los requisitos establecidos en los proyectos</v>
      </c>
      <c r="F16" s="218" t="s">
        <v>296</v>
      </c>
      <c r="G16" s="218" t="s">
        <v>299</v>
      </c>
      <c r="H16" s="218" t="s">
        <v>300</v>
      </c>
      <c r="I16" s="218" t="s">
        <v>301</v>
      </c>
      <c r="J16" s="218" t="s">
        <v>302</v>
      </c>
      <c r="K16" s="219" t="s">
        <v>368</v>
      </c>
      <c r="L16" s="218" t="s">
        <v>304</v>
      </c>
      <c r="M16" s="185">
        <f t="shared" si="11"/>
        <v>15</v>
      </c>
      <c r="N16" s="185">
        <f t="shared" si="12"/>
        <v>15</v>
      </c>
      <c r="O16" s="185">
        <f t="shared" si="0"/>
        <v>15</v>
      </c>
      <c r="P16" s="185">
        <f t="shared" si="1"/>
        <v>15</v>
      </c>
      <c r="Q16" s="185">
        <f t="shared" si="2"/>
        <v>15</v>
      </c>
      <c r="R16" s="185">
        <f t="shared" si="3"/>
        <v>15</v>
      </c>
      <c r="S16" s="185">
        <f t="shared" si="4"/>
        <v>10</v>
      </c>
      <c r="T16" s="185">
        <f t="shared" si="5"/>
        <v>100</v>
      </c>
      <c r="U16" s="218" t="s">
        <v>263</v>
      </c>
      <c r="V16" s="218" t="s">
        <v>122</v>
      </c>
      <c r="W16" s="185">
        <f t="shared" si="6"/>
        <v>0</v>
      </c>
      <c r="X16" s="185">
        <f t="shared" si="7"/>
        <v>1</v>
      </c>
      <c r="Y16" s="185" t="str">
        <f t="shared" si="8"/>
        <v>Debil</v>
      </c>
      <c r="Z16" s="218" t="s">
        <v>305</v>
      </c>
      <c r="AA16" s="185" t="str">
        <f t="shared" si="9"/>
        <v>Fuerte</v>
      </c>
      <c r="AB16" s="185" t="str">
        <f t="shared" si="10"/>
        <v>SI</v>
      </c>
      <c r="AC16" s="223"/>
      <c r="AD16" s="221"/>
    </row>
    <row r="17" spans="1:30" s="192" customFormat="1" ht="36.75" customHeight="1" x14ac:dyDescent="0.2">
      <c r="A17" s="1175"/>
      <c r="B17" s="1176"/>
      <c r="C17" s="1177"/>
      <c r="D17" s="217" t="str">
        <f>'[1]Analisis Riesgo'!K16</f>
        <v>Realizar solicitudes de información al inversionista.</v>
      </c>
      <c r="E17" s="217" t="str">
        <f>'[1]Analisis Riesgo'!L16</f>
        <v>Cada vez que se requiere se solicita información a los inversionistas. El propósito del control es indagar sobre el estado de avance de los proyectos y permitir generar alertas para la toma de decisiones del sector. El control es ejercido por los profesionales con la autorización del coordinador del grupo de convocatorias y el subdirector de energía eléctrica.</v>
      </c>
      <c r="F17" s="218" t="s">
        <v>296</v>
      </c>
      <c r="G17" s="218" t="s">
        <v>299</v>
      </c>
      <c r="H17" s="218" t="s">
        <v>300</v>
      </c>
      <c r="I17" s="218" t="s">
        <v>301</v>
      </c>
      <c r="J17" s="218" t="s">
        <v>302</v>
      </c>
      <c r="K17" s="219" t="s">
        <v>368</v>
      </c>
      <c r="L17" s="218" t="s">
        <v>304</v>
      </c>
      <c r="M17" s="185">
        <f t="shared" si="11"/>
        <v>15</v>
      </c>
      <c r="N17" s="185">
        <f t="shared" si="12"/>
        <v>15</v>
      </c>
      <c r="O17" s="185">
        <f t="shared" si="0"/>
        <v>15</v>
      </c>
      <c r="P17" s="185">
        <f t="shared" si="1"/>
        <v>15</v>
      </c>
      <c r="Q17" s="185">
        <f t="shared" si="2"/>
        <v>15</v>
      </c>
      <c r="R17" s="185">
        <f t="shared" si="3"/>
        <v>15</v>
      </c>
      <c r="S17" s="185">
        <f t="shared" si="4"/>
        <v>10</v>
      </c>
      <c r="T17" s="185">
        <f t="shared" si="5"/>
        <v>100</v>
      </c>
      <c r="U17" s="218" t="s">
        <v>122</v>
      </c>
      <c r="V17" s="218" t="s">
        <v>263</v>
      </c>
      <c r="W17" s="185">
        <f t="shared" si="6"/>
        <v>1</v>
      </c>
      <c r="X17" s="185">
        <f t="shared" si="7"/>
        <v>0</v>
      </c>
      <c r="Y17" s="185" t="str">
        <f t="shared" si="8"/>
        <v>Fuerte</v>
      </c>
      <c r="Z17" s="218" t="s">
        <v>305</v>
      </c>
      <c r="AA17" s="185" t="str">
        <f t="shared" si="9"/>
        <v>Fuerte</v>
      </c>
      <c r="AB17" s="185" t="str">
        <f t="shared" si="10"/>
        <v>No</v>
      </c>
      <c r="AC17" s="223"/>
      <c r="AD17" s="221"/>
    </row>
    <row r="18" spans="1:30" s="192" customFormat="1" ht="28.5" x14ac:dyDescent="0.2">
      <c r="A18" s="1175"/>
      <c r="B18" s="1176"/>
      <c r="C18" s="1177"/>
      <c r="D18" s="217" t="str">
        <f>'[1]Analisis Riesgo'!K17</f>
        <v>Solicitar recursos para necesidades de personal.</v>
      </c>
      <c r="E18" s="217" t="str">
        <f>'[1]Analisis Riesgo'!L17</f>
        <v>Cada vez que se requiere personal para atender las demandas y necesidades del Grupo Interno de Trabajo Convocatorias.</v>
      </c>
      <c r="F18" s="218" t="s">
        <v>296</v>
      </c>
      <c r="G18" s="218" t="s">
        <v>299</v>
      </c>
      <c r="H18" s="218" t="s">
        <v>300</v>
      </c>
      <c r="I18" s="218" t="s">
        <v>301</v>
      </c>
      <c r="J18" s="218" t="s">
        <v>302</v>
      </c>
      <c r="K18" s="219" t="s">
        <v>368</v>
      </c>
      <c r="L18" s="218" t="s">
        <v>304</v>
      </c>
      <c r="M18" s="185">
        <f t="shared" si="11"/>
        <v>15</v>
      </c>
      <c r="N18" s="185">
        <f t="shared" si="12"/>
        <v>15</v>
      </c>
      <c r="O18" s="185">
        <f t="shared" si="0"/>
        <v>15</v>
      </c>
      <c r="P18" s="185">
        <f t="shared" si="1"/>
        <v>15</v>
      </c>
      <c r="Q18" s="185">
        <f t="shared" si="2"/>
        <v>15</v>
      </c>
      <c r="R18" s="185">
        <f t="shared" si="3"/>
        <v>15</v>
      </c>
      <c r="S18" s="185">
        <f t="shared" si="4"/>
        <v>10</v>
      </c>
      <c r="T18" s="185">
        <f t="shared" si="5"/>
        <v>100</v>
      </c>
      <c r="U18" s="218" t="s">
        <v>122</v>
      </c>
      <c r="V18" s="218" t="s">
        <v>263</v>
      </c>
      <c r="W18" s="185">
        <f t="shared" si="6"/>
        <v>1</v>
      </c>
      <c r="X18" s="185">
        <f t="shared" si="7"/>
        <v>0</v>
      </c>
      <c r="Y18" s="185" t="str">
        <f t="shared" si="8"/>
        <v>Fuerte</v>
      </c>
      <c r="Z18" s="218" t="s">
        <v>305</v>
      </c>
      <c r="AA18" s="185" t="str">
        <f t="shared" si="9"/>
        <v>Fuerte</v>
      </c>
      <c r="AB18" s="185" t="str">
        <f t="shared" si="10"/>
        <v>No</v>
      </c>
      <c r="AC18" s="223"/>
      <c r="AD18" s="221"/>
    </row>
    <row r="19" spans="1:30" s="192" customFormat="1" ht="57" x14ac:dyDescent="0.2">
      <c r="A19" s="1175">
        <f>'[1]Identificación del Riesgo'!D11</f>
        <v>3</v>
      </c>
      <c r="B19" s="1176" t="str">
        <f>'[1]Identificación del Riesgo'!E11</f>
        <v>Conflicto de interés en el proceso de evaluación de Convocatoria.</v>
      </c>
      <c r="C19" s="1177" t="str">
        <f>'[1]Identificación del Riesgo'!H11</f>
        <v>- Por relaciones de consaguinidad y afinidad.
- Por pertenencia o procedencia de otras organizaciones.
- Por interés personales.
- Direrencias entre los evaluadores.</v>
      </c>
      <c r="D19" s="217" t="str">
        <f>'[1]Analisis Riesgo'!K18</f>
        <v>Aplicar formato declaración de conflictos de interés.</v>
      </c>
      <c r="E19" s="217" t="str">
        <f>'[1]Analisis Riesgo'!L18</f>
        <v>Aplicación de los formatos determinados por la Función Pública para la declaración de conflictos de interés, como un instrumento de concientización de los límites de las actuaciones humanas en el marco de la ética.</v>
      </c>
      <c r="F19" s="218" t="s">
        <v>296</v>
      </c>
      <c r="G19" s="218" t="s">
        <v>299</v>
      </c>
      <c r="H19" s="218" t="s">
        <v>300</v>
      </c>
      <c r="I19" s="218" t="s">
        <v>301</v>
      </c>
      <c r="J19" s="218" t="s">
        <v>302</v>
      </c>
      <c r="K19" s="219" t="s">
        <v>368</v>
      </c>
      <c r="L19" s="218" t="s">
        <v>304</v>
      </c>
      <c r="M19" s="185">
        <f t="shared" si="11"/>
        <v>15</v>
      </c>
      <c r="N19" s="185">
        <f t="shared" si="12"/>
        <v>15</v>
      </c>
      <c r="O19" s="185">
        <f t="shared" si="0"/>
        <v>15</v>
      </c>
      <c r="P19" s="185">
        <f t="shared" si="1"/>
        <v>15</v>
      </c>
      <c r="Q19" s="185">
        <f t="shared" si="2"/>
        <v>15</v>
      </c>
      <c r="R19" s="185">
        <f t="shared" si="3"/>
        <v>15</v>
      </c>
      <c r="S19" s="185">
        <f t="shared" si="4"/>
        <v>10</v>
      </c>
      <c r="T19" s="185">
        <f t="shared" si="5"/>
        <v>100</v>
      </c>
      <c r="U19" s="218" t="s">
        <v>263</v>
      </c>
      <c r="V19" s="218" t="s">
        <v>122</v>
      </c>
      <c r="W19" s="185">
        <f t="shared" si="6"/>
        <v>0</v>
      </c>
      <c r="X19" s="185">
        <f t="shared" si="7"/>
        <v>1</v>
      </c>
      <c r="Y19" s="185" t="str">
        <f t="shared" si="8"/>
        <v>Debil</v>
      </c>
      <c r="Z19" s="218" t="s">
        <v>305</v>
      </c>
      <c r="AA19" s="185" t="str">
        <f t="shared" si="9"/>
        <v>Fuerte</v>
      </c>
      <c r="AB19" s="185" t="str">
        <f t="shared" si="10"/>
        <v>SI</v>
      </c>
      <c r="AC19" s="224"/>
      <c r="AD19" s="221"/>
    </row>
    <row r="20" spans="1:30" s="192" customFormat="1" ht="57" x14ac:dyDescent="0.2">
      <c r="A20" s="1175"/>
      <c r="B20" s="1176"/>
      <c r="C20" s="1177"/>
      <c r="D20" s="217" t="str">
        <f>'[1]Analisis Riesgo'!K19</f>
        <v>Participar en actividades de socialización y divulgación del Código de Integridad.</v>
      </c>
      <c r="E20" s="217" t="str">
        <f>'[1]Analisis Riesgo'!L19</f>
        <v>Participar en las actividades de formación, socialización y divulgación del Código de Integridad, Transparencia y Lucha Contra la Corrupción, que permitan la concientización de los servidores públicos.</v>
      </c>
      <c r="F20" s="218" t="s">
        <v>296</v>
      </c>
      <c r="G20" s="218" t="s">
        <v>299</v>
      </c>
      <c r="H20" s="218" t="s">
        <v>300</v>
      </c>
      <c r="I20" s="218" t="s">
        <v>301</v>
      </c>
      <c r="J20" s="218" t="s">
        <v>302</v>
      </c>
      <c r="K20" s="219" t="s">
        <v>368</v>
      </c>
      <c r="L20" s="218" t="s">
        <v>304</v>
      </c>
      <c r="M20" s="185">
        <f t="shared" si="11"/>
        <v>15</v>
      </c>
      <c r="N20" s="185">
        <f t="shared" si="12"/>
        <v>15</v>
      </c>
      <c r="O20" s="185">
        <f t="shared" si="0"/>
        <v>15</v>
      </c>
      <c r="P20" s="185">
        <f t="shared" si="1"/>
        <v>15</v>
      </c>
      <c r="Q20" s="185">
        <f t="shared" si="2"/>
        <v>15</v>
      </c>
      <c r="R20" s="185">
        <f t="shared" si="3"/>
        <v>15</v>
      </c>
      <c r="S20" s="185">
        <f t="shared" si="4"/>
        <v>10</v>
      </c>
      <c r="T20" s="185">
        <f t="shared" si="5"/>
        <v>100</v>
      </c>
      <c r="U20" s="218" t="s">
        <v>122</v>
      </c>
      <c r="V20" s="218" t="s">
        <v>263</v>
      </c>
      <c r="W20" s="185">
        <f t="shared" si="6"/>
        <v>1</v>
      </c>
      <c r="X20" s="185">
        <f t="shared" si="7"/>
        <v>0</v>
      </c>
      <c r="Y20" s="185" t="str">
        <f t="shared" si="8"/>
        <v>Fuerte</v>
      </c>
      <c r="Z20" s="218" t="s">
        <v>305</v>
      </c>
      <c r="AA20" s="185" t="str">
        <f t="shared" si="9"/>
        <v>Fuerte</v>
      </c>
      <c r="AB20" s="185" t="str">
        <f t="shared" si="10"/>
        <v>No</v>
      </c>
      <c r="AC20" s="224"/>
      <c r="AD20" s="221"/>
    </row>
    <row r="21" spans="1:30" s="192" customFormat="1" ht="42.75" x14ac:dyDescent="0.2">
      <c r="A21" s="1175"/>
      <c r="B21" s="1176"/>
      <c r="C21" s="1177"/>
      <c r="D21" s="217" t="str">
        <f>'[1]Analisis Riesgo'!K20</f>
        <v>Realizar designación del comité evaluador.</v>
      </c>
      <c r="E21" s="217" t="str">
        <f>'[1]Analisis Riesgo'!L20</f>
        <v>Se realiza designación de personal competente, idóneo y multidisciplinario para ejecutar el proceso de evaluación de las convocatorias.</v>
      </c>
      <c r="F21" s="218" t="s">
        <v>296</v>
      </c>
      <c r="G21" s="218" t="s">
        <v>299</v>
      </c>
      <c r="H21" s="218" t="s">
        <v>300</v>
      </c>
      <c r="I21" s="218" t="s">
        <v>301</v>
      </c>
      <c r="J21" s="218" t="s">
        <v>302</v>
      </c>
      <c r="K21" s="219" t="s">
        <v>368</v>
      </c>
      <c r="L21" s="218" t="s">
        <v>304</v>
      </c>
      <c r="M21" s="185">
        <f t="shared" si="11"/>
        <v>15</v>
      </c>
      <c r="N21" s="185">
        <f t="shared" si="12"/>
        <v>15</v>
      </c>
      <c r="O21" s="185">
        <f t="shared" si="0"/>
        <v>15</v>
      </c>
      <c r="P21" s="185">
        <f t="shared" si="1"/>
        <v>15</v>
      </c>
      <c r="Q21" s="185">
        <f t="shared" si="2"/>
        <v>15</v>
      </c>
      <c r="R21" s="185">
        <f t="shared" si="3"/>
        <v>15</v>
      </c>
      <c r="S21" s="185">
        <f t="shared" si="4"/>
        <v>10</v>
      </c>
      <c r="T21" s="185">
        <f t="shared" si="5"/>
        <v>100</v>
      </c>
      <c r="U21" s="218" t="s">
        <v>122</v>
      </c>
      <c r="V21" s="218" t="s">
        <v>263</v>
      </c>
      <c r="W21" s="185">
        <f t="shared" si="6"/>
        <v>1</v>
      </c>
      <c r="X21" s="185">
        <f t="shared" si="7"/>
        <v>0</v>
      </c>
      <c r="Y21" s="185" t="str">
        <f t="shared" si="8"/>
        <v>Fuerte</v>
      </c>
      <c r="Z21" s="218" t="s">
        <v>305</v>
      </c>
      <c r="AA21" s="185" t="str">
        <f t="shared" si="9"/>
        <v>Fuerte</v>
      </c>
      <c r="AB21" s="185" t="str">
        <f t="shared" si="10"/>
        <v>No</v>
      </c>
      <c r="AC21" s="225"/>
      <c r="AD21" s="221"/>
    </row>
  </sheetData>
  <mergeCells count="21">
    <mergeCell ref="A19:A21"/>
    <mergeCell ref="B19:B21"/>
    <mergeCell ref="C19:C21"/>
    <mergeCell ref="A9:A14"/>
    <mergeCell ref="B9:B14"/>
    <mergeCell ref="C9:C14"/>
    <mergeCell ref="A15:A18"/>
    <mergeCell ref="B15:B18"/>
    <mergeCell ref="C15:C18"/>
    <mergeCell ref="A6:C6"/>
    <mergeCell ref="D6:AD6"/>
    <mergeCell ref="A7:L7"/>
    <mergeCell ref="M7:Y7"/>
    <mergeCell ref="Z7:AB7"/>
    <mergeCell ref="AC7:AD7"/>
    <mergeCell ref="A1:C4"/>
    <mergeCell ref="D1:AB4"/>
    <mergeCell ref="AC1:AD2"/>
    <mergeCell ref="AC3:AD4"/>
    <mergeCell ref="A5:C5"/>
    <mergeCell ref="D5:AD5"/>
  </mergeCells>
  <dataValidations count="17">
    <dataValidation type="list" allowBlank="1" showInputMessage="1" showErrorMessage="1" sqref="Z10:Z21" xr:uid="{00000000-0002-0000-0F00-000000000000}">
      <formula1>"Siempre se ejecuta,Algunas veces se ejecuta,No se ejecuta"</formula1>
    </dataValidation>
    <dataValidation type="list" allowBlank="1" showInputMessage="1" showErrorMessage="1" sqref="F15:F21" xr:uid="{00000000-0002-0000-0F00-000001000000}">
      <formula1>"Asignado, No asignado"</formula1>
    </dataValidation>
    <dataValidation type="list" allowBlank="1" showInputMessage="1" showErrorMessage="1" sqref="G15:G21" xr:uid="{00000000-0002-0000-0F00-000002000000}">
      <formula1>"Adecuado, Inadecuado"</formula1>
    </dataValidation>
    <dataValidation type="list" allowBlank="1" showInputMessage="1" showErrorMessage="1" sqref="H15:H21" xr:uid="{00000000-0002-0000-0F00-000003000000}">
      <formula1>"Oportuna, Inoportuna"</formula1>
    </dataValidation>
    <dataValidation type="list" allowBlank="1" showInputMessage="1" showErrorMessage="1" sqref="I15:I21" xr:uid="{00000000-0002-0000-0F00-000004000000}">
      <formula1>"Prevenir, Detectar, No es un control"</formula1>
    </dataValidation>
    <dataValidation type="list" allowBlank="1" showInputMessage="1" showErrorMessage="1" sqref="J15:J21" xr:uid="{00000000-0002-0000-0F00-000005000000}">
      <formula1>"Confiable, No Confiable"</formula1>
    </dataValidation>
    <dataValidation type="list" allowBlank="1" showInputMessage="1" showErrorMessage="1" sqref="K9:K21" xr:uid="{00000000-0002-0000-0F00-000006000000}">
      <formula1>"Se invesigan y resuelven oportunamente, No se investigan y resuelven oportunamente"</formula1>
    </dataValidation>
    <dataValidation type="list" allowBlank="1" showInputMessage="1" showErrorMessage="1" sqref="L15:L21" xr:uid="{00000000-0002-0000-0F00-000007000000}">
      <formula1>"Completa, Incompleta, No existe"</formula1>
    </dataValidation>
    <dataValidation type="list" allowBlank="1" showInputMessage="1" showErrorMessage="1" sqref="U10:V21" xr:uid="{00000000-0002-0000-0F00-000008000000}">
      <formula1>"SI, NO"</formula1>
    </dataValidation>
    <dataValidation type="list" allowBlank="1" showInputMessage="1" showErrorMessage="1" sqref="Z9" xr:uid="{00000000-0002-0000-0F00-000009000000}">
      <formula1>"Siempre se ejecuta,Algunas veces se ejecuta,No se ejecuta,Seleccione"</formula1>
    </dataValidation>
    <dataValidation type="list" allowBlank="1" showInputMessage="1" showErrorMessage="1" sqref="U9:V9" xr:uid="{00000000-0002-0000-0F00-00000A000000}">
      <formula1>"SI, NO,Seleccione"</formula1>
    </dataValidation>
    <dataValidation type="list" allowBlank="1" showInputMessage="1" showErrorMessage="1" sqref="L9:L14" xr:uid="{00000000-0002-0000-0F00-00000B000000}">
      <formula1>"Completa, Incompleta, No existe,Seleccione"</formula1>
    </dataValidation>
    <dataValidation type="list" allowBlank="1" showInputMessage="1" showErrorMessage="1" sqref="J9:J14" xr:uid="{00000000-0002-0000-0F00-00000C000000}">
      <formula1>"Confiable, No Confiable,Seleccione"</formula1>
    </dataValidation>
    <dataValidation type="list" allowBlank="1" showInputMessage="1" showErrorMessage="1" sqref="I9:I14" xr:uid="{00000000-0002-0000-0F00-00000D000000}">
      <formula1>"Prevenir, Detectar, No es un control,Seleccione"</formula1>
    </dataValidation>
    <dataValidation type="list" allowBlank="1" showInputMessage="1" showErrorMessage="1" sqref="H9:H14" xr:uid="{00000000-0002-0000-0F00-00000E000000}">
      <formula1>"Oportuna, Inoportuna,Seleccione"</formula1>
    </dataValidation>
    <dataValidation type="list" allowBlank="1" showInputMessage="1" showErrorMessage="1" sqref="G9:G14" xr:uid="{00000000-0002-0000-0F00-00000F000000}">
      <formula1>"Adecuado, Inadecuado,Seleccione"</formula1>
    </dataValidation>
    <dataValidation type="list" allowBlank="1" showInputMessage="1" showErrorMessage="1" sqref="F9:F14" xr:uid="{00000000-0002-0000-0F00-000010000000}">
      <formula1>"Asignado, No asignado, Seleccione"</formula1>
    </dataValidation>
  </dataValidations>
  <pageMargins left="0.11811023622047245" right="0.11811023622047245" top="1.1417322834645669" bottom="0.74803149606299213" header="0.31496062992125984" footer="0.31496062992125984"/>
  <pageSetup scale="36" orientation="landscape" horizontalDpi="1200" verticalDpi="1200" r:id="rId1"/>
  <headerFooter>
    <oddHeader>&amp;L&amp;G&amp;C
&amp;"-,Negrita"Matriz de Riesgos</oddHeader>
  </headerFooter>
  <rowBreaks count="1" manualBreakCount="1">
    <brk id="18" max="16383" man="1"/>
  </rowBreaks>
  <colBreaks count="1" manualBreakCount="1">
    <brk id="12" max="1048575" man="1"/>
  </colBreaks>
  <drawing r:id="rId2"/>
  <legacyDrawingHF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X7"/>
  <sheetViews>
    <sheetView showGridLines="0" topLeftCell="D1" zoomScale="70" zoomScaleNormal="70" workbookViewId="0">
      <selection activeCell="J17" sqref="J17"/>
    </sheetView>
  </sheetViews>
  <sheetFormatPr baseColWidth="10" defaultRowHeight="15" x14ac:dyDescent="0.2"/>
  <cols>
    <col min="1" max="1" width="3.625" style="534" customWidth="1"/>
    <col min="2" max="2" width="26.625" style="534" customWidth="1"/>
    <col min="3" max="3" width="38.875" style="534" customWidth="1"/>
    <col min="4" max="4" width="38.5" style="534" customWidth="1"/>
    <col min="5" max="5" width="20.5" style="534" customWidth="1"/>
    <col min="6" max="6" width="25.875" style="534" customWidth="1"/>
    <col min="7" max="7" width="23" style="534" customWidth="1"/>
    <col min="8" max="10" width="19.375" style="534" customWidth="1"/>
    <col min="11" max="11" width="18.25" style="541" customWidth="1"/>
    <col min="12" max="12" width="41.625" style="534" customWidth="1"/>
    <col min="13" max="13" width="27.25" style="534" customWidth="1"/>
    <col min="14" max="15" width="10.75" style="534" customWidth="1"/>
    <col min="16" max="16" width="27.25" style="534" customWidth="1"/>
    <col min="17" max="22" width="25.75" style="534" customWidth="1"/>
    <col min="23" max="23" width="33.5" style="534" customWidth="1"/>
    <col min="24" max="24" width="45.625" style="534" customWidth="1"/>
    <col min="25" max="16384" width="11" style="534"/>
  </cols>
  <sheetData>
    <row r="1" spans="1:24" ht="45.75" customHeight="1" x14ac:dyDescent="0.2">
      <c r="A1" s="1179"/>
      <c r="B1" s="1179"/>
      <c r="C1" s="1179"/>
      <c r="D1" s="1180" t="s">
        <v>314</v>
      </c>
      <c r="E1" s="1181"/>
      <c r="F1" s="1181"/>
      <c r="G1" s="1181"/>
      <c r="H1" s="1181"/>
      <c r="I1" s="1181"/>
      <c r="J1" s="1181"/>
      <c r="K1" s="1181"/>
      <c r="L1" s="1181"/>
      <c r="M1" s="1181"/>
      <c r="N1" s="1181"/>
      <c r="O1" s="1181"/>
      <c r="P1" s="1181"/>
      <c r="Q1" s="1181"/>
      <c r="R1" s="1181"/>
      <c r="S1" s="1181"/>
      <c r="T1" s="1181"/>
      <c r="U1" s="1181"/>
      <c r="V1" s="1182"/>
      <c r="W1" s="532" t="s">
        <v>315</v>
      </c>
      <c r="X1" s="533"/>
    </row>
    <row r="2" spans="1:24" ht="45.75" customHeight="1" x14ac:dyDescent="0.2">
      <c r="A2" s="1179"/>
      <c r="B2" s="1179"/>
      <c r="C2" s="1179"/>
      <c r="D2" s="1183"/>
      <c r="E2" s="1184"/>
      <c r="F2" s="1184"/>
      <c r="G2" s="1184"/>
      <c r="H2" s="1184"/>
      <c r="I2" s="1184"/>
      <c r="J2" s="1184"/>
      <c r="K2" s="1184"/>
      <c r="L2" s="1184"/>
      <c r="M2" s="1184"/>
      <c r="N2" s="1184"/>
      <c r="O2" s="1184"/>
      <c r="P2" s="1184"/>
      <c r="Q2" s="1184"/>
      <c r="R2" s="1184"/>
      <c r="S2" s="1184"/>
      <c r="T2" s="1184"/>
      <c r="U2" s="1184"/>
      <c r="V2" s="1185"/>
      <c r="W2" s="532" t="s">
        <v>316</v>
      </c>
      <c r="X2" s="533"/>
    </row>
    <row r="3" spans="1:24" ht="30" x14ac:dyDescent="0.2">
      <c r="A3" s="1186" t="s">
        <v>57</v>
      </c>
      <c r="B3" s="1187"/>
      <c r="C3" s="1187"/>
      <c r="D3" s="1187"/>
      <c r="E3" s="1187"/>
      <c r="F3" s="1187"/>
      <c r="G3" s="1188"/>
      <c r="H3" s="1189"/>
      <c r="I3" s="1189"/>
      <c r="J3" s="1189"/>
      <c r="K3" s="1189"/>
      <c r="L3" s="1190" t="s">
        <v>60</v>
      </c>
      <c r="M3" s="1189"/>
      <c r="N3" s="1189"/>
      <c r="O3" s="1189"/>
      <c r="P3" s="1191"/>
      <c r="Q3" s="1192" t="s">
        <v>61</v>
      </c>
      <c r="R3" s="1193"/>
      <c r="S3" s="1193"/>
      <c r="T3" s="1193"/>
      <c r="U3" s="1193"/>
      <c r="V3" s="1194"/>
      <c r="W3" s="535" t="s">
        <v>62</v>
      </c>
      <c r="X3" s="535" t="s">
        <v>63</v>
      </c>
    </row>
    <row r="4" spans="1:24" s="541" customFormat="1" ht="38.25" x14ac:dyDescent="0.2">
      <c r="A4" s="536" t="s">
        <v>44</v>
      </c>
      <c r="B4" s="537" t="s">
        <v>64</v>
      </c>
      <c r="C4" s="537" t="s">
        <v>65</v>
      </c>
      <c r="D4" s="537" t="s">
        <v>317</v>
      </c>
      <c r="E4" s="537" t="s">
        <v>68</v>
      </c>
      <c r="F4" s="537" t="s">
        <v>69</v>
      </c>
      <c r="G4" s="538" t="s">
        <v>71</v>
      </c>
      <c r="H4" s="537" t="s">
        <v>81</v>
      </c>
      <c r="I4" s="537" t="s">
        <v>82</v>
      </c>
      <c r="J4" s="537" t="s">
        <v>83</v>
      </c>
      <c r="K4" s="539" t="s">
        <v>84</v>
      </c>
      <c r="L4" s="536" t="s">
        <v>85</v>
      </c>
      <c r="M4" s="537" t="s">
        <v>86</v>
      </c>
      <c r="N4" s="537" t="s">
        <v>87</v>
      </c>
      <c r="O4" s="537" t="s">
        <v>88</v>
      </c>
      <c r="P4" s="538" t="s">
        <v>89</v>
      </c>
      <c r="Q4" s="536" t="s">
        <v>90</v>
      </c>
      <c r="R4" s="537" t="s">
        <v>91</v>
      </c>
      <c r="S4" s="537" t="s">
        <v>92</v>
      </c>
      <c r="T4" s="537" t="s">
        <v>91</v>
      </c>
      <c r="U4" s="537" t="s">
        <v>93</v>
      </c>
      <c r="V4" s="538" t="s">
        <v>91</v>
      </c>
      <c r="W4" s="540" t="s">
        <v>94</v>
      </c>
      <c r="X4" s="540" t="s">
        <v>95</v>
      </c>
    </row>
    <row r="5" spans="1:24" ht="178.5" x14ac:dyDescent="0.2">
      <c r="A5" s="542">
        <v>1</v>
      </c>
      <c r="B5" s="162" t="s">
        <v>324</v>
      </c>
      <c r="C5" s="164" t="s">
        <v>326</v>
      </c>
      <c r="D5" s="164" t="s">
        <v>327</v>
      </c>
      <c r="E5" s="543" t="s">
        <v>224</v>
      </c>
      <c r="F5" s="544" t="s">
        <v>204</v>
      </c>
      <c r="G5" s="545" t="s">
        <v>151</v>
      </c>
      <c r="H5" s="546" t="s">
        <v>237</v>
      </c>
      <c r="I5" s="547" t="s">
        <v>226</v>
      </c>
      <c r="J5" s="548" t="s">
        <v>152</v>
      </c>
      <c r="K5" s="544" t="s">
        <v>956</v>
      </c>
      <c r="L5" s="549"/>
      <c r="M5" s="550"/>
      <c r="N5" s="551"/>
      <c r="O5" s="551"/>
      <c r="P5" s="552"/>
      <c r="Q5" s="553"/>
      <c r="R5" s="553"/>
      <c r="S5" s="553"/>
      <c r="T5" s="553"/>
      <c r="U5" s="553"/>
      <c r="V5" s="553"/>
      <c r="W5" s="553"/>
      <c r="X5" s="553"/>
    </row>
    <row r="6" spans="1:24" ht="153" x14ac:dyDescent="0.2">
      <c r="A6" s="542">
        <v>2</v>
      </c>
      <c r="B6" s="554" t="s">
        <v>328</v>
      </c>
      <c r="C6" s="555" t="s">
        <v>330</v>
      </c>
      <c r="D6" s="164" t="s">
        <v>331</v>
      </c>
      <c r="E6" s="556" t="s">
        <v>224</v>
      </c>
      <c r="F6" s="556" t="s">
        <v>204</v>
      </c>
      <c r="G6" s="545" t="s">
        <v>151</v>
      </c>
      <c r="H6" s="546" t="s">
        <v>237</v>
      </c>
      <c r="I6" s="547" t="s">
        <v>226</v>
      </c>
      <c r="J6" s="548" t="s">
        <v>152</v>
      </c>
      <c r="K6" s="544" t="s">
        <v>956</v>
      </c>
      <c r="L6" s="549"/>
      <c r="M6" s="550"/>
      <c r="N6" s="551"/>
      <c r="O6" s="551"/>
      <c r="P6" s="552"/>
      <c r="Q6" s="553"/>
      <c r="R6" s="553"/>
      <c r="S6" s="553"/>
      <c r="T6" s="553"/>
      <c r="U6" s="553"/>
      <c r="V6" s="553"/>
      <c r="W6" s="553"/>
      <c r="X6" s="553"/>
    </row>
    <row r="7" spans="1:24" ht="63.75" x14ac:dyDescent="0.2">
      <c r="A7" s="542">
        <v>3</v>
      </c>
      <c r="B7" s="554" t="s">
        <v>332</v>
      </c>
      <c r="C7" s="555" t="s">
        <v>334</v>
      </c>
      <c r="D7" s="164" t="s">
        <v>335</v>
      </c>
      <c r="E7" s="546" t="s">
        <v>237</v>
      </c>
      <c r="F7" s="546" t="s">
        <v>199</v>
      </c>
      <c r="G7" s="545" t="s">
        <v>149</v>
      </c>
      <c r="H7" s="546" t="s">
        <v>237</v>
      </c>
      <c r="I7" s="547" t="s">
        <v>204</v>
      </c>
      <c r="J7" s="548" t="s">
        <v>151</v>
      </c>
      <c r="K7" s="544" t="s">
        <v>202</v>
      </c>
      <c r="L7" s="557" t="s">
        <v>361</v>
      </c>
      <c r="M7" s="550" t="s">
        <v>362</v>
      </c>
      <c r="N7" s="551">
        <v>44136</v>
      </c>
      <c r="O7" s="551">
        <v>44561</v>
      </c>
      <c r="P7" s="558" t="s">
        <v>363</v>
      </c>
      <c r="Q7" s="559"/>
      <c r="R7" s="559"/>
      <c r="S7" s="559"/>
      <c r="T7" s="559"/>
      <c r="U7" s="559"/>
      <c r="V7" s="559"/>
      <c r="W7" s="559"/>
      <c r="X7" s="559"/>
    </row>
  </sheetData>
  <mergeCells count="6">
    <mergeCell ref="A1:C2"/>
    <mergeCell ref="D1:V2"/>
    <mergeCell ref="A3:G3"/>
    <mergeCell ref="H3:K3"/>
    <mergeCell ref="L3:P3"/>
    <mergeCell ref="Q3:V3"/>
  </mergeCells>
  <conditionalFormatting sqref="J5:J7">
    <cfRule type="cellIs" dxfId="239" priority="13" operator="equal">
      <formula>"Extremo"</formula>
    </cfRule>
    <cfRule type="cellIs" dxfId="238" priority="14" operator="equal">
      <formula>"Moderado"</formula>
    </cfRule>
    <cfRule type="cellIs" dxfId="237" priority="15" operator="equal">
      <formula>"Bajo"</formula>
    </cfRule>
    <cfRule type="cellIs" dxfId="236" priority="16" operator="equal">
      <formula>"Alto"</formula>
    </cfRule>
  </conditionalFormatting>
  <conditionalFormatting sqref="G7">
    <cfRule type="cellIs" dxfId="235" priority="9" operator="equal">
      <formula>"Extremo"</formula>
    </cfRule>
    <cfRule type="cellIs" dxfId="234" priority="10" operator="equal">
      <formula>"Moderado"</formula>
    </cfRule>
    <cfRule type="cellIs" dxfId="233" priority="11" operator="equal">
      <formula>"Bajo"</formula>
    </cfRule>
    <cfRule type="cellIs" dxfId="232" priority="12" operator="equal">
      <formula>"Alto"</formula>
    </cfRule>
  </conditionalFormatting>
  <conditionalFormatting sqref="G6">
    <cfRule type="cellIs" dxfId="231" priority="5" operator="equal">
      <formula>"Extremo"</formula>
    </cfRule>
    <cfRule type="cellIs" dxfId="230" priority="6" operator="equal">
      <formula>"Moderado"</formula>
    </cfRule>
    <cfRule type="cellIs" dxfId="229" priority="7" operator="equal">
      <formula>"Bajo"</formula>
    </cfRule>
    <cfRule type="cellIs" dxfId="228" priority="8" operator="equal">
      <formula>"Alto"</formula>
    </cfRule>
  </conditionalFormatting>
  <conditionalFormatting sqref="G5">
    <cfRule type="cellIs" dxfId="227" priority="1" operator="equal">
      <formula>"Extremo"</formula>
    </cfRule>
    <cfRule type="cellIs" dxfId="226" priority="2" operator="equal">
      <formula>"Moderado"</formula>
    </cfRule>
    <cfRule type="cellIs" dxfId="225" priority="3" operator="equal">
      <formula>"Bajo"</formula>
    </cfRule>
    <cfRule type="cellIs" dxfId="224" priority="4" operator="equal">
      <formula>"Alto"</formula>
    </cfRule>
  </conditionalFormatting>
  <pageMargins left="0.7" right="0.7" top="0.75" bottom="0.75" header="0.3" footer="0.3"/>
  <pageSetup orientation="portrait" horizontalDpi="1200" verticalDpi="1200"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E987"/>
  <sheetViews>
    <sheetView showGridLines="0" zoomScaleNormal="100" workbookViewId="0">
      <selection activeCell="B7" sqref="B7"/>
    </sheetView>
  </sheetViews>
  <sheetFormatPr baseColWidth="10" defaultColWidth="12.625" defaultRowHeight="15" customHeight="1" x14ac:dyDescent="0.2"/>
  <cols>
    <col min="1" max="1" width="20.375" style="228" customWidth="1"/>
    <col min="2" max="2" width="64.25" style="228" customWidth="1"/>
    <col min="3" max="3" width="75.75" style="228" customWidth="1"/>
    <col min="4" max="4" width="14.25" style="228" customWidth="1"/>
    <col min="5" max="5" width="74.125" style="228" customWidth="1"/>
    <col min="6" max="26" width="9.375" style="228" customWidth="1"/>
    <col min="27" max="16384" width="12.625" style="228"/>
  </cols>
  <sheetData>
    <row r="1" spans="1:5" ht="14.25" x14ac:dyDescent="0.2">
      <c r="A1" s="1197"/>
      <c r="B1" s="1199" t="s">
        <v>0</v>
      </c>
      <c r="C1" s="1200"/>
      <c r="D1" s="1201"/>
      <c r="E1" s="1207" t="s">
        <v>29</v>
      </c>
    </row>
    <row r="2" spans="1:5" ht="14.25" x14ac:dyDescent="0.2">
      <c r="A2" s="1198"/>
      <c r="B2" s="1202"/>
      <c r="C2" s="1203"/>
      <c r="D2" s="1198"/>
      <c r="E2" s="1208"/>
    </row>
    <row r="3" spans="1:5" ht="14.25" x14ac:dyDescent="0.2">
      <c r="A3" s="1198"/>
      <c r="B3" s="1202"/>
      <c r="C3" s="1203"/>
      <c r="D3" s="1198"/>
      <c r="E3" s="1207" t="s">
        <v>2</v>
      </c>
    </row>
    <row r="4" spans="1:5" thickBot="1" x14ac:dyDescent="0.25">
      <c r="A4" s="1198"/>
      <c r="B4" s="1204"/>
      <c r="C4" s="1205"/>
      <c r="D4" s="1206"/>
      <c r="E4" s="1208"/>
    </row>
    <row r="5" spans="1:5" thickBot="1" x14ac:dyDescent="0.25">
      <c r="A5" s="1209" t="s">
        <v>30</v>
      </c>
      <c r="B5" s="1210"/>
      <c r="C5" s="1210"/>
      <c r="D5" s="1210"/>
      <c r="E5" s="1211"/>
    </row>
    <row r="6" spans="1:5" ht="19.5" customHeight="1" x14ac:dyDescent="0.2">
      <c r="A6" s="229" t="s">
        <v>31</v>
      </c>
      <c r="B6" s="230" t="s">
        <v>32</v>
      </c>
      <c r="C6" s="229" t="s">
        <v>33</v>
      </c>
      <c r="D6" s="1212" t="s">
        <v>34</v>
      </c>
      <c r="E6" s="1213"/>
    </row>
    <row r="7" spans="1:5" ht="409.5" customHeight="1" x14ac:dyDescent="0.2">
      <c r="A7" s="231" t="s">
        <v>369</v>
      </c>
      <c r="B7" s="232" t="s">
        <v>370</v>
      </c>
      <c r="C7" s="233" t="s">
        <v>371</v>
      </c>
      <c r="D7" s="1195" t="s">
        <v>372</v>
      </c>
      <c r="E7" s="1196"/>
    </row>
    <row r="13" spans="1:5" ht="15.75" customHeight="1" x14ac:dyDescent="0.2"/>
    <row r="14" spans="1:5" ht="15.75" customHeight="1" x14ac:dyDescent="0.2"/>
    <row r="15" spans="1:5" ht="15.75" customHeight="1" x14ac:dyDescent="0.2"/>
    <row r="16" spans="1:5" ht="15.75" customHeight="1" x14ac:dyDescent="0.2"/>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sheetData>
  <mergeCells count="7">
    <mergeCell ref="D7:E7"/>
    <mergeCell ref="A1:A4"/>
    <mergeCell ref="B1:D4"/>
    <mergeCell ref="E1:E2"/>
    <mergeCell ref="E3:E4"/>
    <mergeCell ref="A5:E5"/>
    <mergeCell ref="D6:E6"/>
  </mergeCells>
  <pageMargins left="0.31496062992125984" right="0.31496062992125984" top="1.1417322834645669" bottom="0.35433070866141736" header="0" footer="0"/>
  <pageSetup scale="88" orientation="landscape" r:id="rId1"/>
  <headerFooter>
    <oddHeader>&amp;C Matriz de Riesgos</oddHead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953"/>
  <sheetViews>
    <sheetView showGridLines="0" topLeftCell="C1" zoomScale="115" zoomScaleNormal="115" workbookViewId="0">
      <selection activeCell="H9" sqref="H9:I12"/>
    </sheetView>
  </sheetViews>
  <sheetFormatPr baseColWidth="10" defaultColWidth="12.625" defaultRowHeight="15" customHeight="1" x14ac:dyDescent="0.2"/>
  <cols>
    <col min="1" max="2" width="13.25" style="228" customWidth="1"/>
    <col min="3" max="3" width="16.875" style="228" customWidth="1"/>
    <col min="4" max="4" width="3.625" style="228" customWidth="1"/>
    <col min="5" max="5" width="18.375" style="228" customWidth="1"/>
    <col min="6" max="6" width="29.25" style="228" customWidth="1"/>
    <col min="7" max="7" width="15" style="228" customWidth="1"/>
    <col min="8" max="8" width="50.625" style="228" customWidth="1"/>
    <col min="9" max="9" width="45.75" style="228" customWidth="1"/>
    <col min="10" max="10" width="20.625" style="228" customWidth="1"/>
    <col min="11" max="11" width="14.75" style="228" customWidth="1"/>
    <col min="12" max="12" width="18.75" style="228" customWidth="1"/>
    <col min="13" max="13" width="12.75" style="228" customWidth="1"/>
    <col min="14" max="14" width="27.125" style="228" customWidth="1"/>
    <col min="15" max="26" width="9.375" style="228" customWidth="1"/>
    <col min="27" max="16384" width="12.625" style="228"/>
  </cols>
  <sheetData>
    <row r="1" spans="1:14" ht="15" customHeight="1" x14ac:dyDescent="0.2">
      <c r="A1" s="1214"/>
      <c r="B1" s="1203"/>
      <c r="C1" s="1203"/>
      <c r="D1" s="1215" t="s">
        <v>0</v>
      </c>
      <c r="E1" s="1203"/>
      <c r="F1" s="1203"/>
      <c r="G1" s="1203"/>
      <c r="H1" s="1203"/>
      <c r="I1" s="1203"/>
      <c r="J1" s="1203"/>
      <c r="K1" s="1203"/>
      <c r="L1" s="1203"/>
      <c r="M1" s="1198"/>
      <c r="N1" s="1216" t="s">
        <v>35</v>
      </c>
    </row>
    <row r="2" spans="1:14" ht="15" customHeight="1" x14ac:dyDescent="0.2">
      <c r="A2" s="1203"/>
      <c r="B2" s="1203"/>
      <c r="C2" s="1203"/>
      <c r="D2" s="1203"/>
      <c r="E2" s="1203"/>
      <c r="F2" s="1203"/>
      <c r="G2" s="1203"/>
      <c r="H2" s="1203"/>
      <c r="I2" s="1203"/>
      <c r="J2" s="1203"/>
      <c r="K2" s="1203"/>
      <c r="L2" s="1203"/>
      <c r="M2" s="1198"/>
      <c r="N2" s="1208"/>
    </row>
    <row r="3" spans="1:14" ht="15" customHeight="1" x14ac:dyDescent="0.2">
      <c r="A3" s="1203"/>
      <c r="B3" s="1203"/>
      <c r="C3" s="1203"/>
      <c r="D3" s="1203"/>
      <c r="E3" s="1203"/>
      <c r="F3" s="1203"/>
      <c r="G3" s="1203"/>
      <c r="H3" s="1203"/>
      <c r="I3" s="1203"/>
      <c r="J3" s="1203"/>
      <c r="K3" s="1203"/>
      <c r="L3" s="1203"/>
      <c r="M3" s="1198"/>
      <c r="N3" s="1216" t="s">
        <v>2</v>
      </c>
    </row>
    <row r="4" spans="1:14" ht="15" customHeight="1" x14ac:dyDescent="0.2">
      <c r="A4" s="1205"/>
      <c r="B4" s="1205"/>
      <c r="C4" s="1205"/>
      <c r="D4" s="1205"/>
      <c r="E4" s="1205"/>
      <c r="F4" s="1205"/>
      <c r="G4" s="1205"/>
      <c r="H4" s="1205"/>
      <c r="I4" s="1205"/>
      <c r="J4" s="1205"/>
      <c r="K4" s="1205"/>
      <c r="L4" s="1205"/>
      <c r="M4" s="1206"/>
      <c r="N4" s="1208"/>
    </row>
    <row r="5" spans="1:14" ht="15.75" x14ac:dyDescent="0.2">
      <c r="A5" s="1217" t="s">
        <v>36</v>
      </c>
      <c r="B5" s="1218"/>
      <c r="C5" s="1196"/>
      <c r="D5" s="1219" t="s">
        <v>369</v>
      </c>
      <c r="E5" s="1220"/>
      <c r="F5" s="1220"/>
      <c r="G5" s="1220"/>
      <c r="H5" s="1220"/>
      <c r="I5" s="1220"/>
      <c r="J5" s="1220"/>
      <c r="K5" s="1220"/>
      <c r="L5" s="1220"/>
      <c r="M5" s="1220"/>
      <c r="N5" s="1221"/>
    </row>
    <row r="6" spans="1:14" ht="15.75" x14ac:dyDescent="0.2">
      <c r="A6" s="1217" t="s">
        <v>37</v>
      </c>
      <c r="B6" s="1218"/>
      <c r="C6" s="1196"/>
      <c r="D6" s="1219" t="s">
        <v>373</v>
      </c>
      <c r="E6" s="1220"/>
      <c r="F6" s="1220"/>
      <c r="G6" s="1220"/>
      <c r="H6" s="1220"/>
      <c r="I6" s="1220"/>
      <c r="J6" s="1220"/>
      <c r="K6" s="1220"/>
      <c r="L6" s="1220"/>
      <c r="M6" s="1220"/>
      <c r="N6" s="1221"/>
    </row>
    <row r="7" spans="1:14" x14ac:dyDescent="0.25">
      <c r="A7" s="1222" t="s">
        <v>38</v>
      </c>
      <c r="B7" s="1218"/>
      <c r="C7" s="1196"/>
      <c r="D7" s="1223" t="s">
        <v>39</v>
      </c>
      <c r="E7" s="1218"/>
      <c r="F7" s="1218"/>
      <c r="G7" s="1218"/>
      <c r="H7" s="1218"/>
      <c r="I7" s="1196"/>
      <c r="J7" s="1222" t="s">
        <v>40</v>
      </c>
      <c r="K7" s="1218"/>
      <c r="L7" s="1218"/>
      <c r="M7" s="1218"/>
      <c r="N7" s="1196"/>
    </row>
    <row r="8" spans="1:14" ht="36" x14ac:dyDescent="0.2">
      <c r="A8" s="234" t="s">
        <v>41</v>
      </c>
      <c r="B8" s="234" t="s">
        <v>42</v>
      </c>
      <c r="C8" s="234" t="s">
        <v>43</v>
      </c>
      <c r="D8" s="234" t="s">
        <v>44</v>
      </c>
      <c r="E8" s="234" t="s">
        <v>45</v>
      </c>
      <c r="F8" s="234" t="s">
        <v>46</v>
      </c>
      <c r="G8" s="234" t="s">
        <v>47</v>
      </c>
      <c r="H8" s="234" t="s">
        <v>48</v>
      </c>
      <c r="I8" s="234" t="s">
        <v>49</v>
      </c>
      <c r="J8" s="235" t="s">
        <v>50</v>
      </c>
      <c r="K8" s="235" t="s">
        <v>51</v>
      </c>
      <c r="L8" s="235" t="s">
        <v>52</v>
      </c>
      <c r="M8" s="235" t="s">
        <v>53</v>
      </c>
      <c r="N8" s="235" t="s">
        <v>54</v>
      </c>
    </row>
    <row r="9" spans="1:14" ht="179.25" customHeight="1" x14ac:dyDescent="0.2">
      <c r="A9" s="236" t="s">
        <v>205</v>
      </c>
      <c r="B9" s="236" t="s">
        <v>177</v>
      </c>
      <c r="C9" s="236" t="s">
        <v>178</v>
      </c>
      <c r="D9" s="237">
        <v>1</v>
      </c>
      <c r="E9" s="238" t="s">
        <v>374</v>
      </c>
      <c r="F9" s="238" t="s">
        <v>375</v>
      </c>
      <c r="G9" s="239" t="s">
        <v>179</v>
      </c>
      <c r="H9" s="240" t="s">
        <v>376</v>
      </c>
      <c r="I9" s="240" t="s">
        <v>377</v>
      </c>
      <c r="J9" s="239" t="s">
        <v>122</v>
      </c>
      <c r="K9" s="239" t="s">
        <v>263</v>
      </c>
      <c r="L9" s="239" t="s">
        <v>263</v>
      </c>
      <c r="M9" s="239" t="s">
        <v>263</v>
      </c>
      <c r="N9" s="241" t="str">
        <f t="shared" ref="N9:N12" si="0">IF(COUNTIF(J9:M9,"SI")=4,"Riesgo de Corrupción","No es Riesgo de Corrupción")</f>
        <v>No es Riesgo de Corrupción</v>
      </c>
    </row>
    <row r="10" spans="1:14" ht="164.25" customHeight="1" x14ac:dyDescent="0.2">
      <c r="A10" s="236" t="s">
        <v>243</v>
      </c>
      <c r="B10" s="236" t="s">
        <v>248</v>
      </c>
      <c r="C10" s="236" t="s">
        <v>220</v>
      </c>
      <c r="D10" s="237">
        <v>2</v>
      </c>
      <c r="E10" s="238" t="s">
        <v>378</v>
      </c>
      <c r="F10" s="238" t="s">
        <v>379</v>
      </c>
      <c r="G10" s="239" t="s">
        <v>179</v>
      </c>
      <c r="H10" s="240" t="s">
        <v>380</v>
      </c>
      <c r="I10" s="240" t="s">
        <v>381</v>
      </c>
      <c r="J10" s="239" t="s">
        <v>122</v>
      </c>
      <c r="K10" s="239" t="s">
        <v>122</v>
      </c>
      <c r="L10" s="239" t="s">
        <v>263</v>
      </c>
      <c r="M10" s="239" t="s">
        <v>263</v>
      </c>
      <c r="N10" s="241" t="str">
        <f t="shared" si="0"/>
        <v>No es Riesgo de Corrupción</v>
      </c>
    </row>
    <row r="11" spans="1:14" ht="114.75" x14ac:dyDescent="0.2">
      <c r="A11" s="242" t="s">
        <v>243</v>
      </c>
      <c r="B11" s="242" t="s">
        <v>192</v>
      </c>
      <c r="C11" s="242" t="s">
        <v>193</v>
      </c>
      <c r="D11" s="237">
        <v>3</v>
      </c>
      <c r="E11" s="238" t="s">
        <v>382</v>
      </c>
      <c r="F11" s="238" t="s">
        <v>383</v>
      </c>
      <c r="G11" s="239" t="s">
        <v>179</v>
      </c>
      <c r="H11" s="240" t="s">
        <v>384</v>
      </c>
      <c r="I11" s="240" t="s">
        <v>385</v>
      </c>
      <c r="J11" s="239" t="s">
        <v>122</v>
      </c>
      <c r="K11" s="239" t="s">
        <v>263</v>
      </c>
      <c r="L11" s="239" t="s">
        <v>263</v>
      </c>
      <c r="M11" s="239" t="s">
        <v>263</v>
      </c>
      <c r="N11" s="241" t="str">
        <f t="shared" si="0"/>
        <v>No es Riesgo de Corrupción</v>
      </c>
    </row>
    <row r="12" spans="1:14" ht="146.25" customHeight="1" x14ac:dyDescent="0.2">
      <c r="A12" s="242" t="s">
        <v>205</v>
      </c>
      <c r="B12" s="242" t="s">
        <v>219</v>
      </c>
      <c r="C12" s="242" t="s">
        <v>220</v>
      </c>
      <c r="D12" s="237">
        <v>4</v>
      </c>
      <c r="E12" s="243" t="s">
        <v>386</v>
      </c>
      <c r="F12" s="238" t="s">
        <v>387</v>
      </c>
      <c r="G12" s="239" t="s">
        <v>252</v>
      </c>
      <c r="H12" s="238" t="s">
        <v>388</v>
      </c>
      <c r="I12" s="240" t="s">
        <v>389</v>
      </c>
      <c r="J12" s="239" t="s">
        <v>122</v>
      </c>
      <c r="K12" s="239" t="s">
        <v>122</v>
      </c>
      <c r="L12" s="239" t="s">
        <v>122</v>
      </c>
      <c r="M12" s="239" t="s">
        <v>122</v>
      </c>
      <c r="N12" s="241" t="str">
        <f t="shared" si="0"/>
        <v>Riesgo de Corrupción</v>
      </c>
    </row>
    <row r="13" spans="1:14" ht="15.75" customHeight="1" x14ac:dyDescent="0.2">
      <c r="D13" s="244"/>
    </row>
    <row r="14" spans="1:14" ht="15.75" customHeight="1" x14ac:dyDescent="0.2">
      <c r="D14" s="244"/>
    </row>
    <row r="15" spans="1:14" ht="15.75" customHeight="1" x14ac:dyDescent="0.2">
      <c r="D15" s="244"/>
    </row>
    <row r="16" spans="1:14" ht="15.75" customHeight="1" x14ac:dyDescent="0.2">
      <c r="D16" s="244"/>
    </row>
    <row r="17" spans="4:4" ht="15.75" customHeight="1" x14ac:dyDescent="0.2">
      <c r="D17" s="244"/>
    </row>
    <row r="18" spans="4:4" ht="15.75" customHeight="1" x14ac:dyDescent="0.2">
      <c r="D18" s="244"/>
    </row>
    <row r="19" spans="4:4" ht="15.75" customHeight="1" x14ac:dyDescent="0.2">
      <c r="D19" s="244"/>
    </row>
    <row r="20" spans="4:4" ht="15.75" customHeight="1" x14ac:dyDescent="0.2">
      <c r="D20" s="244"/>
    </row>
    <row r="21" spans="4:4" ht="15.75" customHeight="1" x14ac:dyDescent="0.2">
      <c r="D21" s="244"/>
    </row>
    <row r="22" spans="4:4" ht="15.75" customHeight="1" x14ac:dyDescent="0.2">
      <c r="D22" s="244"/>
    </row>
    <row r="23" spans="4:4" ht="15.75" customHeight="1" x14ac:dyDescent="0.2">
      <c r="D23" s="244"/>
    </row>
    <row r="24" spans="4:4" ht="15.75" customHeight="1" x14ac:dyDescent="0.2">
      <c r="D24" s="244"/>
    </row>
    <row r="25" spans="4:4" ht="15.75" customHeight="1" x14ac:dyDescent="0.2">
      <c r="D25" s="244"/>
    </row>
    <row r="26" spans="4:4" ht="15.75" customHeight="1" x14ac:dyDescent="0.2">
      <c r="D26" s="244"/>
    </row>
    <row r="27" spans="4:4" ht="15.75" customHeight="1" x14ac:dyDescent="0.2">
      <c r="D27" s="244"/>
    </row>
    <row r="28" spans="4:4" ht="15.75" customHeight="1" x14ac:dyDescent="0.2">
      <c r="D28" s="244"/>
    </row>
    <row r="29" spans="4:4" ht="15.75" customHeight="1" x14ac:dyDescent="0.2">
      <c r="D29" s="244"/>
    </row>
    <row r="30" spans="4:4" ht="15.75" customHeight="1" x14ac:dyDescent="0.2">
      <c r="D30" s="244"/>
    </row>
    <row r="31" spans="4:4" ht="15.75" customHeight="1" x14ac:dyDescent="0.2">
      <c r="D31" s="244"/>
    </row>
    <row r="32" spans="4:4" ht="15.75" customHeight="1" x14ac:dyDescent="0.2">
      <c r="D32" s="244"/>
    </row>
    <row r="33" spans="4:4" ht="15.75" customHeight="1" x14ac:dyDescent="0.2">
      <c r="D33" s="244"/>
    </row>
    <row r="34" spans="4:4" ht="15.75" customHeight="1" x14ac:dyDescent="0.2">
      <c r="D34" s="244"/>
    </row>
    <row r="35" spans="4:4" ht="15.75" customHeight="1" x14ac:dyDescent="0.2">
      <c r="D35" s="244"/>
    </row>
    <row r="36" spans="4:4" ht="15.75" customHeight="1" x14ac:dyDescent="0.2">
      <c r="D36" s="244"/>
    </row>
    <row r="37" spans="4:4" ht="15.75" customHeight="1" x14ac:dyDescent="0.2">
      <c r="D37" s="244"/>
    </row>
    <row r="38" spans="4:4" ht="15.75" customHeight="1" x14ac:dyDescent="0.2">
      <c r="D38" s="244"/>
    </row>
    <row r="39" spans="4:4" ht="15.75" customHeight="1" x14ac:dyDescent="0.2">
      <c r="D39" s="244"/>
    </row>
    <row r="40" spans="4:4" ht="15.75" customHeight="1" x14ac:dyDescent="0.2">
      <c r="D40" s="244"/>
    </row>
    <row r="41" spans="4:4" ht="15.75" customHeight="1" x14ac:dyDescent="0.2">
      <c r="D41" s="244"/>
    </row>
    <row r="42" spans="4:4" ht="15.75" customHeight="1" x14ac:dyDescent="0.2">
      <c r="D42" s="244"/>
    </row>
    <row r="43" spans="4:4" ht="15.75" customHeight="1" x14ac:dyDescent="0.2">
      <c r="D43" s="244"/>
    </row>
    <row r="44" spans="4:4" ht="15.75" customHeight="1" x14ac:dyDescent="0.2">
      <c r="D44" s="244"/>
    </row>
    <row r="45" spans="4:4" ht="15.75" customHeight="1" x14ac:dyDescent="0.2">
      <c r="D45" s="244"/>
    </row>
    <row r="46" spans="4:4" ht="15.75" customHeight="1" x14ac:dyDescent="0.2">
      <c r="D46" s="244"/>
    </row>
    <row r="47" spans="4:4" ht="15.75" customHeight="1" x14ac:dyDescent="0.2">
      <c r="D47" s="244"/>
    </row>
    <row r="48" spans="4:4" ht="15.75" customHeight="1" x14ac:dyDescent="0.2">
      <c r="D48" s="244"/>
    </row>
    <row r="49" spans="4:4" ht="15.75" customHeight="1" x14ac:dyDescent="0.2">
      <c r="D49" s="244"/>
    </row>
    <row r="50" spans="4:4" ht="15.75" customHeight="1" x14ac:dyDescent="0.2">
      <c r="D50" s="244"/>
    </row>
    <row r="51" spans="4:4" ht="15.75" customHeight="1" x14ac:dyDescent="0.2">
      <c r="D51" s="244"/>
    </row>
    <row r="52" spans="4:4" ht="15.75" customHeight="1" x14ac:dyDescent="0.2">
      <c r="D52" s="244"/>
    </row>
    <row r="53" spans="4:4" ht="15.75" customHeight="1" x14ac:dyDescent="0.2">
      <c r="D53" s="244"/>
    </row>
    <row r="54" spans="4:4" ht="15.75" customHeight="1" x14ac:dyDescent="0.2">
      <c r="D54" s="244"/>
    </row>
    <row r="55" spans="4:4" ht="15.75" customHeight="1" x14ac:dyDescent="0.2">
      <c r="D55" s="244"/>
    </row>
    <row r="56" spans="4:4" ht="15.75" customHeight="1" x14ac:dyDescent="0.2">
      <c r="D56" s="244"/>
    </row>
    <row r="57" spans="4:4" ht="15.75" customHeight="1" x14ac:dyDescent="0.2">
      <c r="D57" s="244"/>
    </row>
    <row r="58" spans="4:4" ht="15.75" customHeight="1" x14ac:dyDescent="0.2">
      <c r="D58" s="244"/>
    </row>
    <row r="59" spans="4:4" ht="15.75" customHeight="1" x14ac:dyDescent="0.2">
      <c r="D59" s="244"/>
    </row>
    <row r="60" spans="4:4" ht="15.75" customHeight="1" x14ac:dyDescent="0.2">
      <c r="D60" s="244"/>
    </row>
    <row r="61" spans="4:4" ht="15.75" customHeight="1" x14ac:dyDescent="0.2">
      <c r="D61" s="244"/>
    </row>
    <row r="62" spans="4:4" ht="15.75" customHeight="1" x14ac:dyDescent="0.2">
      <c r="D62" s="244"/>
    </row>
    <row r="63" spans="4:4" ht="15.75" customHeight="1" x14ac:dyDescent="0.2">
      <c r="D63" s="244"/>
    </row>
    <row r="64" spans="4:4" ht="15.75" customHeight="1" x14ac:dyDescent="0.2">
      <c r="D64" s="244"/>
    </row>
    <row r="65" spans="4:4" ht="15.75" customHeight="1" x14ac:dyDescent="0.2">
      <c r="D65" s="244"/>
    </row>
    <row r="66" spans="4:4" ht="15.75" customHeight="1" x14ac:dyDescent="0.2">
      <c r="D66" s="244"/>
    </row>
    <row r="67" spans="4:4" ht="15.75" customHeight="1" x14ac:dyDescent="0.2">
      <c r="D67" s="244"/>
    </row>
    <row r="68" spans="4:4" ht="15.75" customHeight="1" x14ac:dyDescent="0.2">
      <c r="D68" s="244"/>
    </row>
    <row r="69" spans="4:4" ht="15.75" customHeight="1" x14ac:dyDescent="0.2">
      <c r="D69" s="244"/>
    </row>
    <row r="70" spans="4:4" ht="15.75" customHeight="1" x14ac:dyDescent="0.2">
      <c r="D70" s="244"/>
    </row>
    <row r="71" spans="4:4" ht="15.75" customHeight="1" x14ac:dyDescent="0.2">
      <c r="D71" s="244"/>
    </row>
    <row r="72" spans="4:4" ht="15.75" customHeight="1" x14ac:dyDescent="0.2">
      <c r="D72" s="244"/>
    </row>
    <row r="73" spans="4:4" ht="15.75" customHeight="1" x14ac:dyDescent="0.2">
      <c r="D73" s="244"/>
    </row>
    <row r="74" spans="4:4" ht="15.75" customHeight="1" x14ac:dyDescent="0.2">
      <c r="D74" s="244"/>
    </row>
    <row r="75" spans="4:4" ht="15.75" customHeight="1" x14ac:dyDescent="0.2">
      <c r="D75" s="244"/>
    </row>
    <row r="76" spans="4:4" ht="15.75" customHeight="1" x14ac:dyDescent="0.2">
      <c r="D76" s="244"/>
    </row>
    <row r="77" spans="4:4" ht="15.75" customHeight="1" x14ac:dyDescent="0.2">
      <c r="D77" s="244"/>
    </row>
    <row r="78" spans="4:4" ht="15.75" customHeight="1" x14ac:dyDescent="0.2">
      <c r="D78" s="244"/>
    </row>
    <row r="79" spans="4:4" ht="15.75" customHeight="1" x14ac:dyDescent="0.2">
      <c r="D79" s="244"/>
    </row>
    <row r="80" spans="4:4" ht="15.75" customHeight="1" x14ac:dyDescent="0.2">
      <c r="D80" s="244"/>
    </row>
    <row r="81" spans="4:4" ht="15.75" customHeight="1" x14ac:dyDescent="0.2">
      <c r="D81" s="244"/>
    </row>
    <row r="82" spans="4:4" ht="15.75" customHeight="1" x14ac:dyDescent="0.2">
      <c r="D82" s="244"/>
    </row>
    <row r="83" spans="4:4" ht="15.75" customHeight="1" x14ac:dyDescent="0.2">
      <c r="D83" s="244"/>
    </row>
    <row r="84" spans="4:4" ht="15.75" customHeight="1" x14ac:dyDescent="0.2">
      <c r="D84" s="244"/>
    </row>
    <row r="85" spans="4:4" ht="15.75" customHeight="1" x14ac:dyDescent="0.2">
      <c r="D85" s="244"/>
    </row>
    <row r="86" spans="4:4" ht="15.75" customHeight="1" x14ac:dyDescent="0.2">
      <c r="D86" s="244"/>
    </row>
    <row r="87" spans="4:4" ht="15.75" customHeight="1" x14ac:dyDescent="0.2">
      <c r="D87" s="244"/>
    </row>
    <row r="88" spans="4:4" ht="15.75" customHeight="1" x14ac:dyDescent="0.2">
      <c r="D88" s="244"/>
    </row>
    <row r="89" spans="4:4" ht="15.75" customHeight="1" x14ac:dyDescent="0.2">
      <c r="D89" s="244"/>
    </row>
    <row r="90" spans="4:4" ht="15.75" customHeight="1" x14ac:dyDescent="0.2">
      <c r="D90" s="244"/>
    </row>
    <row r="91" spans="4:4" ht="15.75" customHeight="1" x14ac:dyDescent="0.2">
      <c r="D91" s="244"/>
    </row>
    <row r="92" spans="4:4" ht="15.75" customHeight="1" x14ac:dyDescent="0.2">
      <c r="D92" s="244"/>
    </row>
    <row r="93" spans="4:4" ht="15.75" customHeight="1" x14ac:dyDescent="0.2">
      <c r="D93" s="244"/>
    </row>
    <row r="94" spans="4:4" ht="15.75" customHeight="1" x14ac:dyDescent="0.2">
      <c r="D94" s="244"/>
    </row>
    <row r="95" spans="4:4" ht="15.75" customHeight="1" x14ac:dyDescent="0.2">
      <c r="D95" s="244"/>
    </row>
    <row r="96" spans="4:4" ht="15.75" customHeight="1" x14ac:dyDescent="0.2">
      <c r="D96" s="244"/>
    </row>
    <row r="97" spans="4:4" ht="15.75" customHeight="1" x14ac:dyDescent="0.2">
      <c r="D97" s="244"/>
    </row>
    <row r="98" spans="4:4" ht="15.75" customHeight="1" x14ac:dyDescent="0.2">
      <c r="D98" s="244"/>
    </row>
    <row r="99" spans="4:4" ht="15.75" customHeight="1" x14ac:dyDescent="0.2">
      <c r="D99" s="244"/>
    </row>
    <row r="100" spans="4:4" ht="15.75" customHeight="1" x14ac:dyDescent="0.2">
      <c r="D100" s="244"/>
    </row>
    <row r="101" spans="4:4" ht="15.75" customHeight="1" x14ac:dyDescent="0.2">
      <c r="D101" s="244"/>
    </row>
    <row r="102" spans="4:4" ht="15.75" customHeight="1" x14ac:dyDescent="0.2">
      <c r="D102" s="244"/>
    </row>
    <row r="103" spans="4:4" ht="15.75" customHeight="1" x14ac:dyDescent="0.2">
      <c r="D103" s="244"/>
    </row>
    <row r="104" spans="4:4" ht="15.75" customHeight="1" x14ac:dyDescent="0.2">
      <c r="D104" s="244"/>
    </row>
    <row r="105" spans="4:4" ht="15.75" customHeight="1" x14ac:dyDescent="0.2">
      <c r="D105" s="244"/>
    </row>
    <row r="106" spans="4:4" ht="15.75" customHeight="1" x14ac:dyDescent="0.2">
      <c r="D106" s="244"/>
    </row>
    <row r="107" spans="4:4" ht="15.75" customHeight="1" x14ac:dyDescent="0.2">
      <c r="D107" s="244"/>
    </row>
    <row r="108" spans="4:4" ht="15.75" customHeight="1" x14ac:dyDescent="0.2">
      <c r="D108" s="244"/>
    </row>
    <row r="109" spans="4:4" ht="15.75" customHeight="1" x14ac:dyDescent="0.2">
      <c r="D109" s="244"/>
    </row>
    <row r="110" spans="4:4" ht="15.75" customHeight="1" x14ac:dyDescent="0.2">
      <c r="D110" s="244"/>
    </row>
    <row r="111" spans="4:4" ht="15.75" customHeight="1" x14ac:dyDescent="0.2">
      <c r="D111" s="244"/>
    </row>
    <row r="112" spans="4:4" ht="15.75" customHeight="1" x14ac:dyDescent="0.2">
      <c r="D112" s="244"/>
    </row>
    <row r="113" spans="4:4" ht="15.75" customHeight="1" x14ac:dyDescent="0.2">
      <c r="D113" s="244"/>
    </row>
    <row r="114" spans="4:4" ht="15.75" customHeight="1" x14ac:dyDescent="0.2">
      <c r="D114" s="244"/>
    </row>
    <row r="115" spans="4:4" ht="15.75" customHeight="1" x14ac:dyDescent="0.2">
      <c r="D115" s="244"/>
    </row>
    <row r="116" spans="4:4" ht="15.75" customHeight="1" x14ac:dyDescent="0.2">
      <c r="D116" s="244"/>
    </row>
    <row r="117" spans="4:4" ht="15.75" customHeight="1" x14ac:dyDescent="0.2">
      <c r="D117" s="244"/>
    </row>
    <row r="118" spans="4:4" ht="15.75" customHeight="1" x14ac:dyDescent="0.2">
      <c r="D118" s="244"/>
    </row>
    <row r="119" spans="4:4" ht="15.75" customHeight="1" x14ac:dyDescent="0.2">
      <c r="D119" s="244"/>
    </row>
    <row r="120" spans="4:4" ht="15.75" customHeight="1" x14ac:dyDescent="0.2">
      <c r="D120" s="244"/>
    </row>
    <row r="121" spans="4:4" ht="15.75" customHeight="1" x14ac:dyDescent="0.2">
      <c r="D121" s="244"/>
    </row>
    <row r="122" spans="4:4" ht="15.75" customHeight="1" x14ac:dyDescent="0.2">
      <c r="D122" s="244"/>
    </row>
    <row r="123" spans="4:4" ht="15.75" customHeight="1" x14ac:dyDescent="0.2">
      <c r="D123" s="244"/>
    </row>
    <row r="124" spans="4:4" ht="15.75" customHeight="1" x14ac:dyDescent="0.2">
      <c r="D124" s="244"/>
    </row>
    <row r="125" spans="4:4" ht="15.75" customHeight="1" x14ac:dyDescent="0.2">
      <c r="D125" s="244"/>
    </row>
    <row r="126" spans="4:4" ht="15.75" customHeight="1" x14ac:dyDescent="0.2">
      <c r="D126" s="244"/>
    </row>
    <row r="127" spans="4:4" ht="15.75" customHeight="1" x14ac:dyDescent="0.2">
      <c r="D127" s="244"/>
    </row>
    <row r="128" spans="4:4" ht="15.75" customHeight="1" x14ac:dyDescent="0.2">
      <c r="D128" s="244"/>
    </row>
    <row r="129" spans="4:4" ht="15.75" customHeight="1" x14ac:dyDescent="0.2">
      <c r="D129" s="244"/>
    </row>
    <row r="130" spans="4:4" ht="15.75" customHeight="1" x14ac:dyDescent="0.2">
      <c r="D130" s="244"/>
    </row>
    <row r="131" spans="4:4" ht="15.75" customHeight="1" x14ac:dyDescent="0.2">
      <c r="D131" s="244"/>
    </row>
    <row r="132" spans="4:4" ht="15.75" customHeight="1" x14ac:dyDescent="0.2">
      <c r="D132" s="244"/>
    </row>
    <row r="133" spans="4:4" ht="15.75" customHeight="1" x14ac:dyDescent="0.2">
      <c r="D133" s="244"/>
    </row>
    <row r="134" spans="4:4" ht="15.75" customHeight="1" x14ac:dyDescent="0.2">
      <c r="D134" s="244"/>
    </row>
    <row r="135" spans="4:4" ht="15.75" customHeight="1" x14ac:dyDescent="0.2">
      <c r="D135" s="244"/>
    </row>
    <row r="136" spans="4:4" ht="15.75" customHeight="1" x14ac:dyDescent="0.2">
      <c r="D136" s="244"/>
    </row>
    <row r="137" spans="4:4" ht="15.75" customHeight="1" x14ac:dyDescent="0.2">
      <c r="D137" s="244"/>
    </row>
    <row r="138" spans="4:4" ht="15.75" customHeight="1" x14ac:dyDescent="0.2">
      <c r="D138" s="244"/>
    </row>
    <row r="139" spans="4:4" ht="15.75" customHeight="1" x14ac:dyDescent="0.2">
      <c r="D139" s="244"/>
    </row>
    <row r="140" spans="4:4" ht="15.75" customHeight="1" x14ac:dyDescent="0.2">
      <c r="D140" s="244"/>
    </row>
    <row r="141" spans="4:4" ht="15.75" customHeight="1" x14ac:dyDescent="0.2">
      <c r="D141" s="244"/>
    </row>
    <row r="142" spans="4:4" ht="15.75" customHeight="1" x14ac:dyDescent="0.2">
      <c r="D142" s="244"/>
    </row>
    <row r="143" spans="4:4" ht="15.75" customHeight="1" x14ac:dyDescent="0.2">
      <c r="D143" s="244"/>
    </row>
    <row r="144" spans="4:4" ht="15.75" customHeight="1" x14ac:dyDescent="0.2">
      <c r="D144" s="244"/>
    </row>
    <row r="145" spans="4:4" ht="15.75" customHeight="1" x14ac:dyDescent="0.2">
      <c r="D145" s="244"/>
    </row>
    <row r="146" spans="4:4" ht="15.75" customHeight="1" x14ac:dyDescent="0.2">
      <c r="D146" s="244"/>
    </row>
    <row r="147" spans="4:4" ht="15.75" customHeight="1" x14ac:dyDescent="0.2">
      <c r="D147" s="244"/>
    </row>
    <row r="148" spans="4:4" ht="15.75" customHeight="1" x14ac:dyDescent="0.2">
      <c r="D148" s="244"/>
    </row>
    <row r="149" spans="4:4" ht="15.75" customHeight="1" x14ac:dyDescent="0.2">
      <c r="D149" s="244"/>
    </row>
    <row r="150" spans="4:4" ht="15.75" customHeight="1" x14ac:dyDescent="0.2">
      <c r="D150" s="244"/>
    </row>
    <row r="151" spans="4:4" ht="15.75" customHeight="1" x14ac:dyDescent="0.2">
      <c r="D151" s="244"/>
    </row>
    <row r="152" spans="4:4" ht="15.75" customHeight="1" x14ac:dyDescent="0.2">
      <c r="D152" s="244"/>
    </row>
    <row r="153" spans="4:4" ht="15.75" customHeight="1" x14ac:dyDescent="0.2">
      <c r="D153" s="244"/>
    </row>
    <row r="154" spans="4:4" ht="15.75" customHeight="1" x14ac:dyDescent="0.2">
      <c r="D154" s="244"/>
    </row>
    <row r="155" spans="4:4" ht="15.75" customHeight="1" x14ac:dyDescent="0.2">
      <c r="D155" s="244"/>
    </row>
    <row r="156" spans="4:4" ht="15.75" customHeight="1" x14ac:dyDescent="0.2">
      <c r="D156" s="244"/>
    </row>
    <row r="157" spans="4:4" ht="15.75" customHeight="1" x14ac:dyDescent="0.2">
      <c r="D157" s="244"/>
    </row>
    <row r="158" spans="4:4" ht="15.75" customHeight="1" x14ac:dyDescent="0.2">
      <c r="D158" s="244"/>
    </row>
    <row r="159" spans="4:4" ht="15.75" customHeight="1" x14ac:dyDescent="0.2">
      <c r="D159" s="244"/>
    </row>
    <row r="160" spans="4:4" ht="15.75" customHeight="1" x14ac:dyDescent="0.2">
      <c r="D160" s="244"/>
    </row>
    <row r="161" spans="4:4" ht="15.75" customHeight="1" x14ac:dyDescent="0.2">
      <c r="D161" s="244"/>
    </row>
    <row r="162" spans="4:4" ht="15.75" customHeight="1" x14ac:dyDescent="0.2">
      <c r="D162" s="244"/>
    </row>
    <row r="163" spans="4:4" ht="15.75" customHeight="1" x14ac:dyDescent="0.2">
      <c r="D163" s="244"/>
    </row>
    <row r="164" spans="4:4" ht="15.75" customHeight="1" x14ac:dyDescent="0.2">
      <c r="D164" s="244"/>
    </row>
    <row r="165" spans="4:4" ht="15.75" customHeight="1" x14ac:dyDescent="0.2">
      <c r="D165" s="244"/>
    </row>
    <row r="166" spans="4:4" ht="15.75" customHeight="1" x14ac:dyDescent="0.2">
      <c r="D166" s="244"/>
    </row>
    <row r="167" spans="4:4" ht="15.75" customHeight="1" x14ac:dyDescent="0.2">
      <c r="D167" s="244"/>
    </row>
    <row r="168" spans="4:4" ht="15.75" customHeight="1" x14ac:dyDescent="0.2">
      <c r="D168" s="244"/>
    </row>
    <row r="169" spans="4:4" ht="15.75" customHeight="1" x14ac:dyDescent="0.2">
      <c r="D169" s="244"/>
    </row>
    <row r="170" spans="4:4" ht="15.75" customHeight="1" x14ac:dyDescent="0.2">
      <c r="D170" s="244"/>
    </row>
    <row r="171" spans="4:4" ht="15.75" customHeight="1" x14ac:dyDescent="0.2">
      <c r="D171" s="244"/>
    </row>
    <row r="172" spans="4:4" ht="15.75" customHeight="1" x14ac:dyDescent="0.2">
      <c r="D172" s="244"/>
    </row>
    <row r="173" spans="4:4" ht="15.75" customHeight="1" x14ac:dyDescent="0.2">
      <c r="D173" s="244"/>
    </row>
    <row r="174" spans="4:4" ht="15.75" customHeight="1" x14ac:dyDescent="0.2">
      <c r="D174" s="244"/>
    </row>
    <row r="175" spans="4:4" ht="15.75" customHeight="1" x14ac:dyDescent="0.2">
      <c r="D175" s="244"/>
    </row>
    <row r="176" spans="4:4" ht="15.75" customHeight="1" x14ac:dyDescent="0.2">
      <c r="D176" s="244"/>
    </row>
    <row r="177" spans="4:4" ht="15.75" customHeight="1" x14ac:dyDescent="0.2">
      <c r="D177" s="244"/>
    </row>
    <row r="178" spans="4:4" ht="15.75" customHeight="1" x14ac:dyDescent="0.2">
      <c r="D178" s="244"/>
    </row>
    <row r="179" spans="4:4" ht="15.75" customHeight="1" x14ac:dyDescent="0.2">
      <c r="D179" s="244"/>
    </row>
    <row r="180" spans="4:4" ht="15.75" customHeight="1" x14ac:dyDescent="0.2">
      <c r="D180" s="244"/>
    </row>
    <row r="181" spans="4:4" ht="15.75" customHeight="1" x14ac:dyDescent="0.2">
      <c r="D181" s="244"/>
    </row>
    <row r="182" spans="4:4" ht="15.75" customHeight="1" x14ac:dyDescent="0.2">
      <c r="D182" s="244"/>
    </row>
    <row r="183" spans="4:4" ht="15.75" customHeight="1" x14ac:dyDescent="0.2">
      <c r="D183" s="244"/>
    </row>
    <row r="184" spans="4:4" ht="15.75" customHeight="1" x14ac:dyDescent="0.2">
      <c r="D184" s="244"/>
    </row>
    <row r="185" spans="4:4" ht="15.75" customHeight="1" x14ac:dyDescent="0.2">
      <c r="D185" s="244"/>
    </row>
    <row r="186" spans="4:4" ht="15.75" customHeight="1" x14ac:dyDescent="0.2">
      <c r="D186" s="244"/>
    </row>
    <row r="187" spans="4:4" ht="15.75" customHeight="1" x14ac:dyDescent="0.2">
      <c r="D187" s="244"/>
    </row>
    <row r="188" spans="4:4" ht="15.75" customHeight="1" x14ac:dyDescent="0.2">
      <c r="D188" s="244"/>
    </row>
    <row r="189" spans="4:4" ht="15.75" customHeight="1" x14ac:dyDescent="0.2">
      <c r="D189" s="244"/>
    </row>
    <row r="190" spans="4:4" ht="15.75" customHeight="1" x14ac:dyDescent="0.2">
      <c r="D190" s="244"/>
    </row>
    <row r="191" spans="4:4" ht="15.75" customHeight="1" x14ac:dyDescent="0.2">
      <c r="D191" s="244"/>
    </row>
    <row r="192" spans="4:4" ht="15.75" customHeight="1" x14ac:dyDescent="0.2">
      <c r="D192" s="244"/>
    </row>
    <row r="193" spans="4:4" ht="15.75" customHeight="1" x14ac:dyDescent="0.2">
      <c r="D193" s="244"/>
    </row>
    <row r="194" spans="4:4" ht="15.75" customHeight="1" x14ac:dyDescent="0.2">
      <c r="D194" s="244"/>
    </row>
    <row r="195" spans="4:4" ht="15.75" customHeight="1" x14ac:dyDescent="0.2">
      <c r="D195" s="244"/>
    </row>
    <row r="196" spans="4:4" ht="15.75" customHeight="1" x14ac:dyDescent="0.2">
      <c r="D196" s="244"/>
    </row>
    <row r="197" spans="4:4" ht="15.75" customHeight="1" x14ac:dyDescent="0.2">
      <c r="D197" s="244"/>
    </row>
    <row r="198" spans="4:4" ht="15.75" customHeight="1" x14ac:dyDescent="0.2">
      <c r="D198" s="244"/>
    </row>
    <row r="199" spans="4:4" ht="15.75" customHeight="1" x14ac:dyDescent="0.2">
      <c r="D199" s="244"/>
    </row>
    <row r="200" spans="4:4" ht="15.75" customHeight="1" x14ac:dyDescent="0.2">
      <c r="D200" s="244"/>
    </row>
    <row r="201" spans="4:4" ht="15.75" customHeight="1" x14ac:dyDescent="0.2">
      <c r="D201" s="244"/>
    </row>
    <row r="202" spans="4:4" ht="15.75" customHeight="1" x14ac:dyDescent="0.2">
      <c r="D202" s="244"/>
    </row>
    <row r="203" spans="4:4" ht="15.75" customHeight="1" x14ac:dyDescent="0.2">
      <c r="D203" s="244"/>
    </row>
    <row r="204" spans="4:4" ht="15.75" customHeight="1" x14ac:dyDescent="0.2">
      <c r="D204" s="244"/>
    </row>
    <row r="205" spans="4:4" ht="15.75" customHeight="1" x14ac:dyDescent="0.2">
      <c r="D205" s="244"/>
    </row>
    <row r="206" spans="4:4" ht="15.75" customHeight="1" x14ac:dyDescent="0.2">
      <c r="D206" s="244"/>
    </row>
    <row r="207" spans="4:4" ht="15.75" customHeight="1" x14ac:dyDescent="0.2">
      <c r="D207" s="244"/>
    </row>
    <row r="208" spans="4:4" ht="15.75" customHeight="1" x14ac:dyDescent="0.2">
      <c r="D208" s="244"/>
    </row>
    <row r="209" spans="4:4" ht="15.75" customHeight="1" x14ac:dyDescent="0.2">
      <c r="D209" s="244"/>
    </row>
    <row r="210" spans="4:4" ht="15.75" customHeight="1" x14ac:dyDescent="0.2">
      <c r="D210" s="244"/>
    </row>
    <row r="211" spans="4:4" ht="15.75" customHeight="1" x14ac:dyDescent="0.2">
      <c r="D211" s="244"/>
    </row>
    <row r="212" spans="4:4" ht="15.75" customHeight="1" x14ac:dyDescent="0.2">
      <c r="D212" s="244"/>
    </row>
    <row r="213" spans="4:4" ht="15.75" customHeight="1" x14ac:dyDescent="0.2">
      <c r="D213" s="244"/>
    </row>
    <row r="214" spans="4:4" ht="15.75" customHeight="1" x14ac:dyDescent="0.2">
      <c r="D214" s="244"/>
    </row>
    <row r="215" spans="4:4" ht="15.75" customHeight="1" x14ac:dyDescent="0.2">
      <c r="D215" s="244"/>
    </row>
    <row r="216" spans="4:4" ht="15.75" customHeight="1" x14ac:dyDescent="0.2">
      <c r="D216" s="244"/>
    </row>
    <row r="217" spans="4:4" ht="15.75" customHeight="1" x14ac:dyDescent="0.2">
      <c r="D217" s="244"/>
    </row>
    <row r="218" spans="4:4" ht="15.75" customHeight="1" x14ac:dyDescent="0.2">
      <c r="D218" s="244"/>
    </row>
    <row r="219" spans="4:4" ht="15.75" customHeight="1" x14ac:dyDescent="0.2">
      <c r="D219" s="244"/>
    </row>
    <row r="220" spans="4:4" ht="15.75" customHeight="1" x14ac:dyDescent="0.2">
      <c r="D220" s="244"/>
    </row>
    <row r="221" spans="4:4" ht="15.75" customHeight="1" x14ac:dyDescent="0.2">
      <c r="D221" s="244"/>
    </row>
    <row r="222" spans="4:4" ht="15.75" customHeight="1" x14ac:dyDescent="0.2">
      <c r="D222" s="244"/>
    </row>
    <row r="223" spans="4:4" ht="15.75" customHeight="1" x14ac:dyDescent="0.2">
      <c r="D223" s="244"/>
    </row>
    <row r="224" spans="4:4" ht="15.75" customHeight="1" x14ac:dyDescent="0.2">
      <c r="D224" s="244"/>
    </row>
    <row r="225" spans="4:4" ht="15.75" customHeight="1" x14ac:dyDescent="0.2">
      <c r="D225" s="244"/>
    </row>
    <row r="226" spans="4:4" ht="15.75" customHeight="1" x14ac:dyDescent="0.2">
      <c r="D226" s="244"/>
    </row>
    <row r="227" spans="4:4" ht="15.75" customHeight="1" x14ac:dyDescent="0.2">
      <c r="D227" s="244"/>
    </row>
    <row r="228" spans="4:4" ht="15.75" customHeight="1" x14ac:dyDescent="0.2">
      <c r="D228" s="244"/>
    </row>
    <row r="229" spans="4:4" ht="15.75" customHeight="1" x14ac:dyDescent="0.2">
      <c r="D229" s="244"/>
    </row>
    <row r="230" spans="4:4" ht="15.75" customHeight="1" x14ac:dyDescent="0.2">
      <c r="D230" s="244"/>
    </row>
    <row r="231" spans="4:4" ht="15.75" customHeight="1" x14ac:dyDescent="0.2">
      <c r="D231" s="244"/>
    </row>
    <row r="232" spans="4:4" ht="15.75" customHeight="1" x14ac:dyDescent="0.2">
      <c r="D232" s="244"/>
    </row>
    <row r="233" spans="4:4" ht="15.75" customHeight="1" x14ac:dyDescent="0.2">
      <c r="D233" s="244"/>
    </row>
    <row r="234" spans="4:4" ht="15.75" customHeight="1" x14ac:dyDescent="0.2">
      <c r="D234" s="244"/>
    </row>
    <row r="235" spans="4:4" ht="15.75" customHeight="1" x14ac:dyDescent="0.2">
      <c r="D235" s="244"/>
    </row>
    <row r="236" spans="4:4" ht="15.75" customHeight="1" x14ac:dyDescent="0.2">
      <c r="D236" s="244"/>
    </row>
    <row r="237" spans="4:4" ht="15.75" customHeight="1" x14ac:dyDescent="0.2">
      <c r="D237" s="244"/>
    </row>
    <row r="238" spans="4:4" ht="15.75" customHeight="1" x14ac:dyDescent="0.2">
      <c r="D238" s="244"/>
    </row>
    <row r="239" spans="4:4" ht="15.75" customHeight="1" x14ac:dyDescent="0.2">
      <c r="D239" s="244"/>
    </row>
    <row r="240" spans="4:4" ht="15.75" customHeight="1" x14ac:dyDescent="0.2">
      <c r="D240" s="244"/>
    </row>
    <row r="241" spans="4:4" ht="15.75" customHeight="1" x14ac:dyDescent="0.2">
      <c r="D241" s="244"/>
    </row>
    <row r="242" spans="4:4" ht="15.75" customHeight="1" x14ac:dyDescent="0.2">
      <c r="D242" s="244"/>
    </row>
    <row r="243" spans="4:4" ht="15.75" customHeight="1" x14ac:dyDescent="0.2">
      <c r="D243" s="244"/>
    </row>
    <row r="244" spans="4:4" ht="15.75" customHeight="1" x14ac:dyDescent="0.2">
      <c r="D244" s="244"/>
    </row>
    <row r="245" spans="4:4" ht="15.75" customHeight="1" x14ac:dyDescent="0.2">
      <c r="D245" s="244"/>
    </row>
    <row r="246" spans="4:4" ht="15.75" customHeight="1" x14ac:dyDescent="0.2">
      <c r="D246" s="244"/>
    </row>
    <row r="247" spans="4:4" ht="15.75" customHeight="1" x14ac:dyDescent="0.2">
      <c r="D247" s="244"/>
    </row>
    <row r="248" spans="4:4" ht="15.75" customHeight="1" x14ac:dyDescent="0.2">
      <c r="D248" s="244"/>
    </row>
    <row r="249" spans="4:4" ht="15.75" customHeight="1" x14ac:dyDescent="0.2">
      <c r="D249" s="244"/>
    </row>
    <row r="250" spans="4:4" ht="15.75" customHeight="1" x14ac:dyDescent="0.2">
      <c r="D250" s="244"/>
    </row>
    <row r="251" spans="4:4" ht="15.75" customHeight="1" x14ac:dyDescent="0.2">
      <c r="D251" s="244"/>
    </row>
    <row r="252" spans="4:4" ht="15.75" customHeight="1" x14ac:dyDescent="0.2">
      <c r="D252" s="244"/>
    </row>
    <row r="253" spans="4:4" ht="15.75" customHeight="1" x14ac:dyDescent="0.2">
      <c r="D253" s="244"/>
    </row>
    <row r="254" spans="4:4" ht="15.75" customHeight="1" x14ac:dyDescent="0.2">
      <c r="D254" s="244"/>
    </row>
    <row r="255" spans="4:4" ht="15.75" customHeight="1" x14ac:dyDescent="0.2">
      <c r="D255" s="244"/>
    </row>
    <row r="256" spans="4:4" ht="15.75" customHeight="1" x14ac:dyDescent="0.2">
      <c r="D256" s="244"/>
    </row>
    <row r="257" spans="4:4" ht="15.75" customHeight="1" x14ac:dyDescent="0.2">
      <c r="D257" s="244"/>
    </row>
    <row r="258" spans="4:4" ht="15.75" customHeight="1" x14ac:dyDescent="0.2">
      <c r="D258" s="244"/>
    </row>
    <row r="259" spans="4:4" ht="15.75" customHeight="1" x14ac:dyDescent="0.2">
      <c r="D259" s="244"/>
    </row>
    <row r="260" spans="4:4" ht="15.75" customHeight="1" x14ac:dyDescent="0.2">
      <c r="D260" s="244"/>
    </row>
    <row r="261" spans="4:4" ht="15.75" customHeight="1" x14ac:dyDescent="0.2">
      <c r="D261" s="244"/>
    </row>
    <row r="262" spans="4:4" ht="15.75" customHeight="1" x14ac:dyDescent="0.2">
      <c r="D262" s="244"/>
    </row>
    <row r="263" spans="4:4" ht="15.75" customHeight="1" x14ac:dyDescent="0.2">
      <c r="D263" s="244"/>
    </row>
    <row r="264" spans="4:4" ht="15.75" customHeight="1" x14ac:dyDescent="0.2">
      <c r="D264" s="244"/>
    </row>
    <row r="265" spans="4:4" ht="15.75" customHeight="1" x14ac:dyDescent="0.2">
      <c r="D265" s="244"/>
    </row>
    <row r="266" spans="4:4" ht="15.75" customHeight="1" x14ac:dyDescent="0.2">
      <c r="D266" s="244"/>
    </row>
    <row r="267" spans="4:4" ht="15.75" customHeight="1" x14ac:dyDescent="0.2">
      <c r="D267" s="244"/>
    </row>
    <row r="268" spans="4:4" ht="15.75" customHeight="1" x14ac:dyDescent="0.2">
      <c r="D268" s="244"/>
    </row>
    <row r="269" spans="4:4" ht="15.75" customHeight="1" x14ac:dyDescent="0.2">
      <c r="D269" s="244"/>
    </row>
    <row r="270" spans="4:4" ht="15.75" customHeight="1" x14ac:dyDescent="0.2">
      <c r="D270" s="244"/>
    </row>
    <row r="271" spans="4:4" ht="15.75" customHeight="1" x14ac:dyDescent="0.2">
      <c r="D271" s="244"/>
    </row>
    <row r="272" spans="4:4" ht="15.75" customHeight="1" x14ac:dyDescent="0.2">
      <c r="D272" s="244"/>
    </row>
    <row r="273" spans="4:4" ht="15.75" customHeight="1" x14ac:dyDescent="0.2">
      <c r="D273" s="244"/>
    </row>
    <row r="274" spans="4:4" ht="15.75" customHeight="1" x14ac:dyDescent="0.2">
      <c r="D274" s="244"/>
    </row>
    <row r="275" spans="4:4" ht="15.75" customHeight="1" x14ac:dyDescent="0.2">
      <c r="D275" s="244"/>
    </row>
    <row r="276" spans="4:4" ht="15.75" customHeight="1" x14ac:dyDescent="0.2">
      <c r="D276" s="244"/>
    </row>
    <row r="277" spans="4:4" ht="15.75" customHeight="1" x14ac:dyDescent="0.2">
      <c r="D277" s="244"/>
    </row>
    <row r="278" spans="4:4" ht="15.75" customHeight="1" x14ac:dyDescent="0.2">
      <c r="D278" s="244"/>
    </row>
    <row r="279" spans="4:4" ht="15.75" customHeight="1" x14ac:dyDescent="0.2">
      <c r="D279" s="244"/>
    </row>
    <row r="280" spans="4:4" ht="15.75" customHeight="1" x14ac:dyDescent="0.2">
      <c r="D280" s="244"/>
    </row>
    <row r="281" spans="4:4" ht="15.75" customHeight="1" x14ac:dyDescent="0.2">
      <c r="D281" s="244"/>
    </row>
    <row r="282" spans="4:4" ht="15.75" customHeight="1" x14ac:dyDescent="0.2">
      <c r="D282" s="244"/>
    </row>
    <row r="283" spans="4:4" ht="15.75" customHeight="1" x14ac:dyDescent="0.2">
      <c r="D283" s="244"/>
    </row>
    <row r="284" spans="4:4" ht="15.75" customHeight="1" x14ac:dyDescent="0.2">
      <c r="D284" s="244"/>
    </row>
    <row r="285" spans="4:4" ht="15.75" customHeight="1" x14ac:dyDescent="0.2">
      <c r="D285" s="244"/>
    </row>
    <row r="286" spans="4:4" ht="15.75" customHeight="1" x14ac:dyDescent="0.2">
      <c r="D286" s="244"/>
    </row>
    <row r="287" spans="4:4" ht="15.75" customHeight="1" x14ac:dyDescent="0.2">
      <c r="D287" s="244"/>
    </row>
    <row r="288" spans="4:4" ht="15.75" customHeight="1" x14ac:dyDescent="0.2">
      <c r="D288" s="244"/>
    </row>
    <row r="289" spans="4:4" ht="15.75" customHeight="1" x14ac:dyDescent="0.2">
      <c r="D289" s="244"/>
    </row>
    <row r="290" spans="4:4" ht="15.75" customHeight="1" x14ac:dyDescent="0.2">
      <c r="D290" s="244"/>
    </row>
    <row r="291" spans="4:4" ht="15.75" customHeight="1" x14ac:dyDescent="0.2">
      <c r="D291" s="244"/>
    </row>
    <row r="292" spans="4:4" ht="15.75" customHeight="1" x14ac:dyDescent="0.2">
      <c r="D292" s="244"/>
    </row>
    <row r="293" spans="4:4" ht="15.75" customHeight="1" x14ac:dyDescent="0.2">
      <c r="D293" s="244"/>
    </row>
    <row r="294" spans="4:4" ht="15.75" customHeight="1" x14ac:dyDescent="0.2">
      <c r="D294" s="244"/>
    </row>
    <row r="295" spans="4:4" ht="15.75" customHeight="1" x14ac:dyDescent="0.2">
      <c r="D295" s="244"/>
    </row>
    <row r="296" spans="4:4" ht="15.75" customHeight="1" x14ac:dyDescent="0.2">
      <c r="D296" s="244"/>
    </row>
    <row r="297" spans="4:4" ht="15.75" customHeight="1" x14ac:dyDescent="0.2">
      <c r="D297" s="244"/>
    </row>
    <row r="298" spans="4:4" ht="15.75" customHeight="1" x14ac:dyDescent="0.2">
      <c r="D298" s="244"/>
    </row>
    <row r="299" spans="4:4" ht="15.75" customHeight="1" x14ac:dyDescent="0.2">
      <c r="D299" s="244"/>
    </row>
    <row r="300" spans="4:4" ht="15.75" customHeight="1" x14ac:dyDescent="0.2">
      <c r="D300" s="244"/>
    </row>
    <row r="301" spans="4:4" ht="15.75" customHeight="1" x14ac:dyDescent="0.2">
      <c r="D301" s="244"/>
    </row>
    <row r="302" spans="4:4" ht="15.75" customHeight="1" x14ac:dyDescent="0.2">
      <c r="D302" s="244"/>
    </row>
    <row r="303" spans="4:4" ht="15.75" customHeight="1" x14ac:dyDescent="0.2">
      <c r="D303" s="244"/>
    </row>
    <row r="304" spans="4:4" ht="15.75" customHeight="1" x14ac:dyDescent="0.2">
      <c r="D304" s="244"/>
    </row>
    <row r="305" spans="4:4" ht="15.75" customHeight="1" x14ac:dyDescent="0.2">
      <c r="D305" s="244"/>
    </row>
    <row r="306" spans="4:4" ht="15.75" customHeight="1" x14ac:dyDescent="0.2">
      <c r="D306" s="244"/>
    </row>
    <row r="307" spans="4:4" ht="15.75" customHeight="1" x14ac:dyDescent="0.2">
      <c r="D307" s="244"/>
    </row>
    <row r="308" spans="4:4" ht="15.75" customHeight="1" x14ac:dyDescent="0.2">
      <c r="D308" s="244"/>
    </row>
    <row r="309" spans="4:4" ht="15.75" customHeight="1" x14ac:dyDescent="0.2">
      <c r="D309" s="244"/>
    </row>
    <row r="310" spans="4:4" ht="15.75" customHeight="1" x14ac:dyDescent="0.2">
      <c r="D310" s="244"/>
    </row>
    <row r="311" spans="4:4" ht="15.75" customHeight="1" x14ac:dyDescent="0.2">
      <c r="D311" s="244"/>
    </row>
    <row r="312" spans="4:4" ht="15.75" customHeight="1" x14ac:dyDescent="0.2">
      <c r="D312" s="244"/>
    </row>
    <row r="313" spans="4:4" ht="15.75" customHeight="1" x14ac:dyDescent="0.2">
      <c r="D313" s="244"/>
    </row>
    <row r="314" spans="4:4" ht="15.75" customHeight="1" x14ac:dyDescent="0.2">
      <c r="D314" s="244"/>
    </row>
    <row r="315" spans="4:4" ht="15.75" customHeight="1" x14ac:dyDescent="0.2">
      <c r="D315" s="244"/>
    </row>
    <row r="316" spans="4:4" ht="15.75" customHeight="1" x14ac:dyDescent="0.2">
      <c r="D316" s="244"/>
    </row>
    <row r="317" spans="4:4" ht="15.75" customHeight="1" x14ac:dyDescent="0.2">
      <c r="D317" s="244"/>
    </row>
    <row r="318" spans="4:4" ht="15.75" customHeight="1" x14ac:dyDescent="0.2">
      <c r="D318" s="244"/>
    </row>
    <row r="319" spans="4:4" ht="15.75" customHeight="1" x14ac:dyDescent="0.2">
      <c r="D319" s="244"/>
    </row>
    <row r="320" spans="4:4" ht="15.75" customHeight="1" x14ac:dyDescent="0.2">
      <c r="D320" s="244"/>
    </row>
    <row r="321" spans="4:4" ht="15.75" customHeight="1" x14ac:dyDescent="0.2">
      <c r="D321" s="244"/>
    </row>
    <row r="322" spans="4:4" ht="15.75" customHeight="1" x14ac:dyDescent="0.2">
      <c r="D322" s="244"/>
    </row>
    <row r="323" spans="4:4" ht="15.75" customHeight="1" x14ac:dyDescent="0.2">
      <c r="D323" s="244"/>
    </row>
    <row r="324" spans="4:4" ht="15.75" customHeight="1" x14ac:dyDescent="0.2">
      <c r="D324" s="244"/>
    </row>
    <row r="325" spans="4:4" ht="15.75" customHeight="1" x14ac:dyDescent="0.2">
      <c r="D325" s="244"/>
    </row>
    <row r="326" spans="4:4" ht="15.75" customHeight="1" x14ac:dyDescent="0.2">
      <c r="D326" s="244"/>
    </row>
    <row r="327" spans="4:4" ht="15.75" customHeight="1" x14ac:dyDescent="0.2">
      <c r="D327" s="244"/>
    </row>
    <row r="328" spans="4:4" ht="15.75" customHeight="1" x14ac:dyDescent="0.2">
      <c r="D328" s="244"/>
    </row>
    <row r="329" spans="4:4" ht="15.75" customHeight="1" x14ac:dyDescent="0.2">
      <c r="D329" s="244"/>
    </row>
    <row r="330" spans="4:4" ht="15.75" customHeight="1" x14ac:dyDescent="0.2">
      <c r="D330" s="244"/>
    </row>
    <row r="331" spans="4:4" ht="15.75" customHeight="1" x14ac:dyDescent="0.2">
      <c r="D331" s="244"/>
    </row>
    <row r="332" spans="4:4" ht="15.75" customHeight="1" x14ac:dyDescent="0.2">
      <c r="D332" s="244"/>
    </row>
    <row r="333" spans="4:4" ht="15.75" customHeight="1" x14ac:dyDescent="0.2">
      <c r="D333" s="244"/>
    </row>
    <row r="334" spans="4:4" ht="15.75" customHeight="1" x14ac:dyDescent="0.2">
      <c r="D334" s="244"/>
    </row>
    <row r="335" spans="4:4" ht="15.75" customHeight="1" x14ac:dyDescent="0.2">
      <c r="D335" s="244"/>
    </row>
    <row r="336" spans="4:4" ht="15.75" customHeight="1" x14ac:dyDescent="0.2">
      <c r="D336" s="244"/>
    </row>
    <row r="337" spans="4:4" ht="15.75" customHeight="1" x14ac:dyDescent="0.2">
      <c r="D337" s="244"/>
    </row>
    <row r="338" spans="4:4" ht="15.75" customHeight="1" x14ac:dyDescent="0.2">
      <c r="D338" s="244"/>
    </row>
    <row r="339" spans="4:4" ht="15.75" customHeight="1" x14ac:dyDescent="0.2">
      <c r="D339" s="244"/>
    </row>
    <row r="340" spans="4:4" ht="15.75" customHeight="1" x14ac:dyDescent="0.2">
      <c r="D340" s="244"/>
    </row>
    <row r="341" spans="4:4" ht="15.75" customHeight="1" x14ac:dyDescent="0.2">
      <c r="D341" s="244"/>
    </row>
    <row r="342" spans="4:4" ht="15.75" customHeight="1" x14ac:dyDescent="0.2">
      <c r="D342" s="244"/>
    </row>
    <row r="343" spans="4:4" ht="15.75" customHeight="1" x14ac:dyDescent="0.2">
      <c r="D343" s="244"/>
    </row>
    <row r="344" spans="4:4" ht="15.75" customHeight="1" x14ac:dyDescent="0.2">
      <c r="D344" s="244"/>
    </row>
    <row r="345" spans="4:4" ht="15.75" customHeight="1" x14ac:dyDescent="0.2">
      <c r="D345" s="244"/>
    </row>
    <row r="346" spans="4:4" ht="15.75" customHeight="1" x14ac:dyDescent="0.2">
      <c r="D346" s="244"/>
    </row>
    <row r="347" spans="4:4" ht="15.75" customHeight="1" x14ac:dyDescent="0.2">
      <c r="D347" s="244"/>
    </row>
    <row r="348" spans="4:4" ht="15.75" customHeight="1" x14ac:dyDescent="0.2">
      <c r="D348" s="244"/>
    </row>
    <row r="349" spans="4:4" ht="15.75" customHeight="1" x14ac:dyDescent="0.2">
      <c r="D349" s="244"/>
    </row>
    <row r="350" spans="4:4" ht="15.75" customHeight="1" x14ac:dyDescent="0.2">
      <c r="D350" s="244"/>
    </row>
    <row r="351" spans="4:4" ht="15.75" customHeight="1" x14ac:dyDescent="0.2">
      <c r="D351" s="244"/>
    </row>
    <row r="352" spans="4:4" ht="15.75" customHeight="1" x14ac:dyDescent="0.2">
      <c r="D352" s="244"/>
    </row>
    <row r="353" spans="4:4" ht="15.75" customHeight="1" x14ac:dyDescent="0.2">
      <c r="D353" s="244"/>
    </row>
    <row r="354" spans="4:4" ht="15.75" customHeight="1" x14ac:dyDescent="0.2">
      <c r="D354" s="244"/>
    </row>
    <row r="355" spans="4:4" ht="15.75" customHeight="1" x14ac:dyDescent="0.2">
      <c r="D355" s="244"/>
    </row>
    <row r="356" spans="4:4" ht="15.75" customHeight="1" x14ac:dyDescent="0.2">
      <c r="D356" s="244"/>
    </row>
    <row r="357" spans="4:4" ht="15.75" customHeight="1" x14ac:dyDescent="0.2">
      <c r="D357" s="244"/>
    </row>
    <row r="358" spans="4:4" ht="15.75" customHeight="1" x14ac:dyDescent="0.2">
      <c r="D358" s="244"/>
    </row>
    <row r="359" spans="4:4" ht="15.75" customHeight="1" x14ac:dyDescent="0.2">
      <c r="D359" s="244"/>
    </row>
    <row r="360" spans="4:4" ht="15.75" customHeight="1" x14ac:dyDescent="0.2">
      <c r="D360" s="244"/>
    </row>
    <row r="361" spans="4:4" ht="15.75" customHeight="1" x14ac:dyDescent="0.2">
      <c r="D361" s="244"/>
    </row>
    <row r="362" spans="4:4" ht="15.75" customHeight="1" x14ac:dyDescent="0.2">
      <c r="D362" s="244"/>
    </row>
    <row r="363" spans="4:4" ht="15.75" customHeight="1" x14ac:dyDescent="0.2">
      <c r="D363" s="244"/>
    </row>
    <row r="364" spans="4:4" ht="15.75" customHeight="1" x14ac:dyDescent="0.2">
      <c r="D364" s="244"/>
    </row>
    <row r="365" spans="4:4" ht="15.75" customHeight="1" x14ac:dyDescent="0.2">
      <c r="D365" s="244"/>
    </row>
    <row r="366" spans="4:4" ht="15.75" customHeight="1" x14ac:dyDescent="0.2">
      <c r="D366" s="244"/>
    </row>
    <row r="367" spans="4:4" ht="15.75" customHeight="1" x14ac:dyDescent="0.2">
      <c r="D367" s="244"/>
    </row>
    <row r="368" spans="4:4" ht="15.75" customHeight="1" x14ac:dyDescent="0.2">
      <c r="D368" s="244"/>
    </row>
    <row r="369" spans="4:4" ht="15.75" customHeight="1" x14ac:dyDescent="0.2">
      <c r="D369" s="244"/>
    </row>
    <row r="370" spans="4:4" ht="15.75" customHeight="1" x14ac:dyDescent="0.2">
      <c r="D370" s="244"/>
    </row>
    <row r="371" spans="4:4" ht="15.75" customHeight="1" x14ac:dyDescent="0.2">
      <c r="D371" s="244"/>
    </row>
    <row r="372" spans="4:4" ht="15.75" customHeight="1" x14ac:dyDescent="0.2">
      <c r="D372" s="244"/>
    </row>
    <row r="373" spans="4:4" ht="15.75" customHeight="1" x14ac:dyDescent="0.2">
      <c r="D373" s="244"/>
    </row>
    <row r="374" spans="4:4" ht="15.75" customHeight="1" x14ac:dyDescent="0.2">
      <c r="D374" s="244"/>
    </row>
    <row r="375" spans="4:4" ht="15.75" customHeight="1" x14ac:dyDescent="0.2">
      <c r="D375" s="244"/>
    </row>
    <row r="376" spans="4:4" ht="15.75" customHeight="1" x14ac:dyDescent="0.2">
      <c r="D376" s="244"/>
    </row>
    <row r="377" spans="4:4" ht="15.75" customHeight="1" x14ac:dyDescent="0.2">
      <c r="D377" s="244"/>
    </row>
    <row r="378" spans="4:4" ht="15.75" customHeight="1" x14ac:dyDescent="0.2">
      <c r="D378" s="244"/>
    </row>
    <row r="379" spans="4:4" ht="15.75" customHeight="1" x14ac:dyDescent="0.2">
      <c r="D379" s="244"/>
    </row>
    <row r="380" spans="4:4" ht="15.75" customHeight="1" x14ac:dyDescent="0.2">
      <c r="D380" s="244"/>
    </row>
    <row r="381" spans="4:4" ht="15.75" customHeight="1" x14ac:dyDescent="0.2">
      <c r="D381" s="244"/>
    </row>
    <row r="382" spans="4:4" ht="15.75" customHeight="1" x14ac:dyDescent="0.2">
      <c r="D382" s="244"/>
    </row>
    <row r="383" spans="4:4" ht="15.75" customHeight="1" x14ac:dyDescent="0.2">
      <c r="D383" s="244"/>
    </row>
    <row r="384" spans="4:4" ht="15.75" customHeight="1" x14ac:dyDescent="0.2">
      <c r="D384" s="244"/>
    </row>
    <row r="385" spans="4:4" ht="15.75" customHeight="1" x14ac:dyDescent="0.2">
      <c r="D385" s="244"/>
    </row>
    <row r="386" spans="4:4" ht="15.75" customHeight="1" x14ac:dyDescent="0.2">
      <c r="D386" s="244"/>
    </row>
    <row r="387" spans="4:4" ht="15.75" customHeight="1" x14ac:dyDescent="0.2">
      <c r="D387" s="244"/>
    </row>
    <row r="388" spans="4:4" ht="15.75" customHeight="1" x14ac:dyDescent="0.2">
      <c r="D388" s="244"/>
    </row>
    <row r="389" spans="4:4" ht="15.75" customHeight="1" x14ac:dyDescent="0.2">
      <c r="D389" s="244"/>
    </row>
    <row r="390" spans="4:4" ht="15.75" customHeight="1" x14ac:dyDescent="0.2">
      <c r="D390" s="244"/>
    </row>
    <row r="391" spans="4:4" ht="15.75" customHeight="1" x14ac:dyDescent="0.2">
      <c r="D391" s="244"/>
    </row>
    <row r="392" spans="4:4" ht="15.75" customHeight="1" x14ac:dyDescent="0.2">
      <c r="D392" s="244"/>
    </row>
    <row r="393" spans="4:4" ht="15.75" customHeight="1" x14ac:dyDescent="0.2">
      <c r="D393" s="244"/>
    </row>
    <row r="394" spans="4:4" ht="15.75" customHeight="1" x14ac:dyDescent="0.2">
      <c r="D394" s="244"/>
    </row>
    <row r="395" spans="4:4" ht="15.75" customHeight="1" x14ac:dyDescent="0.2">
      <c r="D395" s="244"/>
    </row>
    <row r="396" spans="4:4" ht="15.75" customHeight="1" x14ac:dyDescent="0.2">
      <c r="D396" s="244"/>
    </row>
    <row r="397" spans="4:4" ht="15.75" customHeight="1" x14ac:dyDescent="0.2">
      <c r="D397" s="244"/>
    </row>
    <row r="398" spans="4:4" ht="15.75" customHeight="1" x14ac:dyDescent="0.2">
      <c r="D398" s="244"/>
    </row>
    <row r="399" spans="4:4" ht="15.75" customHeight="1" x14ac:dyDescent="0.2">
      <c r="D399" s="244"/>
    </row>
    <row r="400" spans="4:4" ht="15.75" customHeight="1" x14ac:dyDescent="0.2">
      <c r="D400" s="244"/>
    </row>
    <row r="401" spans="4:4" ht="15.75" customHeight="1" x14ac:dyDescent="0.2">
      <c r="D401" s="244"/>
    </row>
    <row r="402" spans="4:4" ht="15.75" customHeight="1" x14ac:dyDescent="0.2">
      <c r="D402" s="244"/>
    </row>
    <row r="403" spans="4:4" ht="15.75" customHeight="1" x14ac:dyDescent="0.2">
      <c r="D403" s="244"/>
    </row>
    <row r="404" spans="4:4" ht="15.75" customHeight="1" x14ac:dyDescent="0.2">
      <c r="D404" s="244"/>
    </row>
    <row r="405" spans="4:4" ht="15.75" customHeight="1" x14ac:dyDescent="0.2">
      <c r="D405" s="244"/>
    </row>
    <row r="406" spans="4:4" ht="15.75" customHeight="1" x14ac:dyDescent="0.2">
      <c r="D406" s="244"/>
    </row>
    <row r="407" spans="4:4" ht="15.75" customHeight="1" x14ac:dyDescent="0.2">
      <c r="D407" s="244"/>
    </row>
    <row r="408" spans="4:4" ht="15.75" customHeight="1" x14ac:dyDescent="0.2">
      <c r="D408" s="244"/>
    </row>
    <row r="409" spans="4:4" ht="15.75" customHeight="1" x14ac:dyDescent="0.2">
      <c r="D409" s="244"/>
    </row>
    <row r="410" spans="4:4" ht="15.75" customHeight="1" x14ac:dyDescent="0.2">
      <c r="D410" s="244"/>
    </row>
    <row r="411" spans="4:4" ht="15.75" customHeight="1" x14ac:dyDescent="0.2">
      <c r="D411" s="244"/>
    </row>
    <row r="412" spans="4:4" ht="15.75" customHeight="1" x14ac:dyDescent="0.2">
      <c r="D412" s="244"/>
    </row>
    <row r="413" spans="4:4" ht="15.75" customHeight="1" x14ac:dyDescent="0.2">
      <c r="D413" s="244"/>
    </row>
    <row r="414" spans="4:4" ht="15.75" customHeight="1" x14ac:dyDescent="0.2">
      <c r="D414" s="244"/>
    </row>
    <row r="415" spans="4:4" ht="15.75" customHeight="1" x14ac:dyDescent="0.2">
      <c r="D415" s="244"/>
    </row>
    <row r="416" spans="4:4" ht="15.75" customHeight="1" x14ac:dyDescent="0.2">
      <c r="D416" s="244"/>
    </row>
    <row r="417" spans="4:4" ht="15.75" customHeight="1" x14ac:dyDescent="0.2">
      <c r="D417" s="244"/>
    </row>
    <row r="418" spans="4:4" ht="15.75" customHeight="1" x14ac:dyDescent="0.2">
      <c r="D418" s="244"/>
    </row>
    <row r="419" spans="4:4" ht="15.75" customHeight="1" x14ac:dyDescent="0.2">
      <c r="D419" s="244"/>
    </row>
    <row r="420" spans="4:4" ht="15.75" customHeight="1" x14ac:dyDescent="0.2">
      <c r="D420" s="244"/>
    </row>
    <row r="421" spans="4:4" ht="15.75" customHeight="1" x14ac:dyDescent="0.2">
      <c r="D421" s="244"/>
    </row>
    <row r="422" spans="4:4" ht="15.75" customHeight="1" x14ac:dyDescent="0.2">
      <c r="D422" s="244"/>
    </row>
    <row r="423" spans="4:4" ht="15.75" customHeight="1" x14ac:dyDescent="0.2">
      <c r="D423" s="244"/>
    </row>
    <row r="424" spans="4:4" ht="15.75" customHeight="1" x14ac:dyDescent="0.2">
      <c r="D424" s="244"/>
    </row>
    <row r="425" spans="4:4" ht="15.75" customHeight="1" x14ac:dyDescent="0.2">
      <c r="D425" s="244"/>
    </row>
    <row r="426" spans="4:4" ht="15.75" customHeight="1" x14ac:dyDescent="0.2">
      <c r="D426" s="244"/>
    </row>
    <row r="427" spans="4:4" ht="15.75" customHeight="1" x14ac:dyDescent="0.2">
      <c r="D427" s="244"/>
    </row>
    <row r="428" spans="4:4" ht="15.75" customHeight="1" x14ac:dyDescent="0.2">
      <c r="D428" s="244"/>
    </row>
    <row r="429" spans="4:4" ht="15.75" customHeight="1" x14ac:dyDescent="0.2">
      <c r="D429" s="244"/>
    </row>
    <row r="430" spans="4:4" ht="15.75" customHeight="1" x14ac:dyDescent="0.2">
      <c r="D430" s="244"/>
    </row>
    <row r="431" spans="4:4" ht="15.75" customHeight="1" x14ac:dyDescent="0.2">
      <c r="D431" s="244"/>
    </row>
    <row r="432" spans="4:4" ht="15.75" customHeight="1" x14ac:dyDescent="0.2">
      <c r="D432" s="244"/>
    </row>
    <row r="433" spans="4:4" ht="15.75" customHeight="1" x14ac:dyDescent="0.2">
      <c r="D433" s="244"/>
    </row>
    <row r="434" spans="4:4" ht="15.75" customHeight="1" x14ac:dyDescent="0.2">
      <c r="D434" s="244"/>
    </row>
    <row r="435" spans="4:4" ht="15.75" customHeight="1" x14ac:dyDescent="0.2">
      <c r="D435" s="244"/>
    </row>
    <row r="436" spans="4:4" ht="15.75" customHeight="1" x14ac:dyDescent="0.2">
      <c r="D436" s="244"/>
    </row>
    <row r="437" spans="4:4" ht="15.75" customHeight="1" x14ac:dyDescent="0.2">
      <c r="D437" s="244"/>
    </row>
    <row r="438" spans="4:4" ht="15.75" customHeight="1" x14ac:dyDescent="0.2">
      <c r="D438" s="244"/>
    </row>
    <row r="439" spans="4:4" ht="15.75" customHeight="1" x14ac:dyDescent="0.2">
      <c r="D439" s="244"/>
    </row>
    <row r="440" spans="4:4" ht="15.75" customHeight="1" x14ac:dyDescent="0.2">
      <c r="D440" s="244"/>
    </row>
    <row r="441" spans="4:4" ht="15.75" customHeight="1" x14ac:dyDescent="0.2">
      <c r="D441" s="244"/>
    </row>
    <row r="442" spans="4:4" ht="15.75" customHeight="1" x14ac:dyDescent="0.2">
      <c r="D442" s="244"/>
    </row>
    <row r="443" spans="4:4" ht="15.75" customHeight="1" x14ac:dyDescent="0.2">
      <c r="D443" s="244"/>
    </row>
    <row r="444" spans="4:4" ht="15.75" customHeight="1" x14ac:dyDescent="0.2">
      <c r="D444" s="244"/>
    </row>
    <row r="445" spans="4:4" ht="15.75" customHeight="1" x14ac:dyDescent="0.2">
      <c r="D445" s="244"/>
    </row>
    <row r="446" spans="4:4" ht="15.75" customHeight="1" x14ac:dyDescent="0.2">
      <c r="D446" s="244"/>
    </row>
    <row r="447" spans="4:4" ht="15.75" customHeight="1" x14ac:dyDescent="0.2">
      <c r="D447" s="244"/>
    </row>
    <row r="448" spans="4:4" ht="15.75" customHeight="1" x14ac:dyDescent="0.2">
      <c r="D448" s="244"/>
    </row>
    <row r="449" spans="4:4" ht="15.75" customHeight="1" x14ac:dyDescent="0.2">
      <c r="D449" s="244"/>
    </row>
    <row r="450" spans="4:4" ht="15.75" customHeight="1" x14ac:dyDescent="0.2">
      <c r="D450" s="244"/>
    </row>
    <row r="451" spans="4:4" ht="15.75" customHeight="1" x14ac:dyDescent="0.2">
      <c r="D451" s="244"/>
    </row>
    <row r="452" spans="4:4" ht="15.75" customHeight="1" x14ac:dyDescent="0.2">
      <c r="D452" s="244"/>
    </row>
    <row r="453" spans="4:4" ht="15.75" customHeight="1" x14ac:dyDescent="0.2">
      <c r="D453" s="244"/>
    </row>
    <row r="454" spans="4:4" ht="15.75" customHeight="1" x14ac:dyDescent="0.2">
      <c r="D454" s="244"/>
    </row>
    <row r="455" spans="4:4" ht="15.75" customHeight="1" x14ac:dyDescent="0.2">
      <c r="D455" s="244"/>
    </row>
    <row r="456" spans="4:4" ht="15.75" customHeight="1" x14ac:dyDescent="0.2">
      <c r="D456" s="244"/>
    </row>
    <row r="457" spans="4:4" ht="15.75" customHeight="1" x14ac:dyDescent="0.2">
      <c r="D457" s="244"/>
    </row>
    <row r="458" spans="4:4" ht="15.75" customHeight="1" x14ac:dyDescent="0.2">
      <c r="D458" s="244"/>
    </row>
    <row r="459" spans="4:4" ht="15.75" customHeight="1" x14ac:dyDescent="0.2">
      <c r="D459" s="244"/>
    </row>
    <row r="460" spans="4:4" ht="15.75" customHeight="1" x14ac:dyDescent="0.2">
      <c r="D460" s="244"/>
    </row>
    <row r="461" spans="4:4" ht="15.75" customHeight="1" x14ac:dyDescent="0.2">
      <c r="D461" s="244"/>
    </row>
    <row r="462" spans="4:4" ht="15.75" customHeight="1" x14ac:dyDescent="0.2">
      <c r="D462" s="244"/>
    </row>
    <row r="463" spans="4:4" ht="15.75" customHeight="1" x14ac:dyDescent="0.2">
      <c r="D463" s="244"/>
    </row>
    <row r="464" spans="4:4" ht="15.75" customHeight="1" x14ac:dyDescent="0.2">
      <c r="D464" s="244"/>
    </row>
    <row r="465" spans="4:4" ht="15.75" customHeight="1" x14ac:dyDescent="0.2">
      <c r="D465" s="244"/>
    </row>
    <row r="466" spans="4:4" ht="15.75" customHeight="1" x14ac:dyDescent="0.2">
      <c r="D466" s="244"/>
    </row>
    <row r="467" spans="4:4" ht="15.75" customHeight="1" x14ac:dyDescent="0.2">
      <c r="D467" s="244"/>
    </row>
    <row r="468" spans="4:4" ht="15.75" customHeight="1" x14ac:dyDescent="0.2">
      <c r="D468" s="244"/>
    </row>
    <row r="469" spans="4:4" ht="15.75" customHeight="1" x14ac:dyDescent="0.2">
      <c r="D469" s="244"/>
    </row>
    <row r="470" spans="4:4" ht="15.75" customHeight="1" x14ac:dyDescent="0.2">
      <c r="D470" s="244"/>
    </row>
    <row r="471" spans="4:4" ht="15.75" customHeight="1" x14ac:dyDescent="0.2">
      <c r="D471" s="244"/>
    </row>
    <row r="472" spans="4:4" ht="15.75" customHeight="1" x14ac:dyDescent="0.2">
      <c r="D472" s="244"/>
    </row>
    <row r="473" spans="4:4" ht="15.75" customHeight="1" x14ac:dyDescent="0.2">
      <c r="D473" s="244"/>
    </row>
    <row r="474" spans="4:4" ht="15.75" customHeight="1" x14ac:dyDescent="0.2">
      <c r="D474" s="244"/>
    </row>
    <row r="475" spans="4:4" ht="15.75" customHeight="1" x14ac:dyDescent="0.2">
      <c r="D475" s="244"/>
    </row>
    <row r="476" spans="4:4" ht="15.75" customHeight="1" x14ac:dyDescent="0.2">
      <c r="D476" s="244"/>
    </row>
    <row r="477" spans="4:4" ht="15.75" customHeight="1" x14ac:dyDescent="0.2">
      <c r="D477" s="244"/>
    </row>
    <row r="478" spans="4:4" ht="15.75" customHeight="1" x14ac:dyDescent="0.2">
      <c r="D478" s="244"/>
    </row>
    <row r="479" spans="4:4" ht="15.75" customHeight="1" x14ac:dyDescent="0.2">
      <c r="D479" s="244"/>
    </row>
    <row r="480" spans="4:4" ht="15.75" customHeight="1" x14ac:dyDescent="0.2">
      <c r="D480" s="244"/>
    </row>
    <row r="481" spans="4:4" ht="15.75" customHeight="1" x14ac:dyDescent="0.2">
      <c r="D481" s="244"/>
    </row>
    <row r="482" spans="4:4" ht="15.75" customHeight="1" x14ac:dyDescent="0.2">
      <c r="D482" s="244"/>
    </row>
    <row r="483" spans="4:4" ht="15.75" customHeight="1" x14ac:dyDescent="0.2">
      <c r="D483" s="244"/>
    </row>
    <row r="484" spans="4:4" ht="15.75" customHeight="1" x14ac:dyDescent="0.2">
      <c r="D484" s="244"/>
    </row>
    <row r="485" spans="4:4" ht="15.75" customHeight="1" x14ac:dyDescent="0.2">
      <c r="D485" s="244"/>
    </row>
    <row r="486" spans="4:4" ht="15.75" customHeight="1" x14ac:dyDescent="0.2">
      <c r="D486" s="244"/>
    </row>
    <row r="487" spans="4:4" ht="15.75" customHeight="1" x14ac:dyDescent="0.2">
      <c r="D487" s="244"/>
    </row>
    <row r="488" spans="4:4" ht="15.75" customHeight="1" x14ac:dyDescent="0.2">
      <c r="D488" s="244"/>
    </row>
    <row r="489" spans="4:4" ht="15.75" customHeight="1" x14ac:dyDescent="0.2">
      <c r="D489" s="244"/>
    </row>
    <row r="490" spans="4:4" ht="15.75" customHeight="1" x14ac:dyDescent="0.2">
      <c r="D490" s="244"/>
    </row>
    <row r="491" spans="4:4" ht="15.75" customHeight="1" x14ac:dyDescent="0.2">
      <c r="D491" s="244"/>
    </row>
    <row r="492" spans="4:4" ht="15.75" customHeight="1" x14ac:dyDescent="0.2">
      <c r="D492" s="244"/>
    </row>
    <row r="493" spans="4:4" ht="15.75" customHeight="1" x14ac:dyDescent="0.2">
      <c r="D493" s="244"/>
    </row>
    <row r="494" spans="4:4" ht="15.75" customHeight="1" x14ac:dyDescent="0.2">
      <c r="D494" s="244"/>
    </row>
    <row r="495" spans="4:4" ht="15.75" customHeight="1" x14ac:dyDescent="0.2">
      <c r="D495" s="244"/>
    </row>
    <row r="496" spans="4:4" ht="15.75" customHeight="1" x14ac:dyDescent="0.2">
      <c r="D496" s="244"/>
    </row>
    <row r="497" spans="4:4" ht="15.75" customHeight="1" x14ac:dyDescent="0.2">
      <c r="D497" s="244"/>
    </row>
    <row r="498" spans="4:4" ht="15.75" customHeight="1" x14ac:dyDescent="0.2">
      <c r="D498" s="244"/>
    </row>
    <row r="499" spans="4:4" ht="15.75" customHeight="1" x14ac:dyDescent="0.2">
      <c r="D499" s="244"/>
    </row>
    <row r="500" spans="4:4" ht="15.75" customHeight="1" x14ac:dyDescent="0.2">
      <c r="D500" s="244"/>
    </row>
    <row r="501" spans="4:4" ht="15.75" customHeight="1" x14ac:dyDescent="0.2">
      <c r="D501" s="244"/>
    </row>
    <row r="502" spans="4:4" ht="15.75" customHeight="1" x14ac:dyDescent="0.2">
      <c r="D502" s="244"/>
    </row>
    <row r="503" spans="4:4" ht="15.75" customHeight="1" x14ac:dyDescent="0.2">
      <c r="D503" s="244"/>
    </row>
    <row r="504" spans="4:4" ht="15.75" customHeight="1" x14ac:dyDescent="0.2">
      <c r="D504" s="244"/>
    </row>
    <row r="505" spans="4:4" ht="15.75" customHeight="1" x14ac:dyDescent="0.2">
      <c r="D505" s="244"/>
    </row>
    <row r="506" spans="4:4" ht="15.75" customHeight="1" x14ac:dyDescent="0.2">
      <c r="D506" s="244"/>
    </row>
    <row r="507" spans="4:4" ht="15.75" customHeight="1" x14ac:dyDescent="0.2">
      <c r="D507" s="244"/>
    </row>
    <row r="508" spans="4:4" ht="15.75" customHeight="1" x14ac:dyDescent="0.2">
      <c r="D508" s="244"/>
    </row>
    <row r="509" spans="4:4" ht="15.75" customHeight="1" x14ac:dyDescent="0.2">
      <c r="D509" s="244"/>
    </row>
    <row r="510" spans="4:4" ht="15.75" customHeight="1" x14ac:dyDescent="0.2">
      <c r="D510" s="244"/>
    </row>
    <row r="511" spans="4:4" ht="15.75" customHeight="1" x14ac:dyDescent="0.2">
      <c r="D511" s="244"/>
    </row>
    <row r="512" spans="4:4" ht="15.75" customHeight="1" x14ac:dyDescent="0.2">
      <c r="D512" s="244"/>
    </row>
    <row r="513" spans="4:4" ht="15.75" customHeight="1" x14ac:dyDescent="0.2">
      <c r="D513" s="244"/>
    </row>
    <row r="514" spans="4:4" ht="15.75" customHeight="1" x14ac:dyDescent="0.2">
      <c r="D514" s="244"/>
    </row>
    <row r="515" spans="4:4" ht="15.75" customHeight="1" x14ac:dyDescent="0.2">
      <c r="D515" s="244"/>
    </row>
    <row r="516" spans="4:4" ht="15.75" customHeight="1" x14ac:dyDescent="0.2">
      <c r="D516" s="244"/>
    </row>
    <row r="517" spans="4:4" ht="15.75" customHeight="1" x14ac:dyDescent="0.2">
      <c r="D517" s="244"/>
    </row>
    <row r="518" spans="4:4" ht="15.75" customHeight="1" x14ac:dyDescent="0.2">
      <c r="D518" s="244"/>
    </row>
    <row r="519" spans="4:4" ht="15.75" customHeight="1" x14ac:dyDescent="0.2">
      <c r="D519" s="244"/>
    </row>
    <row r="520" spans="4:4" ht="15.75" customHeight="1" x14ac:dyDescent="0.2">
      <c r="D520" s="244"/>
    </row>
    <row r="521" spans="4:4" ht="15.75" customHeight="1" x14ac:dyDescent="0.2">
      <c r="D521" s="244"/>
    </row>
    <row r="522" spans="4:4" ht="15.75" customHeight="1" x14ac:dyDescent="0.2">
      <c r="D522" s="244"/>
    </row>
    <row r="523" spans="4:4" ht="15.75" customHeight="1" x14ac:dyDescent="0.2">
      <c r="D523" s="244"/>
    </row>
    <row r="524" spans="4:4" ht="15.75" customHeight="1" x14ac:dyDescent="0.2">
      <c r="D524" s="244"/>
    </row>
    <row r="525" spans="4:4" ht="15.75" customHeight="1" x14ac:dyDescent="0.2">
      <c r="D525" s="244"/>
    </row>
    <row r="526" spans="4:4" ht="15.75" customHeight="1" x14ac:dyDescent="0.2">
      <c r="D526" s="244"/>
    </row>
    <row r="527" spans="4:4" ht="15.75" customHeight="1" x14ac:dyDescent="0.2">
      <c r="D527" s="244"/>
    </row>
    <row r="528" spans="4:4" ht="15.75" customHeight="1" x14ac:dyDescent="0.2">
      <c r="D528" s="244"/>
    </row>
    <row r="529" spans="4:4" ht="15.75" customHeight="1" x14ac:dyDescent="0.2">
      <c r="D529" s="244"/>
    </row>
    <row r="530" spans="4:4" ht="15.75" customHeight="1" x14ac:dyDescent="0.2">
      <c r="D530" s="244"/>
    </row>
    <row r="531" spans="4:4" ht="15.75" customHeight="1" x14ac:dyDescent="0.2">
      <c r="D531" s="244"/>
    </row>
    <row r="532" spans="4:4" ht="15.75" customHeight="1" x14ac:dyDescent="0.2">
      <c r="D532" s="244"/>
    </row>
    <row r="533" spans="4:4" ht="15.75" customHeight="1" x14ac:dyDescent="0.2">
      <c r="D533" s="244"/>
    </row>
    <row r="534" spans="4:4" ht="15.75" customHeight="1" x14ac:dyDescent="0.2">
      <c r="D534" s="244"/>
    </row>
    <row r="535" spans="4:4" ht="15.75" customHeight="1" x14ac:dyDescent="0.2">
      <c r="D535" s="244"/>
    </row>
    <row r="536" spans="4:4" ht="15.75" customHeight="1" x14ac:dyDescent="0.2">
      <c r="D536" s="244"/>
    </row>
    <row r="537" spans="4:4" ht="15.75" customHeight="1" x14ac:dyDescent="0.2">
      <c r="D537" s="244"/>
    </row>
    <row r="538" spans="4:4" ht="15.75" customHeight="1" x14ac:dyDescent="0.2">
      <c r="D538" s="244"/>
    </row>
    <row r="539" spans="4:4" ht="15.75" customHeight="1" x14ac:dyDescent="0.2">
      <c r="D539" s="244"/>
    </row>
    <row r="540" spans="4:4" ht="15.75" customHeight="1" x14ac:dyDescent="0.2">
      <c r="D540" s="244"/>
    </row>
    <row r="541" spans="4:4" ht="15.75" customHeight="1" x14ac:dyDescent="0.2">
      <c r="D541" s="244"/>
    </row>
    <row r="542" spans="4:4" ht="15.75" customHeight="1" x14ac:dyDescent="0.2">
      <c r="D542" s="244"/>
    </row>
    <row r="543" spans="4:4" ht="15.75" customHeight="1" x14ac:dyDescent="0.2">
      <c r="D543" s="244"/>
    </row>
    <row r="544" spans="4:4" ht="15.75" customHeight="1" x14ac:dyDescent="0.2">
      <c r="D544" s="244"/>
    </row>
    <row r="545" spans="4:4" ht="15.75" customHeight="1" x14ac:dyDescent="0.2">
      <c r="D545" s="244"/>
    </row>
    <row r="546" spans="4:4" ht="15.75" customHeight="1" x14ac:dyDescent="0.2">
      <c r="D546" s="244"/>
    </row>
    <row r="547" spans="4:4" ht="15.75" customHeight="1" x14ac:dyDescent="0.2">
      <c r="D547" s="244"/>
    </row>
    <row r="548" spans="4:4" ht="15.75" customHeight="1" x14ac:dyDescent="0.2">
      <c r="D548" s="244"/>
    </row>
    <row r="549" spans="4:4" ht="15.75" customHeight="1" x14ac:dyDescent="0.2">
      <c r="D549" s="244"/>
    </row>
    <row r="550" spans="4:4" ht="15.75" customHeight="1" x14ac:dyDescent="0.2">
      <c r="D550" s="244"/>
    </row>
    <row r="551" spans="4:4" ht="15.75" customHeight="1" x14ac:dyDescent="0.2">
      <c r="D551" s="244"/>
    </row>
    <row r="552" spans="4:4" ht="15.75" customHeight="1" x14ac:dyDescent="0.2">
      <c r="D552" s="244"/>
    </row>
    <row r="553" spans="4:4" ht="15.75" customHeight="1" x14ac:dyDescent="0.2">
      <c r="D553" s="244"/>
    </row>
    <row r="554" spans="4:4" ht="15.75" customHeight="1" x14ac:dyDescent="0.2">
      <c r="D554" s="244"/>
    </row>
    <row r="555" spans="4:4" ht="15.75" customHeight="1" x14ac:dyDescent="0.2">
      <c r="D555" s="244"/>
    </row>
    <row r="556" spans="4:4" ht="15.75" customHeight="1" x14ac:dyDescent="0.2">
      <c r="D556" s="244"/>
    </row>
    <row r="557" spans="4:4" ht="15.75" customHeight="1" x14ac:dyDescent="0.2">
      <c r="D557" s="244"/>
    </row>
    <row r="558" spans="4:4" ht="15.75" customHeight="1" x14ac:dyDescent="0.2">
      <c r="D558" s="244"/>
    </row>
    <row r="559" spans="4:4" ht="15.75" customHeight="1" x14ac:dyDescent="0.2">
      <c r="D559" s="244"/>
    </row>
    <row r="560" spans="4:4" ht="15.75" customHeight="1" x14ac:dyDescent="0.2">
      <c r="D560" s="244"/>
    </row>
    <row r="561" spans="4:4" ht="15.75" customHeight="1" x14ac:dyDescent="0.2">
      <c r="D561" s="244"/>
    </row>
    <row r="562" spans="4:4" ht="15.75" customHeight="1" x14ac:dyDescent="0.2">
      <c r="D562" s="244"/>
    </row>
    <row r="563" spans="4:4" ht="15.75" customHeight="1" x14ac:dyDescent="0.2">
      <c r="D563" s="244"/>
    </row>
    <row r="564" spans="4:4" ht="15.75" customHeight="1" x14ac:dyDescent="0.2">
      <c r="D564" s="244"/>
    </row>
    <row r="565" spans="4:4" ht="15.75" customHeight="1" x14ac:dyDescent="0.2">
      <c r="D565" s="244"/>
    </row>
    <row r="566" spans="4:4" ht="15.75" customHeight="1" x14ac:dyDescent="0.2">
      <c r="D566" s="244"/>
    </row>
    <row r="567" spans="4:4" ht="15.75" customHeight="1" x14ac:dyDescent="0.2">
      <c r="D567" s="244"/>
    </row>
    <row r="568" spans="4:4" ht="15.75" customHeight="1" x14ac:dyDescent="0.2">
      <c r="D568" s="244"/>
    </row>
    <row r="569" spans="4:4" ht="15.75" customHeight="1" x14ac:dyDescent="0.2">
      <c r="D569" s="244"/>
    </row>
    <row r="570" spans="4:4" ht="15.75" customHeight="1" x14ac:dyDescent="0.2">
      <c r="D570" s="244"/>
    </row>
    <row r="571" spans="4:4" ht="15.75" customHeight="1" x14ac:dyDescent="0.2">
      <c r="D571" s="244"/>
    </row>
    <row r="572" spans="4:4" ht="15.75" customHeight="1" x14ac:dyDescent="0.2">
      <c r="D572" s="244"/>
    </row>
    <row r="573" spans="4:4" ht="15.75" customHeight="1" x14ac:dyDescent="0.2">
      <c r="D573" s="244"/>
    </row>
    <row r="574" spans="4:4" ht="15.75" customHeight="1" x14ac:dyDescent="0.2">
      <c r="D574" s="244"/>
    </row>
    <row r="575" spans="4:4" ht="15.75" customHeight="1" x14ac:dyDescent="0.2">
      <c r="D575" s="244"/>
    </row>
    <row r="576" spans="4:4" ht="15.75" customHeight="1" x14ac:dyDescent="0.2">
      <c r="D576" s="244"/>
    </row>
    <row r="577" spans="4:4" ht="15.75" customHeight="1" x14ac:dyDescent="0.2">
      <c r="D577" s="244"/>
    </row>
    <row r="578" spans="4:4" ht="15.75" customHeight="1" x14ac:dyDescent="0.2">
      <c r="D578" s="244"/>
    </row>
    <row r="579" spans="4:4" ht="15.75" customHeight="1" x14ac:dyDescent="0.2">
      <c r="D579" s="244"/>
    </row>
    <row r="580" spans="4:4" ht="15.75" customHeight="1" x14ac:dyDescent="0.2">
      <c r="D580" s="244"/>
    </row>
    <row r="581" spans="4:4" ht="15.75" customHeight="1" x14ac:dyDescent="0.2">
      <c r="D581" s="244"/>
    </row>
    <row r="582" spans="4:4" ht="15.75" customHeight="1" x14ac:dyDescent="0.2">
      <c r="D582" s="244"/>
    </row>
    <row r="583" spans="4:4" ht="15.75" customHeight="1" x14ac:dyDescent="0.2">
      <c r="D583" s="244"/>
    </row>
    <row r="584" spans="4:4" ht="15.75" customHeight="1" x14ac:dyDescent="0.2">
      <c r="D584" s="244"/>
    </row>
    <row r="585" spans="4:4" ht="15.75" customHeight="1" x14ac:dyDescent="0.2">
      <c r="D585" s="244"/>
    </row>
    <row r="586" spans="4:4" ht="15.75" customHeight="1" x14ac:dyDescent="0.2">
      <c r="D586" s="244"/>
    </row>
    <row r="587" spans="4:4" ht="15.75" customHeight="1" x14ac:dyDescent="0.2">
      <c r="D587" s="244"/>
    </row>
    <row r="588" spans="4:4" ht="15.75" customHeight="1" x14ac:dyDescent="0.2">
      <c r="D588" s="244"/>
    </row>
    <row r="589" spans="4:4" ht="15.75" customHeight="1" x14ac:dyDescent="0.2">
      <c r="D589" s="244"/>
    </row>
    <row r="590" spans="4:4" ht="15.75" customHeight="1" x14ac:dyDescent="0.2">
      <c r="D590" s="244"/>
    </row>
    <row r="591" spans="4:4" ht="15.75" customHeight="1" x14ac:dyDescent="0.2">
      <c r="D591" s="244"/>
    </row>
    <row r="592" spans="4:4" ht="15.75" customHeight="1" x14ac:dyDescent="0.2">
      <c r="D592" s="244"/>
    </row>
    <row r="593" spans="4:4" ht="15.75" customHeight="1" x14ac:dyDescent="0.2">
      <c r="D593" s="244"/>
    </row>
    <row r="594" spans="4:4" ht="15.75" customHeight="1" x14ac:dyDescent="0.2">
      <c r="D594" s="244"/>
    </row>
    <row r="595" spans="4:4" ht="15.75" customHeight="1" x14ac:dyDescent="0.2">
      <c r="D595" s="244"/>
    </row>
    <row r="596" spans="4:4" ht="15.75" customHeight="1" x14ac:dyDescent="0.2">
      <c r="D596" s="244"/>
    </row>
    <row r="597" spans="4:4" ht="15.75" customHeight="1" x14ac:dyDescent="0.2">
      <c r="D597" s="244"/>
    </row>
    <row r="598" spans="4:4" ht="15.75" customHeight="1" x14ac:dyDescent="0.2">
      <c r="D598" s="244"/>
    </row>
    <row r="599" spans="4:4" ht="15.75" customHeight="1" x14ac:dyDescent="0.2">
      <c r="D599" s="244"/>
    </row>
    <row r="600" spans="4:4" ht="15.75" customHeight="1" x14ac:dyDescent="0.2">
      <c r="D600" s="244"/>
    </row>
    <row r="601" spans="4:4" ht="15.75" customHeight="1" x14ac:dyDescent="0.2">
      <c r="D601" s="244"/>
    </row>
    <row r="602" spans="4:4" ht="15.75" customHeight="1" x14ac:dyDescent="0.2">
      <c r="D602" s="244"/>
    </row>
    <row r="603" spans="4:4" ht="15.75" customHeight="1" x14ac:dyDescent="0.2">
      <c r="D603" s="244"/>
    </row>
    <row r="604" spans="4:4" ht="15.75" customHeight="1" x14ac:dyDescent="0.2">
      <c r="D604" s="244"/>
    </row>
    <row r="605" spans="4:4" ht="15.75" customHeight="1" x14ac:dyDescent="0.2">
      <c r="D605" s="244"/>
    </row>
    <row r="606" spans="4:4" ht="15.75" customHeight="1" x14ac:dyDescent="0.2">
      <c r="D606" s="244"/>
    </row>
    <row r="607" spans="4:4" ht="15.75" customHeight="1" x14ac:dyDescent="0.2">
      <c r="D607" s="244"/>
    </row>
    <row r="608" spans="4:4" ht="15.75" customHeight="1" x14ac:dyDescent="0.2">
      <c r="D608" s="244"/>
    </row>
    <row r="609" spans="4:4" ht="15.75" customHeight="1" x14ac:dyDescent="0.2">
      <c r="D609" s="244"/>
    </row>
    <row r="610" spans="4:4" ht="15.75" customHeight="1" x14ac:dyDescent="0.2">
      <c r="D610" s="244"/>
    </row>
    <row r="611" spans="4:4" ht="15.75" customHeight="1" x14ac:dyDescent="0.2">
      <c r="D611" s="244"/>
    </row>
    <row r="612" spans="4:4" ht="15.75" customHeight="1" x14ac:dyDescent="0.2">
      <c r="D612" s="244"/>
    </row>
    <row r="613" spans="4:4" ht="15.75" customHeight="1" x14ac:dyDescent="0.2">
      <c r="D613" s="244"/>
    </row>
    <row r="614" spans="4:4" ht="15.75" customHeight="1" x14ac:dyDescent="0.2">
      <c r="D614" s="244"/>
    </row>
    <row r="615" spans="4:4" ht="15.75" customHeight="1" x14ac:dyDescent="0.2">
      <c r="D615" s="244"/>
    </row>
    <row r="616" spans="4:4" ht="15.75" customHeight="1" x14ac:dyDescent="0.2">
      <c r="D616" s="244"/>
    </row>
    <row r="617" spans="4:4" ht="15.75" customHeight="1" x14ac:dyDescent="0.2">
      <c r="D617" s="244"/>
    </row>
    <row r="618" spans="4:4" ht="15.75" customHeight="1" x14ac:dyDescent="0.2">
      <c r="D618" s="244"/>
    </row>
    <row r="619" spans="4:4" ht="15.75" customHeight="1" x14ac:dyDescent="0.2">
      <c r="D619" s="244"/>
    </row>
    <row r="620" spans="4:4" ht="15.75" customHeight="1" x14ac:dyDescent="0.2">
      <c r="D620" s="244"/>
    </row>
    <row r="621" spans="4:4" ht="15.75" customHeight="1" x14ac:dyDescent="0.2">
      <c r="D621" s="244"/>
    </row>
    <row r="622" spans="4:4" ht="15.75" customHeight="1" x14ac:dyDescent="0.2">
      <c r="D622" s="244"/>
    </row>
    <row r="623" spans="4:4" ht="15.75" customHeight="1" x14ac:dyDescent="0.2">
      <c r="D623" s="244"/>
    </row>
    <row r="624" spans="4:4" ht="15.75" customHeight="1" x14ac:dyDescent="0.2">
      <c r="D624" s="244"/>
    </row>
    <row r="625" spans="4:4" ht="15.75" customHeight="1" x14ac:dyDescent="0.2">
      <c r="D625" s="244"/>
    </row>
    <row r="626" spans="4:4" ht="15.75" customHeight="1" x14ac:dyDescent="0.2">
      <c r="D626" s="244"/>
    </row>
    <row r="627" spans="4:4" ht="15.75" customHeight="1" x14ac:dyDescent="0.2">
      <c r="D627" s="244"/>
    </row>
    <row r="628" spans="4:4" ht="15.75" customHeight="1" x14ac:dyDescent="0.2">
      <c r="D628" s="244"/>
    </row>
    <row r="629" spans="4:4" ht="15.75" customHeight="1" x14ac:dyDescent="0.2">
      <c r="D629" s="244"/>
    </row>
    <row r="630" spans="4:4" ht="15.75" customHeight="1" x14ac:dyDescent="0.2">
      <c r="D630" s="244"/>
    </row>
    <row r="631" spans="4:4" ht="15.75" customHeight="1" x14ac:dyDescent="0.2">
      <c r="D631" s="244"/>
    </row>
    <row r="632" spans="4:4" ht="15.75" customHeight="1" x14ac:dyDescent="0.2">
      <c r="D632" s="244"/>
    </row>
    <row r="633" spans="4:4" ht="15.75" customHeight="1" x14ac:dyDescent="0.2">
      <c r="D633" s="244"/>
    </row>
    <row r="634" spans="4:4" ht="15.75" customHeight="1" x14ac:dyDescent="0.2">
      <c r="D634" s="244"/>
    </row>
    <row r="635" spans="4:4" ht="15.75" customHeight="1" x14ac:dyDescent="0.2">
      <c r="D635" s="244"/>
    </row>
    <row r="636" spans="4:4" ht="15.75" customHeight="1" x14ac:dyDescent="0.2">
      <c r="D636" s="244"/>
    </row>
    <row r="637" spans="4:4" ht="15.75" customHeight="1" x14ac:dyDescent="0.2">
      <c r="D637" s="244"/>
    </row>
    <row r="638" spans="4:4" ht="15.75" customHeight="1" x14ac:dyDescent="0.2">
      <c r="D638" s="244"/>
    </row>
    <row r="639" spans="4:4" ht="15.75" customHeight="1" x14ac:dyDescent="0.2">
      <c r="D639" s="244"/>
    </row>
    <row r="640" spans="4:4" ht="15.75" customHeight="1" x14ac:dyDescent="0.2">
      <c r="D640" s="244"/>
    </row>
    <row r="641" spans="4:4" ht="15.75" customHeight="1" x14ac:dyDescent="0.2">
      <c r="D641" s="244"/>
    </row>
    <row r="642" spans="4:4" ht="15.75" customHeight="1" x14ac:dyDescent="0.2">
      <c r="D642" s="244"/>
    </row>
    <row r="643" spans="4:4" ht="15.75" customHeight="1" x14ac:dyDescent="0.2">
      <c r="D643" s="244"/>
    </row>
    <row r="644" spans="4:4" ht="15.75" customHeight="1" x14ac:dyDescent="0.2">
      <c r="D644" s="244"/>
    </row>
    <row r="645" spans="4:4" ht="15.75" customHeight="1" x14ac:dyDescent="0.2">
      <c r="D645" s="244"/>
    </row>
    <row r="646" spans="4:4" ht="15.75" customHeight="1" x14ac:dyDescent="0.2">
      <c r="D646" s="244"/>
    </row>
    <row r="647" spans="4:4" ht="15.75" customHeight="1" x14ac:dyDescent="0.2">
      <c r="D647" s="244"/>
    </row>
    <row r="648" spans="4:4" ht="15.75" customHeight="1" x14ac:dyDescent="0.2">
      <c r="D648" s="244"/>
    </row>
    <row r="649" spans="4:4" ht="15.75" customHeight="1" x14ac:dyDescent="0.2">
      <c r="D649" s="244"/>
    </row>
    <row r="650" spans="4:4" ht="15.75" customHeight="1" x14ac:dyDescent="0.2">
      <c r="D650" s="244"/>
    </row>
    <row r="651" spans="4:4" ht="15.75" customHeight="1" x14ac:dyDescent="0.2">
      <c r="D651" s="244"/>
    </row>
    <row r="652" spans="4:4" ht="15.75" customHeight="1" x14ac:dyDescent="0.2">
      <c r="D652" s="244"/>
    </row>
    <row r="653" spans="4:4" ht="15.75" customHeight="1" x14ac:dyDescent="0.2">
      <c r="D653" s="244"/>
    </row>
    <row r="654" spans="4:4" ht="15.75" customHeight="1" x14ac:dyDescent="0.2">
      <c r="D654" s="244"/>
    </row>
    <row r="655" spans="4:4" ht="15.75" customHeight="1" x14ac:dyDescent="0.2">
      <c r="D655" s="244"/>
    </row>
    <row r="656" spans="4:4" ht="15.75" customHeight="1" x14ac:dyDescent="0.2">
      <c r="D656" s="244"/>
    </row>
    <row r="657" spans="4:4" ht="15.75" customHeight="1" x14ac:dyDescent="0.2">
      <c r="D657" s="244"/>
    </row>
    <row r="658" spans="4:4" ht="15.75" customHeight="1" x14ac:dyDescent="0.2">
      <c r="D658" s="244"/>
    </row>
    <row r="659" spans="4:4" ht="15.75" customHeight="1" x14ac:dyDescent="0.2">
      <c r="D659" s="244"/>
    </row>
    <row r="660" spans="4:4" ht="15.75" customHeight="1" x14ac:dyDescent="0.2">
      <c r="D660" s="244"/>
    </row>
    <row r="661" spans="4:4" ht="15.75" customHeight="1" x14ac:dyDescent="0.2">
      <c r="D661" s="244"/>
    </row>
    <row r="662" spans="4:4" ht="15.75" customHeight="1" x14ac:dyDescent="0.2">
      <c r="D662" s="244"/>
    </row>
    <row r="663" spans="4:4" ht="15.75" customHeight="1" x14ac:dyDescent="0.2">
      <c r="D663" s="244"/>
    </row>
    <row r="664" spans="4:4" ht="15.75" customHeight="1" x14ac:dyDescent="0.2">
      <c r="D664" s="244"/>
    </row>
    <row r="665" spans="4:4" ht="15.75" customHeight="1" x14ac:dyDescent="0.2">
      <c r="D665" s="244"/>
    </row>
    <row r="666" spans="4:4" ht="15.75" customHeight="1" x14ac:dyDescent="0.2">
      <c r="D666" s="244"/>
    </row>
    <row r="667" spans="4:4" ht="15.75" customHeight="1" x14ac:dyDescent="0.2">
      <c r="D667" s="244"/>
    </row>
    <row r="668" spans="4:4" ht="15.75" customHeight="1" x14ac:dyDescent="0.2">
      <c r="D668" s="244"/>
    </row>
    <row r="669" spans="4:4" ht="15.75" customHeight="1" x14ac:dyDescent="0.2">
      <c r="D669" s="244"/>
    </row>
    <row r="670" spans="4:4" ht="15.75" customHeight="1" x14ac:dyDescent="0.2">
      <c r="D670" s="244"/>
    </row>
    <row r="671" spans="4:4" ht="15.75" customHeight="1" x14ac:dyDescent="0.2">
      <c r="D671" s="244"/>
    </row>
    <row r="672" spans="4:4" ht="15.75" customHeight="1" x14ac:dyDescent="0.2">
      <c r="D672" s="244"/>
    </row>
    <row r="673" spans="4:4" ht="15.75" customHeight="1" x14ac:dyDescent="0.2">
      <c r="D673" s="244"/>
    </row>
    <row r="674" spans="4:4" ht="15.75" customHeight="1" x14ac:dyDescent="0.2">
      <c r="D674" s="244"/>
    </row>
    <row r="675" spans="4:4" ht="15.75" customHeight="1" x14ac:dyDescent="0.2">
      <c r="D675" s="244"/>
    </row>
    <row r="676" spans="4:4" ht="15.75" customHeight="1" x14ac:dyDescent="0.2">
      <c r="D676" s="244"/>
    </row>
    <row r="677" spans="4:4" ht="15.75" customHeight="1" x14ac:dyDescent="0.2">
      <c r="D677" s="244"/>
    </row>
    <row r="678" spans="4:4" ht="15.75" customHeight="1" x14ac:dyDescent="0.2">
      <c r="D678" s="244"/>
    </row>
    <row r="679" spans="4:4" ht="15.75" customHeight="1" x14ac:dyDescent="0.2">
      <c r="D679" s="244"/>
    </row>
    <row r="680" spans="4:4" ht="15.75" customHeight="1" x14ac:dyDescent="0.2">
      <c r="D680" s="244"/>
    </row>
    <row r="681" spans="4:4" ht="15.75" customHeight="1" x14ac:dyDescent="0.2">
      <c r="D681" s="244"/>
    </row>
    <row r="682" spans="4:4" ht="15.75" customHeight="1" x14ac:dyDescent="0.2">
      <c r="D682" s="244"/>
    </row>
    <row r="683" spans="4:4" ht="15.75" customHeight="1" x14ac:dyDescent="0.2">
      <c r="D683" s="244"/>
    </row>
    <row r="684" spans="4:4" ht="15.75" customHeight="1" x14ac:dyDescent="0.2">
      <c r="D684" s="244"/>
    </row>
    <row r="685" spans="4:4" ht="15.75" customHeight="1" x14ac:dyDescent="0.2">
      <c r="D685" s="244"/>
    </row>
    <row r="686" spans="4:4" ht="15.75" customHeight="1" x14ac:dyDescent="0.2">
      <c r="D686" s="244"/>
    </row>
    <row r="687" spans="4:4" ht="15.75" customHeight="1" x14ac:dyDescent="0.2">
      <c r="D687" s="244"/>
    </row>
    <row r="688" spans="4:4" ht="15.75" customHeight="1" x14ac:dyDescent="0.2">
      <c r="D688" s="244"/>
    </row>
    <row r="689" spans="4:4" ht="15.75" customHeight="1" x14ac:dyDescent="0.2">
      <c r="D689" s="244"/>
    </row>
    <row r="690" spans="4:4" ht="15.75" customHeight="1" x14ac:dyDescent="0.2">
      <c r="D690" s="244"/>
    </row>
    <row r="691" spans="4:4" ht="15.75" customHeight="1" x14ac:dyDescent="0.2">
      <c r="D691" s="244"/>
    </row>
    <row r="692" spans="4:4" ht="15.75" customHeight="1" x14ac:dyDescent="0.2">
      <c r="D692" s="244"/>
    </row>
    <row r="693" spans="4:4" ht="15.75" customHeight="1" x14ac:dyDescent="0.2">
      <c r="D693" s="244"/>
    </row>
    <row r="694" spans="4:4" ht="15.75" customHeight="1" x14ac:dyDescent="0.2">
      <c r="D694" s="244"/>
    </row>
    <row r="695" spans="4:4" ht="15.75" customHeight="1" x14ac:dyDescent="0.2">
      <c r="D695" s="244"/>
    </row>
    <row r="696" spans="4:4" ht="15.75" customHeight="1" x14ac:dyDescent="0.2">
      <c r="D696" s="244"/>
    </row>
    <row r="697" spans="4:4" ht="15.75" customHeight="1" x14ac:dyDescent="0.2">
      <c r="D697" s="244"/>
    </row>
    <row r="698" spans="4:4" ht="15.75" customHeight="1" x14ac:dyDescent="0.2">
      <c r="D698" s="244"/>
    </row>
    <row r="699" spans="4:4" ht="15.75" customHeight="1" x14ac:dyDescent="0.2">
      <c r="D699" s="244"/>
    </row>
    <row r="700" spans="4:4" ht="15.75" customHeight="1" x14ac:dyDescent="0.2">
      <c r="D700" s="244"/>
    </row>
    <row r="701" spans="4:4" ht="15.75" customHeight="1" x14ac:dyDescent="0.2">
      <c r="D701" s="244"/>
    </row>
    <row r="702" spans="4:4" ht="15.75" customHeight="1" x14ac:dyDescent="0.2">
      <c r="D702" s="244"/>
    </row>
    <row r="703" spans="4:4" ht="15.75" customHeight="1" x14ac:dyDescent="0.2">
      <c r="D703" s="244"/>
    </row>
    <row r="704" spans="4:4" ht="15.75" customHeight="1" x14ac:dyDescent="0.2">
      <c r="D704" s="244"/>
    </row>
    <row r="705" spans="4:4" ht="15.75" customHeight="1" x14ac:dyDescent="0.2">
      <c r="D705" s="244"/>
    </row>
    <row r="706" spans="4:4" ht="15.75" customHeight="1" x14ac:dyDescent="0.2">
      <c r="D706" s="244"/>
    </row>
    <row r="707" spans="4:4" ht="15.75" customHeight="1" x14ac:dyDescent="0.2">
      <c r="D707" s="244"/>
    </row>
    <row r="708" spans="4:4" ht="15.75" customHeight="1" x14ac:dyDescent="0.2">
      <c r="D708" s="244"/>
    </row>
    <row r="709" spans="4:4" ht="15.75" customHeight="1" x14ac:dyDescent="0.2">
      <c r="D709" s="244"/>
    </row>
    <row r="710" spans="4:4" ht="15.75" customHeight="1" x14ac:dyDescent="0.2">
      <c r="D710" s="244"/>
    </row>
    <row r="711" spans="4:4" ht="15.75" customHeight="1" x14ac:dyDescent="0.2">
      <c r="D711" s="244"/>
    </row>
    <row r="712" spans="4:4" ht="15.75" customHeight="1" x14ac:dyDescent="0.2">
      <c r="D712" s="244"/>
    </row>
    <row r="713" spans="4:4" ht="15.75" customHeight="1" x14ac:dyDescent="0.2">
      <c r="D713" s="244"/>
    </row>
    <row r="714" spans="4:4" ht="15.75" customHeight="1" x14ac:dyDescent="0.2">
      <c r="D714" s="244"/>
    </row>
    <row r="715" spans="4:4" ht="15.75" customHeight="1" x14ac:dyDescent="0.2">
      <c r="D715" s="244"/>
    </row>
    <row r="716" spans="4:4" ht="15.75" customHeight="1" x14ac:dyDescent="0.2">
      <c r="D716" s="244"/>
    </row>
    <row r="717" spans="4:4" ht="15.75" customHeight="1" x14ac:dyDescent="0.2">
      <c r="D717" s="244"/>
    </row>
    <row r="718" spans="4:4" ht="15.75" customHeight="1" x14ac:dyDescent="0.2">
      <c r="D718" s="244"/>
    </row>
    <row r="719" spans="4:4" ht="15.75" customHeight="1" x14ac:dyDescent="0.2">
      <c r="D719" s="244"/>
    </row>
    <row r="720" spans="4:4" ht="15.75" customHeight="1" x14ac:dyDescent="0.2">
      <c r="D720" s="244"/>
    </row>
    <row r="721" spans="4:4" ht="15.75" customHeight="1" x14ac:dyDescent="0.2">
      <c r="D721" s="244"/>
    </row>
    <row r="722" spans="4:4" ht="15.75" customHeight="1" x14ac:dyDescent="0.2">
      <c r="D722" s="244"/>
    </row>
    <row r="723" spans="4:4" ht="15.75" customHeight="1" x14ac:dyDescent="0.2">
      <c r="D723" s="244"/>
    </row>
    <row r="724" spans="4:4" ht="15.75" customHeight="1" x14ac:dyDescent="0.2">
      <c r="D724" s="244"/>
    </row>
    <row r="725" spans="4:4" ht="15.75" customHeight="1" x14ac:dyDescent="0.2">
      <c r="D725" s="244"/>
    </row>
    <row r="726" spans="4:4" ht="15.75" customHeight="1" x14ac:dyDescent="0.2">
      <c r="D726" s="244"/>
    </row>
    <row r="727" spans="4:4" ht="15.75" customHeight="1" x14ac:dyDescent="0.2">
      <c r="D727" s="244"/>
    </row>
    <row r="728" spans="4:4" ht="15.75" customHeight="1" x14ac:dyDescent="0.2">
      <c r="D728" s="244"/>
    </row>
    <row r="729" spans="4:4" ht="15.75" customHeight="1" x14ac:dyDescent="0.2">
      <c r="D729" s="244"/>
    </row>
    <row r="730" spans="4:4" ht="15.75" customHeight="1" x14ac:dyDescent="0.2">
      <c r="D730" s="244"/>
    </row>
    <row r="731" spans="4:4" ht="15.75" customHeight="1" x14ac:dyDescent="0.2">
      <c r="D731" s="244"/>
    </row>
    <row r="732" spans="4:4" ht="15.75" customHeight="1" x14ac:dyDescent="0.2">
      <c r="D732" s="244"/>
    </row>
    <row r="733" spans="4:4" ht="15.75" customHeight="1" x14ac:dyDescent="0.2">
      <c r="D733" s="244"/>
    </row>
    <row r="734" spans="4:4" ht="15.75" customHeight="1" x14ac:dyDescent="0.2">
      <c r="D734" s="244"/>
    </row>
    <row r="735" spans="4:4" ht="15.75" customHeight="1" x14ac:dyDescent="0.2">
      <c r="D735" s="244"/>
    </row>
    <row r="736" spans="4:4" ht="15.75" customHeight="1" x14ac:dyDescent="0.2">
      <c r="D736" s="244"/>
    </row>
    <row r="737" spans="4:4" ht="15.75" customHeight="1" x14ac:dyDescent="0.2">
      <c r="D737" s="244"/>
    </row>
    <row r="738" spans="4:4" ht="15.75" customHeight="1" x14ac:dyDescent="0.2">
      <c r="D738" s="244"/>
    </row>
    <row r="739" spans="4:4" ht="15.75" customHeight="1" x14ac:dyDescent="0.2">
      <c r="D739" s="244"/>
    </row>
    <row r="740" spans="4:4" ht="15.75" customHeight="1" x14ac:dyDescent="0.2">
      <c r="D740" s="244"/>
    </row>
    <row r="741" spans="4:4" ht="15.75" customHeight="1" x14ac:dyDescent="0.2">
      <c r="D741" s="244"/>
    </row>
    <row r="742" spans="4:4" ht="15.75" customHeight="1" x14ac:dyDescent="0.2">
      <c r="D742" s="244"/>
    </row>
    <row r="743" spans="4:4" ht="15.75" customHeight="1" x14ac:dyDescent="0.2">
      <c r="D743" s="244"/>
    </row>
    <row r="744" spans="4:4" ht="15.75" customHeight="1" x14ac:dyDescent="0.2">
      <c r="D744" s="244"/>
    </row>
    <row r="745" spans="4:4" ht="15.75" customHeight="1" x14ac:dyDescent="0.2">
      <c r="D745" s="244"/>
    </row>
    <row r="746" spans="4:4" ht="15.75" customHeight="1" x14ac:dyDescent="0.2">
      <c r="D746" s="244"/>
    </row>
    <row r="747" spans="4:4" ht="15.75" customHeight="1" x14ac:dyDescent="0.2">
      <c r="D747" s="244"/>
    </row>
    <row r="748" spans="4:4" ht="15.75" customHeight="1" x14ac:dyDescent="0.2">
      <c r="D748" s="244"/>
    </row>
    <row r="749" spans="4:4" ht="15.75" customHeight="1" x14ac:dyDescent="0.2">
      <c r="D749" s="244"/>
    </row>
    <row r="750" spans="4:4" ht="15.75" customHeight="1" x14ac:dyDescent="0.2">
      <c r="D750" s="244"/>
    </row>
    <row r="751" spans="4:4" ht="15.75" customHeight="1" x14ac:dyDescent="0.2">
      <c r="D751" s="244"/>
    </row>
    <row r="752" spans="4:4" ht="15.75" customHeight="1" x14ac:dyDescent="0.2">
      <c r="D752" s="244"/>
    </row>
    <row r="753" spans="4:4" ht="15.75" customHeight="1" x14ac:dyDescent="0.2">
      <c r="D753" s="244"/>
    </row>
    <row r="754" spans="4:4" ht="15.75" customHeight="1" x14ac:dyDescent="0.2">
      <c r="D754" s="244"/>
    </row>
    <row r="755" spans="4:4" ht="15.75" customHeight="1" x14ac:dyDescent="0.2">
      <c r="D755" s="244"/>
    </row>
    <row r="756" spans="4:4" ht="15.75" customHeight="1" x14ac:dyDescent="0.2">
      <c r="D756" s="244"/>
    </row>
    <row r="757" spans="4:4" ht="15.75" customHeight="1" x14ac:dyDescent="0.2">
      <c r="D757" s="244"/>
    </row>
    <row r="758" spans="4:4" ht="15.75" customHeight="1" x14ac:dyDescent="0.2">
      <c r="D758" s="244"/>
    </row>
    <row r="759" spans="4:4" ht="15.75" customHeight="1" x14ac:dyDescent="0.2">
      <c r="D759" s="244"/>
    </row>
    <row r="760" spans="4:4" ht="15.75" customHeight="1" x14ac:dyDescent="0.2">
      <c r="D760" s="244"/>
    </row>
    <row r="761" spans="4:4" ht="15.75" customHeight="1" x14ac:dyDescent="0.2">
      <c r="D761" s="244"/>
    </row>
    <row r="762" spans="4:4" ht="15.75" customHeight="1" x14ac:dyDescent="0.2">
      <c r="D762" s="244"/>
    </row>
    <row r="763" spans="4:4" ht="15.75" customHeight="1" x14ac:dyDescent="0.2">
      <c r="D763" s="244"/>
    </row>
    <row r="764" spans="4:4" ht="15.75" customHeight="1" x14ac:dyDescent="0.2">
      <c r="D764" s="244"/>
    </row>
    <row r="765" spans="4:4" ht="15.75" customHeight="1" x14ac:dyDescent="0.2">
      <c r="D765" s="244"/>
    </row>
    <row r="766" spans="4:4" ht="15.75" customHeight="1" x14ac:dyDescent="0.2">
      <c r="D766" s="244"/>
    </row>
    <row r="767" spans="4:4" ht="15.75" customHeight="1" x14ac:dyDescent="0.2">
      <c r="D767" s="244"/>
    </row>
    <row r="768" spans="4:4" ht="15.75" customHeight="1" x14ac:dyDescent="0.2">
      <c r="D768" s="244"/>
    </row>
    <row r="769" spans="4:4" ht="15.75" customHeight="1" x14ac:dyDescent="0.2">
      <c r="D769" s="244"/>
    </row>
    <row r="770" spans="4:4" ht="15.75" customHeight="1" x14ac:dyDescent="0.2">
      <c r="D770" s="244"/>
    </row>
    <row r="771" spans="4:4" ht="15.75" customHeight="1" x14ac:dyDescent="0.2">
      <c r="D771" s="244"/>
    </row>
    <row r="772" spans="4:4" ht="15.75" customHeight="1" x14ac:dyDescent="0.2">
      <c r="D772" s="244"/>
    </row>
    <row r="773" spans="4:4" ht="15.75" customHeight="1" x14ac:dyDescent="0.2">
      <c r="D773" s="244"/>
    </row>
    <row r="774" spans="4:4" ht="15.75" customHeight="1" x14ac:dyDescent="0.2">
      <c r="D774" s="244"/>
    </row>
    <row r="775" spans="4:4" ht="15.75" customHeight="1" x14ac:dyDescent="0.2">
      <c r="D775" s="244"/>
    </row>
    <row r="776" spans="4:4" ht="15.75" customHeight="1" x14ac:dyDescent="0.2">
      <c r="D776" s="244"/>
    </row>
    <row r="777" spans="4:4" ht="15.75" customHeight="1" x14ac:dyDescent="0.2">
      <c r="D777" s="244"/>
    </row>
    <row r="778" spans="4:4" ht="15.75" customHeight="1" x14ac:dyDescent="0.2">
      <c r="D778" s="244"/>
    </row>
    <row r="779" spans="4:4" ht="15.75" customHeight="1" x14ac:dyDescent="0.2">
      <c r="D779" s="244"/>
    </row>
    <row r="780" spans="4:4" ht="15.75" customHeight="1" x14ac:dyDescent="0.2">
      <c r="D780" s="244"/>
    </row>
    <row r="781" spans="4:4" ht="15.75" customHeight="1" x14ac:dyDescent="0.2">
      <c r="D781" s="244"/>
    </row>
    <row r="782" spans="4:4" ht="15.75" customHeight="1" x14ac:dyDescent="0.2">
      <c r="D782" s="244"/>
    </row>
    <row r="783" spans="4:4" ht="15.75" customHeight="1" x14ac:dyDescent="0.2">
      <c r="D783" s="244"/>
    </row>
    <row r="784" spans="4:4" ht="15.75" customHeight="1" x14ac:dyDescent="0.2">
      <c r="D784" s="244"/>
    </row>
    <row r="785" spans="4:4" ht="15.75" customHeight="1" x14ac:dyDescent="0.2">
      <c r="D785" s="244"/>
    </row>
    <row r="786" spans="4:4" ht="15.75" customHeight="1" x14ac:dyDescent="0.2">
      <c r="D786" s="244"/>
    </row>
    <row r="787" spans="4:4" ht="15.75" customHeight="1" x14ac:dyDescent="0.2">
      <c r="D787" s="244"/>
    </row>
    <row r="788" spans="4:4" ht="15.75" customHeight="1" x14ac:dyDescent="0.2">
      <c r="D788" s="244"/>
    </row>
    <row r="789" spans="4:4" ht="15.75" customHeight="1" x14ac:dyDescent="0.2">
      <c r="D789" s="244"/>
    </row>
    <row r="790" spans="4:4" ht="15.75" customHeight="1" x14ac:dyDescent="0.2">
      <c r="D790" s="244"/>
    </row>
    <row r="791" spans="4:4" ht="15.75" customHeight="1" x14ac:dyDescent="0.2">
      <c r="D791" s="244"/>
    </row>
    <row r="792" spans="4:4" ht="15.75" customHeight="1" x14ac:dyDescent="0.2">
      <c r="D792" s="244"/>
    </row>
    <row r="793" spans="4:4" ht="15.75" customHeight="1" x14ac:dyDescent="0.2">
      <c r="D793" s="244"/>
    </row>
    <row r="794" spans="4:4" ht="15.75" customHeight="1" x14ac:dyDescent="0.2">
      <c r="D794" s="244"/>
    </row>
    <row r="795" spans="4:4" ht="15.75" customHeight="1" x14ac:dyDescent="0.2">
      <c r="D795" s="244"/>
    </row>
    <row r="796" spans="4:4" ht="15.75" customHeight="1" x14ac:dyDescent="0.2">
      <c r="D796" s="244"/>
    </row>
    <row r="797" spans="4:4" ht="15.75" customHeight="1" x14ac:dyDescent="0.2">
      <c r="D797" s="244"/>
    </row>
    <row r="798" spans="4:4" ht="15.75" customHeight="1" x14ac:dyDescent="0.2">
      <c r="D798" s="244"/>
    </row>
    <row r="799" spans="4:4" ht="15.75" customHeight="1" x14ac:dyDescent="0.2">
      <c r="D799" s="244"/>
    </row>
    <row r="800" spans="4:4" ht="15.75" customHeight="1" x14ac:dyDescent="0.2">
      <c r="D800" s="244"/>
    </row>
    <row r="801" spans="4:4" ht="15.75" customHeight="1" x14ac:dyDescent="0.2">
      <c r="D801" s="244"/>
    </row>
    <row r="802" spans="4:4" ht="15.75" customHeight="1" x14ac:dyDescent="0.2">
      <c r="D802" s="244"/>
    </row>
    <row r="803" spans="4:4" ht="15.75" customHeight="1" x14ac:dyDescent="0.2">
      <c r="D803" s="244"/>
    </row>
    <row r="804" spans="4:4" ht="15.75" customHeight="1" x14ac:dyDescent="0.2">
      <c r="D804" s="244"/>
    </row>
    <row r="805" spans="4:4" ht="15.75" customHeight="1" x14ac:dyDescent="0.2">
      <c r="D805" s="244"/>
    </row>
    <row r="806" spans="4:4" ht="15.75" customHeight="1" x14ac:dyDescent="0.2">
      <c r="D806" s="244"/>
    </row>
    <row r="807" spans="4:4" ht="15.75" customHeight="1" x14ac:dyDescent="0.2">
      <c r="D807" s="244"/>
    </row>
    <row r="808" spans="4:4" ht="15.75" customHeight="1" x14ac:dyDescent="0.2">
      <c r="D808" s="244"/>
    </row>
    <row r="809" spans="4:4" ht="15.75" customHeight="1" x14ac:dyDescent="0.2">
      <c r="D809" s="244"/>
    </row>
    <row r="810" spans="4:4" ht="15.75" customHeight="1" x14ac:dyDescent="0.2">
      <c r="D810" s="244"/>
    </row>
    <row r="811" spans="4:4" ht="15.75" customHeight="1" x14ac:dyDescent="0.2">
      <c r="D811" s="244"/>
    </row>
    <row r="812" spans="4:4" ht="15.75" customHeight="1" x14ac:dyDescent="0.2">
      <c r="D812" s="244"/>
    </row>
    <row r="813" spans="4:4" ht="15.75" customHeight="1" x14ac:dyDescent="0.2">
      <c r="D813" s="244"/>
    </row>
    <row r="814" spans="4:4" ht="15.75" customHeight="1" x14ac:dyDescent="0.2">
      <c r="D814" s="244"/>
    </row>
    <row r="815" spans="4:4" ht="15.75" customHeight="1" x14ac:dyDescent="0.2">
      <c r="D815" s="244"/>
    </row>
    <row r="816" spans="4:4" ht="15.75" customHeight="1" x14ac:dyDescent="0.2">
      <c r="D816" s="244"/>
    </row>
    <row r="817" spans="4:4" ht="15.75" customHeight="1" x14ac:dyDescent="0.2">
      <c r="D817" s="244"/>
    </row>
    <row r="818" spans="4:4" ht="15.75" customHeight="1" x14ac:dyDescent="0.2">
      <c r="D818" s="244"/>
    </row>
    <row r="819" spans="4:4" ht="15.75" customHeight="1" x14ac:dyDescent="0.2">
      <c r="D819" s="244"/>
    </row>
    <row r="820" spans="4:4" ht="15.75" customHeight="1" x14ac:dyDescent="0.2">
      <c r="D820" s="244"/>
    </row>
    <row r="821" spans="4:4" ht="15.75" customHeight="1" x14ac:dyDescent="0.2">
      <c r="D821" s="244"/>
    </row>
    <row r="822" spans="4:4" ht="15.75" customHeight="1" x14ac:dyDescent="0.2">
      <c r="D822" s="244"/>
    </row>
    <row r="823" spans="4:4" ht="15.75" customHeight="1" x14ac:dyDescent="0.2">
      <c r="D823" s="244"/>
    </row>
    <row r="824" spans="4:4" ht="15.75" customHeight="1" x14ac:dyDescent="0.2">
      <c r="D824" s="244"/>
    </row>
    <row r="825" spans="4:4" ht="15.75" customHeight="1" x14ac:dyDescent="0.2">
      <c r="D825" s="244"/>
    </row>
    <row r="826" spans="4:4" ht="15.75" customHeight="1" x14ac:dyDescent="0.2">
      <c r="D826" s="244"/>
    </row>
    <row r="827" spans="4:4" ht="15.75" customHeight="1" x14ac:dyDescent="0.2">
      <c r="D827" s="244"/>
    </row>
    <row r="828" spans="4:4" ht="15.75" customHeight="1" x14ac:dyDescent="0.2">
      <c r="D828" s="244"/>
    </row>
    <row r="829" spans="4:4" ht="15.75" customHeight="1" x14ac:dyDescent="0.2">
      <c r="D829" s="244"/>
    </row>
    <row r="830" spans="4:4" ht="15.75" customHeight="1" x14ac:dyDescent="0.2">
      <c r="D830" s="244"/>
    </row>
    <row r="831" spans="4:4" ht="15.75" customHeight="1" x14ac:dyDescent="0.2">
      <c r="D831" s="244"/>
    </row>
    <row r="832" spans="4:4" ht="15.75" customHeight="1" x14ac:dyDescent="0.2">
      <c r="D832" s="244"/>
    </row>
    <row r="833" spans="4:4" ht="15.75" customHeight="1" x14ac:dyDescent="0.2">
      <c r="D833" s="244"/>
    </row>
    <row r="834" spans="4:4" ht="15.75" customHeight="1" x14ac:dyDescent="0.2">
      <c r="D834" s="244"/>
    </row>
    <row r="835" spans="4:4" ht="15.75" customHeight="1" x14ac:dyDescent="0.2">
      <c r="D835" s="244"/>
    </row>
    <row r="836" spans="4:4" ht="15.75" customHeight="1" x14ac:dyDescent="0.2">
      <c r="D836" s="244"/>
    </row>
    <row r="837" spans="4:4" ht="15.75" customHeight="1" x14ac:dyDescent="0.2">
      <c r="D837" s="244"/>
    </row>
    <row r="838" spans="4:4" ht="15.75" customHeight="1" x14ac:dyDescent="0.2">
      <c r="D838" s="244"/>
    </row>
    <row r="839" spans="4:4" ht="15.75" customHeight="1" x14ac:dyDescent="0.2">
      <c r="D839" s="244"/>
    </row>
    <row r="840" spans="4:4" ht="15.75" customHeight="1" x14ac:dyDescent="0.2">
      <c r="D840" s="244"/>
    </row>
    <row r="841" spans="4:4" ht="15.75" customHeight="1" x14ac:dyDescent="0.2">
      <c r="D841" s="244"/>
    </row>
    <row r="842" spans="4:4" ht="15.75" customHeight="1" x14ac:dyDescent="0.2">
      <c r="D842" s="244"/>
    </row>
    <row r="843" spans="4:4" ht="15.75" customHeight="1" x14ac:dyDescent="0.2">
      <c r="D843" s="244"/>
    </row>
    <row r="844" spans="4:4" ht="15.75" customHeight="1" x14ac:dyDescent="0.2">
      <c r="D844" s="244"/>
    </row>
    <row r="845" spans="4:4" ht="15.75" customHeight="1" x14ac:dyDescent="0.2">
      <c r="D845" s="244"/>
    </row>
    <row r="846" spans="4:4" ht="15.75" customHeight="1" x14ac:dyDescent="0.2">
      <c r="D846" s="244"/>
    </row>
    <row r="847" spans="4:4" ht="15.75" customHeight="1" x14ac:dyDescent="0.2">
      <c r="D847" s="244"/>
    </row>
    <row r="848" spans="4:4" ht="15.75" customHeight="1" x14ac:dyDescent="0.2">
      <c r="D848" s="244"/>
    </row>
    <row r="849" spans="4:4" ht="15.75" customHeight="1" x14ac:dyDescent="0.2">
      <c r="D849" s="244"/>
    </row>
    <row r="850" spans="4:4" ht="15.75" customHeight="1" x14ac:dyDescent="0.2">
      <c r="D850" s="244"/>
    </row>
    <row r="851" spans="4:4" ht="15.75" customHeight="1" x14ac:dyDescent="0.2">
      <c r="D851" s="244"/>
    </row>
    <row r="852" spans="4:4" ht="15.75" customHeight="1" x14ac:dyDescent="0.2">
      <c r="D852" s="244"/>
    </row>
    <row r="853" spans="4:4" ht="15.75" customHeight="1" x14ac:dyDescent="0.2">
      <c r="D853" s="244"/>
    </row>
    <row r="854" spans="4:4" ht="15.75" customHeight="1" x14ac:dyDescent="0.2">
      <c r="D854" s="244"/>
    </row>
    <row r="855" spans="4:4" ht="15.75" customHeight="1" x14ac:dyDescent="0.2">
      <c r="D855" s="244"/>
    </row>
    <row r="856" spans="4:4" ht="15.75" customHeight="1" x14ac:dyDescent="0.2">
      <c r="D856" s="244"/>
    </row>
    <row r="857" spans="4:4" ht="15.75" customHeight="1" x14ac:dyDescent="0.2">
      <c r="D857" s="244"/>
    </row>
    <row r="858" spans="4:4" ht="15.75" customHeight="1" x14ac:dyDescent="0.2">
      <c r="D858" s="244"/>
    </row>
    <row r="859" spans="4:4" ht="15.75" customHeight="1" x14ac:dyDescent="0.2">
      <c r="D859" s="244"/>
    </row>
    <row r="860" spans="4:4" ht="15.75" customHeight="1" x14ac:dyDescent="0.2">
      <c r="D860" s="244"/>
    </row>
    <row r="861" spans="4:4" ht="15.75" customHeight="1" x14ac:dyDescent="0.2">
      <c r="D861" s="244"/>
    </row>
    <row r="862" spans="4:4" ht="15.75" customHeight="1" x14ac:dyDescent="0.2">
      <c r="D862" s="244"/>
    </row>
    <row r="863" spans="4:4" ht="15.75" customHeight="1" x14ac:dyDescent="0.2">
      <c r="D863" s="244"/>
    </row>
    <row r="864" spans="4:4" ht="15.75" customHeight="1" x14ac:dyDescent="0.2">
      <c r="D864" s="244"/>
    </row>
    <row r="865" spans="4:4" ht="15.75" customHeight="1" x14ac:dyDescent="0.2">
      <c r="D865" s="244"/>
    </row>
    <row r="866" spans="4:4" ht="15.75" customHeight="1" x14ac:dyDescent="0.2">
      <c r="D866" s="244"/>
    </row>
    <row r="867" spans="4:4" ht="15.75" customHeight="1" x14ac:dyDescent="0.2">
      <c r="D867" s="244"/>
    </row>
    <row r="868" spans="4:4" ht="15.75" customHeight="1" x14ac:dyDescent="0.2">
      <c r="D868" s="244"/>
    </row>
    <row r="869" spans="4:4" ht="15.75" customHeight="1" x14ac:dyDescent="0.2">
      <c r="D869" s="244"/>
    </row>
    <row r="870" spans="4:4" ht="15.75" customHeight="1" x14ac:dyDescent="0.2">
      <c r="D870" s="244"/>
    </row>
    <row r="871" spans="4:4" ht="15.75" customHeight="1" x14ac:dyDescent="0.2">
      <c r="D871" s="244"/>
    </row>
    <row r="872" spans="4:4" ht="15.75" customHeight="1" x14ac:dyDescent="0.2">
      <c r="D872" s="244"/>
    </row>
    <row r="873" spans="4:4" ht="15.75" customHeight="1" x14ac:dyDescent="0.2">
      <c r="D873" s="244"/>
    </row>
    <row r="874" spans="4:4" ht="15.75" customHeight="1" x14ac:dyDescent="0.2">
      <c r="D874" s="244"/>
    </row>
    <row r="875" spans="4:4" ht="15.75" customHeight="1" x14ac:dyDescent="0.2">
      <c r="D875" s="244"/>
    </row>
    <row r="876" spans="4:4" ht="15.75" customHeight="1" x14ac:dyDescent="0.2">
      <c r="D876" s="244"/>
    </row>
    <row r="877" spans="4:4" ht="15.75" customHeight="1" x14ac:dyDescent="0.2">
      <c r="D877" s="244"/>
    </row>
    <row r="878" spans="4:4" ht="15.75" customHeight="1" x14ac:dyDescent="0.2">
      <c r="D878" s="244"/>
    </row>
    <row r="879" spans="4:4" ht="15.75" customHeight="1" x14ac:dyDescent="0.2">
      <c r="D879" s="244"/>
    </row>
    <row r="880" spans="4:4" ht="15.75" customHeight="1" x14ac:dyDescent="0.2">
      <c r="D880" s="244"/>
    </row>
    <row r="881" spans="4:4" ht="15.75" customHeight="1" x14ac:dyDescent="0.2">
      <c r="D881" s="244"/>
    </row>
    <row r="882" spans="4:4" ht="15.75" customHeight="1" x14ac:dyDescent="0.2">
      <c r="D882" s="244"/>
    </row>
    <row r="883" spans="4:4" ht="15.75" customHeight="1" x14ac:dyDescent="0.2">
      <c r="D883" s="244"/>
    </row>
    <row r="884" spans="4:4" ht="15.75" customHeight="1" x14ac:dyDescent="0.2">
      <c r="D884" s="244"/>
    </row>
    <row r="885" spans="4:4" ht="15.75" customHeight="1" x14ac:dyDescent="0.2">
      <c r="D885" s="244"/>
    </row>
    <row r="886" spans="4:4" ht="15.75" customHeight="1" x14ac:dyDescent="0.2">
      <c r="D886" s="244"/>
    </row>
    <row r="887" spans="4:4" ht="15.75" customHeight="1" x14ac:dyDescent="0.2">
      <c r="D887" s="244"/>
    </row>
    <row r="888" spans="4:4" ht="15.75" customHeight="1" x14ac:dyDescent="0.2">
      <c r="D888" s="244"/>
    </row>
    <row r="889" spans="4:4" ht="15.75" customHeight="1" x14ac:dyDescent="0.2">
      <c r="D889" s="244"/>
    </row>
    <row r="890" spans="4:4" ht="15.75" customHeight="1" x14ac:dyDescent="0.2">
      <c r="D890" s="244"/>
    </row>
    <row r="891" spans="4:4" ht="15.75" customHeight="1" x14ac:dyDescent="0.2">
      <c r="D891" s="244"/>
    </row>
    <row r="892" spans="4:4" ht="15.75" customHeight="1" x14ac:dyDescent="0.2">
      <c r="D892" s="244"/>
    </row>
    <row r="893" spans="4:4" ht="15.75" customHeight="1" x14ac:dyDescent="0.2">
      <c r="D893" s="244"/>
    </row>
    <row r="894" spans="4:4" ht="15.75" customHeight="1" x14ac:dyDescent="0.2">
      <c r="D894" s="244"/>
    </row>
    <row r="895" spans="4:4" ht="15.75" customHeight="1" x14ac:dyDescent="0.2">
      <c r="D895" s="244"/>
    </row>
    <row r="896" spans="4:4" ht="15.75" customHeight="1" x14ac:dyDescent="0.2">
      <c r="D896" s="244"/>
    </row>
    <row r="897" spans="4:4" ht="15.75" customHeight="1" x14ac:dyDescent="0.2">
      <c r="D897" s="244"/>
    </row>
    <row r="898" spans="4:4" ht="15.75" customHeight="1" x14ac:dyDescent="0.2">
      <c r="D898" s="244"/>
    </row>
    <row r="899" spans="4:4" ht="15.75" customHeight="1" x14ac:dyDescent="0.2">
      <c r="D899" s="244"/>
    </row>
    <row r="900" spans="4:4" ht="15.75" customHeight="1" x14ac:dyDescent="0.2">
      <c r="D900" s="244"/>
    </row>
    <row r="901" spans="4:4" ht="15.75" customHeight="1" x14ac:dyDescent="0.2">
      <c r="D901" s="244"/>
    </row>
    <row r="902" spans="4:4" ht="15.75" customHeight="1" x14ac:dyDescent="0.2">
      <c r="D902" s="244"/>
    </row>
    <row r="903" spans="4:4" ht="15.75" customHeight="1" x14ac:dyDescent="0.2">
      <c r="D903" s="244"/>
    </row>
    <row r="904" spans="4:4" ht="15.75" customHeight="1" x14ac:dyDescent="0.2">
      <c r="D904" s="244"/>
    </row>
    <row r="905" spans="4:4" ht="15.75" customHeight="1" x14ac:dyDescent="0.2">
      <c r="D905" s="244"/>
    </row>
    <row r="906" spans="4:4" ht="15.75" customHeight="1" x14ac:dyDescent="0.2">
      <c r="D906" s="244"/>
    </row>
    <row r="907" spans="4:4" ht="15.75" customHeight="1" x14ac:dyDescent="0.2">
      <c r="D907" s="244"/>
    </row>
    <row r="908" spans="4:4" ht="15.75" customHeight="1" x14ac:dyDescent="0.2">
      <c r="D908" s="244"/>
    </row>
    <row r="909" spans="4:4" ht="15.75" customHeight="1" x14ac:dyDescent="0.2">
      <c r="D909" s="244"/>
    </row>
    <row r="910" spans="4:4" ht="15.75" customHeight="1" x14ac:dyDescent="0.2">
      <c r="D910" s="244"/>
    </row>
    <row r="911" spans="4:4" ht="15.75" customHeight="1" x14ac:dyDescent="0.2">
      <c r="D911" s="244"/>
    </row>
    <row r="912" spans="4:4" ht="15.75" customHeight="1" x14ac:dyDescent="0.2">
      <c r="D912" s="244"/>
    </row>
    <row r="913" spans="4:4" ht="15.75" customHeight="1" x14ac:dyDescent="0.2">
      <c r="D913" s="244"/>
    </row>
    <row r="914" spans="4:4" ht="15.75" customHeight="1" x14ac:dyDescent="0.2">
      <c r="D914" s="244"/>
    </row>
    <row r="915" spans="4:4" ht="15.75" customHeight="1" x14ac:dyDescent="0.2">
      <c r="D915" s="244"/>
    </row>
    <row r="916" spans="4:4" ht="15.75" customHeight="1" x14ac:dyDescent="0.2">
      <c r="D916" s="244"/>
    </row>
    <row r="917" spans="4:4" ht="15.75" customHeight="1" x14ac:dyDescent="0.2">
      <c r="D917" s="244"/>
    </row>
    <row r="918" spans="4:4" ht="15.75" customHeight="1" x14ac:dyDescent="0.2">
      <c r="D918" s="244"/>
    </row>
    <row r="919" spans="4:4" ht="15.75" customHeight="1" x14ac:dyDescent="0.2">
      <c r="D919" s="244"/>
    </row>
    <row r="920" spans="4:4" ht="15.75" customHeight="1" x14ac:dyDescent="0.2">
      <c r="D920" s="244"/>
    </row>
    <row r="921" spans="4:4" ht="15.75" customHeight="1" x14ac:dyDescent="0.2">
      <c r="D921" s="244"/>
    </row>
    <row r="922" spans="4:4" ht="15.75" customHeight="1" x14ac:dyDescent="0.2">
      <c r="D922" s="244"/>
    </row>
    <row r="923" spans="4:4" ht="15.75" customHeight="1" x14ac:dyDescent="0.2">
      <c r="D923" s="244"/>
    </row>
    <row r="924" spans="4:4" ht="15.75" customHeight="1" x14ac:dyDescent="0.2">
      <c r="D924" s="244"/>
    </row>
    <row r="925" spans="4:4" ht="15.75" customHeight="1" x14ac:dyDescent="0.2">
      <c r="D925" s="244"/>
    </row>
    <row r="926" spans="4:4" ht="15.75" customHeight="1" x14ac:dyDescent="0.2">
      <c r="D926" s="244"/>
    </row>
    <row r="927" spans="4:4" ht="15.75" customHeight="1" x14ac:dyDescent="0.2">
      <c r="D927" s="244"/>
    </row>
    <row r="928" spans="4:4" ht="15.75" customHeight="1" x14ac:dyDescent="0.2">
      <c r="D928" s="244"/>
    </row>
    <row r="929" spans="4:4" ht="15.75" customHeight="1" x14ac:dyDescent="0.2">
      <c r="D929" s="244"/>
    </row>
    <row r="930" spans="4:4" ht="15.75" customHeight="1" x14ac:dyDescent="0.2">
      <c r="D930" s="244"/>
    </row>
    <row r="931" spans="4:4" ht="15.75" customHeight="1" x14ac:dyDescent="0.2">
      <c r="D931" s="244"/>
    </row>
    <row r="932" spans="4:4" ht="15.75" customHeight="1" x14ac:dyDescent="0.2">
      <c r="D932" s="244"/>
    </row>
    <row r="933" spans="4:4" ht="15.75" customHeight="1" x14ac:dyDescent="0.2">
      <c r="D933" s="244"/>
    </row>
    <row r="934" spans="4:4" ht="15.75" customHeight="1" x14ac:dyDescent="0.2">
      <c r="D934" s="244"/>
    </row>
    <row r="935" spans="4:4" ht="15.75" customHeight="1" x14ac:dyDescent="0.2">
      <c r="D935" s="244"/>
    </row>
    <row r="936" spans="4:4" ht="15.75" customHeight="1" x14ac:dyDescent="0.2">
      <c r="D936" s="244"/>
    </row>
    <row r="937" spans="4:4" ht="15.75" customHeight="1" x14ac:dyDescent="0.2">
      <c r="D937" s="244"/>
    </row>
    <row r="938" spans="4:4" ht="15.75" customHeight="1" x14ac:dyDescent="0.2">
      <c r="D938" s="244"/>
    </row>
    <row r="939" spans="4:4" ht="15.75" customHeight="1" x14ac:dyDescent="0.2">
      <c r="D939" s="244"/>
    </row>
    <row r="940" spans="4:4" ht="15.75" customHeight="1" x14ac:dyDescent="0.2">
      <c r="D940" s="244"/>
    </row>
    <row r="941" spans="4:4" ht="15.75" customHeight="1" x14ac:dyDescent="0.2">
      <c r="D941" s="244"/>
    </row>
    <row r="942" spans="4:4" ht="15.75" customHeight="1" x14ac:dyDescent="0.2">
      <c r="D942" s="244"/>
    </row>
    <row r="943" spans="4:4" ht="15.75" customHeight="1" x14ac:dyDescent="0.2">
      <c r="D943" s="244"/>
    </row>
    <row r="944" spans="4:4" ht="15.75" customHeight="1" x14ac:dyDescent="0.2">
      <c r="D944" s="244"/>
    </row>
    <row r="945" spans="4:4" ht="15.75" customHeight="1" x14ac:dyDescent="0.2">
      <c r="D945" s="244"/>
    </row>
    <row r="946" spans="4:4" ht="15.75" customHeight="1" x14ac:dyDescent="0.2">
      <c r="D946" s="244"/>
    </row>
    <row r="947" spans="4:4" ht="15.75" customHeight="1" x14ac:dyDescent="0.2">
      <c r="D947" s="244"/>
    </row>
    <row r="948" spans="4:4" ht="15.75" customHeight="1" x14ac:dyDescent="0.2">
      <c r="D948" s="244"/>
    </row>
    <row r="949" spans="4:4" ht="15.75" customHeight="1" x14ac:dyDescent="0.2">
      <c r="D949" s="244"/>
    </row>
    <row r="950" spans="4:4" ht="15.75" customHeight="1" x14ac:dyDescent="0.2">
      <c r="D950" s="244"/>
    </row>
    <row r="951" spans="4:4" ht="15.75" customHeight="1" x14ac:dyDescent="0.2">
      <c r="D951" s="244"/>
    </row>
    <row r="952" spans="4:4" ht="15.75" customHeight="1" x14ac:dyDescent="0.2">
      <c r="D952" s="244"/>
    </row>
    <row r="953" spans="4:4" ht="15.75" customHeight="1" x14ac:dyDescent="0.2">
      <c r="D953" s="244"/>
    </row>
  </sheetData>
  <mergeCells count="11">
    <mergeCell ref="A6:C6"/>
    <mergeCell ref="D6:N6"/>
    <mergeCell ref="A7:C7"/>
    <mergeCell ref="D7:I7"/>
    <mergeCell ref="J7:N7"/>
    <mergeCell ref="A1:C4"/>
    <mergeCell ref="D1:M4"/>
    <mergeCell ref="N1:N2"/>
    <mergeCell ref="N3:N4"/>
    <mergeCell ref="A5:C5"/>
    <mergeCell ref="D5:N5"/>
  </mergeCells>
  <dataValidations count="1">
    <dataValidation type="list" allowBlank="1" showErrorMessage="1" sqref="J9:M12" xr:uid="{00000000-0002-0000-1200-000000000000}">
      <formula1>"SI,NO"</formula1>
    </dataValidation>
  </dataValidations>
  <pageMargins left="0.11811023622047245" right="0.11811023622047245" top="1.1417322834645669" bottom="0.19685039370078741" header="0" footer="0"/>
  <pageSetup scale="79" orientation="landscape" r:id="rId1"/>
  <headerFooter>
    <oddHeader>&amp;C Matriz de Riesgos</oddHead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ErrorMessage="1" xr:uid="{00000000-0002-0000-1200-000001000000}">
          <x14:formula1>
            <xm:f>'C:\Users\sgomez.UPME\Documents\UPME 2020\Documents\Mapas de riesgos\[Mapa de riesgos DEMANDA Y PROSPECTIVA.xlsx]Datos'!#REF!</xm:f>
          </x14:formula1>
          <xm:sqref>G9:G12 A9:C12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979"/>
  <sheetViews>
    <sheetView showGridLines="0" topLeftCell="A7" workbookViewId="0">
      <selection activeCell="C7" sqref="C7"/>
    </sheetView>
  </sheetViews>
  <sheetFormatPr baseColWidth="10" defaultColWidth="12.625" defaultRowHeight="15" customHeight="1" x14ac:dyDescent="0.2"/>
  <cols>
    <col min="1" max="1" width="20.375" customWidth="1"/>
    <col min="2" max="2" width="37.125" customWidth="1"/>
    <col min="3" max="3" width="39" customWidth="1"/>
    <col min="4" max="4" width="14.25" customWidth="1"/>
    <col min="5" max="5" width="21.125" customWidth="1"/>
    <col min="6" max="26" width="9.375" customWidth="1"/>
  </cols>
  <sheetData>
    <row r="1" spans="1:5" ht="14.25" x14ac:dyDescent="0.2">
      <c r="A1" s="958"/>
      <c r="B1" s="959" t="s">
        <v>0</v>
      </c>
      <c r="C1" s="930"/>
      <c r="D1" s="931"/>
      <c r="E1" s="960" t="s">
        <v>29</v>
      </c>
    </row>
    <row r="2" spans="1:5" ht="14.25" x14ac:dyDescent="0.2">
      <c r="A2" s="934"/>
      <c r="B2" s="932"/>
      <c r="C2" s="933"/>
      <c r="D2" s="934"/>
      <c r="E2" s="961"/>
    </row>
    <row r="3" spans="1:5" ht="14.25" x14ac:dyDescent="0.2">
      <c r="A3" s="934"/>
      <c r="B3" s="932"/>
      <c r="C3" s="933"/>
      <c r="D3" s="934"/>
      <c r="E3" s="960" t="s">
        <v>2</v>
      </c>
    </row>
    <row r="4" spans="1:5" ht="14.25" x14ac:dyDescent="0.2">
      <c r="A4" s="934"/>
      <c r="B4" s="935"/>
      <c r="C4" s="936"/>
      <c r="D4" s="937"/>
      <c r="E4" s="961"/>
    </row>
    <row r="5" spans="1:5" ht="14.25" x14ac:dyDescent="0.2">
      <c r="A5" s="962" t="s">
        <v>30</v>
      </c>
      <c r="B5" s="939"/>
      <c r="C5" s="939"/>
      <c r="D5" s="939"/>
      <c r="E5" s="963"/>
    </row>
    <row r="6" spans="1:5" ht="15" customHeight="1" x14ac:dyDescent="0.2">
      <c r="A6" s="10" t="s">
        <v>31</v>
      </c>
      <c r="B6" s="11" t="s">
        <v>32</v>
      </c>
      <c r="C6" s="10" t="s">
        <v>33</v>
      </c>
      <c r="D6" s="955" t="s">
        <v>34</v>
      </c>
      <c r="E6" s="956"/>
    </row>
    <row r="7" spans="1:5" ht="409.5" customHeight="1" x14ac:dyDescent="0.2">
      <c r="A7" s="12" t="s">
        <v>261</v>
      </c>
      <c r="B7" s="100" t="s">
        <v>256</v>
      </c>
      <c r="C7" s="98" t="s">
        <v>257</v>
      </c>
      <c r="D7" s="957" t="s">
        <v>258</v>
      </c>
      <c r="E7" s="952"/>
    </row>
    <row r="11" spans="1:5" ht="15.75" customHeight="1" x14ac:dyDescent="0.2"/>
    <row r="12" spans="1:5" ht="15.75" customHeight="1" x14ac:dyDescent="0.2"/>
    <row r="13" spans="1:5" ht="15.75" customHeight="1" x14ac:dyDescent="0.2"/>
    <row r="14" spans="1:5" ht="15.75" customHeight="1" x14ac:dyDescent="0.2"/>
    <row r="15" spans="1:5" ht="15.75" customHeight="1" x14ac:dyDescent="0.2"/>
    <row r="16" spans="1:5" ht="15.75" customHeight="1" x14ac:dyDescent="0.2"/>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sheetData>
  <mergeCells count="7">
    <mergeCell ref="D6:E6"/>
    <mergeCell ref="D7:E7"/>
    <mergeCell ref="A1:A4"/>
    <mergeCell ref="B1:D4"/>
    <mergeCell ref="E1:E2"/>
    <mergeCell ref="E3:E4"/>
    <mergeCell ref="A5:E5"/>
  </mergeCells>
  <pageMargins left="0.31496062992125984" right="0.31496062992125984" top="1.1417322834645669" bottom="0.35433070866141736" header="0" footer="0"/>
  <pageSetup scale="88" orientation="landscape" r:id="rId1"/>
  <headerFooter>
    <oddHeader>&amp;C Matriz de Riesgos</oddHeader>
  </headerFooter>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K968"/>
  <sheetViews>
    <sheetView showGridLines="0" topLeftCell="C10" zoomScale="85" zoomScaleNormal="85" workbookViewId="0">
      <selection activeCell="L13" sqref="L13"/>
    </sheetView>
  </sheetViews>
  <sheetFormatPr baseColWidth="10" defaultColWidth="12.625" defaultRowHeight="15" customHeight="1" x14ac:dyDescent="0.2"/>
  <cols>
    <col min="1" max="1" width="4.75" style="228" customWidth="1"/>
    <col min="2" max="2" width="25.625" style="228" customWidth="1"/>
    <col min="3" max="3" width="61.625" style="228" customWidth="1"/>
    <col min="4" max="4" width="26.25" style="228" customWidth="1"/>
    <col min="5" max="5" width="10.625" style="228" customWidth="1"/>
    <col min="6" max="6" width="17.25" style="228" customWidth="1"/>
    <col min="7" max="7" width="12.875" style="228" customWidth="1"/>
    <col min="8" max="8" width="5.375" style="228" customWidth="1"/>
    <col min="9" max="9" width="14" style="228" customWidth="1"/>
    <col min="10" max="10" width="12.75" style="228" customWidth="1"/>
    <col min="11" max="11" width="26.75" style="228" customWidth="1"/>
    <col min="12" max="12" width="42.875" style="228" customWidth="1"/>
    <col min="13" max="13" width="13.75" style="228" customWidth="1"/>
    <col min="14" max="14" width="15" style="228" customWidth="1"/>
    <col min="15" max="15" width="19.25" style="228" customWidth="1"/>
    <col min="16" max="16" width="18.875" style="228" customWidth="1"/>
    <col min="17" max="17" width="12" style="228" customWidth="1"/>
    <col min="18" max="18" width="12.625" style="228" customWidth="1"/>
    <col min="19" max="20" width="13.625" style="228" customWidth="1"/>
    <col min="21" max="21" width="17.5" style="228" customWidth="1"/>
    <col min="22" max="22" width="12.125" style="228" customWidth="1"/>
    <col min="23" max="23" width="13.875" style="228" customWidth="1"/>
    <col min="24" max="24" width="14.375" style="228" customWidth="1"/>
    <col min="25" max="25" width="35.75" style="228" customWidth="1"/>
    <col min="26" max="26" width="24.25" style="228" customWidth="1"/>
    <col min="27" max="27" width="13.375" style="228" customWidth="1"/>
    <col min="28" max="28" width="15.625" style="228" customWidth="1"/>
    <col min="29" max="29" width="31.125" style="228" customWidth="1"/>
    <col min="30" max="33" width="22.5" style="228" customWidth="1"/>
    <col min="34" max="35" width="18.5" style="228" customWidth="1"/>
    <col min="36" max="36" width="39.5" style="228" customWidth="1"/>
    <col min="37" max="37" width="59.375" style="228" customWidth="1"/>
    <col min="38" max="16384" width="12.625" style="228"/>
  </cols>
  <sheetData>
    <row r="1" spans="1:37" ht="14.25" x14ac:dyDescent="0.2">
      <c r="A1" s="1224"/>
      <c r="B1" s="1225"/>
      <c r="C1" s="1225"/>
      <c r="D1" s="1227" t="s">
        <v>55</v>
      </c>
      <c r="E1" s="1225"/>
      <c r="F1" s="1225"/>
      <c r="G1" s="1225"/>
      <c r="H1" s="1225"/>
      <c r="I1" s="1225"/>
      <c r="J1" s="1225"/>
      <c r="K1" s="1225"/>
      <c r="L1" s="1225"/>
      <c r="M1" s="1225"/>
      <c r="N1" s="1225"/>
      <c r="O1" s="1225"/>
      <c r="P1" s="1225"/>
      <c r="Q1" s="1225"/>
      <c r="R1" s="1225"/>
      <c r="S1" s="1225"/>
      <c r="T1" s="1225"/>
      <c r="U1" s="1225"/>
      <c r="V1" s="1225"/>
      <c r="W1" s="1225"/>
      <c r="X1" s="1225"/>
      <c r="Y1" s="1225"/>
      <c r="Z1" s="1225"/>
      <c r="AA1" s="1225"/>
      <c r="AB1" s="1225"/>
      <c r="AC1" s="1225"/>
      <c r="AD1" s="1225"/>
      <c r="AE1" s="1225"/>
      <c r="AF1" s="1225"/>
      <c r="AG1" s="1225"/>
      <c r="AH1" s="1225"/>
      <c r="AI1" s="1225"/>
      <c r="AJ1" s="1225"/>
      <c r="AK1" s="1228" t="s">
        <v>35</v>
      </c>
    </row>
    <row r="2" spans="1:37" ht="14.25" x14ac:dyDescent="0.2">
      <c r="A2" s="1225"/>
      <c r="B2" s="1226"/>
      <c r="C2" s="1225"/>
      <c r="D2" s="1225"/>
      <c r="E2" s="1226"/>
      <c r="F2" s="1226"/>
      <c r="G2" s="1226"/>
      <c r="H2" s="1226"/>
      <c r="I2" s="1226"/>
      <c r="J2" s="1226"/>
      <c r="K2" s="1226"/>
      <c r="L2" s="1226"/>
      <c r="M2" s="1226"/>
      <c r="N2" s="1226"/>
      <c r="O2" s="1226"/>
      <c r="P2" s="1226"/>
      <c r="Q2" s="1226"/>
      <c r="R2" s="1226"/>
      <c r="S2" s="1226"/>
      <c r="T2" s="1226"/>
      <c r="U2" s="1226"/>
      <c r="V2" s="1226"/>
      <c r="W2" s="1226"/>
      <c r="X2" s="1226"/>
      <c r="Y2" s="1226"/>
      <c r="Z2" s="1226"/>
      <c r="AA2" s="1226"/>
      <c r="AB2" s="1226"/>
      <c r="AC2" s="1226"/>
      <c r="AD2" s="1226"/>
      <c r="AE2" s="1226"/>
      <c r="AF2" s="1226"/>
      <c r="AG2" s="1226"/>
      <c r="AH2" s="1226"/>
      <c r="AI2" s="1226"/>
      <c r="AJ2" s="1225"/>
      <c r="AK2" s="1225"/>
    </row>
    <row r="3" spans="1:37" ht="14.25" x14ac:dyDescent="0.2">
      <c r="A3" s="1225"/>
      <c r="B3" s="1226"/>
      <c r="C3" s="1225"/>
      <c r="D3" s="1225"/>
      <c r="E3" s="1226"/>
      <c r="F3" s="1226"/>
      <c r="G3" s="1226"/>
      <c r="H3" s="1226"/>
      <c r="I3" s="1226"/>
      <c r="J3" s="1226"/>
      <c r="K3" s="1226"/>
      <c r="L3" s="1226"/>
      <c r="M3" s="1226"/>
      <c r="N3" s="1226"/>
      <c r="O3" s="1226"/>
      <c r="P3" s="1226"/>
      <c r="Q3" s="1226"/>
      <c r="R3" s="1226"/>
      <c r="S3" s="1226"/>
      <c r="T3" s="1226"/>
      <c r="U3" s="1226"/>
      <c r="V3" s="1226"/>
      <c r="W3" s="1226"/>
      <c r="X3" s="1226"/>
      <c r="Y3" s="1226"/>
      <c r="Z3" s="1226"/>
      <c r="AA3" s="1226"/>
      <c r="AB3" s="1226"/>
      <c r="AC3" s="1226"/>
      <c r="AD3" s="1226"/>
      <c r="AE3" s="1226"/>
      <c r="AF3" s="1226"/>
      <c r="AG3" s="1226"/>
      <c r="AH3" s="1226"/>
      <c r="AI3" s="1226"/>
      <c r="AJ3" s="1225"/>
      <c r="AK3" s="1228" t="s">
        <v>56</v>
      </c>
    </row>
    <row r="4" spans="1:37" ht="14.25" x14ac:dyDescent="0.2">
      <c r="A4" s="1225"/>
      <c r="B4" s="1225"/>
      <c r="C4" s="1225"/>
      <c r="D4" s="1225"/>
      <c r="E4" s="1225"/>
      <c r="F4" s="1225"/>
      <c r="G4" s="1225"/>
      <c r="H4" s="1225"/>
      <c r="I4" s="1225"/>
      <c r="J4" s="1225"/>
      <c r="K4" s="1225"/>
      <c r="L4" s="1225"/>
      <c r="M4" s="1225"/>
      <c r="N4" s="1225"/>
      <c r="O4" s="1225"/>
      <c r="P4" s="1225"/>
      <c r="Q4" s="1225"/>
      <c r="R4" s="1225"/>
      <c r="S4" s="1225"/>
      <c r="T4" s="1225"/>
      <c r="U4" s="1225"/>
      <c r="V4" s="1225"/>
      <c r="W4" s="1225"/>
      <c r="X4" s="1225"/>
      <c r="Y4" s="1225"/>
      <c r="Z4" s="1225"/>
      <c r="AA4" s="1225"/>
      <c r="AB4" s="1225"/>
      <c r="AC4" s="1225"/>
      <c r="AD4" s="1225"/>
      <c r="AE4" s="1225"/>
      <c r="AF4" s="1225"/>
      <c r="AG4" s="1225"/>
      <c r="AH4" s="1225"/>
      <c r="AI4" s="1225"/>
      <c r="AJ4" s="1225"/>
      <c r="AK4" s="1225"/>
    </row>
    <row r="5" spans="1:37" ht="18.75" customHeight="1" x14ac:dyDescent="0.25">
      <c r="A5" s="1229" t="s">
        <v>57</v>
      </c>
      <c r="B5" s="1225"/>
      <c r="C5" s="1225"/>
      <c r="D5" s="1225"/>
      <c r="E5" s="1225"/>
      <c r="F5" s="1225"/>
      <c r="G5" s="1225"/>
      <c r="H5" s="1225"/>
      <c r="I5" s="1225"/>
      <c r="J5" s="245"/>
      <c r="K5" s="1230" t="s">
        <v>58</v>
      </c>
      <c r="L5" s="1225"/>
      <c r="M5" s="1225"/>
      <c r="N5" s="1225"/>
      <c r="O5" s="1225"/>
      <c r="P5" s="1225"/>
      <c r="Q5" s="1230" t="s">
        <v>59</v>
      </c>
      <c r="R5" s="1225"/>
      <c r="S5" s="1225"/>
      <c r="T5" s="1225"/>
      <c r="U5" s="1225"/>
      <c r="V5" s="1225"/>
      <c r="W5" s="1225"/>
      <c r="X5" s="1225"/>
      <c r="Y5" s="1230" t="s">
        <v>60</v>
      </c>
      <c r="Z5" s="1225"/>
      <c r="AA5" s="1225"/>
      <c r="AB5" s="1225"/>
      <c r="AC5" s="1225"/>
      <c r="AD5" s="1230" t="s">
        <v>61</v>
      </c>
      <c r="AE5" s="1225"/>
      <c r="AF5" s="1225"/>
      <c r="AG5" s="1225"/>
      <c r="AH5" s="1225"/>
      <c r="AI5" s="1225"/>
      <c r="AJ5" s="246" t="s">
        <v>62</v>
      </c>
      <c r="AK5" s="246" t="s">
        <v>63</v>
      </c>
    </row>
    <row r="6" spans="1:37" ht="51" x14ac:dyDescent="0.2">
      <c r="A6" s="247" t="s">
        <v>44</v>
      </c>
      <c r="B6" s="247" t="s">
        <v>64</v>
      </c>
      <c r="C6" s="247" t="s">
        <v>65</v>
      </c>
      <c r="D6" s="248" t="s">
        <v>66</v>
      </c>
      <c r="E6" s="247" t="s">
        <v>67</v>
      </c>
      <c r="F6" s="247" t="s">
        <v>68</v>
      </c>
      <c r="G6" s="248" t="s">
        <v>69</v>
      </c>
      <c r="H6" s="248" t="s">
        <v>70</v>
      </c>
      <c r="I6" s="247" t="s">
        <v>71</v>
      </c>
      <c r="J6" s="247" t="s">
        <v>72</v>
      </c>
      <c r="K6" s="247" t="s">
        <v>73</v>
      </c>
      <c r="L6" s="247" t="s">
        <v>74</v>
      </c>
      <c r="M6" s="249" t="s">
        <v>75</v>
      </c>
      <c r="N6" s="247" t="s">
        <v>76</v>
      </c>
      <c r="O6" s="247" t="s">
        <v>77</v>
      </c>
      <c r="P6" s="247" t="s">
        <v>78</v>
      </c>
      <c r="Q6" s="247" t="s">
        <v>79</v>
      </c>
      <c r="R6" s="247" t="s">
        <v>80</v>
      </c>
      <c r="S6" s="247" t="s">
        <v>67</v>
      </c>
      <c r="T6" s="247" t="s">
        <v>70</v>
      </c>
      <c r="U6" s="247" t="s">
        <v>81</v>
      </c>
      <c r="V6" s="247" t="s">
        <v>82</v>
      </c>
      <c r="W6" s="247" t="s">
        <v>83</v>
      </c>
      <c r="X6" s="248" t="s">
        <v>84</v>
      </c>
      <c r="Y6" s="247" t="s">
        <v>85</v>
      </c>
      <c r="Z6" s="247" t="s">
        <v>86</v>
      </c>
      <c r="AA6" s="247" t="s">
        <v>87</v>
      </c>
      <c r="AB6" s="247" t="s">
        <v>88</v>
      </c>
      <c r="AC6" s="247" t="s">
        <v>89</v>
      </c>
      <c r="AD6" s="247" t="s">
        <v>90</v>
      </c>
      <c r="AE6" s="247" t="s">
        <v>91</v>
      </c>
      <c r="AF6" s="247" t="s">
        <v>92</v>
      </c>
      <c r="AG6" s="247" t="s">
        <v>91</v>
      </c>
      <c r="AH6" s="247" t="s">
        <v>93</v>
      </c>
      <c r="AI6" s="247" t="s">
        <v>91</v>
      </c>
      <c r="AJ6" s="247" t="s">
        <v>94</v>
      </c>
      <c r="AK6" s="247" t="s">
        <v>95</v>
      </c>
    </row>
    <row r="7" spans="1:37" ht="128.25" x14ac:dyDescent="0.2">
      <c r="A7" s="1231">
        <f>'[2]Identificación del Riesgo'!D9</f>
        <v>1</v>
      </c>
      <c r="B7" s="1232" t="str">
        <f>'[2]Identificación del Riesgo'!E9</f>
        <v>Extemporaneidad en la entrega de la información.</v>
      </c>
      <c r="C7" s="1232" t="str">
        <f>'[2]Identificación del Riesgo'!H9</f>
        <v>• Demoras en el recibo de la información que se requiere como insumo del proceso.
• Deficiencias en la calidad de la información que se requiere como insumo del proceso.
• Demoras en el análisis y procesamiento de la información.
• Inexistentes o inadecuadas herramientas tecnológicas para el procesamiento de la información.
• Incumplimiento, desconocimiento o baja definición de los tiempos en los que deben ser entregados los resultados del proceso por parte de los profesionales asignados.</v>
      </c>
      <c r="D7" s="1233" t="s">
        <v>210</v>
      </c>
      <c r="E7" s="1231">
        <f>IF(D7="Selecciona un descriptor de frecuencia."," ",IF(D7="","",VLOOKUP(D7,[2]Datos!$G$8:$J$12,2,FALSE)))</f>
        <v>3</v>
      </c>
      <c r="F7" s="1231" t="str">
        <f>IF(D7="Selecciona un descriptor de frecuencia."," ",IF(D7="","",VLOOKUP(D7,[2]Datos!$G$8:$J$12,3,FALSE)))</f>
        <v>Posible</v>
      </c>
      <c r="G7" s="1233" t="s">
        <v>204</v>
      </c>
      <c r="H7" s="1231">
        <f>IF(G7="Selecciona un descriptor de impacto."," ",IF(G7="","",VLOOKUP(G7,[2]Datos!$K$8:$L$12,2,FALSE)))</f>
        <v>3</v>
      </c>
      <c r="I7" s="1234" t="str">
        <f>IF(D7="Selecciona un descriptor de frecuencia."," ",IF(G7="Selecciona un descriptor de impacto."," ",IF(E7+H7=" ","",IF(E7="","",VLOOKUP(E7,[2]Datos!$U$8:$Z$12,MATCH(H7,[2]Datos!$V$7:$Z$7,0)+1,FALSE)))))</f>
        <v>ALTO</v>
      </c>
      <c r="J7" s="1235" t="s">
        <v>122</v>
      </c>
      <c r="K7" s="250" t="s">
        <v>390</v>
      </c>
      <c r="L7" s="250" t="s">
        <v>391</v>
      </c>
      <c r="M7" s="251">
        <f>[2]Controles!T9</f>
        <v>100</v>
      </c>
      <c r="N7" s="251" t="str">
        <f>[2]Controles!AB9</f>
        <v>SI</v>
      </c>
      <c r="O7" s="252">
        <f>[2]Controles!W9</f>
        <v>0</v>
      </c>
      <c r="P7" s="252">
        <f>[2]Controles!X9</f>
        <v>1</v>
      </c>
      <c r="Q7" s="1237">
        <f t="shared" ref="Q7:R7" si="0">SUM(O7:O12)</f>
        <v>5</v>
      </c>
      <c r="R7" s="1237">
        <f t="shared" si="0"/>
        <v>1</v>
      </c>
      <c r="S7" s="1238">
        <f>IF(D7="Selecciona un descriptor de frecuencia."," ",IF(ROUNDUP(E7-Q7,0)&lt;0,1,ROUNDUP(E7-Q7,0)))</f>
        <v>1</v>
      </c>
      <c r="T7" s="1238">
        <f>IF(G7="Selecciona un descriptor de impacto."," ",IF(ROUNDUP(H7-R7,0)&lt;0,1,ROUNDUP(H7-R7,0)))</f>
        <v>2</v>
      </c>
      <c r="U7" s="1237" t="str">
        <f>IF(D7="Selecciona un descriptor de frecuencia."," ",VLOOKUP(S7,[2]Datos!$H$8:$I$12,2,FALSE))</f>
        <v>Rara vez</v>
      </c>
      <c r="V7" s="1237" t="str">
        <f>IF(G7="Selecciona un descriptor de impacto."," ",VLOOKUP(T7,[2]Datos!$L$8:$M$12,2,FALSE))</f>
        <v>Menor</v>
      </c>
      <c r="W7" s="1234" t="str">
        <f>IF(S7=" "," ",VLOOKUP(S7,[2]Datos!$U$8:$Z$12,MATCH(T7,[2]Datos!$V$7:$Z$7,0)+1,FALSE))</f>
        <v>BAJO</v>
      </c>
      <c r="X7" s="1235" t="s">
        <v>187</v>
      </c>
      <c r="Y7" s="253"/>
      <c r="Z7" s="254"/>
      <c r="AA7" s="255"/>
      <c r="AB7" s="255"/>
      <c r="AC7" s="254"/>
      <c r="AD7" s="256"/>
      <c r="AE7" s="256"/>
      <c r="AF7" s="256"/>
      <c r="AG7" s="256"/>
      <c r="AH7" s="256"/>
      <c r="AI7" s="256"/>
      <c r="AJ7" s="256"/>
      <c r="AK7" s="256"/>
    </row>
    <row r="8" spans="1:37" ht="142.5" x14ac:dyDescent="0.2">
      <c r="A8" s="1225"/>
      <c r="B8" s="1225"/>
      <c r="C8" s="1225"/>
      <c r="D8" s="1225"/>
      <c r="E8" s="1225"/>
      <c r="F8" s="1225"/>
      <c r="G8" s="1225"/>
      <c r="H8" s="1225"/>
      <c r="I8" s="1225"/>
      <c r="J8" s="1225"/>
      <c r="K8" s="250" t="s">
        <v>392</v>
      </c>
      <c r="L8" s="250" t="s">
        <v>393</v>
      </c>
      <c r="M8" s="251">
        <f>[2]Controles!T10</f>
        <v>100</v>
      </c>
      <c r="N8" s="251" t="str">
        <f>[2]Controles!AB10</f>
        <v>No</v>
      </c>
      <c r="O8" s="252">
        <f>[2]Controles!W10</f>
        <v>1</v>
      </c>
      <c r="P8" s="252">
        <f>[2]Controles!X10</f>
        <v>0</v>
      </c>
      <c r="Q8" s="1225"/>
      <c r="R8" s="1225"/>
      <c r="S8" s="1225"/>
      <c r="T8" s="1225"/>
      <c r="U8" s="1225"/>
      <c r="V8" s="1225"/>
      <c r="W8" s="1225"/>
      <c r="X8" s="1236"/>
      <c r="Y8" s="257"/>
      <c r="Z8" s="258"/>
      <c r="AA8" s="255"/>
      <c r="AB8" s="255"/>
      <c r="AC8" s="258"/>
      <c r="AD8" s="256"/>
      <c r="AE8" s="256"/>
      <c r="AF8" s="256"/>
      <c r="AG8" s="256"/>
      <c r="AH8" s="256"/>
      <c r="AI8" s="256"/>
      <c r="AJ8" s="256"/>
      <c r="AK8" s="256"/>
    </row>
    <row r="9" spans="1:37" ht="95.25" customHeight="1" x14ac:dyDescent="0.2">
      <c r="A9" s="1225"/>
      <c r="B9" s="1225"/>
      <c r="C9" s="1225"/>
      <c r="D9" s="1225"/>
      <c r="E9" s="1225"/>
      <c r="F9" s="1225"/>
      <c r="G9" s="1225"/>
      <c r="H9" s="1225"/>
      <c r="I9" s="1225"/>
      <c r="J9" s="1225"/>
      <c r="K9" s="259" t="s">
        <v>394</v>
      </c>
      <c r="L9" s="253" t="s">
        <v>395</v>
      </c>
      <c r="M9" s="251">
        <f>[2]Controles!T11</f>
        <v>100</v>
      </c>
      <c r="N9" s="251" t="str">
        <f>[2]Controles!AB11</f>
        <v>No</v>
      </c>
      <c r="O9" s="252">
        <f>[2]Controles!W11</f>
        <v>1</v>
      </c>
      <c r="P9" s="252">
        <f>[2]Controles!X11</f>
        <v>0</v>
      </c>
      <c r="Q9" s="1225"/>
      <c r="R9" s="1225"/>
      <c r="S9" s="1225"/>
      <c r="T9" s="1225"/>
      <c r="U9" s="1225"/>
      <c r="V9" s="1225"/>
      <c r="W9" s="1225"/>
      <c r="X9" s="1236"/>
      <c r="Y9" s="257"/>
      <c r="Z9" s="258"/>
      <c r="AA9" s="255"/>
      <c r="AB9" s="255"/>
      <c r="AC9" s="258"/>
      <c r="AD9" s="256"/>
      <c r="AE9" s="256"/>
      <c r="AF9" s="256"/>
      <c r="AG9" s="256"/>
      <c r="AH9" s="256"/>
      <c r="AI9" s="256"/>
      <c r="AJ9" s="256"/>
      <c r="AK9" s="256"/>
    </row>
    <row r="10" spans="1:37" ht="107.25" customHeight="1" x14ac:dyDescent="0.2">
      <c r="A10" s="1225"/>
      <c r="B10" s="1225"/>
      <c r="C10" s="1225"/>
      <c r="D10" s="1225"/>
      <c r="E10" s="1225"/>
      <c r="F10" s="1225"/>
      <c r="G10" s="1225"/>
      <c r="H10" s="1225"/>
      <c r="I10" s="1225"/>
      <c r="J10" s="1225"/>
      <c r="K10" s="259" t="s">
        <v>396</v>
      </c>
      <c r="L10" s="253" t="s">
        <v>397</v>
      </c>
      <c r="M10" s="251">
        <f>[2]Controles!T13</f>
        <v>100</v>
      </c>
      <c r="N10" s="251" t="str">
        <f>[2]Controles!AB13</f>
        <v>No</v>
      </c>
      <c r="O10" s="252">
        <f>[2]Controles!W13</f>
        <v>1</v>
      </c>
      <c r="P10" s="252">
        <f>[2]Controles!X13</f>
        <v>0</v>
      </c>
      <c r="Q10" s="1225"/>
      <c r="R10" s="1225"/>
      <c r="S10" s="1225"/>
      <c r="T10" s="1225"/>
      <c r="U10" s="1225"/>
      <c r="V10" s="1225"/>
      <c r="W10" s="1225"/>
      <c r="X10" s="1236"/>
      <c r="Y10" s="258"/>
      <c r="Z10" s="258"/>
      <c r="AA10" s="255"/>
      <c r="AB10" s="255"/>
      <c r="AC10" s="258"/>
      <c r="AD10" s="256"/>
      <c r="AE10" s="256"/>
      <c r="AF10" s="256"/>
      <c r="AG10" s="256"/>
      <c r="AH10" s="256"/>
      <c r="AI10" s="256"/>
      <c r="AJ10" s="256"/>
      <c r="AK10" s="256"/>
    </row>
    <row r="11" spans="1:37" ht="141.75" customHeight="1" x14ac:dyDescent="0.2">
      <c r="A11" s="1225"/>
      <c r="B11" s="1225"/>
      <c r="C11" s="1225"/>
      <c r="D11" s="1225"/>
      <c r="E11" s="1225"/>
      <c r="F11" s="1225"/>
      <c r="G11" s="1225"/>
      <c r="H11" s="1225"/>
      <c r="I11" s="1225"/>
      <c r="J11" s="1225"/>
      <c r="K11" s="254" t="s">
        <v>398</v>
      </c>
      <c r="L11" s="250" t="s">
        <v>399</v>
      </c>
      <c r="M11" s="251">
        <f>[2]Controles!T14</f>
        <v>100</v>
      </c>
      <c r="N11" s="251" t="str">
        <f>[2]Controles!AB14</f>
        <v>No</v>
      </c>
      <c r="O11" s="252">
        <f>[2]Controles!W14</f>
        <v>1</v>
      </c>
      <c r="P11" s="252">
        <f>[2]Controles!X14</f>
        <v>0</v>
      </c>
      <c r="Q11" s="1225"/>
      <c r="R11" s="1225"/>
      <c r="S11" s="1225"/>
      <c r="T11" s="1225"/>
      <c r="U11" s="1225"/>
      <c r="V11" s="1225"/>
      <c r="W11" s="1225"/>
      <c r="X11" s="1236"/>
      <c r="Y11" s="258"/>
      <c r="Z11" s="258"/>
      <c r="AA11" s="255"/>
      <c r="AB11" s="255"/>
      <c r="AC11" s="258"/>
      <c r="AD11" s="256"/>
      <c r="AE11" s="256"/>
      <c r="AF11" s="256"/>
      <c r="AG11" s="256"/>
      <c r="AH11" s="256"/>
      <c r="AI11" s="256"/>
      <c r="AJ11" s="256"/>
      <c r="AK11" s="256"/>
    </row>
    <row r="12" spans="1:37" ht="78" customHeight="1" x14ac:dyDescent="0.2">
      <c r="A12" s="1225"/>
      <c r="B12" s="1225"/>
      <c r="C12" s="1225"/>
      <c r="D12" s="1225"/>
      <c r="E12" s="1225"/>
      <c r="F12" s="1225"/>
      <c r="G12" s="1225"/>
      <c r="H12" s="1225"/>
      <c r="I12" s="1225"/>
      <c r="J12" s="1225"/>
      <c r="K12" s="259" t="s">
        <v>400</v>
      </c>
      <c r="L12" s="250" t="s">
        <v>401</v>
      </c>
      <c r="M12" s="251">
        <f>[2]Controles!T14</f>
        <v>100</v>
      </c>
      <c r="N12" s="251" t="str">
        <f>[2]Controles!AB14</f>
        <v>No</v>
      </c>
      <c r="O12" s="252">
        <f>[2]Controles!W14</f>
        <v>1</v>
      </c>
      <c r="P12" s="252">
        <f>[2]Controles!X14</f>
        <v>0</v>
      </c>
      <c r="Q12" s="1225"/>
      <c r="R12" s="1225"/>
      <c r="S12" s="1225"/>
      <c r="T12" s="1225"/>
      <c r="U12" s="1225"/>
      <c r="V12" s="1225"/>
      <c r="W12" s="1225"/>
      <c r="X12" s="1236"/>
      <c r="Y12" s="258"/>
      <c r="Z12" s="258"/>
      <c r="AA12" s="255"/>
      <c r="AB12" s="255"/>
      <c r="AC12" s="258"/>
      <c r="AD12" s="256"/>
      <c r="AE12" s="256"/>
      <c r="AF12" s="256"/>
      <c r="AG12" s="256"/>
      <c r="AH12" s="256"/>
      <c r="AI12" s="256"/>
      <c r="AJ12" s="256"/>
      <c r="AK12" s="256"/>
    </row>
    <row r="13" spans="1:37" ht="130.5" customHeight="1" x14ac:dyDescent="0.2">
      <c r="A13" s="1239">
        <f>'[2]Identificación del Riesgo'!D10</f>
        <v>2</v>
      </c>
      <c r="B13" s="1232" t="str">
        <f>'[2]Identificación del Riesgo'!E10</f>
        <v>Proyecciones con altas desviaciones respecto del comportamiento real de la demanda.</v>
      </c>
      <c r="C13" s="1232" t="str">
        <f>'[2]Identificación del Riesgo'!H10</f>
        <v xml:space="preserve">• Deficiencias en la calidad de la información que se requiere como insumo del proceso.
• Falta de datos e información confiable.
• No comprobación y evaluación del modelo con datos históricos.
• Inadecuada definición de variables que impacten el comportamiento de las proyecciones.
• Desconocimiento en el uso de metodologías aplicadas en el proceso.
• Falta de estandarización en los lineamientos, procesos y procedimientos para el estudio de la demanda.
• Inexistentes o inadecuadas herramientas tecnológicas para el procesamiento de la información.
</v>
      </c>
      <c r="D13" s="1233" t="s">
        <v>236</v>
      </c>
      <c r="E13" s="1231">
        <f>IF(D13="Selecciona un descriptor de frecuencia."," ",IF(D13="","",VLOOKUP(D13,[2]Datos!$G$8:$J$12,2,FALSE)))</f>
        <v>1</v>
      </c>
      <c r="F13" s="1231" t="str">
        <f>IF(D13="Selecciona un descriptor de frecuencia."," ",IF(D13="","",VLOOKUP(D13,[2]Datos!$G$8:$J$12,3,FALSE)))</f>
        <v>Rara vez</v>
      </c>
      <c r="G13" s="1233" t="s">
        <v>204</v>
      </c>
      <c r="H13" s="1239">
        <f>IF(G13="","",VLOOKUP(G13,[2]Datos!$K$8:$L$12,2,FALSE))</f>
        <v>3</v>
      </c>
      <c r="I13" s="1234" t="str">
        <f>IF(D13="Selecciona un descriptor de frecuencia."," ",IF(G13="Selecciona un descriptor de impacto."," ",IF(E13+H13=" ","",IF(E13="","",VLOOKUP(E13,[2]Datos!$U$8:$Z$12,MATCH(H13,[2]Datos!$V$7:$Z$7,0)+1,FALSE)))))</f>
        <v>MODERADO</v>
      </c>
      <c r="J13" s="1233" t="s">
        <v>122</v>
      </c>
      <c r="K13" s="250" t="s">
        <v>402</v>
      </c>
      <c r="L13" s="250" t="s">
        <v>391</v>
      </c>
      <c r="M13" s="251">
        <f>[2]Controles!T15</f>
        <v>100</v>
      </c>
      <c r="N13" s="251" t="str">
        <f>[2]Controles!AB15</f>
        <v>No</v>
      </c>
      <c r="O13" s="252">
        <f>[2]Controles!W15</f>
        <v>1</v>
      </c>
      <c r="P13" s="252">
        <f>[2]Controles!X15</f>
        <v>0</v>
      </c>
      <c r="Q13" s="1240">
        <f t="shared" ref="Q13:R13" si="1">SUM(O13:O17)</f>
        <v>4</v>
      </c>
      <c r="R13" s="1240">
        <f t="shared" si="1"/>
        <v>1</v>
      </c>
      <c r="S13" s="1238">
        <f>IF(D13="Selecciona un descriptor de frecuencia."," ",IF(ROUNDUP(E13-Q13,0)&lt;=0,1,ROUNDUP(E13-Q13,0)))</f>
        <v>1</v>
      </c>
      <c r="T13" s="1238">
        <f>IF(G13="Selecciona un descriptor de impacto."," ",IF(ROUNDUP(H13-R13,0)&lt;=0,1,ROUNDUP(H13-R13,0)))</f>
        <v>2</v>
      </c>
      <c r="U13" s="1237" t="str">
        <f>IF(D13="Selecciona un descriptor de frecuencia."," ",VLOOKUP(S13,[2]Datos!$H$8:$I$12,2,FALSE))</f>
        <v>Rara vez</v>
      </c>
      <c r="V13" s="1237" t="str">
        <f>IF(G13="Selecciona un descriptor de impacto."," ",VLOOKUP(T13,[2]Datos!$L$8:$M$12,2,FALSE))</f>
        <v>Menor</v>
      </c>
      <c r="W13" s="1234" t="str">
        <f>IF(S13=" "," ",VLOOKUP(S13,[2]Datos!$U$8:$Z$12,MATCH(T13,[2]Datos!$V$7:$Z$7,0)+1,FALSE))</f>
        <v>BAJO</v>
      </c>
      <c r="X13" s="1235" t="s">
        <v>202</v>
      </c>
      <c r="Y13" s="253" t="s">
        <v>403</v>
      </c>
      <c r="Z13" s="254" t="s">
        <v>404</v>
      </c>
      <c r="AA13" s="255">
        <v>44197</v>
      </c>
      <c r="AB13" s="255">
        <v>44561</v>
      </c>
      <c r="AC13" s="254" t="s">
        <v>405</v>
      </c>
      <c r="AD13" s="260"/>
      <c r="AE13" s="260"/>
      <c r="AF13" s="260"/>
      <c r="AG13" s="260"/>
      <c r="AH13" s="260"/>
      <c r="AI13" s="260"/>
      <c r="AJ13" s="260"/>
      <c r="AK13" s="260"/>
    </row>
    <row r="14" spans="1:37" ht="71.25" customHeight="1" x14ac:dyDescent="0.2">
      <c r="A14" s="1225"/>
      <c r="B14" s="1225"/>
      <c r="C14" s="1225"/>
      <c r="D14" s="1225"/>
      <c r="E14" s="1225"/>
      <c r="F14" s="1225"/>
      <c r="G14" s="1225"/>
      <c r="H14" s="1225"/>
      <c r="I14" s="1225"/>
      <c r="J14" s="1225"/>
      <c r="K14" s="250" t="s">
        <v>406</v>
      </c>
      <c r="L14" s="250" t="s">
        <v>407</v>
      </c>
      <c r="M14" s="251">
        <f>[2]Controles!T16</f>
        <v>100</v>
      </c>
      <c r="N14" s="251" t="str">
        <f>[2]Controles!AB16</f>
        <v>SI</v>
      </c>
      <c r="O14" s="252">
        <f>[2]Controles!W16</f>
        <v>0</v>
      </c>
      <c r="P14" s="252">
        <f>[2]Controles!X16</f>
        <v>1</v>
      </c>
      <c r="Q14" s="1225"/>
      <c r="R14" s="1225"/>
      <c r="S14" s="1225"/>
      <c r="T14" s="1225"/>
      <c r="U14" s="1225"/>
      <c r="V14" s="1225"/>
      <c r="W14" s="1225"/>
      <c r="X14" s="1236"/>
      <c r="Y14" s="257"/>
      <c r="Z14" s="258"/>
      <c r="AA14" s="255"/>
      <c r="AB14" s="255"/>
      <c r="AC14" s="258"/>
      <c r="AD14" s="260"/>
      <c r="AE14" s="260"/>
      <c r="AF14" s="260"/>
      <c r="AG14" s="260"/>
      <c r="AH14" s="260"/>
      <c r="AI14" s="260"/>
      <c r="AJ14" s="260"/>
      <c r="AK14" s="260"/>
    </row>
    <row r="15" spans="1:37" ht="114" x14ac:dyDescent="0.2">
      <c r="A15" s="1225"/>
      <c r="B15" s="1225"/>
      <c r="C15" s="1225"/>
      <c r="D15" s="1225"/>
      <c r="E15" s="1225"/>
      <c r="F15" s="1225"/>
      <c r="G15" s="1225"/>
      <c r="H15" s="1225"/>
      <c r="I15" s="1225"/>
      <c r="J15" s="1225"/>
      <c r="K15" s="250" t="s">
        <v>408</v>
      </c>
      <c r="L15" s="250" t="s">
        <v>409</v>
      </c>
      <c r="M15" s="251">
        <f>[2]Controles!T17</f>
        <v>100</v>
      </c>
      <c r="N15" s="251" t="str">
        <f>[2]Controles!AB17</f>
        <v>No</v>
      </c>
      <c r="O15" s="252">
        <f>[2]Controles!W17</f>
        <v>1</v>
      </c>
      <c r="P15" s="252">
        <f>[2]Controles!X17</f>
        <v>0</v>
      </c>
      <c r="Q15" s="1225"/>
      <c r="R15" s="1225"/>
      <c r="S15" s="1225"/>
      <c r="T15" s="1225"/>
      <c r="U15" s="1225"/>
      <c r="V15" s="1225"/>
      <c r="W15" s="1225"/>
      <c r="X15" s="1236"/>
      <c r="Y15" s="257"/>
      <c r="Z15" s="258"/>
      <c r="AA15" s="255"/>
      <c r="AB15" s="255"/>
      <c r="AC15" s="258"/>
      <c r="AD15" s="260"/>
      <c r="AE15" s="260"/>
      <c r="AF15" s="260"/>
      <c r="AG15" s="260"/>
      <c r="AH15" s="260"/>
      <c r="AI15" s="260"/>
      <c r="AJ15" s="260"/>
      <c r="AK15" s="260"/>
    </row>
    <row r="16" spans="1:37" ht="93.75" customHeight="1" x14ac:dyDescent="0.2">
      <c r="A16" s="1225"/>
      <c r="B16" s="1225"/>
      <c r="C16" s="1225"/>
      <c r="D16" s="1225"/>
      <c r="E16" s="1225"/>
      <c r="F16" s="1225"/>
      <c r="G16" s="1225"/>
      <c r="H16" s="1225"/>
      <c r="I16" s="1225"/>
      <c r="J16" s="1225"/>
      <c r="K16" s="250" t="s">
        <v>410</v>
      </c>
      <c r="L16" s="253" t="s">
        <v>411</v>
      </c>
      <c r="M16" s="251">
        <f>[2]Controles!T18</f>
        <v>100</v>
      </c>
      <c r="N16" s="251" t="str">
        <f>[2]Controles!AB18</f>
        <v>No</v>
      </c>
      <c r="O16" s="252">
        <f>[2]Controles!W18</f>
        <v>1</v>
      </c>
      <c r="P16" s="252">
        <f>[2]Controles!X18</f>
        <v>0</v>
      </c>
      <c r="Q16" s="1225"/>
      <c r="R16" s="1225"/>
      <c r="S16" s="1225"/>
      <c r="T16" s="1225"/>
      <c r="U16" s="1225"/>
      <c r="V16" s="1225"/>
      <c r="W16" s="1225"/>
      <c r="X16" s="1236"/>
      <c r="Y16" s="257"/>
      <c r="Z16" s="258"/>
      <c r="AA16" s="255"/>
      <c r="AB16" s="255"/>
      <c r="AC16" s="258"/>
      <c r="AD16" s="260"/>
      <c r="AE16" s="260"/>
      <c r="AF16" s="260"/>
      <c r="AG16" s="260"/>
      <c r="AH16" s="260"/>
      <c r="AI16" s="260"/>
      <c r="AJ16" s="260"/>
      <c r="AK16" s="260"/>
    </row>
    <row r="17" spans="1:37" ht="60.75" customHeight="1" x14ac:dyDescent="0.2">
      <c r="A17" s="1225"/>
      <c r="B17" s="1225"/>
      <c r="C17" s="1225"/>
      <c r="D17" s="1225"/>
      <c r="E17" s="1225"/>
      <c r="F17" s="1225"/>
      <c r="G17" s="1225"/>
      <c r="H17" s="1225"/>
      <c r="I17" s="1225"/>
      <c r="J17" s="1225"/>
      <c r="K17" s="250" t="s">
        <v>412</v>
      </c>
      <c r="L17" s="253" t="s">
        <v>413</v>
      </c>
      <c r="M17" s="251">
        <f>[2]Controles!T19</f>
        <v>100</v>
      </c>
      <c r="N17" s="251" t="str">
        <f>[2]Controles!AB19</f>
        <v>No</v>
      </c>
      <c r="O17" s="252">
        <f>[2]Controles!W19</f>
        <v>1</v>
      </c>
      <c r="P17" s="252">
        <f>[2]Controles!X19</f>
        <v>0</v>
      </c>
      <c r="Q17" s="1225"/>
      <c r="R17" s="1225"/>
      <c r="S17" s="1225"/>
      <c r="T17" s="1225"/>
      <c r="U17" s="1225"/>
      <c r="V17" s="1225"/>
      <c r="W17" s="1225"/>
      <c r="X17" s="1236"/>
      <c r="Y17" s="257"/>
      <c r="Z17" s="258"/>
      <c r="AA17" s="255"/>
      <c r="AB17" s="255"/>
      <c r="AC17" s="258"/>
      <c r="AD17" s="260"/>
      <c r="AE17" s="260"/>
      <c r="AF17" s="260"/>
      <c r="AG17" s="260"/>
      <c r="AH17" s="260"/>
      <c r="AI17" s="260"/>
      <c r="AJ17" s="260"/>
      <c r="AK17" s="260"/>
    </row>
    <row r="18" spans="1:37" ht="65.25" customHeight="1" x14ac:dyDescent="0.2">
      <c r="A18" s="1239">
        <f>'[2]Identificación del Riesgo'!D11</f>
        <v>3</v>
      </c>
      <c r="B18" s="1232" t="str">
        <f>'[2]Identificación del Riesgo'!E11</f>
        <v>Baja calidad de los productos del proceso Demanda y Prospectiva.</v>
      </c>
      <c r="C18" s="1232" t="str">
        <f>'[2]Identificación del Riesgo'!H11</f>
        <v xml:space="preserve">• Bajo nivel de comunicación entre las dependencias y definición de acuerdos.
•  Inadecuada interrelación entre los procesos.
• Baja o nula definición de los requisitos de los productos generados por los clientes del proceso Demanda y Prospectiva.
• Inadecuados procesos de revisión y seguimiento a la calidad de los productos del proceso Demanda y Prospectiva.
• Baja calidad de los insumos del proceso (datos e información).
</v>
      </c>
      <c r="D18" s="1233" t="s">
        <v>223</v>
      </c>
      <c r="E18" s="1231">
        <f>IF(D18="Selecciona un descriptor de frecuencia."," ",IF(D18="","",VLOOKUP(D18,[2]Datos!$G$8:$J$12,2,FALSE)))</f>
        <v>2</v>
      </c>
      <c r="F18" s="1231" t="str">
        <f>IF(D18="Selecciona un descriptor de frecuencia."," ",IF(D18="","",VLOOKUP(D18,[2]Datos!$G$8:$J$12,3,FALSE)))</f>
        <v>Improbable</v>
      </c>
      <c r="G18" s="1233" t="s">
        <v>204</v>
      </c>
      <c r="H18" s="1239">
        <f>IF(G18="","",VLOOKUP(G18,[2]Datos!$K$8:$L$12,2,FALSE))</f>
        <v>3</v>
      </c>
      <c r="I18" s="1234" t="str">
        <f>IF(D18="Selecciona un descriptor de frecuencia."," ",IF(G18="Selecciona un descriptor de impacto."," ",IF(E18+H18=" ","",IF(E18="","",VLOOKUP(E18,[2]Datos!$U$8:$Z$12,MATCH(H18,[2]Datos!$V$7:$Z$7,0)+1,FALSE)))))</f>
        <v>MODERADO</v>
      </c>
      <c r="J18" s="1233" t="s">
        <v>122</v>
      </c>
      <c r="K18" s="254" t="s">
        <v>414</v>
      </c>
      <c r="L18" s="253" t="s">
        <v>415</v>
      </c>
      <c r="M18" s="251">
        <f>[2]Controles!T20</f>
        <v>100</v>
      </c>
      <c r="N18" s="251" t="str">
        <f>[2]Controles!AB20</f>
        <v>No</v>
      </c>
      <c r="O18" s="252">
        <f>[2]Controles!W20</f>
        <v>1</v>
      </c>
      <c r="P18" s="252">
        <f>[2]Controles!X20</f>
        <v>0</v>
      </c>
      <c r="Q18" s="1240">
        <f>SUM(O18:O21)</f>
        <v>4</v>
      </c>
      <c r="R18" s="1240">
        <f>SUM(P18:P21)</f>
        <v>0</v>
      </c>
      <c r="S18" s="1238">
        <f>IF(D18="Selecciona un descriptor de frecuencia."," ",IF(ROUNDUP(E18-Q18,0)&lt;0,1,ROUNDUP(E18-Q18,0)))</f>
        <v>1</v>
      </c>
      <c r="T18" s="1238">
        <f>IF(G18="Selecciona un descriptor de impacto."," ",IF(ROUNDUP(H18-R18,0)&lt;0,1,ROUNDUP(H18-R18,0)))</f>
        <v>3</v>
      </c>
      <c r="U18" s="1237" t="str">
        <f>IF(D18="Selecciona un descriptor de frecuencia."," ",VLOOKUP(S18,[2]Datos!$H$8:$I$12,2,FALSE))</f>
        <v>Rara vez</v>
      </c>
      <c r="V18" s="1237" t="str">
        <f>IF(G18="Selecciona un descriptor de impacto."," ",VLOOKUP(T18,[2]Datos!$L$8:$M$12,2,FALSE))</f>
        <v>Moderado</v>
      </c>
      <c r="W18" s="1234" t="str">
        <f>IF(S18=" "," ",VLOOKUP(S18,[2]Datos!$U$8:$Z$12,MATCH(T18,[2]Datos!$V$7:$Z$7,0)+1,FALSE))</f>
        <v>MODERADO</v>
      </c>
      <c r="X18" s="1235" t="s">
        <v>202</v>
      </c>
      <c r="Y18" s="253" t="s">
        <v>403</v>
      </c>
      <c r="Z18" s="254" t="s">
        <v>404</v>
      </c>
      <c r="AA18" s="255">
        <v>44197</v>
      </c>
      <c r="AB18" s="255">
        <v>44561</v>
      </c>
      <c r="AC18" s="254" t="s">
        <v>405</v>
      </c>
      <c r="AD18" s="260"/>
      <c r="AE18" s="260"/>
      <c r="AF18" s="260"/>
      <c r="AG18" s="260"/>
      <c r="AH18" s="260"/>
      <c r="AI18" s="260"/>
      <c r="AJ18" s="260"/>
      <c r="AK18" s="260"/>
    </row>
    <row r="19" spans="1:37" ht="142.5" x14ac:dyDescent="0.2">
      <c r="A19" s="1225"/>
      <c r="B19" s="1225"/>
      <c r="C19" s="1225"/>
      <c r="D19" s="1225"/>
      <c r="E19" s="1225"/>
      <c r="F19" s="1225"/>
      <c r="G19" s="1225"/>
      <c r="H19" s="1225"/>
      <c r="I19" s="1225"/>
      <c r="J19" s="1225"/>
      <c r="K19" s="250" t="s">
        <v>392</v>
      </c>
      <c r="L19" s="250" t="s">
        <v>393</v>
      </c>
      <c r="M19" s="251">
        <f>[2]Controles!T21</f>
        <v>100</v>
      </c>
      <c r="N19" s="251" t="str">
        <f>[2]Controles!AB21</f>
        <v>No</v>
      </c>
      <c r="O19" s="252">
        <f>[2]Controles!W21</f>
        <v>1</v>
      </c>
      <c r="P19" s="252">
        <f>[2]Controles!X21</f>
        <v>0</v>
      </c>
      <c r="Q19" s="1225"/>
      <c r="R19" s="1225"/>
      <c r="S19" s="1225"/>
      <c r="T19" s="1225"/>
      <c r="U19" s="1225"/>
      <c r="V19" s="1225"/>
      <c r="W19" s="1225"/>
      <c r="X19" s="1236"/>
      <c r="Y19" s="258"/>
      <c r="Z19" s="258"/>
      <c r="AA19" s="255"/>
      <c r="AB19" s="255"/>
      <c r="AC19" s="258"/>
      <c r="AD19" s="260"/>
      <c r="AE19" s="260"/>
      <c r="AF19" s="260"/>
      <c r="AG19" s="260"/>
      <c r="AH19" s="260"/>
      <c r="AI19" s="260"/>
      <c r="AJ19" s="260"/>
      <c r="AK19" s="260"/>
    </row>
    <row r="20" spans="1:37" ht="105" customHeight="1" x14ac:dyDescent="0.2">
      <c r="A20" s="1225"/>
      <c r="B20" s="1225"/>
      <c r="C20" s="1225"/>
      <c r="D20" s="1225"/>
      <c r="E20" s="1225"/>
      <c r="F20" s="1225"/>
      <c r="G20" s="1225"/>
      <c r="H20" s="1225"/>
      <c r="I20" s="1225"/>
      <c r="J20" s="1225"/>
      <c r="K20" s="259" t="s">
        <v>416</v>
      </c>
      <c r="L20" s="253" t="s">
        <v>417</v>
      </c>
      <c r="M20" s="251">
        <f>[2]Controles!T22</f>
        <v>100</v>
      </c>
      <c r="N20" s="251" t="str">
        <f>[2]Controles!AB22</f>
        <v>No</v>
      </c>
      <c r="O20" s="252">
        <f>[2]Controles!W22</f>
        <v>1</v>
      </c>
      <c r="P20" s="252">
        <f>[2]Controles!X22</f>
        <v>0</v>
      </c>
      <c r="Q20" s="1225"/>
      <c r="R20" s="1225"/>
      <c r="S20" s="1225"/>
      <c r="T20" s="1225"/>
      <c r="U20" s="1225"/>
      <c r="V20" s="1225"/>
      <c r="W20" s="1225"/>
      <c r="X20" s="1236"/>
      <c r="Y20" s="258"/>
      <c r="Z20" s="258"/>
      <c r="AA20" s="255"/>
      <c r="AB20" s="255"/>
      <c r="AC20" s="258"/>
      <c r="AD20" s="260"/>
      <c r="AE20" s="260"/>
      <c r="AF20" s="260"/>
      <c r="AG20" s="260"/>
      <c r="AH20" s="260"/>
      <c r="AI20" s="260"/>
      <c r="AJ20" s="260"/>
      <c r="AK20" s="260"/>
    </row>
    <row r="21" spans="1:37" ht="114" x14ac:dyDescent="0.2">
      <c r="A21" s="1225"/>
      <c r="B21" s="1225"/>
      <c r="C21" s="1225"/>
      <c r="D21" s="1225"/>
      <c r="E21" s="1225"/>
      <c r="F21" s="1225"/>
      <c r="G21" s="1225"/>
      <c r="H21" s="1225"/>
      <c r="I21" s="1225"/>
      <c r="J21" s="1225"/>
      <c r="K21" s="250" t="s">
        <v>408</v>
      </c>
      <c r="L21" s="250" t="s">
        <v>409</v>
      </c>
      <c r="M21" s="251">
        <f>[2]Controles!T23</f>
        <v>100</v>
      </c>
      <c r="N21" s="251" t="str">
        <f>[2]Controles!AB23</f>
        <v>No</v>
      </c>
      <c r="O21" s="252">
        <f>[2]Controles!W23</f>
        <v>1</v>
      </c>
      <c r="P21" s="252">
        <f>[2]Controles!X23</f>
        <v>0</v>
      </c>
      <c r="Q21" s="1225"/>
      <c r="R21" s="1225"/>
      <c r="S21" s="1225"/>
      <c r="T21" s="1225"/>
      <c r="U21" s="1225"/>
      <c r="V21" s="1225"/>
      <c r="W21" s="1225"/>
      <c r="X21" s="1236"/>
      <c r="Y21" s="257"/>
      <c r="Z21" s="258"/>
      <c r="AA21" s="255"/>
      <c r="AB21" s="255"/>
      <c r="AC21" s="258"/>
      <c r="AD21" s="260"/>
      <c r="AE21" s="260"/>
      <c r="AF21" s="260"/>
      <c r="AG21" s="260"/>
      <c r="AH21" s="260"/>
      <c r="AI21" s="260"/>
      <c r="AJ21" s="260"/>
      <c r="AK21" s="260"/>
    </row>
    <row r="22" spans="1:37" ht="140.25" customHeight="1" x14ac:dyDescent="0.2">
      <c r="A22" s="1239">
        <f>'[2]Identificación del Riesgo'!D12</f>
        <v>4</v>
      </c>
      <c r="B22" s="1232" t="str">
        <f>'[2]Identificación del Riesgo'!E12</f>
        <v>Posibilidad de alterar o manipular resultados del proceso con beneficio propio o favorecimiento a terceros.</v>
      </c>
      <c r="C22" s="1232" t="str">
        <f>'[2]Identificación del Riesgo'!H12</f>
        <v>• Presiones indebidas por parte de particulares que buscan un beneficio propio.
• Trafico de influencias.
• Falta de integridad de los funcionarios encargados del proceso.
• Alto grado de discrecionalidad.
• Falta de estandarización en los lineamientos, procesos y procedimientos.
• Alteración y manipulación de información sin niveles de revisión y seguimiento.</v>
      </c>
      <c r="D22" s="1233" t="s">
        <v>236</v>
      </c>
      <c r="E22" s="1231">
        <f>IF(D22="Selecciona un descriptor de frecuencia."," ",IF(D22="","",VLOOKUP(D22,[2]Datos!$G$8:$J$12,2,FALSE)))</f>
        <v>1</v>
      </c>
      <c r="F22" s="1231" t="str">
        <f>IF(D22="Selecciona un descriptor de frecuencia."," ",IF(D22="","",VLOOKUP(D22,[2]Datos!$G$8:$J$12,3,FALSE)))</f>
        <v>Rara vez</v>
      </c>
      <c r="G22" s="1233" t="s">
        <v>199</v>
      </c>
      <c r="H22" s="1239">
        <f>IF(G22="","",VLOOKUP(G22,[2]Datos!$K$8:$L$12,2,FALSE))</f>
        <v>4</v>
      </c>
      <c r="I22" s="1234" t="str">
        <f>IF(D22="Selecciona un descriptor de frecuencia."," ",IF(G22="Selecciona un descriptor de impacto."," ",IF(E22+H22=" ","",IF(E22="","",VLOOKUP(E22,[2]Datos!$U$8:$Z$12,MATCH(H22,[2]Datos!$V$7:$Z$7,0)+1,FALSE)))))</f>
        <v>ALTO</v>
      </c>
      <c r="J22" s="1233" t="s">
        <v>122</v>
      </c>
      <c r="K22" s="250" t="s">
        <v>418</v>
      </c>
      <c r="L22" s="250" t="s">
        <v>419</v>
      </c>
      <c r="M22" s="251">
        <f>[2]Controles!T24</f>
        <v>100</v>
      </c>
      <c r="N22" s="251" t="str">
        <f>[2]Controles!AB24</f>
        <v>No</v>
      </c>
      <c r="O22" s="252">
        <f>[2]Controles!W24</f>
        <v>1</v>
      </c>
      <c r="P22" s="252">
        <f>[2]Controles!X24</f>
        <v>1</v>
      </c>
      <c r="Q22" s="1240">
        <f>SUM(O22:O25)</f>
        <v>3</v>
      </c>
      <c r="R22" s="1240">
        <f>SUM(P22:P25)</f>
        <v>2</v>
      </c>
      <c r="S22" s="1238">
        <f>IF(D22="Selecciona un descriptor de frecuencia."," ",IF(ROUNDUP(E22-Q22,0)&lt;0,1,ROUNDUP(E22-Q22,0)))</f>
        <v>1</v>
      </c>
      <c r="T22" s="1238">
        <f>IF(G22="Selecciona un descriptor de impacto."," ",IF(ROUNDUP(H22-R22,0)&lt;0,1,ROUNDUP(H22-R22,0)))</f>
        <v>2</v>
      </c>
      <c r="U22" s="1237" t="str">
        <f>IF(D22="Selecciona un descriptor de frecuencia."," ",VLOOKUP(S22,[2]Datos!$H$8:$I$12,2,FALSE))</f>
        <v>Rara vez</v>
      </c>
      <c r="V22" s="1237" t="str">
        <f>IF(G22="Selecciona un descriptor de impacto."," ",VLOOKUP(T22,[2]Datos!$L$8:$M$12,2,FALSE))</f>
        <v>Menor</v>
      </c>
      <c r="W22" s="1234" t="str">
        <f>IF(S22=" "," ",VLOOKUP(S22,[2]Datos!$U$8:$Z$12,MATCH(T22,[2]Datos!$V$7:$Z$7,0)+1,FALSE))</f>
        <v>BAJO</v>
      </c>
      <c r="X22" s="1235" t="s">
        <v>202</v>
      </c>
      <c r="Y22" s="254" t="s">
        <v>309</v>
      </c>
      <c r="Z22" s="258" t="s">
        <v>307</v>
      </c>
      <c r="AA22" s="261">
        <v>43831</v>
      </c>
      <c r="AB22" s="261">
        <v>44196</v>
      </c>
      <c r="AC22" s="254" t="s">
        <v>310</v>
      </c>
      <c r="AD22" s="260"/>
      <c r="AE22" s="260"/>
      <c r="AF22" s="260"/>
      <c r="AG22" s="260"/>
      <c r="AH22" s="260"/>
      <c r="AI22" s="260"/>
      <c r="AJ22" s="260"/>
      <c r="AK22" s="260"/>
    </row>
    <row r="23" spans="1:37" ht="137.25" customHeight="1" x14ac:dyDescent="0.2">
      <c r="A23" s="1225"/>
      <c r="B23" s="1225"/>
      <c r="C23" s="1225"/>
      <c r="D23" s="1225"/>
      <c r="E23" s="1225"/>
      <c r="F23" s="1225"/>
      <c r="G23" s="1225"/>
      <c r="H23" s="1225"/>
      <c r="I23" s="1225"/>
      <c r="J23" s="1225"/>
      <c r="K23" s="250" t="s">
        <v>420</v>
      </c>
      <c r="L23" s="250" t="s">
        <v>421</v>
      </c>
      <c r="M23" s="251">
        <f>[2]Controles!T25</f>
        <v>100</v>
      </c>
      <c r="N23" s="251" t="str">
        <f>[2]Controles!AB25</f>
        <v>No</v>
      </c>
      <c r="O23" s="252">
        <f>[2]Controles!W25</f>
        <v>1</v>
      </c>
      <c r="P23" s="252">
        <f>[2]Controles!X25</f>
        <v>0</v>
      </c>
      <c r="Q23" s="1225"/>
      <c r="R23" s="1225"/>
      <c r="S23" s="1225"/>
      <c r="T23" s="1225"/>
      <c r="U23" s="1225"/>
      <c r="V23" s="1225"/>
      <c r="W23" s="1225"/>
      <c r="X23" s="1236"/>
      <c r="Y23" s="258" t="s">
        <v>308</v>
      </c>
      <c r="Z23" s="258" t="s">
        <v>307</v>
      </c>
      <c r="AA23" s="261">
        <v>43831</v>
      </c>
      <c r="AB23" s="261">
        <v>44196</v>
      </c>
      <c r="AC23" s="254" t="s">
        <v>311</v>
      </c>
      <c r="AD23" s="260"/>
      <c r="AE23" s="260"/>
      <c r="AF23" s="260"/>
      <c r="AG23" s="260"/>
      <c r="AH23" s="260"/>
      <c r="AI23" s="260"/>
      <c r="AJ23" s="260"/>
      <c r="AK23" s="260"/>
    </row>
    <row r="24" spans="1:37" ht="153" customHeight="1" x14ac:dyDescent="0.2">
      <c r="A24" s="1225"/>
      <c r="B24" s="1225"/>
      <c r="C24" s="1225"/>
      <c r="D24" s="1225"/>
      <c r="E24" s="1225"/>
      <c r="F24" s="1225"/>
      <c r="G24" s="1225"/>
      <c r="H24" s="1225"/>
      <c r="I24" s="1225"/>
      <c r="J24" s="1225"/>
      <c r="K24" s="250" t="s">
        <v>392</v>
      </c>
      <c r="L24" s="250" t="s">
        <v>393</v>
      </c>
      <c r="M24" s="251">
        <f>[2]Controles!T26</f>
        <v>100</v>
      </c>
      <c r="N24" s="251" t="str">
        <f>[2]Controles!AB26</f>
        <v>No</v>
      </c>
      <c r="O24" s="252">
        <f>[2]Controles!W26</f>
        <v>1</v>
      </c>
      <c r="P24" s="252">
        <f>[2]Controles!X26</f>
        <v>0</v>
      </c>
      <c r="Q24" s="1225"/>
      <c r="R24" s="1225"/>
      <c r="S24" s="1225"/>
      <c r="T24" s="1225"/>
      <c r="U24" s="1225"/>
      <c r="V24" s="1225"/>
      <c r="W24" s="1225"/>
      <c r="X24" s="1236"/>
      <c r="Y24" s="258"/>
      <c r="Z24" s="258"/>
      <c r="AA24" s="255"/>
      <c r="AB24" s="255"/>
      <c r="AC24" s="258"/>
      <c r="AD24" s="260"/>
      <c r="AE24" s="260"/>
      <c r="AF24" s="260"/>
      <c r="AG24" s="260"/>
      <c r="AH24" s="260"/>
      <c r="AI24" s="260"/>
      <c r="AJ24" s="260"/>
      <c r="AK24" s="260"/>
    </row>
    <row r="25" spans="1:37" ht="114" x14ac:dyDescent="0.2">
      <c r="A25" s="1225"/>
      <c r="B25" s="1225"/>
      <c r="C25" s="1225"/>
      <c r="D25" s="1225"/>
      <c r="E25" s="1225"/>
      <c r="F25" s="1225"/>
      <c r="G25" s="1225"/>
      <c r="H25" s="1225"/>
      <c r="I25" s="1225"/>
      <c r="J25" s="1225"/>
      <c r="K25" s="250" t="s">
        <v>422</v>
      </c>
      <c r="L25" s="262" t="s">
        <v>295</v>
      </c>
      <c r="M25" s="251">
        <f>[2]Controles!T27</f>
        <v>100</v>
      </c>
      <c r="N25" s="251" t="str">
        <f>[2]Controles!AB27</f>
        <v>SI</v>
      </c>
      <c r="O25" s="252">
        <f>[2]Controles!W27</f>
        <v>0</v>
      </c>
      <c r="P25" s="252">
        <f>[2]Controles!X27</f>
        <v>1</v>
      </c>
      <c r="Q25" s="1225"/>
      <c r="R25" s="1225"/>
      <c r="S25" s="1225"/>
      <c r="T25" s="1225"/>
      <c r="U25" s="1225"/>
      <c r="V25" s="1225"/>
      <c r="W25" s="1225"/>
      <c r="X25" s="1236"/>
      <c r="Y25" s="257"/>
      <c r="Z25" s="258"/>
      <c r="AA25" s="255"/>
      <c r="AB25" s="255"/>
      <c r="AC25" s="258"/>
      <c r="AD25" s="260"/>
      <c r="AE25" s="260"/>
      <c r="AF25" s="260"/>
      <c r="AG25" s="260"/>
      <c r="AH25" s="260"/>
      <c r="AI25" s="260"/>
      <c r="AJ25" s="260"/>
      <c r="AK25" s="260"/>
    </row>
    <row r="26" spans="1:37" ht="15.75" customHeight="1" x14ac:dyDescent="0.25">
      <c r="A26" s="244"/>
      <c r="C26" s="263"/>
      <c r="D26" s="264"/>
      <c r="E26" s="244"/>
      <c r="F26" s="244"/>
      <c r="G26" s="244"/>
      <c r="H26" s="244"/>
      <c r="K26" s="265"/>
      <c r="S26" s="244"/>
    </row>
    <row r="27" spans="1:37" ht="15.75" customHeight="1" x14ac:dyDescent="0.25">
      <c r="A27" s="244"/>
      <c r="C27" s="263"/>
      <c r="D27" s="264"/>
      <c r="E27" s="244"/>
      <c r="F27" s="244"/>
      <c r="G27" s="244"/>
      <c r="H27" s="244"/>
      <c r="K27" s="265"/>
      <c r="S27" s="244"/>
    </row>
    <row r="28" spans="1:37" ht="15.75" customHeight="1" x14ac:dyDescent="0.25">
      <c r="A28" s="244"/>
      <c r="C28" s="263"/>
      <c r="D28" s="264"/>
      <c r="E28" s="244"/>
      <c r="F28" s="244"/>
      <c r="G28" s="244"/>
      <c r="H28" s="244"/>
      <c r="K28" s="265"/>
      <c r="S28" s="244"/>
    </row>
    <row r="29" spans="1:37" ht="15.75" customHeight="1" x14ac:dyDescent="0.25">
      <c r="A29" s="244"/>
      <c r="C29" s="263"/>
      <c r="D29" s="264"/>
      <c r="E29" s="244"/>
      <c r="F29" s="244"/>
      <c r="G29" s="244"/>
      <c r="H29" s="244"/>
      <c r="K29" s="265"/>
      <c r="S29" s="244"/>
    </row>
    <row r="30" spans="1:37" ht="15.75" customHeight="1" x14ac:dyDescent="0.25">
      <c r="A30" s="244"/>
      <c r="C30" s="263"/>
      <c r="D30" s="264"/>
      <c r="E30" s="244"/>
      <c r="F30" s="244"/>
      <c r="G30" s="244"/>
      <c r="H30" s="244"/>
      <c r="K30" s="265"/>
      <c r="S30" s="244"/>
    </row>
    <row r="31" spans="1:37" ht="15.75" customHeight="1" x14ac:dyDescent="0.25">
      <c r="A31" s="244"/>
      <c r="C31" s="263"/>
      <c r="D31" s="264"/>
      <c r="E31" s="244"/>
      <c r="F31" s="244"/>
      <c r="G31" s="244"/>
      <c r="H31" s="244"/>
      <c r="K31" s="265"/>
      <c r="S31" s="244"/>
    </row>
    <row r="32" spans="1:37" ht="15.75" customHeight="1" x14ac:dyDescent="0.25">
      <c r="A32" s="244"/>
      <c r="C32" s="263"/>
      <c r="D32" s="264"/>
      <c r="E32" s="244"/>
      <c r="F32" s="244"/>
      <c r="G32" s="244"/>
      <c r="H32" s="244"/>
      <c r="K32" s="265"/>
      <c r="S32" s="244"/>
    </row>
    <row r="33" spans="1:19" ht="15.75" customHeight="1" x14ac:dyDescent="0.25">
      <c r="A33" s="244"/>
      <c r="C33" s="263"/>
      <c r="D33" s="264"/>
      <c r="E33" s="244"/>
      <c r="F33" s="244"/>
      <c r="G33" s="244"/>
      <c r="H33" s="244"/>
      <c r="K33" s="265"/>
      <c r="S33" s="244"/>
    </row>
    <row r="34" spans="1:19" ht="15.75" customHeight="1" x14ac:dyDescent="0.25">
      <c r="A34" s="244"/>
      <c r="C34" s="263"/>
      <c r="D34" s="264"/>
      <c r="E34" s="244"/>
      <c r="F34" s="244"/>
      <c r="G34" s="244"/>
      <c r="H34" s="244"/>
      <c r="K34" s="265"/>
      <c r="S34" s="244"/>
    </row>
    <row r="35" spans="1:19" ht="15.75" customHeight="1" x14ac:dyDescent="0.25">
      <c r="A35" s="244"/>
      <c r="C35" s="263"/>
      <c r="D35" s="264"/>
      <c r="E35" s="244"/>
      <c r="F35" s="244"/>
      <c r="G35" s="244"/>
      <c r="H35" s="244"/>
      <c r="K35" s="265"/>
      <c r="S35" s="244"/>
    </row>
    <row r="36" spans="1:19" ht="15.75" customHeight="1" x14ac:dyDescent="0.25">
      <c r="A36" s="244"/>
      <c r="C36" s="263"/>
      <c r="D36" s="264"/>
      <c r="E36" s="244"/>
      <c r="F36" s="244"/>
      <c r="G36" s="244"/>
      <c r="H36" s="244"/>
      <c r="K36" s="265"/>
      <c r="S36" s="244"/>
    </row>
    <row r="37" spans="1:19" ht="15.75" customHeight="1" x14ac:dyDescent="0.25">
      <c r="A37" s="244"/>
      <c r="C37" s="263"/>
      <c r="D37" s="264"/>
      <c r="E37" s="244"/>
      <c r="F37" s="244"/>
      <c r="G37" s="244"/>
      <c r="H37" s="244"/>
      <c r="K37" s="265"/>
      <c r="S37" s="244"/>
    </row>
    <row r="38" spans="1:19" ht="15.75" customHeight="1" x14ac:dyDescent="0.25">
      <c r="A38" s="244"/>
      <c r="C38" s="263"/>
      <c r="D38" s="264"/>
      <c r="E38" s="244"/>
      <c r="F38" s="244"/>
      <c r="G38" s="244"/>
      <c r="H38" s="244"/>
      <c r="K38" s="265"/>
      <c r="S38" s="244"/>
    </row>
    <row r="39" spans="1:19" ht="15.75" customHeight="1" x14ac:dyDescent="0.25">
      <c r="A39" s="244"/>
      <c r="C39" s="263"/>
      <c r="D39" s="264"/>
      <c r="E39" s="244"/>
      <c r="F39" s="244"/>
      <c r="G39" s="244"/>
      <c r="H39" s="244"/>
      <c r="K39" s="265"/>
      <c r="S39" s="244"/>
    </row>
    <row r="40" spans="1:19" ht="15.75" customHeight="1" x14ac:dyDescent="0.25">
      <c r="A40" s="244"/>
      <c r="C40" s="263"/>
      <c r="D40" s="264"/>
      <c r="E40" s="244"/>
      <c r="F40" s="244"/>
      <c r="G40" s="244"/>
      <c r="H40" s="244"/>
      <c r="K40" s="265"/>
      <c r="S40" s="244"/>
    </row>
    <row r="41" spans="1:19" ht="15.75" customHeight="1" x14ac:dyDescent="0.25">
      <c r="A41" s="244"/>
      <c r="C41" s="263"/>
      <c r="D41" s="264"/>
      <c r="E41" s="244"/>
      <c r="F41" s="244"/>
      <c r="G41" s="244"/>
      <c r="H41" s="244"/>
      <c r="K41" s="265"/>
      <c r="S41" s="244"/>
    </row>
    <row r="42" spans="1:19" ht="15.75" customHeight="1" x14ac:dyDescent="0.25">
      <c r="A42" s="244"/>
      <c r="C42" s="263"/>
      <c r="D42" s="264"/>
      <c r="E42" s="244"/>
      <c r="F42" s="244"/>
      <c r="G42" s="244"/>
      <c r="H42" s="244"/>
      <c r="K42" s="265"/>
      <c r="S42" s="244"/>
    </row>
    <row r="43" spans="1:19" ht="15.75" customHeight="1" x14ac:dyDescent="0.25">
      <c r="A43" s="244"/>
      <c r="C43" s="263"/>
      <c r="D43" s="264"/>
      <c r="E43" s="244"/>
      <c r="F43" s="244"/>
      <c r="G43" s="244"/>
      <c r="H43" s="244"/>
      <c r="K43" s="265"/>
      <c r="S43" s="244"/>
    </row>
    <row r="44" spans="1:19" ht="15.75" customHeight="1" x14ac:dyDescent="0.25">
      <c r="A44" s="244"/>
      <c r="C44" s="263"/>
      <c r="D44" s="264"/>
      <c r="E44" s="244"/>
      <c r="F44" s="244"/>
      <c r="G44" s="244"/>
      <c r="H44" s="244"/>
      <c r="K44" s="265"/>
      <c r="S44" s="244"/>
    </row>
    <row r="45" spans="1:19" ht="15.75" customHeight="1" x14ac:dyDescent="0.25">
      <c r="A45" s="244"/>
      <c r="C45" s="263"/>
      <c r="D45" s="264"/>
      <c r="E45" s="244"/>
      <c r="F45" s="244"/>
      <c r="G45" s="244"/>
      <c r="H45" s="244"/>
      <c r="K45" s="265"/>
      <c r="S45" s="244"/>
    </row>
    <row r="46" spans="1:19" ht="15.75" customHeight="1" x14ac:dyDescent="0.25">
      <c r="A46" s="244"/>
      <c r="C46" s="263"/>
      <c r="D46" s="264"/>
      <c r="E46" s="244"/>
      <c r="F46" s="244"/>
      <c r="G46" s="244"/>
      <c r="H46" s="244"/>
      <c r="K46" s="265"/>
      <c r="S46" s="244"/>
    </row>
    <row r="47" spans="1:19" ht="15.75" customHeight="1" x14ac:dyDescent="0.25">
      <c r="A47" s="244"/>
      <c r="C47" s="263"/>
      <c r="D47" s="264"/>
      <c r="E47" s="244"/>
      <c r="F47" s="244"/>
      <c r="G47" s="244"/>
      <c r="H47" s="244"/>
      <c r="K47" s="265"/>
      <c r="S47" s="244"/>
    </row>
    <row r="48" spans="1:19" ht="15.75" customHeight="1" x14ac:dyDescent="0.25">
      <c r="A48" s="244"/>
      <c r="C48" s="263"/>
      <c r="D48" s="264"/>
      <c r="E48" s="244"/>
      <c r="F48" s="244"/>
      <c r="G48" s="244"/>
      <c r="H48" s="244"/>
      <c r="K48" s="265"/>
      <c r="S48" s="244"/>
    </row>
    <row r="49" spans="1:19" ht="15.75" customHeight="1" x14ac:dyDescent="0.25">
      <c r="A49" s="244"/>
      <c r="C49" s="263"/>
      <c r="D49" s="264"/>
      <c r="E49" s="244"/>
      <c r="F49" s="244"/>
      <c r="G49" s="244"/>
      <c r="H49" s="244"/>
      <c r="K49" s="265"/>
      <c r="S49" s="244"/>
    </row>
    <row r="50" spans="1:19" ht="15.75" customHeight="1" x14ac:dyDescent="0.25">
      <c r="A50" s="244"/>
      <c r="C50" s="263"/>
      <c r="D50" s="264"/>
      <c r="E50" s="244"/>
      <c r="F50" s="244"/>
      <c r="G50" s="244"/>
      <c r="H50" s="244"/>
      <c r="K50" s="265"/>
      <c r="S50" s="244"/>
    </row>
    <row r="51" spans="1:19" ht="15.75" customHeight="1" x14ac:dyDescent="0.25">
      <c r="A51" s="244"/>
      <c r="C51" s="263"/>
      <c r="D51" s="264"/>
      <c r="E51" s="244"/>
      <c r="F51" s="244"/>
      <c r="G51" s="244"/>
      <c r="H51" s="244"/>
      <c r="K51" s="265"/>
      <c r="S51" s="244"/>
    </row>
    <row r="52" spans="1:19" ht="15.75" customHeight="1" x14ac:dyDescent="0.25">
      <c r="A52" s="244"/>
      <c r="C52" s="263"/>
      <c r="D52" s="264"/>
      <c r="E52" s="244"/>
      <c r="F52" s="244"/>
      <c r="G52" s="244"/>
      <c r="H52" s="244"/>
      <c r="K52" s="265"/>
      <c r="S52" s="244"/>
    </row>
    <row r="53" spans="1:19" ht="15.75" customHeight="1" x14ac:dyDescent="0.25">
      <c r="A53" s="244"/>
      <c r="C53" s="263"/>
      <c r="D53" s="264"/>
      <c r="E53" s="244"/>
      <c r="F53" s="244"/>
      <c r="G53" s="244"/>
      <c r="H53" s="244"/>
      <c r="K53" s="265"/>
      <c r="S53" s="244"/>
    </row>
    <row r="54" spans="1:19" ht="15.75" customHeight="1" x14ac:dyDescent="0.25">
      <c r="A54" s="244"/>
      <c r="C54" s="263"/>
      <c r="D54" s="264"/>
      <c r="E54" s="244"/>
      <c r="F54" s="244"/>
      <c r="G54" s="244"/>
      <c r="H54" s="244"/>
      <c r="K54" s="265"/>
      <c r="S54" s="244"/>
    </row>
    <row r="55" spans="1:19" ht="15.75" customHeight="1" x14ac:dyDescent="0.25">
      <c r="A55" s="244"/>
      <c r="C55" s="263"/>
      <c r="D55" s="264"/>
      <c r="E55" s="244"/>
      <c r="F55" s="244"/>
      <c r="G55" s="244"/>
      <c r="H55" s="244"/>
      <c r="K55" s="265"/>
      <c r="S55" s="244"/>
    </row>
    <row r="56" spans="1:19" ht="15.75" customHeight="1" x14ac:dyDescent="0.25">
      <c r="A56" s="244"/>
      <c r="C56" s="263"/>
      <c r="D56" s="264"/>
      <c r="E56" s="244"/>
      <c r="F56" s="244"/>
      <c r="G56" s="244"/>
      <c r="H56" s="244"/>
      <c r="K56" s="265"/>
      <c r="S56" s="244"/>
    </row>
    <row r="57" spans="1:19" ht="15.75" customHeight="1" x14ac:dyDescent="0.25">
      <c r="A57" s="244"/>
      <c r="C57" s="263"/>
      <c r="D57" s="264"/>
      <c r="E57" s="244"/>
      <c r="F57" s="244"/>
      <c r="G57" s="244"/>
      <c r="H57" s="244"/>
      <c r="K57" s="265"/>
      <c r="S57" s="244"/>
    </row>
    <row r="58" spans="1:19" ht="15.75" customHeight="1" x14ac:dyDescent="0.25">
      <c r="A58" s="244"/>
      <c r="C58" s="263"/>
      <c r="D58" s="264"/>
      <c r="E58" s="244"/>
      <c r="F58" s="244"/>
      <c r="G58" s="244"/>
      <c r="H58" s="244"/>
      <c r="K58" s="265"/>
      <c r="S58" s="244"/>
    </row>
    <row r="59" spans="1:19" ht="15.75" customHeight="1" x14ac:dyDescent="0.25">
      <c r="A59" s="244"/>
      <c r="C59" s="263"/>
      <c r="D59" s="264"/>
      <c r="E59" s="244"/>
      <c r="F59" s="244"/>
      <c r="G59" s="244"/>
      <c r="H59" s="244"/>
      <c r="K59" s="265"/>
      <c r="S59" s="244"/>
    </row>
    <row r="60" spans="1:19" ht="15.75" customHeight="1" x14ac:dyDescent="0.25">
      <c r="A60" s="244"/>
      <c r="C60" s="263"/>
      <c r="D60" s="264"/>
      <c r="E60" s="244"/>
      <c r="F60" s="244"/>
      <c r="G60" s="244"/>
      <c r="H60" s="244"/>
      <c r="K60" s="265"/>
      <c r="S60" s="244"/>
    </row>
    <row r="61" spans="1:19" ht="15.75" customHeight="1" x14ac:dyDescent="0.25">
      <c r="A61" s="244"/>
      <c r="C61" s="263"/>
      <c r="D61" s="264"/>
      <c r="E61" s="244"/>
      <c r="F61" s="244"/>
      <c r="G61" s="244"/>
      <c r="H61" s="244"/>
      <c r="K61" s="265"/>
      <c r="S61" s="244"/>
    </row>
    <row r="62" spans="1:19" ht="15.75" customHeight="1" x14ac:dyDescent="0.25">
      <c r="A62" s="244"/>
      <c r="C62" s="263"/>
      <c r="D62" s="264"/>
      <c r="E62" s="244"/>
      <c r="F62" s="244"/>
      <c r="G62" s="244"/>
      <c r="H62" s="244"/>
      <c r="K62" s="265"/>
      <c r="S62" s="244"/>
    </row>
    <row r="63" spans="1:19" ht="15.75" customHeight="1" x14ac:dyDescent="0.25">
      <c r="A63" s="244"/>
      <c r="C63" s="263"/>
      <c r="D63" s="264"/>
      <c r="E63" s="244"/>
      <c r="F63" s="244"/>
      <c r="G63" s="244"/>
      <c r="H63" s="244"/>
      <c r="K63" s="265"/>
      <c r="S63" s="244"/>
    </row>
    <row r="64" spans="1:19" ht="15.75" customHeight="1" x14ac:dyDescent="0.25">
      <c r="A64" s="244"/>
      <c r="C64" s="263"/>
      <c r="D64" s="264"/>
      <c r="E64" s="244"/>
      <c r="F64" s="244"/>
      <c r="G64" s="244"/>
      <c r="H64" s="244"/>
      <c r="K64" s="265"/>
      <c r="S64" s="244"/>
    </row>
    <row r="65" spans="1:19" ht="15.75" customHeight="1" x14ac:dyDescent="0.25">
      <c r="A65" s="244"/>
      <c r="C65" s="263"/>
      <c r="D65" s="264"/>
      <c r="E65" s="244"/>
      <c r="F65" s="244"/>
      <c r="G65" s="244"/>
      <c r="H65" s="244"/>
      <c r="K65" s="265"/>
      <c r="S65" s="244"/>
    </row>
    <row r="66" spans="1:19" ht="15.75" customHeight="1" x14ac:dyDescent="0.25">
      <c r="A66" s="244"/>
      <c r="C66" s="263"/>
      <c r="D66" s="264"/>
      <c r="E66" s="244"/>
      <c r="F66" s="244"/>
      <c r="G66" s="244"/>
      <c r="H66" s="244"/>
      <c r="K66" s="265"/>
      <c r="S66" s="244"/>
    </row>
    <row r="67" spans="1:19" ht="15.75" customHeight="1" x14ac:dyDescent="0.25">
      <c r="A67" s="244"/>
      <c r="C67" s="263"/>
      <c r="D67" s="264"/>
      <c r="E67" s="244"/>
      <c r="F67" s="244"/>
      <c r="G67" s="244"/>
      <c r="H67" s="244"/>
      <c r="K67" s="265"/>
      <c r="S67" s="244"/>
    </row>
    <row r="68" spans="1:19" ht="15.75" customHeight="1" x14ac:dyDescent="0.25">
      <c r="A68" s="244"/>
      <c r="C68" s="263"/>
      <c r="D68" s="264"/>
      <c r="E68" s="244"/>
      <c r="F68" s="244"/>
      <c r="G68" s="244"/>
      <c r="H68" s="244"/>
      <c r="K68" s="265"/>
      <c r="S68" s="244"/>
    </row>
    <row r="69" spans="1:19" ht="15.75" customHeight="1" x14ac:dyDescent="0.25">
      <c r="A69" s="244"/>
      <c r="C69" s="263"/>
      <c r="D69" s="264"/>
      <c r="E69" s="244"/>
      <c r="F69" s="244"/>
      <c r="G69" s="244"/>
      <c r="H69" s="244"/>
      <c r="K69" s="265"/>
      <c r="S69" s="244"/>
    </row>
    <row r="70" spans="1:19" ht="15.75" customHeight="1" x14ac:dyDescent="0.25">
      <c r="A70" s="244"/>
      <c r="C70" s="263"/>
      <c r="D70" s="264"/>
      <c r="E70" s="244"/>
      <c r="F70" s="244"/>
      <c r="G70" s="244"/>
      <c r="H70" s="244"/>
      <c r="K70" s="265"/>
      <c r="S70" s="244"/>
    </row>
    <row r="71" spans="1:19" ht="15.75" customHeight="1" x14ac:dyDescent="0.25">
      <c r="A71" s="244"/>
      <c r="C71" s="263"/>
      <c r="D71" s="264"/>
      <c r="E71" s="244"/>
      <c r="F71" s="244"/>
      <c r="G71" s="244"/>
      <c r="H71" s="244"/>
      <c r="K71" s="265"/>
      <c r="S71" s="244"/>
    </row>
    <row r="72" spans="1:19" ht="15.75" customHeight="1" x14ac:dyDescent="0.25">
      <c r="A72" s="244"/>
      <c r="C72" s="263"/>
      <c r="D72" s="264"/>
      <c r="E72" s="244"/>
      <c r="F72" s="244"/>
      <c r="G72" s="244"/>
      <c r="H72" s="244"/>
      <c r="K72" s="265"/>
      <c r="S72" s="244"/>
    </row>
    <row r="73" spans="1:19" ht="15.75" customHeight="1" x14ac:dyDescent="0.25">
      <c r="A73" s="244"/>
      <c r="C73" s="263"/>
      <c r="D73" s="264"/>
      <c r="E73" s="244"/>
      <c r="F73" s="244"/>
      <c r="G73" s="244"/>
      <c r="H73" s="244"/>
      <c r="K73" s="265"/>
      <c r="S73" s="244"/>
    </row>
    <row r="74" spans="1:19" ht="15.75" customHeight="1" x14ac:dyDescent="0.25">
      <c r="A74" s="244"/>
      <c r="C74" s="263"/>
      <c r="D74" s="264"/>
      <c r="E74" s="244"/>
      <c r="F74" s="244"/>
      <c r="G74" s="244"/>
      <c r="H74" s="244"/>
      <c r="K74" s="265"/>
      <c r="S74" s="244"/>
    </row>
    <row r="75" spans="1:19" ht="15.75" customHeight="1" x14ac:dyDescent="0.25">
      <c r="A75" s="244"/>
      <c r="C75" s="263"/>
      <c r="D75" s="264"/>
      <c r="E75" s="244"/>
      <c r="F75" s="244"/>
      <c r="G75" s="244"/>
      <c r="H75" s="244"/>
      <c r="K75" s="265"/>
      <c r="S75" s="244"/>
    </row>
    <row r="76" spans="1:19" ht="15.75" customHeight="1" x14ac:dyDescent="0.25">
      <c r="A76" s="244"/>
      <c r="C76" s="263"/>
      <c r="D76" s="264"/>
      <c r="E76" s="244"/>
      <c r="F76" s="244"/>
      <c r="G76" s="244"/>
      <c r="H76" s="244"/>
      <c r="K76" s="265"/>
      <c r="S76" s="244"/>
    </row>
    <row r="77" spans="1:19" ht="15.75" customHeight="1" x14ac:dyDescent="0.25">
      <c r="A77" s="244"/>
      <c r="C77" s="263"/>
      <c r="D77" s="264"/>
      <c r="E77" s="244"/>
      <c r="F77" s="244"/>
      <c r="G77" s="244"/>
      <c r="H77" s="244"/>
      <c r="K77" s="265"/>
      <c r="S77" s="244"/>
    </row>
    <row r="78" spans="1:19" ht="15.75" customHeight="1" x14ac:dyDescent="0.25">
      <c r="A78" s="244"/>
      <c r="C78" s="263"/>
      <c r="D78" s="264"/>
      <c r="E78" s="244"/>
      <c r="F78" s="244"/>
      <c r="G78" s="244"/>
      <c r="H78" s="244"/>
      <c r="K78" s="265"/>
      <c r="S78" s="244"/>
    </row>
    <row r="79" spans="1:19" ht="15.75" customHeight="1" x14ac:dyDescent="0.25">
      <c r="A79" s="244"/>
      <c r="C79" s="263"/>
      <c r="D79" s="264"/>
      <c r="E79" s="244"/>
      <c r="F79" s="244"/>
      <c r="G79" s="244"/>
      <c r="H79" s="244"/>
      <c r="K79" s="265"/>
      <c r="S79" s="244"/>
    </row>
    <row r="80" spans="1:19" ht="15.75" customHeight="1" x14ac:dyDescent="0.25">
      <c r="A80" s="244"/>
      <c r="C80" s="263"/>
      <c r="D80" s="264"/>
      <c r="E80" s="244"/>
      <c r="F80" s="244"/>
      <c r="G80" s="244"/>
      <c r="H80" s="244"/>
      <c r="K80" s="265"/>
      <c r="S80" s="244"/>
    </row>
    <row r="81" spans="1:19" ht="15.75" customHeight="1" x14ac:dyDescent="0.25">
      <c r="A81" s="244"/>
      <c r="C81" s="263"/>
      <c r="D81" s="264"/>
      <c r="E81" s="244"/>
      <c r="F81" s="244"/>
      <c r="G81" s="244"/>
      <c r="H81" s="244"/>
      <c r="K81" s="265"/>
      <c r="S81" s="244"/>
    </row>
    <row r="82" spans="1:19" ht="15.75" customHeight="1" x14ac:dyDescent="0.25">
      <c r="A82" s="244"/>
      <c r="C82" s="263"/>
      <c r="D82" s="264"/>
      <c r="E82" s="244"/>
      <c r="F82" s="244"/>
      <c r="G82" s="244"/>
      <c r="H82" s="244"/>
      <c r="K82" s="265"/>
      <c r="S82" s="244"/>
    </row>
    <row r="83" spans="1:19" ht="15.75" customHeight="1" x14ac:dyDescent="0.25">
      <c r="A83" s="244"/>
      <c r="C83" s="263"/>
      <c r="D83" s="264"/>
      <c r="E83" s="244"/>
      <c r="F83" s="244"/>
      <c r="G83" s="244"/>
      <c r="H83" s="244"/>
      <c r="K83" s="265"/>
      <c r="S83" s="244"/>
    </row>
    <row r="84" spans="1:19" ht="15.75" customHeight="1" x14ac:dyDescent="0.25">
      <c r="A84" s="244"/>
      <c r="C84" s="263"/>
      <c r="D84" s="264"/>
      <c r="E84" s="244"/>
      <c r="F84" s="244"/>
      <c r="G84" s="244"/>
      <c r="H84" s="244"/>
      <c r="K84" s="265"/>
      <c r="S84" s="244"/>
    </row>
    <row r="85" spans="1:19" ht="15.75" customHeight="1" x14ac:dyDescent="0.25">
      <c r="A85" s="244"/>
      <c r="C85" s="263"/>
      <c r="D85" s="264"/>
      <c r="E85" s="244"/>
      <c r="F85" s="244"/>
      <c r="G85" s="244"/>
      <c r="H85" s="244"/>
      <c r="K85" s="265"/>
      <c r="S85" s="244"/>
    </row>
    <row r="86" spans="1:19" ht="15.75" customHeight="1" x14ac:dyDescent="0.25">
      <c r="A86" s="244"/>
      <c r="C86" s="263"/>
      <c r="D86" s="264"/>
      <c r="E86" s="244"/>
      <c r="F86" s="244"/>
      <c r="G86" s="244"/>
      <c r="H86" s="244"/>
      <c r="K86" s="265"/>
      <c r="S86" s="244"/>
    </row>
    <row r="87" spans="1:19" ht="15.75" customHeight="1" x14ac:dyDescent="0.25">
      <c r="A87" s="244"/>
      <c r="C87" s="263"/>
      <c r="D87" s="264"/>
      <c r="E87" s="244"/>
      <c r="F87" s="244"/>
      <c r="G87" s="244"/>
      <c r="H87" s="244"/>
      <c r="K87" s="265"/>
      <c r="S87" s="244"/>
    </row>
    <row r="88" spans="1:19" ht="15.75" customHeight="1" x14ac:dyDescent="0.25">
      <c r="A88" s="244"/>
      <c r="C88" s="263"/>
      <c r="D88" s="264"/>
      <c r="E88" s="244"/>
      <c r="F88" s="244"/>
      <c r="G88" s="244"/>
      <c r="H88" s="244"/>
      <c r="K88" s="265"/>
      <c r="S88" s="244"/>
    </row>
    <row r="89" spans="1:19" ht="15.75" customHeight="1" x14ac:dyDescent="0.25">
      <c r="A89" s="244"/>
      <c r="C89" s="263"/>
      <c r="D89" s="264"/>
      <c r="E89" s="244"/>
      <c r="F89" s="244"/>
      <c r="G89" s="244"/>
      <c r="H89" s="244"/>
      <c r="K89" s="265"/>
      <c r="S89" s="244"/>
    </row>
    <row r="90" spans="1:19" ht="15.75" customHeight="1" x14ac:dyDescent="0.25">
      <c r="A90" s="244"/>
      <c r="C90" s="263"/>
      <c r="D90" s="264"/>
      <c r="E90" s="244"/>
      <c r="F90" s="244"/>
      <c r="G90" s="244"/>
      <c r="H90" s="244"/>
      <c r="K90" s="265"/>
      <c r="S90" s="244"/>
    </row>
    <row r="91" spans="1:19" ht="15.75" customHeight="1" x14ac:dyDescent="0.25">
      <c r="A91" s="244"/>
      <c r="C91" s="263"/>
      <c r="D91" s="264"/>
      <c r="E91" s="244"/>
      <c r="F91" s="244"/>
      <c r="G91" s="244"/>
      <c r="H91" s="244"/>
      <c r="K91" s="265"/>
      <c r="S91" s="244"/>
    </row>
    <row r="92" spans="1:19" ht="15.75" customHeight="1" x14ac:dyDescent="0.25">
      <c r="A92" s="244"/>
      <c r="C92" s="263"/>
      <c r="D92" s="264"/>
      <c r="E92" s="244"/>
      <c r="F92" s="244"/>
      <c r="G92" s="244"/>
      <c r="H92" s="244"/>
      <c r="K92" s="265"/>
      <c r="S92" s="244"/>
    </row>
    <row r="93" spans="1:19" ht="15.75" customHeight="1" x14ac:dyDescent="0.25">
      <c r="A93" s="244"/>
      <c r="C93" s="263"/>
      <c r="D93" s="264"/>
      <c r="E93" s="244"/>
      <c r="F93" s="244"/>
      <c r="G93" s="244"/>
      <c r="H93" s="244"/>
      <c r="K93" s="265"/>
      <c r="S93" s="244"/>
    </row>
    <row r="94" spans="1:19" ht="15.75" customHeight="1" x14ac:dyDescent="0.25">
      <c r="A94" s="244"/>
      <c r="C94" s="263"/>
      <c r="D94" s="264"/>
      <c r="E94" s="244"/>
      <c r="F94" s="244"/>
      <c r="G94" s="244"/>
      <c r="H94" s="244"/>
      <c r="K94" s="265"/>
      <c r="S94" s="244"/>
    </row>
    <row r="95" spans="1:19" ht="15.75" customHeight="1" x14ac:dyDescent="0.25">
      <c r="A95" s="244"/>
      <c r="C95" s="263"/>
      <c r="D95" s="264"/>
      <c r="E95" s="244"/>
      <c r="F95" s="244"/>
      <c r="G95" s="244"/>
      <c r="H95" s="244"/>
      <c r="K95" s="265"/>
      <c r="S95" s="244"/>
    </row>
    <row r="96" spans="1:19" ht="15.75" customHeight="1" x14ac:dyDescent="0.25">
      <c r="A96" s="244"/>
      <c r="C96" s="263"/>
      <c r="D96" s="264"/>
      <c r="E96" s="244"/>
      <c r="F96" s="244"/>
      <c r="G96" s="244"/>
      <c r="H96" s="244"/>
      <c r="K96" s="265"/>
      <c r="S96" s="244"/>
    </row>
    <row r="97" spans="1:19" ht="15.75" customHeight="1" x14ac:dyDescent="0.25">
      <c r="A97" s="244"/>
      <c r="C97" s="263"/>
      <c r="D97" s="264"/>
      <c r="E97" s="244"/>
      <c r="F97" s="244"/>
      <c r="G97" s="244"/>
      <c r="H97" s="244"/>
      <c r="K97" s="265"/>
      <c r="S97" s="244"/>
    </row>
    <row r="98" spans="1:19" ht="15.75" customHeight="1" x14ac:dyDescent="0.25">
      <c r="A98" s="244"/>
      <c r="C98" s="263"/>
      <c r="D98" s="264"/>
      <c r="E98" s="244"/>
      <c r="F98" s="244"/>
      <c r="G98" s="244"/>
      <c r="H98" s="244"/>
      <c r="K98" s="265"/>
      <c r="S98" s="244"/>
    </row>
    <row r="99" spans="1:19" ht="15.75" customHeight="1" x14ac:dyDescent="0.25">
      <c r="A99" s="244"/>
      <c r="C99" s="263"/>
      <c r="D99" s="264"/>
      <c r="E99" s="244"/>
      <c r="F99" s="244"/>
      <c r="G99" s="244"/>
      <c r="H99" s="244"/>
      <c r="K99" s="265"/>
      <c r="S99" s="244"/>
    </row>
    <row r="100" spans="1:19" ht="15.75" customHeight="1" x14ac:dyDescent="0.25">
      <c r="A100" s="244"/>
      <c r="C100" s="263"/>
      <c r="D100" s="264"/>
      <c r="E100" s="244"/>
      <c r="F100" s="244"/>
      <c r="G100" s="244"/>
      <c r="H100" s="244"/>
      <c r="K100" s="265"/>
      <c r="S100" s="244"/>
    </row>
    <row r="101" spans="1:19" ht="15.75" customHeight="1" x14ac:dyDescent="0.25">
      <c r="A101" s="244"/>
      <c r="C101" s="263"/>
      <c r="D101" s="264"/>
      <c r="E101" s="244"/>
      <c r="F101" s="244"/>
      <c r="G101" s="244"/>
      <c r="H101" s="244"/>
      <c r="K101" s="265"/>
      <c r="S101" s="244"/>
    </row>
    <row r="102" spans="1:19" ht="15.75" customHeight="1" x14ac:dyDescent="0.25">
      <c r="A102" s="244"/>
      <c r="C102" s="263"/>
      <c r="D102" s="264"/>
      <c r="E102" s="244"/>
      <c r="F102" s="244"/>
      <c r="G102" s="244"/>
      <c r="H102" s="244"/>
      <c r="K102" s="265"/>
      <c r="S102" s="244"/>
    </row>
    <row r="103" spans="1:19" ht="15.75" customHeight="1" x14ac:dyDescent="0.25">
      <c r="A103" s="244"/>
      <c r="C103" s="263"/>
      <c r="D103" s="264"/>
      <c r="E103" s="244"/>
      <c r="F103" s="244"/>
      <c r="G103" s="244"/>
      <c r="H103" s="244"/>
      <c r="K103" s="265"/>
      <c r="S103" s="244"/>
    </row>
    <row r="104" spans="1:19" ht="15.75" customHeight="1" x14ac:dyDescent="0.25">
      <c r="A104" s="244"/>
      <c r="C104" s="263"/>
      <c r="D104" s="264"/>
      <c r="E104" s="244"/>
      <c r="F104" s="244"/>
      <c r="G104" s="244"/>
      <c r="H104" s="244"/>
      <c r="K104" s="265"/>
      <c r="S104" s="244"/>
    </row>
    <row r="105" spans="1:19" ht="15.75" customHeight="1" x14ac:dyDescent="0.25">
      <c r="A105" s="244"/>
      <c r="C105" s="263"/>
      <c r="D105" s="264"/>
      <c r="E105" s="244"/>
      <c r="F105" s="244"/>
      <c r="G105" s="244"/>
      <c r="H105" s="244"/>
      <c r="K105" s="265"/>
      <c r="S105" s="244"/>
    </row>
    <row r="106" spans="1:19" ht="15.75" customHeight="1" x14ac:dyDescent="0.25">
      <c r="A106" s="244"/>
      <c r="C106" s="263"/>
      <c r="D106" s="264"/>
      <c r="E106" s="244"/>
      <c r="F106" s="244"/>
      <c r="G106" s="244"/>
      <c r="H106" s="244"/>
      <c r="K106" s="265"/>
      <c r="S106" s="244"/>
    </row>
    <row r="107" spans="1:19" ht="15.75" customHeight="1" x14ac:dyDescent="0.25">
      <c r="A107" s="244"/>
      <c r="C107" s="263"/>
      <c r="D107" s="264"/>
      <c r="E107" s="244"/>
      <c r="F107" s="244"/>
      <c r="G107" s="244"/>
      <c r="H107" s="244"/>
      <c r="K107" s="265"/>
      <c r="S107" s="244"/>
    </row>
    <row r="108" spans="1:19" ht="15.75" customHeight="1" x14ac:dyDescent="0.25">
      <c r="A108" s="244"/>
      <c r="C108" s="263"/>
      <c r="D108" s="264"/>
      <c r="E108" s="244"/>
      <c r="F108" s="244"/>
      <c r="G108" s="244"/>
      <c r="H108" s="244"/>
      <c r="K108" s="265"/>
      <c r="S108" s="244"/>
    </row>
    <row r="109" spans="1:19" ht="15.75" customHeight="1" x14ac:dyDescent="0.25">
      <c r="A109" s="244"/>
      <c r="C109" s="263"/>
      <c r="D109" s="264"/>
      <c r="E109" s="244"/>
      <c r="F109" s="244"/>
      <c r="G109" s="244"/>
      <c r="H109" s="244"/>
      <c r="K109" s="265"/>
      <c r="S109" s="244"/>
    </row>
    <row r="110" spans="1:19" ht="15.75" customHeight="1" x14ac:dyDescent="0.25">
      <c r="A110" s="244"/>
      <c r="C110" s="263"/>
      <c r="D110" s="264"/>
      <c r="E110" s="244"/>
      <c r="F110" s="244"/>
      <c r="G110" s="244"/>
      <c r="H110" s="244"/>
      <c r="K110" s="265"/>
      <c r="S110" s="244"/>
    </row>
    <row r="111" spans="1:19" ht="15.75" customHeight="1" x14ac:dyDescent="0.25">
      <c r="A111" s="244"/>
      <c r="C111" s="263"/>
      <c r="D111" s="264"/>
      <c r="E111" s="244"/>
      <c r="F111" s="244"/>
      <c r="G111" s="244"/>
      <c r="H111" s="244"/>
      <c r="K111" s="265"/>
      <c r="S111" s="244"/>
    </row>
    <row r="112" spans="1:19" ht="15.75" customHeight="1" x14ac:dyDescent="0.25">
      <c r="A112" s="244"/>
      <c r="C112" s="263"/>
      <c r="D112" s="264"/>
      <c r="E112" s="244"/>
      <c r="F112" s="244"/>
      <c r="G112" s="244"/>
      <c r="H112" s="244"/>
      <c r="K112" s="265"/>
      <c r="S112" s="244"/>
    </row>
    <row r="113" spans="1:19" ht="15.75" customHeight="1" x14ac:dyDescent="0.25">
      <c r="A113" s="244"/>
      <c r="C113" s="263"/>
      <c r="D113" s="264"/>
      <c r="E113" s="244"/>
      <c r="F113" s="244"/>
      <c r="G113" s="244"/>
      <c r="H113" s="244"/>
      <c r="K113" s="265"/>
      <c r="S113" s="244"/>
    </row>
    <row r="114" spans="1:19" ht="15.75" customHeight="1" x14ac:dyDescent="0.25">
      <c r="A114" s="244"/>
      <c r="C114" s="263"/>
      <c r="D114" s="264"/>
      <c r="E114" s="244"/>
      <c r="F114" s="244"/>
      <c r="G114" s="244"/>
      <c r="H114" s="244"/>
      <c r="K114" s="265"/>
      <c r="S114" s="244"/>
    </row>
    <row r="115" spans="1:19" ht="15.75" customHeight="1" x14ac:dyDescent="0.25">
      <c r="A115" s="244"/>
      <c r="C115" s="263"/>
      <c r="D115" s="264"/>
      <c r="E115" s="244"/>
      <c r="F115" s="244"/>
      <c r="G115" s="244"/>
      <c r="H115" s="244"/>
      <c r="K115" s="265"/>
      <c r="S115" s="244"/>
    </row>
    <row r="116" spans="1:19" ht="15.75" customHeight="1" x14ac:dyDescent="0.25">
      <c r="A116" s="244"/>
      <c r="C116" s="263"/>
      <c r="D116" s="264"/>
      <c r="E116" s="244"/>
      <c r="F116" s="244"/>
      <c r="G116" s="244"/>
      <c r="H116" s="244"/>
      <c r="K116" s="265"/>
      <c r="S116" s="244"/>
    </row>
    <row r="117" spans="1:19" ht="15.75" customHeight="1" x14ac:dyDescent="0.25">
      <c r="A117" s="244"/>
      <c r="C117" s="263"/>
      <c r="D117" s="264"/>
      <c r="E117" s="244"/>
      <c r="F117" s="244"/>
      <c r="G117" s="244"/>
      <c r="H117" s="244"/>
      <c r="K117" s="265"/>
      <c r="S117" s="244"/>
    </row>
    <row r="118" spans="1:19" ht="15.75" customHeight="1" x14ac:dyDescent="0.25">
      <c r="A118" s="244"/>
      <c r="C118" s="263"/>
      <c r="D118" s="264"/>
      <c r="E118" s="244"/>
      <c r="F118" s="244"/>
      <c r="G118" s="244"/>
      <c r="H118" s="244"/>
      <c r="K118" s="265"/>
      <c r="S118" s="244"/>
    </row>
    <row r="119" spans="1:19" ht="15.75" customHeight="1" x14ac:dyDescent="0.25">
      <c r="A119" s="244"/>
      <c r="C119" s="263"/>
      <c r="D119" s="264"/>
      <c r="E119" s="244"/>
      <c r="F119" s="244"/>
      <c r="G119" s="244"/>
      <c r="H119" s="244"/>
      <c r="K119" s="265"/>
      <c r="S119" s="244"/>
    </row>
    <row r="120" spans="1:19" ht="15.75" customHeight="1" x14ac:dyDescent="0.25">
      <c r="A120" s="244"/>
      <c r="C120" s="263"/>
      <c r="D120" s="264"/>
      <c r="E120" s="244"/>
      <c r="F120" s="244"/>
      <c r="G120" s="244"/>
      <c r="H120" s="244"/>
      <c r="K120" s="265"/>
      <c r="S120" s="244"/>
    </row>
    <row r="121" spans="1:19" ht="15.75" customHeight="1" x14ac:dyDescent="0.25">
      <c r="A121" s="244"/>
      <c r="C121" s="263"/>
      <c r="D121" s="264"/>
      <c r="E121" s="244"/>
      <c r="F121" s="244"/>
      <c r="G121" s="244"/>
      <c r="H121" s="244"/>
      <c r="K121" s="265"/>
      <c r="S121" s="244"/>
    </row>
    <row r="122" spans="1:19" ht="15.75" customHeight="1" x14ac:dyDescent="0.25">
      <c r="A122" s="244"/>
      <c r="C122" s="263"/>
      <c r="D122" s="264"/>
      <c r="E122" s="244"/>
      <c r="F122" s="244"/>
      <c r="G122" s="244"/>
      <c r="H122" s="244"/>
      <c r="K122" s="265"/>
      <c r="S122" s="244"/>
    </row>
    <row r="123" spans="1:19" ht="15.75" customHeight="1" x14ac:dyDescent="0.25">
      <c r="A123" s="244"/>
      <c r="C123" s="263"/>
      <c r="D123" s="264"/>
      <c r="E123" s="244"/>
      <c r="F123" s="244"/>
      <c r="G123" s="244"/>
      <c r="H123" s="244"/>
      <c r="K123" s="265"/>
      <c r="S123" s="244"/>
    </row>
    <row r="124" spans="1:19" ht="15.75" customHeight="1" x14ac:dyDescent="0.25">
      <c r="A124" s="244"/>
      <c r="C124" s="263"/>
      <c r="D124" s="264"/>
      <c r="E124" s="244"/>
      <c r="F124" s="244"/>
      <c r="G124" s="244"/>
      <c r="H124" s="244"/>
      <c r="K124" s="265"/>
      <c r="S124" s="244"/>
    </row>
    <row r="125" spans="1:19" ht="15.75" customHeight="1" x14ac:dyDescent="0.25">
      <c r="A125" s="244"/>
      <c r="C125" s="263"/>
      <c r="D125" s="264"/>
      <c r="E125" s="244"/>
      <c r="F125" s="244"/>
      <c r="G125" s="244"/>
      <c r="H125" s="244"/>
      <c r="K125" s="265"/>
      <c r="S125" s="244"/>
    </row>
    <row r="126" spans="1:19" ht="15.75" customHeight="1" x14ac:dyDescent="0.25">
      <c r="A126" s="244"/>
      <c r="C126" s="263"/>
      <c r="D126" s="264"/>
      <c r="E126" s="244"/>
      <c r="F126" s="244"/>
      <c r="G126" s="244"/>
      <c r="H126" s="244"/>
      <c r="K126" s="265"/>
      <c r="S126" s="244"/>
    </row>
    <row r="127" spans="1:19" ht="15.75" customHeight="1" x14ac:dyDescent="0.25">
      <c r="A127" s="244"/>
      <c r="C127" s="263"/>
      <c r="D127" s="264"/>
      <c r="E127" s="244"/>
      <c r="F127" s="244"/>
      <c r="G127" s="244"/>
      <c r="H127" s="244"/>
      <c r="K127" s="265"/>
      <c r="S127" s="244"/>
    </row>
    <row r="128" spans="1:19" ht="15.75" customHeight="1" x14ac:dyDescent="0.25">
      <c r="A128" s="244"/>
      <c r="C128" s="263"/>
      <c r="D128" s="264"/>
      <c r="E128" s="244"/>
      <c r="F128" s="244"/>
      <c r="G128" s="244"/>
      <c r="H128" s="244"/>
      <c r="K128" s="265"/>
      <c r="S128" s="244"/>
    </row>
    <row r="129" spans="1:19" ht="15.75" customHeight="1" x14ac:dyDescent="0.25">
      <c r="A129" s="244"/>
      <c r="C129" s="263"/>
      <c r="D129" s="264"/>
      <c r="E129" s="244"/>
      <c r="F129" s="244"/>
      <c r="G129" s="244"/>
      <c r="H129" s="244"/>
      <c r="K129" s="265"/>
      <c r="S129" s="244"/>
    </row>
    <row r="130" spans="1:19" ht="15.75" customHeight="1" x14ac:dyDescent="0.25">
      <c r="A130" s="244"/>
      <c r="C130" s="263"/>
      <c r="D130" s="264"/>
      <c r="E130" s="244"/>
      <c r="F130" s="244"/>
      <c r="G130" s="244"/>
      <c r="H130" s="244"/>
      <c r="K130" s="265"/>
      <c r="S130" s="244"/>
    </row>
    <row r="131" spans="1:19" ht="15.75" customHeight="1" x14ac:dyDescent="0.25">
      <c r="A131" s="244"/>
      <c r="C131" s="263"/>
      <c r="D131" s="264"/>
      <c r="E131" s="244"/>
      <c r="F131" s="244"/>
      <c r="G131" s="244"/>
      <c r="H131" s="244"/>
      <c r="K131" s="265"/>
      <c r="S131" s="244"/>
    </row>
    <row r="132" spans="1:19" ht="15.75" customHeight="1" x14ac:dyDescent="0.25">
      <c r="A132" s="244"/>
      <c r="C132" s="263"/>
      <c r="D132" s="264"/>
      <c r="E132" s="244"/>
      <c r="F132" s="244"/>
      <c r="G132" s="244"/>
      <c r="H132" s="244"/>
      <c r="K132" s="265"/>
      <c r="S132" s="244"/>
    </row>
    <row r="133" spans="1:19" ht="15.75" customHeight="1" x14ac:dyDescent="0.25">
      <c r="A133" s="244"/>
      <c r="C133" s="263"/>
      <c r="D133" s="264"/>
      <c r="E133" s="244"/>
      <c r="F133" s="244"/>
      <c r="G133" s="244"/>
      <c r="H133" s="244"/>
      <c r="K133" s="265"/>
      <c r="S133" s="244"/>
    </row>
    <row r="134" spans="1:19" ht="15.75" customHeight="1" x14ac:dyDescent="0.25">
      <c r="A134" s="244"/>
      <c r="C134" s="263"/>
      <c r="D134" s="264"/>
      <c r="E134" s="244"/>
      <c r="F134" s="244"/>
      <c r="G134" s="244"/>
      <c r="H134" s="244"/>
      <c r="K134" s="265"/>
      <c r="S134" s="244"/>
    </row>
    <row r="135" spans="1:19" ht="15.75" customHeight="1" x14ac:dyDescent="0.25">
      <c r="A135" s="244"/>
      <c r="C135" s="263"/>
      <c r="D135" s="264"/>
      <c r="E135" s="244"/>
      <c r="F135" s="244"/>
      <c r="G135" s="244"/>
      <c r="H135" s="244"/>
      <c r="K135" s="265"/>
      <c r="S135" s="244"/>
    </row>
    <row r="136" spans="1:19" ht="15.75" customHeight="1" x14ac:dyDescent="0.25">
      <c r="A136" s="244"/>
      <c r="C136" s="263"/>
      <c r="D136" s="264"/>
      <c r="E136" s="244"/>
      <c r="F136" s="244"/>
      <c r="G136" s="244"/>
      <c r="H136" s="244"/>
      <c r="K136" s="265"/>
      <c r="S136" s="244"/>
    </row>
    <row r="137" spans="1:19" ht="15.75" customHeight="1" x14ac:dyDescent="0.25">
      <c r="A137" s="244"/>
      <c r="C137" s="263"/>
      <c r="D137" s="264"/>
      <c r="E137" s="244"/>
      <c r="F137" s="244"/>
      <c r="G137" s="244"/>
      <c r="H137" s="244"/>
      <c r="K137" s="265"/>
      <c r="S137" s="244"/>
    </row>
    <row r="138" spans="1:19" ht="15.75" customHeight="1" x14ac:dyDescent="0.25">
      <c r="A138" s="244"/>
      <c r="C138" s="263"/>
      <c r="D138" s="264"/>
      <c r="E138" s="244"/>
      <c r="F138" s="244"/>
      <c r="G138" s="244"/>
      <c r="H138" s="244"/>
      <c r="K138" s="265"/>
      <c r="S138" s="244"/>
    </row>
    <row r="139" spans="1:19" ht="15.75" customHeight="1" x14ac:dyDescent="0.25">
      <c r="A139" s="244"/>
      <c r="C139" s="263"/>
      <c r="D139" s="264"/>
      <c r="E139" s="244"/>
      <c r="F139" s="244"/>
      <c r="G139" s="244"/>
      <c r="H139" s="244"/>
      <c r="K139" s="265"/>
      <c r="S139" s="244"/>
    </row>
    <row r="140" spans="1:19" ht="15.75" customHeight="1" x14ac:dyDescent="0.25">
      <c r="A140" s="244"/>
      <c r="C140" s="263"/>
      <c r="D140" s="264"/>
      <c r="E140" s="244"/>
      <c r="F140" s="244"/>
      <c r="G140" s="244"/>
      <c r="H140" s="244"/>
      <c r="K140" s="265"/>
      <c r="S140" s="244"/>
    </row>
    <row r="141" spans="1:19" ht="15.75" customHeight="1" x14ac:dyDescent="0.25">
      <c r="A141" s="244"/>
      <c r="C141" s="263"/>
      <c r="D141" s="264"/>
      <c r="E141" s="244"/>
      <c r="F141" s="244"/>
      <c r="G141" s="244"/>
      <c r="H141" s="244"/>
      <c r="K141" s="265"/>
      <c r="S141" s="244"/>
    </row>
    <row r="142" spans="1:19" ht="15.75" customHeight="1" x14ac:dyDescent="0.25">
      <c r="A142" s="244"/>
      <c r="C142" s="263"/>
      <c r="D142" s="264"/>
      <c r="E142" s="244"/>
      <c r="F142" s="244"/>
      <c r="G142" s="244"/>
      <c r="H142" s="244"/>
      <c r="K142" s="265"/>
      <c r="S142" s="244"/>
    </row>
    <row r="143" spans="1:19" ht="15.75" customHeight="1" x14ac:dyDescent="0.25">
      <c r="A143" s="244"/>
      <c r="C143" s="263"/>
      <c r="D143" s="264"/>
      <c r="E143" s="244"/>
      <c r="F143" s="244"/>
      <c r="G143" s="244"/>
      <c r="H143" s="244"/>
      <c r="K143" s="265"/>
      <c r="S143" s="244"/>
    </row>
    <row r="144" spans="1:19" ht="15.75" customHeight="1" x14ac:dyDescent="0.25">
      <c r="A144" s="244"/>
      <c r="C144" s="263"/>
      <c r="D144" s="264"/>
      <c r="E144" s="244"/>
      <c r="F144" s="244"/>
      <c r="G144" s="244"/>
      <c r="H144" s="244"/>
      <c r="K144" s="265"/>
      <c r="S144" s="244"/>
    </row>
    <row r="145" spans="1:19" ht="15.75" customHeight="1" x14ac:dyDescent="0.25">
      <c r="A145" s="244"/>
      <c r="C145" s="263"/>
      <c r="D145" s="264"/>
      <c r="E145" s="244"/>
      <c r="F145" s="244"/>
      <c r="G145" s="244"/>
      <c r="H145" s="244"/>
      <c r="K145" s="265"/>
      <c r="S145" s="244"/>
    </row>
    <row r="146" spans="1:19" ht="15.75" customHeight="1" x14ac:dyDescent="0.25">
      <c r="A146" s="244"/>
      <c r="C146" s="263"/>
      <c r="D146" s="264"/>
      <c r="E146" s="244"/>
      <c r="F146" s="244"/>
      <c r="G146" s="244"/>
      <c r="H146" s="244"/>
      <c r="K146" s="265"/>
      <c r="S146" s="244"/>
    </row>
    <row r="147" spans="1:19" ht="15.75" customHeight="1" x14ac:dyDescent="0.25">
      <c r="A147" s="244"/>
      <c r="C147" s="263"/>
      <c r="D147" s="264"/>
      <c r="E147" s="244"/>
      <c r="F147" s="244"/>
      <c r="G147" s="244"/>
      <c r="H147" s="244"/>
      <c r="K147" s="265"/>
      <c r="S147" s="244"/>
    </row>
    <row r="148" spans="1:19" ht="15.75" customHeight="1" x14ac:dyDescent="0.25">
      <c r="A148" s="244"/>
      <c r="C148" s="263"/>
      <c r="D148" s="264"/>
      <c r="E148" s="244"/>
      <c r="F148" s="244"/>
      <c r="G148" s="244"/>
      <c r="H148" s="244"/>
      <c r="K148" s="265"/>
      <c r="S148" s="244"/>
    </row>
    <row r="149" spans="1:19" ht="15.75" customHeight="1" x14ac:dyDescent="0.25">
      <c r="A149" s="244"/>
      <c r="C149" s="263"/>
      <c r="D149" s="264"/>
      <c r="E149" s="244"/>
      <c r="F149" s="244"/>
      <c r="G149" s="244"/>
      <c r="H149" s="244"/>
      <c r="K149" s="265"/>
      <c r="S149" s="244"/>
    </row>
    <row r="150" spans="1:19" ht="15.75" customHeight="1" x14ac:dyDescent="0.25">
      <c r="A150" s="244"/>
      <c r="C150" s="263"/>
      <c r="D150" s="264"/>
      <c r="E150" s="244"/>
      <c r="F150" s="244"/>
      <c r="G150" s="244"/>
      <c r="H150" s="244"/>
      <c r="K150" s="265"/>
      <c r="S150" s="244"/>
    </row>
    <row r="151" spans="1:19" ht="15.75" customHeight="1" x14ac:dyDescent="0.25">
      <c r="A151" s="244"/>
      <c r="C151" s="263"/>
      <c r="D151" s="264"/>
      <c r="E151" s="244"/>
      <c r="F151" s="244"/>
      <c r="G151" s="244"/>
      <c r="H151" s="244"/>
      <c r="K151" s="265"/>
      <c r="S151" s="244"/>
    </row>
    <row r="152" spans="1:19" ht="15.75" customHeight="1" x14ac:dyDescent="0.25">
      <c r="A152" s="244"/>
      <c r="C152" s="263"/>
      <c r="D152" s="264"/>
      <c r="E152" s="244"/>
      <c r="F152" s="244"/>
      <c r="G152" s="244"/>
      <c r="H152" s="244"/>
      <c r="K152" s="265"/>
      <c r="S152" s="244"/>
    </row>
    <row r="153" spans="1:19" ht="15.75" customHeight="1" x14ac:dyDescent="0.25">
      <c r="A153" s="244"/>
      <c r="C153" s="263"/>
      <c r="D153" s="264"/>
      <c r="E153" s="244"/>
      <c r="F153" s="244"/>
      <c r="G153" s="244"/>
      <c r="H153" s="244"/>
      <c r="K153" s="265"/>
      <c r="S153" s="244"/>
    </row>
    <row r="154" spans="1:19" ht="15.75" customHeight="1" x14ac:dyDescent="0.25">
      <c r="A154" s="244"/>
      <c r="C154" s="263"/>
      <c r="D154" s="264"/>
      <c r="E154" s="244"/>
      <c r="F154" s="244"/>
      <c r="G154" s="244"/>
      <c r="H154" s="244"/>
      <c r="K154" s="265"/>
      <c r="S154" s="244"/>
    </row>
    <row r="155" spans="1:19" ht="15.75" customHeight="1" x14ac:dyDescent="0.25">
      <c r="A155" s="244"/>
      <c r="C155" s="263"/>
      <c r="D155" s="264"/>
      <c r="E155" s="244"/>
      <c r="F155" s="244"/>
      <c r="G155" s="244"/>
      <c r="H155" s="244"/>
      <c r="K155" s="265"/>
      <c r="S155" s="244"/>
    </row>
    <row r="156" spans="1:19" ht="15.75" customHeight="1" x14ac:dyDescent="0.25">
      <c r="A156" s="244"/>
      <c r="C156" s="263"/>
      <c r="D156" s="264"/>
      <c r="E156" s="244"/>
      <c r="F156" s="244"/>
      <c r="G156" s="244"/>
      <c r="H156" s="244"/>
      <c r="K156" s="265"/>
      <c r="S156" s="244"/>
    </row>
    <row r="157" spans="1:19" ht="15.75" customHeight="1" x14ac:dyDescent="0.25">
      <c r="A157" s="244"/>
      <c r="C157" s="263"/>
      <c r="D157" s="264"/>
      <c r="E157" s="244"/>
      <c r="F157" s="244"/>
      <c r="G157" s="244"/>
      <c r="H157" s="244"/>
      <c r="K157" s="265"/>
      <c r="S157" s="244"/>
    </row>
    <row r="158" spans="1:19" ht="15.75" customHeight="1" x14ac:dyDescent="0.25">
      <c r="A158" s="244"/>
      <c r="C158" s="263"/>
      <c r="D158" s="264"/>
      <c r="E158" s="244"/>
      <c r="F158" s="244"/>
      <c r="G158" s="244"/>
      <c r="H158" s="244"/>
      <c r="K158" s="265"/>
      <c r="S158" s="244"/>
    </row>
    <row r="159" spans="1:19" ht="15.75" customHeight="1" x14ac:dyDescent="0.25">
      <c r="A159" s="244"/>
      <c r="C159" s="263"/>
      <c r="D159" s="264"/>
      <c r="E159" s="244"/>
      <c r="F159" s="244"/>
      <c r="G159" s="244"/>
      <c r="H159" s="244"/>
      <c r="K159" s="265"/>
      <c r="S159" s="244"/>
    </row>
    <row r="160" spans="1:19" ht="15.75" customHeight="1" x14ac:dyDescent="0.25">
      <c r="A160" s="244"/>
      <c r="C160" s="263"/>
      <c r="D160" s="264"/>
      <c r="E160" s="244"/>
      <c r="F160" s="244"/>
      <c r="G160" s="244"/>
      <c r="H160" s="244"/>
      <c r="K160" s="265"/>
      <c r="S160" s="244"/>
    </row>
    <row r="161" spans="1:19" ht="15.75" customHeight="1" x14ac:dyDescent="0.25">
      <c r="A161" s="244"/>
      <c r="C161" s="263"/>
      <c r="D161" s="264"/>
      <c r="E161" s="244"/>
      <c r="F161" s="244"/>
      <c r="G161" s="244"/>
      <c r="H161" s="244"/>
      <c r="K161" s="265"/>
      <c r="S161" s="244"/>
    </row>
    <row r="162" spans="1:19" ht="15.75" customHeight="1" x14ac:dyDescent="0.25">
      <c r="A162" s="244"/>
      <c r="C162" s="263"/>
      <c r="D162" s="264"/>
      <c r="E162" s="244"/>
      <c r="F162" s="244"/>
      <c r="G162" s="244"/>
      <c r="H162" s="244"/>
      <c r="K162" s="265"/>
      <c r="S162" s="244"/>
    </row>
    <row r="163" spans="1:19" ht="15.75" customHeight="1" x14ac:dyDescent="0.25">
      <c r="A163" s="244"/>
      <c r="C163" s="263"/>
      <c r="D163" s="264"/>
      <c r="E163" s="244"/>
      <c r="F163" s="244"/>
      <c r="G163" s="244"/>
      <c r="H163" s="244"/>
      <c r="K163" s="265"/>
      <c r="S163" s="244"/>
    </row>
    <row r="164" spans="1:19" ht="15.75" customHeight="1" x14ac:dyDescent="0.25">
      <c r="A164" s="244"/>
      <c r="C164" s="263"/>
      <c r="D164" s="264"/>
      <c r="E164" s="244"/>
      <c r="F164" s="244"/>
      <c r="G164" s="244"/>
      <c r="H164" s="244"/>
      <c r="K164" s="265"/>
      <c r="S164" s="244"/>
    </row>
    <row r="165" spans="1:19" ht="15.75" customHeight="1" x14ac:dyDescent="0.25">
      <c r="A165" s="244"/>
      <c r="C165" s="263"/>
      <c r="D165" s="264"/>
      <c r="E165" s="244"/>
      <c r="F165" s="244"/>
      <c r="G165" s="244"/>
      <c r="H165" s="244"/>
      <c r="K165" s="265"/>
      <c r="S165" s="244"/>
    </row>
    <row r="166" spans="1:19" ht="15.75" customHeight="1" x14ac:dyDescent="0.25">
      <c r="A166" s="244"/>
      <c r="C166" s="263"/>
      <c r="D166" s="264"/>
      <c r="E166" s="244"/>
      <c r="F166" s="244"/>
      <c r="G166" s="244"/>
      <c r="H166" s="244"/>
      <c r="K166" s="265"/>
      <c r="S166" s="244"/>
    </row>
    <row r="167" spans="1:19" ht="15.75" customHeight="1" x14ac:dyDescent="0.25">
      <c r="A167" s="244"/>
      <c r="C167" s="263"/>
      <c r="D167" s="264"/>
      <c r="E167" s="244"/>
      <c r="F167" s="244"/>
      <c r="G167" s="244"/>
      <c r="H167" s="244"/>
      <c r="K167" s="265"/>
      <c r="S167" s="244"/>
    </row>
    <row r="168" spans="1:19" ht="15.75" customHeight="1" x14ac:dyDescent="0.25">
      <c r="A168" s="244"/>
      <c r="C168" s="263"/>
      <c r="D168" s="264"/>
      <c r="E168" s="244"/>
      <c r="F168" s="244"/>
      <c r="G168" s="244"/>
      <c r="H168" s="244"/>
      <c r="K168" s="265"/>
      <c r="S168" s="244"/>
    </row>
    <row r="169" spans="1:19" ht="15.75" customHeight="1" x14ac:dyDescent="0.25">
      <c r="A169" s="244"/>
      <c r="C169" s="263"/>
      <c r="D169" s="264"/>
      <c r="E169" s="244"/>
      <c r="F169" s="244"/>
      <c r="G169" s="244"/>
      <c r="H169" s="244"/>
      <c r="K169" s="265"/>
      <c r="S169" s="244"/>
    </row>
    <row r="170" spans="1:19" ht="15.75" customHeight="1" x14ac:dyDescent="0.25">
      <c r="A170" s="244"/>
      <c r="C170" s="263"/>
      <c r="D170" s="264"/>
      <c r="E170" s="244"/>
      <c r="F170" s="244"/>
      <c r="G170" s="244"/>
      <c r="H170" s="244"/>
      <c r="K170" s="265"/>
      <c r="S170" s="244"/>
    </row>
    <row r="171" spans="1:19" ht="15.75" customHeight="1" x14ac:dyDescent="0.25">
      <c r="A171" s="244"/>
      <c r="C171" s="263"/>
      <c r="D171" s="264"/>
      <c r="E171" s="244"/>
      <c r="F171" s="244"/>
      <c r="G171" s="244"/>
      <c r="H171" s="244"/>
      <c r="K171" s="265"/>
      <c r="S171" s="244"/>
    </row>
    <row r="172" spans="1:19" ht="15.75" customHeight="1" x14ac:dyDescent="0.25">
      <c r="A172" s="244"/>
      <c r="C172" s="263"/>
      <c r="D172" s="264"/>
      <c r="E172" s="244"/>
      <c r="F172" s="244"/>
      <c r="G172" s="244"/>
      <c r="H172" s="244"/>
      <c r="K172" s="265"/>
      <c r="S172" s="244"/>
    </row>
    <row r="173" spans="1:19" ht="15.75" customHeight="1" x14ac:dyDescent="0.25">
      <c r="A173" s="244"/>
      <c r="C173" s="263"/>
      <c r="D173" s="264"/>
      <c r="E173" s="244"/>
      <c r="F173" s="244"/>
      <c r="G173" s="244"/>
      <c r="H173" s="244"/>
      <c r="K173" s="265"/>
      <c r="S173" s="244"/>
    </row>
    <row r="174" spans="1:19" ht="15.75" customHeight="1" x14ac:dyDescent="0.25">
      <c r="A174" s="244"/>
      <c r="C174" s="263"/>
      <c r="D174" s="264"/>
      <c r="E174" s="244"/>
      <c r="F174" s="244"/>
      <c r="G174" s="244"/>
      <c r="H174" s="244"/>
      <c r="K174" s="265"/>
      <c r="S174" s="244"/>
    </row>
    <row r="175" spans="1:19" ht="15.75" customHeight="1" x14ac:dyDescent="0.25">
      <c r="A175" s="244"/>
      <c r="C175" s="263"/>
      <c r="D175" s="264"/>
      <c r="E175" s="244"/>
      <c r="F175" s="244"/>
      <c r="G175" s="244"/>
      <c r="H175" s="244"/>
      <c r="K175" s="265"/>
      <c r="S175" s="244"/>
    </row>
    <row r="176" spans="1:19" ht="15.75" customHeight="1" x14ac:dyDescent="0.25">
      <c r="A176" s="244"/>
      <c r="C176" s="263"/>
      <c r="D176" s="264"/>
      <c r="E176" s="244"/>
      <c r="F176" s="244"/>
      <c r="G176" s="244"/>
      <c r="H176" s="244"/>
      <c r="K176" s="265"/>
      <c r="S176" s="244"/>
    </row>
    <row r="177" spans="1:19" ht="15.75" customHeight="1" x14ac:dyDescent="0.25">
      <c r="A177" s="244"/>
      <c r="C177" s="263"/>
      <c r="D177" s="264"/>
      <c r="E177" s="244"/>
      <c r="F177" s="244"/>
      <c r="G177" s="244"/>
      <c r="H177" s="244"/>
      <c r="K177" s="265"/>
      <c r="S177" s="244"/>
    </row>
    <row r="178" spans="1:19" ht="15.75" customHeight="1" x14ac:dyDescent="0.25">
      <c r="A178" s="244"/>
      <c r="C178" s="263"/>
      <c r="D178" s="264"/>
      <c r="E178" s="244"/>
      <c r="F178" s="244"/>
      <c r="G178" s="244"/>
      <c r="H178" s="244"/>
      <c r="K178" s="265"/>
      <c r="S178" s="244"/>
    </row>
    <row r="179" spans="1:19" ht="15.75" customHeight="1" x14ac:dyDescent="0.25">
      <c r="A179" s="244"/>
      <c r="C179" s="263"/>
      <c r="D179" s="264"/>
      <c r="E179" s="244"/>
      <c r="F179" s="244"/>
      <c r="G179" s="244"/>
      <c r="H179" s="244"/>
      <c r="K179" s="265"/>
      <c r="S179" s="244"/>
    </row>
    <row r="180" spans="1:19" ht="15.75" customHeight="1" x14ac:dyDescent="0.25">
      <c r="A180" s="244"/>
      <c r="C180" s="263"/>
      <c r="D180" s="264"/>
      <c r="E180" s="244"/>
      <c r="F180" s="244"/>
      <c r="G180" s="244"/>
      <c r="H180" s="244"/>
      <c r="K180" s="265"/>
      <c r="S180" s="244"/>
    </row>
    <row r="181" spans="1:19" ht="15.75" customHeight="1" x14ac:dyDescent="0.25">
      <c r="A181" s="244"/>
      <c r="C181" s="263"/>
      <c r="D181" s="264"/>
      <c r="E181" s="244"/>
      <c r="F181" s="244"/>
      <c r="G181" s="244"/>
      <c r="H181" s="244"/>
      <c r="K181" s="265"/>
      <c r="S181" s="244"/>
    </row>
    <row r="182" spans="1:19" ht="15.75" customHeight="1" x14ac:dyDescent="0.25">
      <c r="A182" s="244"/>
      <c r="C182" s="263"/>
      <c r="D182" s="264"/>
      <c r="E182" s="244"/>
      <c r="F182" s="244"/>
      <c r="G182" s="244"/>
      <c r="H182" s="244"/>
      <c r="K182" s="265"/>
      <c r="S182" s="244"/>
    </row>
    <row r="183" spans="1:19" ht="15.75" customHeight="1" x14ac:dyDescent="0.25">
      <c r="A183" s="244"/>
      <c r="C183" s="263"/>
      <c r="D183" s="264"/>
      <c r="E183" s="244"/>
      <c r="F183" s="244"/>
      <c r="G183" s="244"/>
      <c r="H183" s="244"/>
      <c r="K183" s="265"/>
      <c r="S183" s="244"/>
    </row>
    <row r="184" spans="1:19" ht="15.75" customHeight="1" x14ac:dyDescent="0.25">
      <c r="A184" s="244"/>
      <c r="C184" s="263"/>
      <c r="D184" s="264"/>
      <c r="E184" s="244"/>
      <c r="F184" s="244"/>
      <c r="G184" s="244"/>
      <c r="H184" s="244"/>
      <c r="K184" s="265"/>
      <c r="S184" s="244"/>
    </row>
    <row r="185" spans="1:19" ht="15.75" customHeight="1" x14ac:dyDescent="0.25">
      <c r="A185" s="244"/>
      <c r="C185" s="263"/>
      <c r="D185" s="264"/>
      <c r="E185" s="244"/>
      <c r="F185" s="244"/>
      <c r="G185" s="244"/>
      <c r="H185" s="244"/>
      <c r="K185" s="265"/>
      <c r="S185" s="244"/>
    </row>
    <row r="186" spans="1:19" ht="15.75" customHeight="1" x14ac:dyDescent="0.25">
      <c r="A186" s="244"/>
      <c r="C186" s="263"/>
      <c r="D186" s="264"/>
      <c r="E186" s="244"/>
      <c r="F186" s="244"/>
      <c r="G186" s="244"/>
      <c r="H186" s="244"/>
      <c r="K186" s="265"/>
      <c r="S186" s="244"/>
    </row>
    <row r="187" spans="1:19" ht="15.75" customHeight="1" x14ac:dyDescent="0.25">
      <c r="A187" s="244"/>
      <c r="C187" s="263"/>
      <c r="D187" s="264"/>
      <c r="E187" s="244"/>
      <c r="F187" s="244"/>
      <c r="G187" s="244"/>
      <c r="H187" s="244"/>
      <c r="K187" s="265"/>
      <c r="S187" s="244"/>
    </row>
    <row r="188" spans="1:19" ht="15.75" customHeight="1" x14ac:dyDescent="0.25">
      <c r="A188" s="244"/>
      <c r="C188" s="263"/>
      <c r="D188" s="264"/>
      <c r="E188" s="244"/>
      <c r="F188" s="244"/>
      <c r="G188" s="244"/>
      <c r="H188" s="244"/>
      <c r="K188" s="265"/>
      <c r="S188" s="244"/>
    </row>
    <row r="189" spans="1:19" ht="15.75" customHeight="1" x14ac:dyDescent="0.25">
      <c r="A189" s="244"/>
      <c r="C189" s="263"/>
      <c r="D189" s="264"/>
      <c r="E189" s="244"/>
      <c r="F189" s="244"/>
      <c r="G189" s="244"/>
      <c r="H189" s="244"/>
      <c r="K189" s="265"/>
      <c r="S189" s="244"/>
    </row>
    <row r="190" spans="1:19" ht="15.75" customHeight="1" x14ac:dyDescent="0.25">
      <c r="A190" s="244"/>
      <c r="C190" s="263"/>
      <c r="D190" s="264"/>
      <c r="E190" s="244"/>
      <c r="F190" s="244"/>
      <c r="G190" s="244"/>
      <c r="H190" s="244"/>
      <c r="K190" s="265"/>
      <c r="S190" s="244"/>
    </row>
    <row r="191" spans="1:19" ht="15.75" customHeight="1" x14ac:dyDescent="0.25">
      <c r="A191" s="244"/>
      <c r="C191" s="263"/>
      <c r="D191" s="264"/>
      <c r="E191" s="244"/>
      <c r="F191" s="244"/>
      <c r="G191" s="244"/>
      <c r="H191" s="244"/>
      <c r="K191" s="265"/>
      <c r="S191" s="244"/>
    </row>
    <row r="192" spans="1:19" ht="15.75" customHeight="1" x14ac:dyDescent="0.25">
      <c r="A192" s="244"/>
      <c r="C192" s="263"/>
      <c r="D192" s="264"/>
      <c r="E192" s="244"/>
      <c r="F192" s="244"/>
      <c r="G192" s="244"/>
      <c r="H192" s="244"/>
      <c r="K192" s="265"/>
      <c r="S192" s="244"/>
    </row>
    <row r="193" spans="1:19" ht="15.75" customHeight="1" x14ac:dyDescent="0.25">
      <c r="A193" s="244"/>
      <c r="C193" s="263"/>
      <c r="D193" s="264"/>
      <c r="E193" s="244"/>
      <c r="F193" s="244"/>
      <c r="G193" s="244"/>
      <c r="H193" s="244"/>
      <c r="K193" s="265"/>
      <c r="S193" s="244"/>
    </row>
    <row r="194" spans="1:19" ht="15.75" customHeight="1" x14ac:dyDescent="0.25">
      <c r="A194" s="244"/>
      <c r="C194" s="263"/>
      <c r="D194" s="264"/>
      <c r="E194" s="244"/>
      <c r="F194" s="244"/>
      <c r="G194" s="244"/>
      <c r="H194" s="244"/>
      <c r="K194" s="265"/>
      <c r="S194" s="244"/>
    </row>
    <row r="195" spans="1:19" ht="15.75" customHeight="1" x14ac:dyDescent="0.25">
      <c r="A195" s="244"/>
      <c r="C195" s="263"/>
      <c r="D195" s="264"/>
      <c r="E195" s="244"/>
      <c r="F195" s="244"/>
      <c r="G195" s="244"/>
      <c r="H195" s="244"/>
      <c r="K195" s="265"/>
      <c r="S195" s="244"/>
    </row>
    <row r="196" spans="1:19" ht="15.75" customHeight="1" x14ac:dyDescent="0.25">
      <c r="A196" s="244"/>
      <c r="C196" s="263"/>
      <c r="D196" s="264"/>
      <c r="E196" s="244"/>
      <c r="F196" s="244"/>
      <c r="G196" s="244"/>
      <c r="H196" s="244"/>
      <c r="K196" s="265"/>
      <c r="S196" s="244"/>
    </row>
    <row r="197" spans="1:19" ht="15.75" customHeight="1" x14ac:dyDescent="0.25">
      <c r="A197" s="244"/>
      <c r="C197" s="263"/>
      <c r="D197" s="264"/>
      <c r="E197" s="244"/>
      <c r="F197" s="244"/>
      <c r="G197" s="244"/>
      <c r="H197" s="244"/>
      <c r="K197" s="265"/>
      <c r="S197" s="244"/>
    </row>
    <row r="198" spans="1:19" ht="15.75" customHeight="1" x14ac:dyDescent="0.25">
      <c r="A198" s="244"/>
      <c r="C198" s="263"/>
      <c r="D198" s="264"/>
      <c r="E198" s="244"/>
      <c r="F198" s="244"/>
      <c r="G198" s="244"/>
      <c r="H198" s="244"/>
      <c r="K198" s="265"/>
      <c r="S198" s="244"/>
    </row>
    <row r="199" spans="1:19" ht="15.75" customHeight="1" x14ac:dyDescent="0.25">
      <c r="A199" s="244"/>
      <c r="C199" s="263"/>
      <c r="D199" s="264"/>
      <c r="E199" s="244"/>
      <c r="F199" s="244"/>
      <c r="G199" s="244"/>
      <c r="H199" s="244"/>
      <c r="K199" s="265"/>
      <c r="S199" s="244"/>
    </row>
    <row r="200" spans="1:19" ht="15.75" customHeight="1" x14ac:dyDescent="0.25">
      <c r="A200" s="244"/>
      <c r="C200" s="263"/>
      <c r="D200" s="264"/>
      <c r="E200" s="244"/>
      <c r="F200" s="244"/>
      <c r="G200" s="244"/>
      <c r="H200" s="244"/>
      <c r="K200" s="265"/>
      <c r="S200" s="244"/>
    </row>
    <row r="201" spans="1:19" ht="15.75" customHeight="1" x14ac:dyDescent="0.25">
      <c r="A201" s="244"/>
      <c r="C201" s="263"/>
      <c r="D201" s="264"/>
      <c r="E201" s="244"/>
      <c r="F201" s="244"/>
      <c r="G201" s="244"/>
      <c r="H201" s="244"/>
      <c r="K201" s="265"/>
      <c r="S201" s="244"/>
    </row>
    <row r="202" spans="1:19" ht="15.75" customHeight="1" x14ac:dyDescent="0.25">
      <c r="A202" s="244"/>
      <c r="C202" s="263"/>
      <c r="D202" s="264"/>
      <c r="E202" s="244"/>
      <c r="F202" s="244"/>
      <c r="G202" s="244"/>
      <c r="H202" s="244"/>
      <c r="K202" s="265"/>
      <c r="S202" s="244"/>
    </row>
    <row r="203" spans="1:19" ht="15.75" customHeight="1" x14ac:dyDescent="0.25">
      <c r="A203" s="244"/>
      <c r="C203" s="263"/>
      <c r="D203" s="264"/>
      <c r="E203" s="244"/>
      <c r="F203" s="244"/>
      <c r="G203" s="244"/>
      <c r="H203" s="244"/>
      <c r="K203" s="265"/>
      <c r="S203" s="244"/>
    </row>
    <row r="204" spans="1:19" ht="15.75" customHeight="1" x14ac:dyDescent="0.25">
      <c r="A204" s="244"/>
      <c r="C204" s="263"/>
      <c r="D204" s="264"/>
      <c r="E204" s="244"/>
      <c r="F204" s="244"/>
      <c r="G204" s="244"/>
      <c r="H204" s="244"/>
      <c r="K204" s="265"/>
      <c r="S204" s="244"/>
    </row>
    <row r="205" spans="1:19" ht="15.75" customHeight="1" x14ac:dyDescent="0.25">
      <c r="A205" s="244"/>
      <c r="C205" s="263"/>
      <c r="D205" s="264"/>
      <c r="E205" s="244"/>
      <c r="F205" s="244"/>
      <c r="G205" s="244"/>
      <c r="H205" s="244"/>
      <c r="K205" s="265"/>
      <c r="S205" s="244"/>
    </row>
    <row r="206" spans="1:19" ht="15.75" customHeight="1" x14ac:dyDescent="0.25">
      <c r="A206" s="244"/>
      <c r="C206" s="263"/>
      <c r="D206" s="264"/>
      <c r="E206" s="244"/>
      <c r="F206" s="244"/>
      <c r="G206" s="244"/>
      <c r="H206" s="244"/>
      <c r="K206" s="265"/>
      <c r="S206" s="244"/>
    </row>
    <row r="207" spans="1:19" ht="15.75" customHeight="1" x14ac:dyDescent="0.25">
      <c r="A207" s="244"/>
      <c r="C207" s="263"/>
      <c r="D207" s="264"/>
      <c r="E207" s="244"/>
      <c r="F207" s="244"/>
      <c r="G207" s="244"/>
      <c r="H207" s="244"/>
      <c r="K207" s="265"/>
      <c r="S207" s="244"/>
    </row>
    <row r="208" spans="1:19" ht="15.75" customHeight="1" x14ac:dyDescent="0.25">
      <c r="A208" s="244"/>
      <c r="C208" s="263"/>
      <c r="D208" s="264"/>
      <c r="E208" s="244"/>
      <c r="F208" s="244"/>
      <c r="G208" s="244"/>
      <c r="H208" s="244"/>
      <c r="K208" s="265"/>
      <c r="S208" s="244"/>
    </row>
    <row r="209" spans="1:19" ht="15.75" customHeight="1" x14ac:dyDescent="0.25">
      <c r="A209" s="244"/>
      <c r="C209" s="263"/>
      <c r="D209" s="264"/>
      <c r="E209" s="244"/>
      <c r="F209" s="244"/>
      <c r="G209" s="244"/>
      <c r="H209" s="244"/>
      <c r="K209" s="265"/>
      <c r="S209" s="244"/>
    </row>
    <row r="210" spans="1:19" ht="15.75" customHeight="1" x14ac:dyDescent="0.25">
      <c r="A210" s="244"/>
      <c r="C210" s="263"/>
      <c r="D210" s="264"/>
      <c r="E210" s="244"/>
      <c r="F210" s="244"/>
      <c r="G210" s="244"/>
      <c r="H210" s="244"/>
      <c r="K210" s="265"/>
      <c r="S210" s="244"/>
    </row>
    <row r="211" spans="1:19" ht="15.75" customHeight="1" x14ac:dyDescent="0.25">
      <c r="A211" s="244"/>
      <c r="C211" s="263"/>
      <c r="D211" s="264"/>
      <c r="E211" s="244"/>
      <c r="F211" s="244"/>
      <c r="G211" s="244"/>
      <c r="H211" s="244"/>
      <c r="K211" s="265"/>
      <c r="S211" s="244"/>
    </row>
    <row r="212" spans="1:19" ht="15.75" customHeight="1" x14ac:dyDescent="0.25">
      <c r="A212" s="244"/>
      <c r="C212" s="263"/>
      <c r="D212" s="264"/>
      <c r="E212" s="244"/>
      <c r="F212" s="244"/>
      <c r="G212" s="244"/>
      <c r="H212" s="244"/>
      <c r="K212" s="265"/>
      <c r="S212" s="244"/>
    </row>
    <row r="213" spans="1:19" ht="15.75" customHeight="1" x14ac:dyDescent="0.25">
      <c r="A213" s="244"/>
      <c r="C213" s="263"/>
      <c r="D213" s="264"/>
      <c r="E213" s="244"/>
      <c r="F213" s="244"/>
      <c r="G213" s="244"/>
      <c r="H213" s="244"/>
      <c r="K213" s="265"/>
      <c r="S213" s="244"/>
    </row>
    <row r="214" spans="1:19" ht="15.75" customHeight="1" x14ac:dyDescent="0.25">
      <c r="A214" s="244"/>
      <c r="C214" s="263"/>
      <c r="D214" s="264"/>
      <c r="E214" s="244"/>
      <c r="F214" s="244"/>
      <c r="G214" s="244"/>
      <c r="H214" s="244"/>
      <c r="K214" s="265"/>
      <c r="S214" s="244"/>
    </row>
    <row r="215" spans="1:19" ht="15.75" customHeight="1" x14ac:dyDescent="0.25">
      <c r="A215" s="244"/>
      <c r="C215" s="263"/>
      <c r="D215" s="264"/>
      <c r="E215" s="244"/>
      <c r="F215" s="244"/>
      <c r="G215" s="244"/>
      <c r="H215" s="244"/>
      <c r="K215" s="265"/>
      <c r="S215" s="244"/>
    </row>
    <row r="216" spans="1:19" ht="15.75" customHeight="1" x14ac:dyDescent="0.25">
      <c r="A216" s="244"/>
      <c r="C216" s="263"/>
      <c r="D216" s="264"/>
      <c r="E216" s="244"/>
      <c r="F216" s="244"/>
      <c r="G216" s="244"/>
      <c r="H216" s="244"/>
      <c r="K216" s="265"/>
      <c r="S216" s="244"/>
    </row>
    <row r="217" spans="1:19" ht="15.75" customHeight="1" x14ac:dyDescent="0.25">
      <c r="A217" s="244"/>
      <c r="C217" s="263"/>
      <c r="D217" s="264"/>
      <c r="E217" s="244"/>
      <c r="F217" s="244"/>
      <c r="G217" s="244"/>
      <c r="H217" s="244"/>
      <c r="K217" s="265"/>
      <c r="S217" s="244"/>
    </row>
    <row r="218" spans="1:19" ht="15.75" customHeight="1" x14ac:dyDescent="0.25">
      <c r="A218" s="244"/>
      <c r="C218" s="263"/>
      <c r="D218" s="264"/>
      <c r="E218" s="244"/>
      <c r="F218" s="244"/>
      <c r="G218" s="244"/>
      <c r="H218" s="244"/>
      <c r="K218" s="265"/>
      <c r="S218" s="244"/>
    </row>
    <row r="219" spans="1:19" ht="15.75" customHeight="1" x14ac:dyDescent="0.25">
      <c r="A219" s="244"/>
      <c r="C219" s="263"/>
      <c r="D219" s="264"/>
      <c r="E219" s="244"/>
      <c r="F219" s="244"/>
      <c r="G219" s="244"/>
      <c r="H219" s="244"/>
      <c r="K219" s="265"/>
      <c r="S219" s="244"/>
    </row>
    <row r="220" spans="1:19" ht="15.75" customHeight="1" x14ac:dyDescent="0.25">
      <c r="A220" s="244"/>
      <c r="C220" s="263"/>
      <c r="D220" s="264"/>
      <c r="E220" s="244"/>
      <c r="F220" s="244"/>
      <c r="G220" s="244"/>
      <c r="H220" s="244"/>
      <c r="K220" s="265"/>
      <c r="S220" s="244"/>
    </row>
    <row r="221" spans="1:19" ht="15.75" customHeight="1" x14ac:dyDescent="0.25">
      <c r="A221" s="244"/>
      <c r="C221" s="263"/>
      <c r="D221" s="264"/>
      <c r="E221" s="244"/>
      <c r="F221" s="244"/>
      <c r="G221" s="244"/>
      <c r="H221" s="244"/>
      <c r="K221" s="265"/>
      <c r="S221" s="244"/>
    </row>
    <row r="222" spans="1:19" ht="15.75" customHeight="1" x14ac:dyDescent="0.25">
      <c r="A222" s="244"/>
      <c r="C222" s="263"/>
      <c r="D222" s="264"/>
      <c r="E222" s="244"/>
      <c r="F222" s="244"/>
      <c r="G222" s="244"/>
      <c r="H222" s="244"/>
      <c r="K222" s="265"/>
      <c r="S222" s="244"/>
    </row>
    <row r="223" spans="1:19" ht="15.75" customHeight="1" x14ac:dyDescent="0.25">
      <c r="A223" s="244"/>
      <c r="C223" s="263"/>
      <c r="D223" s="264"/>
      <c r="E223" s="244"/>
      <c r="F223" s="244"/>
      <c r="G223" s="244"/>
      <c r="H223" s="244"/>
      <c r="K223" s="265"/>
      <c r="S223" s="244"/>
    </row>
    <row r="224" spans="1:19" ht="15.75" customHeight="1" x14ac:dyDescent="0.25">
      <c r="A224" s="244"/>
      <c r="C224" s="263"/>
      <c r="D224" s="264"/>
      <c r="E224" s="244"/>
      <c r="F224" s="244"/>
      <c r="G224" s="244"/>
      <c r="H224" s="244"/>
      <c r="K224" s="265"/>
      <c r="S224" s="244"/>
    </row>
    <row r="225" spans="1:19" ht="15.75" customHeight="1" x14ac:dyDescent="0.25">
      <c r="A225" s="244"/>
      <c r="C225" s="263"/>
      <c r="D225" s="264"/>
      <c r="E225" s="244"/>
      <c r="F225" s="244"/>
      <c r="G225" s="244"/>
      <c r="H225" s="244"/>
      <c r="K225" s="265"/>
      <c r="S225" s="244"/>
    </row>
    <row r="226" spans="1:19" ht="15.75" customHeight="1" x14ac:dyDescent="0.25">
      <c r="A226" s="244"/>
      <c r="C226" s="263"/>
      <c r="D226" s="264"/>
      <c r="E226" s="244"/>
      <c r="F226" s="244"/>
      <c r="G226" s="244"/>
      <c r="H226" s="244"/>
      <c r="K226" s="265"/>
      <c r="S226" s="244"/>
    </row>
    <row r="227" spans="1:19" ht="15.75" customHeight="1" x14ac:dyDescent="0.25">
      <c r="A227" s="244"/>
      <c r="C227" s="263"/>
      <c r="D227" s="264"/>
      <c r="E227" s="244"/>
      <c r="F227" s="244"/>
      <c r="G227" s="244"/>
      <c r="H227" s="244"/>
      <c r="K227" s="265"/>
      <c r="S227" s="244"/>
    </row>
    <row r="228" spans="1:19" ht="15.75" customHeight="1" x14ac:dyDescent="0.25">
      <c r="A228" s="244"/>
      <c r="C228" s="263"/>
      <c r="D228" s="264"/>
      <c r="E228" s="244"/>
      <c r="F228" s="244"/>
      <c r="G228" s="244"/>
      <c r="H228" s="244"/>
      <c r="K228" s="265"/>
      <c r="S228" s="244"/>
    </row>
    <row r="229" spans="1:19" ht="15.75" customHeight="1" x14ac:dyDescent="0.25">
      <c r="A229" s="244"/>
      <c r="C229" s="263"/>
      <c r="D229" s="264"/>
      <c r="E229" s="244"/>
      <c r="F229" s="244"/>
      <c r="G229" s="244"/>
      <c r="H229" s="244"/>
      <c r="K229" s="265"/>
      <c r="S229" s="244"/>
    </row>
    <row r="230" spans="1:19" ht="15.75" customHeight="1" x14ac:dyDescent="0.25">
      <c r="A230" s="244"/>
      <c r="C230" s="263"/>
      <c r="D230" s="264"/>
      <c r="E230" s="244"/>
      <c r="F230" s="244"/>
      <c r="G230" s="244"/>
      <c r="H230" s="244"/>
      <c r="K230" s="265"/>
      <c r="S230" s="244"/>
    </row>
    <row r="231" spans="1:19" ht="15.75" customHeight="1" x14ac:dyDescent="0.25">
      <c r="A231" s="244"/>
      <c r="C231" s="263"/>
      <c r="D231" s="264"/>
      <c r="E231" s="244"/>
      <c r="F231" s="244"/>
      <c r="G231" s="244"/>
      <c r="H231" s="244"/>
      <c r="K231" s="265"/>
      <c r="S231" s="244"/>
    </row>
    <row r="232" spans="1:19" ht="15.75" customHeight="1" x14ac:dyDescent="0.25">
      <c r="A232" s="244"/>
      <c r="C232" s="263"/>
      <c r="D232" s="264"/>
      <c r="E232" s="244"/>
      <c r="F232" s="244"/>
      <c r="G232" s="244"/>
      <c r="H232" s="244"/>
      <c r="K232" s="265"/>
      <c r="S232" s="244"/>
    </row>
    <row r="233" spans="1:19" ht="15.75" customHeight="1" x14ac:dyDescent="0.25">
      <c r="A233" s="244"/>
      <c r="C233" s="263"/>
      <c r="D233" s="264"/>
      <c r="E233" s="244"/>
      <c r="F233" s="244"/>
      <c r="G233" s="244"/>
      <c r="H233" s="244"/>
      <c r="K233" s="265"/>
      <c r="S233" s="244"/>
    </row>
    <row r="234" spans="1:19" ht="15.75" customHeight="1" x14ac:dyDescent="0.25">
      <c r="A234" s="244"/>
      <c r="C234" s="263"/>
      <c r="D234" s="264"/>
      <c r="E234" s="244"/>
      <c r="F234" s="244"/>
      <c r="G234" s="244"/>
      <c r="H234" s="244"/>
      <c r="K234" s="265"/>
      <c r="S234" s="244"/>
    </row>
    <row r="235" spans="1:19" ht="15.75" customHeight="1" x14ac:dyDescent="0.25">
      <c r="A235" s="244"/>
      <c r="C235" s="263"/>
      <c r="D235" s="264"/>
      <c r="E235" s="244"/>
      <c r="F235" s="244"/>
      <c r="G235" s="244"/>
      <c r="H235" s="244"/>
      <c r="K235" s="265"/>
      <c r="S235" s="244"/>
    </row>
    <row r="236" spans="1:19" ht="15.75" customHeight="1" x14ac:dyDescent="0.25">
      <c r="A236" s="244"/>
      <c r="C236" s="263"/>
      <c r="D236" s="264"/>
      <c r="E236" s="244"/>
      <c r="F236" s="244"/>
      <c r="G236" s="244"/>
      <c r="H236" s="244"/>
      <c r="K236" s="265"/>
      <c r="S236" s="244"/>
    </row>
    <row r="237" spans="1:19" ht="15.75" customHeight="1" x14ac:dyDescent="0.25">
      <c r="A237" s="244"/>
      <c r="C237" s="263"/>
      <c r="D237" s="264"/>
      <c r="E237" s="244"/>
      <c r="F237" s="244"/>
      <c r="G237" s="244"/>
      <c r="H237" s="244"/>
      <c r="K237" s="265"/>
      <c r="S237" s="244"/>
    </row>
    <row r="238" spans="1:19" ht="15.75" customHeight="1" x14ac:dyDescent="0.25">
      <c r="A238" s="244"/>
      <c r="C238" s="263"/>
      <c r="D238" s="264"/>
      <c r="E238" s="244"/>
      <c r="F238" s="244"/>
      <c r="G238" s="244"/>
      <c r="H238" s="244"/>
      <c r="K238" s="265"/>
      <c r="S238" s="244"/>
    </row>
    <row r="239" spans="1:19" ht="15.75" customHeight="1" x14ac:dyDescent="0.25">
      <c r="A239" s="244"/>
      <c r="C239" s="263"/>
      <c r="D239" s="264"/>
      <c r="E239" s="244"/>
      <c r="F239" s="244"/>
      <c r="G239" s="244"/>
      <c r="H239" s="244"/>
      <c r="K239" s="265"/>
      <c r="S239" s="244"/>
    </row>
    <row r="240" spans="1:19" ht="15.75" customHeight="1" x14ac:dyDescent="0.25">
      <c r="A240" s="244"/>
      <c r="C240" s="263"/>
      <c r="D240" s="264"/>
      <c r="E240" s="244"/>
      <c r="F240" s="244"/>
      <c r="G240" s="244"/>
      <c r="H240" s="244"/>
      <c r="K240" s="265"/>
      <c r="S240" s="244"/>
    </row>
    <row r="241" spans="1:19" ht="15.75" customHeight="1" x14ac:dyDescent="0.25">
      <c r="A241" s="244"/>
      <c r="C241" s="263"/>
      <c r="D241" s="264"/>
      <c r="E241" s="244"/>
      <c r="F241" s="244"/>
      <c r="G241" s="244"/>
      <c r="H241" s="244"/>
      <c r="K241" s="265"/>
      <c r="S241" s="244"/>
    </row>
    <row r="242" spans="1:19" ht="15.75" customHeight="1" x14ac:dyDescent="0.25">
      <c r="A242" s="244"/>
      <c r="C242" s="263"/>
      <c r="D242" s="264"/>
      <c r="E242" s="244"/>
      <c r="F242" s="244"/>
      <c r="G242" s="244"/>
      <c r="H242" s="244"/>
      <c r="K242" s="265"/>
      <c r="S242" s="244"/>
    </row>
    <row r="243" spans="1:19" ht="15.75" customHeight="1" x14ac:dyDescent="0.25">
      <c r="A243" s="244"/>
      <c r="C243" s="263"/>
      <c r="D243" s="264"/>
      <c r="E243" s="244"/>
      <c r="F243" s="244"/>
      <c r="G243" s="244"/>
      <c r="H243" s="244"/>
      <c r="K243" s="265"/>
      <c r="S243" s="244"/>
    </row>
    <row r="244" spans="1:19" ht="15.75" customHeight="1" x14ac:dyDescent="0.25">
      <c r="A244" s="244"/>
      <c r="C244" s="263"/>
      <c r="D244" s="264"/>
      <c r="E244" s="244"/>
      <c r="F244" s="244"/>
      <c r="G244" s="244"/>
      <c r="H244" s="244"/>
      <c r="K244" s="265"/>
      <c r="S244" s="244"/>
    </row>
    <row r="245" spans="1:19" ht="15.75" customHeight="1" x14ac:dyDescent="0.25">
      <c r="A245" s="244"/>
      <c r="C245" s="263"/>
      <c r="D245" s="264"/>
      <c r="E245" s="244"/>
      <c r="F245" s="244"/>
      <c r="G245" s="244"/>
      <c r="H245" s="244"/>
      <c r="K245" s="265"/>
      <c r="S245" s="244"/>
    </row>
    <row r="246" spans="1:19" ht="15.75" customHeight="1" x14ac:dyDescent="0.25">
      <c r="A246" s="244"/>
      <c r="C246" s="263"/>
      <c r="D246" s="264"/>
      <c r="E246" s="244"/>
      <c r="F246" s="244"/>
      <c r="G246" s="244"/>
      <c r="H246" s="244"/>
      <c r="K246" s="265"/>
      <c r="S246" s="244"/>
    </row>
    <row r="247" spans="1:19" ht="15.75" customHeight="1" x14ac:dyDescent="0.25">
      <c r="A247" s="244"/>
      <c r="C247" s="263"/>
      <c r="D247" s="264"/>
      <c r="E247" s="244"/>
      <c r="F247" s="244"/>
      <c r="G247" s="244"/>
      <c r="H247" s="244"/>
      <c r="K247" s="265"/>
      <c r="S247" s="244"/>
    </row>
    <row r="248" spans="1:19" ht="15.75" customHeight="1" x14ac:dyDescent="0.25">
      <c r="A248" s="244"/>
      <c r="C248" s="263"/>
      <c r="D248" s="264"/>
      <c r="E248" s="244"/>
      <c r="F248" s="244"/>
      <c r="G248" s="244"/>
      <c r="H248" s="244"/>
      <c r="K248" s="265"/>
      <c r="S248" s="244"/>
    </row>
    <row r="249" spans="1:19" ht="15.75" customHeight="1" x14ac:dyDescent="0.25">
      <c r="A249" s="244"/>
      <c r="C249" s="263"/>
      <c r="D249" s="264"/>
      <c r="E249" s="244"/>
      <c r="F249" s="244"/>
      <c r="G249" s="244"/>
      <c r="H249" s="244"/>
      <c r="K249" s="265"/>
      <c r="S249" s="244"/>
    </row>
    <row r="250" spans="1:19" ht="15.75" customHeight="1" x14ac:dyDescent="0.25">
      <c r="A250" s="244"/>
      <c r="C250" s="263"/>
      <c r="D250" s="264"/>
      <c r="E250" s="244"/>
      <c r="F250" s="244"/>
      <c r="G250" s="244"/>
      <c r="H250" s="244"/>
      <c r="K250" s="265"/>
      <c r="S250" s="244"/>
    </row>
    <row r="251" spans="1:19" ht="15.75" customHeight="1" x14ac:dyDescent="0.25">
      <c r="A251" s="244"/>
      <c r="C251" s="263"/>
      <c r="D251" s="264"/>
      <c r="E251" s="244"/>
      <c r="F251" s="244"/>
      <c r="G251" s="244"/>
      <c r="H251" s="244"/>
      <c r="K251" s="265"/>
      <c r="S251" s="244"/>
    </row>
    <row r="252" spans="1:19" ht="15.75" customHeight="1" x14ac:dyDescent="0.25">
      <c r="A252" s="244"/>
      <c r="C252" s="263"/>
      <c r="D252" s="264"/>
      <c r="E252" s="244"/>
      <c r="F252" s="244"/>
      <c r="G252" s="244"/>
      <c r="H252" s="244"/>
      <c r="K252" s="265"/>
      <c r="S252" s="244"/>
    </row>
    <row r="253" spans="1:19" ht="15.75" customHeight="1" x14ac:dyDescent="0.25">
      <c r="A253" s="244"/>
      <c r="C253" s="263"/>
      <c r="D253" s="264"/>
      <c r="E253" s="244"/>
      <c r="F253" s="244"/>
      <c r="G253" s="244"/>
      <c r="H253" s="244"/>
      <c r="K253" s="265"/>
      <c r="S253" s="244"/>
    </row>
    <row r="254" spans="1:19" ht="15.75" customHeight="1" x14ac:dyDescent="0.25">
      <c r="A254" s="244"/>
      <c r="C254" s="263"/>
      <c r="D254" s="264"/>
      <c r="E254" s="244"/>
      <c r="F254" s="244"/>
      <c r="G254" s="244"/>
      <c r="H254" s="244"/>
      <c r="K254" s="265"/>
      <c r="S254" s="244"/>
    </row>
    <row r="255" spans="1:19" ht="15.75" customHeight="1" x14ac:dyDescent="0.25">
      <c r="A255" s="244"/>
      <c r="C255" s="263"/>
      <c r="D255" s="264"/>
      <c r="E255" s="244"/>
      <c r="F255" s="244"/>
      <c r="G255" s="244"/>
      <c r="H255" s="244"/>
      <c r="K255" s="265"/>
      <c r="S255" s="244"/>
    </row>
    <row r="256" spans="1:19" ht="15.75" customHeight="1" x14ac:dyDescent="0.25">
      <c r="A256" s="244"/>
      <c r="C256" s="263"/>
      <c r="D256" s="264"/>
      <c r="E256" s="244"/>
      <c r="F256" s="244"/>
      <c r="G256" s="244"/>
      <c r="H256" s="244"/>
      <c r="K256" s="265"/>
      <c r="S256" s="244"/>
    </row>
    <row r="257" spans="1:19" ht="15.75" customHeight="1" x14ac:dyDescent="0.25">
      <c r="A257" s="244"/>
      <c r="C257" s="263"/>
      <c r="D257" s="264"/>
      <c r="E257" s="244"/>
      <c r="F257" s="244"/>
      <c r="G257" s="244"/>
      <c r="H257" s="244"/>
      <c r="K257" s="265"/>
      <c r="S257" s="244"/>
    </row>
    <row r="258" spans="1:19" ht="15.75" customHeight="1" x14ac:dyDescent="0.25">
      <c r="A258" s="244"/>
      <c r="C258" s="263"/>
      <c r="D258" s="264"/>
      <c r="E258" s="244"/>
      <c r="F258" s="244"/>
      <c r="G258" s="244"/>
      <c r="H258" s="244"/>
      <c r="K258" s="265"/>
      <c r="S258" s="244"/>
    </row>
    <row r="259" spans="1:19" ht="15.75" customHeight="1" x14ac:dyDescent="0.25">
      <c r="A259" s="244"/>
      <c r="C259" s="263"/>
      <c r="D259" s="264"/>
      <c r="E259" s="244"/>
      <c r="F259" s="244"/>
      <c r="G259" s="244"/>
      <c r="H259" s="244"/>
      <c r="K259" s="265"/>
      <c r="S259" s="244"/>
    </row>
    <row r="260" spans="1:19" ht="15.75" customHeight="1" x14ac:dyDescent="0.25">
      <c r="A260" s="244"/>
      <c r="C260" s="263"/>
      <c r="D260" s="264"/>
      <c r="E260" s="244"/>
      <c r="F260" s="244"/>
      <c r="G260" s="244"/>
      <c r="H260" s="244"/>
      <c r="K260" s="265"/>
      <c r="S260" s="244"/>
    </row>
    <row r="261" spans="1:19" ht="15.75" customHeight="1" x14ac:dyDescent="0.25">
      <c r="A261" s="244"/>
      <c r="C261" s="263"/>
      <c r="D261" s="264"/>
      <c r="E261" s="244"/>
      <c r="F261" s="244"/>
      <c r="G261" s="244"/>
      <c r="H261" s="244"/>
      <c r="K261" s="265"/>
      <c r="S261" s="244"/>
    </row>
    <row r="262" spans="1:19" ht="15.75" customHeight="1" x14ac:dyDescent="0.25">
      <c r="A262" s="244"/>
      <c r="C262" s="263"/>
      <c r="D262" s="264"/>
      <c r="E262" s="244"/>
      <c r="F262" s="244"/>
      <c r="G262" s="244"/>
      <c r="H262" s="244"/>
      <c r="K262" s="265"/>
      <c r="S262" s="244"/>
    </row>
    <row r="263" spans="1:19" ht="15.75" customHeight="1" x14ac:dyDescent="0.25">
      <c r="A263" s="244"/>
      <c r="C263" s="263"/>
      <c r="D263" s="264"/>
      <c r="E263" s="244"/>
      <c r="F263" s="244"/>
      <c r="G263" s="244"/>
      <c r="H263" s="244"/>
      <c r="K263" s="265"/>
      <c r="S263" s="244"/>
    </row>
    <row r="264" spans="1:19" ht="15.75" customHeight="1" x14ac:dyDescent="0.25">
      <c r="A264" s="244"/>
      <c r="C264" s="263"/>
      <c r="D264" s="264"/>
      <c r="E264" s="244"/>
      <c r="F264" s="244"/>
      <c r="G264" s="244"/>
      <c r="H264" s="244"/>
      <c r="K264" s="265"/>
      <c r="S264" s="244"/>
    </row>
    <row r="265" spans="1:19" ht="15.75" customHeight="1" x14ac:dyDescent="0.25">
      <c r="A265" s="244"/>
      <c r="C265" s="263"/>
      <c r="D265" s="264"/>
      <c r="E265" s="244"/>
      <c r="F265" s="244"/>
      <c r="G265" s="244"/>
      <c r="H265" s="244"/>
      <c r="K265" s="265"/>
      <c r="S265" s="244"/>
    </row>
    <row r="266" spans="1:19" ht="15.75" customHeight="1" x14ac:dyDescent="0.25">
      <c r="A266" s="244"/>
      <c r="C266" s="263"/>
      <c r="D266" s="264"/>
      <c r="E266" s="244"/>
      <c r="F266" s="244"/>
      <c r="G266" s="244"/>
      <c r="H266" s="244"/>
      <c r="K266" s="265"/>
      <c r="S266" s="244"/>
    </row>
    <row r="267" spans="1:19" ht="15.75" customHeight="1" x14ac:dyDescent="0.25">
      <c r="A267" s="244"/>
      <c r="C267" s="263"/>
      <c r="D267" s="264"/>
      <c r="E267" s="244"/>
      <c r="F267" s="244"/>
      <c r="G267" s="244"/>
      <c r="H267" s="244"/>
      <c r="K267" s="265"/>
      <c r="S267" s="244"/>
    </row>
    <row r="268" spans="1:19" ht="15.75" customHeight="1" x14ac:dyDescent="0.25">
      <c r="A268" s="244"/>
      <c r="C268" s="263"/>
      <c r="D268" s="264"/>
      <c r="E268" s="244"/>
      <c r="F268" s="244"/>
      <c r="G268" s="244"/>
      <c r="H268" s="244"/>
      <c r="K268" s="265"/>
      <c r="S268" s="244"/>
    </row>
    <row r="269" spans="1:19" ht="15.75" customHeight="1" x14ac:dyDescent="0.25">
      <c r="A269" s="244"/>
      <c r="C269" s="263"/>
      <c r="D269" s="264"/>
      <c r="E269" s="244"/>
      <c r="F269" s="244"/>
      <c r="G269" s="244"/>
      <c r="H269" s="244"/>
      <c r="K269" s="265"/>
      <c r="S269" s="244"/>
    </row>
    <row r="270" spans="1:19" ht="15.75" customHeight="1" x14ac:dyDescent="0.25">
      <c r="A270" s="244"/>
      <c r="C270" s="263"/>
      <c r="D270" s="264"/>
      <c r="E270" s="244"/>
      <c r="F270" s="244"/>
      <c r="G270" s="244"/>
      <c r="H270" s="244"/>
      <c r="K270" s="265"/>
      <c r="S270" s="244"/>
    </row>
    <row r="271" spans="1:19" ht="15.75" customHeight="1" x14ac:dyDescent="0.25">
      <c r="A271" s="244"/>
      <c r="C271" s="263"/>
      <c r="D271" s="264"/>
      <c r="E271" s="244"/>
      <c r="F271" s="244"/>
      <c r="G271" s="244"/>
      <c r="H271" s="244"/>
      <c r="K271" s="265"/>
      <c r="S271" s="244"/>
    </row>
    <row r="272" spans="1:19" ht="15.75" customHeight="1" x14ac:dyDescent="0.25">
      <c r="A272" s="244"/>
      <c r="C272" s="263"/>
      <c r="D272" s="264"/>
      <c r="E272" s="244"/>
      <c r="F272" s="244"/>
      <c r="G272" s="244"/>
      <c r="H272" s="244"/>
      <c r="K272" s="265"/>
      <c r="S272" s="244"/>
    </row>
    <row r="273" spans="1:19" ht="15.75" customHeight="1" x14ac:dyDescent="0.25">
      <c r="A273" s="244"/>
      <c r="C273" s="263"/>
      <c r="D273" s="264"/>
      <c r="E273" s="244"/>
      <c r="F273" s="244"/>
      <c r="G273" s="244"/>
      <c r="H273" s="244"/>
      <c r="K273" s="265"/>
      <c r="S273" s="244"/>
    </row>
    <row r="274" spans="1:19" ht="15.75" customHeight="1" x14ac:dyDescent="0.25">
      <c r="A274" s="244"/>
      <c r="C274" s="263"/>
      <c r="D274" s="264"/>
      <c r="E274" s="244"/>
      <c r="F274" s="244"/>
      <c r="G274" s="244"/>
      <c r="H274" s="244"/>
      <c r="K274" s="265"/>
      <c r="S274" s="244"/>
    </row>
    <row r="275" spans="1:19" ht="15.75" customHeight="1" x14ac:dyDescent="0.25">
      <c r="A275" s="244"/>
      <c r="C275" s="263"/>
      <c r="D275" s="264"/>
      <c r="E275" s="244"/>
      <c r="F275" s="244"/>
      <c r="G275" s="244"/>
      <c r="H275" s="244"/>
      <c r="K275" s="265"/>
      <c r="S275" s="244"/>
    </row>
    <row r="276" spans="1:19" ht="15.75" customHeight="1" x14ac:dyDescent="0.25">
      <c r="A276" s="244"/>
      <c r="C276" s="263"/>
      <c r="D276" s="264"/>
      <c r="E276" s="244"/>
      <c r="F276" s="244"/>
      <c r="G276" s="244"/>
      <c r="H276" s="244"/>
      <c r="K276" s="265"/>
      <c r="S276" s="244"/>
    </row>
    <row r="277" spans="1:19" ht="15.75" customHeight="1" x14ac:dyDescent="0.25">
      <c r="A277" s="244"/>
      <c r="C277" s="263"/>
      <c r="D277" s="264"/>
      <c r="E277" s="244"/>
      <c r="F277" s="244"/>
      <c r="G277" s="244"/>
      <c r="H277" s="244"/>
      <c r="K277" s="265"/>
      <c r="S277" s="244"/>
    </row>
    <row r="278" spans="1:19" ht="15.75" customHeight="1" x14ac:dyDescent="0.25">
      <c r="A278" s="244"/>
      <c r="C278" s="263"/>
      <c r="D278" s="264"/>
      <c r="E278" s="244"/>
      <c r="F278" s="244"/>
      <c r="G278" s="244"/>
      <c r="H278" s="244"/>
      <c r="K278" s="265"/>
      <c r="S278" s="244"/>
    </row>
    <row r="279" spans="1:19" ht="15.75" customHeight="1" x14ac:dyDescent="0.25">
      <c r="A279" s="244"/>
      <c r="C279" s="263"/>
      <c r="D279" s="264"/>
      <c r="E279" s="244"/>
      <c r="F279" s="244"/>
      <c r="G279" s="244"/>
      <c r="H279" s="244"/>
      <c r="K279" s="265"/>
      <c r="S279" s="244"/>
    </row>
    <row r="280" spans="1:19" ht="15.75" customHeight="1" x14ac:dyDescent="0.25">
      <c r="A280" s="244"/>
      <c r="C280" s="263"/>
      <c r="D280" s="264"/>
      <c r="E280" s="244"/>
      <c r="F280" s="244"/>
      <c r="G280" s="244"/>
      <c r="H280" s="244"/>
      <c r="K280" s="265"/>
      <c r="S280" s="244"/>
    </row>
    <row r="281" spans="1:19" ht="15.75" customHeight="1" x14ac:dyDescent="0.25">
      <c r="A281" s="244"/>
      <c r="C281" s="263"/>
      <c r="D281" s="264"/>
      <c r="E281" s="244"/>
      <c r="F281" s="244"/>
      <c r="G281" s="244"/>
      <c r="H281" s="244"/>
      <c r="K281" s="265"/>
      <c r="S281" s="244"/>
    </row>
    <row r="282" spans="1:19" ht="15.75" customHeight="1" x14ac:dyDescent="0.25">
      <c r="A282" s="244"/>
      <c r="C282" s="263"/>
      <c r="D282" s="264"/>
      <c r="E282" s="244"/>
      <c r="F282" s="244"/>
      <c r="G282" s="244"/>
      <c r="H282" s="244"/>
      <c r="K282" s="265"/>
      <c r="S282" s="244"/>
    </row>
    <row r="283" spans="1:19" ht="15.75" customHeight="1" x14ac:dyDescent="0.25">
      <c r="A283" s="244"/>
      <c r="C283" s="263"/>
      <c r="D283" s="264"/>
      <c r="E283" s="244"/>
      <c r="F283" s="244"/>
      <c r="G283" s="244"/>
      <c r="H283" s="244"/>
      <c r="K283" s="265"/>
      <c r="S283" s="244"/>
    </row>
    <row r="284" spans="1:19" ht="15.75" customHeight="1" x14ac:dyDescent="0.25">
      <c r="A284" s="244"/>
      <c r="C284" s="263"/>
      <c r="D284" s="264"/>
      <c r="E284" s="244"/>
      <c r="F284" s="244"/>
      <c r="G284" s="244"/>
      <c r="H284" s="244"/>
      <c r="K284" s="265"/>
      <c r="S284" s="244"/>
    </row>
    <row r="285" spans="1:19" ht="15.75" customHeight="1" x14ac:dyDescent="0.25">
      <c r="A285" s="244"/>
      <c r="C285" s="263"/>
      <c r="D285" s="264"/>
      <c r="E285" s="244"/>
      <c r="F285" s="244"/>
      <c r="G285" s="244"/>
      <c r="H285" s="244"/>
      <c r="K285" s="265"/>
      <c r="S285" s="244"/>
    </row>
    <row r="286" spans="1:19" ht="15.75" customHeight="1" x14ac:dyDescent="0.25">
      <c r="A286" s="244"/>
      <c r="C286" s="263"/>
      <c r="D286" s="264"/>
      <c r="E286" s="244"/>
      <c r="F286" s="244"/>
      <c r="G286" s="244"/>
      <c r="H286" s="244"/>
      <c r="K286" s="265"/>
      <c r="S286" s="244"/>
    </row>
    <row r="287" spans="1:19" ht="15.75" customHeight="1" x14ac:dyDescent="0.25">
      <c r="A287" s="244"/>
      <c r="C287" s="263"/>
      <c r="D287" s="264"/>
      <c r="E287" s="244"/>
      <c r="F287" s="244"/>
      <c r="G287" s="244"/>
      <c r="H287" s="244"/>
      <c r="K287" s="265"/>
      <c r="S287" s="244"/>
    </row>
    <row r="288" spans="1:19" ht="15.75" customHeight="1" x14ac:dyDescent="0.25">
      <c r="A288" s="244"/>
      <c r="C288" s="263"/>
      <c r="D288" s="264"/>
      <c r="E288" s="244"/>
      <c r="F288" s="244"/>
      <c r="G288" s="244"/>
      <c r="H288" s="244"/>
      <c r="K288" s="265"/>
      <c r="S288" s="244"/>
    </row>
    <row r="289" spans="1:19" ht="15.75" customHeight="1" x14ac:dyDescent="0.25">
      <c r="A289" s="244"/>
      <c r="C289" s="263"/>
      <c r="D289" s="264"/>
      <c r="E289" s="244"/>
      <c r="F289" s="244"/>
      <c r="G289" s="244"/>
      <c r="H289" s="244"/>
      <c r="K289" s="265"/>
      <c r="S289" s="244"/>
    </row>
    <row r="290" spans="1:19" ht="15.75" customHeight="1" x14ac:dyDescent="0.25">
      <c r="A290" s="244"/>
      <c r="C290" s="263"/>
      <c r="D290" s="264"/>
      <c r="E290" s="244"/>
      <c r="F290" s="244"/>
      <c r="G290" s="244"/>
      <c r="H290" s="244"/>
      <c r="K290" s="265"/>
      <c r="S290" s="244"/>
    </row>
    <row r="291" spans="1:19" ht="15.75" customHeight="1" x14ac:dyDescent="0.25">
      <c r="A291" s="244"/>
      <c r="C291" s="263"/>
      <c r="D291" s="264"/>
      <c r="E291" s="244"/>
      <c r="F291" s="244"/>
      <c r="G291" s="244"/>
      <c r="H291" s="244"/>
      <c r="K291" s="265"/>
      <c r="S291" s="244"/>
    </row>
    <row r="292" spans="1:19" ht="15.75" customHeight="1" x14ac:dyDescent="0.25">
      <c r="A292" s="244"/>
      <c r="C292" s="263"/>
      <c r="D292" s="264"/>
      <c r="E292" s="244"/>
      <c r="F292" s="244"/>
      <c r="G292" s="244"/>
      <c r="H292" s="244"/>
      <c r="K292" s="265"/>
      <c r="S292" s="244"/>
    </row>
    <row r="293" spans="1:19" ht="15.75" customHeight="1" x14ac:dyDescent="0.25">
      <c r="A293" s="244"/>
      <c r="C293" s="263"/>
      <c r="D293" s="264"/>
      <c r="E293" s="244"/>
      <c r="F293" s="244"/>
      <c r="G293" s="244"/>
      <c r="H293" s="244"/>
      <c r="K293" s="265"/>
      <c r="S293" s="244"/>
    </row>
    <row r="294" spans="1:19" ht="15.75" customHeight="1" x14ac:dyDescent="0.25">
      <c r="A294" s="244"/>
      <c r="C294" s="263"/>
      <c r="D294" s="264"/>
      <c r="E294" s="244"/>
      <c r="F294" s="244"/>
      <c r="G294" s="244"/>
      <c r="H294" s="244"/>
      <c r="K294" s="265"/>
      <c r="S294" s="244"/>
    </row>
    <row r="295" spans="1:19" ht="15.75" customHeight="1" x14ac:dyDescent="0.25">
      <c r="A295" s="244"/>
      <c r="C295" s="263"/>
      <c r="D295" s="264"/>
      <c r="E295" s="244"/>
      <c r="F295" s="244"/>
      <c r="G295" s="244"/>
      <c r="H295" s="244"/>
      <c r="K295" s="265"/>
      <c r="S295" s="244"/>
    </row>
    <row r="296" spans="1:19" ht="15.75" customHeight="1" x14ac:dyDescent="0.25">
      <c r="A296" s="244"/>
      <c r="C296" s="263"/>
      <c r="D296" s="264"/>
      <c r="E296" s="244"/>
      <c r="F296" s="244"/>
      <c r="G296" s="244"/>
      <c r="H296" s="244"/>
      <c r="K296" s="265"/>
      <c r="S296" s="244"/>
    </row>
    <row r="297" spans="1:19" ht="15.75" customHeight="1" x14ac:dyDescent="0.25">
      <c r="A297" s="244"/>
      <c r="C297" s="263"/>
      <c r="D297" s="264"/>
      <c r="E297" s="244"/>
      <c r="F297" s="244"/>
      <c r="G297" s="244"/>
      <c r="H297" s="244"/>
      <c r="K297" s="265"/>
      <c r="S297" s="244"/>
    </row>
    <row r="298" spans="1:19" ht="15.75" customHeight="1" x14ac:dyDescent="0.25">
      <c r="A298" s="244"/>
      <c r="C298" s="263"/>
      <c r="D298" s="264"/>
      <c r="E298" s="244"/>
      <c r="F298" s="244"/>
      <c r="G298" s="244"/>
      <c r="H298" s="244"/>
      <c r="K298" s="265"/>
      <c r="S298" s="244"/>
    </row>
    <row r="299" spans="1:19" ht="15.75" customHeight="1" x14ac:dyDescent="0.25">
      <c r="A299" s="244"/>
      <c r="C299" s="263"/>
      <c r="D299" s="264"/>
      <c r="E299" s="244"/>
      <c r="F299" s="244"/>
      <c r="G299" s="244"/>
      <c r="H299" s="244"/>
      <c r="K299" s="265"/>
      <c r="S299" s="244"/>
    </row>
    <row r="300" spans="1:19" ht="15.75" customHeight="1" x14ac:dyDescent="0.25">
      <c r="A300" s="244"/>
      <c r="C300" s="263"/>
      <c r="D300" s="264"/>
      <c r="E300" s="244"/>
      <c r="F300" s="244"/>
      <c r="G300" s="244"/>
      <c r="H300" s="244"/>
      <c r="K300" s="265"/>
      <c r="S300" s="244"/>
    </row>
    <row r="301" spans="1:19" ht="15.75" customHeight="1" x14ac:dyDescent="0.25">
      <c r="A301" s="244"/>
      <c r="C301" s="263"/>
      <c r="D301" s="264"/>
      <c r="E301" s="244"/>
      <c r="F301" s="244"/>
      <c r="G301" s="244"/>
      <c r="H301" s="244"/>
      <c r="K301" s="265"/>
      <c r="S301" s="244"/>
    </row>
    <row r="302" spans="1:19" ht="15.75" customHeight="1" x14ac:dyDescent="0.25">
      <c r="A302" s="244"/>
      <c r="C302" s="263"/>
      <c r="D302" s="264"/>
      <c r="E302" s="244"/>
      <c r="F302" s="244"/>
      <c r="G302" s="244"/>
      <c r="H302" s="244"/>
      <c r="K302" s="265"/>
      <c r="S302" s="244"/>
    </row>
    <row r="303" spans="1:19" ht="15.75" customHeight="1" x14ac:dyDescent="0.25">
      <c r="A303" s="244"/>
      <c r="C303" s="263"/>
      <c r="D303" s="264"/>
      <c r="E303" s="244"/>
      <c r="F303" s="244"/>
      <c r="G303" s="244"/>
      <c r="H303" s="244"/>
      <c r="K303" s="265"/>
      <c r="S303" s="244"/>
    </row>
    <row r="304" spans="1:19" ht="15.75" customHeight="1" x14ac:dyDescent="0.25">
      <c r="A304" s="244"/>
      <c r="C304" s="263"/>
      <c r="D304" s="264"/>
      <c r="E304" s="244"/>
      <c r="F304" s="244"/>
      <c r="G304" s="244"/>
      <c r="H304" s="244"/>
      <c r="K304" s="265"/>
      <c r="S304" s="244"/>
    </row>
    <row r="305" spans="1:19" ht="15.75" customHeight="1" x14ac:dyDescent="0.25">
      <c r="A305" s="244"/>
      <c r="C305" s="263"/>
      <c r="D305" s="264"/>
      <c r="E305" s="244"/>
      <c r="F305" s="244"/>
      <c r="G305" s="244"/>
      <c r="H305" s="244"/>
      <c r="K305" s="265"/>
      <c r="S305" s="244"/>
    </row>
    <row r="306" spans="1:19" ht="15.75" customHeight="1" x14ac:dyDescent="0.25">
      <c r="A306" s="244"/>
      <c r="C306" s="263"/>
      <c r="D306" s="264"/>
      <c r="E306" s="244"/>
      <c r="F306" s="244"/>
      <c r="G306" s="244"/>
      <c r="H306" s="244"/>
      <c r="K306" s="265"/>
      <c r="S306" s="244"/>
    </row>
    <row r="307" spans="1:19" ht="15.75" customHeight="1" x14ac:dyDescent="0.25">
      <c r="A307" s="244"/>
      <c r="C307" s="263"/>
      <c r="D307" s="264"/>
      <c r="E307" s="244"/>
      <c r="F307" s="244"/>
      <c r="G307" s="244"/>
      <c r="H307" s="244"/>
      <c r="K307" s="265"/>
      <c r="S307" s="244"/>
    </row>
    <row r="308" spans="1:19" ht="15.75" customHeight="1" x14ac:dyDescent="0.25">
      <c r="A308" s="244"/>
      <c r="C308" s="263"/>
      <c r="D308" s="264"/>
      <c r="E308" s="244"/>
      <c r="F308" s="244"/>
      <c r="G308" s="244"/>
      <c r="H308" s="244"/>
      <c r="K308" s="265"/>
      <c r="S308" s="244"/>
    </row>
    <row r="309" spans="1:19" ht="15.75" customHeight="1" x14ac:dyDescent="0.25">
      <c r="A309" s="244"/>
      <c r="C309" s="263"/>
      <c r="D309" s="264"/>
      <c r="E309" s="244"/>
      <c r="F309" s="244"/>
      <c r="G309" s="244"/>
      <c r="H309" s="244"/>
      <c r="K309" s="265"/>
      <c r="S309" s="244"/>
    </row>
    <row r="310" spans="1:19" ht="15.75" customHeight="1" x14ac:dyDescent="0.25">
      <c r="A310" s="244"/>
      <c r="C310" s="263"/>
      <c r="D310" s="264"/>
      <c r="E310" s="244"/>
      <c r="F310" s="244"/>
      <c r="G310" s="244"/>
      <c r="H310" s="244"/>
      <c r="K310" s="265"/>
      <c r="S310" s="244"/>
    </row>
    <row r="311" spans="1:19" ht="15.75" customHeight="1" x14ac:dyDescent="0.25">
      <c r="A311" s="244"/>
      <c r="C311" s="263"/>
      <c r="D311" s="264"/>
      <c r="E311" s="244"/>
      <c r="F311" s="244"/>
      <c r="G311" s="244"/>
      <c r="H311" s="244"/>
      <c r="K311" s="265"/>
      <c r="S311" s="244"/>
    </row>
    <row r="312" spans="1:19" ht="15.75" customHeight="1" x14ac:dyDescent="0.25">
      <c r="A312" s="244"/>
      <c r="C312" s="263"/>
      <c r="D312" s="264"/>
      <c r="E312" s="244"/>
      <c r="F312" s="244"/>
      <c r="G312" s="244"/>
      <c r="H312" s="244"/>
      <c r="K312" s="265"/>
      <c r="S312" s="244"/>
    </row>
    <row r="313" spans="1:19" ht="15.75" customHeight="1" x14ac:dyDescent="0.25">
      <c r="A313" s="244"/>
      <c r="C313" s="263"/>
      <c r="D313" s="264"/>
      <c r="E313" s="244"/>
      <c r="F313" s="244"/>
      <c r="G313" s="244"/>
      <c r="H313" s="244"/>
      <c r="K313" s="265"/>
      <c r="S313" s="244"/>
    </row>
    <row r="314" spans="1:19" ht="15.75" customHeight="1" x14ac:dyDescent="0.25">
      <c r="A314" s="244"/>
      <c r="C314" s="263"/>
      <c r="D314" s="264"/>
      <c r="E314" s="244"/>
      <c r="F314" s="244"/>
      <c r="G314" s="244"/>
      <c r="H314" s="244"/>
      <c r="K314" s="265"/>
      <c r="S314" s="244"/>
    </row>
    <row r="315" spans="1:19" ht="15.75" customHeight="1" x14ac:dyDescent="0.25">
      <c r="A315" s="244"/>
      <c r="C315" s="263"/>
      <c r="D315" s="264"/>
      <c r="E315" s="244"/>
      <c r="F315" s="244"/>
      <c r="G315" s="244"/>
      <c r="H315" s="244"/>
      <c r="K315" s="265"/>
      <c r="S315" s="244"/>
    </row>
    <row r="316" spans="1:19" ht="15.75" customHeight="1" x14ac:dyDescent="0.25">
      <c r="A316" s="244"/>
      <c r="C316" s="263"/>
      <c r="D316" s="264"/>
      <c r="E316" s="244"/>
      <c r="F316" s="244"/>
      <c r="G316" s="244"/>
      <c r="H316" s="244"/>
      <c r="K316" s="265"/>
      <c r="S316" s="244"/>
    </row>
    <row r="317" spans="1:19" ht="15.75" customHeight="1" x14ac:dyDescent="0.25">
      <c r="A317" s="244"/>
      <c r="C317" s="263"/>
      <c r="D317" s="264"/>
      <c r="E317" s="244"/>
      <c r="F317" s="244"/>
      <c r="G317" s="244"/>
      <c r="H317" s="244"/>
      <c r="K317" s="265"/>
      <c r="S317" s="244"/>
    </row>
    <row r="318" spans="1:19" ht="15.75" customHeight="1" x14ac:dyDescent="0.25">
      <c r="A318" s="244"/>
      <c r="C318" s="263"/>
      <c r="D318" s="264"/>
      <c r="E318" s="244"/>
      <c r="F318" s="244"/>
      <c r="G318" s="244"/>
      <c r="H318" s="244"/>
      <c r="K318" s="265"/>
      <c r="S318" s="244"/>
    </row>
    <row r="319" spans="1:19" ht="15.75" customHeight="1" x14ac:dyDescent="0.25">
      <c r="A319" s="244"/>
      <c r="C319" s="263"/>
      <c r="D319" s="264"/>
      <c r="E319" s="244"/>
      <c r="F319" s="244"/>
      <c r="G319" s="244"/>
      <c r="H319" s="244"/>
      <c r="K319" s="265"/>
      <c r="S319" s="244"/>
    </row>
    <row r="320" spans="1:19" ht="15.75" customHeight="1" x14ac:dyDescent="0.25">
      <c r="A320" s="244"/>
      <c r="C320" s="263"/>
      <c r="D320" s="264"/>
      <c r="E320" s="244"/>
      <c r="F320" s="244"/>
      <c r="G320" s="244"/>
      <c r="H320" s="244"/>
      <c r="K320" s="265"/>
      <c r="S320" s="244"/>
    </row>
    <row r="321" spans="1:19" ht="15.75" customHeight="1" x14ac:dyDescent="0.25">
      <c r="A321" s="244"/>
      <c r="C321" s="263"/>
      <c r="D321" s="264"/>
      <c r="E321" s="244"/>
      <c r="F321" s="244"/>
      <c r="G321" s="244"/>
      <c r="H321" s="244"/>
      <c r="K321" s="265"/>
      <c r="S321" s="244"/>
    </row>
    <row r="322" spans="1:19" ht="15.75" customHeight="1" x14ac:dyDescent="0.25">
      <c r="A322" s="244"/>
      <c r="C322" s="263"/>
      <c r="D322" s="264"/>
      <c r="E322" s="244"/>
      <c r="F322" s="244"/>
      <c r="G322" s="244"/>
      <c r="H322" s="244"/>
      <c r="K322" s="265"/>
      <c r="S322" s="244"/>
    </row>
    <row r="323" spans="1:19" ht="15.75" customHeight="1" x14ac:dyDescent="0.25">
      <c r="A323" s="244"/>
      <c r="C323" s="263"/>
      <c r="D323" s="264"/>
      <c r="E323" s="244"/>
      <c r="F323" s="244"/>
      <c r="G323" s="244"/>
      <c r="H323" s="244"/>
      <c r="K323" s="265"/>
      <c r="S323" s="244"/>
    </row>
    <row r="324" spans="1:19" ht="15.75" customHeight="1" x14ac:dyDescent="0.25">
      <c r="A324" s="244"/>
      <c r="C324" s="263"/>
      <c r="D324" s="264"/>
      <c r="E324" s="244"/>
      <c r="F324" s="244"/>
      <c r="G324" s="244"/>
      <c r="H324" s="244"/>
      <c r="K324" s="265"/>
      <c r="S324" s="244"/>
    </row>
    <row r="325" spans="1:19" ht="15.75" customHeight="1" x14ac:dyDescent="0.25">
      <c r="A325" s="244"/>
      <c r="C325" s="263"/>
      <c r="D325" s="264"/>
      <c r="E325" s="244"/>
      <c r="F325" s="244"/>
      <c r="G325" s="244"/>
      <c r="H325" s="244"/>
      <c r="K325" s="265"/>
      <c r="S325" s="244"/>
    </row>
    <row r="326" spans="1:19" ht="15.75" customHeight="1" x14ac:dyDescent="0.25">
      <c r="A326" s="244"/>
      <c r="C326" s="263"/>
      <c r="D326" s="264"/>
      <c r="E326" s="244"/>
      <c r="F326" s="244"/>
      <c r="G326" s="244"/>
      <c r="H326" s="244"/>
      <c r="K326" s="265"/>
      <c r="S326" s="244"/>
    </row>
    <row r="327" spans="1:19" ht="15.75" customHeight="1" x14ac:dyDescent="0.25">
      <c r="A327" s="244"/>
      <c r="C327" s="263"/>
      <c r="D327" s="264"/>
      <c r="E327" s="244"/>
      <c r="F327" s="244"/>
      <c r="G327" s="244"/>
      <c r="H327" s="244"/>
      <c r="K327" s="265"/>
      <c r="S327" s="244"/>
    </row>
    <row r="328" spans="1:19" ht="15.75" customHeight="1" x14ac:dyDescent="0.25">
      <c r="A328" s="244"/>
      <c r="C328" s="263"/>
      <c r="D328" s="264"/>
      <c r="E328" s="244"/>
      <c r="F328" s="244"/>
      <c r="G328" s="244"/>
      <c r="H328" s="244"/>
      <c r="K328" s="265"/>
      <c r="S328" s="244"/>
    </row>
    <row r="329" spans="1:19" ht="15.75" customHeight="1" x14ac:dyDescent="0.25">
      <c r="A329" s="244"/>
      <c r="C329" s="263"/>
      <c r="D329" s="264"/>
      <c r="E329" s="244"/>
      <c r="F329" s="244"/>
      <c r="G329" s="244"/>
      <c r="H329" s="244"/>
      <c r="K329" s="265"/>
      <c r="S329" s="244"/>
    </row>
    <row r="330" spans="1:19" ht="15.75" customHeight="1" x14ac:dyDescent="0.25">
      <c r="A330" s="244"/>
      <c r="C330" s="263"/>
      <c r="D330" s="264"/>
      <c r="E330" s="244"/>
      <c r="F330" s="244"/>
      <c r="G330" s="244"/>
      <c r="H330" s="244"/>
      <c r="K330" s="265"/>
      <c r="S330" s="244"/>
    </row>
    <row r="331" spans="1:19" ht="15.75" customHeight="1" x14ac:dyDescent="0.25">
      <c r="A331" s="244"/>
      <c r="C331" s="263"/>
      <c r="D331" s="264"/>
      <c r="E331" s="244"/>
      <c r="F331" s="244"/>
      <c r="G331" s="244"/>
      <c r="H331" s="244"/>
      <c r="K331" s="265"/>
      <c r="S331" s="244"/>
    </row>
    <row r="332" spans="1:19" ht="15.75" customHeight="1" x14ac:dyDescent="0.25">
      <c r="A332" s="244"/>
      <c r="C332" s="263"/>
      <c r="D332" s="264"/>
      <c r="E332" s="244"/>
      <c r="F332" s="244"/>
      <c r="G332" s="244"/>
      <c r="H332" s="244"/>
      <c r="K332" s="265"/>
      <c r="S332" s="244"/>
    </row>
    <row r="333" spans="1:19" ht="15.75" customHeight="1" x14ac:dyDescent="0.25">
      <c r="A333" s="244"/>
      <c r="C333" s="263"/>
      <c r="D333" s="264"/>
      <c r="E333" s="244"/>
      <c r="F333" s="244"/>
      <c r="G333" s="244"/>
      <c r="H333" s="244"/>
      <c r="K333" s="265"/>
      <c r="S333" s="244"/>
    </row>
    <row r="334" spans="1:19" ht="15.75" customHeight="1" x14ac:dyDescent="0.25">
      <c r="A334" s="244"/>
      <c r="C334" s="263"/>
      <c r="D334" s="264"/>
      <c r="E334" s="244"/>
      <c r="F334" s="244"/>
      <c r="G334" s="244"/>
      <c r="H334" s="244"/>
      <c r="K334" s="265"/>
      <c r="S334" s="244"/>
    </row>
    <row r="335" spans="1:19" ht="15.75" customHeight="1" x14ac:dyDescent="0.25">
      <c r="A335" s="244"/>
      <c r="C335" s="263"/>
      <c r="D335" s="264"/>
      <c r="E335" s="244"/>
      <c r="F335" s="244"/>
      <c r="G335" s="244"/>
      <c r="H335" s="244"/>
      <c r="K335" s="265"/>
      <c r="S335" s="244"/>
    </row>
    <row r="336" spans="1:19" ht="15.75" customHeight="1" x14ac:dyDescent="0.25">
      <c r="A336" s="244"/>
      <c r="C336" s="263"/>
      <c r="D336" s="264"/>
      <c r="E336" s="244"/>
      <c r="F336" s="244"/>
      <c r="G336" s="244"/>
      <c r="H336" s="244"/>
      <c r="K336" s="265"/>
      <c r="S336" s="244"/>
    </row>
    <row r="337" spans="1:19" ht="15.75" customHeight="1" x14ac:dyDescent="0.25">
      <c r="A337" s="244"/>
      <c r="C337" s="263"/>
      <c r="D337" s="264"/>
      <c r="E337" s="244"/>
      <c r="F337" s="244"/>
      <c r="G337" s="244"/>
      <c r="H337" s="244"/>
      <c r="K337" s="265"/>
      <c r="S337" s="244"/>
    </row>
    <row r="338" spans="1:19" ht="15.75" customHeight="1" x14ac:dyDescent="0.25">
      <c r="A338" s="244"/>
      <c r="C338" s="263"/>
      <c r="D338" s="264"/>
      <c r="E338" s="244"/>
      <c r="F338" s="244"/>
      <c r="G338" s="244"/>
      <c r="H338" s="244"/>
      <c r="K338" s="265"/>
      <c r="S338" s="244"/>
    </row>
    <row r="339" spans="1:19" ht="15.75" customHeight="1" x14ac:dyDescent="0.25">
      <c r="A339" s="244"/>
      <c r="C339" s="263"/>
      <c r="D339" s="264"/>
      <c r="E339" s="244"/>
      <c r="F339" s="244"/>
      <c r="G339" s="244"/>
      <c r="H339" s="244"/>
      <c r="K339" s="265"/>
      <c r="S339" s="244"/>
    </row>
    <row r="340" spans="1:19" ht="15.75" customHeight="1" x14ac:dyDescent="0.25">
      <c r="A340" s="244"/>
      <c r="C340" s="263"/>
      <c r="D340" s="264"/>
      <c r="E340" s="244"/>
      <c r="F340" s="244"/>
      <c r="G340" s="244"/>
      <c r="H340" s="244"/>
      <c r="K340" s="265"/>
      <c r="S340" s="244"/>
    </row>
    <row r="341" spans="1:19" ht="15.75" customHeight="1" x14ac:dyDescent="0.25">
      <c r="A341" s="244"/>
      <c r="C341" s="263"/>
      <c r="D341" s="264"/>
      <c r="E341" s="244"/>
      <c r="F341" s="244"/>
      <c r="G341" s="244"/>
      <c r="H341" s="244"/>
      <c r="K341" s="265"/>
      <c r="S341" s="244"/>
    </row>
    <row r="342" spans="1:19" ht="15.75" customHeight="1" x14ac:dyDescent="0.25">
      <c r="A342" s="244"/>
      <c r="C342" s="263"/>
      <c r="D342" s="264"/>
      <c r="E342" s="244"/>
      <c r="F342" s="244"/>
      <c r="G342" s="244"/>
      <c r="H342" s="244"/>
      <c r="K342" s="265"/>
      <c r="S342" s="244"/>
    </row>
    <row r="343" spans="1:19" ht="15.75" customHeight="1" x14ac:dyDescent="0.25">
      <c r="A343" s="244"/>
      <c r="C343" s="263"/>
      <c r="D343" s="264"/>
      <c r="E343" s="244"/>
      <c r="F343" s="244"/>
      <c r="G343" s="244"/>
      <c r="H343" s="244"/>
      <c r="K343" s="265"/>
      <c r="S343" s="244"/>
    </row>
    <row r="344" spans="1:19" ht="15.75" customHeight="1" x14ac:dyDescent="0.25">
      <c r="A344" s="244"/>
      <c r="C344" s="263"/>
      <c r="D344" s="264"/>
      <c r="E344" s="244"/>
      <c r="F344" s="244"/>
      <c r="G344" s="244"/>
      <c r="H344" s="244"/>
      <c r="K344" s="265"/>
      <c r="S344" s="244"/>
    </row>
    <row r="345" spans="1:19" ht="15.75" customHeight="1" x14ac:dyDescent="0.25">
      <c r="A345" s="244"/>
      <c r="C345" s="263"/>
      <c r="D345" s="264"/>
      <c r="E345" s="244"/>
      <c r="F345" s="244"/>
      <c r="G345" s="244"/>
      <c r="H345" s="244"/>
      <c r="K345" s="265"/>
      <c r="S345" s="244"/>
    </row>
    <row r="346" spans="1:19" ht="15.75" customHeight="1" x14ac:dyDescent="0.25">
      <c r="A346" s="244"/>
      <c r="C346" s="263"/>
      <c r="D346" s="264"/>
      <c r="E346" s="244"/>
      <c r="F346" s="244"/>
      <c r="G346" s="244"/>
      <c r="H346" s="244"/>
      <c r="K346" s="265"/>
      <c r="S346" s="244"/>
    </row>
    <row r="347" spans="1:19" ht="15.75" customHeight="1" x14ac:dyDescent="0.25">
      <c r="A347" s="244"/>
      <c r="C347" s="263"/>
      <c r="D347" s="264"/>
      <c r="E347" s="244"/>
      <c r="F347" s="244"/>
      <c r="G347" s="244"/>
      <c r="H347" s="244"/>
      <c r="K347" s="265"/>
      <c r="S347" s="244"/>
    </row>
    <row r="348" spans="1:19" ht="15.75" customHeight="1" x14ac:dyDescent="0.25">
      <c r="A348" s="244"/>
      <c r="C348" s="263"/>
      <c r="D348" s="264"/>
      <c r="E348" s="244"/>
      <c r="F348" s="244"/>
      <c r="G348" s="244"/>
      <c r="H348" s="244"/>
      <c r="K348" s="265"/>
      <c r="S348" s="244"/>
    </row>
    <row r="349" spans="1:19" ht="15.75" customHeight="1" x14ac:dyDescent="0.25">
      <c r="A349" s="244"/>
      <c r="C349" s="263"/>
      <c r="D349" s="264"/>
      <c r="E349" s="244"/>
      <c r="F349" s="244"/>
      <c r="G349" s="244"/>
      <c r="H349" s="244"/>
      <c r="K349" s="265"/>
      <c r="S349" s="244"/>
    </row>
    <row r="350" spans="1:19" ht="15.75" customHeight="1" x14ac:dyDescent="0.25">
      <c r="A350" s="244"/>
      <c r="C350" s="263"/>
      <c r="D350" s="264"/>
      <c r="E350" s="244"/>
      <c r="F350" s="244"/>
      <c r="G350" s="244"/>
      <c r="H350" s="244"/>
      <c r="K350" s="265"/>
      <c r="S350" s="244"/>
    </row>
    <row r="351" spans="1:19" ht="15.75" customHeight="1" x14ac:dyDescent="0.25">
      <c r="A351" s="244"/>
      <c r="C351" s="263"/>
      <c r="D351" s="264"/>
      <c r="E351" s="244"/>
      <c r="F351" s="244"/>
      <c r="G351" s="244"/>
      <c r="H351" s="244"/>
      <c r="K351" s="265"/>
      <c r="S351" s="244"/>
    </row>
    <row r="352" spans="1:19" ht="15.75" customHeight="1" x14ac:dyDescent="0.25">
      <c r="A352" s="244"/>
      <c r="C352" s="263"/>
      <c r="D352" s="264"/>
      <c r="E352" s="244"/>
      <c r="F352" s="244"/>
      <c r="G352" s="244"/>
      <c r="H352" s="244"/>
      <c r="K352" s="265"/>
      <c r="S352" s="244"/>
    </row>
    <row r="353" spans="1:19" ht="15.75" customHeight="1" x14ac:dyDescent="0.25">
      <c r="A353" s="244"/>
      <c r="C353" s="263"/>
      <c r="D353" s="264"/>
      <c r="E353" s="244"/>
      <c r="F353" s="244"/>
      <c r="G353" s="244"/>
      <c r="H353" s="244"/>
      <c r="K353" s="265"/>
      <c r="S353" s="244"/>
    </row>
    <row r="354" spans="1:19" ht="15.75" customHeight="1" x14ac:dyDescent="0.25">
      <c r="A354" s="244"/>
      <c r="C354" s="263"/>
      <c r="D354" s="264"/>
      <c r="E354" s="244"/>
      <c r="F354" s="244"/>
      <c r="G354" s="244"/>
      <c r="H354" s="244"/>
      <c r="K354" s="265"/>
      <c r="S354" s="244"/>
    </row>
    <row r="355" spans="1:19" ht="15.75" customHeight="1" x14ac:dyDescent="0.25">
      <c r="A355" s="244"/>
      <c r="C355" s="263"/>
      <c r="D355" s="264"/>
      <c r="E355" s="244"/>
      <c r="F355" s="244"/>
      <c r="G355" s="244"/>
      <c r="H355" s="244"/>
      <c r="K355" s="265"/>
      <c r="S355" s="244"/>
    </row>
    <row r="356" spans="1:19" ht="15.75" customHeight="1" x14ac:dyDescent="0.25">
      <c r="A356" s="244"/>
      <c r="C356" s="263"/>
      <c r="D356" s="264"/>
      <c r="E356" s="244"/>
      <c r="F356" s="244"/>
      <c r="G356" s="244"/>
      <c r="H356" s="244"/>
      <c r="K356" s="265"/>
      <c r="S356" s="244"/>
    </row>
    <row r="357" spans="1:19" ht="15.75" customHeight="1" x14ac:dyDescent="0.25">
      <c r="A357" s="244"/>
      <c r="C357" s="263"/>
      <c r="D357" s="264"/>
      <c r="E357" s="244"/>
      <c r="F357" s="244"/>
      <c r="G357" s="244"/>
      <c r="H357" s="244"/>
      <c r="K357" s="265"/>
      <c r="S357" s="244"/>
    </row>
    <row r="358" spans="1:19" ht="15.75" customHeight="1" x14ac:dyDescent="0.25">
      <c r="A358" s="244"/>
      <c r="C358" s="263"/>
      <c r="D358" s="264"/>
      <c r="E358" s="244"/>
      <c r="F358" s="244"/>
      <c r="G358" s="244"/>
      <c r="H358" s="244"/>
      <c r="K358" s="265"/>
      <c r="S358" s="244"/>
    </row>
    <row r="359" spans="1:19" ht="15.75" customHeight="1" x14ac:dyDescent="0.25">
      <c r="A359" s="244"/>
      <c r="C359" s="263"/>
      <c r="D359" s="264"/>
      <c r="E359" s="244"/>
      <c r="F359" s="244"/>
      <c r="G359" s="244"/>
      <c r="H359" s="244"/>
      <c r="K359" s="265"/>
      <c r="S359" s="244"/>
    </row>
    <row r="360" spans="1:19" ht="15.75" customHeight="1" x14ac:dyDescent="0.25">
      <c r="A360" s="244"/>
      <c r="C360" s="263"/>
      <c r="D360" s="264"/>
      <c r="E360" s="244"/>
      <c r="F360" s="244"/>
      <c r="G360" s="244"/>
      <c r="H360" s="244"/>
      <c r="K360" s="265"/>
      <c r="S360" s="244"/>
    </row>
    <row r="361" spans="1:19" ht="15.75" customHeight="1" x14ac:dyDescent="0.25">
      <c r="A361" s="244"/>
      <c r="C361" s="263"/>
      <c r="D361" s="264"/>
      <c r="E361" s="244"/>
      <c r="F361" s="244"/>
      <c r="G361" s="244"/>
      <c r="H361" s="244"/>
      <c r="K361" s="265"/>
      <c r="S361" s="244"/>
    </row>
    <row r="362" spans="1:19" ht="15.75" customHeight="1" x14ac:dyDescent="0.25">
      <c r="A362" s="244"/>
      <c r="C362" s="263"/>
      <c r="D362" s="264"/>
      <c r="E362" s="244"/>
      <c r="F362" s="244"/>
      <c r="G362" s="244"/>
      <c r="H362" s="244"/>
      <c r="K362" s="265"/>
      <c r="S362" s="244"/>
    </row>
    <row r="363" spans="1:19" ht="15.75" customHeight="1" x14ac:dyDescent="0.25">
      <c r="A363" s="244"/>
      <c r="C363" s="263"/>
      <c r="D363" s="264"/>
      <c r="E363" s="244"/>
      <c r="F363" s="244"/>
      <c r="G363" s="244"/>
      <c r="H363" s="244"/>
      <c r="K363" s="265"/>
      <c r="S363" s="244"/>
    </row>
    <row r="364" spans="1:19" ht="15.75" customHeight="1" x14ac:dyDescent="0.25">
      <c r="A364" s="244"/>
      <c r="C364" s="263"/>
      <c r="D364" s="264"/>
      <c r="E364" s="244"/>
      <c r="F364" s="244"/>
      <c r="G364" s="244"/>
      <c r="H364" s="244"/>
      <c r="K364" s="265"/>
      <c r="S364" s="244"/>
    </row>
    <row r="365" spans="1:19" ht="15.75" customHeight="1" x14ac:dyDescent="0.25">
      <c r="A365" s="244"/>
      <c r="C365" s="263"/>
      <c r="D365" s="264"/>
      <c r="E365" s="244"/>
      <c r="F365" s="244"/>
      <c r="G365" s="244"/>
      <c r="H365" s="244"/>
      <c r="K365" s="265"/>
      <c r="S365" s="244"/>
    </row>
    <row r="366" spans="1:19" ht="15.75" customHeight="1" x14ac:dyDescent="0.25">
      <c r="A366" s="244"/>
      <c r="C366" s="263"/>
      <c r="D366" s="264"/>
      <c r="E366" s="244"/>
      <c r="F366" s="244"/>
      <c r="G366" s="244"/>
      <c r="H366" s="244"/>
      <c r="K366" s="265"/>
      <c r="S366" s="244"/>
    </row>
    <row r="367" spans="1:19" ht="15.75" customHeight="1" x14ac:dyDescent="0.25">
      <c r="A367" s="244"/>
      <c r="C367" s="263"/>
      <c r="D367" s="264"/>
      <c r="E367" s="244"/>
      <c r="F367" s="244"/>
      <c r="G367" s="244"/>
      <c r="H367" s="244"/>
      <c r="K367" s="265"/>
      <c r="S367" s="244"/>
    </row>
    <row r="368" spans="1:19" ht="15.75" customHeight="1" x14ac:dyDescent="0.25">
      <c r="A368" s="244"/>
      <c r="C368" s="263"/>
      <c r="D368" s="264"/>
      <c r="E368" s="244"/>
      <c r="F368" s="244"/>
      <c r="G368" s="244"/>
      <c r="H368" s="244"/>
      <c r="K368" s="265"/>
      <c r="S368" s="244"/>
    </row>
    <row r="369" spans="1:19" ht="15.75" customHeight="1" x14ac:dyDescent="0.25">
      <c r="A369" s="244"/>
      <c r="C369" s="263"/>
      <c r="D369" s="264"/>
      <c r="E369" s="244"/>
      <c r="F369" s="244"/>
      <c r="G369" s="244"/>
      <c r="H369" s="244"/>
      <c r="K369" s="265"/>
      <c r="S369" s="244"/>
    </row>
    <row r="370" spans="1:19" ht="15.75" customHeight="1" x14ac:dyDescent="0.25">
      <c r="A370" s="244"/>
      <c r="C370" s="263"/>
      <c r="D370" s="264"/>
      <c r="E370" s="244"/>
      <c r="F370" s="244"/>
      <c r="G370" s="244"/>
      <c r="H370" s="244"/>
      <c r="K370" s="265"/>
      <c r="S370" s="244"/>
    </row>
    <row r="371" spans="1:19" ht="15.75" customHeight="1" x14ac:dyDescent="0.25">
      <c r="A371" s="244"/>
      <c r="C371" s="263"/>
      <c r="D371" s="264"/>
      <c r="E371" s="244"/>
      <c r="F371" s="244"/>
      <c r="G371" s="244"/>
      <c r="H371" s="244"/>
      <c r="K371" s="265"/>
      <c r="S371" s="244"/>
    </row>
    <row r="372" spans="1:19" ht="15.75" customHeight="1" x14ac:dyDescent="0.25">
      <c r="A372" s="244"/>
      <c r="C372" s="263"/>
      <c r="D372" s="264"/>
      <c r="E372" s="244"/>
      <c r="F372" s="244"/>
      <c r="G372" s="244"/>
      <c r="H372" s="244"/>
      <c r="K372" s="265"/>
      <c r="S372" s="244"/>
    </row>
    <row r="373" spans="1:19" ht="15.75" customHeight="1" x14ac:dyDescent="0.25">
      <c r="A373" s="244"/>
      <c r="C373" s="263"/>
      <c r="D373" s="264"/>
      <c r="E373" s="244"/>
      <c r="F373" s="244"/>
      <c r="G373" s="244"/>
      <c r="H373" s="244"/>
      <c r="K373" s="265"/>
      <c r="S373" s="244"/>
    </row>
    <row r="374" spans="1:19" ht="15.75" customHeight="1" x14ac:dyDescent="0.25">
      <c r="A374" s="244"/>
      <c r="C374" s="263"/>
      <c r="D374" s="264"/>
      <c r="E374" s="244"/>
      <c r="F374" s="244"/>
      <c r="G374" s="244"/>
      <c r="H374" s="244"/>
      <c r="K374" s="265"/>
      <c r="S374" s="244"/>
    </row>
    <row r="375" spans="1:19" ht="15.75" customHeight="1" x14ac:dyDescent="0.25">
      <c r="A375" s="244"/>
      <c r="C375" s="263"/>
      <c r="D375" s="264"/>
      <c r="E375" s="244"/>
      <c r="F375" s="244"/>
      <c r="G375" s="244"/>
      <c r="H375" s="244"/>
      <c r="K375" s="265"/>
      <c r="S375" s="244"/>
    </row>
    <row r="376" spans="1:19" ht="15.75" customHeight="1" x14ac:dyDescent="0.25">
      <c r="A376" s="244"/>
      <c r="C376" s="263"/>
      <c r="D376" s="264"/>
      <c r="E376" s="244"/>
      <c r="F376" s="244"/>
      <c r="G376" s="244"/>
      <c r="H376" s="244"/>
      <c r="K376" s="265"/>
      <c r="S376" s="244"/>
    </row>
    <row r="377" spans="1:19" ht="15.75" customHeight="1" x14ac:dyDescent="0.25">
      <c r="A377" s="244"/>
      <c r="C377" s="263"/>
      <c r="D377" s="264"/>
      <c r="E377" s="244"/>
      <c r="F377" s="244"/>
      <c r="G377" s="244"/>
      <c r="H377" s="244"/>
      <c r="K377" s="265"/>
      <c r="S377" s="244"/>
    </row>
    <row r="378" spans="1:19" ht="15.75" customHeight="1" x14ac:dyDescent="0.25">
      <c r="A378" s="244"/>
      <c r="C378" s="263"/>
      <c r="D378" s="264"/>
      <c r="E378" s="244"/>
      <c r="F378" s="244"/>
      <c r="G378" s="244"/>
      <c r="H378" s="244"/>
      <c r="K378" s="265"/>
      <c r="S378" s="244"/>
    </row>
    <row r="379" spans="1:19" ht="15.75" customHeight="1" x14ac:dyDescent="0.25">
      <c r="A379" s="244"/>
      <c r="C379" s="263"/>
      <c r="D379" s="264"/>
      <c r="E379" s="244"/>
      <c r="F379" s="244"/>
      <c r="G379" s="244"/>
      <c r="H379" s="244"/>
      <c r="K379" s="265"/>
      <c r="S379" s="244"/>
    </row>
    <row r="380" spans="1:19" ht="15.75" customHeight="1" x14ac:dyDescent="0.25">
      <c r="A380" s="244"/>
      <c r="C380" s="263"/>
      <c r="D380" s="264"/>
      <c r="E380" s="244"/>
      <c r="F380" s="244"/>
      <c r="G380" s="244"/>
      <c r="H380" s="244"/>
      <c r="K380" s="265"/>
      <c r="S380" s="244"/>
    </row>
    <row r="381" spans="1:19" ht="15.75" customHeight="1" x14ac:dyDescent="0.25">
      <c r="A381" s="244"/>
      <c r="C381" s="263"/>
      <c r="D381" s="264"/>
      <c r="E381" s="244"/>
      <c r="F381" s="244"/>
      <c r="G381" s="244"/>
      <c r="H381" s="244"/>
      <c r="K381" s="265"/>
      <c r="S381" s="244"/>
    </row>
    <row r="382" spans="1:19" ht="15.75" customHeight="1" x14ac:dyDescent="0.25">
      <c r="A382" s="244"/>
      <c r="C382" s="263"/>
      <c r="D382" s="264"/>
      <c r="E382" s="244"/>
      <c r="F382" s="244"/>
      <c r="G382" s="244"/>
      <c r="H382" s="244"/>
      <c r="K382" s="265"/>
      <c r="S382" s="244"/>
    </row>
    <row r="383" spans="1:19" ht="15.75" customHeight="1" x14ac:dyDescent="0.25">
      <c r="A383" s="244"/>
      <c r="C383" s="263"/>
      <c r="D383" s="264"/>
      <c r="E383" s="244"/>
      <c r="F383" s="244"/>
      <c r="G383" s="244"/>
      <c r="H383" s="244"/>
      <c r="K383" s="265"/>
      <c r="S383" s="244"/>
    </row>
    <row r="384" spans="1:19" ht="15.75" customHeight="1" x14ac:dyDescent="0.25">
      <c r="A384" s="244"/>
      <c r="C384" s="263"/>
      <c r="D384" s="264"/>
      <c r="E384" s="244"/>
      <c r="F384" s="244"/>
      <c r="G384" s="244"/>
      <c r="H384" s="244"/>
      <c r="K384" s="265"/>
      <c r="S384" s="244"/>
    </row>
    <row r="385" spans="1:19" ht="15.75" customHeight="1" x14ac:dyDescent="0.25">
      <c r="A385" s="244"/>
      <c r="C385" s="263"/>
      <c r="D385" s="264"/>
      <c r="E385" s="244"/>
      <c r="F385" s="244"/>
      <c r="G385" s="244"/>
      <c r="H385" s="244"/>
      <c r="K385" s="265"/>
      <c r="S385" s="244"/>
    </row>
    <row r="386" spans="1:19" ht="15.75" customHeight="1" x14ac:dyDescent="0.25">
      <c r="A386" s="244"/>
      <c r="C386" s="263"/>
      <c r="D386" s="264"/>
      <c r="E386" s="244"/>
      <c r="F386" s="244"/>
      <c r="G386" s="244"/>
      <c r="H386" s="244"/>
      <c r="K386" s="265"/>
      <c r="S386" s="244"/>
    </row>
    <row r="387" spans="1:19" ht="15.75" customHeight="1" x14ac:dyDescent="0.25">
      <c r="A387" s="244"/>
      <c r="C387" s="263"/>
      <c r="D387" s="264"/>
      <c r="E387" s="244"/>
      <c r="F387" s="244"/>
      <c r="G387" s="244"/>
      <c r="H387" s="244"/>
      <c r="K387" s="265"/>
      <c r="S387" s="244"/>
    </row>
    <row r="388" spans="1:19" ht="15.75" customHeight="1" x14ac:dyDescent="0.25">
      <c r="A388" s="244"/>
      <c r="C388" s="263"/>
      <c r="D388" s="264"/>
      <c r="E388" s="244"/>
      <c r="F388" s="244"/>
      <c r="G388" s="244"/>
      <c r="H388" s="244"/>
      <c r="K388" s="265"/>
      <c r="S388" s="244"/>
    </row>
    <row r="389" spans="1:19" ht="15.75" customHeight="1" x14ac:dyDescent="0.25">
      <c r="A389" s="244"/>
      <c r="C389" s="263"/>
      <c r="D389" s="264"/>
      <c r="E389" s="244"/>
      <c r="F389" s="244"/>
      <c r="G389" s="244"/>
      <c r="H389" s="244"/>
      <c r="K389" s="265"/>
      <c r="S389" s="244"/>
    </row>
    <row r="390" spans="1:19" ht="15.75" customHeight="1" x14ac:dyDescent="0.25">
      <c r="A390" s="244"/>
      <c r="C390" s="263"/>
      <c r="D390" s="264"/>
      <c r="E390" s="244"/>
      <c r="F390" s="244"/>
      <c r="G390" s="244"/>
      <c r="H390" s="244"/>
      <c r="K390" s="265"/>
      <c r="S390" s="244"/>
    </row>
    <row r="391" spans="1:19" ht="15.75" customHeight="1" x14ac:dyDescent="0.25">
      <c r="A391" s="244"/>
      <c r="C391" s="263"/>
      <c r="D391" s="264"/>
      <c r="E391" s="244"/>
      <c r="F391" s="244"/>
      <c r="G391" s="244"/>
      <c r="H391" s="244"/>
      <c r="K391" s="265"/>
      <c r="S391" s="244"/>
    </row>
    <row r="392" spans="1:19" ht="15.75" customHeight="1" x14ac:dyDescent="0.25">
      <c r="A392" s="244"/>
      <c r="C392" s="263"/>
      <c r="D392" s="264"/>
      <c r="E392" s="244"/>
      <c r="F392" s="244"/>
      <c r="G392" s="244"/>
      <c r="H392" s="244"/>
      <c r="K392" s="265"/>
      <c r="S392" s="244"/>
    </row>
    <row r="393" spans="1:19" ht="15.75" customHeight="1" x14ac:dyDescent="0.25">
      <c r="A393" s="244"/>
      <c r="C393" s="263"/>
      <c r="D393" s="264"/>
      <c r="E393" s="244"/>
      <c r="F393" s="244"/>
      <c r="G393" s="244"/>
      <c r="H393" s="244"/>
      <c r="K393" s="265"/>
      <c r="S393" s="244"/>
    </row>
    <row r="394" spans="1:19" ht="15.75" customHeight="1" x14ac:dyDescent="0.25">
      <c r="A394" s="244"/>
      <c r="C394" s="263"/>
      <c r="D394" s="264"/>
      <c r="E394" s="244"/>
      <c r="F394" s="244"/>
      <c r="G394" s="244"/>
      <c r="H394" s="244"/>
      <c r="K394" s="265"/>
      <c r="S394" s="244"/>
    </row>
    <row r="395" spans="1:19" ht="15.75" customHeight="1" x14ac:dyDescent="0.25">
      <c r="A395" s="244"/>
      <c r="C395" s="263"/>
      <c r="D395" s="264"/>
      <c r="E395" s="244"/>
      <c r="F395" s="244"/>
      <c r="G395" s="244"/>
      <c r="H395" s="244"/>
      <c r="K395" s="265"/>
      <c r="S395" s="244"/>
    </row>
    <row r="396" spans="1:19" ht="15.75" customHeight="1" x14ac:dyDescent="0.25">
      <c r="A396" s="244"/>
      <c r="C396" s="263"/>
      <c r="D396" s="264"/>
      <c r="E396" s="244"/>
      <c r="F396" s="244"/>
      <c r="G396" s="244"/>
      <c r="H396" s="244"/>
      <c r="K396" s="265"/>
      <c r="S396" s="244"/>
    </row>
    <row r="397" spans="1:19" ht="15.75" customHeight="1" x14ac:dyDescent="0.25">
      <c r="A397" s="244"/>
      <c r="C397" s="263"/>
      <c r="D397" s="264"/>
      <c r="E397" s="244"/>
      <c r="F397" s="244"/>
      <c r="G397" s="244"/>
      <c r="H397" s="244"/>
      <c r="K397" s="265"/>
      <c r="S397" s="244"/>
    </row>
    <row r="398" spans="1:19" ht="15.75" customHeight="1" x14ac:dyDescent="0.25">
      <c r="A398" s="244"/>
      <c r="C398" s="263"/>
      <c r="D398" s="264"/>
      <c r="E398" s="244"/>
      <c r="F398" s="244"/>
      <c r="G398" s="244"/>
      <c r="H398" s="244"/>
      <c r="K398" s="265"/>
      <c r="S398" s="244"/>
    </row>
    <row r="399" spans="1:19" ht="15.75" customHeight="1" x14ac:dyDescent="0.25">
      <c r="A399" s="244"/>
      <c r="C399" s="263"/>
      <c r="D399" s="264"/>
      <c r="E399" s="244"/>
      <c r="F399" s="244"/>
      <c r="G399" s="244"/>
      <c r="H399" s="244"/>
      <c r="K399" s="265"/>
      <c r="S399" s="244"/>
    </row>
    <row r="400" spans="1:19" ht="15.75" customHeight="1" x14ac:dyDescent="0.25">
      <c r="A400" s="244"/>
      <c r="C400" s="263"/>
      <c r="D400" s="264"/>
      <c r="E400" s="244"/>
      <c r="F400" s="244"/>
      <c r="G400" s="244"/>
      <c r="H400" s="244"/>
      <c r="K400" s="265"/>
      <c r="S400" s="244"/>
    </row>
    <row r="401" spans="1:19" ht="15.75" customHeight="1" x14ac:dyDescent="0.25">
      <c r="A401" s="244"/>
      <c r="C401" s="263"/>
      <c r="D401" s="264"/>
      <c r="E401" s="244"/>
      <c r="F401" s="244"/>
      <c r="G401" s="244"/>
      <c r="H401" s="244"/>
      <c r="K401" s="265"/>
      <c r="S401" s="244"/>
    </row>
    <row r="402" spans="1:19" ht="15.75" customHeight="1" x14ac:dyDescent="0.25">
      <c r="A402" s="244"/>
      <c r="C402" s="263"/>
      <c r="D402" s="264"/>
      <c r="E402" s="244"/>
      <c r="F402" s="244"/>
      <c r="G402" s="244"/>
      <c r="H402" s="244"/>
      <c r="K402" s="265"/>
      <c r="S402" s="244"/>
    </row>
    <row r="403" spans="1:19" ht="15.75" customHeight="1" x14ac:dyDescent="0.25">
      <c r="A403" s="244"/>
      <c r="C403" s="263"/>
      <c r="D403" s="264"/>
      <c r="E403" s="244"/>
      <c r="F403" s="244"/>
      <c r="G403" s="244"/>
      <c r="H403" s="244"/>
      <c r="K403" s="265"/>
      <c r="S403" s="244"/>
    </row>
    <row r="404" spans="1:19" ht="15.75" customHeight="1" x14ac:dyDescent="0.25">
      <c r="A404" s="244"/>
      <c r="C404" s="263"/>
      <c r="D404" s="264"/>
      <c r="E404" s="244"/>
      <c r="F404" s="244"/>
      <c r="G404" s="244"/>
      <c r="H404" s="244"/>
      <c r="K404" s="265"/>
      <c r="S404" s="244"/>
    </row>
    <row r="405" spans="1:19" ht="15.75" customHeight="1" x14ac:dyDescent="0.25">
      <c r="A405" s="244"/>
      <c r="C405" s="263"/>
      <c r="D405" s="264"/>
      <c r="E405" s="244"/>
      <c r="F405" s="244"/>
      <c r="G405" s="244"/>
      <c r="H405" s="244"/>
      <c r="K405" s="265"/>
      <c r="S405" s="244"/>
    </row>
    <row r="406" spans="1:19" ht="15.75" customHeight="1" x14ac:dyDescent="0.25">
      <c r="A406" s="244"/>
      <c r="C406" s="263"/>
      <c r="D406" s="264"/>
      <c r="E406" s="244"/>
      <c r="F406" s="244"/>
      <c r="G406" s="244"/>
      <c r="H406" s="244"/>
      <c r="K406" s="265"/>
      <c r="S406" s="244"/>
    </row>
    <row r="407" spans="1:19" ht="15.75" customHeight="1" x14ac:dyDescent="0.25">
      <c r="A407" s="244"/>
      <c r="C407" s="263"/>
      <c r="D407" s="264"/>
      <c r="E407" s="244"/>
      <c r="F407" s="244"/>
      <c r="G407" s="244"/>
      <c r="H407" s="244"/>
      <c r="K407" s="265"/>
      <c r="S407" s="244"/>
    </row>
    <row r="408" spans="1:19" ht="15.75" customHeight="1" x14ac:dyDescent="0.25">
      <c r="A408" s="244"/>
      <c r="C408" s="263"/>
      <c r="D408" s="264"/>
      <c r="E408" s="244"/>
      <c r="F408" s="244"/>
      <c r="G408" s="244"/>
      <c r="H408" s="244"/>
      <c r="K408" s="265"/>
      <c r="S408" s="244"/>
    </row>
    <row r="409" spans="1:19" ht="15.75" customHeight="1" x14ac:dyDescent="0.25">
      <c r="A409" s="244"/>
      <c r="C409" s="263"/>
      <c r="D409" s="264"/>
      <c r="E409" s="244"/>
      <c r="F409" s="244"/>
      <c r="G409" s="244"/>
      <c r="H409" s="244"/>
      <c r="K409" s="265"/>
      <c r="S409" s="244"/>
    </row>
    <row r="410" spans="1:19" ht="15.75" customHeight="1" x14ac:dyDescent="0.25">
      <c r="A410" s="244"/>
      <c r="C410" s="263"/>
      <c r="D410" s="264"/>
      <c r="E410" s="244"/>
      <c r="F410" s="244"/>
      <c r="G410" s="244"/>
      <c r="H410" s="244"/>
      <c r="K410" s="265"/>
      <c r="S410" s="244"/>
    </row>
    <row r="411" spans="1:19" ht="15.75" customHeight="1" x14ac:dyDescent="0.25">
      <c r="A411" s="244"/>
      <c r="C411" s="263"/>
      <c r="D411" s="264"/>
      <c r="E411" s="244"/>
      <c r="F411" s="244"/>
      <c r="G411" s="244"/>
      <c r="H411" s="244"/>
      <c r="K411" s="265"/>
      <c r="S411" s="244"/>
    </row>
    <row r="412" spans="1:19" ht="15.75" customHeight="1" x14ac:dyDescent="0.25">
      <c r="A412" s="244"/>
      <c r="C412" s="263"/>
      <c r="D412" s="264"/>
      <c r="E412" s="244"/>
      <c r="F412" s="244"/>
      <c r="G412" s="244"/>
      <c r="H412" s="244"/>
      <c r="K412" s="265"/>
      <c r="S412" s="244"/>
    </row>
    <row r="413" spans="1:19" ht="15.75" customHeight="1" x14ac:dyDescent="0.25">
      <c r="A413" s="244"/>
      <c r="C413" s="263"/>
      <c r="D413" s="264"/>
      <c r="E413" s="244"/>
      <c r="F413" s="244"/>
      <c r="G413" s="244"/>
      <c r="H413" s="244"/>
      <c r="K413" s="265"/>
      <c r="S413" s="244"/>
    </row>
    <row r="414" spans="1:19" ht="15.75" customHeight="1" x14ac:dyDescent="0.25">
      <c r="A414" s="244"/>
      <c r="C414" s="263"/>
      <c r="D414" s="264"/>
      <c r="E414" s="244"/>
      <c r="F414" s="244"/>
      <c r="G414" s="244"/>
      <c r="H414" s="244"/>
      <c r="K414" s="265"/>
      <c r="S414" s="244"/>
    </row>
    <row r="415" spans="1:19" ht="15.75" customHeight="1" x14ac:dyDescent="0.25">
      <c r="A415" s="244"/>
      <c r="C415" s="263"/>
      <c r="D415" s="264"/>
      <c r="E415" s="244"/>
      <c r="F415" s="244"/>
      <c r="G415" s="244"/>
      <c r="H415" s="244"/>
      <c r="K415" s="265"/>
      <c r="S415" s="244"/>
    </row>
    <row r="416" spans="1:19" ht="15.75" customHeight="1" x14ac:dyDescent="0.25">
      <c r="A416" s="244"/>
      <c r="C416" s="263"/>
      <c r="D416" s="264"/>
      <c r="E416" s="244"/>
      <c r="F416" s="244"/>
      <c r="G416" s="244"/>
      <c r="H416" s="244"/>
      <c r="K416" s="265"/>
      <c r="S416" s="244"/>
    </row>
    <row r="417" spans="1:19" ht="15.75" customHeight="1" x14ac:dyDescent="0.25">
      <c r="A417" s="244"/>
      <c r="C417" s="263"/>
      <c r="D417" s="264"/>
      <c r="E417" s="244"/>
      <c r="F417" s="244"/>
      <c r="G417" s="244"/>
      <c r="H417" s="244"/>
      <c r="K417" s="265"/>
      <c r="S417" s="244"/>
    </row>
    <row r="418" spans="1:19" ht="15.75" customHeight="1" x14ac:dyDescent="0.25">
      <c r="A418" s="244"/>
      <c r="C418" s="263"/>
      <c r="D418" s="264"/>
      <c r="E418" s="244"/>
      <c r="F418" s="244"/>
      <c r="G418" s="244"/>
      <c r="H418" s="244"/>
      <c r="K418" s="265"/>
      <c r="S418" s="244"/>
    </row>
    <row r="419" spans="1:19" ht="15.75" customHeight="1" x14ac:dyDescent="0.25">
      <c r="A419" s="244"/>
      <c r="C419" s="263"/>
      <c r="D419" s="264"/>
      <c r="E419" s="244"/>
      <c r="F419" s="244"/>
      <c r="G419" s="244"/>
      <c r="H419" s="244"/>
      <c r="K419" s="265"/>
      <c r="S419" s="244"/>
    </row>
    <row r="420" spans="1:19" ht="15.75" customHeight="1" x14ac:dyDescent="0.25">
      <c r="A420" s="244"/>
      <c r="C420" s="263"/>
      <c r="D420" s="264"/>
      <c r="E420" s="244"/>
      <c r="F420" s="244"/>
      <c r="G420" s="244"/>
      <c r="H420" s="244"/>
      <c r="K420" s="265"/>
      <c r="S420" s="244"/>
    </row>
    <row r="421" spans="1:19" ht="15.75" customHeight="1" x14ac:dyDescent="0.25">
      <c r="A421" s="244"/>
      <c r="C421" s="263"/>
      <c r="D421" s="264"/>
      <c r="E421" s="244"/>
      <c r="F421" s="244"/>
      <c r="G421" s="244"/>
      <c r="H421" s="244"/>
      <c r="K421" s="265"/>
      <c r="S421" s="244"/>
    </row>
    <row r="422" spans="1:19" ht="15.75" customHeight="1" x14ac:dyDescent="0.25">
      <c r="A422" s="244"/>
      <c r="C422" s="263"/>
      <c r="D422" s="264"/>
      <c r="E422" s="244"/>
      <c r="F422" s="244"/>
      <c r="G422" s="244"/>
      <c r="H422" s="244"/>
      <c r="K422" s="265"/>
      <c r="S422" s="244"/>
    </row>
    <row r="423" spans="1:19" ht="15.75" customHeight="1" x14ac:dyDescent="0.25">
      <c r="A423" s="244"/>
      <c r="C423" s="263"/>
      <c r="D423" s="264"/>
      <c r="E423" s="244"/>
      <c r="F423" s="244"/>
      <c r="G423" s="244"/>
      <c r="H423" s="244"/>
      <c r="K423" s="265"/>
      <c r="S423" s="244"/>
    </row>
    <row r="424" spans="1:19" ht="15.75" customHeight="1" x14ac:dyDescent="0.25">
      <c r="A424" s="244"/>
      <c r="C424" s="263"/>
      <c r="D424" s="264"/>
      <c r="E424" s="244"/>
      <c r="F424" s="244"/>
      <c r="G424" s="244"/>
      <c r="H424" s="244"/>
      <c r="K424" s="265"/>
      <c r="S424" s="244"/>
    </row>
    <row r="425" spans="1:19" ht="15.75" customHeight="1" x14ac:dyDescent="0.25">
      <c r="A425" s="244"/>
      <c r="C425" s="263"/>
      <c r="D425" s="264"/>
      <c r="E425" s="244"/>
      <c r="F425" s="244"/>
      <c r="G425" s="244"/>
      <c r="H425" s="244"/>
      <c r="K425" s="265"/>
      <c r="S425" s="244"/>
    </row>
    <row r="426" spans="1:19" ht="15.75" customHeight="1" x14ac:dyDescent="0.25">
      <c r="A426" s="244"/>
      <c r="C426" s="263"/>
      <c r="D426" s="264"/>
      <c r="E426" s="244"/>
      <c r="F426" s="244"/>
      <c r="G426" s="244"/>
      <c r="H426" s="244"/>
      <c r="K426" s="265"/>
      <c r="S426" s="244"/>
    </row>
    <row r="427" spans="1:19" ht="15.75" customHeight="1" x14ac:dyDescent="0.25">
      <c r="A427" s="244"/>
      <c r="C427" s="263"/>
      <c r="D427" s="264"/>
      <c r="E427" s="244"/>
      <c r="F427" s="244"/>
      <c r="G427" s="244"/>
      <c r="H427" s="244"/>
      <c r="K427" s="265"/>
      <c r="S427" s="244"/>
    </row>
    <row r="428" spans="1:19" ht="15.75" customHeight="1" x14ac:dyDescent="0.25">
      <c r="A428" s="244"/>
      <c r="C428" s="263"/>
      <c r="D428" s="264"/>
      <c r="E428" s="244"/>
      <c r="F428" s="244"/>
      <c r="G428" s="244"/>
      <c r="H428" s="244"/>
      <c r="K428" s="265"/>
      <c r="S428" s="244"/>
    </row>
    <row r="429" spans="1:19" ht="15.75" customHeight="1" x14ac:dyDescent="0.25">
      <c r="A429" s="244"/>
      <c r="C429" s="263"/>
      <c r="D429" s="264"/>
      <c r="E429" s="244"/>
      <c r="F429" s="244"/>
      <c r="G429" s="244"/>
      <c r="H429" s="244"/>
      <c r="K429" s="265"/>
      <c r="S429" s="244"/>
    </row>
    <row r="430" spans="1:19" ht="15.75" customHeight="1" x14ac:dyDescent="0.25">
      <c r="A430" s="244"/>
      <c r="C430" s="263"/>
      <c r="D430" s="264"/>
      <c r="E430" s="244"/>
      <c r="F430" s="244"/>
      <c r="G430" s="244"/>
      <c r="H430" s="244"/>
      <c r="K430" s="265"/>
      <c r="S430" s="244"/>
    </row>
    <row r="431" spans="1:19" ht="15.75" customHeight="1" x14ac:dyDescent="0.25">
      <c r="A431" s="244"/>
      <c r="C431" s="263"/>
      <c r="D431" s="264"/>
      <c r="E431" s="244"/>
      <c r="F431" s="244"/>
      <c r="G431" s="244"/>
      <c r="H431" s="244"/>
      <c r="K431" s="265"/>
      <c r="S431" s="244"/>
    </row>
    <row r="432" spans="1:19" ht="15.75" customHeight="1" x14ac:dyDescent="0.25">
      <c r="A432" s="244"/>
      <c r="C432" s="263"/>
      <c r="D432" s="264"/>
      <c r="E432" s="244"/>
      <c r="F432" s="244"/>
      <c r="G432" s="244"/>
      <c r="H432" s="244"/>
      <c r="K432" s="265"/>
      <c r="S432" s="244"/>
    </row>
    <row r="433" spans="1:19" ht="15.75" customHeight="1" x14ac:dyDescent="0.25">
      <c r="A433" s="244"/>
      <c r="C433" s="263"/>
      <c r="D433" s="264"/>
      <c r="E433" s="244"/>
      <c r="F433" s="244"/>
      <c r="G433" s="244"/>
      <c r="H433" s="244"/>
      <c r="K433" s="265"/>
      <c r="S433" s="244"/>
    </row>
    <row r="434" spans="1:19" ht="15.75" customHeight="1" x14ac:dyDescent="0.25">
      <c r="A434" s="244"/>
      <c r="C434" s="263"/>
      <c r="D434" s="264"/>
      <c r="E434" s="244"/>
      <c r="F434" s="244"/>
      <c r="G434" s="244"/>
      <c r="H434" s="244"/>
      <c r="K434" s="265"/>
      <c r="S434" s="244"/>
    </row>
    <row r="435" spans="1:19" ht="15.75" customHeight="1" x14ac:dyDescent="0.25">
      <c r="A435" s="244"/>
      <c r="C435" s="263"/>
      <c r="D435" s="264"/>
      <c r="E435" s="244"/>
      <c r="F435" s="244"/>
      <c r="G435" s="244"/>
      <c r="H435" s="244"/>
      <c r="K435" s="265"/>
      <c r="S435" s="244"/>
    </row>
    <row r="436" spans="1:19" ht="15.75" customHeight="1" x14ac:dyDescent="0.25">
      <c r="A436" s="244"/>
      <c r="C436" s="263"/>
      <c r="D436" s="264"/>
      <c r="E436" s="244"/>
      <c r="F436" s="244"/>
      <c r="G436" s="244"/>
      <c r="H436" s="244"/>
      <c r="K436" s="265"/>
      <c r="S436" s="244"/>
    </row>
    <row r="437" spans="1:19" ht="15.75" customHeight="1" x14ac:dyDescent="0.25">
      <c r="A437" s="244"/>
      <c r="C437" s="263"/>
      <c r="D437" s="264"/>
      <c r="E437" s="244"/>
      <c r="F437" s="244"/>
      <c r="G437" s="244"/>
      <c r="H437" s="244"/>
      <c r="K437" s="265"/>
      <c r="S437" s="244"/>
    </row>
    <row r="438" spans="1:19" ht="15.75" customHeight="1" x14ac:dyDescent="0.25">
      <c r="A438" s="244"/>
      <c r="C438" s="263"/>
      <c r="D438" s="264"/>
      <c r="E438" s="244"/>
      <c r="F438" s="244"/>
      <c r="G438" s="244"/>
      <c r="H438" s="244"/>
      <c r="K438" s="265"/>
      <c r="S438" s="244"/>
    </row>
    <row r="439" spans="1:19" ht="15.75" customHeight="1" x14ac:dyDescent="0.25">
      <c r="A439" s="244"/>
      <c r="C439" s="263"/>
      <c r="D439" s="264"/>
      <c r="E439" s="244"/>
      <c r="F439" s="244"/>
      <c r="G439" s="244"/>
      <c r="H439" s="244"/>
      <c r="K439" s="265"/>
      <c r="S439" s="244"/>
    </row>
    <row r="440" spans="1:19" ht="15.75" customHeight="1" x14ac:dyDescent="0.25">
      <c r="A440" s="244"/>
      <c r="C440" s="263"/>
      <c r="D440" s="264"/>
      <c r="E440" s="244"/>
      <c r="F440" s="244"/>
      <c r="G440" s="244"/>
      <c r="H440" s="244"/>
      <c r="K440" s="265"/>
      <c r="S440" s="244"/>
    </row>
    <row r="441" spans="1:19" ht="15.75" customHeight="1" x14ac:dyDescent="0.25">
      <c r="A441" s="244"/>
      <c r="C441" s="263"/>
      <c r="D441" s="264"/>
      <c r="E441" s="244"/>
      <c r="F441" s="244"/>
      <c r="G441" s="244"/>
      <c r="H441" s="244"/>
      <c r="K441" s="265"/>
      <c r="S441" s="244"/>
    </row>
    <row r="442" spans="1:19" ht="15.75" customHeight="1" x14ac:dyDescent="0.25">
      <c r="A442" s="244"/>
      <c r="C442" s="263"/>
      <c r="D442" s="264"/>
      <c r="E442" s="244"/>
      <c r="F442" s="244"/>
      <c r="G442" s="244"/>
      <c r="H442" s="244"/>
      <c r="K442" s="265"/>
      <c r="S442" s="244"/>
    </row>
    <row r="443" spans="1:19" ht="15.75" customHeight="1" x14ac:dyDescent="0.25">
      <c r="A443" s="244"/>
      <c r="C443" s="263"/>
      <c r="D443" s="264"/>
      <c r="E443" s="244"/>
      <c r="F443" s="244"/>
      <c r="G443" s="244"/>
      <c r="H443" s="244"/>
      <c r="K443" s="265"/>
      <c r="S443" s="244"/>
    </row>
    <row r="444" spans="1:19" ht="15.75" customHeight="1" x14ac:dyDescent="0.25">
      <c r="A444" s="244"/>
      <c r="C444" s="263"/>
      <c r="D444" s="264"/>
      <c r="E444" s="244"/>
      <c r="F444" s="244"/>
      <c r="G444" s="244"/>
      <c r="H444" s="244"/>
      <c r="K444" s="265"/>
      <c r="S444" s="244"/>
    </row>
    <row r="445" spans="1:19" ht="15.75" customHeight="1" x14ac:dyDescent="0.25">
      <c r="A445" s="244"/>
      <c r="C445" s="263"/>
      <c r="D445" s="264"/>
      <c r="E445" s="244"/>
      <c r="F445" s="244"/>
      <c r="G445" s="244"/>
      <c r="H445" s="244"/>
      <c r="K445" s="265"/>
      <c r="S445" s="244"/>
    </row>
    <row r="446" spans="1:19" ht="15.75" customHeight="1" x14ac:dyDescent="0.25">
      <c r="A446" s="244"/>
      <c r="C446" s="263"/>
      <c r="D446" s="264"/>
      <c r="E446" s="244"/>
      <c r="F446" s="244"/>
      <c r="G446" s="244"/>
      <c r="H446" s="244"/>
      <c r="K446" s="265"/>
      <c r="S446" s="244"/>
    </row>
    <row r="447" spans="1:19" ht="15.75" customHeight="1" x14ac:dyDescent="0.25">
      <c r="A447" s="244"/>
      <c r="C447" s="263"/>
      <c r="D447" s="264"/>
      <c r="E447" s="244"/>
      <c r="F447" s="244"/>
      <c r="G447" s="244"/>
      <c r="H447" s="244"/>
      <c r="K447" s="265"/>
      <c r="S447" s="244"/>
    </row>
    <row r="448" spans="1:19" ht="15.75" customHeight="1" x14ac:dyDescent="0.25">
      <c r="A448" s="244"/>
      <c r="C448" s="263"/>
      <c r="D448" s="264"/>
      <c r="E448" s="244"/>
      <c r="F448" s="244"/>
      <c r="G448" s="244"/>
      <c r="H448" s="244"/>
      <c r="K448" s="265"/>
      <c r="S448" s="244"/>
    </row>
    <row r="449" spans="1:19" ht="15.75" customHeight="1" x14ac:dyDescent="0.25">
      <c r="A449" s="244"/>
      <c r="C449" s="263"/>
      <c r="D449" s="264"/>
      <c r="E449" s="244"/>
      <c r="F449" s="244"/>
      <c r="G449" s="244"/>
      <c r="H449" s="244"/>
      <c r="K449" s="265"/>
      <c r="S449" s="244"/>
    </row>
    <row r="450" spans="1:19" ht="15.75" customHeight="1" x14ac:dyDescent="0.25">
      <c r="A450" s="244"/>
      <c r="C450" s="263"/>
      <c r="D450" s="264"/>
      <c r="E450" s="244"/>
      <c r="F450" s="244"/>
      <c r="G450" s="244"/>
      <c r="H450" s="244"/>
      <c r="K450" s="265"/>
      <c r="S450" s="244"/>
    </row>
    <row r="451" spans="1:19" ht="15.75" customHeight="1" x14ac:dyDescent="0.25">
      <c r="A451" s="244"/>
      <c r="C451" s="263"/>
      <c r="D451" s="264"/>
      <c r="E451" s="244"/>
      <c r="F451" s="244"/>
      <c r="G451" s="244"/>
      <c r="H451" s="244"/>
      <c r="K451" s="265"/>
      <c r="S451" s="244"/>
    </row>
    <row r="452" spans="1:19" ht="15.75" customHeight="1" x14ac:dyDescent="0.25">
      <c r="A452" s="244"/>
      <c r="C452" s="263"/>
      <c r="D452" s="264"/>
      <c r="E452" s="244"/>
      <c r="F452" s="244"/>
      <c r="G452" s="244"/>
      <c r="H452" s="244"/>
      <c r="K452" s="265"/>
      <c r="S452" s="244"/>
    </row>
    <row r="453" spans="1:19" ht="15.75" customHeight="1" x14ac:dyDescent="0.25">
      <c r="A453" s="244"/>
      <c r="C453" s="263"/>
      <c r="D453" s="264"/>
      <c r="E453" s="244"/>
      <c r="F453" s="244"/>
      <c r="G453" s="244"/>
      <c r="H453" s="244"/>
      <c r="K453" s="265"/>
      <c r="S453" s="244"/>
    </row>
    <row r="454" spans="1:19" ht="15.75" customHeight="1" x14ac:dyDescent="0.25">
      <c r="A454" s="244"/>
      <c r="C454" s="263"/>
      <c r="D454" s="264"/>
      <c r="E454" s="244"/>
      <c r="F454" s="244"/>
      <c r="G454" s="244"/>
      <c r="H454" s="244"/>
      <c r="K454" s="265"/>
      <c r="S454" s="244"/>
    </row>
    <row r="455" spans="1:19" ht="15.75" customHeight="1" x14ac:dyDescent="0.25">
      <c r="A455" s="244"/>
      <c r="C455" s="263"/>
      <c r="D455" s="264"/>
      <c r="E455" s="244"/>
      <c r="F455" s="244"/>
      <c r="G455" s="244"/>
      <c r="H455" s="244"/>
      <c r="K455" s="265"/>
      <c r="S455" s="244"/>
    </row>
    <row r="456" spans="1:19" ht="15.75" customHeight="1" x14ac:dyDescent="0.25">
      <c r="A456" s="244"/>
      <c r="C456" s="263"/>
      <c r="D456" s="264"/>
      <c r="E456" s="244"/>
      <c r="F456" s="244"/>
      <c r="G456" s="244"/>
      <c r="H456" s="244"/>
      <c r="K456" s="265"/>
      <c r="S456" s="244"/>
    </row>
    <row r="457" spans="1:19" ht="15.75" customHeight="1" x14ac:dyDescent="0.25">
      <c r="A457" s="244"/>
      <c r="C457" s="263"/>
      <c r="D457" s="264"/>
      <c r="E457" s="244"/>
      <c r="F457" s="244"/>
      <c r="G457" s="244"/>
      <c r="H457" s="244"/>
      <c r="K457" s="265"/>
      <c r="S457" s="244"/>
    </row>
    <row r="458" spans="1:19" ht="15.75" customHeight="1" x14ac:dyDescent="0.25">
      <c r="A458" s="244"/>
      <c r="C458" s="263"/>
      <c r="D458" s="264"/>
      <c r="E458" s="244"/>
      <c r="F458" s="244"/>
      <c r="G458" s="244"/>
      <c r="H458" s="244"/>
      <c r="K458" s="265"/>
      <c r="S458" s="244"/>
    </row>
    <row r="459" spans="1:19" ht="15.75" customHeight="1" x14ac:dyDescent="0.25">
      <c r="A459" s="244"/>
      <c r="C459" s="263"/>
      <c r="D459" s="264"/>
      <c r="E459" s="244"/>
      <c r="F459" s="244"/>
      <c r="G459" s="244"/>
      <c r="H459" s="244"/>
      <c r="K459" s="265"/>
      <c r="S459" s="244"/>
    </row>
    <row r="460" spans="1:19" ht="15.75" customHeight="1" x14ac:dyDescent="0.25">
      <c r="A460" s="244"/>
      <c r="C460" s="263"/>
      <c r="D460" s="264"/>
      <c r="E460" s="244"/>
      <c r="F460" s="244"/>
      <c r="G460" s="244"/>
      <c r="H460" s="244"/>
      <c r="K460" s="265"/>
      <c r="S460" s="244"/>
    </row>
    <row r="461" spans="1:19" ht="15.75" customHeight="1" x14ac:dyDescent="0.25">
      <c r="A461" s="244"/>
      <c r="C461" s="263"/>
      <c r="D461" s="264"/>
      <c r="E461" s="244"/>
      <c r="F461" s="244"/>
      <c r="G461" s="244"/>
      <c r="H461" s="244"/>
      <c r="K461" s="265"/>
      <c r="S461" s="244"/>
    </row>
    <row r="462" spans="1:19" ht="15.75" customHeight="1" x14ac:dyDescent="0.25">
      <c r="A462" s="244"/>
      <c r="C462" s="263"/>
      <c r="D462" s="264"/>
      <c r="E462" s="244"/>
      <c r="F462" s="244"/>
      <c r="G462" s="244"/>
      <c r="H462" s="244"/>
      <c r="K462" s="265"/>
      <c r="S462" s="244"/>
    </row>
    <row r="463" spans="1:19" ht="15.75" customHeight="1" x14ac:dyDescent="0.25">
      <c r="A463" s="244"/>
      <c r="C463" s="263"/>
      <c r="D463" s="264"/>
      <c r="E463" s="244"/>
      <c r="F463" s="244"/>
      <c r="G463" s="244"/>
      <c r="H463" s="244"/>
      <c r="K463" s="265"/>
      <c r="S463" s="244"/>
    </row>
    <row r="464" spans="1:19" ht="15.75" customHeight="1" x14ac:dyDescent="0.25">
      <c r="A464" s="244"/>
      <c r="C464" s="263"/>
      <c r="D464" s="264"/>
      <c r="E464" s="244"/>
      <c r="F464" s="244"/>
      <c r="G464" s="244"/>
      <c r="H464" s="244"/>
      <c r="K464" s="265"/>
      <c r="S464" s="244"/>
    </row>
    <row r="465" spans="1:19" ht="15.75" customHeight="1" x14ac:dyDescent="0.25">
      <c r="A465" s="244"/>
      <c r="C465" s="263"/>
      <c r="D465" s="264"/>
      <c r="E465" s="244"/>
      <c r="F465" s="244"/>
      <c r="G465" s="244"/>
      <c r="H465" s="244"/>
      <c r="K465" s="265"/>
      <c r="S465" s="244"/>
    </row>
    <row r="466" spans="1:19" ht="15.75" customHeight="1" x14ac:dyDescent="0.25">
      <c r="A466" s="244"/>
      <c r="C466" s="263"/>
      <c r="D466" s="264"/>
      <c r="E466" s="244"/>
      <c r="F466" s="244"/>
      <c r="G466" s="244"/>
      <c r="H466" s="244"/>
      <c r="K466" s="265"/>
      <c r="S466" s="244"/>
    </row>
    <row r="467" spans="1:19" ht="15.75" customHeight="1" x14ac:dyDescent="0.25">
      <c r="A467" s="244"/>
      <c r="C467" s="263"/>
      <c r="D467" s="264"/>
      <c r="E467" s="244"/>
      <c r="F467" s="244"/>
      <c r="G467" s="244"/>
      <c r="H467" s="244"/>
      <c r="K467" s="265"/>
      <c r="S467" s="244"/>
    </row>
    <row r="468" spans="1:19" ht="15.75" customHeight="1" x14ac:dyDescent="0.25">
      <c r="A468" s="244"/>
      <c r="C468" s="263"/>
      <c r="D468" s="264"/>
      <c r="E468" s="244"/>
      <c r="F468" s="244"/>
      <c r="G468" s="244"/>
      <c r="H468" s="244"/>
      <c r="K468" s="265"/>
      <c r="S468" s="244"/>
    </row>
    <row r="469" spans="1:19" ht="15.75" customHeight="1" x14ac:dyDescent="0.25">
      <c r="A469" s="244"/>
      <c r="C469" s="263"/>
      <c r="D469" s="264"/>
      <c r="E469" s="244"/>
      <c r="F469" s="244"/>
      <c r="G469" s="244"/>
      <c r="H469" s="244"/>
      <c r="K469" s="265"/>
      <c r="S469" s="244"/>
    </row>
    <row r="470" spans="1:19" ht="15.75" customHeight="1" x14ac:dyDescent="0.25">
      <c r="A470" s="244"/>
      <c r="C470" s="263"/>
      <c r="D470" s="264"/>
      <c r="E470" s="244"/>
      <c r="F470" s="244"/>
      <c r="G470" s="244"/>
      <c r="H470" s="244"/>
      <c r="K470" s="265"/>
      <c r="S470" s="244"/>
    </row>
    <row r="471" spans="1:19" ht="15.75" customHeight="1" x14ac:dyDescent="0.25">
      <c r="A471" s="244"/>
      <c r="C471" s="263"/>
      <c r="D471" s="264"/>
      <c r="E471" s="244"/>
      <c r="F471" s="244"/>
      <c r="G471" s="244"/>
      <c r="H471" s="244"/>
      <c r="K471" s="265"/>
      <c r="S471" s="244"/>
    </row>
    <row r="472" spans="1:19" ht="15.75" customHeight="1" x14ac:dyDescent="0.25">
      <c r="A472" s="244"/>
      <c r="C472" s="263"/>
      <c r="D472" s="264"/>
      <c r="E472" s="244"/>
      <c r="F472" s="244"/>
      <c r="G472" s="244"/>
      <c r="H472" s="244"/>
      <c r="K472" s="265"/>
      <c r="S472" s="244"/>
    </row>
    <row r="473" spans="1:19" ht="15.75" customHeight="1" x14ac:dyDescent="0.25">
      <c r="A473" s="244"/>
      <c r="C473" s="263"/>
      <c r="D473" s="264"/>
      <c r="E473" s="244"/>
      <c r="F473" s="244"/>
      <c r="G473" s="244"/>
      <c r="H473" s="244"/>
      <c r="K473" s="265"/>
      <c r="S473" s="244"/>
    </row>
    <row r="474" spans="1:19" ht="15.75" customHeight="1" x14ac:dyDescent="0.25">
      <c r="A474" s="244"/>
      <c r="C474" s="263"/>
      <c r="D474" s="264"/>
      <c r="E474" s="244"/>
      <c r="F474" s="244"/>
      <c r="G474" s="244"/>
      <c r="H474" s="244"/>
      <c r="K474" s="265"/>
      <c r="S474" s="244"/>
    </row>
    <row r="475" spans="1:19" ht="15.75" customHeight="1" x14ac:dyDescent="0.25">
      <c r="A475" s="244"/>
      <c r="C475" s="263"/>
      <c r="D475" s="264"/>
      <c r="E475" s="244"/>
      <c r="F475" s="244"/>
      <c r="G475" s="244"/>
      <c r="H475" s="244"/>
      <c r="K475" s="265"/>
      <c r="S475" s="244"/>
    </row>
    <row r="476" spans="1:19" ht="15.75" customHeight="1" x14ac:dyDescent="0.25">
      <c r="A476" s="244"/>
      <c r="C476" s="263"/>
      <c r="D476" s="264"/>
      <c r="E476" s="244"/>
      <c r="F476" s="244"/>
      <c r="G476" s="244"/>
      <c r="H476" s="244"/>
      <c r="K476" s="265"/>
      <c r="S476" s="244"/>
    </row>
    <row r="477" spans="1:19" ht="15.75" customHeight="1" x14ac:dyDescent="0.25">
      <c r="A477" s="244"/>
      <c r="C477" s="263"/>
      <c r="D477" s="264"/>
      <c r="E477" s="244"/>
      <c r="F477" s="244"/>
      <c r="G477" s="244"/>
      <c r="H477" s="244"/>
      <c r="K477" s="265"/>
      <c r="S477" s="244"/>
    </row>
    <row r="478" spans="1:19" ht="15.75" customHeight="1" x14ac:dyDescent="0.25">
      <c r="A478" s="244"/>
      <c r="C478" s="263"/>
      <c r="D478" s="264"/>
      <c r="E478" s="244"/>
      <c r="F478" s="244"/>
      <c r="G478" s="244"/>
      <c r="H478" s="244"/>
      <c r="K478" s="265"/>
      <c r="S478" s="244"/>
    </row>
    <row r="479" spans="1:19" ht="15.75" customHeight="1" x14ac:dyDescent="0.25">
      <c r="A479" s="244"/>
      <c r="C479" s="263"/>
      <c r="D479" s="264"/>
      <c r="E479" s="244"/>
      <c r="F479" s="244"/>
      <c r="G479" s="244"/>
      <c r="H479" s="244"/>
      <c r="K479" s="265"/>
      <c r="S479" s="244"/>
    </row>
    <row r="480" spans="1:19" ht="15.75" customHeight="1" x14ac:dyDescent="0.25">
      <c r="A480" s="244"/>
      <c r="C480" s="263"/>
      <c r="D480" s="264"/>
      <c r="E480" s="244"/>
      <c r="F480" s="244"/>
      <c r="G480" s="244"/>
      <c r="H480" s="244"/>
      <c r="K480" s="265"/>
      <c r="S480" s="244"/>
    </row>
    <row r="481" spans="1:19" ht="15.75" customHeight="1" x14ac:dyDescent="0.25">
      <c r="A481" s="244"/>
      <c r="C481" s="263"/>
      <c r="D481" s="264"/>
      <c r="E481" s="244"/>
      <c r="F481" s="244"/>
      <c r="G481" s="244"/>
      <c r="H481" s="244"/>
      <c r="K481" s="265"/>
      <c r="S481" s="244"/>
    </row>
    <row r="482" spans="1:19" ht="15.75" customHeight="1" x14ac:dyDescent="0.25">
      <c r="A482" s="244"/>
      <c r="C482" s="263"/>
      <c r="D482" s="264"/>
      <c r="E482" s="244"/>
      <c r="F482" s="244"/>
      <c r="G482" s="244"/>
      <c r="H482" s="244"/>
      <c r="K482" s="265"/>
      <c r="S482" s="244"/>
    </row>
    <row r="483" spans="1:19" ht="15.75" customHeight="1" x14ac:dyDescent="0.25">
      <c r="A483" s="244"/>
      <c r="C483" s="263"/>
      <c r="D483" s="264"/>
      <c r="E483" s="244"/>
      <c r="F483" s="244"/>
      <c r="G483" s="244"/>
      <c r="H483" s="244"/>
      <c r="K483" s="265"/>
      <c r="S483" s="244"/>
    </row>
    <row r="484" spans="1:19" ht="15.75" customHeight="1" x14ac:dyDescent="0.25">
      <c r="A484" s="244"/>
      <c r="C484" s="263"/>
      <c r="D484" s="264"/>
      <c r="E484" s="244"/>
      <c r="F484" s="244"/>
      <c r="G484" s="244"/>
      <c r="H484" s="244"/>
      <c r="K484" s="265"/>
      <c r="S484" s="244"/>
    </row>
    <row r="485" spans="1:19" ht="15.75" customHeight="1" x14ac:dyDescent="0.25">
      <c r="A485" s="244"/>
      <c r="C485" s="263"/>
      <c r="D485" s="264"/>
      <c r="E485" s="244"/>
      <c r="F485" s="244"/>
      <c r="G485" s="244"/>
      <c r="H485" s="244"/>
      <c r="K485" s="265"/>
      <c r="S485" s="244"/>
    </row>
    <row r="486" spans="1:19" ht="15.75" customHeight="1" x14ac:dyDescent="0.25">
      <c r="A486" s="244"/>
      <c r="C486" s="263"/>
      <c r="D486" s="264"/>
      <c r="E486" s="244"/>
      <c r="F486" s="244"/>
      <c r="G486" s="244"/>
      <c r="H486" s="244"/>
      <c r="K486" s="265"/>
      <c r="S486" s="244"/>
    </row>
    <row r="487" spans="1:19" ht="15.75" customHeight="1" x14ac:dyDescent="0.25">
      <c r="A487" s="244"/>
      <c r="C487" s="263"/>
      <c r="D487" s="264"/>
      <c r="E487" s="244"/>
      <c r="F487" s="244"/>
      <c r="G487" s="244"/>
      <c r="H487" s="244"/>
      <c r="K487" s="265"/>
      <c r="S487" s="244"/>
    </row>
    <row r="488" spans="1:19" ht="15.75" customHeight="1" x14ac:dyDescent="0.25">
      <c r="A488" s="244"/>
      <c r="C488" s="263"/>
      <c r="D488" s="264"/>
      <c r="E488" s="244"/>
      <c r="F488" s="244"/>
      <c r="G488" s="244"/>
      <c r="H488" s="244"/>
      <c r="K488" s="265"/>
      <c r="S488" s="244"/>
    </row>
    <row r="489" spans="1:19" ht="15.75" customHeight="1" x14ac:dyDescent="0.25">
      <c r="A489" s="244"/>
      <c r="C489" s="263"/>
      <c r="D489" s="264"/>
      <c r="E489" s="244"/>
      <c r="F489" s="244"/>
      <c r="G489" s="244"/>
      <c r="H489" s="244"/>
      <c r="K489" s="265"/>
      <c r="S489" s="244"/>
    </row>
    <row r="490" spans="1:19" ht="15.75" customHeight="1" x14ac:dyDescent="0.25">
      <c r="A490" s="244"/>
      <c r="C490" s="263"/>
      <c r="D490" s="264"/>
      <c r="E490" s="244"/>
      <c r="F490" s="244"/>
      <c r="G490" s="244"/>
      <c r="H490" s="244"/>
      <c r="K490" s="265"/>
      <c r="S490" s="244"/>
    </row>
    <row r="491" spans="1:19" ht="15.75" customHeight="1" x14ac:dyDescent="0.25">
      <c r="A491" s="244"/>
      <c r="C491" s="263"/>
      <c r="D491" s="264"/>
      <c r="E491" s="244"/>
      <c r="F491" s="244"/>
      <c r="G491" s="244"/>
      <c r="H491" s="244"/>
      <c r="K491" s="265"/>
      <c r="S491" s="244"/>
    </row>
    <row r="492" spans="1:19" ht="15.75" customHeight="1" x14ac:dyDescent="0.25">
      <c r="A492" s="244"/>
      <c r="C492" s="263"/>
      <c r="D492" s="264"/>
      <c r="E492" s="244"/>
      <c r="F492" s="244"/>
      <c r="G492" s="244"/>
      <c r="H492" s="244"/>
      <c r="K492" s="265"/>
      <c r="S492" s="244"/>
    </row>
    <row r="493" spans="1:19" ht="15.75" customHeight="1" x14ac:dyDescent="0.25">
      <c r="A493" s="244"/>
      <c r="C493" s="263"/>
      <c r="D493" s="264"/>
      <c r="E493" s="244"/>
      <c r="F493" s="244"/>
      <c r="G493" s="244"/>
      <c r="H493" s="244"/>
      <c r="K493" s="265"/>
      <c r="S493" s="244"/>
    </row>
    <row r="494" spans="1:19" ht="15.75" customHeight="1" x14ac:dyDescent="0.25">
      <c r="A494" s="244"/>
      <c r="C494" s="263"/>
      <c r="D494" s="264"/>
      <c r="E494" s="244"/>
      <c r="F494" s="244"/>
      <c r="G494" s="244"/>
      <c r="H494" s="244"/>
      <c r="K494" s="265"/>
      <c r="S494" s="244"/>
    </row>
    <row r="495" spans="1:19" ht="15.75" customHeight="1" x14ac:dyDescent="0.25">
      <c r="A495" s="244"/>
      <c r="C495" s="263"/>
      <c r="D495" s="264"/>
      <c r="E495" s="244"/>
      <c r="F495" s="244"/>
      <c r="G495" s="244"/>
      <c r="H495" s="244"/>
      <c r="K495" s="265"/>
      <c r="S495" s="244"/>
    </row>
    <row r="496" spans="1:19" ht="15.75" customHeight="1" x14ac:dyDescent="0.25">
      <c r="A496" s="244"/>
      <c r="C496" s="263"/>
      <c r="D496" s="264"/>
      <c r="E496" s="244"/>
      <c r="F496" s="244"/>
      <c r="G496" s="244"/>
      <c r="H496" s="244"/>
      <c r="K496" s="265"/>
      <c r="S496" s="244"/>
    </row>
    <row r="497" spans="1:19" ht="15.75" customHeight="1" x14ac:dyDescent="0.25">
      <c r="A497" s="244"/>
      <c r="C497" s="263"/>
      <c r="D497" s="264"/>
      <c r="E497" s="244"/>
      <c r="F497" s="244"/>
      <c r="G497" s="244"/>
      <c r="H497" s="244"/>
      <c r="K497" s="265"/>
      <c r="S497" s="244"/>
    </row>
    <row r="498" spans="1:19" ht="15.75" customHeight="1" x14ac:dyDescent="0.25">
      <c r="A498" s="244"/>
      <c r="C498" s="263"/>
      <c r="D498" s="264"/>
      <c r="E498" s="244"/>
      <c r="F498" s="244"/>
      <c r="G498" s="244"/>
      <c r="H498" s="244"/>
      <c r="K498" s="265"/>
      <c r="S498" s="244"/>
    </row>
    <row r="499" spans="1:19" ht="15.75" customHeight="1" x14ac:dyDescent="0.25">
      <c r="A499" s="244"/>
      <c r="C499" s="263"/>
      <c r="D499" s="264"/>
      <c r="E499" s="244"/>
      <c r="F499" s="244"/>
      <c r="G499" s="244"/>
      <c r="H499" s="244"/>
      <c r="K499" s="265"/>
      <c r="S499" s="244"/>
    </row>
    <row r="500" spans="1:19" ht="15.75" customHeight="1" x14ac:dyDescent="0.25">
      <c r="A500" s="244"/>
      <c r="C500" s="263"/>
      <c r="D500" s="264"/>
      <c r="E500" s="244"/>
      <c r="F500" s="244"/>
      <c r="G500" s="244"/>
      <c r="H500" s="244"/>
      <c r="K500" s="265"/>
      <c r="S500" s="244"/>
    </row>
    <row r="501" spans="1:19" ht="15.75" customHeight="1" x14ac:dyDescent="0.25">
      <c r="A501" s="244"/>
      <c r="C501" s="263"/>
      <c r="D501" s="264"/>
      <c r="E501" s="244"/>
      <c r="F501" s="244"/>
      <c r="G501" s="244"/>
      <c r="H501" s="244"/>
      <c r="K501" s="265"/>
      <c r="S501" s="244"/>
    </row>
    <row r="502" spans="1:19" ht="15.75" customHeight="1" x14ac:dyDescent="0.25">
      <c r="A502" s="244"/>
      <c r="C502" s="263"/>
      <c r="D502" s="264"/>
      <c r="E502" s="244"/>
      <c r="F502" s="244"/>
      <c r="G502" s="244"/>
      <c r="H502" s="244"/>
      <c r="K502" s="265"/>
      <c r="S502" s="244"/>
    </row>
    <row r="503" spans="1:19" ht="15.75" customHeight="1" x14ac:dyDescent="0.25">
      <c r="A503" s="244"/>
      <c r="C503" s="263"/>
      <c r="D503" s="264"/>
      <c r="E503" s="244"/>
      <c r="F503" s="244"/>
      <c r="G503" s="244"/>
      <c r="H503" s="244"/>
      <c r="K503" s="265"/>
      <c r="S503" s="244"/>
    </row>
    <row r="504" spans="1:19" ht="15.75" customHeight="1" x14ac:dyDescent="0.25">
      <c r="A504" s="244"/>
      <c r="C504" s="263"/>
      <c r="D504" s="264"/>
      <c r="E504" s="244"/>
      <c r="F504" s="244"/>
      <c r="G504" s="244"/>
      <c r="H504" s="244"/>
      <c r="K504" s="265"/>
      <c r="S504" s="244"/>
    </row>
    <row r="505" spans="1:19" ht="15.75" customHeight="1" x14ac:dyDescent="0.25">
      <c r="A505" s="244"/>
      <c r="C505" s="263"/>
      <c r="D505" s="264"/>
      <c r="E505" s="244"/>
      <c r="F505" s="244"/>
      <c r="G505" s="244"/>
      <c r="H505" s="244"/>
      <c r="K505" s="265"/>
      <c r="S505" s="244"/>
    </row>
    <row r="506" spans="1:19" ht="15.75" customHeight="1" x14ac:dyDescent="0.25">
      <c r="A506" s="244"/>
      <c r="C506" s="263"/>
      <c r="D506" s="264"/>
      <c r="E506" s="244"/>
      <c r="F506" s="244"/>
      <c r="G506" s="244"/>
      <c r="H506" s="244"/>
      <c r="K506" s="265"/>
      <c r="S506" s="244"/>
    </row>
    <row r="507" spans="1:19" ht="15.75" customHeight="1" x14ac:dyDescent="0.25">
      <c r="A507" s="244"/>
      <c r="C507" s="263"/>
      <c r="D507" s="264"/>
      <c r="E507" s="244"/>
      <c r="F507" s="244"/>
      <c r="G507" s="244"/>
      <c r="H507" s="244"/>
      <c r="K507" s="265"/>
      <c r="S507" s="244"/>
    </row>
    <row r="508" spans="1:19" ht="15.75" customHeight="1" x14ac:dyDescent="0.25">
      <c r="A508" s="244"/>
      <c r="C508" s="263"/>
      <c r="D508" s="264"/>
      <c r="E508" s="244"/>
      <c r="F508" s="244"/>
      <c r="G508" s="244"/>
      <c r="H508" s="244"/>
      <c r="K508" s="265"/>
      <c r="S508" s="244"/>
    </row>
    <row r="509" spans="1:19" ht="15.75" customHeight="1" x14ac:dyDescent="0.25">
      <c r="A509" s="244"/>
      <c r="C509" s="263"/>
      <c r="D509" s="264"/>
      <c r="E509" s="244"/>
      <c r="F509" s="244"/>
      <c r="G509" s="244"/>
      <c r="H509" s="244"/>
      <c r="K509" s="265"/>
      <c r="S509" s="244"/>
    </row>
    <row r="510" spans="1:19" ht="15.75" customHeight="1" x14ac:dyDescent="0.25">
      <c r="A510" s="244"/>
      <c r="C510" s="263"/>
      <c r="D510" s="264"/>
      <c r="E510" s="244"/>
      <c r="F510" s="244"/>
      <c r="G510" s="244"/>
      <c r="H510" s="244"/>
      <c r="K510" s="265"/>
      <c r="S510" s="244"/>
    </row>
    <row r="511" spans="1:19" ht="15.75" customHeight="1" x14ac:dyDescent="0.25">
      <c r="A511" s="244"/>
      <c r="C511" s="263"/>
      <c r="D511" s="264"/>
      <c r="E511" s="244"/>
      <c r="F511" s="244"/>
      <c r="G511" s="244"/>
      <c r="H511" s="244"/>
      <c r="K511" s="265"/>
      <c r="S511" s="244"/>
    </row>
    <row r="512" spans="1:19" ht="15.75" customHeight="1" x14ac:dyDescent="0.25">
      <c r="A512" s="244"/>
      <c r="C512" s="263"/>
      <c r="D512" s="264"/>
      <c r="E512" s="244"/>
      <c r="F512" s="244"/>
      <c r="G512" s="244"/>
      <c r="H512" s="244"/>
      <c r="K512" s="265"/>
      <c r="S512" s="244"/>
    </row>
    <row r="513" spans="1:19" ht="15.75" customHeight="1" x14ac:dyDescent="0.25">
      <c r="A513" s="244"/>
      <c r="C513" s="263"/>
      <c r="D513" s="264"/>
      <c r="E513" s="244"/>
      <c r="F513" s="244"/>
      <c r="G513" s="244"/>
      <c r="H513" s="244"/>
      <c r="K513" s="265"/>
      <c r="S513" s="244"/>
    </row>
    <row r="514" spans="1:19" ht="15.75" customHeight="1" x14ac:dyDescent="0.25">
      <c r="A514" s="244"/>
      <c r="C514" s="263"/>
      <c r="D514" s="264"/>
      <c r="E514" s="244"/>
      <c r="F514" s="244"/>
      <c r="G514" s="244"/>
      <c r="H514" s="244"/>
      <c r="K514" s="265"/>
      <c r="S514" s="244"/>
    </row>
    <row r="515" spans="1:19" ht="15.75" customHeight="1" x14ac:dyDescent="0.25">
      <c r="A515" s="244"/>
      <c r="C515" s="263"/>
      <c r="D515" s="264"/>
      <c r="E515" s="244"/>
      <c r="F515" s="244"/>
      <c r="G515" s="244"/>
      <c r="H515" s="244"/>
      <c r="K515" s="265"/>
      <c r="S515" s="244"/>
    </row>
    <row r="516" spans="1:19" ht="15.75" customHeight="1" x14ac:dyDescent="0.25">
      <c r="A516" s="244"/>
      <c r="C516" s="263"/>
      <c r="D516" s="264"/>
      <c r="E516" s="244"/>
      <c r="F516" s="244"/>
      <c r="G516" s="244"/>
      <c r="H516" s="244"/>
      <c r="K516" s="265"/>
      <c r="S516" s="244"/>
    </row>
    <row r="517" spans="1:19" ht="15.75" customHeight="1" x14ac:dyDescent="0.25">
      <c r="A517" s="244"/>
      <c r="C517" s="263"/>
      <c r="D517" s="264"/>
      <c r="E517" s="244"/>
      <c r="F517" s="244"/>
      <c r="G517" s="244"/>
      <c r="H517" s="244"/>
      <c r="K517" s="265"/>
      <c r="S517" s="244"/>
    </row>
    <row r="518" spans="1:19" ht="15.75" customHeight="1" x14ac:dyDescent="0.25">
      <c r="A518" s="244"/>
      <c r="C518" s="263"/>
      <c r="D518" s="264"/>
      <c r="E518" s="244"/>
      <c r="F518" s="244"/>
      <c r="G518" s="244"/>
      <c r="H518" s="244"/>
      <c r="K518" s="265"/>
      <c r="S518" s="244"/>
    </row>
    <row r="519" spans="1:19" ht="15.75" customHeight="1" x14ac:dyDescent="0.25">
      <c r="A519" s="244"/>
      <c r="C519" s="263"/>
      <c r="D519" s="264"/>
      <c r="E519" s="244"/>
      <c r="F519" s="244"/>
      <c r="G519" s="244"/>
      <c r="H519" s="244"/>
      <c r="K519" s="265"/>
      <c r="S519" s="244"/>
    </row>
    <row r="520" spans="1:19" ht="15.75" customHeight="1" x14ac:dyDescent="0.25">
      <c r="A520" s="244"/>
      <c r="C520" s="263"/>
      <c r="D520" s="264"/>
      <c r="E520" s="244"/>
      <c r="F520" s="244"/>
      <c r="G520" s="244"/>
      <c r="H520" s="244"/>
      <c r="K520" s="265"/>
      <c r="S520" s="244"/>
    </row>
    <row r="521" spans="1:19" ht="15.75" customHeight="1" x14ac:dyDescent="0.25">
      <c r="A521" s="244"/>
      <c r="C521" s="263"/>
      <c r="D521" s="264"/>
      <c r="E521" s="244"/>
      <c r="F521" s="244"/>
      <c r="G521" s="244"/>
      <c r="H521" s="244"/>
      <c r="K521" s="265"/>
      <c r="S521" s="244"/>
    </row>
    <row r="522" spans="1:19" ht="15.75" customHeight="1" x14ac:dyDescent="0.25">
      <c r="A522" s="244"/>
      <c r="C522" s="263"/>
      <c r="D522" s="264"/>
      <c r="E522" s="244"/>
      <c r="F522" s="244"/>
      <c r="G522" s="244"/>
      <c r="H522" s="244"/>
      <c r="K522" s="265"/>
      <c r="S522" s="244"/>
    </row>
    <row r="523" spans="1:19" ht="15.75" customHeight="1" x14ac:dyDescent="0.25">
      <c r="A523" s="244"/>
      <c r="C523" s="263"/>
      <c r="D523" s="264"/>
      <c r="E523" s="244"/>
      <c r="F523" s="244"/>
      <c r="G523" s="244"/>
      <c r="H523" s="244"/>
      <c r="K523" s="265"/>
      <c r="S523" s="244"/>
    </row>
    <row r="524" spans="1:19" ht="15.75" customHeight="1" x14ac:dyDescent="0.25">
      <c r="A524" s="244"/>
      <c r="C524" s="263"/>
      <c r="D524" s="264"/>
      <c r="E524" s="244"/>
      <c r="F524" s="244"/>
      <c r="G524" s="244"/>
      <c r="H524" s="244"/>
      <c r="K524" s="265"/>
      <c r="S524" s="244"/>
    </row>
    <row r="525" spans="1:19" ht="15.75" customHeight="1" x14ac:dyDescent="0.25">
      <c r="A525" s="244"/>
      <c r="C525" s="263"/>
      <c r="D525" s="264"/>
      <c r="E525" s="244"/>
      <c r="F525" s="244"/>
      <c r="G525" s="244"/>
      <c r="H525" s="244"/>
      <c r="K525" s="265"/>
      <c r="S525" s="244"/>
    </row>
    <row r="526" spans="1:19" ht="15.75" customHeight="1" x14ac:dyDescent="0.25">
      <c r="A526" s="244"/>
      <c r="C526" s="263"/>
      <c r="D526" s="264"/>
      <c r="E526" s="244"/>
      <c r="F526" s="244"/>
      <c r="G526" s="244"/>
      <c r="H526" s="244"/>
      <c r="K526" s="265"/>
      <c r="S526" s="244"/>
    </row>
    <row r="527" spans="1:19" ht="15.75" customHeight="1" x14ac:dyDescent="0.25">
      <c r="A527" s="244"/>
      <c r="C527" s="263"/>
      <c r="D527" s="264"/>
      <c r="E527" s="244"/>
      <c r="F527" s="244"/>
      <c r="G527" s="244"/>
      <c r="H527" s="244"/>
      <c r="K527" s="265"/>
      <c r="S527" s="244"/>
    </row>
    <row r="528" spans="1:19" ht="15.75" customHeight="1" x14ac:dyDescent="0.25">
      <c r="A528" s="244"/>
      <c r="C528" s="263"/>
      <c r="D528" s="264"/>
      <c r="E528" s="244"/>
      <c r="F528" s="244"/>
      <c r="G528" s="244"/>
      <c r="H528" s="244"/>
      <c r="K528" s="265"/>
      <c r="S528" s="244"/>
    </row>
    <row r="529" spans="1:19" ht="15.75" customHeight="1" x14ac:dyDescent="0.25">
      <c r="A529" s="244"/>
      <c r="C529" s="263"/>
      <c r="D529" s="264"/>
      <c r="E529" s="244"/>
      <c r="F529" s="244"/>
      <c r="G529" s="244"/>
      <c r="H529" s="244"/>
      <c r="K529" s="265"/>
      <c r="S529" s="244"/>
    </row>
    <row r="530" spans="1:19" ht="15.75" customHeight="1" x14ac:dyDescent="0.25">
      <c r="A530" s="244"/>
      <c r="C530" s="263"/>
      <c r="D530" s="264"/>
      <c r="E530" s="244"/>
      <c r="F530" s="244"/>
      <c r="G530" s="244"/>
      <c r="H530" s="244"/>
      <c r="K530" s="265"/>
      <c r="S530" s="244"/>
    </row>
    <row r="531" spans="1:19" ht="15.75" customHeight="1" x14ac:dyDescent="0.25">
      <c r="A531" s="244"/>
      <c r="C531" s="263"/>
      <c r="D531" s="264"/>
      <c r="E531" s="244"/>
      <c r="F531" s="244"/>
      <c r="G531" s="244"/>
      <c r="H531" s="244"/>
      <c r="K531" s="265"/>
      <c r="S531" s="244"/>
    </row>
    <row r="532" spans="1:19" ht="15.75" customHeight="1" x14ac:dyDescent="0.25">
      <c r="A532" s="244"/>
      <c r="C532" s="263"/>
      <c r="D532" s="264"/>
      <c r="E532" s="244"/>
      <c r="F532" s="244"/>
      <c r="G532" s="244"/>
      <c r="H532" s="244"/>
      <c r="K532" s="265"/>
      <c r="S532" s="244"/>
    </row>
    <row r="533" spans="1:19" ht="15.75" customHeight="1" x14ac:dyDescent="0.25">
      <c r="A533" s="244"/>
      <c r="C533" s="263"/>
      <c r="D533" s="264"/>
      <c r="E533" s="244"/>
      <c r="F533" s="244"/>
      <c r="G533" s="244"/>
      <c r="H533" s="244"/>
      <c r="K533" s="265"/>
      <c r="S533" s="244"/>
    </row>
    <row r="534" spans="1:19" ht="15.75" customHeight="1" x14ac:dyDescent="0.25">
      <c r="A534" s="244"/>
      <c r="C534" s="263"/>
      <c r="D534" s="264"/>
      <c r="E534" s="244"/>
      <c r="F534" s="244"/>
      <c r="G534" s="244"/>
      <c r="H534" s="244"/>
      <c r="K534" s="265"/>
      <c r="S534" s="244"/>
    </row>
    <row r="535" spans="1:19" ht="15.75" customHeight="1" x14ac:dyDescent="0.25">
      <c r="A535" s="244"/>
      <c r="C535" s="263"/>
      <c r="D535" s="264"/>
      <c r="E535" s="244"/>
      <c r="F535" s="244"/>
      <c r="G535" s="244"/>
      <c r="H535" s="244"/>
      <c r="K535" s="265"/>
      <c r="S535" s="244"/>
    </row>
    <row r="536" spans="1:19" ht="15.75" customHeight="1" x14ac:dyDescent="0.25">
      <c r="A536" s="244"/>
      <c r="C536" s="263"/>
      <c r="D536" s="264"/>
      <c r="E536" s="244"/>
      <c r="F536" s="244"/>
      <c r="G536" s="244"/>
      <c r="H536" s="244"/>
      <c r="K536" s="265"/>
      <c r="S536" s="244"/>
    </row>
    <row r="537" spans="1:19" ht="15.75" customHeight="1" x14ac:dyDescent="0.25">
      <c r="A537" s="244"/>
      <c r="C537" s="263"/>
      <c r="D537" s="264"/>
      <c r="E537" s="244"/>
      <c r="F537" s="244"/>
      <c r="G537" s="244"/>
      <c r="H537" s="244"/>
      <c r="K537" s="265"/>
      <c r="S537" s="244"/>
    </row>
    <row r="538" spans="1:19" ht="15.75" customHeight="1" x14ac:dyDescent="0.25">
      <c r="A538" s="244"/>
      <c r="C538" s="263"/>
      <c r="D538" s="264"/>
      <c r="E538" s="244"/>
      <c r="F538" s="244"/>
      <c r="G538" s="244"/>
      <c r="H538" s="244"/>
      <c r="K538" s="265"/>
      <c r="S538" s="244"/>
    </row>
    <row r="539" spans="1:19" ht="15.75" customHeight="1" x14ac:dyDescent="0.25">
      <c r="A539" s="244"/>
      <c r="C539" s="263"/>
      <c r="D539" s="264"/>
      <c r="E539" s="244"/>
      <c r="F539" s="244"/>
      <c r="G539" s="244"/>
      <c r="H539" s="244"/>
      <c r="K539" s="265"/>
      <c r="S539" s="244"/>
    </row>
    <row r="540" spans="1:19" ht="15.75" customHeight="1" x14ac:dyDescent="0.25">
      <c r="A540" s="244"/>
      <c r="C540" s="263"/>
      <c r="D540" s="264"/>
      <c r="E540" s="244"/>
      <c r="F540" s="244"/>
      <c r="G540" s="244"/>
      <c r="H540" s="244"/>
      <c r="K540" s="265"/>
      <c r="S540" s="244"/>
    </row>
    <row r="541" spans="1:19" ht="15.75" customHeight="1" x14ac:dyDescent="0.25">
      <c r="A541" s="244"/>
      <c r="C541" s="263"/>
      <c r="D541" s="264"/>
      <c r="E541" s="244"/>
      <c r="F541" s="244"/>
      <c r="G541" s="244"/>
      <c r="H541" s="244"/>
      <c r="K541" s="265"/>
      <c r="S541" s="244"/>
    </row>
    <row r="542" spans="1:19" ht="15.75" customHeight="1" x14ac:dyDescent="0.25">
      <c r="A542" s="244"/>
      <c r="C542" s="263"/>
      <c r="D542" s="264"/>
      <c r="E542" s="244"/>
      <c r="F542" s="244"/>
      <c r="G542" s="244"/>
      <c r="H542" s="244"/>
      <c r="K542" s="265"/>
      <c r="S542" s="244"/>
    </row>
    <row r="543" spans="1:19" ht="15.75" customHeight="1" x14ac:dyDescent="0.25">
      <c r="A543" s="244"/>
      <c r="C543" s="263"/>
      <c r="D543" s="264"/>
      <c r="E543" s="244"/>
      <c r="F543" s="244"/>
      <c r="G543" s="244"/>
      <c r="H543" s="244"/>
      <c r="K543" s="265"/>
      <c r="S543" s="244"/>
    </row>
    <row r="544" spans="1:19" ht="15.75" customHeight="1" x14ac:dyDescent="0.25">
      <c r="A544" s="244"/>
      <c r="C544" s="263"/>
      <c r="D544" s="264"/>
      <c r="E544" s="244"/>
      <c r="F544" s="244"/>
      <c r="G544" s="244"/>
      <c r="H544" s="244"/>
      <c r="K544" s="265"/>
      <c r="S544" s="244"/>
    </row>
    <row r="545" spans="1:19" ht="15.75" customHeight="1" x14ac:dyDescent="0.25">
      <c r="A545" s="244"/>
      <c r="C545" s="263"/>
      <c r="D545" s="264"/>
      <c r="E545" s="244"/>
      <c r="F545" s="244"/>
      <c r="G545" s="244"/>
      <c r="H545" s="244"/>
      <c r="K545" s="265"/>
      <c r="S545" s="244"/>
    </row>
    <row r="546" spans="1:19" ht="15.75" customHeight="1" x14ac:dyDescent="0.25">
      <c r="A546" s="244"/>
      <c r="C546" s="263"/>
      <c r="D546" s="264"/>
      <c r="E546" s="244"/>
      <c r="F546" s="244"/>
      <c r="G546" s="244"/>
      <c r="H546" s="244"/>
      <c r="K546" s="265"/>
      <c r="S546" s="244"/>
    </row>
    <row r="547" spans="1:19" ht="15.75" customHeight="1" x14ac:dyDescent="0.25">
      <c r="A547" s="244"/>
      <c r="C547" s="263"/>
      <c r="D547" s="264"/>
      <c r="E547" s="244"/>
      <c r="F547" s="244"/>
      <c r="G547" s="244"/>
      <c r="H547" s="244"/>
      <c r="K547" s="265"/>
      <c r="S547" s="244"/>
    </row>
    <row r="548" spans="1:19" ht="15.75" customHeight="1" x14ac:dyDescent="0.25">
      <c r="A548" s="244"/>
      <c r="C548" s="263"/>
      <c r="D548" s="264"/>
      <c r="E548" s="244"/>
      <c r="F548" s="244"/>
      <c r="G548" s="244"/>
      <c r="H548" s="244"/>
      <c r="K548" s="265"/>
      <c r="S548" s="244"/>
    </row>
    <row r="549" spans="1:19" ht="15.75" customHeight="1" x14ac:dyDescent="0.25">
      <c r="A549" s="244"/>
      <c r="C549" s="263"/>
      <c r="D549" s="264"/>
      <c r="E549" s="244"/>
      <c r="F549" s="244"/>
      <c r="G549" s="244"/>
      <c r="H549" s="244"/>
      <c r="K549" s="265"/>
      <c r="S549" s="244"/>
    </row>
    <row r="550" spans="1:19" ht="15.75" customHeight="1" x14ac:dyDescent="0.25">
      <c r="A550" s="244"/>
      <c r="C550" s="263"/>
      <c r="D550" s="264"/>
      <c r="E550" s="244"/>
      <c r="F550" s="244"/>
      <c r="G550" s="244"/>
      <c r="H550" s="244"/>
      <c r="K550" s="265"/>
      <c r="S550" s="244"/>
    </row>
    <row r="551" spans="1:19" ht="15.75" customHeight="1" x14ac:dyDescent="0.25">
      <c r="A551" s="244"/>
      <c r="C551" s="263"/>
      <c r="D551" s="264"/>
      <c r="E551" s="244"/>
      <c r="F551" s="244"/>
      <c r="G551" s="244"/>
      <c r="H551" s="244"/>
      <c r="K551" s="265"/>
      <c r="S551" s="244"/>
    </row>
    <row r="552" spans="1:19" ht="15.75" customHeight="1" x14ac:dyDescent="0.25">
      <c r="A552" s="244"/>
      <c r="C552" s="263"/>
      <c r="D552" s="264"/>
      <c r="E552" s="244"/>
      <c r="F552" s="244"/>
      <c r="G552" s="244"/>
      <c r="H552" s="244"/>
      <c r="K552" s="265"/>
      <c r="S552" s="244"/>
    </row>
    <row r="553" spans="1:19" ht="15.75" customHeight="1" x14ac:dyDescent="0.25">
      <c r="A553" s="244"/>
      <c r="C553" s="263"/>
      <c r="D553" s="264"/>
      <c r="E553" s="244"/>
      <c r="F553" s="244"/>
      <c r="G553" s="244"/>
      <c r="H553" s="244"/>
      <c r="K553" s="265"/>
      <c r="S553" s="244"/>
    </row>
    <row r="554" spans="1:19" ht="15.75" customHeight="1" x14ac:dyDescent="0.25">
      <c r="A554" s="244"/>
      <c r="C554" s="263"/>
      <c r="D554" s="264"/>
      <c r="E554" s="244"/>
      <c r="F554" s="244"/>
      <c r="G554" s="244"/>
      <c r="H554" s="244"/>
      <c r="K554" s="265"/>
      <c r="S554" s="244"/>
    </row>
    <row r="555" spans="1:19" ht="15.75" customHeight="1" x14ac:dyDescent="0.25">
      <c r="A555" s="244"/>
      <c r="C555" s="263"/>
      <c r="D555" s="264"/>
      <c r="E555" s="244"/>
      <c r="F555" s="244"/>
      <c r="G555" s="244"/>
      <c r="H555" s="244"/>
      <c r="K555" s="265"/>
      <c r="S555" s="244"/>
    </row>
    <row r="556" spans="1:19" ht="15.75" customHeight="1" x14ac:dyDescent="0.25">
      <c r="A556" s="244"/>
      <c r="C556" s="263"/>
      <c r="D556" s="264"/>
      <c r="E556" s="244"/>
      <c r="F556" s="244"/>
      <c r="G556" s="244"/>
      <c r="H556" s="244"/>
      <c r="K556" s="265"/>
      <c r="S556" s="244"/>
    </row>
    <row r="557" spans="1:19" ht="15.75" customHeight="1" x14ac:dyDescent="0.25">
      <c r="A557" s="244"/>
      <c r="C557" s="263"/>
      <c r="D557" s="264"/>
      <c r="E557" s="244"/>
      <c r="F557" s="244"/>
      <c r="G557" s="244"/>
      <c r="H557" s="244"/>
      <c r="K557" s="265"/>
      <c r="S557" s="244"/>
    </row>
    <row r="558" spans="1:19" ht="15.75" customHeight="1" x14ac:dyDescent="0.25">
      <c r="A558" s="244"/>
      <c r="C558" s="263"/>
      <c r="D558" s="264"/>
      <c r="E558" s="244"/>
      <c r="F558" s="244"/>
      <c r="G558" s="244"/>
      <c r="H558" s="244"/>
      <c r="K558" s="265"/>
      <c r="S558" s="244"/>
    </row>
    <row r="559" spans="1:19" ht="15.75" customHeight="1" x14ac:dyDescent="0.25">
      <c r="A559" s="244"/>
      <c r="C559" s="263"/>
      <c r="D559" s="264"/>
      <c r="E559" s="244"/>
      <c r="F559" s="244"/>
      <c r="G559" s="244"/>
      <c r="H559" s="244"/>
      <c r="K559" s="265"/>
      <c r="S559" s="244"/>
    </row>
    <row r="560" spans="1:19" ht="15.75" customHeight="1" x14ac:dyDescent="0.25">
      <c r="A560" s="244"/>
      <c r="C560" s="263"/>
      <c r="D560" s="264"/>
      <c r="E560" s="244"/>
      <c r="F560" s="244"/>
      <c r="G560" s="244"/>
      <c r="H560" s="244"/>
      <c r="K560" s="265"/>
      <c r="S560" s="244"/>
    </row>
    <row r="561" spans="1:19" ht="15.75" customHeight="1" x14ac:dyDescent="0.25">
      <c r="A561" s="244"/>
      <c r="C561" s="263"/>
      <c r="D561" s="264"/>
      <c r="E561" s="244"/>
      <c r="F561" s="244"/>
      <c r="G561" s="244"/>
      <c r="H561" s="244"/>
      <c r="K561" s="265"/>
      <c r="S561" s="244"/>
    </row>
    <row r="562" spans="1:19" ht="15.75" customHeight="1" x14ac:dyDescent="0.25">
      <c r="A562" s="244"/>
      <c r="C562" s="263"/>
      <c r="D562" s="264"/>
      <c r="E562" s="244"/>
      <c r="F562" s="244"/>
      <c r="G562" s="244"/>
      <c r="H562" s="244"/>
      <c r="K562" s="265"/>
      <c r="S562" s="244"/>
    </row>
    <row r="563" spans="1:19" ht="15.75" customHeight="1" x14ac:dyDescent="0.25">
      <c r="A563" s="244"/>
      <c r="C563" s="263"/>
      <c r="D563" s="264"/>
      <c r="E563" s="244"/>
      <c r="F563" s="244"/>
      <c r="G563" s="244"/>
      <c r="H563" s="244"/>
      <c r="K563" s="265"/>
      <c r="S563" s="244"/>
    </row>
    <row r="564" spans="1:19" ht="15.75" customHeight="1" x14ac:dyDescent="0.25">
      <c r="A564" s="244"/>
      <c r="C564" s="263"/>
      <c r="D564" s="264"/>
      <c r="E564" s="244"/>
      <c r="F564" s="244"/>
      <c r="G564" s="244"/>
      <c r="H564" s="244"/>
      <c r="K564" s="265"/>
      <c r="S564" s="244"/>
    </row>
    <row r="565" spans="1:19" ht="15.75" customHeight="1" x14ac:dyDescent="0.25">
      <c r="A565" s="244"/>
      <c r="C565" s="263"/>
      <c r="D565" s="264"/>
      <c r="E565" s="244"/>
      <c r="F565" s="244"/>
      <c r="G565" s="244"/>
      <c r="H565" s="244"/>
      <c r="K565" s="265"/>
      <c r="S565" s="244"/>
    </row>
    <row r="566" spans="1:19" ht="15.75" customHeight="1" x14ac:dyDescent="0.25">
      <c r="A566" s="244"/>
      <c r="C566" s="263"/>
      <c r="D566" s="264"/>
      <c r="E566" s="244"/>
      <c r="F566" s="244"/>
      <c r="G566" s="244"/>
      <c r="H566" s="244"/>
      <c r="K566" s="265"/>
      <c r="S566" s="244"/>
    </row>
    <row r="567" spans="1:19" ht="15.75" customHeight="1" x14ac:dyDescent="0.25">
      <c r="A567" s="244"/>
      <c r="C567" s="263"/>
      <c r="D567" s="264"/>
      <c r="E567" s="244"/>
      <c r="F567" s="244"/>
      <c r="G567" s="244"/>
      <c r="H567" s="244"/>
      <c r="K567" s="265"/>
      <c r="S567" s="244"/>
    </row>
    <row r="568" spans="1:19" ht="15.75" customHeight="1" x14ac:dyDescent="0.25">
      <c r="A568" s="244"/>
      <c r="C568" s="263"/>
      <c r="D568" s="264"/>
      <c r="E568" s="244"/>
      <c r="F568" s="244"/>
      <c r="G568" s="244"/>
      <c r="H568" s="244"/>
      <c r="K568" s="265"/>
      <c r="S568" s="244"/>
    </row>
    <row r="569" spans="1:19" ht="15.75" customHeight="1" x14ac:dyDescent="0.25">
      <c r="A569" s="244"/>
      <c r="C569" s="263"/>
      <c r="D569" s="264"/>
      <c r="E569" s="244"/>
      <c r="F569" s="244"/>
      <c r="G569" s="244"/>
      <c r="H569" s="244"/>
      <c r="K569" s="265"/>
      <c r="S569" s="244"/>
    </row>
    <row r="570" spans="1:19" ht="15.75" customHeight="1" x14ac:dyDescent="0.25">
      <c r="A570" s="244"/>
      <c r="C570" s="263"/>
      <c r="D570" s="264"/>
      <c r="E570" s="244"/>
      <c r="F570" s="244"/>
      <c r="G570" s="244"/>
      <c r="H570" s="244"/>
      <c r="K570" s="265"/>
      <c r="S570" s="244"/>
    </row>
    <row r="571" spans="1:19" ht="15.75" customHeight="1" x14ac:dyDescent="0.25">
      <c r="A571" s="244"/>
      <c r="C571" s="263"/>
      <c r="D571" s="264"/>
      <c r="E571" s="244"/>
      <c r="F571" s="244"/>
      <c r="G571" s="244"/>
      <c r="H571" s="244"/>
      <c r="K571" s="265"/>
      <c r="S571" s="244"/>
    </row>
    <row r="572" spans="1:19" ht="15.75" customHeight="1" x14ac:dyDescent="0.25">
      <c r="A572" s="244"/>
      <c r="C572" s="263"/>
      <c r="D572" s="264"/>
      <c r="E572" s="244"/>
      <c r="F572" s="244"/>
      <c r="G572" s="244"/>
      <c r="H572" s="244"/>
      <c r="K572" s="265"/>
      <c r="S572" s="244"/>
    </row>
    <row r="573" spans="1:19" ht="15.75" customHeight="1" x14ac:dyDescent="0.25">
      <c r="A573" s="244"/>
      <c r="C573" s="263"/>
      <c r="D573" s="264"/>
      <c r="E573" s="244"/>
      <c r="F573" s="244"/>
      <c r="G573" s="244"/>
      <c r="H573" s="244"/>
      <c r="K573" s="265"/>
      <c r="S573" s="244"/>
    </row>
    <row r="574" spans="1:19" ht="15.75" customHeight="1" x14ac:dyDescent="0.25">
      <c r="A574" s="244"/>
      <c r="C574" s="263"/>
      <c r="D574" s="264"/>
      <c r="E574" s="244"/>
      <c r="F574" s="244"/>
      <c r="G574" s="244"/>
      <c r="H574" s="244"/>
      <c r="K574" s="265"/>
      <c r="S574" s="244"/>
    </row>
    <row r="575" spans="1:19" ht="15.75" customHeight="1" x14ac:dyDescent="0.25">
      <c r="A575" s="244"/>
      <c r="C575" s="263"/>
      <c r="D575" s="264"/>
      <c r="E575" s="244"/>
      <c r="F575" s="244"/>
      <c r="G575" s="244"/>
      <c r="H575" s="244"/>
      <c r="K575" s="265"/>
      <c r="S575" s="244"/>
    </row>
    <row r="576" spans="1:19" ht="15.75" customHeight="1" x14ac:dyDescent="0.25">
      <c r="A576" s="244"/>
      <c r="C576" s="263"/>
      <c r="D576" s="264"/>
      <c r="E576" s="244"/>
      <c r="F576" s="244"/>
      <c r="G576" s="244"/>
      <c r="H576" s="244"/>
      <c r="K576" s="265"/>
      <c r="S576" s="244"/>
    </row>
    <row r="577" spans="1:19" ht="15.75" customHeight="1" x14ac:dyDescent="0.25">
      <c r="A577" s="244"/>
      <c r="C577" s="263"/>
      <c r="D577" s="264"/>
      <c r="E577" s="244"/>
      <c r="F577" s="244"/>
      <c r="G577" s="244"/>
      <c r="H577" s="244"/>
      <c r="K577" s="265"/>
      <c r="S577" s="244"/>
    </row>
    <row r="578" spans="1:19" ht="15.75" customHeight="1" x14ac:dyDescent="0.25">
      <c r="A578" s="244"/>
      <c r="C578" s="263"/>
      <c r="D578" s="264"/>
      <c r="E578" s="244"/>
      <c r="F578" s="244"/>
      <c r="G578" s="244"/>
      <c r="H578" s="244"/>
      <c r="K578" s="265"/>
      <c r="S578" s="244"/>
    </row>
    <row r="579" spans="1:19" ht="15.75" customHeight="1" x14ac:dyDescent="0.25">
      <c r="A579" s="244"/>
      <c r="C579" s="263"/>
      <c r="D579" s="264"/>
      <c r="E579" s="244"/>
      <c r="F579" s="244"/>
      <c r="G579" s="244"/>
      <c r="H579" s="244"/>
      <c r="K579" s="265"/>
      <c r="S579" s="244"/>
    </row>
    <row r="580" spans="1:19" ht="15.75" customHeight="1" x14ac:dyDescent="0.25">
      <c r="A580" s="244"/>
      <c r="C580" s="263"/>
      <c r="D580" s="264"/>
      <c r="E580" s="244"/>
      <c r="F580" s="244"/>
      <c r="G580" s="244"/>
      <c r="H580" s="244"/>
      <c r="K580" s="265"/>
      <c r="S580" s="244"/>
    </row>
    <row r="581" spans="1:19" ht="15.75" customHeight="1" x14ac:dyDescent="0.25">
      <c r="A581" s="244"/>
      <c r="C581" s="263"/>
      <c r="D581" s="264"/>
      <c r="E581" s="244"/>
      <c r="F581" s="244"/>
      <c r="G581" s="244"/>
      <c r="H581" s="244"/>
      <c r="K581" s="265"/>
      <c r="S581" s="244"/>
    </row>
    <row r="582" spans="1:19" ht="15.75" customHeight="1" x14ac:dyDescent="0.25">
      <c r="A582" s="244"/>
      <c r="C582" s="263"/>
      <c r="D582" s="264"/>
      <c r="E582" s="244"/>
      <c r="F582" s="244"/>
      <c r="G582" s="244"/>
      <c r="H582" s="244"/>
      <c r="K582" s="265"/>
      <c r="S582" s="244"/>
    </row>
    <row r="583" spans="1:19" ht="15.75" customHeight="1" x14ac:dyDescent="0.25">
      <c r="A583" s="244"/>
      <c r="C583" s="263"/>
      <c r="D583" s="264"/>
      <c r="E583" s="244"/>
      <c r="F583" s="244"/>
      <c r="G583" s="244"/>
      <c r="H583" s="244"/>
      <c r="K583" s="265"/>
      <c r="S583" s="244"/>
    </row>
    <row r="584" spans="1:19" ht="15.75" customHeight="1" x14ac:dyDescent="0.25">
      <c r="A584" s="244"/>
      <c r="C584" s="263"/>
      <c r="D584" s="264"/>
      <c r="E584" s="244"/>
      <c r="F584" s="244"/>
      <c r="G584" s="244"/>
      <c r="H584" s="244"/>
      <c r="K584" s="265"/>
      <c r="S584" s="244"/>
    </row>
    <row r="585" spans="1:19" ht="15.75" customHeight="1" x14ac:dyDescent="0.25">
      <c r="A585" s="244"/>
      <c r="C585" s="263"/>
      <c r="D585" s="264"/>
      <c r="E585" s="244"/>
      <c r="F585" s="244"/>
      <c r="G585" s="244"/>
      <c r="H585" s="244"/>
      <c r="K585" s="265"/>
      <c r="S585" s="244"/>
    </row>
    <row r="586" spans="1:19" ht="15.75" customHeight="1" x14ac:dyDescent="0.25">
      <c r="A586" s="244"/>
      <c r="C586" s="263"/>
      <c r="D586" s="264"/>
      <c r="E586" s="244"/>
      <c r="F586" s="244"/>
      <c r="G586" s="244"/>
      <c r="H586" s="244"/>
      <c r="K586" s="265"/>
      <c r="S586" s="244"/>
    </row>
    <row r="587" spans="1:19" ht="15.75" customHeight="1" x14ac:dyDescent="0.25">
      <c r="A587" s="244"/>
      <c r="C587" s="263"/>
      <c r="D587" s="264"/>
      <c r="E587" s="244"/>
      <c r="F587" s="244"/>
      <c r="G587" s="244"/>
      <c r="H587" s="244"/>
      <c r="K587" s="265"/>
      <c r="S587" s="244"/>
    </row>
    <row r="588" spans="1:19" ht="15.75" customHeight="1" x14ac:dyDescent="0.25">
      <c r="A588" s="244"/>
      <c r="C588" s="263"/>
      <c r="D588" s="264"/>
      <c r="E588" s="244"/>
      <c r="F588" s="244"/>
      <c r="G588" s="244"/>
      <c r="H588" s="244"/>
      <c r="K588" s="265"/>
      <c r="S588" s="244"/>
    </row>
    <row r="589" spans="1:19" ht="15.75" customHeight="1" x14ac:dyDescent="0.25">
      <c r="A589" s="244"/>
      <c r="C589" s="263"/>
      <c r="D589" s="264"/>
      <c r="E589" s="244"/>
      <c r="F589" s="244"/>
      <c r="G589" s="244"/>
      <c r="H589" s="244"/>
      <c r="K589" s="265"/>
      <c r="S589" s="244"/>
    </row>
    <row r="590" spans="1:19" ht="15.75" customHeight="1" x14ac:dyDescent="0.25">
      <c r="A590" s="244"/>
      <c r="C590" s="263"/>
      <c r="D590" s="264"/>
      <c r="E590" s="244"/>
      <c r="F590" s="244"/>
      <c r="G590" s="244"/>
      <c r="H590" s="244"/>
      <c r="K590" s="265"/>
      <c r="S590" s="244"/>
    </row>
    <row r="591" spans="1:19" ht="15.75" customHeight="1" x14ac:dyDescent="0.25">
      <c r="A591" s="244"/>
      <c r="C591" s="263"/>
      <c r="D591" s="264"/>
      <c r="E591" s="244"/>
      <c r="F591" s="244"/>
      <c r="G591" s="244"/>
      <c r="H591" s="244"/>
      <c r="K591" s="265"/>
      <c r="S591" s="244"/>
    </row>
    <row r="592" spans="1:19" ht="15.75" customHeight="1" x14ac:dyDescent="0.25">
      <c r="A592" s="244"/>
      <c r="C592" s="263"/>
      <c r="D592" s="264"/>
      <c r="E592" s="244"/>
      <c r="F592" s="244"/>
      <c r="G592" s="244"/>
      <c r="H592" s="244"/>
      <c r="K592" s="265"/>
      <c r="S592" s="244"/>
    </row>
    <row r="593" spans="1:19" ht="15.75" customHeight="1" x14ac:dyDescent="0.25">
      <c r="A593" s="244"/>
      <c r="C593" s="263"/>
      <c r="D593" s="264"/>
      <c r="E593" s="244"/>
      <c r="F593" s="244"/>
      <c r="G593" s="244"/>
      <c r="H593" s="244"/>
      <c r="K593" s="265"/>
      <c r="S593" s="244"/>
    </row>
    <row r="594" spans="1:19" ht="15.75" customHeight="1" x14ac:dyDescent="0.25">
      <c r="A594" s="244"/>
      <c r="C594" s="263"/>
      <c r="D594" s="264"/>
      <c r="E594" s="244"/>
      <c r="F594" s="244"/>
      <c r="G594" s="244"/>
      <c r="H594" s="244"/>
      <c r="K594" s="265"/>
      <c r="S594" s="244"/>
    </row>
    <row r="595" spans="1:19" ht="15.75" customHeight="1" x14ac:dyDescent="0.25">
      <c r="A595" s="244"/>
      <c r="C595" s="263"/>
      <c r="D595" s="264"/>
      <c r="E595" s="244"/>
      <c r="F595" s="244"/>
      <c r="G595" s="244"/>
      <c r="H595" s="244"/>
      <c r="K595" s="265"/>
      <c r="S595" s="244"/>
    </row>
    <row r="596" spans="1:19" ht="15.75" customHeight="1" x14ac:dyDescent="0.25">
      <c r="A596" s="244"/>
      <c r="C596" s="263"/>
      <c r="D596" s="264"/>
      <c r="E596" s="244"/>
      <c r="F596" s="244"/>
      <c r="G596" s="244"/>
      <c r="H596" s="244"/>
      <c r="K596" s="265"/>
      <c r="S596" s="244"/>
    </row>
    <row r="597" spans="1:19" ht="15.75" customHeight="1" x14ac:dyDescent="0.25">
      <c r="A597" s="244"/>
      <c r="C597" s="263"/>
      <c r="D597" s="264"/>
      <c r="E597" s="244"/>
      <c r="F597" s="244"/>
      <c r="G597" s="244"/>
      <c r="H597" s="244"/>
      <c r="K597" s="265"/>
      <c r="S597" s="244"/>
    </row>
    <row r="598" spans="1:19" ht="15.75" customHeight="1" x14ac:dyDescent="0.25">
      <c r="A598" s="244"/>
      <c r="C598" s="263"/>
      <c r="D598" s="264"/>
      <c r="E598" s="244"/>
      <c r="F598" s="244"/>
      <c r="G598" s="244"/>
      <c r="H598" s="244"/>
      <c r="K598" s="265"/>
      <c r="S598" s="244"/>
    </row>
    <row r="599" spans="1:19" ht="15.75" customHeight="1" x14ac:dyDescent="0.25">
      <c r="A599" s="244"/>
      <c r="C599" s="263"/>
      <c r="D599" s="264"/>
      <c r="E599" s="244"/>
      <c r="F599" s="244"/>
      <c r="G599" s="244"/>
      <c r="H599" s="244"/>
      <c r="K599" s="265"/>
      <c r="S599" s="244"/>
    </row>
    <row r="600" spans="1:19" ht="15.75" customHeight="1" x14ac:dyDescent="0.25">
      <c r="A600" s="244"/>
      <c r="C600" s="263"/>
      <c r="D600" s="264"/>
      <c r="E600" s="244"/>
      <c r="F600" s="244"/>
      <c r="G600" s="244"/>
      <c r="H600" s="244"/>
      <c r="K600" s="265"/>
      <c r="S600" s="244"/>
    </row>
    <row r="601" spans="1:19" ht="15.75" customHeight="1" x14ac:dyDescent="0.25">
      <c r="A601" s="244"/>
      <c r="C601" s="263"/>
      <c r="D601" s="264"/>
      <c r="E601" s="244"/>
      <c r="F601" s="244"/>
      <c r="G601" s="244"/>
      <c r="H601" s="244"/>
      <c r="K601" s="265"/>
      <c r="S601" s="244"/>
    </row>
    <row r="602" spans="1:19" ht="15.75" customHeight="1" x14ac:dyDescent="0.25">
      <c r="A602" s="244"/>
      <c r="C602" s="263"/>
      <c r="D602" s="264"/>
      <c r="E602" s="244"/>
      <c r="F602" s="244"/>
      <c r="G602" s="244"/>
      <c r="H602" s="244"/>
      <c r="K602" s="265"/>
      <c r="S602" s="244"/>
    </row>
    <row r="603" spans="1:19" ht="15.75" customHeight="1" x14ac:dyDescent="0.25">
      <c r="A603" s="244"/>
      <c r="C603" s="263"/>
      <c r="D603" s="264"/>
      <c r="E603" s="244"/>
      <c r="F603" s="244"/>
      <c r="G603" s="244"/>
      <c r="H603" s="244"/>
      <c r="K603" s="265"/>
      <c r="S603" s="244"/>
    </row>
    <row r="604" spans="1:19" ht="15.75" customHeight="1" x14ac:dyDescent="0.25">
      <c r="A604" s="244"/>
      <c r="C604" s="263"/>
      <c r="D604" s="264"/>
      <c r="E604" s="244"/>
      <c r="F604" s="244"/>
      <c r="G604" s="244"/>
      <c r="H604" s="244"/>
      <c r="K604" s="265"/>
      <c r="S604" s="244"/>
    </row>
    <row r="605" spans="1:19" ht="15.75" customHeight="1" x14ac:dyDescent="0.25">
      <c r="A605" s="244"/>
      <c r="C605" s="263"/>
      <c r="D605" s="264"/>
      <c r="E605" s="244"/>
      <c r="F605" s="244"/>
      <c r="G605" s="244"/>
      <c r="H605" s="244"/>
      <c r="K605" s="265"/>
      <c r="S605" s="244"/>
    </row>
    <row r="606" spans="1:19" ht="15.75" customHeight="1" x14ac:dyDescent="0.25">
      <c r="A606" s="244"/>
      <c r="C606" s="263"/>
      <c r="D606" s="264"/>
      <c r="E606" s="244"/>
      <c r="F606" s="244"/>
      <c r="G606" s="244"/>
      <c r="H606" s="244"/>
      <c r="K606" s="265"/>
      <c r="S606" s="244"/>
    </row>
    <row r="607" spans="1:19" ht="15.75" customHeight="1" x14ac:dyDescent="0.25">
      <c r="A607" s="244"/>
      <c r="C607" s="263"/>
      <c r="D607" s="264"/>
      <c r="E607" s="244"/>
      <c r="F607" s="244"/>
      <c r="G607" s="244"/>
      <c r="H607" s="244"/>
      <c r="K607" s="265"/>
      <c r="S607" s="244"/>
    </row>
    <row r="608" spans="1:19" ht="15.75" customHeight="1" x14ac:dyDescent="0.25">
      <c r="A608" s="244"/>
      <c r="C608" s="263"/>
      <c r="D608" s="264"/>
      <c r="E608" s="244"/>
      <c r="F608" s="244"/>
      <c r="G608" s="244"/>
      <c r="H608" s="244"/>
      <c r="K608" s="265"/>
      <c r="S608" s="244"/>
    </row>
    <row r="609" spans="1:19" ht="15.75" customHeight="1" x14ac:dyDescent="0.25">
      <c r="A609" s="244"/>
      <c r="C609" s="263"/>
      <c r="D609" s="264"/>
      <c r="E609" s="244"/>
      <c r="F609" s="244"/>
      <c r="G609" s="244"/>
      <c r="H609" s="244"/>
      <c r="K609" s="265"/>
      <c r="S609" s="244"/>
    </row>
    <row r="610" spans="1:19" ht="15.75" customHeight="1" x14ac:dyDescent="0.25">
      <c r="A610" s="244"/>
      <c r="C610" s="263"/>
      <c r="D610" s="264"/>
      <c r="E610" s="244"/>
      <c r="F610" s="244"/>
      <c r="G610" s="244"/>
      <c r="H610" s="244"/>
      <c r="K610" s="265"/>
      <c r="S610" s="244"/>
    </row>
    <row r="611" spans="1:19" ht="15.75" customHeight="1" x14ac:dyDescent="0.25">
      <c r="A611" s="244"/>
      <c r="C611" s="263"/>
      <c r="D611" s="264"/>
      <c r="E611" s="244"/>
      <c r="F611" s="244"/>
      <c r="G611" s="244"/>
      <c r="H611" s="244"/>
      <c r="K611" s="265"/>
      <c r="S611" s="244"/>
    </row>
    <row r="612" spans="1:19" ht="15.75" customHeight="1" x14ac:dyDescent="0.25">
      <c r="A612" s="244"/>
      <c r="C612" s="263"/>
      <c r="D612" s="264"/>
      <c r="E612" s="244"/>
      <c r="F612" s="244"/>
      <c r="G612" s="244"/>
      <c r="H612" s="244"/>
      <c r="K612" s="265"/>
      <c r="S612" s="244"/>
    </row>
    <row r="613" spans="1:19" ht="15.75" customHeight="1" x14ac:dyDescent="0.25">
      <c r="A613" s="244"/>
      <c r="C613" s="263"/>
      <c r="D613" s="264"/>
      <c r="E613" s="244"/>
      <c r="F613" s="244"/>
      <c r="G613" s="244"/>
      <c r="H613" s="244"/>
      <c r="K613" s="265"/>
      <c r="S613" s="244"/>
    </row>
    <row r="614" spans="1:19" ht="15.75" customHeight="1" x14ac:dyDescent="0.25">
      <c r="A614" s="244"/>
      <c r="C614" s="263"/>
      <c r="D614" s="264"/>
      <c r="E614" s="244"/>
      <c r="F614" s="244"/>
      <c r="G614" s="244"/>
      <c r="H614" s="244"/>
      <c r="K614" s="265"/>
      <c r="S614" s="244"/>
    </row>
    <row r="615" spans="1:19" ht="15.75" customHeight="1" x14ac:dyDescent="0.25">
      <c r="A615" s="244"/>
      <c r="C615" s="263"/>
      <c r="D615" s="264"/>
      <c r="E615" s="244"/>
      <c r="F615" s="244"/>
      <c r="G615" s="244"/>
      <c r="H615" s="244"/>
      <c r="K615" s="265"/>
      <c r="S615" s="244"/>
    </row>
    <row r="616" spans="1:19" ht="15.75" customHeight="1" x14ac:dyDescent="0.25">
      <c r="A616" s="244"/>
      <c r="C616" s="263"/>
      <c r="D616" s="264"/>
      <c r="E616" s="244"/>
      <c r="F616" s="244"/>
      <c r="G616" s="244"/>
      <c r="H616" s="244"/>
      <c r="K616" s="265"/>
      <c r="S616" s="244"/>
    </row>
    <row r="617" spans="1:19" ht="15.75" customHeight="1" x14ac:dyDescent="0.25">
      <c r="A617" s="244"/>
      <c r="C617" s="263"/>
      <c r="D617" s="264"/>
      <c r="E617" s="244"/>
      <c r="F617" s="244"/>
      <c r="G617" s="244"/>
      <c r="H617" s="244"/>
      <c r="K617" s="265"/>
      <c r="S617" s="244"/>
    </row>
    <row r="618" spans="1:19" ht="15.75" customHeight="1" x14ac:dyDescent="0.25">
      <c r="A618" s="244"/>
      <c r="C618" s="263"/>
      <c r="D618" s="264"/>
      <c r="E618" s="244"/>
      <c r="F618" s="244"/>
      <c r="G618" s="244"/>
      <c r="H618" s="244"/>
      <c r="K618" s="265"/>
      <c r="S618" s="244"/>
    </row>
    <row r="619" spans="1:19" ht="15.75" customHeight="1" x14ac:dyDescent="0.25">
      <c r="A619" s="244"/>
      <c r="C619" s="263"/>
      <c r="D619" s="264"/>
      <c r="E619" s="244"/>
      <c r="F619" s="244"/>
      <c r="G619" s="244"/>
      <c r="H619" s="244"/>
      <c r="K619" s="265"/>
      <c r="S619" s="244"/>
    </row>
    <row r="620" spans="1:19" ht="15.75" customHeight="1" x14ac:dyDescent="0.25">
      <c r="A620" s="244"/>
      <c r="C620" s="263"/>
      <c r="D620" s="264"/>
      <c r="E620" s="244"/>
      <c r="F620" s="244"/>
      <c r="G620" s="244"/>
      <c r="H620" s="244"/>
      <c r="K620" s="265"/>
      <c r="S620" s="244"/>
    </row>
    <row r="621" spans="1:19" ht="15.75" customHeight="1" x14ac:dyDescent="0.25">
      <c r="A621" s="244"/>
      <c r="C621" s="263"/>
      <c r="D621" s="264"/>
      <c r="E621" s="244"/>
      <c r="F621" s="244"/>
      <c r="G621" s="244"/>
      <c r="H621" s="244"/>
      <c r="K621" s="265"/>
      <c r="S621" s="244"/>
    </row>
    <row r="622" spans="1:19" ht="15.75" customHeight="1" x14ac:dyDescent="0.25">
      <c r="A622" s="244"/>
      <c r="C622" s="263"/>
      <c r="D622" s="264"/>
      <c r="E622" s="244"/>
      <c r="F622" s="244"/>
      <c r="G622" s="244"/>
      <c r="H622" s="244"/>
      <c r="K622" s="265"/>
      <c r="S622" s="244"/>
    </row>
    <row r="623" spans="1:19" ht="15.75" customHeight="1" x14ac:dyDescent="0.25">
      <c r="A623" s="244"/>
      <c r="C623" s="263"/>
      <c r="D623" s="264"/>
      <c r="E623" s="244"/>
      <c r="F623" s="244"/>
      <c r="G623" s="244"/>
      <c r="H623" s="244"/>
      <c r="K623" s="265"/>
      <c r="S623" s="244"/>
    </row>
    <row r="624" spans="1:19" ht="15.75" customHeight="1" x14ac:dyDescent="0.25">
      <c r="A624" s="244"/>
      <c r="C624" s="263"/>
      <c r="D624" s="264"/>
      <c r="E624" s="244"/>
      <c r="F624" s="244"/>
      <c r="G624" s="244"/>
      <c r="H624" s="244"/>
      <c r="K624" s="265"/>
      <c r="S624" s="244"/>
    </row>
    <row r="625" spans="1:19" ht="15.75" customHeight="1" x14ac:dyDescent="0.25">
      <c r="A625" s="244"/>
      <c r="C625" s="263"/>
      <c r="D625" s="264"/>
      <c r="E625" s="244"/>
      <c r="F625" s="244"/>
      <c r="G625" s="244"/>
      <c r="H625" s="244"/>
      <c r="K625" s="265"/>
      <c r="S625" s="244"/>
    </row>
    <row r="626" spans="1:19" ht="15.75" customHeight="1" x14ac:dyDescent="0.25">
      <c r="A626" s="244"/>
      <c r="C626" s="263"/>
      <c r="D626" s="264"/>
      <c r="E626" s="244"/>
      <c r="F626" s="244"/>
      <c r="G626" s="244"/>
      <c r="H626" s="244"/>
      <c r="K626" s="265"/>
      <c r="S626" s="244"/>
    </row>
    <row r="627" spans="1:19" ht="15.75" customHeight="1" x14ac:dyDescent="0.25">
      <c r="A627" s="244"/>
      <c r="C627" s="263"/>
      <c r="D627" s="264"/>
      <c r="E627" s="244"/>
      <c r="F627" s="244"/>
      <c r="G627" s="244"/>
      <c r="H627" s="244"/>
      <c r="K627" s="265"/>
      <c r="S627" s="244"/>
    </row>
    <row r="628" spans="1:19" ht="15.75" customHeight="1" x14ac:dyDescent="0.25">
      <c r="A628" s="244"/>
      <c r="C628" s="263"/>
      <c r="D628" s="264"/>
      <c r="E628" s="244"/>
      <c r="F628" s="244"/>
      <c r="G628" s="244"/>
      <c r="H628" s="244"/>
      <c r="K628" s="265"/>
      <c r="S628" s="244"/>
    </row>
    <row r="629" spans="1:19" ht="15.75" customHeight="1" x14ac:dyDescent="0.25">
      <c r="A629" s="244"/>
      <c r="C629" s="263"/>
      <c r="D629" s="264"/>
      <c r="E629" s="244"/>
      <c r="F629" s="244"/>
      <c r="G629" s="244"/>
      <c r="H629" s="244"/>
      <c r="K629" s="265"/>
      <c r="S629" s="244"/>
    </row>
    <row r="630" spans="1:19" ht="15.75" customHeight="1" x14ac:dyDescent="0.25">
      <c r="A630" s="244"/>
      <c r="C630" s="263"/>
      <c r="D630" s="264"/>
      <c r="E630" s="244"/>
      <c r="F630" s="244"/>
      <c r="G630" s="244"/>
      <c r="H630" s="244"/>
      <c r="K630" s="265"/>
      <c r="S630" s="244"/>
    </row>
    <row r="631" spans="1:19" ht="15.75" customHeight="1" x14ac:dyDescent="0.25">
      <c r="A631" s="244"/>
      <c r="C631" s="263"/>
      <c r="D631" s="264"/>
      <c r="E631" s="244"/>
      <c r="F631" s="244"/>
      <c r="G631" s="244"/>
      <c r="H631" s="244"/>
      <c r="K631" s="265"/>
      <c r="S631" s="244"/>
    </row>
    <row r="632" spans="1:19" ht="15.75" customHeight="1" x14ac:dyDescent="0.25">
      <c r="A632" s="244"/>
      <c r="C632" s="263"/>
      <c r="D632" s="264"/>
      <c r="E632" s="244"/>
      <c r="F632" s="244"/>
      <c r="G632" s="244"/>
      <c r="H632" s="244"/>
      <c r="K632" s="265"/>
      <c r="S632" s="244"/>
    </row>
    <row r="633" spans="1:19" ht="15.75" customHeight="1" x14ac:dyDescent="0.25">
      <c r="A633" s="244"/>
      <c r="C633" s="263"/>
      <c r="D633" s="264"/>
      <c r="E633" s="244"/>
      <c r="F633" s="244"/>
      <c r="G633" s="244"/>
      <c r="H633" s="244"/>
      <c r="K633" s="265"/>
      <c r="S633" s="244"/>
    </row>
    <row r="634" spans="1:19" ht="15.75" customHeight="1" x14ac:dyDescent="0.25">
      <c r="A634" s="244"/>
      <c r="C634" s="263"/>
      <c r="D634" s="264"/>
      <c r="E634" s="244"/>
      <c r="F634" s="244"/>
      <c r="G634" s="244"/>
      <c r="H634" s="244"/>
      <c r="K634" s="265"/>
      <c r="S634" s="244"/>
    </row>
    <row r="635" spans="1:19" ht="15.75" customHeight="1" x14ac:dyDescent="0.25">
      <c r="A635" s="244"/>
      <c r="C635" s="263"/>
      <c r="D635" s="264"/>
      <c r="E635" s="244"/>
      <c r="F635" s="244"/>
      <c r="G635" s="244"/>
      <c r="H635" s="244"/>
      <c r="K635" s="265"/>
      <c r="S635" s="244"/>
    </row>
    <row r="636" spans="1:19" ht="15.75" customHeight="1" x14ac:dyDescent="0.25">
      <c r="A636" s="244"/>
      <c r="C636" s="263"/>
      <c r="D636" s="264"/>
      <c r="E636" s="244"/>
      <c r="F636" s="244"/>
      <c r="G636" s="244"/>
      <c r="H636" s="244"/>
      <c r="K636" s="265"/>
      <c r="S636" s="244"/>
    </row>
    <row r="637" spans="1:19" ht="15.75" customHeight="1" x14ac:dyDescent="0.25">
      <c r="A637" s="244"/>
      <c r="C637" s="263"/>
      <c r="D637" s="264"/>
      <c r="E637" s="244"/>
      <c r="F637" s="244"/>
      <c r="G637" s="244"/>
      <c r="H637" s="244"/>
      <c r="K637" s="265"/>
      <c r="S637" s="244"/>
    </row>
    <row r="638" spans="1:19" ht="15.75" customHeight="1" x14ac:dyDescent="0.25">
      <c r="A638" s="244"/>
      <c r="C638" s="263"/>
      <c r="D638" s="264"/>
      <c r="E638" s="244"/>
      <c r="F638" s="244"/>
      <c r="G638" s="244"/>
      <c r="H638" s="244"/>
      <c r="K638" s="265"/>
      <c r="S638" s="244"/>
    </row>
    <row r="639" spans="1:19" ht="15.75" customHeight="1" x14ac:dyDescent="0.25">
      <c r="A639" s="244"/>
      <c r="C639" s="263"/>
      <c r="D639" s="264"/>
      <c r="E639" s="244"/>
      <c r="F639" s="244"/>
      <c r="G639" s="244"/>
      <c r="H639" s="244"/>
      <c r="K639" s="265"/>
      <c r="S639" s="244"/>
    </row>
    <row r="640" spans="1:19" ht="15.75" customHeight="1" x14ac:dyDescent="0.25">
      <c r="A640" s="244"/>
      <c r="C640" s="263"/>
      <c r="D640" s="264"/>
      <c r="E640" s="244"/>
      <c r="F640" s="244"/>
      <c r="G640" s="244"/>
      <c r="H640" s="244"/>
      <c r="K640" s="265"/>
      <c r="S640" s="244"/>
    </row>
    <row r="641" spans="1:19" ht="15.75" customHeight="1" x14ac:dyDescent="0.25">
      <c r="A641" s="244"/>
      <c r="C641" s="263"/>
      <c r="D641" s="264"/>
      <c r="E641" s="244"/>
      <c r="F641" s="244"/>
      <c r="G641" s="244"/>
      <c r="H641" s="244"/>
      <c r="K641" s="265"/>
      <c r="S641" s="244"/>
    </row>
    <row r="642" spans="1:19" ht="15.75" customHeight="1" x14ac:dyDescent="0.25">
      <c r="A642" s="244"/>
      <c r="C642" s="263"/>
      <c r="D642" s="264"/>
      <c r="E642" s="244"/>
      <c r="F642" s="244"/>
      <c r="G642" s="244"/>
      <c r="H642" s="244"/>
      <c r="K642" s="265"/>
      <c r="S642" s="244"/>
    </row>
    <row r="643" spans="1:19" ht="15.75" customHeight="1" x14ac:dyDescent="0.25">
      <c r="A643" s="244"/>
      <c r="C643" s="263"/>
      <c r="D643" s="264"/>
      <c r="E643" s="244"/>
      <c r="F643" s="244"/>
      <c r="G643" s="244"/>
      <c r="H643" s="244"/>
      <c r="K643" s="265"/>
      <c r="S643" s="244"/>
    </row>
    <row r="644" spans="1:19" ht="15.75" customHeight="1" x14ac:dyDescent="0.25">
      <c r="A644" s="244"/>
      <c r="C644" s="263"/>
      <c r="D644" s="264"/>
      <c r="E644" s="244"/>
      <c r="F644" s="244"/>
      <c r="G644" s="244"/>
      <c r="H644" s="244"/>
      <c r="K644" s="265"/>
      <c r="S644" s="244"/>
    </row>
    <row r="645" spans="1:19" ht="15.75" customHeight="1" x14ac:dyDescent="0.25">
      <c r="A645" s="244"/>
      <c r="C645" s="263"/>
      <c r="D645" s="264"/>
      <c r="E645" s="244"/>
      <c r="F645" s="244"/>
      <c r="G645" s="244"/>
      <c r="H645" s="244"/>
      <c r="K645" s="265"/>
      <c r="S645" s="244"/>
    </row>
    <row r="646" spans="1:19" ht="15.75" customHeight="1" x14ac:dyDescent="0.25">
      <c r="A646" s="244"/>
      <c r="C646" s="263"/>
      <c r="D646" s="264"/>
      <c r="E646" s="244"/>
      <c r="F646" s="244"/>
      <c r="G646" s="244"/>
      <c r="H646" s="244"/>
      <c r="K646" s="265"/>
      <c r="S646" s="244"/>
    </row>
    <row r="647" spans="1:19" ht="15.75" customHeight="1" x14ac:dyDescent="0.25">
      <c r="A647" s="244"/>
      <c r="C647" s="263"/>
      <c r="D647" s="264"/>
      <c r="E647" s="244"/>
      <c r="F647" s="244"/>
      <c r="G647" s="244"/>
      <c r="H647" s="244"/>
      <c r="K647" s="265"/>
      <c r="S647" s="244"/>
    </row>
    <row r="648" spans="1:19" ht="15.75" customHeight="1" x14ac:dyDescent="0.25">
      <c r="A648" s="244"/>
      <c r="C648" s="263"/>
      <c r="D648" s="264"/>
      <c r="E648" s="244"/>
      <c r="F648" s="244"/>
      <c r="G648" s="244"/>
      <c r="H648" s="244"/>
      <c r="K648" s="265"/>
      <c r="S648" s="244"/>
    </row>
    <row r="649" spans="1:19" ht="15.75" customHeight="1" x14ac:dyDescent="0.25">
      <c r="A649" s="244"/>
      <c r="C649" s="263"/>
      <c r="D649" s="264"/>
      <c r="E649" s="244"/>
      <c r="F649" s="244"/>
      <c r="G649" s="244"/>
      <c r="H649" s="244"/>
      <c r="K649" s="265"/>
      <c r="S649" s="244"/>
    </row>
    <row r="650" spans="1:19" ht="15.75" customHeight="1" x14ac:dyDescent="0.25">
      <c r="A650" s="244"/>
      <c r="C650" s="263"/>
      <c r="D650" s="264"/>
      <c r="E650" s="244"/>
      <c r="F650" s="244"/>
      <c r="G650" s="244"/>
      <c r="H650" s="244"/>
      <c r="K650" s="265"/>
      <c r="S650" s="244"/>
    </row>
    <row r="651" spans="1:19" ht="15.75" customHeight="1" x14ac:dyDescent="0.25">
      <c r="A651" s="244"/>
      <c r="C651" s="263"/>
      <c r="D651" s="264"/>
      <c r="E651" s="244"/>
      <c r="F651" s="244"/>
      <c r="G651" s="244"/>
      <c r="H651" s="244"/>
      <c r="K651" s="265"/>
      <c r="S651" s="244"/>
    </row>
    <row r="652" spans="1:19" ht="15.75" customHeight="1" x14ac:dyDescent="0.25">
      <c r="A652" s="244"/>
      <c r="C652" s="263"/>
      <c r="D652" s="264"/>
      <c r="E652" s="244"/>
      <c r="F652" s="244"/>
      <c r="G652" s="244"/>
      <c r="H652" s="244"/>
      <c r="K652" s="265"/>
      <c r="S652" s="244"/>
    </row>
    <row r="653" spans="1:19" ht="15.75" customHeight="1" x14ac:dyDescent="0.25">
      <c r="A653" s="244"/>
      <c r="C653" s="263"/>
      <c r="D653" s="264"/>
      <c r="E653" s="244"/>
      <c r="F653" s="244"/>
      <c r="G653" s="244"/>
      <c r="H653" s="244"/>
      <c r="K653" s="265"/>
      <c r="S653" s="244"/>
    </row>
    <row r="654" spans="1:19" ht="15.75" customHeight="1" x14ac:dyDescent="0.25">
      <c r="A654" s="244"/>
      <c r="C654" s="263"/>
      <c r="D654" s="264"/>
      <c r="E654" s="244"/>
      <c r="F654" s="244"/>
      <c r="G654" s="244"/>
      <c r="H654" s="244"/>
      <c r="K654" s="265"/>
      <c r="S654" s="244"/>
    </row>
    <row r="655" spans="1:19" ht="15.75" customHeight="1" x14ac:dyDescent="0.25">
      <c r="A655" s="244"/>
      <c r="C655" s="263"/>
      <c r="D655" s="264"/>
      <c r="E655" s="244"/>
      <c r="F655" s="244"/>
      <c r="G655" s="244"/>
      <c r="H655" s="244"/>
      <c r="K655" s="265"/>
      <c r="S655" s="244"/>
    </row>
    <row r="656" spans="1:19" ht="15.75" customHeight="1" x14ac:dyDescent="0.25">
      <c r="A656" s="244"/>
      <c r="C656" s="263"/>
      <c r="D656" s="264"/>
      <c r="E656" s="244"/>
      <c r="F656" s="244"/>
      <c r="G656" s="244"/>
      <c r="H656" s="244"/>
      <c r="K656" s="265"/>
      <c r="S656" s="244"/>
    </row>
    <row r="657" spans="1:19" ht="15.75" customHeight="1" x14ac:dyDescent="0.25">
      <c r="A657" s="244"/>
      <c r="C657" s="263"/>
      <c r="D657" s="264"/>
      <c r="E657" s="244"/>
      <c r="F657" s="244"/>
      <c r="G657" s="244"/>
      <c r="H657" s="244"/>
      <c r="K657" s="265"/>
      <c r="S657" s="244"/>
    </row>
    <row r="658" spans="1:19" ht="15.75" customHeight="1" x14ac:dyDescent="0.25">
      <c r="A658" s="244"/>
      <c r="C658" s="263"/>
      <c r="D658" s="264"/>
      <c r="E658" s="244"/>
      <c r="F658" s="244"/>
      <c r="G658" s="244"/>
      <c r="H658" s="244"/>
      <c r="K658" s="265"/>
      <c r="S658" s="244"/>
    </row>
    <row r="659" spans="1:19" ht="15.75" customHeight="1" x14ac:dyDescent="0.25">
      <c r="A659" s="244"/>
      <c r="C659" s="263"/>
      <c r="D659" s="264"/>
      <c r="E659" s="244"/>
      <c r="F659" s="244"/>
      <c r="G659" s="244"/>
      <c r="H659" s="244"/>
      <c r="K659" s="265"/>
      <c r="S659" s="244"/>
    </row>
    <row r="660" spans="1:19" ht="15.75" customHeight="1" x14ac:dyDescent="0.25">
      <c r="A660" s="244"/>
      <c r="C660" s="263"/>
      <c r="D660" s="264"/>
      <c r="E660" s="244"/>
      <c r="F660" s="244"/>
      <c r="G660" s="244"/>
      <c r="H660" s="244"/>
      <c r="K660" s="265"/>
      <c r="S660" s="244"/>
    </row>
    <row r="661" spans="1:19" ht="15.75" customHeight="1" x14ac:dyDescent="0.25">
      <c r="A661" s="244"/>
      <c r="C661" s="263"/>
      <c r="D661" s="264"/>
      <c r="E661" s="244"/>
      <c r="F661" s="244"/>
      <c r="G661" s="244"/>
      <c r="H661" s="244"/>
      <c r="K661" s="265"/>
      <c r="S661" s="244"/>
    </row>
    <row r="662" spans="1:19" ht="15.75" customHeight="1" x14ac:dyDescent="0.25">
      <c r="A662" s="244"/>
      <c r="C662" s="263"/>
      <c r="D662" s="264"/>
      <c r="E662" s="244"/>
      <c r="F662" s="244"/>
      <c r="G662" s="244"/>
      <c r="H662" s="244"/>
      <c r="K662" s="265"/>
      <c r="S662" s="244"/>
    </row>
    <row r="663" spans="1:19" ht="15.75" customHeight="1" x14ac:dyDescent="0.25">
      <c r="A663" s="244"/>
      <c r="C663" s="263"/>
      <c r="D663" s="264"/>
      <c r="E663" s="244"/>
      <c r="F663" s="244"/>
      <c r="G663" s="244"/>
      <c r="H663" s="244"/>
      <c r="K663" s="265"/>
      <c r="S663" s="244"/>
    </row>
    <row r="664" spans="1:19" ht="15.75" customHeight="1" x14ac:dyDescent="0.25">
      <c r="A664" s="244"/>
      <c r="C664" s="263"/>
      <c r="D664" s="264"/>
      <c r="E664" s="244"/>
      <c r="F664" s="244"/>
      <c r="G664" s="244"/>
      <c r="H664" s="244"/>
      <c r="K664" s="265"/>
      <c r="S664" s="244"/>
    </row>
    <row r="665" spans="1:19" ht="15.75" customHeight="1" x14ac:dyDescent="0.25">
      <c r="A665" s="244"/>
      <c r="C665" s="263"/>
      <c r="D665" s="264"/>
      <c r="E665" s="244"/>
      <c r="F665" s="244"/>
      <c r="G665" s="244"/>
      <c r="H665" s="244"/>
      <c r="K665" s="265"/>
      <c r="S665" s="244"/>
    </row>
    <row r="666" spans="1:19" ht="15.75" customHeight="1" x14ac:dyDescent="0.25">
      <c r="A666" s="244"/>
      <c r="C666" s="263"/>
      <c r="D666" s="264"/>
      <c r="E666" s="244"/>
      <c r="F666" s="244"/>
      <c r="G666" s="244"/>
      <c r="H666" s="244"/>
      <c r="K666" s="265"/>
      <c r="S666" s="244"/>
    </row>
    <row r="667" spans="1:19" ht="15.75" customHeight="1" x14ac:dyDescent="0.25">
      <c r="A667" s="244"/>
      <c r="C667" s="263"/>
      <c r="D667" s="264"/>
      <c r="E667" s="244"/>
      <c r="F667" s="244"/>
      <c r="G667" s="244"/>
      <c r="H667" s="244"/>
      <c r="K667" s="265"/>
      <c r="S667" s="244"/>
    </row>
    <row r="668" spans="1:19" ht="15.75" customHeight="1" x14ac:dyDescent="0.25">
      <c r="A668" s="244"/>
      <c r="C668" s="263"/>
      <c r="D668" s="264"/>
      <c r="E668" s="244"/>
      <c r="F668" s="244"/>
      <c r="G668" s="244"/>
      <c r="H668" s="244"/>
      <c r="K668" s="265"/>
      <c r="S668" s="244"/>
    </row>
    <row r="669" spans="1:19" ht="15.75" customHeight="1" x14ac:dyDescent="0.25">
      <c r="A669" s="244"/>
      <c r="C669" s="263"/>
      <c r="D669" s="264"/>
      <c r="E669" s="244"/>
      <c r="F669" s="244"/>
      <c r="G669" s="244"/>
      <c r="H669" s="244"/>
      <c r="K669" s="265"/>
      <c r="S669" s="244"/>
    </row>
    <row r="670" spans="1:19" ht="15.75" customHeight="1" x14ac:dyDescent="0.25">
      <c r="A670" s="244"/>
      <c r="C670" s="263"/>
      <c r="D670" s="264"/>
      <c r="E670" s="244"/>
      <c r="F670" s="244"/>
      <c r="G670" s="244"/>
      <c r="H670" s="244"/>
      <c r="K670" s="265"/>
      <c r="S670" s="244"/>
    </row>
    <row r="671" spans="1:19" ht="15.75" customHeight="1" x14ac:dyDescent="0.25">
      <c r="A671" s="244"/>
      <c r="C671" s="263"/>
      <c r="D671" s="264"/>
      <c r="E671" s="244"/>
      <c r="F671" s="244"/>
      <c r="G671" s="244"/>
      <c r="H671" s="244"/>
      <c r="K671" s="265"/>
      <c r="S671" s="244"/>
    </row>
    <row r="672" spans="1:19" ht="15.75" customHeight="1" x14ac:dyDescent="0.25">
      <c r="A672" s="244"/>
      <c r="C672" s="263"/>
      <c r="D672" s="264"/>
      <c r="E672" s="244"/>
      <c r="F672" s="244"/>
      <c r="G672" s="244"/>
      <c r="H672" s="244"/>
      <c r="K672" s="265"/>
      <c r="S672" s="244"/>
    </row>
    <row r="673" spans="1:19" ht="15.75" customHeight="1" x14ac:dyDescent="0.25">
      <c r="A673" s="244"/>
      <c r="C673" s="263"/>
      <c r="D673" s="264"/>
      <c r="E673" s="244"/>
      <c r="F673" s="244"/>
      <c r="G673" s="244"/>
      <c r="H673" s="244"/>
      <c r="K673" s="265"/>
      <c r="S673" s="244"/>
    </row>
    <row r="674" spans="1:19" ht="15.75" customHeight="1" x14ac:dyDescent="0.25">
      <c r="A674" s="244"/>
      <c r="C674" s="263"/>
      <c r="D674" s="264"/>
      <c r="E674" s="244"/>
      <c r="F674" s="244"/>
      <c r="G674" s="244"/>
      <c r="H674" s="244"/>
      <c r="K674" s="265"/>
      <c r="S674" s="244"/>
    </row>
    <row r="675" spans="1:19" ht="15.75" customHeight="1" x14ac:dyDescent="0.25">
      <c r="A675" s="244"/>
      <c r="C675" s="263"/>
      <c r="D675" s="264"/>
      <c r="E675" s="244"/>
      <c r="F675" s="244"/>
      <c r="G675" s="244"/>
      <c r="H675" s="244"/>
      <c r="K675" s="265"/>
      <c r="S675" s="244"/>
    </row>
    <row r="676" spans="1:19" ht="15.75" customHeight="1" x14ac:dyDescent="0.25">
      <c r="A676" s="244"/>
      <c r="C676" s="263"/>
      <c r="D676" s="264"/>
      <c r="E676" s="244"/>
      <c r="F676" s="244"/>
      <c r="G676" s="244"/>
      <c r="H676" s="244"/>
      <c r="K676" s="265"/>
      <c r="S676" s="244"/>
    </row>
    <row r="677" spans="1:19" ht="15.75" customHeight="1" x14ac:dyDescent="0.25">
      <c r="A677" s="244"/>
      <c r="C677" s="263"/>
      <c r="D677" s="264"/>
      <c r="E677" s="244"/>
      <c r="F677" s="244"/>
      <c r="G677" s="244"/>
      <c r="H677" s="244"/>
      <c r="K677" s="265"/>
      <c r="S677" s="244"/>
    </row>
    <row r="678" spans="1:19" ht="15.75" customHeight="1" x14ac:dyDescent="0.25">
      <c r="A678" s="244"/>
      <c r="C678" s="263"/>
      <c r="D678" s="264"/>
      <c r="E678" s="244"/>
      <c r="F678" s="244"/>
      <c r="G678" s="244"/>
      <c r="H678" s="244"/>
      <c r="K678" s="265"/>
      <c r="S678" s="244"/>
    </row>
    <row r="679" spans="1:19" ht="15.75" customHeight="1" x14ac:dyDescent="0.25">
      <c r="A679" s="244"/>
      <c r="C679" s="263"/>
      <c r="D679" s="264"/>
      <c r="E679" s="244"/>
      <c r="F679" s="244"/>
      <c r="G679" s="244"/>
      <c r="H679" s="244"/>
      <c r="K679" s="265"/>
      <c r="S679" s="244"/>
    </row>
    <row r="680" spans="1:19" ht="15.75" customHeight="1" x14ac:dyDescent="0.25">
      <c r="A680" s="244"/>
      <c r="C680" s="263"/>
      <c r="D680" s="264"/>
      <c r="E680" s="244"/>
      <c r="F680" s="244"/>
      <c r="G680" s="244"/>
      <c r="H680" s="244"/>
      <c r="K680" s="265"/>
      <c r="S680" s="244"/>
    </row>
    <row r="681" spans="1:19" ht="15.75" customHeight="1" x14ac:dyDescent="0.25">
      <c r="A681" s="244"/>
      <c r="C681" s="263"/>
      <c r="D681" s="264"/>
      <c r="E681" s="244"/>
      <c r="F681" s="244"/>
      <c r="G681" s="244"/>
      <c r="H681" s="244"/>
      <c r="K681" s="265"/>
      <c r="S681" s="244"/>
    </row>
    <row r="682" spans="1:19" ht="15.75" customHeight="1" x14ac:dyDescent="0.25">
      <c r="A682" s="244"/>
      <c r="C682" s="263"/>
      <c r="D682" s="264"/>
      <c r="E682" s="244"/>
      <c r="F682" s="244"/>
      <c r="G682" s="244"/>
      <c r="H682" s="244"/>
      <c r="K682" s="265"/>
      <c r="S682" s="244"/>
    </row>
    <row r="683" spans="1:19" ht="15.75" customHeight="1" x14ac:dyDescent="0.25">
      <c r="A683" s="244"/>
      <c r="C683" s="263"/>
      <c r="D683" s="264"/>
      <c r="E683" s="244"/>
      <c r="F683" s="244"/>
      <c r="G683" s="244"/>
      <c r="H683" s="244"/>
      <c r="K683" s="265"/>
      <c r="S683" s="244"/>
    </row>
    <row r="684" spans="1:19" ht="15.75" customHeight="1" x14ac:dyDescent="0.25">
      <c r="A684" s="244"/>
      <c r="C684" s="263"/>
      <c r="D684" s="264"/>
      <c r="E684" s="244"/>
      <c r="F684" s="244"/>
      <c r="G684" s="244"/>
      <c r="H684" s="244"/>
      <c r="K684" s="265"/>
      <c r="S684" s="244"/>
    </row>
    <row r="685" spans="1:19" ht="15.75" customHeight="1" x14ac:dyDescent="0.25">
      <c r="A685" s="244"/>
      <c r="C685" s="263"/>
      <c r="D685" s="264"/>
      <c r="E685" s="244"/>
      <c r="F685" s="244"/>
      <c r="G685" s="244"/>
      <c r="H685" s="244"/>
      <c r="K685" s="265"/>
      <c r="S685" s="244"/>
    </row>
    <row r="686" spans="1:19" ht="15.75" customHeight="1" x14ac:dyDescent="0.25">
      <c r="A686" s="244"/>
      <c r="C686" s="263"/>
      <c r="D686" s="264"/>
      <c r="E686" s="244"/>
      <c r="F686" s="244"/>
      <c r="G686" s="244"/>
      <c r="H686" s="244"/>
      <c r="K686" s="265"/>
      <c r="S686" s="244"/>
    </row>
    <row r="687" spans="1:19" ht="15.75" customHeight="1" x14ac:dyDescent="0.25">
      <c r="A687" s="244"/>
      <c r="C687" s="263"/>
      <c r="D687" s="264"/>
      <c r="E687" s="244"/>
      <c r="F687" s="244"/>
      <c r="G687" s="244"/>
      <c r="H687" s="244"/>
      <c r="K687" s="265"/>
      <c r="S687" s="244"/>
    </row>
    <row r="688" spans="1:19" ht="15.75" customHeight="1" x14ac:dyDescent="0.25">
      <c r="A688" s="244"/>
      <c r="C688" s="263"/>
      <c r="D688" s="264"/>
      <c r="E688" s="244"/>
      <c r="F688" s="244"/>
      <c r="G688" s="244"/>
      <c r="H688" s="244"/>
      <c r="K688" s="265"/>
      <c r="S688" s="244"/>
    </row>
    <row r="689" spans="1:19" ht="15.75" customHeight="1" x14ac:dyDescent="0.25">
      <c r="A689" s="244"/>
      <c r="C689" s="263"/>
      <c r="D689" s="264"/>
      <c r="E689" s="244"/>
      <c r="F689" s="244"/>
      <c r="G689" s="244"/>
      <c r="H689" s="244"/>
      <c r="K689" s="265"/>
      <c r="S689" s="244"/>
    </row>
    <row r="690" spans="1:19" ht="15.75" customHeight="1" x14ac:dyDescent="0.25">
      <c r="A690" s="244"/>
      <c r="C690" s="263"/>
      <c r="D690" s="264"/>
      <c r="E690" s="244"/>
      <c r="F690" s="244"/>
      <c r="G690" s="244"/>
      <c r="H690" s="244"/>
      <c r="K690" s="265"/>
      <c r="S690" s="244"/>
    </row>
    <row r="691" spans="1:19" ht="15.75" customHeight="1" x14ac:dyDescent="0.25">
      <c r="A691" s="244"/>
      <c r="C691" s="263"/>
      <c r="D691" s="264"/>
      <c r="E691" s="244"/>
      <c r="F691" s="244"/>
      <c r="G691" s="244"/>
      <c r="H691" s="244"/>
      <c r="K691" s="265"/>
      <c r="S691" s="244"/>
    </row>
    <row r="692" spans="1:19" ht="15.75" customHeight="1" x14ac:dyDescent="0.25">
      <c r="A692" s="244"/>
      <c r="C692" s="263"/>
      <c r="D692" s="264"/>
      <c r="E692" s="244"/>
      <c r="F692" s="244"/>
      <c r="G692" s="244"/>
      <c r="H692" s="244"/>
      <c r="K692" s="265"/>
      <c r="S692" s="244"/>
    </row>
    <row r="693" spans="1:19" ht="15.75" customHeight="1" x14ac:dyDescent="0.25">
      <c r="A693" s="244"/>
      <c r="C693" s="263"/>
      <c r="D693" s="264"/>
      <c r="E693" s="244"/>
      <c r="F693" s="244"/>
      <c r="G693" s="244"/>
      <c r="H693" s="244"/>
      <c r="K693" s="265"/>
      <c r="S693" s="244"/>
    </row>
    <row r="694" spans="1:19" ht="15.75" customHeight="1" x14ac:dyDescent="0.25">
      <c r="A694" s="244"/>
      <c r="C694" s="263"/>
      <c r="D694" s="264"/>
      <c r="E694" s="244"/>
      <c r="F694" s="244"/>
      <c r="G694" s="244"/>
      <c r="H694" s="244"/>
      <c r="K694" s="265"/>
      <c r="S694" s="244"/>
    </row>
    <row r="695" spans="1:19" ht="15.75" customHeight="1" x14ac:dyDescent="0.25">
      <c r="A695" s="244"/>
      <c r="C695" s="263"/>
      <c r="D695" s="264"/>
      <c r="E695" s="244"/>
      <c r="F695" s="244"/>
      <c r="G695" s="244"/>
      <c r="H695" s="244"/>
      <c r="K695" s="265"/>
      <c r="S695" s="244"/>
    </row>
    <row r="696" spans="1:19" ht="15.75" customHeight="1" x14ac:dyDescent="0.25">
      <c r="A696" s="244"/>
      <c r="C696" s="263"/>
      <c r="D696" s="264"/>
      <c r="E696" s="244"/>
      <c r="F696" s="244"/>
      <c r="G696" s="244"/>
      <c r="H696" s="244"/>
      <c r="K696" s="265"/>
      <c r="S696" s="244"/>
    </row>
    <row r="697" spans="1:19" ht="15.75" customHeight="1" x14ac:dyDescent="0.25">
      <c r="A697" s="244"/>
      <c r="C697" s="263"/>
      <c r="D697" s="264"/>
      <c r="E697" s="244"/>
      <c r="F697" s="244"/>
      <c r="G697" s="244"/>
      <c r="H697" s="244"/>
      <c r="K697" s="265"/>
      <c r="S697" s="244"/>
    </row>
    <row r="698" spans="1:19" ht="15.75" customHeight="1" x14ac:dyDescent="0.25">
      <c r="A698" s="244"/>
      <c r="C698" s="263"/>
      <c r="D698" s="264"/>
      <c r="E698" s="244"/>
      <c r="F698" s="244"/>
      <c r="G698" s="244"/>
      <c r="H698" s="244"/>
      <c r="K698" s="265"/>
      <c r="S698" s="244"/>
    </row>
    <row r="699" spans="1:19" ht="15.75" customHeight="1" x14ac:dyDescent="0.25">
      <c r="A699" s="244"/>
      <c r="C699" s="263"/>
      <c r="D699" s="264"/>
      <c r="E699" s="244"/>
      <c r="F699" s="244"/>
      <c r="G699" s="244"/>
      <c r="H699" s="244"/>
      <c r="K699" s="265"/>
      <c r="S699" s="244"/>
    </row>
    <row r="700" spans="1:19" ht="15.75" customHeight="1" x14ac:dyDescent="0.25">
      <c r="A700" s="244"/>
      <c r="C700" s="263"/>
      <c r="D700" s="264"/>
      <c r="E700" s="244"/>
      <c r="F700" s="244"/>
      <c r="G700" s="244"/>
      <c r="H700" s="244"/>
      <c r="K700" s="265"/>
      <c r="S700" s="244"/>
    </row>
    <row r="701" spans="1:19" ht="15.75" customHeight="1" x14ac:dyDescent="0.25">
      <c r="A701" s="244"/>
      <c r="C701" s="263"/>
      <c r="D701" s="264"/>
      <c r="E701" s="244"/>
      <c r="F701" s="244"/>
      <c r="G701" s="244"/>
      <c r="H701" s="244"/>
      <c r="K701" s="265"/>
      <c r="S701" s="244"/>
    </row>
    <row r="702" spans="1:19" ht="15.75" customHeight="1" x14ac:dyDescent="0.25">
      <c r="A702" s="244"/>
      <c r="C702" s="263"/>
      <c r="D702" s="264"/>
      <c r="E702" s="244"/>
      <c r="F702" s="244"/>
      <c r="G702" s="244"/>
      <c r="H702" s="244"/>
      <c r="K702" s="265"/>
      <c r="S702" s="244"/>
    </row>
    <row r="703" spans="1:19" ht="15.75" customHeight="1" x14ac:dyDescent="0.25">
      <c r="A703" s="244"/>
      <c r="C703" s="263"/>
      <c r="D703" s="264"/>
      <c r="E703" s="244"/>
      <c r="F703" s="244"/>
      <c r="G703" s="244"/>
      <c r="H703" s="244"/>
      <c r="K703" s="265"/>
      <c r="S703" s="244"/>
    </row>
    <row r="704" spans="1:19" ht="15.75" customHeight="1" x14ac:dyDescent="0.25">
      <c r="A704" s="244"/>
      <c r="C704" s="263"/>
      <c r="D704" s="264"/>
      <c r="E704" s="244"/>
      <c r="F704" s="244"/>
      <c r="G704" s="244"/>
      <c r="H704" s="244"/>
      <c r="K704" s="265"/>
      <c r="S704" s="244"/>
    </row>
    <row r="705" spans="1:19" ht="15.75" customHeight="1" x14ac:dyDescent="0.25">
      <c r="A705" s="244"/>
      <c r="C705" s="263"/>
      <c r="D705" s="264"/>
      <c r="E705" s="244"/>
      <c r="F705" s="244"/>
      <c r="G705" s="244"/>
      <c r="H705" s="244"/>
      <c r="K705" s="265"/>
      <c r="S705" s="244"/>
    </row>
    <row r="706" spans="1:19" ht="15.75" customHeight="1" x14ac:dyDescent="0.25">
      <c r="A706" s="244"/>
      <c r="C706" s="263"/>
      <c r="D706" s="264"/>
      <c r="E706" s="244"/>
      <c r="F706" s="244"/>
      <c r="G706" s="244"/>
      <c r="H706" s="244"/>
      <c r="K706" s="265"/>
      <c r="S706" s="244"/>
    </row>
    <row r="707" spans="1:19" ht="15.75" customHeight="1" x14ac:dyDescent="0.25">
      <c r="A707" s="244"/>
      <c r="C707" s="263"/>
      <c r="D707" s="264"/>
      <c r="E707" s="244"/>
      <c r="F707" s="244"/>
      <c r="G707" s="244"/>
      <c r="H707" s="244"/>
      <c r="K707" s="265"/>
      <c r="S707" s="244"/>
    </row>
    <row r="708" spans="1:19" ht="15.75" customHeight="1" x14ac:dyDescent="0.25">
      <c r="A708" s="244"/>
      <c r="C708" s="263"/>
      <c r="D708" s="264"/>
      <c r="E708" s="244"/>
      <c r="F708" s="244"/>
      <c r="G708" s="244"/>
      <c r="H708" s="244"/>
      <c r="K708" s="265"/>
      <c r="S708" s="244"/>
    </row>
    <row r="709" spans="1:19" ht="15.75" customHeight="1" x14ac:dyDescent="0.25">
      <c r="A709" s="244"/>
      <c r="C709" s="263"/>
      <c r="D709" s="264"/>
      <c r="E709" s="244"/>
      <c r="F709" s="244"/>
      <c r="G709" s="244"/>
      <c r="H709" s="244"/>
      <c r="K709" s="265"/>
      <c r="S709" s="244"/>
    </row>
    <row r="710" spans="1:19" ht="15.75" customHeight="1" x14ac:dyDescent="0.25">
      <c r="A710" s="244"/>
      <c r="C710" s="263"/>
      <c r="D710" s="264"/>
      <c r="E710" s="244"/>
      <c r="F710" s="244"/>
      <c r="G710" s="244"/>
      <c r="H710" s="244"/>
      <c r="K710" s="265"/>
      <c r="S710" s="244"/>
    </row>
    <row r="711" spans="1:19" ht="15.75" customHeight="1" x14ac:dyDescent="0.25">
      <c r="A711" s="244"/>
      <c r="C711" s="263"/>
      <c r="D711" s="264"/>
      <c r="E711" s="244"/>
      <c r="F711" s="244"/>
      <c r="G711" s="244"/>
      <c r="H711" s="244"/>
      <c r="K711" s="265"/>
      <c r="S711" s="244"/>
    </row>
    <row r="712" spans="1:19" ht="15.75" customHeight="1" x14ac:dyDescent="0.25">
      <c r="A712" s="244"/>
      <c r="C712" s="263"/>
      <c r="D712" s="264"/>
      <c r="E712" s="244"/>
      <c r="F712" s="244"/>
      <c r="G712" s="244"/>
      <c r="H712" s="244"/>
      <c r="K712" s="265"/>
      <c r="S712" s="244"/>
    </row>
    <row r="713" spans="1:19" ht="15.75" customHeight="1" x14ac:dyDescent="0.25">
      <c r="A713" s="244"/>
      <c r="C713" s="263"/>
      <c r="D713" s="264"/>
      <c r="E713" s="244"/>
      <c r="F713" s="244"/>
      <c r="G713" s="244"/>
      <c r="H713" s="244"/>
      <c r="K713" s="265"/>
      <c r="S713" s="244"/>
    </row>
    <row r="714" spans="1:19" ht="15.75" customHeight="1" x14ac:dyDescent="0.25">
      <c r="A714" s="244"/>
      <c r="C714" s="263"/>
      <c r="D714" s="264"/>
      <c r="E714" s="244"/>
      <c r="F714" s="244"/>
      <c r="G714" s="244"/>
      <c r="H714" s="244"/>
      <c r="K714" s="265"/>
      <c r="S714" s="244"/>
    </row>
    <row r="715" spans="1:19" ht="15.75" customHeight="1" x14ac:dyDescent="0.25">
      <c r="A715" s="244"/>
      <c r="C715" s="263"/>
      <c r="D715" s="264"/>
      <c r="E715" s="244"/>
      <c r="F715" s="244"/>
      <c r="G715" s="244"/>
      <c r="H715" s="244"/>
      <c r="K715" s="265"/>
      <c r="S715" s="244"/>
    </row>
    <row r="716" spans="1:19" ht="15.75" customHeight="1" x14ac:dyDescent="0.25">
      <c r="A716" s="244"/>
      <c r="C716" s="263"/>
      <c r="D716" s="264"/>
      <c r="E716" s="244"/>
      <c r="F716" s="244"/>
      <c r="G716" s="244"/>
      <c r="H716" s="244"/>
      <c r="K716" s="265"/>
      <c r="S716" s="244"/>
    </row>
    <row r="717" spans="1:19" ht="15.75" customHeight="1" x14ac:dyDescent="0.25">
      <c r="A717" s="244"/>
      <c r="C717" s="263"/>
      <c r="D717" s="264"/>
      <c r="E717" s="244"/>
      <c r="F717" s="244"/>
      <c r="G717" s="244"/>
      <c r="H717" s="244"/>
      <c r="K717" s="265"/>
      <c r="S717" s="244"/>
    </row>
    <row r="718" spans="1:19" ht="15.75" customHeight="1" x14ac:dyDescent="0.25">
      <c r="A718" s="244"/>
      <c r="C718" s="263"/>
      <c r="D718" s="264"/>
      <c r="E718" s="244"/>
      <c r="F718" s="244"/>
      <c r="G718" s="244"/>
      <c r="H718" s="244"/>
      <c r="K718" s="265"/>
      <c r="S718" s="244"/>
    </row>
    <row r="719" spans="1:19" ht="15.75" customHeight="1" x14ac:dyDescent="0.25">
      <c r="A719" s="244"/>
      <c r="C719" s="263"/>
      <c r="D719" s="264"/>
      <c r="E719" s="244"/>
      <c r="F719" s="244"/>
      <c r="G719" s="244"/>
      <c r="H719" s="244"/>
      <c r="K719" s="265"/>
      <c r="S719" s="244"/>
    </row>
    <row r="720" spans="1:19" ht="15.75" customHeight="1" x14ac:dyDescent="0.25">
      <c r="A720" s="244"/>
      <c r="C720" s="263"/>
      <c r="D720" s="264"/>
      <c r="E720" s="244"/>
      <c r="F720" s="244"/>
      <c r="G720" s="244"/>
      <c r="H720" s="244"/>
      <c r="K720" s="265"/>
      <c r="S720" s="244"/>
    </row>
    <row r="721" spans="1:19" ht="15.75" customHeight="1" x14ac:dyDescent="0.25">
      <c r="A721" s="244"/>
      <c r="C721" s="263"/>
      <c r="D721" s="264"/>
      <c r="E721" s="244"/>
      <c r="F721" s="244"/>
      <c r="G721" s="244"/>
      <c r="H721" s="244"/>
      <c r="K721" s="265"/>
      <c r="S721" s="244"/>
    </row>
    <row r="722" spans="1:19" ht="15.75" customHeight="1" x14ac:dyDescent="0.25">
      <c r="A722" s="244"/>
      <c r="C722" s="263"/>
      <c r="D722" s="264"/>
      <c r="E722" s="244"/>
      <c r="F722" s="244"/>
      <c r="G722" s="244"/>
      <c r="H722" s="244"/>
      <c r="K722" s="265"/>
      <c r="S722" s="244"/>
    </row>
    <row r="723" spans="1:19" ht="15.75" customHeight="1" x14ac:dyDescent="0.25">
      <c r="A723" s="244"/>
      <c r="C723" s="263"/>
      <c r="D723" s="264"/>
      <c r="E723" s="244"/>
      <c r="F723" s="244"/>
      <c r="G723" s="244"/>
      <c r="H723" s="244"/>
      <c r="K723" s="265"/>
      <c r="S723" s="244"/>
    </row>
    <row r="724" spans="1:19" ht="15.75" customHeight="1" x14ac:dyDescent="0.25">
      <c r="A724" s="244"/>
      <c r="C724" s="263"/>
      <c r="D724" s="264"/>
      <c r="E724" s="244"/>
      <c r="F724" s="244"/>
      <c r="G724" s="244"/>
      <c r="H724" s="244"/>
      <c r="K724" s="265"/>
      <c r="S724" s="244"/>
    </row>
    <row r="725" spans="1:19" ht="15.75" customHeight="1" x14ac:dyDescent="0.25">
      <c r="A725" s="244"/>
      <c r="C725" s="263"/>
      <c r="D725" s="264"/>
      <c r="E725" s="244"/>
      <c r="F725" s="244"/>
      <c r="G725" s="244"/>
      <c r="H725" s="244"/>
      <c r="K725" s="265"/>
      <c r="S725" s="244"/>
    </row>
    <row r="726" spans="1:19" ht="15.75" customHeight="1" x14ac:dyDescent="0.25">
      <c r="A726" s="244"/>
      <c r="C726" s="263"/>
      <c r="D726" s="264"/>
      <c r="E726" s="244"/>
      <c r="F726" s="244"/>
      <c r="G726" s="244"/>
      <c r="H726" s="244"/>
      <c r="K726" s="265"/>
      <c r="S726" s="244"/>
    </row>
    <row r="727" spans="1:19" ht="15.75" customHeight="1" x14ac:dyDescent="0.25">
      <c r="A727" s="244"/>
      <c r="C727" s="263"/>
      <c r="D727" s="264"/>
      <c r="E727" s="244"/>
      <c r="F727" s="244"/>
      <c r="G727" s="244"/>
      <c r="H727" s="244"/>
      <c r="K727" s="265"/>
      <c r="S727" s="244"/>
    </row>
    <row r="728" spans="1:19" ht="15.75" customHeight="1" x14ac:dyDescent="0.25">
      <c r="A728" s="244"/>
      <c r="C728" s="263"/>
      <c r="D728" s="264"/>
      <c r="E728" s="244"/>
      <c r="F728" s="244"/>
      <c r="G728" s="244"/>
      <c r="H728" s="244"/>
      <c r="K728" s="265"/>
      <c r="S728" s="244"/>
    </row>
    <row r="729" spans="1:19" ht="15.75" customHeight="1" x14ac:dyDescent="0.25">
      <c r="A729" s="244"/>
      <c r="C729" s="263"/>
      <c r="D729" s="264"/>
      <c r="E729" s="244"/>
      <c r="F729" s="244"/>
      <c r="G729" s="244"/>
      <c r="H729" s="244"/>
      <c r="K729" s="265"/>
      <c r="S729" s="244"/>
    </row>
    <row r="730" spans="1:19" ht="15.75" customHeight="1" x14ac:dyDescent="0.25">
      <c r="A730" s="244"/>
      <c r="C730" s="263"/>
      <c r="D730" s="264"/>
      <c r="E730" s="244"/>
      <c r="F730" s="244"/>
      <c r="G730" s="244"/>
      <c r="H730" s="244"/>
      <c r="K730" s="265"/>
      <c r="S730" s="244"/>
    </row>
    <row r="731" spans="1:19" ht="15.75" customHeight="1" x14ac:dyDescent="0.25">
      <c r="A731" s="244"/>
      <c r="C731" s="263"/>
      <c r="D731" s="264"/>
      <c r="E731" s="244"/>
      <c r="F731" s="244"/>
      <c r="G731" s="244"/>
      <c r="H731" s="244"/>
      <c r="K731" s="265"/>
      <c r="S731" s="244"/>
    </row>
    <row r="732" spans="1:19" ht="15.75" customHeight="1" x14ac:dyDescent="0.25">
      <c r="A732" s="244"/>
      <c r="C732" s="263"/>
      <c r="D732" s="264"/>
      <c r="E732" s="244"/>
      <c r="F732" s="244"/>
      <c r="G732" s="244"/>
      <c r="H732" s="244"/>
      <c r="K732" s="265"/>
      <c r="S732" s="244"/>
    </row>
    <row r="733" spans="1:19" ht="15.75" customHeight="1" x14ac:dyDescent="0.25">
      <c r="A733" s="244"/>
      <c r="C733" s="263"/>
      <c r="D733" s="264"/>
      <c r="E733" s="244"/>
      <c r="F733" s="244"/>
      <c r="G733" s="244"/>
      <c r="H733" s="244"/>
      <c r="K733" s="265"/>
      <c r="S733" s="244"/>
    </row>
    <row r="734" spans="1:19" ht="15.75" customHeight="1" x14ac:dyDescent="0.25">
      <c r="A734" s="244"/>
      <c r="C734" s="263"/>
      <c r="D734" s="264"/>
      <c r="E734" s="244"/>
      <c r="F734" s="244"/>
      <c r="G734" s="244"/>
      <c r="H734" s="244"/>
      <c r="K734" s="265"/>
      <c r="S734" s="244"/>
    </row>
    <row r="735" spans="1:19" ht="15.75" customHeight="1" x14ac:dyDescent="0.25">
      <c r="A735" s="244"/>
      <c r="C735" s="263"/>
      <c r="D735" s="264"/>
      <c r="E735" s="244"/>
      <c r="F735" s="244"/>
      <c r="G735" s="244"/>
      <c r="H735" s="244"/>
      <c r="K735" s="265"/>
      <c r="S735" s="244"/>
    </row>
    <row r="736" spans="1:19" ht="15.75" customHeight="1" x14ac:dyDescent="0.25">
      <c r="A736" s="244"/>
      <c r="C736" s="263"/>
      <c r="D736" s="264"/>
      <c r="E736" s="244"/>
      <c r="F736" s="244"/>
      <c r="G736" s="244"/>
      <c r="H736" s="244"/>
      <c r="K736" s="265"/>
      <c r="S736" s="244"/>
    </row>
    <row r="737" spans="1:19" ht="15.75" customHeight="1" x14ac:dyDescent="0.25">
      <c r="A737" s="244"/>
      <c r="C737" s="263"/>
      <c r="D737" s="264"/>
      <c r="E737" s="244"/>
      <c r="F737" s="244"/>
      <c r="G737" s="244"/>
      <c r="H737" s="244"/>
      <c r="K737" s="265"/>
      <c r="S737" s="244"/>
    </row>
    <row r="738" spans="1:19" ht="15.75" customHeight="1" x14ac:dyDescent="0.25">
      <c r="A738" s="244"/>
      <c r="C738" s="263"/>
      <c r="D738" s="264"/>
      <c r="E738" s="244"/>
      <c r="F738" s="244"/>
      <c r="G738" s="244"/>
      <c r="H738" s="244"/>
      <c r="K738" s="265"/>
      <c r="S738" s="244"/>
    </row>
    <row r="739" spans="1:19" ht="15.75" customHeight="1" x14ac:dyDescent="0.25">
      <c r="A739" s="244"/>
      <c r="C739" s="263"/>
      <c r="D739" s="264"/>
      <c r="E739" s="244"/>
      <c r="F739" s="244"/>
      <c r="G739" s="244"/>
      <c r="H739" s="244"/>
      <c r="K739" s="265"/>
      <c r="S739" s="244"/>
    </row>
    <row r="740" spans="1:19" ht="15.75" customHeight="1" x14ac:dyDescent="0.25">
      <c r="A740" s="244"/>
      <c r="C740" s="263"/>
      <c r="D740" s="264"/>
      <c r="E740" s="244"/>
      <c r="F740" s="244"/>
      <c r="G740" s="244"/>
      <c r="H740" s="244"/>
      <c r="K740" s="265"/>
      <c r="S740" s="244"/>
    </row>
    <row r="741" spans="1:19" ht="15.75" customHeight="1" x14ac:dyDescent="0.25">
      <c r="A741" s="244"/>
      <c r="C741" s="263"/>
      <c r="D741" s="264"/>
      <c r="E741" s="244"/>
      <c r="F741" s="244"/>
      <c r="G741" s="244"/>
      <c r="H741" s="244"/>
      <c r="K741" s="265"/>
      <c r="S741" s="244"/>
    </row>
    <row r="742" spans="1:19" ht="15.75" customHeight="1" x14ac:dyDescent="0.25">
      <c r="A742" s="244"/>
      <c r="C742" s="263"/>
      <c r="D742" s="264"/>
      <c r="E742" s="244"/>
      <c r="F742" s="244"/>
      <c r="G742" s="244"/>
      <c r="H742" s="244"/>
      <c r="K742" s="265"/>
      <c r="S742" s="244"/>
    </row>
    <row r="743" spans="1:19" ht="15.75" customHeight="1" x14ac:dyDescent="0.25">
      <c r="A743" s="244"/>
      <c r="C743" s="263"/>
      <c r="D743" s="264"/>
      <c r="E743" s="244"/>
      <c r="F743" s="244"/>
      <c r="G743" s="244"/>
      <c r="H743" s="244"/>
      <c r="K743" s="265"/>
      <c r="S743" s="244"/>
    </row>
    <row r="744" spans="1:19" ht="15.75" customHeight="1" x14ac:dyDescent="0.25">
      <c r="A744" s="244"/>
      <c r="C744" s="263"/>
      <c r="D744" s="264"/>
      <c r="E744" s="244"/>
      <c r="F744" s="244"/>
      <c r="G744" s="244"/>
      <c r="H744" s="244"/>
      <c r="K744" s="265"/>
      <c r="S744" s="244"/>
    </row>
    <row r="745" spans="1:19" ht="15.75" customHeight="1" x14ac:dyDescent="0.25">
      <c r="A745" s="244"/>
      <c r="C745" s="263"/>
      <c r="D745" s="264"/>
      <c r="E745" s="244"/>
      <c r="F745" s="244"/>
      <c r="G745" s="244"/>
      <c r="H745" s="244"/>
      <c r="K745" s="265"/>
      <c r="S745" s="244"/>
    </row>
    <row r="746" spans="1:19" ht="15.75" customHeight="1" x14ac:dyDescent="0.25">
      <c r="A746" s="244"/>
      <c r="C746" s="263"/>
      <c r="D746" s="264"/>
      <c r="E746" s="244"/>
      <c r="F746" s="244"/>
      <c r="G746" s="244"/>
      <c r="H746" s="244"/>
      <c r="K746" s="265"/>
      <c r="S746" s="244"/>
    </row>
    <row r="747" spans="1:19" ht="15.75" customHeight="1" x14ac:dyDescent="0.25">
      <c r="A747" s="244"/>
      <c r="C747" s="263"/>
      <c r="D747" s="264"/>
      <c r="E747" s="244"/>
      <c r="F747" s="244"/>
      <c r="G747" s="244"/>
      <c r="H747" s="244"/>
      <c r="K747" s="265"/>
      <c r="S747" s="244"/>
    </row>
    <row r="748" spans="1:19" ht="15.75" customHeight="1" x14ac:dyDescent="0.25">
      <c r="A748" s="244"/>
      <c r="C748" s="263"/>
      <c r="D748" s="264"/>
      <c r="E748" s="244"/>
      <c r="F748" s="244"/>
      <c r="G748" s="244"/>
      <c r="H748" s="244"/>
      <c r="K748" s="265"/>
      <c r="S748" s="244"/>
    </row>
    <row r="749" spans="1:19" ht="15.75" customHeight="1" x14ac:dyDescent="0.25">
      <c r="A749" s="244"/>
      <c r="C749" s="263"/>
      <c r="D749" s="264"/>
      <c r="E749" s="244"/>
      <c r="F749" s="244"/>
      <c r="G749" s="244"/>
      <c r="H749" s="244"/>
      <c r="K749" s="265"/>
      <c r="S749" s="244"/>
    </row>
    <row r="750" spans="1:19" ht="15.75" customHeight="1" x14ac:dyDescent="0.25">
      <c r="A750" s="244"/>
      <c r="C750" s="263"/>
      <c r="D750" s="264"/>
      <c r="E750" s="244"/>
      <c r="F750" s="244"/>
      <c r="G750" s="244"/>
      <c r="H750" s="244"/>
      <c r="K750" s="265"/>
      <c r="S750" s="244"/>
    </row>
    <row r="751" spans="1:19" ht="15.75" customHeight="1" x14ac:dyDescent="0.25">
      <c r="A751" s="244"/>
      <c r="C751" s="263"/>
      <c r="D751" s="264"/>
      <c r="E751" s="244"/>
      <c r="F751" s="244"/>
      <c r="G751" s="244"/>
      <c r="H751" s="244"/>
      <c r="K751" s="265"/>
      <c r="S751" s="244"/>
    </row>
    <row r="752" spans="1:19" ht="15.75" customHeight="1" x14ac:dyDescent="0.25">
      <c r="A752" s="244"/>
      <c r="C752" s="263"/>
      <c r="D752" s="264"/>
      <c r="E752" s="244"/>
      <c r="F752" s="244"/>
      <c r="G752" s="244"/>
      <c r="H752" s="244"/>
      <c r="K752" s="265"/>
      <c r="S752" s="244"/>
    </row>
    <row r="753" spans="1:19" ht="15.75" customHeight="1" x14ac:dyDescent="0.25">
      <c r="A753" s="244"/>
      <c r="C753" s="263"/>
      <c r="D753" s="264"/>
      <c r="E753" s="244"/>
      <c r="F753" s="244"/>
      <c r="G753" s="244"/>
      <c r="H753" s="244"/>
      <c r="K753" s="265"/>
      <c r="S753" s="244"/>
    </row>
    <row r="754" spans="1:19" ht="15.75" customHeight="1" x14ac:dyDescent="0.25">
      <c r="A754" s="244"/>
      <c r="C754" s="263"/>
      <c r="D754" s="264"/>
      <c r="E754" s="244"/>
      <c r="F754" s="244"/>
      <c r="G754" s="244"/>
      <c r="H754" s="244"/>
      <c r="K754" s="265"/>
      <c r="S754" s="244"/>
    </row>
    <row r="755" spans="1:19" ht="15.75" customHeight="1" x14ac:dyDescent="0.25">
      <c r="A755" s="244"/>
      <c r="C755" s="263"/>
      <c r="D755" s="264"/>
      <c r="E755" s="244"/>
      <c r="F755" s="244"/>
      <c r="G755" s="244"/>
      <c r="H755" s="244"/>
      <c r="K755" s="265"/>
      <c r="S755" s="244"/>
    </row>
    <row r="756" spans="1:19" ht="15.75" customHeight="1" x14ac:dyDescent="0.25">
      <c r="A756" s="244"/>
      <c r="C756" s="263"/>
      <c r="D756" s="264"/>
      <c r="E756" s="244"/>
      <c r="F756" s="244"/>
      <c r="G756" s="244"/>
      <c r="H756" s="244"/>
      <c r="K756" s="265"/>
      <c r="S756" s="244"/>
    </row>
    <row r="757" spans="1:19" ht="15.75" customHeight="1" x14ac:dyDescent="0.25">
      <c r="A757" s="244"/>
      <c r="C757" s="263"/>
      <c r="D757" s="264"/>
      <c r="E757" s="244"/>
      <c r="F757" s="244"/>
      <c r="G757" s="244"/>
      <c r="H757" s="244"/>
      <c r="K757" s="265"/>
      <c r="S757" s="244"/>
    </row>
    <row r="758" spans="1:19" ht="15.75" customHeight="1" x14ac:dyDescent="0.25">
      <c r="A758" s="244"/>
      <c r="C758" s="263"/>
      <c r="D758" s="264"/>
      <c r="E758" s="244"/>
      <c r="F758" s="244"/>
      <c r="G758" s="244"/>
      <c r="H758" s="244"/>
      <c r="K758" s="265"/>
      <c r="S758" s="244"/>
    </row>
    <row r="759" spans="1:19" ht="15.75" customHeight="1" x14ac:dyDescent="0.25">
      <c r="A759" s="244"/>
      <c r="C759" s="263"/>
      <c r="D759" s="264"/>
      <c r="E759" s="244"/>
      <c r="F759" s="244"/>
      <c r="G759" s="244"/>
      <c r="H759" s="244"/>
      <c r="K759" s="265"/>
      <c r="S759" s="244"/>
    </row>
    <row r="760" spans="1:19" ht="15.75" customHeight="1" x14ac:dyDescent="0.25">
      <c r="A760" s="244"/>
      <c r="C760" s="263"/>
      <c r="D760" s="264"/>
      <c r="E760" s="244"/>
      <c r="F760" s="244"/>
      <c r="G760" s="244"/>
      <c r="H760" s="244"/>
      <c r="K760" s="265"/>
      <c r="S760" s="244"/>
    </row>
    <row r="761" spans="1:19" ht="15.75" customHeight="1" x14ac:dyDescent="0.25">
      <c r="A761" s="244"/>
      <c r="C761" s="263"/>
      <c r="D761" s="264"/>
      <c r="E761" s="244"/>
      <c r="F761" s="244"/>
      <c r="G761" s="244"/>
      <c r="H761" s="244"/>
      <c r="K761" s="265"/>
      <c r="S761" s="244"/>
    </row>
    <row r="762" spans="1:19" ht="15.75" customHeight="1" x14ac:dyDescent="0.25">
      <c r="A762" s="244"/>
      <c r="C762" s="263"/>
      <c r="D762" s="264"/>
      <c r="E762" s="244"/>
      <c r="F762" s="244"/>
      <c r="G762" s="244"/>
      <c r="H762" s="244"/>
      <c r="K762" s="265"/>
      <c r="S762" s="244"/>
    </row>
    <row r="763" spans="1:19" ht="15.75" customHeight="1" x14ac:dyDescent="0.25">
      <c r="A763" s="244"/>
      <c r="C763" s="263"/>
      <c r="D763" s="264"/>
      <c r="E763" s="244"/>
      <c r="F763" s="244"/>
      <c r="G763" s="244"/>
      <c r="H763" s="244"/>
      <c r="K763" s="265"/>
      <c r="S763" s="244"/>
    </row>
    <row r="764" spans="1:19" ht="15.75" customHeight="1" x14ac:dyDescent="0.25">
      <c r="A764" s="244"/>
      <c r="C764" s="263"/>
      <c r="D764" s="264"/>
      <c r="E764" s="244"/>
      <c r="F764" s="244"/>
      <c r="G764" s="244"/>
      <c r="H764" s="244"/>
      <c r="K764" s="265"/>
      <c r="S764" s="244"/>
    </row>
    <row r="765" spans="1:19" ht="15.75" customHeight="1" x14ac:dyDescent="0.25">
      <c r="A765" s="244"/>
      <c r="C765" s="263"/>
      <c r="D765" s="264"/>
      <c r="E765" s="244"/>
      <c r="F765" s="244"/>
      <c r="G765" s="244"/>
      <c r="H765" s="244"/>
      <c r="K765" s="265"/>
      <c r="S765" s="244"/>
    </row>
    <row r="766" spans="1:19" ht="15.75" customHeight="1" x14ac:dyDescent="0.25">
      <c r="A766" s="244"/>
      <c r="C766" s="263"/>
      <c r="D766" s="264"/>
      <c r="E766" s="244"/>
      <c r="F766" s="244"/>
      <c r="G766" s="244"/>
      <c r="H766" s="244"/>
      <c r="K766" s="265"/>
      <c r="S766" s="244"/>
    </row>
    <row r="767" spans="1:19" ht="15.75" customHeight="1" x14ac:dyDescent="0.25">
      <c r="A767" s="244"/>
      <c r="C767" s="263"/>
      <c r="D767" s="264"/>
      <c r="E767" s="244"/>
      <c r="F767" s="244"/>
      <c r="G767" s="244"/>
      <c r="H767" s="244"/>
      <c r="K767" s="265"/>
      <c r="S767" s="244"/>
    </row>
    <row r="768" spans="1:19" ht="15.75" customHeight="1" x14ac:dyDescent="0.25">
      <c r="A768" s="244"/>
      <c r="C768" s="263"/>
      <c r="D768" s="264"/>
      <c r="E768" s="244"/>
      <c r="F768" s="244"/>
      <c r="G768" s="244"/>
      <c r="H768" s="244"/>
      <c r="K768" s="265"/>
      <c r="S768" s="244"/>
    </row>
    <row r="769" spans="1:19" ht="15.75" customHeight="1" x14ac:dyDescent="0.25">
      <c r="A769" s="244"/>
      <c r="C769" s="263"/>
      <c r="D769" s="264"/>
      <c r="E769" s="244"/>
      <c r="F769" s="244"/>
      <c r="G769" s="244"/>
      <c r="H769" s="244"/>
      <c r="K769" s="265"/>
      <c r="S769" s="244"/>
    </row>
    <row r="770" spans="1:19" ht="15.75" customHeight="1" x14ac:dyDescent="0.25">
      <c r="A770" s="244"/>
      <c r="C770" s="263"/>
      <c r="D770" s="264"/>
      <c r="E770" s="244"/>
      <c r="F770" s="244"/>
      <c r="G770" s="244"/>
      <c r="H770" s="244"/>
      <c r="K770" s="265"/>
      <c r="S770" s="244"/>
    </row>
    <row r="771" spans="1:19" ht="15.75" customHeight="1" x14ac:dyDescent="0.25">
      <c r="A771" s="244"/>
      <c r="C771" s="263"/>
      <c r="D771" s="264"/>
      <c r="E771" s="244"/>
      <c r="F771" s="244"/>
      <c r="G771" s="244"/>
      <c r="H771" s="244"/>
      <c r="K771" s="265"/>
      <c r="S771" s="244"/>
    </row>
    <row r="772" spans="1:19" ht="15.75" customHeight="1" x14ac:dyDescent="0.25">
      <c r="A772" s="244"/>
      <c r="C772" s="263"/>
      <c r="D772" s="264"/>
      <c r="E772" s="244"/>
      <c r="F772" s="244"/>
      <c r="G772" s="244"/>
      <c r="H772" s="244"/>
      <c r="K772" s="265"/>
      <c r="S772" s="244"/>
    </row>
    <row r="773" spans="1:19" ht="15.75" customHeight="1" x14ac:dyDescent="0.25">
      <c r="A773" s="244"/>
      <c r="C773" s="263"/>
      <c r="D773" s="264"/>
      <c r="E773" s="244"/>
      <c r="F773" s="244"/>
      <c r="G773" s="244"/>
      <c r="H773" s="244"/>
      <c r="K773" s="265"/>
      <c r="S773" s="244"/>
    </row>
    <row r="774" spans="1:19" ht="15.75" customHeight="1" x14ac:dyDescent="0.25">
      <c r="A774" s="244"/>
      <c r="C774" s="263"/>
      <c r="D774" s="264"/>
      <c r="E774" s="244"/>
      <c r="F774" s="244"/>
      <c r="G774" s="244"/>
      <c r="H774" s="244"/>
      <c r="K774" s="265"/>
      <c r="S774" s="244"/>
    </row>
    <row r="775" spans="1:19" ht="15.75" customHeight="1" x14ac:dyDescent="0.25">
      <c r="A775" s="244"/>
      <c r="C775" s="263"/>
      <c r="D775" s="264"/>
      <c r="E775" s="244"/>
      <c r="F775" s="244"/>
      <c r="G775" s="244"/>
      <c r="H775" s="244"/>
      <c r="K775" s="265"/>
      <c r="S775" s="244"/>
    </row>
    <row r="776" spans="1:19" ht="15.75" customHeight="1" x14ac:dyDescent="0.25">
      <c r="A776" s="244"/>
      <c r="C776" s="263"/>
      <c r="D776" s="264"/>
      <c r="E776" s="244"/>
      <c r="F776" s="244"/>
      <c r="G776" s="244"/>
      <c r="H776" s="244"/>
      <c r="K776" s="265"/>
      <c r="S776" s="244"/>
    </row>
    <row r="777" spans="1:19" ht="15.75" customHeight="1" x14ac:dyDescent="0.25">
      <c r="A777" s="244"/>
      <c r="C777" s="263"/>
      <c r="D777" s="264"/>
      <c r="E777" s="244"/>
      <c r="F777" s="244"/>
      <c r="G777" s="244"/>
      <c r="H777" s="244"/>
      <c r="K777" s="265"/>
      <c r="S777" s="244"/>
    </row>
    <row r="778" spans="1:19" ht="15.75" customHeight="1" x14ac:dyDescent="0.25">
      <c r="A778" s="244"/>
      <c r="C778" s="263"/>
      <c r="D778" s="264"/>
      <c r="E778" s="244"/>
      <c r="F778" s="244"/>
      <c r="G778" s="244"/>
      <c r="H778" s="244"/>
      <c r="K778" s="265"/>
      <c r="S778" s="244"/>
    </row>
    <row r="779" spans="1:19" ht="15.75" customHeight="1" x14ac:dyDescent="0.25">
      <c r="A779" s="244"/>
      <c r="C779" s="263"/>
      <c r="D779" s="264"/>
      <c r="E779" s="244"/>
      <c r="F779" s="244"/>
      <c r="G779" s="244"/>
      <c r="H779" s="244"/>
      <c r="K779" s="265"/>
      <c r="S779" s="244"/>
    </row>
    <row r="780" spans="1:19" ht="15.75" customHeight="1" x14ac:dyDescent="0.25">
      <c r="A780" s="244"/>
      <c r="C780" s="263"/>
      <c r="D780" s="264"/>
      <c r="E780" s="244"/>
      <c r="F780" s="244"/>
      <c r="G780" s="244"/>
      <c r="H780" s="244"/>
      <c r="K780" s="265"/>
      <c r="S780" s="244"/>
    </row>
    <row r="781" spans="1:19" ht="15.75" customHeight="1" x14ac:dyDescent="0.25">
      <c r="A781" s="244"/>
      <c r="C781" s="263"/>
      <c r="D781" s="264"/>
      <c r="E781" s="244"/>
      <c r="F781" s="244"/>
      <c r="G781" s="244"/>
      <c r="H781" s="244"/>
      <c r="K781" s="265"/>
      <c r="S781" s="244"/>
    </row>
    <row r="782" spans="1:19" ht="15.75" customHeight="1" x14ac:dyDescent="0.25">
      <c r="A782" s="244"/>
      <c r="C782" s="263"/>
      <c r="D782" s="264"/>
      <c r="E782" s="244"/>
      <c r="F782" s="244"/>
      <c r="G782" s="244"/>
      <c r="H782" s="244"/>
      <c r="K782" s="265"/>
      <c r="S782" s="244"/>
    </row>
    <row r="783" spans="1:19" ht="15.75" customHeight="1" x14ac:dyDescent="0.25">
      <c r="A783" s="244"/>
      <c r="C783" s="263"/>
      <c r="D783" s="264"/>
      <c r="E783" s="244"/>
      <c r="F783" s="244"/>
      <c r="G783" s="244"/>
      <c r="H783" s="244"/>
      <c r="K783" s="265"/>
      <c r="S783" s="244"/>
    </row>
    <row r="784" spans="1:19" ht="15.75" customHeight="1" x14ac:dyDescent="0.25">
      <c r="A784" s="244"/>
      <c r="C784" s="263"/>
      <c r="D784" s="264"/>
      <c r="E784" s="244"/>
      <c r="F784" s="244"/>
      <c r="G784" s="244"/>
      <c r="H784" s="244"/>
      <c r="K784" s="265"/>
      <c r="S784" s="244"/>
    </row>
    <row r="785" spans="1:19" ht="15.75" customHeight="1" x14ac:dyDescent="0.25">
      <c r="A785" s="244"/>
      <c r="C785" s="263"/>
      <c r="D785" s="264"/>
      <c r="E785" s="244"/>
      <c r="F785" s="244"/>
      <c r="G785" s="244"/>
      <c r="H785" s="244"/>
      <c r="K785" s="265"/>
      <c r="S785" s="244"/>
    </row>
    <row r="786" spans="1:19" ht="15.75" customHeight="1" x14ac:dyDescent="0.25">
      <c r="A786" s="244"/>
      <c r="C786" s="263"/>
      <c r="D786" s="264"/>
      <c r="E786" s="244"/>
      <c r="F786" s="244"/>
      <c r="G786" s="244"/>
      <c r="H786" s="244"/>
      <c r="K786" s="265"/>
      <c r="S786" s="244"/>
    </row>
    <row r="787" spans="1:19" ht="15.75" customHeight="1" x14ac:dyDescent="0.25">
      <c r="A787" s="244"/>
      <c r="C787" s="263"/>
      <c r="D787" s="264"/>
      <c r="E787" s="244"/>
      <c r="F787" s="244"/>
      <c r="G787" s="244"/>
      <c r="H787" s="244"/>
      <c r="K787" s="265"/>
      <c r="S787" s="244"/>
    </row>
    <row r="788" spans="1:19" ht="15.75" customHeight="1" x14ac:dyDescent="0.25">
      <c r="A788" s="244"/>
      <c r="C788" s="263"/>
      <c r="D788" s="264"/>
      <c r="E788" s="244"/>
      <c r="F788" s="244"/>
      <c r="G788" s="244"/>
      <c r="H788" s="244"/>
      <c r="K788" s="265"/>
      <c r="S788" s="244"/>
    </row>
    <row r="789" spans="1:19" ht="15.75" customHeight="1" x14ac:dyDescent="0.25">
      <c r="A789" s="244"/>
      <c r="C789" s="263"/>
      <c r="D789" s="264"/>
      <c r="E789" s="244"/>
      <c r="F789" s="244"/>
      <c r="G789" s="244"/>
      <c r="H789" s="244"/>
      <c r="K789" s="265"/>
      <c r="S789" s="244"/>
    </row>
    <row r="790" spans="1:19" ht="15.75" customHeight="1" x14ac:dyDescent="0.25">
      <c r="A790" s="244"/>
      <c r="C790" s="263"/>
      <c r="D790" s="264"/>
      <c r="E790" s="244"/>
      <c r="F790" s="244"/>
      <c r="G790" s="244"/>
      <c r="H790" s="244"/>
      <c r="K790" s="265"/>
      <c r="S790" s="244"/>
    </row>
    <row r="791" spans="1:19" ht="15.75" customHeight="1" x14ac:dyDescent="0.25">
      <c r="A791" s="244"/>
      <c r="C791" s="263"/>
      <c r="D791" s="264"/>
      <c r="E791" s="244"/>
      <c r="F791" s="244"/>
      <c r="G791" s="244"/>
      <c r="H791" s="244"/>
      <c r="K791" s="265"/>
      <c r="S791" s="244"/>
    </row>
    <row r="792" spans="1:19" ht="15.75" customHeight="1" x14ac:dyDescent="0.25">
      <c r="A792" s="244"/>
      <c r="C792" s="263"/>
      <c r="D792" s="264"/>
      <c r="E792" s="244"/>
      <c r="F792" s="244"/>
      <c r="G792" s="244"/>
      <c r="H792" s="244"/>
      <c r="K792" s="265"/>
      <c r="S792" s="244"/>
    </row>
    <row r="793" spans="1:19" ht="15.75" customHeight="1" x14ac:dyDescent="0.25">
      <c r="A793" s="244"/>
      <c r="C793" s="263"/>
      <c r="D793" s="264"/>
      <c r="E793" s="244"/>
      <c r="F793" s="244"/>
      <c r="G793" s="244"/>
      <c r="H793" s="244"/>
      <c r="K793" s="265"/>
      <c r="S793" s="244"/>
    </row>
    <row r="794" spans="1:19" ht="15.75" customHeight="1" x14ac:dyDescent="0.25">
      <c r="A794" s="244"/>
      <c r="C794" s="263"/>
      <c r="D794" s="264"/>
      <c r="E794" s="244"/>
      <c r="F794" s="244"/>
      <c r="G794" s="244"/>
      <c r="H794" s="244"/>
      <c r="K794" s="265"/>
      <c r="S794" s="244"/>
    </row>
    <row r="795" spans="1:19" ht="15.75" customHeight="1" x14ac:dyDescent="0.25">
      <c r="A795" s="244"/>
      <c r="C795" s="263"/>
      <c r="D795" s="264"/>
      <c r="E795" s="244"/>
      <c r="F795" s="244"/>
      <c r="G795" s="244"/>
      <c r="H795" s="244"/>
      <c r="K795" s="265"/>
      <c r="S795" s="244"/>
    </row>
    <row r="796" spans="1:19" ht="15.75" customHeight="1" x14ac:dyDescent="0.25">
      <c r="A796" s="244"/>
      <c r="C796" s="263"/>
      <c r="D796" s="264"/>
      <c r="E796" s="244"/>
      <c r="F796" s="244"/>
      <c r="G796" s="244"/>
      <c r="H796" s="244"/>
      <c r="K796" s="265"/>
      <c r="S796" s="244"/>
    </row>
    <row r="797" spans="1:19" ht="15.75" customHeight="1" x14ac:dyDescent="0.25">
      <c r="A797" s="244"/>
      <c r="C797" s="263"/>
      <c r="D797" s="264"/>
      <c r="E797" s="244"/>
      <c r="F797" s="244"/>
      <c r="G797" s="244"/>
      <c r="H797" s="244"/>
      <c r="K797" s="265"/>
      <c r="S797" s="244"/>
    </row>
    <row r="798" spans="1:19" ht="15.75" customHeight="1" x14ac:dyDescent="0.25">
      <c r="A798" s="244"/>
      <c r="C798" s="263"/>
      <c r="D798" s="264"/>
      <c r="E798" s="244"/>
      <c r="F798" s="244"/>
      <c r="G798" s="244"/>
      <c r="H798" s="244"/>
      <c r="K798" s="265"/>
      <c r="S798" s="244"/>
    </row>
    <row r="799" spans="1:19" ht="15.75" customHeight="1" x14ac:dyDescent="0.25">
      <c r="A799" s="244"/>
      <c r="C799" s="263"/>
      <c r="D799" s="264"/>
      <c r="E799" s="244"/>
      <c r="F799" s="244"/>
      <c r="G799" s="244"/>
      <c r="H799" s="244"/>
      <c r="K799" s="265"/>
      <c r="S799" s="244"/>
    </row>
    <row r="800" spans="1:19" ht="15.75" customHeight="1" x14ac:dyDescent="0.25">
      <c r="A800" s="244"/>
      <c r="C800" s="263"/>
      <c r="D800" s="264"/>
      <c r="E800" s="244"/>
      <c r="F800" s="244"/>
      <c r="G800" s="244"/>
      <c r="H800" s="244"/>
      <c r="K800" s="265"/>
      <c r="S800" s="244"/>
    </row>
    <row r="801" spans="1:19" ht="15.75" customHeight="1" x14ac:dyDescent="0.25">
      <c r="A801" s="244"/>
      <c r="C801" s="263"/>
      <c r="D801" s="264"/>
      <c r="E801" s="244"/>
      <c r="F801" s="244"/>
      <c r="G801" s="244"/>
      <c r="H801" s="244"/>
      <c r="K801" s="265"/>
      <c r="S801" s="244"/>
    </row>
    <row r="802" spans="1:19" ht="15.75" customHeight="1" x14ac:dyDescent="0.25">
      <c r="A802" s="244"/>
      <c r="C802" s="263"/>
      <c r="D802" s="264"/>
      <c r="E802" s="244"/>
      <c r="F802" s="244"/>
      <c r="G802" s="244"/>
      <c r="H802" s="244"/>
      <c r="K802" s="265"/>
      <c r="S802" s="244"/>
    </row>
    <row r="803" spans="1:19" ht="15.75" customHeight="1" x14ac:dyDescent="0.25">
      <c r="A803" s="244"/>
      <c r="C803" s="263"/>
      <c r="D803" s="264"/>
      <c r="E803" s="244"/>
      <c r="F803" s="244"/>
      <c r="G803" s="244"/>
      <c r="H803" s="244"/>
      <c r="K803" s="265"/>
      <c r="S803" s="244"/>
    </row>
    <row r="804" spans="1:19" ht="15.75" customHeight="1" x14ac:dyDescent="0.25">
      <c r="A804" s="244"/>
      <c r="C804" s="263"/>
      <c r="D804" s="264"/>
      <c r="E804" s="244"/>
      <c r="F804" s="244"/>
      <c r="G804" s="244"/>
      <c r="H804" s="244"/>
      <c r="K804" s="265"/>
      <c r="S804" s="244"/>
    </row>
    <row r="805" spans="1:19" ht="15.75" customHeight="1" x14ac:dyDescent="0.25">
      <c r="A805" s="244"/>
      <c r="C805" s="263"/>
      <c r="D805" s="264"/>
      <c r="E805" s="244"/>
      <c r="F805" s="244"/>
      <c r="G805" s="244"/>
      <c r="H805" s="244"/>
      <c r="K805" s="265"/>
      <c r="S805" s="244"/>
    </row>
    <row r="806" spans="1:19" ht="15.75" customHeight="1" x14ac:dyDescent="0.25">
      <c r="A806" s="244"/>
      <c r="C806" s="263"/>
      <c r="D806" s="264"/>
      <c r="E806" s="244"/>
      <c r="F806" s="244"/>
      <c r="G806" s="244"/>
      <c r="H806" s="244"/>
      <c r="K806" s="265"/>
      <c r="S806" s="244"/>
    </row>
    <row r="807" spans="1:19" ht="15.75" customHeight="1" x14ac:dyDescent="0.25">
      <c r="A807" s="244"/>
      <c r="C807" s="263"/>
      <c r="D807" s="264"/>
      <c r="E807" s="244"/>
      <c r="F807" s="244"/>
      <c r="G807" s="244"/>
      <c r="H807" s="244"/>
      <c r="K807" s="265"/>
      <c r="S807" s="244"/>
    </row>
    <row r="808" spans="1:19" ht="15.75" customHeight="1" x14ac:dyDescent="0.25">
      <c r="A808" s="244"/>
      <c r="C808" s="263"/>
      <c r="D808" s="264"/>
      <c r="E808" s="244"/>
      <c r="F808" s="244"/>
      <c r="G808" s="244"/>
      <c r="H808" s="244"/>
      <c r="K808" s="265"/>
      <c r="S808" s="244"/>
    </row>
    <row r="809" spans="1:19" ht="15.75" customHeight="1" x14ac:dyDescent="0.25">
      <c r="A809" s="244"/>
      <c r="C809" s="263"/>
      <c r="D809" s="264"/>
      <c r="E809" s="244"/>
      <c r="F809" s="244"/>
      <c r="G809" s="244"/>
      <c r="H809" s="244"/>
      <c r="K809" s="265"/>
      <c r="S809" s="244"/>
    </row>
    <row r="810" spans="1:19" ht="15.75" customHeight="1" x14ac:dyDescent="0.25">
      <c r="A810" s="244"/>
      <c r="C810" s="263"/>
      <c r="D810" s="264"/>
      <c r="E810" s="244"/>
      <c r="F810" s="244"/>
      <c r="G810" s="244"/>
      <c r="H810" s="244"/>
      <c r="K810" s="265"/>
      <c r="S810" s="244"/>
    </row>
    <row r="811" spans="1:19" ht="15.75" customHeight="1" x14ac:dyDescent="0.25">
      <c r="A811" s="244"/>
      <c r="C811" s="263"/>
      <c r="D811" s="264"/>
      <c r="E811" s="244"/>
      <c r="F811" s="244"/>
      <c r="G811" s="244"/>
      <c r="H811" s="244"/>
      <c r="K811" s="265"/>
      <c r="S811" s="244"/>
    </row>
    <row r="812" spans="1:19" ht="15.75" customHeight="1" x14ac:dyDescent="0.25">
      <c r="A812" s="244"/>
      <c r="C812" s="263"/>
      <c r="D812" s="264"/>
      <c r="E812" s="244"/>
      <c r="F812" s="244"/>
      <c r="G812" s="244"/>
      <c r="H812" s="244"/>
      <c r="K812" s="265"/>
      <c r="S812" s="244"/>
    </row>
    <row r="813" spans="1:19" ht="15.75" customHeight="1" x14ac:dyDescent="0.25">
      <c r="A813" s="244"/>
      <c r="C813" s="263"/>
      <c r="D813" s="264"/>
      <c r="E813" s="244"/>
      <c r="F813" s="244"/>
      <c r="G813" s="244"/>
      <c r="H813" s="244"/>
      <c r="K813" s="265"/>
      <c r="S813" s="244"/>
    </row>
    <row r="814" spans="1:19" ht="15.75" customHeight="1" x14ac:dyDescent="0.25">
      <c r="A814" s="244"/>
      <c r="C814" s="263"/>
      <c r="D814" s="264"/>
      <c r="E814" s="244"/>
      <c r="F814" s="244"/>
      <c r="G814" s="244"/>
      <c r="H814" s="244"/>
      <c r="K814" s="265"/>
      <c r="S814" s="244"/>
    </row>
    <row r="815" spans="1:19" ht="15.75" customHeight="1" x14ac:dyDescent="0.25">
      <c r="A815" s="244"/>
      <c r="C815" s="263"/>
      <c r="D815" s="264"/>
      <c r="E815" s="244"/>
      <c r="F815" s="244"/>
      <c r="G815" s="244"/>
      <c r="H815" s="244"/>
      <c r="K815" s="265"/>
      <c r="S815" s="244"/>
    </row>
    <row r="816" spans="1:19" ht="15.75" customHeight="1" x14ac:dyDescent="0.25">
      <c r="A816" s="244"/>
      <c r="C816" s="263"/>
      <c r="D816" s="264"/>
      <c r="E816" s="244"/>
      <c r="F816" s="244"/>
      <c r="G816" s="244"/>
      <c r="H816" s="244"/>
      <c r="K816" s="265"/>
      <c r="S816" s="244"/>
    </row>
    <row r="817" spans="1:19" ht="15.75" customHeight="1" x14ac:dyDescent="0.25">
      <c r="A817" s="244"/>
      <c r="C817" s="263"/>
      <c r="D817" s="264"/>
      <c r="E817" s="244"/>
      <c r="F817" s="244"/>
      <c r="G817" s="244"/>
      <c r="H817" s="244"/>
      <c r="K817" s="265"/>
      <c r="S817" s="244"/>
    </row>
    <row r="818" spans="1:19" ht="15.75" customHeight="1" x14ac:dyDescent="0.25">
      <c r="A818" s="244"/>
      <c r="C818" s="263"/>
      <c r="D818" s="264"/>
      <c r="E818" s="244"/>
      <c r="F818" s="244"/>
      <c r="G818" s="244"/>
      <c r="H818" s="244"/>
      <c r="K818" s="265"/>
      <c r="S818" s="244"/>
    </row>
    <row r="819" spans="1:19" ht="15.75" customHeight="1" x14ac:dyDescent="0.25">
      <c r="A819" s="244"/>
      <c r="C819" s="263"/>
      <c r="D819" s="264"/>
      <c r="E819" s="244"/>
      <c r="F819" s="244"/>
      <c r="G819" s="244"/>
      <c r="H819" s="244"/>
      <c r="K819" s="265"/>
      <c r="S819" s="244"/>
    </row>
    <row r="820" spans="1:19" ht="15.75" customHeight="1" x14ac:dyDescent="0.25">
      <c r="A820" s="244"/>
      <c r="C820" s="263"/>
      <c r="D820" s="264"/>
      <c r="E820" s="244"/>
      <c r="F820" s="244"/>
      <c r="G820" s="244"/>
      <c r="H820" s="244"/>
      <c r="K820" s="265"/>
      <c r="S820" s="244"/>
    </row>
    <row r="821" spans="1:19" ht="15.75" customHeight="1" x14ac:dyDescent="0.25">
      <c r="A821" s="244"/>
      <c r="C821" s="263"/>
      <c r="D821" s="264"/>
      <c r="E821" s="244"/>
      <c r="F821" s="244"/>
      <c r="G821" s="244"/>
      <c r="H821" s="244"/>
      <c r="K821" s="265"/>
      <c r="S821" s="244"/>
    </row>
    <row r="822" spans="1:19" ht="15.75" customHeight="1" x14ac:dyDescent="0.25">
      <c r="A822" s="244"/>
      <c r="C822" s="263"/>
      <c r="D822" s="264"/>
      <c r="E822" s="244"/>
      <c r="F822" s="244"/>
      <c r="G822" s="244"/>
      <c r="H822" s="244"/>
      <c r="K822" s="265"/>
      <c r="S822" s="244"/>
    </row>
    <row r="823" spans="1:19" ht="15.75" customHeight="1" x14ac:dyDescent="0.25">
      <c r="A823" s="244"/>
      <c r="C823" s="263"/>
      <c r="D823" s="264"/>
      <c r="E823" s="244"/>
      <c r="F823" s="244"/>
      <c r="G823" s="244"/>
      <c r="H823" s="244"/>
      <c r="K823" s="265"/>
      <c r="S823" s="244"/>
    </row>
    <row r="824" spans="1:19" ht="15.75" customHeight="1" x14ac:dyDescent="0.25">
      <c r="A824" s="244"/>
      <c r="C824" s="263"/>
      <c r="D824" s="264"/>
      <c r="E824" s="244"/>
      <c r="F824" s="244"/>
      <c r="G824" s="244"/>
      <c r="H824" s="244"/>
      <c r="K824" s="265"/>
      <c r="S824" s="244"/>
    </row>
    <row r="825" spans="1:19" ht="15.75" customHeight="1" x14ac:dyDescent="0.25">
      <c r="A825" s="244"/>
      <c r="C825" s="263"/>
      <c r="D825" s="264"/>
      <c r="E825" s="244"/>
      <c r="F825" s="244"/>
      <c r="G825" s="244"/>
      <c r="H825" s="244"/>
      <c r="K825" s="265"/>
      <c r="S825" s="244"/>
    </row>
    <row r="826" spans="1:19" ht="15.75" customHeight="1" x14ac:dyDescent="0.25">
      <c r="A826" s="244"/>
      <c r="C826" s="263"/>
      <c r="D826" s="264"/>
      <c r="E826" s="244"/>
      <c r="F826" s="244"/>
      <c r="G826" s="244"/>
      <c r="H826" s="244"/>
      <c r="K826" s="265"/>
      <c r="S826" s="244"/>
    </row>
    <row r="827" spans="1:19" ht="15.75" customHeight="1" x14ac:dyDescent="0.25">
      <c r="A827" s="244"/>
      <c r="C827" s="263"/>
      <c r="D827" s="264"/>
      <c r="E827" s="244"/>
      <c r="F827" s="244"/>
      <c r="G827" s="244"/>
      <c r="H827" s="244"/>
      <c r="K827" s="265"/>
      <c r="S827" s="244"/>
    </row>
    <row r="828" spans="1:19" ht="15.75" customHeight="1" x14ac:dyDescent="0.25">
      <c r="A828" s="244"/>
      <c r="C828" s="263"/>
      <c r="D828" s="264"/>
      <c r="E828" s="244"/>
      <c r="F828" s="244"/>
      <c r="G828" s="244"/>
      <c r="H828" s="244"/>
      <c r="K828" s="265"/>
      <c r="S828" s="244"/>
    </row>
    <row r="829" spans="1:19" ht="15.75" customHeight="1" x14ac:dyDescent="0.25">
      <c r="A829" s="244"/>
      <c r="C829" s="263"/>
      <c r="D829" s="264"/>
      <c r="E829" s="244"/>
      <c r="F829" s="244"/>
      <c r="G829" s="244"/>
      <c r="H829" s="244"/>
      <c r="K829" s="265"/>
      <c r="S829" s="244"/>
    </row>
    <row r="830" spans="1:19" ht="15.75" customHeight="1" x14ac:dyDescent="0.25">
      <c r="A830" s="244"/>
      <c r="C830" s="263"/>
      <c r="D830" s="264"/>
      <c r="E830" s="244"/>
      <c r="F830" s="244"/>
      <c r="G830" s="244"/>
      <c r="H830" s="244"/>
      <c r="K830" s="265"/>
      <c r="S830" s="244"/>
    </row>
    <row r="831" spans="1:19" ht="15.75" customHeight="1" x14ac:dyDescent="0.25">
      <c r="A831" s="244"/>
      <c r="C831" s="263"/>
      <c r="D831" s="264"/>
      <c r="E831" s="244"/>
      <c r="F831" s="244"/>
      <c r="G831" s="244"/>
      <c r="H831" s="244"/>
      <c r="K831" s="265"/>
      <c r="S831" s="244"/>
    </row>
    <row r="832" spans="1:19" ht="15.75" customHeight="1" x14ac:dyDescent="0.25">
      <c r="A832" s="244"/>
      <c r="C832" s="263"/>
      <c r="D832" s="264"/>
      <c r="E832" s="244"/>
      <c r="F832" s="244"/>
      <c r="G832" s="244"/>
      <c r="H832" s="244"/>
      <c r="K832" s="265"/>
      <c r="S832" s="244"/>
    </row>
    <row r="833" spans="1:19" ht="15.75" customHeight="1" x14ac:dyDescent="0.25">
      <c r="A833" s="244"/>
      <c r="C833" s="263"/>
      <c r="D833" s="264"/>
      <c r="E833" s="244"/>
      <c r="F833" s="244"/>
      <c r="G833" s="244"/>
      <c r="H833" s="244"/>
      <c r="K833" s="265"/>
      <c r="S833" s="244"/>
    </row>
    <row r="834" spans="1:19" ht="15.75" customHeight="1" x14ac:dyDescent="0.25">
      <c r="A834" s="244"/>
      <c r="C834" s="263"/>
      <c r="D834" s="264"/>
      <c r="E834" s="244"/>
      <c r="F834" s="244"/>
      <c r="G834" s="244"/>
      <c r="H834" s="244"/>
      <c r="K834" s="265"/>
      <c r="S834" s="244"/>
    </row>
    <row r="835" spans="1:19" ht="15.75" customHeight="1" x14ac:dyDescent="0.25">
      <c r="A835" s="244"/>
      <c r="C835" s="263"/>
      <c r="D835" s="264"/>
      <c r="E835" s="244"/>
      <c r="F835" s="244"/>
      <c r="G835" s="244"/>
      <c r="H835" s="244"/>
      <c r="K835" s="265"/>
      <c r="S835" s="244"/>
    </row>
    <row r="836" spans="1:19" ht="15.75" customHeight="1" x14ac:dyDescent="0.25">
      <c r="A836" s="244"/>
      <c r="C836" s="263"/>
      <c r="D836" s="264"/>
      <c r="E836" s="244"/>
      <c r="F836" s="244"/>
      <c r="G836" s="244"/>
      <c r="H836" s="244"/>
      <c r="K836" s="265"/>
      <c r="S836" s="244"/>
    </row>
    <row r="837" spans="1:19" ht="15.75" customHeight="1" x14ac:dyDescent="0.25">
      <c r="A837" s="244"/>
      <c r="C837" s="263"/>
      <c r="D837" s="264"/>
      <c r="E837" s="244"/>
      <c r="F837" s="244"/>
      <c r="G837" s="244"/>
      <c r="H837" s="244"/>
      <c r="K837" s="265"/>
      <c r="S837" s="244"/>
    </row>
    <row r="838" spans="1:19" ht="15.75" customHeight="1" x14ac:dyDescent="0.25">
      <c r="A838" s="244"/>
      <c r="C838" s="263"/>
      <c r="D838" s="264"/>
      <c r="E838" s="244"/>
      <c r="F838" s="244"/>
      <c r="G838" s="244"/>
      <c r="H838" s="244"/>
      <c r="K838" s="265"/>
      <c r="S838" s="244"/>
    </row>
    <row r="839" spans="1:19" ht="15.75" customHeight="1" x14ac:dyDescent="0.25">
      <c r="A839" s="244"/>
      <c r="C839" s="263"/>
      <c r="D839" s="264"/>
      <c r="E839" s="244"/>
      <c r="F839" s="244"/>
      <c r="G839" s="244"/>
      <c r="H839" s="244"/>
      <c r="K839" s="265"/>
      <c r="S839" s="244"/>
    </row>
    <row r="840" spans="1:19" ht="15.75" customHeight="1" x14ac:dyDescent="0.25">
      <c r="A840" s="244"/>
      <c r="C840" s="263"/>
      <c r="D840" s="264"/>
      <c r="E840" s="244"/>
      <c r="F840" s="244"/>
      <c r="G840" s="244"/>
      <c r="H840" s="244"/>
      <c r="K840" s="265"/>
      <c r="S840" s="244"/>
    </row>
    <row r="841" spans="1:19" ht="15.75" customHeight="1" x14ac:dyDescent="0.25">
      <c r="A841" s="244"/>
      <c r="C841" s="263"/>
      <c r="D841" s="264"/>
      <c r="E841" s="244"/>
      <c r="F841" s="244"/>
      <c r="G841" s="244"/>
      <c r="H841" s="244"/>
      <c r="K841" s="265"/>
      <c r="S841" s="244"/>
    </row>
    <row r="842" spans="1:19" ht="15.75" customHeight="1" x14ac:dyDescent="0.25">
      <c r="A842" s="244"/>
      <c r="C842" s="263"/>
      <c r="D842" s="264"/>
      <c r="E842" s="244"/>
      <c r="F842" s="244"/>
      <c r="G842" s="244"/>
      <c r="H842" s="244"/>
      <c r="K842" s="265"/>
      <c r="S842" s="244"/>
    </row>
    <row r="843" spans="1:19" ht="15.75" customHeight="1" x14ac:dyDescent="0.25">
      <c r="A843" s="244"/>
      <c r="C843" s="263"/>
      <c r="D843" s="264"/>
      <c r="E843" s="244"/>
      <c r="F843" s="244"/>
      <c r="G843" s="244"/>
      <c r="H843" s="244"/>
      <c r="K843" s="265"/>
      <c r="S843" s="244"/>
    </row>
    <row r="844" spans="1:19" ht="15.75" customHeight="1" x14ac:dyDescent="0.25">
      <c r="A844" s="244"/>
      <c r="C844" s="263"/>
      <c r="D844" s="264"/>
      <c r="E844" s="244"/>
      <c r="F844" s="244"/>
      <c r="G844" s="244"/>
      <c r="H844" s="244"/>
      <c r="K844" s="265"/>
      <c r="S844" s="244"/>
    </row>
    <row r="845" spans="1:19" ht="15.75" customHeight="1" x14ac:dyDescent="0.25">
      <c r="A845" s="244"/>
      <c r="C845" s="263"/>
      <c r="D845" s="264"/>
      <c r="E845" s="244"/>
      <c r="F845" s="244"/>
      <c r="G845" s="244"/>
      <c r="H845" s="244"/>
      <c r="K845" s="265"/>
      <c r="S845" s="244"/>
    </row>
    <row r="846" spans="1:19" ht="15.75" customHeight="1" x14ac:dyDescent="0.25">
      <c r="A846" s="244"/>
      <c r="C846" s="263"/>
      <c r="D846" s="264"/>
      <c r="E846" s="244"/>
      <c r="F846" s="244"/>
      <c r="G846" s="244"/>
      <c r="H846" s="244"/>
      <c r="K846" s="265"/>
      <c r="S846" s="244"/>
    </row>
    <row r="847" spans="1:19" ht="15.75" customHeight="1" x14ac:dyDescent="0.25">
      <c r="A847" s="244"/>
      <c r="C847" s="263"/>
      <c r="D847" s="264"/>
      <c r="E847" s="244"/>
      <c r="F847" s="244"/>
      <c r="G847" s="244"/>
      <c r="H847" s="244"/>
      <c r="K847" s="265"/>
      <c r="S847" s="244"/>
    </row>
    <row r="848" spans="1:19" ht="15.75" customHeight="1" x14ac:dyDescent="0.25">
      <c r="A848" s="244"/>
      <c r="C848" s="263"/>
      <c r="D848" s="264"/>
      <c r="E848" s="244"/>
      <c r="F848" s="244"/>
      <c r="G848" s="244"/>
      <c r="H848" s="244"/>
      <c r="K848" s="265"/>
      <c r="S848" s="244"/>
    </row>
    <row r="849" spans="1:19" ht="15.75" customHeight="1" x14ac:dyDescent="0.25">
      <c r="A849" s="244"/>
      <c r="C849" s="263"/>
      <c r="D849" s="264"/>
      <c r="E849" s="244"/>
      <c r="F849" s="244"/>
      <c r="G849" s="244"/>
      <c r="H849" s="244"/>
      <c r="K849" s="265"/>
      <c r="S849" s="244"/>
    </row>
    <row r="850" spans="1:19" ht="15.75" customHeight="1" x14ac:dyDescent="0.25">
      <c r="A850" s="244"/>
      <c r="C850" s="263"/>
      <c r="D850" s="264"/>
      <c r="E850" s="244"/>
      <c r="F850" s="244"/>
      <c r="G850" s="244"/>
      <c r="H850" s="244"/>
      <c r="K850" s="265"/>
      <c r="S850" s="244"/>
    </row>
    <row r="851" spans="1:19" ht="15.75" customHeight="1" x14ac:dyDescent="0.25">
      <c r="A851" s="244"/>
      <c r="C851" s="263"/>
      <c r="D851" s="264"/>
      <c r="E851" s="244"/>
      <c r="F851" s="244"/>
      <c r="G851" s="244"/>
      <c r="H851" s="244"/>
      <c r="K851" s="265"/>
      <c r="S851" s="244"/>
    </row>
    <row r="852" spans="1:19" ht="15.75" customHeight="1" x14ac:dyDescent="0.25">
      <c r="A852" s="244"/>
      <c r="C852" s="263"/>
      <c r="D852" s="264"/>
      <c r="E852" s="244"/>
      <c r="F852" s="244"/>
      <c r="G852" s="244"/>
      <c r="H852" s="244"/>
      <c r="K852" s="265"/>
      <c r="S852" s="244"/>
    </row>
    <row r="853" spans="1:19" ht="15.75" customHeight="1" x14ac:dyDescent="0.25">
      <c r="A853" s="244"/>
      <c r="C853" s="263"/>
      <c r="D853" s="264"/>
      <c r="E853" s="244"/>
      <c r="F853" s="244"/>
      <c r="G853" s="244"/>
      <c r="H853" s="244"/>
      <c r="K853" s="265"/>
      <c r="S853" s="244"/>
    </row>
    <row r="854" spans="1:19" ht="15.75" customHeight="1" x14ac:dyDescent="0.25">
      <c r="A854" s="244"/>
      <c r="C854" s="263"/>
      <c r="D854" s="264"/>
      <c r="E854" s="244"/>
      <c r="F854" s="244"/>
      <c r="G854" s="244"/>
      <c r="H854" s="244"/>
      <c r="K854" s="265"/>
      <c r="S854" s="244"/>
    </row>
    <row r="855" spans="1:19" ht="15.75" customHeight="1" x14ac:dyDescent="0.25">
      <c r="A855" s="244"/>
      <c r="C855" s="263"/>
      <c r="D855" s="264"/>
      <c r="E855" s="244"/>
      <c r="F855" s="244"/>
      <c r="G855" s="244"/>
      <c r="H855" s="244"/>
      <c r="K855" s="265"/>
      <c r="S855" s="244"/>
    </row>
    <row r="856" spans="1:19" ht="15.75" customHeight="1" x14ac:dyDescent="0.25">
      <c r="A856" s="244"/>
      <c r="C856" s="263"/>
      <c r="D856" s="264"/>
      <c r="E856" s="244"/>
      <c r="F856" s="244"/>
      <c r="G856" s="244"/>
      <c r="H856" s="244"/>
      <c r="K856" s="265"/>
      <c r="S856" s="244"/>
    </row>
    <row r="857" spans="1:19" ht="15.75" customHeight="1" x14ac:dyDescent="0.25">
      <c r="A857" s="244"/>
      <c r="C857" s="263"/>
      <c r="D857" s="264"/>
      <c r="E857" s="244"/>
      <c r="F857" s="244"/>
      <c r="G857" s="244"/>
      <c r="H857" s="244"/>
      <c r="K857" s="265"/>
      <c r="S857" s="244"/>
    </row>
    <row r="858" spans="1:19" ht="15.75" customHeight="1" x14ac:dyDescent="0.25">
      <c r="A858" s="244"/>
      <c r="C858" s="263"/>
      <c r="D858" s="264"/>
      <c r="E858" s="244"/>
      <c r="F858" s="244"/>
      <c r="G858" s="244"/>
      <c r="H858" s="244"/>
      <c r="K858" s="265"/>
      <c r="S858" s="244"/>
    </row>
    <row r="859" spans="1:19" ht="15.75" customHeight="1" x14ac:dyDescent="0.25">
      <c r="A859" s="244"/>
      <c r="C859" s="263"/>
      <c r="D859" s="264"/>
      <c r="E859" s="244"/>
      <c r="F859" s="244"/>
      <c r="G859" s="244"/>
      <c r="H859" s="244"/>
      <c r="K859" s="265"/>
      <c r="S859" s="244"/>
    </row>
    <row r="860" spans="1:19" ht="15.75" customHeight="1" x14ac:dyDescent="0.25">
      <c r="A860" s="244"/>
      <c r="C860" s="263"/>
      <c r="D860" s="264"/>
      <c r="E860" s="244"/>
      <c r="F860" s="244"/>
      <c r="G860" s="244"/>
      <c r="H860" s="244"/>
      <c r="K860" s="265"/>
      <c r="S860" s="244"/>
    </row>
    <row r="861" spans="1:19" ht="15.75" customHeight="1" x14ac:dyDescent="0.25">
      <c r="A861" s="244"/>
      <c r="C861" s="263"/>
      <c r="D861" s="264"/>
      <c r="E861" s="244"/>
      <c r="F861" s="244"/>
      <c r="G861" s="244"/>
      <c r="H861" s="244"/>
      <c r="K861" s="265"/>
      <c r="S861" s="244"/>
    </row>
    <row r="862" spans="1:19" ht="15.75" customHeight="1" x14ac:dyDescent="0.25">
      <c r="A862" s="244"/>
      <c r="C862" s="263"/>
      <c r="D862" s="264"/>
      <c r="E862" s="244"/>
      <c r="F862" s="244"/>
      <c r="G862" s="244"/>
      <c r="H862" s="244"/>
      <c r="K862" s="265"/>
      <c r="S862" s="244"/>
    </row>
    <row r="863" spans="1:19" ht="15.75" customHeight="1" x14ac:dyDescent="0.25">
      <c r="A863" s="244"/>
      <c r="C863" s="263"/>
      <c r="D863" s="264"/>
      <c r="E863" s="244"/>
      <c r="F863" s="244"/>
      <c r="G863" s="244"/>
      <c r="H863" s="244"/>
      <c r="K863" s="265"/>
      <c r="S863" s="244"/>
    </row>
    <row r="864" spans="1:19" ht="15.75" customHeight="1" x14ac:dyDescent="0.25">
      <c r="A864" s="244"/>
      <c r="C864" s="263"/>
      <c r="D864" s="264"/>
      <c r="E864" s="244"/>
      <c r="F864" s="244"/>
      <c r="G864" s="244"/>
      <c r="H864" s="244"/>
      <c r="K864" s="265"/>
      <c r="S864" s="244"/>
    </row>
    <row r="865" spans="1:19" ht="15.75" customHeight="1" x14ac:dyDescent="0.25">
      <c r="A865" s="244"/>
      <c r="C865" s="263"/>
      <c r="D865" s="264"/>
      <c r="E865" s="244"/>
      <c r="F865" s="244"/>
      <c r="G865" s="244"/>
      <c r="H865" s="244"/>
      <c r="K865" s="265"/>
      <c r="S865" s="244"/>
    </row>
    <row r="866" spans="1:19" ht="15.75" customHeight="1" x14ac:dyDescent="0.25">
      <c r="A866" s="244"/>
      <c r="C866" s="263"/>
      <c r="D866" s="264"/>
      <c r="E866" s="244"/>
      <c r="F866" s="244"/>
      <c r="G866" s="244"/>
      <c r="H866" s="244"/>
      <c r="K866" s="265"/>
      <c r="S866" s="244"/>
    </row>
    <row r="867" spans="1:19" ht="15.75" customHeight="1" x14ac:dyDescent="0.25">
      <c r="A867" s="244"/>
      <c r="C867" s="263"/>
      <c r="D867" s="264"/>
      <c r="E867" s="244"/>
      <c r="F867" s="244"/>
      <c r="G867" s="244"/>
      <c r="H867" s="244"/>
      <c r="K867" s="265"/>
      <c r="S867" s="244"/>
    </row>
    <row r="868" spans="1:19" ht="15.75" customHeight="1" x14ac:dyDescent="0.25">
      <c r="A868" s="244"/>
      <c r="C868" s="263"/>
      <c r="D868" s="264"/>
      <c r="E868" s="244"/>
      <c r="F868" s="244"/>
      <c r="G868" s="244"/>
      <c r="H868" s="244"/>
      <c r="K868" s="265"/>
      <c r="S868" s="244"/>
    </row>
    <row r="869" spans="1:19" ht="15.75" customHeight="1" x14ac:dyDescent="0.25">
      <c r="A869" s="244"/>
      <c r="C869" s="263"/>
      <c r="D869" s="264"/>
      <c r="E869" s="244"/>
      <c r="F869" s="244"/>
      <c r="G869" s="244"/>
      <c r="H869" s="244"/>
      <c r="K869" s="265"/>
      <c r="S869" s="244"/>
    </row>
    <row r="870" spans="1:19" ht="15.75" customHeight="1" x14ac:dyDescent="0.25">
      <c r="A870" s="244"/>
      <c r="C870" s="263"/>
      <c r="D870" s="264"/>
      <c r="E870" s="244"/>
      <c r="F870" s="244"/>
      <c r="G870" s="244"/>
      <c r="H870" s="244"/>
      <c r="K870" s="265"/>
      <c r="S870" s="244"/>
    </row>
    <row r="871" spans="1:19" ht="15.75" customHeight="1" x14ac:dyDescent="0.25">
      <c r="A871" s="244"/>
      <c r="C871" s="263"/>
      <c r="D871" s="264"/>
      <c r="E871" s="244"/>
      <c r="F871" s="244"/>
      <c r="G871" s="244"/>
      <c r="H871" s="244"/>
      <c r="K871" s="265"/>
      <c r="S871" s="244"/>
    </row>
    <row r="872" spans="1:19" ht="15.75" customHeight="1" x14ac:dyDescent="0.25">
      <c r="A872" s="244"/>
      <c r="C872" s="263"/>
      <c r="D872" s="264"/>
      <c r="E872" s="244"/>
      <c r="F872" s="244"/>
      <c r="G872" s="244"/>
      <c r="H872" s="244"/>
      <c r="K872" s="265"/>
      <c r="S872" s="244"/>
    </row>
    <row r="873" spans="1:19" ht="15.75" customHeight="1" x14ac:dyDescent="0.25">
      <c r="A873" s="244"/>
      <c r="C873" s="263"/>
      <c r="D873" s="264"/>
      <c r="E873" s="244"/>
      <c r="F873" s="244"/>
      <c r="G873" s="244"/>
      <c r="H873" s="244"/>
      <c r="K873" s="265"/>
      <c r="S873" s="244"/>
    </row>
    <row r="874" spans="1:19" ht="15.75" customHeight="1" x14ac:dyDescent="0.25">
      <c r="A874" s="244"/>
      <c r="C874" s="263"/>
      <c r="D874" s="264"/>
      <c r="E874" s="244"/>
      <c r="F874" s="244"/>
      <c r="G874" s="244"/>
      <c r="H874" s="244"/>
      <c r="K874" s="265"/>
      <c r="S874" s="244"/>
    </row>
    <row r="875" spans="1:19" ht="15.75" customHeight="1" x14ac:dyDescent="0.25">
      <c r="A875" s="244"/>
      <c r="C875" s="263"/>
      <c r="D875" s="264"/>
      <c r="E875" s="244"/>
      <c r="F875" s="244"/>
      <c r="G875" s="244"/>
      <c r="H875" s="244"/>
      <c r="K875" s="265"/>
      <c r="S875" s="244"/>
    </row>
    <row r="876" spans="1:19" ht="15.75" customHeight="1" x14ac:dyDescent="0.25">
      <c r="A876" s="244"/>
      <c r="C876" s="263"/>
      <c r="D876" s="264"/>
      <c r="E876" s="244"/>
      <c r="F876" s="244"/>
      <c r="G876" s="244"/>
      <c r="H876" s="244"/>
      <c r="K876" s="265"/>
      <c r="S876" s="244"/>
    </row>
    <row r="877" spans="1:19" ht="15.75" customHeight="1" x14ac:dyDescent="0.25">
      <c r="A877" s="244"/>
      <c r="C877" s="263"/>
      <c r="D877" s="264"/>
      <c r="E877" s="244"/>
      <c r="F877" s="244"/>
      <c r="G877" s="244"/>
      <c r="H877" s="244"/>
      <c r="K877" s="265"/>
      <c r="S877" s="244"/>
    </row>
    <row r="878" spans="1:19" ht="15.75" customHeight="1" x14ac:dyDescent="0.25">
      <c r="A878" s="244"/>
      <c r="C878" s="263"/>
      <c r="D878" s="264"/>
      <c r="E878" s="244"/>
      <c r="F878" s="244"/>
      <c r="G878" s="244"/>
      <c r="H878" s="244"/>
      <c r="K878" s="265"/>
      <c r="S878" s="244"/>
    </row>
    <row r="879" spans="1:19" ht="15.75" customHeight="1" x14ac:dyDescent="0.25">
      <c r="A879" s="244"/>
      <c r="C879" s="263"/>
      <c r="D879" s="264"/>
      <c r="E879" s="244"/>
      <c r="F879" s="244"/>
      <c r="G879" s="244"/>
      <c r="H879" s="244"/>
      <c r="K879" s="265"/>
      <c r="S879" s="244"/>
    </row>
    <row r="880" spans="1:19" ht="15.75" customHeight="1" x14ac:dyDescent="0.25">
      <c r="A880" s="244"/>
      <c r="C880" s="263"/>
      <c r="D880" s="264"/>
      <c r="E880" s="244"/>
      <c r="F880" s="244"/>
      <c r="G880" s="244"/>
      <c r="H880" s="244"/>
      <c r="K880" s="265"/>
      <c r="S880" s="244"/>
    </row>
    <row r="881" spans="1:19" ht="15.75" customHeight="1" x14ac:dyDescent="0.25">
      <c r="A881" s="244"/>
      <c r="C881" s="263"/>
      <c r="D881" s="264"/>
      <c r="E881" s="244"/>
      <c r="F881" s="244"/>
      <c r="G881" s="244"/>
      <c r="H881" s="244"/>
      <c r="K881" s="265"/>
      <c r="S881" s="244"/>
    </row>
    <row r="882" spans="1:19" ht="15.75" customHeight="1" x14ac:dyDescent="0.25">
      <c r="A882" s="244"/>
      <c r="C882" s="263"/>
      <c r="D882" s="264"/>
      <c r="E882" s="244"/>
      <c r="F882" s="244"/>
      <c r="G882" s="244"/>
      <c r="H882" s="244"/>
      <c r="K882" s="265"/>
      <c r="S882" s="244"/>
    </row>
    <row r="883" spans="1:19" ht="15.75" customHeight="1" x14ac:dyDescent="0.25">
      <c r="A883" s="244"/>
      <c r="C883" s="263"/>
      <c r="D883" s="264"/>
      <c r="E883" s="244"/>
      <c r="F883" s="244"/>
      <c r="G883" s="244"/>
      <c r="H883" s="244"/>
      <c r="K883" s="265"/>
      <c r="S883" s="244"/>
    </row>
    <row r="884" spans="1:19" ht="15.75" customHeight="1" x14ac:dyDescent="0.25">
      <c r="A884" s="244"/>
      <c r="C884" s="263"/>
      <c r="D884" s="264"/>
      <c r="E884" s="244"/>
      <c r="F884" s="244"/>
      <c r="G884" s="244"/>
      <c r="H884" s="244"/>
      <c r="K884" s="265"/>
      <c r="S884" s="244"/>
    </row>
    <row r="885" spans="1:19" ht="15.75" customHeight="1" x14ac:dyDescent="0.25">
      <c r="A885" s="244"/>
      <c r="C885" s="263"/>
      <c r="D885" s="264"/>
      <c r="E885" s="244"/>
      <c r="F885" s="244"/>
      <c r="G885" s="244"/>
      <c r="H885" s="244"/>
      <c r="K885" s="265"/>
      <c r="S885" s="244"/>
    </row>
    <row r="886" spans="1:19" ht="15.75" customHeight="1" x14ac:dyDescent="0.25">
      <c r="A886" s="244"/>
      <c r="C886" s="263"/>
      <c r="D886" s="264"/>
      <c r="E886" s="244"/>
      <c r="F886" s="244"/>
      <c r="G886" s="244"/>
      <c r="H886" s="244"/>
      <c r="K886" s="265"/>
      <c r="S886" s="244"/>
    </row>
    <row r="887" spans="1:19" ht="15.75" customHeight="1" x14ac:dyDescent="0.25">
      <c r="A887" s="244"/>
      <c r="C887" s="263"/>
      <c r="D887" s="264"/>
      <c r="E887" s="244"/>
      <c r="F887" s="244"/>
      <c r="G887" s="244"/>
      <c r="H887" s="244"/>
      <c r="K887" s="265"/>
      <c r="S887" s="244"/>
    </row>
    <row r="888" spans="1:19" ht="15.75" customHeight="1" x14ac:dyDescent="0.25">
      <c r="A888" s="244"/>
      <c r="C888" s="263"/>
      <c r="D888" s="264"/>
      <c r="E888" s="244"/>
      <c r="F888" s="244"/>
      <c r="G888" s="244"/>
      <c r="H888" s="244"/>
      <c r="K888" s="265"/>
      <c r="S888" s="244"/>
    </row>
    <row r="889" spans="1:19" ht="15.75" customHeight="1" x14ac:dyDescent="0.25">
      <c r="A889" s="244"/>
      <c r="C889" s="263"/>
      <c r="D889" s="264"/>
      <c r="E889" s="244"/>
      <c r="F889" s="244"/>
      <c r="G889" s="244"/>
      <c r="H889" s="244"/>
      <c r="K889" s="265"/>
      <c r="S889" s="244"/>
    </row>
    <row r="890" spans="1:19" ht="15.75" customHeight="1" x14ac:dyDescent="0.25">
      <c r="A890" s="244"/>
      <c r="C890" s="263"/>
      <c r="D890" s="264"/>
      <c r="E890" s="244"/>
      <c r="F890" s="244"/>
      <c r="G890" s="244"/>
      <c r="H890" s="244"/>
      <c r="K890" s="265"/>
      <c r="S890" s="244"/>
    </row>
    <row r="891" spans="1:19" ht="15.75" customHeight="1" x14ac:dyDescent="0.25">
      <c r="A891" s="244"/>
      <c r="C891" s="263"/>
      <c r="D891" s="264"/>
      <c r="E891" s="244"/>
      <c r="F891" s="244"/>
      <c r="G891" s="244"/>
      <c r="H891" s="244"/>
      <c r="K891" s="265"/>
      <c r="S891" s="244"/>
    </row>
    <row r="892" spans="1:19" ht="15.75" customHeight="1" x14ac:dyDescent="0.25">
      <c r="A892" s="244"/>
      <c r="C892" s="263"/>
      <c r="D892" s="264"/>
      <c r="E892" s="244"/>
      <c r="F892" s="244"/>
      <c r="G892" s="244"/>
      <c r="H892" s="244"/>
      <c r="K892" s="265"/>
      <c r="S892" s="244"/>
    </row>
    <row r="893" spans="1:19" ht="15.75" customHeight="1" x14ac:dyDescent="0.25">
      <c r="A893" s="244"/>
      <c r="C893" s="263"/>
      <c r="D893" s="264"/>
      <c r="E893" s="244"/>
      <c r="F893" s="244"/>
      <c r="G893" s="244"/>
      <c r="H893" s="244"/>
      <c r="K893" s="265"/>
      <c r="S893" s="244"/>
    </row>
    <row r="894" spans="1:19" ht="15.75" customHeight="1" x14ac:dyDescent="0.25">
      <c r="A894" s="244"/>
      <c r="C894" s="263"/>
      <c r="D894" s="264"/>
      <c r="E894" s="244"/>
      <c r="F894" s="244"/>
      <c r="G894" s="244"/>
      <c r="H894" s="244"/>
      <c r="K894" s="265"/>
      <c r="S894" s="244"/>
    </row>
    <row r="895" spans="1:19" ht="15.75" customHeight="1" x14ac:dyDescent="0.25">
      <c r="A895" s="244"/>
      <c r="C895" s="263"/>
      <c r="D895" s="264"/>
      <c r="E895" s="244"/>
      <c r="F895" s="244"/>
      <c r="G895" s="244"/>
      <c r="H895" s="244"/>
      <c r="K895" s="265"/>
      <c r="S895" s="244"/>
    </row>
    <row r="896" spans="1:19" ht="15.75" customHeight="1" x14ac:dyDescent="0.25">
      <c r="A896" s="244"/>
      <c r="C896" s="263"/>
      <c r="D896" s="264"/>
      <c r="E896" s="244"/>
      <c r="F896" s="244"/>
      <c r="G896" s="244"/>
      <c r="H896" s="244"/>
      <c r="K896" s="265"/>
      <c r="S896" s="244"/>
    </row>
    <row r="897" spans="1:19" ht="15.75" customHeight="1" x14ac:dyDescent="0.25">
      <c r="A897" s="244"/>
      <c r="C897" s="263"/>
      <c r="D897" s="264"/>
      <c r="E897" s="244"/>
      <c r="F897" s="244"/>
      <c r="G897" s="244"/>
      <c r="H897" s="244"/>
      <c r="K897" s="265"/>
      <c r="S897" s="244"/>
    </row>
    <row r="898" spans="1:19" ht="15.75" customHeight="1" x14ac:dyDescent="0.25">
      <c r="A898" s="244"/>
      <c r="C898" s="263"/>
      <c r="D898" s="264"/>
      <c r="E898" s="244"/>
      <c r="F898" s="244"/>
      <c r="G898" s="244"/>
      <c r="H898" s="244"/>
      <c r="K898" s="265"/>
      <c r="S898" s="244"/>
    </row>
    <row r="899" spans="1:19" ht="15.75" customHeight="1" x14ac:dyDescent="0.25">
      <c r="A899" s="244"/>
      <c r="C899" s="263"/>
      <c r="D899" s="264"/>
      <c r="E899" s="244"/>
      <c r="F899" s="244"/>
      <c r="G899" s="244"/>
      <c r="H899" s="244"/>
      <c r="K899" s="265"/>
      <c r="S899" s="244"/>
    </row>
    <row r="900" spans="1:19" ht="15.75" customHeight="1" x14ac:dyDescent="0.25">
      <c r="A900" s="244"/>
      <c r="C900" s="263"/>
      <c r="D900" s="264"/>
      <c r="E900" s="244"/>
      <c r="F900" s="244"/>
      <c r="G900" s="244"/>
      <c r="H900" s="244"/>
      <c r="K900" s="265"/>
      <c r="S900" s="244"/>
    </row>
    <row r="901" spans="1:19" ht="15.75" customHeight="1" x14ac:dyDescent="0.25">
      <c r="A901" s="244"/>
      <c r="C901" s="263"/>
      <c r="D901" s="264"/>
      <c r="E901" s="244"/>
      <c r="F901" s="244"/>
      <c r="G901" s="244"/>
      <c r="H901" s="244"/>
      <c r="K901" s="265"/>
      <c r="S901" s="244"/>
    </row>
    <row r="902" spans="1:19" ht="15.75" customHeight="1" x14ac:dyDescent="0.25">
      <c r="A902" s="244"/>
      <c r="C902" s="263"/>
      <c r="D902" s="264"/>
      <c r="E902" s="244"/>
      <c r="F902" s="244"/>
      <c r="G902" s="244"/>
      <c r="H902" s="244"/>
      <c r="K902" s="265"/>
      <c r="S902" s="244"/>
    </row>
    <row r="903" spans="1:19" ht="15.75" customHeight="1" x14ac:dyDescent="0.25">
      <c r="A903" s="244"/>
      <c r="C903" s="263"/>
      <c r="D903" s="264"/>
      <c r="E903" s="244"/>
      <c r="F903" s="244"/>
      <c r="G903" s="244"/>
      <c r="H903" s="244"/>
      <c r="K903" s="265"/>
      <c r="S903" s="244"/>
    </row>
    <row r="904" spans="1:19" ht="15.75" customHeight="1" x14ac:dyDescent="0.25">
      <c r="A904" s="244"/>
      <c r="C904" s="263"/>
      <c r="D904" s="264"/>
      <c r="E904" s="244"/>
      <c r="F904" s="244"/>
      <c r="G904" s="244"/>
      <c r="H904" s="244"/>
      <c r="K904" s="265"/>
      <c r="S904" s="244"/>
    </row>
    <row r="905" spans="1:19" ht="15.75" customHeight="1" x14ac:dyDescent="0.25">
      <c r="A905" s="244"/>
      <c r="C905" s="263"/>
      <c r="D905" s="264"/>
      <c r="E905" s="244"/>
      <c r="F905" s="244"/>
      <c r="G905" s="244"/>
      <c r="H905" s="244"/>
      <c r="K905" s="265"/>
      <c r="S905" s="244"/>
    </row>
    <row r="906" spans="1:19" ht="15.75" customHeight="1" x14ac:dyDescent="0.25">
      <c r="A906" s="244"/>
      <c r="C906" s="263"/>
      <c r="D906" s="264"/>
      <c r="E906" s="244"/>
      <c r="F906" s="244"/>
      <c r="G906" s="244"/>
      <c r="H906" s="244"/>
      <c r="K906" s="265"/>
      <c r="S906" s="244"/>
    </row>
    <row r="907" spans="1:19" ht="15.75" customHeight="1" x14ac:dyDescent="0.25">
      <c r="A907" s="244"/>
      <c r="C907" s="263"/>
      <c r="D907" s="264"/>
      <c r="E907" s="244"/>
      <c r="F907" s="244"/>
      <c r="G907" s="244"/>
      <c r="H907" s="244"/>
      <c r="K907" s="265"/>
      <c r="S907" s="244"/>
    </row>
    <row r="908" spans="1:19" ht="15.75" customHeight="1" x14ac:dyDescent="0.25">
      <c r="A908" s="244"/>
      <c r="C908" s="263"/>
      <c r="D908" s="264"/>
      <c r="E908" s="244"/>
      <c r="F908" s="244"/>
      <c r="G908" s="244"/>
      <c r="H908" s="244"/>
      <c r="K908" s="265"/>
      <c r="S908" s="244"/>
    </row>
    <row r="909" spans="1:19" ht="15.75" customHeight="1" x14ac:dyDescent="0.25">
      <c r="A909" s="244"/>
      <c r="C909" s="263"/>
      <c r="D909" s="264"/>
      <c r="E909" s="244"/>
      <c r="F909" s="244"/>
      <c r="G909" s="244"/>
      <c r="H909" s="244"/>
      <c r="K909" s="265"/>
      <c r="S909" s="244"/>
    </row>
    <row r="910" spans="1:19" ht="15.75" customHeight="1" x14ac:dyDescent="0.25">
      <c r="A910" s="244"/>
      <c r="C910" s="263"/>
      <c r="D910" s="264"/>
      <c r="E910" s="244"/>
      <c r="F910" s="244"/>
      <c r="G910" s="244"/>
      <c r="H910" s="244"/>
      <c r="K910" s="265"/>
      <c r="S910" s="244"/>
    </row>
    <row r="911" spans="1:19" ht="15.75" customHeight="1" x14ac:dyDescent="0.25">
      <c r="A911" s="244"/>
      <c r="C911" s="263"/>
      <c r="D911" s="264"/>
      <c r="E911" s="244"/>
      <c r="F911" s="244"/>
      <c r="G911" s="244"/>
      <c r="H911" s="244"/>
      <c r="K911" s="265"/>
      <c r="S911" s="244"/>
    </row>
    <row r="912" spans="1:19" ht="15.75" customHeight="1" x14ac:dyDescent="0.25">
      <c r="A912" s="244"/>
      <c r="C912" s="263"/>
      <c r="D912" s="264"/>
      <c r="E912" s="244"/>
      <c r="F912" s="244"/>
      <c r="G912" s="244"/>
      <c r="H912" s="244"/>
      <c r="K912" s="265"/>
      <c r="S912" s="244"/>
    </row>
    <row r="913" spans="1:19" ht="15.75" customHeight="1" x14ac:dyDescent="0.25">
      <c r="A913" s="244"/>
      <c r="C913" s="263"/>
      <c r="D913" s="264"/>
      <c r="E913" s="244"/>
      <c r="F913" s="244"/>
      <c r="G913" s="244"/>
      <c r="H913" s="244"/>
      <c r="K913" s="265"/>
      <c r="S913" s="244"/>
    </row>
    <row r="914" spans="1:19" ht="15.75" customHeight="1" x14ac:dyDescent="0.25">
      <c r="A914" s="244"/>
      <c r="C914" s="263"/>
      <c r="D914" s="264"/>
      <c r="E914" s="244"/>
      <c r="F914" s="244"/>
      <c r="G914" s="244"/>
      <c r="H914" s="244"/>
      <c r="K914" s="265"/>
      <c r="S914" s="244"/>
    </row>
    <row r="915" spans="1:19" ht="15.75" customHeight="1" x14ac:dyDescent="0.25">
      <c r="A915" s="244"/>
      <c r="C915" s="263"/>
      <c r="D915" s="264"/>
      <c r="E915" s="244"/>
      <c r="F915" s="244"/>
      <c r="G915" s="244"/>
      <c r="H915" s="244"/>
      <c r="K915" s="265"/>
      <c r="S915" s="244"/>
    </row>
    <row r="916" spans="1:19" ht="15.75" customHeight="1" x14ac:dyDescent="0.25">
      <c r="A916" s="244"/>
      <c r="C916" s="263"/>
      <c r="D916" s="264"/>
      <c r="E916" s="244"/>
      <c r="F916" s="244"/>
      <c r="G916" s="244"/>
      <c r="H916" s="244"/>
      <c r="K916" s="265"/>
      <c r="S916" s="244"/>
    </row>
    <row r="917" spans="1:19" ht="15.75" customHeight="1" x14ac:dyDescent="0.25">
      <c r="A917" s="244"/>
      <c r="C917" s="263"/>
      <c r="D917" s="264"/>
      <c r="E917" s="244"/>
      <c r="F917" s="244"/>
      <c r="G917" s="244"/>
      <c r="H917" s="244"/>
      <c r="K917" s="265"/>
      <c r="S917" s="244"/>
    </row>
    <row r="918" spans="1:19" ht="15.75" customHeight="1" x14ac:dyDescent="0.25">
      <c r="A918" s="244"/>
      <c r="C918" s="263"/>
      <c r="D918" s="264"/>
      <c r="E918" s="244"/>
      <c r="F918" s="244"/>
      <c r="G918" s="244"/>
      <c r="H918" s="244"/>
      <c r="K918" s="265"/>
      <c r="S918" s="244"/>
    </row>
    <row r="919" spans="1:19" ht="15.75" customHeight="1" x14ac:dyDescent="0.25">
      <c r="A919" s="244"/>
      <c r="C919" s="263"/>
      <c r="D919" s="264"/>
      <c r="E919" s="244"/>
      <c r="F919" s="244"/>
      <c r="G919" s="244"/>
      <c r="H919" s="244"/>
      <c r="K919" s="265"/>
      <c r="S919" s="244"/>
    </row>
    <row r="920" spans="1:19" ht="15.75" customHeight="1" x14ac:dyDescent="0.25">
      <c r="A920" s="244"/>
      <c r="C920" s="263"/>
      <c r="D920" s="264"/>
      <c r="E920" s="244"/>
      <c r="F920" s="244"/>
      <c r="G920" s="244"/>
      <c r="H920" s="244"/>
      <c r="K920" s="265"/>
      <c r="S920" s="244"/>
    </row>
    <row r="921" spans="1:19" ht="15.75" customHeight="1" x14ac:dyDescent="0.25">
      <c r="A921" s="244"/>
      <c r="C921" s="263"/>
      <c r="D921" s="264"/>
      <c r="E921" s="244"/>
      <c r="F921" s="244"/>
      <c r="G921" s="244"/>
      <c r="H921" s="244"/>
      <c r="K921" s="265"/>
      <c r="S921" s="244"/>
    </row>
    <row r="922" spans="1:19" ht="15.75" customHeight="1" x14ac:dyDescent="0.25">
      <c r="A922" s="244"/>
      <c r="C922" s="263"/>
      <c r="D922" s="264"/>
      <c r="E922" s="244"/>
      <c r="F922" s="244"/>
      <c r="G922" s="244"/>
      <c r="H922" s="244"/>
      <c r="K922" s="265"/>
      <c r="S922" s="244"/>
    </row>
    <row r="923" spans="1:19" ht="15.75" customHeight="1" x14ac:dyDescent="0.25">
      <c r="A923" s="244"/>
      <c r="C923" s="263"/>
      <c r="D923" s="264"/>
      <c r="E923" s="244"/>
      <c r="F923" s="244"/>
      <c r="G923" s="244"/>
      <c r="H923" s="244"/>
      <c r="K923" s="265"/>
      <c r="S923" s="244"/>
    </row>
    <row r="924" spans="1:19" ht="15.75" customHeight="1" x14ac:dyDescent="0.25">
      <c r="A924" s="244"/>
      <c r="C924" s="263"/>
      <c r="D924" s="264"/>
      <c r="E924" s="244"/>
      <c r="F924" s="244"/>
      <c r="G924" s="244"/>
      <c r="H924" s="244"/>
      <c r="K924" s="265"/>
      <c r="S924" s="244"/>
    </row>
    <row r="925" spans="1:19" ht="15.75" customHeight="1" x14ac:dyDescent="0.25">
      <c r="A925" s="244"/>
      <c r="C925" s="263"/>
      <c r="D925" s="264"/>
      <c r="E925" s="244"/>
      <c r="F925" s="244"/>
      <c r="G925" s="244"/>
      <c r="H925" s="244"/>
      <c r="K925" s="265"/>
      <c r="S925" s="244"/>
    </row>
    <row r="926" spans="1:19" ht="15.75" customHeight="1" x14ac:dyDescent="0.25">
      <c r="A926" s="244"/>
      <c r="C926" s="263"/>
      <c r="D926" s="264"/>
      <c r="E926" s="244"/>
      <c r="F926" s="244"/>
      <c r="G926" s="244"/>
      <c r="H926" s="244"/>
      <c r="K926" s="265"/>
      <c r="S926" s="244"/>
    </row>
    <row r="927" spans="1:19" ht="15.75" customHeight="1" x14ac:dyDescent="0.25">
      <c r="A927" s="244"/>
      <c r="C927" s="263"/>
      <c r="D927" s="264"/>
      <c r="E927" s="244"/>
      <c r="F927" s="244"/>
      <c r="G927" s="244"/>
      <c r="H927" s="244"/>
      <c r="K927" s="265"/>
      <c r="S927" s="244"/>
    </row>
    <row r="928" spans="1:19" ht="15.75" customHeight="1" x14ac:dyDescent="0.25">
      <c r="A928" s="244"/>
      <c r="C928" s="263"/>
      <c r="D928" s="264"/>
      <c r="E928" s="244"/>
      <c r="F928" s="244"/>
      <c r="G928" s="244"/>
      <c r="H928" s="244"/>
      <c r="K928" s="265"/>
      <c r="S928" s="244"/>
    </row>
    <row r="929" spans="1:19" ht="15.75" customHeight="1" x14ac:dyDescent="0.25">
      <c r="A929" s="244"/>
      <c r="C929" s="263"/>
      <c r="D929" s="264"/>
      <c r="E929" s="244"/>
      <c r="F929" s="244"/>
      <c r="G929" s="244"/>
      <c r="H929" s="244"/>
      <c r="K929" s="265"/>
      <c r="S929" s="244"/>
    </row>
    <row r="930" spans="1:19" ht="15.75" customHeight="1" x14ac:dyDescent="0.25">
      <c r="A930" s="244"/>
      <c r="C930" s="263"/>
      <c r="D930" s="264"/>
      <c r="E930" s="244"/>
      <c r="F930" s="244"/>
      <c r="G930" s="244"/>
      <c r="H930" s="244"/>
      <c r="K930" s="265"/>
      <c r="S930" s="244"/>
    </row>
    <row r="931" spans="1:19" ht="15.75" customHeight="1" x14ac:dyDescent="0.25">
      <c r="A931" s="244"/>
      <c r="C931" s="263"/>
      <c r="D931" s="264"/>
      <c r="E931" s="244"/>
      <c r="F931" s="244"/>
      <c r="G931" s="244"/>
      <c r="H931" s="244"/>
      <c r="K931" s="265"/>
      <c r="S931" s="244"/>
    </row>
    <row r="932" spans="1:19" ht="15.75" customHeight="1" x14ac:dyDescent="0.25">
      <c r="A932" s="244"/>
      <c r="C932" s="263"/>
      <c r="D932" s="264"/>
      <c r="E932" s="244"/>
      <c r="F932" s="244"/>
      <c r="G932" s="244"/>
      <c r="H932" s="244"/>
      <c r="K932" s="265"/>
      <c r="S932" s="244"/>
    </row>
    <row r="933" spans="1:19" ht="15.75" customHeight="1" x14ac:dyDescent="0.25">
      <c r="A933" s="244"/>
      <c r="C933" s="263"/>
      <c r="D933" s="264"/>
      <c r="E933" s="244"/>
      <c r="F933" s="244"/>
      <c r="G933" s="244"/>
      <c r="H933" s="244"/>
      <c r="K933" s="265"/>
      <c r="S933" s="244"/>
    </row>
    <row r="934" spans="1:19" ht="15.75" customHeight="1" x14ac:dyDescent="0.25">
      <c r="A934" s="244"/>
      <c r="C934" s="263"/>
      <c r="D934" s="264"/>
      <c r="E934" s="244"/>
      <c r="F934" s="244"/>
      <c r="G934" s="244"/>
      <c r="H934" s="244"/>
      <c r="K934" s="265"/>
      <c r="S934" s="244"/>
    </row>
    <row r="935" spans="1:19" ht="15.75" customHeight="1" x14ac:dyDescent="0.25">
      <c r="A935" s="244"/>
      <c r="C935" s="263"/>
      <c r="D935" s="264"/>
      <c r="E935" s="244"/>
      <c r="F935" s="244"/>
      <c r="G935" s="244"/>
      <c r="H935" s="244"/>
      <c r="K935" s="265"/>
      <c r="S935" s="244"/>
    </row>
    <row r="936" spans="1:19" ht="15.75" customHeight="1" x14ac:dyDescent="0.25">
      <c r="A936" s="244"/>
      <c r="C936" s="263"/>
      <c r="D936" s="264"/>
      <c r="E936" s="244"/>
      <c r="F936" s="244"/>
      <c r="G936" s="244"/>
      <c r="H936" s="244"/>
      <c r="K936" s="265"/>
      <c r="S936" s="244"/>
    </row>
    <row r="937" spans="1:19" ht="15.75" customHeight="1" x14ac:dyDescent="0.25">
      <c r="A937" s="244"/>
      <c r="C937" s="263"/>
      <c r="D937" s="264"/>
      <c r="E937" s="244"/>
      <c r="F937" s="244"/>
      <c r="G937" s="244"/>
      <c r="H937" s="244"/>
      <c r="K937" s="265"/>
      <c r="S937" s="244"/>
    </row>
    <row r="938" spans="1:19" ht="15.75" customHeight="1" x14ac:dyDescent="0.25">
      <c r="A938" s="244"/>
      <c r="C938" s="263"/>
      <c r="D938" s="264"/>
      <c r="E938" s="244"/>
      <c r="F938" s="244"/>
      <c r="G938" s="244"/>
      <c r="H938" s="244"/>
      <c r="K938" s="265"/>
      <c r="S938" s="244"/>
    </row>
    <row r="939" spans="1:19" ht="15.75" customHeight="1" x14ac:dyDescent="0.25">
      <c r="A939" s="244"/>
      <c r="C939" s="263"/>
      <c r="D939" s="264"/>
      <c r="E939" s="244"/>
      <c r="F939" s="244"/>
      <c r="G939" s="244"/>
      <c r="H939" s="244"/>
      <c r="K939" s="265"/>
      <c r="S939" s="244"/>
    </row>
    <row r="940" spans="1:19" ht="15.75" customHeight="1" x14ac:dyDescent="0.25">
      <c r="A940" s="244"/>
      <c r="C940" s="263"/>
      <c r="D940" s="264"/>
      <c r="E940" s="244"/>
      <c r="F940" s="244"/>
      <c r="G940" s="244"/>
      <c r="H940" s="244"/>
      <c r="K940" s="265"/>
      <c r="S940" s="244"/>
    </row>
    <row r="941" spans="1:19" ht="15.75" customHeight="1" x14ac:dyDescent="0.25">
      <c r="A941" s="244"/>
      <c r="C941" s="263"/>
      <c r="D941" s="264"/>
      <c r="E941" s="244"/>
      <c r="F941" s="244"/>
      <c r="G941" s="244"/>
      <c r="H941" s="244"/>
      <c r="K941" s="265"/>
      <c r="S941" s="244"/>
    </row>
    <row r="942" spans="1:19" ht="15.75" customHeight="1" x14ac:dyDescent="0.25">
      <c r="A942" s="244"/>
      <c r="C942" s="263"/>
      <c r="D942" s="264"/>
      <c r="E942" s="244"/>
      <c r="F942" s="244"/>
      <c r="G942" s="244"/>
      <c r="H942" s="244"/>
      <c r="K942" s="265"/>
      <c r="S942" s="244"/>
    </row>
    <row r="943" spans="1:19" ht="15.75" customHeight="1" x14ac:dyDescent="0.25">
      <c r="A943" s="244"/>
      <c r="C943" s="263"/>
      <c r="D943" s="264"/>
      <c r="E943" s="244"/>
      <c r="F943" s="244"/>
      <c r="G943" s="244"/>
      <c r="H943" s="244"/>
      <c r="K943" s="265"/>
      <c r="S943" s="244"/>
    </row>
    <row r="944" spans="1:19" ht="15.75" customHeight="1" x14ac:dyDescent="0.25">
      <c r="A944" s="244"/>
      <c r="C944" s="263"/>
      <c r="D944" s="264"/>
      <c r="E944" s="244"/>
      <c r="F944" s="244"/>
      <c r="G944" s="244"/>
      <c r="H944" s="244"/>
      <c r="K944" s="265"/>
      <c r="S944" s="244"/>
    </row>
    <row r="945" spans="1:19" ht="15.75" customHeight="1" x14ac:dyDescent="0.25">
      <c r="A945" s="244"/>
      <c r="C945" s="263"/>
      <c r="D945" s="264"/>
      <c r="E945" s="244"/>
      <c r="F945" s="244"/>
      <c r="G945" s="244"/>
      <c r="H945" s="244"/>
      <c r="K945" s="265"/>
      <c r="S945" s="244"/>
    </row>
    <row r="946" spans="1:19" ht="15.75" customHeight="1" x14ac:dyDescent="0.25">
      <c r="A946" s="244"/>
      <c r="C946" s="263"/>
      <c r="D946" s="264"/>
      <c r="E946" s="244"/>
      <c r="F946" s="244"/>
      <c r="G946" s="244"/>
      <c r="H946" s="244"/>
      <c r="K946" s="265"/>
      <c r="S946" s="244"/>
    </row>
    <row r="947" spans="1:19" ht="15.75" customHeight="1" x14ac:dyDescent="0.25">
      <c r="A947" s="244"/>
      <c r="C947" s="263"/>
      <c r="D947" s="264"/>
      <c r="E947" s="244"/>
      <c r="F947" s="244"/>
      <c r="G947" s="244"/>
      <c r="H947" s="244"/>
      <c r="K947" s="265"/>
      <c r="S947" s="244"/>
    </row>
    <row r="948" spans="1:19" ht="15.75" customHeight="1" x14ac:dyDescent="0.25">
      <c r="A948" s="244"/>
      <c r="C948" s="263"/>
      <c r="D948" s="264"/>
      <c r="E948" s="244"/>
      <c r="F948" s="244"/>
      <c r="G948" s="244"/>
      <c r="H948" s="244"/>
      <c r="K948" s="265"/>
      <c r="S948" s="244"/>
    </row>
    <row r="949" spans="1:19" ht="15.75" customHeight="1" x14ac:dyDescent="0.25">
      <c r="A949" s="244"/>
      <c r="C949" s="263"/>
      <c r="D949" s="264"/>
      <c r="E949" s="244"/>
      <c r="F949" s="244"/>
      <c r="G949" s="244"/>
      <c r="H949" s="244"/>
      <c r="K949" s="265"/>
      <c r="S949" s="244"/>
    </row>
    <row r="950" spans="1:19" ht="15.75" customHeight="1" x14ac:dyDescent="0.25">
      <c r="A950" s="244"/>
      <c r="C950" s="263"/>
      <c r="D950" s="264"/>
      <c r="E950" s="244"/>
      <c r="F950" s="244"/>
      <c r="G950" s="244"/>
      <c r="H950" s="244"/>
      <c r="K950" s="265"/>
      <c r="S950" s="244"/>
    </row>
    <row r="951" spans="1:19" ht="15.75" customHeight="1" x14ac:dyDescent="0.25">
      <c r="A951" s="244"/>
      <c r="C951" s="263"/>
      <c r="D951" s="264"/>
      <c r="E951" s="244"/>
      <c r="F951" s="244"/>
      <c r="G951" s="244"/>
      <c r="H951" s="244"/>
      <c r="K951" s="265"/>
      <c r="S951" s="244"/>
    </row>
    <row r="952" spans="1:19" ht="15.75" customHeight="1" x14ac:dyDescent="0.25">
      <c r="A952" s="244"/>
      <c r="C952" s="263"/>
      <c r="D952" s="264"/>
      <c r="E952" s="244"/>
      <c r="F952" s="244"/>
      <c r="G952" s="244"/>
      <c r="H952" s="244"/>
      <c r="K952" s="265"/>
      <c r="S952" s="244"/>
    </row>
    <row r="953" spans="1:19" ht="15.75" customHeight="1" x14ac:dyDescent="0.25">
      <c r="A953" s="244"/>
      <c r="C953" s="263"/>
      <c r="D953" s="264"/>
      <c r="E953" s="244"/>
      <c r="F953" s="244"/>
      <c r="G953" s="244"/>
      <c r="H953" s="244"/>
      <c r="K953" s="265"/>
      <c r="S953" s="244"/>
    </row>
    <row r="954" spans="1:19" ht="15.75" customHeight="1" x14ac:dyDescent="0.25">
      <c r="A954" s="244"/>
      <c r="C954" s="263"/>
      <c r="D954" s="264"/>
      <c r="E954" s="244"/>
      <c r="F954" s="244"/>
      <c r="G954" s="244"/>
      <c r="H954" s="244"/>
      <c r="K954" s="265"/>
      <c r="S954" s="244"/>
    </row>
    <row r="955" spans="1:19" ht="15.75" customHeight="1" x14ac:dyDescent="0.25">
      <c r="A955" s="244"/>
      <c r="C955" s="263"/>
      <c r="D955" s="264"/>
      <c r="E955" s="244"/>
      <c r="F955" s="244"/>
      <c r="G955" s="244"/>
      <c r="H955" s="244"/>
      <c r="K955" s="265"/>
      <c r="S955" s="244"/>
    </row>
    <row r="956" spans="1:19" ht="15.75" customHeight="1" x14ac:dyDescent="0.25">
      <c r="A956" s="244"/>
      <c r="C956" s="263"/>
      <c r="D956" s="264"/>
      <c r="E956" s="244"/>
      <c r="F956" s="244"/>
      <c r="G956" s="244"/>
      <c r="H956" s="244"/>
      <c r="K956" s="265"/>
      <c r="S956" s="244"/>
    </row>
    <row r="957" spans="1:19" ht="15.75" customHeight="1" x14ac:dyDescent="0.25">
      <c r="A957" s="244"/>
      <c r="C957" s="263"/>
      <c r="D957" s="264"/>
      <c r="E957" s="244"/>
      <c r="F957" s="244"/>
      <c r="G957" s="244"/>
      <c r="H957" s="244"/>
      <c r="K957" s="265"/>
      <c r="S957" s="244"/>
    </row>
    <row r="958" spans="1:19" ht="15.75" customHeight="1" x14ac:dyDescent="0.25">
      <c r="A958" s="244"/>
      <c r="C958" s="263"/>
      <c r="D958" s="264"/>
      <c r="E958" s="244"/>
      <c r="F958" s="244"/>
      <c r="G958" s="244"/>
      <c r="H958" s="244"/>
      <c r="K958" s="265"/>
      <c r="S958" s="244"/>
    </row>
    <row r="959" spans="1:19" ht="15.75" customHeight="1" x14ac:dyDescent="0.25">
      <c r="A959" s="244"/>
      <c r="C959" s="263"/>
      <c r="D959" s="264"/>
      <c r="E959" s="244"/>
      <c r="F959" s="244"/>
      <c r="G959" s="244"/>
      <c r="H959" s="244"/>
      <c r="K959" s="265"/>
      <c r="S959" s="244"/>
    </row>
    <row r="960" spans="1:19" ht="15.75" customHeight="1" x14ac:dyDescent="0.25">
      <c r="A960" s="244"/>
      <c r="C960" s="263"/>
      <c r="D960" s="264"/>
      <c r="E960" s="244"/>
      <c r="F960" s="244"/>
      <c r="G960" s="244"/>
      <c r="H960" s="244"/>
      <c r="K960" s="265"/>
      <c r="S960" s="244"/>
    </row>
    <row r="961" spans="1:19" ht="15.75" customHeight="1" x14ac:dyDescent="0.25">
      <c r="A961" s="244"/>
      <c r="C961" s="263"/>
      <c r="D961" s="264"/>
      <c r="E961" s="244"/>
      <c r="F961" s="244"/>
      <c r="G961" s="244"/>
      <c r="H961" s="244"/>
      <c r="K961" s="265"/>
      <c r="S961" s="244"/>
    </row>
    <row r="962" spans="1:19" ht="15.75" customHeight="1" x14ac:dyDescent="0.25">
      <c r="A962" s="244"/>
      <c r="C962" s="263"/>
      <c r="D962" s="264"/>
      <c r="E962" s="244"/>
      <c r="F962" s="244"/>
      <c r="G962" s="244"/>
      <c r="H962" s="244"/>
      <c r="K962" s="265"/>
      <c r="S962" s="244"/>
    </row>
    <row r="963" spans="1:19" ht="15.75" customHeight="1" x14ac:dyDescent="0.25">
      <c r="A963" s="244"/>
      <c r="C963" s="263"/>
      <c r="D963" s="264"/>
      <c r="E963" s="244"/>
      <c r="F963" s="244"/>
      <c r="G963" s="244"/>
      <c r="H963" s="244"/>
      <c r="K963" s="265"/>
      <c r="S963" s="244"/>
    </row>
    <row r="964" spans="1:19" ht="15.75" customHeight="1" x14ac:dyDescent="0.25">
      <c r="A964" s="244"/>
      <c r="C964" s="263"/>
      <c r="D964" s="264"/>
      <c r="E964" s="244"/>
      <c r="F964" s="244"/>
      <c r="G964" s="244"/>
      <c r="H964" s="244"/>
      <c r="K964" s="265"/>
      <c r="S964" s="244"/>
    </row>
    <row r="965" spans="1:19" ht="15.75" customHeight="1" x14ac:dyDescent="0.25">
      <c r="A965" s="244"/>
      <c r="C965" s="263"/>
      <c r="D965" s="264"/>
      <c r="E965" s="244"/>
      <c r="F965" s="244"/>
      <c r="G965" s="244"/>
      <c r="H965" s="244"/>
      <c r="K965" s="265"/>
      <c r="S965" s="244"/>
    </row>
    <row r="966" spans="1:19" ht="15.75" customHeight="1" x14ac:dyDescent="0.25">
      <c r="A966" s="244"/>
      <c r="C966" s="263"/>
      <c r="D966" s="264"/>
      <c r="E966" s="244"/>
      <c r="F966" s="244"/>
      <c r="G966" s="244"/>
      <c r="H966" s="244"/>
      <c r="K966" s="265"/>
      <c r="S966" s="244"/>
    </row>
    <row r="967" spans="1:19" ht="15.75" customHeight="1" x14ac:dyDescent="0.25">
      <c r="A967" s="244"/>
      <c r="C967" s="263"/>
      <c r="D967" s="264"/>
      <c r="E967" s="244"/>
      <c r="F967" s="244"/>
      <c r="G967" s="244"/>
      <c r="H967" s="244"/>
      <c r="K967" s="265"/>
      <c r="S967" s="244"/>
    </row>
    <row r="968" spans="1:19" ht="15.75" customHeight="1" x14ac:dyDescent="0.25">
      <c r="A968" s="244"/>
      <c r="C968" s="263"/>
      <c r="D968" s="264"/>
      <c r="E968" s="244"/>
      <c r="F968" s="244"/>
      <c r="G968" s="244"/>
      <c r="H968" s="244"/>
      <c r="K968" s="265"/>
      <c r="S968" s="244"/>
    </row>
  </sheetData>
  <mergeCells count="81">
    <mergeCell ref="X22:X25"/>
    <mergeCell ref="G22:G25"/>
    <mergeCell ref="H22:H25"/>
    <mergeCell ref="I22:I25"/>
    <mergeCell ref="J22:J25"/>
    <mergeCell ref="Q22:Q25"/>
    <mergeCell ref="R22:R25"/>
    <mergeCell ref="S22:S25"/>
    <mergeCell ref="T22:T25"/>
    <mergeCell ref="U22:U25"/>
    <mergeCell ref="V22:V25"/>
    <mergeCell ref="W22:W25"/>
    <mergeCell ref="A22:A25"/>
    <mergeCell ref="B22:B25"/>
    <mergeCell ref="C22:C25"/>
    <mergeCell ref="D22:D25"/>
    <mergeCell ref="E22:E25"/>
    <mergeCell ref="F22:F25"/>
    <mergeCell ref="S18:S21"/>
    <mergeCell ref="T18:T21"/>
    <mergeCell ref="U18:U21"/>
    <mergeCell ref="V18:V21"/>
    <mergeCell ref="F18:F21"/>
    <mergeCell ref="W18:W21"/>
    <mergeCell ref="X18:X21"/>
    <mergeCell ref="G18:G21"/>
    <mergeCell ref="H18:H21"/>
    <mergeCell ref="I18:I21"/>
    <mergeCell ref="J18:J21"/>
    <mergeCell ref="Q18:Q21"/>
    <mergeCell ref="R18:R21"/>
    <mergeCell ref="A18:A21"/>
    <mergeCell ref="B18:B21"/>
    <mergeCell ref="C18:C21"/>
    <mergeCell ref="D18:D21"/>
    <mergeCell ref="E18:E21"/>
    <mergeCell ref="X13:X17"/>
    <mergeCell ref="G13:G17"/>
    <mergeCell ref="H13:H17"/>
    <mergeCell ref="I13:I17"/>
    <mergeCell ref="J13:J17"/>
    <mergeCell ref="Q13:Q17"/>
    <mergeCell ref="R13:R17"/>
    <mergeCell ref="S13:S17"/>
    <mergeCell ref="T13:T17"/>
    <mergeCell ref="U13:U17"/>
    <mergeCell ref="V13:V17"/>
    <mergeCell ref="W13:W17"/>
    <mergeCell ref="A13:A17"/>
    <mergeCell ref="B13:B17"/>
    <mergeCell ref="C13:C17"/>
    <mergeCell ref="D13:D17"/>
    <mergeCell ref="E13:E17"/>
    <mergeCell ref="F13:F17"/>
    <mergeCell ref="S7:S12"/>
    <mergeCell ref="T7:T12"/>
    <mergeCell ref="U7:U12"/>
    <mergeCell ref="V7:V12"/>
    <mergeCell ref="F7:F12"/>
    <mergeCell ref="W7:W12"/>
    <mergeCell ref="X7:X12"/>
    <mergeCell ref="G7:G12"/>
    <mergeCell ref="H7:H12"/>
    <mergeCell ref="I7:I12"/>
    <mergeCell ref="J7:J12"/>
    <mergeCell ref="Q7:Q12"/>
    <mergeCell ref="R7:R12"/>
    <mergeCell ref="A7:A12"/>
    <mergeCell ref="B7:B12"/>
    <mergeCell ref="C7:C12"/>
    <mergeCell ref="D7:D12"/>
    <mergeCell ref="E7:E12"/>
    <mergeCell ref="A1:C4"/>
    <mergeCell ref="D1:AJ4"/>
    <mergeCell ref="AK1:AK2"/>
    <mergeCell ref="AK3:AK4"/>
    <mergeCell ref="A5:I5"/>
    <mergeCell ref="K5:P5"/>
    <mergeCell ref="Q5:X5"/>
    <mergeCell ref="Y5:AC5"/>
    <mergeCell ref="AD5:AI5"/>
  </mergeCells>
  <conditionalFormatting sqref="I7:J7 W7:X7 J13:J16 X13:X16 I13 I18:J18 I22:J22 W13 W18:X18 W22:X22">
    <cfRule type="cellIs" dxfId="223" priority="1" operator="equal">
      <formula>"Extremo"</formula>
    </cfRule>
  </conditionalFormatting>
  <conditionalFormatting sqref="I7:J7 W7:X7 J13:J16 X13:X16 I13 I18:J18 I22:J22 W13 W18:X18 W22:X22">
    <cfRule type="cellIs" dxfId="222" priority="2" operator="equal">
      <formula>"Moderado"</formula>
    </cfRule>
  </conditionalFormatting>
  <conditionalFormatting sqref="I7:J7 W7:X7 J13:J16 X13:X16 I13 I18:J18 I22:J22 W13 W18:X18 W22:X22">
    <cfRule type="cellIs" dxfId="221" priority="3" operator="equal">
      <formula>"Bajo"</formula>
    </cfRule>
  </conditionalFormatting>
  <conditionalFormatting sqref="I7:J7 W7:X7 J13:J16 X13:X16 I13 I18:J18 I22:J22 W13 W18:X18 W22:X22">
    <cfRule type="cellIs" dxfId="220" priority="4" operator="equal">
      <formula>"Alto"</formula>
    </cfRule>
  </conditionalFormatting>
  <dataValidations count="1">
    <dataValidation type="list" allowBlank="1" showErrorMessage="1" sqref="J7 J13 J18 J22" xr:uid="{00000000-0002-0000-1300-000000000000}">
      <formula1>"SI,NO"</formula1>
    </dataValidation>
  </dataValidations>
  <pageMargins left="7.874015748031496E-2" right="7.874015748031496E-2" top="1.1417322834645669" bottom="0.15748031496062992" header="0" footer="0"/>
  <pageSetup orientation="landscape" r:id="rId1"/>
  <headerFooter>
    <oddHeader>&amp;C Matriz de Riesgos</oddHeader>
  </headerFooter>
  <rowBreaks count="1" manualBreakCount="1">
    <brk id="17" man="1"/>
  </rowBreaks>
  <colBreaks count="2" manualBreakCount="2">
    <brk id="16" man="1"/>
    <brk id="29"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ErrorMessage="1" xr:uid="{00000000-0002-0000-1300-000001000000}">
          <x14:formula1>
            <xm:f>'C:\Users\sgomez.UPME\Documents\UPME 2020\Documents\Mapas de riesgos\[Mapa de riesgos DEMANDA Y PROSPECTIVA.xlsx]Datos'!#REF!</xm:f>
          </x14:formula1>
          <xm:sqref>X7:X25 D7 D13 D18 D22 G7 G13 G18 G22</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BEAE25"/>
  </sheetPr>
  <dimension ref="A1:X991"/>
  <sheetViews>
    <sheetView showGridLines="0" workbookViewId="0">
      <selection activeCell="L7" sqref="L7"/>
    </sheetView>
  </sheetViews>
  <sheetFormatPr baseColWidth="10" defaultColWidth="12.625" defaultRowHeight="15" customHeight="1" x14ac:dyDescent="0.2"/>
  <cols>
    <col min="1" max="1" width="5.625" style="228" customWidth="1"/>
    <col min="2" max="2" width="21.625" style="228" customWidth="1"/>
    <col min="3" max="3" width="15.75" style="228" customWidth="1"/>
    <col min="4" max="4" width="17.875" style="228" customWidth="1"/>
    <col min="5" max="11" width="16.625" style="228" customWidth="1"/>
    <col min="12" max="12" width="21.375" style="228" customWidth="1"/>
    <col min="13" max="14" width="16.625" style="228" customWidth="1"/>
    <col min="15" max="15" width="18.5" style="228" customWidth="1"/>
    <col min="16" max="16" width="16.625" style="228" customWidth="1"/>
    <col min="17" max="23" width="13.75" style="228" customWidth="1"/>
    <col min="24" max="24" width="9.125" style="228" customWidth="1"/>
    <col min="25" max="16384" width="12.625" style="228"/>
  </cols>
  <sheetData>
    <row r="1" spans="1:24" ht="15" customHeight="1" x14ac:dyDescent="0.2">
      <c r="A1" s="1241"/>
      <c r="B1" s="1200"/>
      <c r="C1" s="1200"/>
      <c r="D1" s="1201"/>
      <c r="E1" s="1242" t="s">
        <v>0</v>
      </c>
      <c r="F1" s="1200"/>
      <c r="G1" s="1200"/>
      <c r="H1" s="1200"/>
      <c r="I1" s="1200"/>
      <c r="J1" s="1200"/>
      <c r="K1" s="1200"/>
      <c r="L1" s="1200"/>
      <c r="M1" s="1200"/>
      <c r="N1" s="1200"/>
      <c r="O1" s="1200"/>
      <c r="P1" s="1200"/>
      <c r="Q1" s="1200"/>
      <c r="R1" s="1200"/>
      <c r="S1" s="1200"/>
      <c r="T1" s="1200"/>
      <c r="U1" s="1244" t="s">
        <v>98</v>
      </c>
      <c r="V1" s="1225"/>
      <c r="W1" s="1225"/>
      <c r="X1" s="1225"/>
    </row>
    <row r="2" spans="1:24" ht="15" customHeight="1" x14ac:dyDescent="0.2">
      <c r="A2" s="1202"/>
      <c r="B2" s="1203"/>
      <c r="C2" s="1203"/>
      <c r="D2" s="1198"/>
      <c r="E2" s="1202"/>
      <c r="F2" s="1203"/>
      <c r="G2" s="1203"/>
      <c r="H2" s="1203"/>
      <c r="I2" s="1203"/>
      <c r="J2" s="1203"/>
      <c r="K2" s="1203"/>
      <c r="L2" s="1203"/>
      <c r="M2" s="1203"/>
      <c r="N2" s="1203"/>
      <c r="O2" s="1203"/>
      <c r="P2" s="1203"/>
      <c r="Q2" s="1203"/>
      <c r="R2" s="1203"/>
      <c r="S2" s="1203"/>
      <c r="T2" s="1243"/>
      <c r="U2" s="1225"/>
      <c r="V2" s="1225"/>
      <c r="W2" s="1225"/>
      <c r="X2" s="1225"/>
    </row>
    <row r="3" spans="1:24" ht="15" customHeight="1" x14ac:dyDescent="0.2">
      <c r="A3" s="1202"/>
      <c r="B3" s="1203"/>
      <c r="C3" s="1203"/>
      <c r="D3" s="1198"/>
      <c r="E3" s="1202"/>
      <c r="F3" s="1203"/>
      <c r="G3" s="1203"/>
      <c r="H3" s="1203"/>
      <c r="I3" s="1203"/>
      <c r="J3" s="1203"/>
      <c r="K3" s="1203"/>
      <c r="L3" s="1203"/>
      <c r="M3" s="1203"/>
      <c r="N3" s="1203"/>
      <c r="O3" s="1203"/>
      <c r="P3" s="1203"/>
      <c r="Q3" s="1203"/>
      <c r="R3" s="1203"/>
      <c r="S3" s="1203"/>
      <c r="T3" s="1243"/>
      <c r="U3" s="1244" t="s">
        <v>99</v>
      </c>
      <c r="V3" s="1225"/>
      <c r="W3" s="1225"/>
      <c r="X3" s="1225"/>
    </row>
    <row r="4" spans="1:24" ht="15" customHeight="1" x14ac:dyDescent="0.2">
      <c r="A4" s="1202"/>
      <c r="B4" s="1203"/>
      <c r="C4" s="1203"/>
      <c r="D4" s="1198"/>
      <c r="E4" s="1202"/>
      <c r="F4" s="1203"/>
      <c r="G4" s="1203"/>
      <c r="H4" s="1203"/>
      <c r="I4" s="1203"/>
      <c r="J4" s="1203"/>
      <c r="K4" s="1203"/>
      <c r="L4" s="1203"/>
      <c r="M4" s="1203"/>
      <c r="N4" s="1203"/>
      <c r="O4" s="1203"/>
      <c r="P4" s="1203"/>
      <c r="Q4" s="1203"/>
      <c r="R4" s="1203"/>
      <c r="S4" s="1203"/>
      <c r="T4" s="1243"/>
      <c r="U4" s="1225"/>
      <c r="V4" s="1226"/>
      <c r="W4" s="1226"/>
      <c r="X4" s="1226"/>
    </row>
    <row r="5" spans="1:24" ht="15" customHeight="1" x14ac:dyDescent="0.25">
      <c r="A5" s="1245" t="s">
        <v>100</v>
      </c>
      <c r="B5" s="1205"/>
      <c r="C5" s="1205"/>
      <c r="D5" s="1206"/>
      <c r="E5" s="1222" t="s">
        <v>101</v>
      </c>
      <c r="F5" s="1218"/>
      <c r="G5" s="1218"/>
      <c r="H5" s="1218"/>
      <c r="I5" s="1218"/>
      <c r="J5" s="1218"/>
      <c r="K5" s="1218"/>
      <c r="L5" s="1218"/>
      <c r="M5" s="1218"/>
      <c r="N5" s="1218"/>
      <c r="O5" s="1218"/>
      <c r="P5" s="1218"/>
      <c r="Q5" s="1218"/>
      <c r="R5" s="1218"/>
      <c r="S5" s="1218"/>
      <c r="T5" s="1218"/>
      <c r="U5" s="1205"/>
      <c r="V5" s="1205"/>
      <c r="W5" s="1205"/>
      <c r="X5" s="1206"/>
    </row>
    <row r="6" spans="1:24" ht="114.75" customHeight="1" x14ac:dyDescent="0.2">
      <c r="A6" s="234" t="s">
        <v>44</v>
      </c>
      <c r="B6" s="266" t="s">
        <v>64</v>
      </c>
      <c r="C6" s="266" t="s">
        <v>70</v>
      </c>
      <c r="D6" s="266" t="s">
        <v>69</v>
      </c>
      <c r="E6" s="234" t="s">
        <v>102</v>
      </c>
      <c r="F6" s="234" t="s">
        <v>103</v>
      </c>
      <c r="G6" s="234" t="s">
        <v>104</v>
      </c>
      <c r="H6" s="234" t="s">
        <v>105</v>
      </c>
      <c r="I6" s="266" t="s">
        <v>106</v>
      </c>
      <c r="J6" s="266" t="s">
        <v>107</v>
      </c>
      <c r="K6" s="266" t="s">
        <v>108</v>
      </c>
      <c r="L6" s="266" t="s">
        <v>109</v>
      </c>
      <c r="M6" s="266" t="s">
        <v>110</v>
      </c>
      <c r="N6" s="266" t="s">
        <v>111</v>
      </c>
      <c r="O6" s="266" t="s">
        <v>112</v>
      </c>
      <c r="P6" s="266" t="s">
        <v>113</v>
      </c>
      <c r="Q6" s="266" t="s">
        <v>114</v>
      </c>
      <c r="R6" s="266" t="s">
        <v>115</v>
      </c>
      <c r="S6" s="266" t="s">
        <v>116</v>
      </c>
      <c r="T6" s="266" t="s">
        <v>117</v>
      </c>
      <c r="U6" s="266" t="s">
        <v>118</v>
      </c>
      <c r="V6" s="266" t="s">
        <v>119</v>
      </c>
      <c r="W6" s="266" t="s">
        <v>120</v>
      </c>
      <c r="X6" s="266" t="s">
        <v>121</v>
      </c>
    </row>
    <row r="7" spans="1:24" ht="105" customHeight="1" x14ac:dyDescent="0.2">
      <c r="A7" s="267">
        <f>'[2]Identificación del Riesgo'!D12</f>
        <v>4</v>
      </c>
      <c r="B7" s="267" t="str">
        <f>'[2]Identificación del Riesgo'!E12</f>
        <v>Posibilidad de alterar o manipular resultados del proceso con beneficio propio o favorecimiento a terceros.</v>
      </c>
      <c r="C7" s="241">
        <f>IF(D7="PENDIENTE EVALUAR EL IMPACTO","PENDIENTE EVALUAR EL IMPACTO COLUMNAS H-W",VLOOKUP(D7,[2]Datos!$K$8:$L$12,2,FALSE))</f>
        <v>4</v>
      </c>
      <c r="D7" s="267" t="str">
        <f t="shared" ref="D7" si="0">IF(X7=0,"PENDIENTE EVALUAR EL IMPACTO",IF(X7&lt;=5,"MODERADO",IF(X7&lt;=11,"MAYOR","CATASTRÓFICO")))</f>
        <v>MAYOR</v>
      </c>
      <c r="E7" s="239" t="s">
        <v>122</v>
      </c>
      <c r="F7" s="239" t="s">
        <v>122</v>
      </c>
      <c r="G7" s="239" t="s">
        <v>263</v>
      </c>
      <c r="H7" s="239" t="s">
        <v>263</v>
      </c>
      <c r="I7" s="239" t="s">
        <v>122</v>
      </c>
      <c r="J7" s="239" t="s">
        <v>263</v>
      </c>
      <c r="K7" s="239" t="s">
        <v>122</v>
      </c>
      <c r="L7" s="239" t="s">
        <v>263</v>
      </c>
      <c r="M7" s="239" t="s">
        <v>263</v>
      </c>
      <c r="N7" s="239" t="s">
        <v>122</v>
      </c>
      <c r="O7" s="239" t="s">
        <v>122</v>
      </c>
      <c r="P7" s="239" t="s">
        <v>122</v>
      </c>
      <c r="Q7" s="239" t="s">
        <v>122</v>
      </c>
      <c r="R7" s="239" t="s">
        <v>122</v>
      </c>
      <c r="S7" s="239" t="s">
        <v>122</v>
      </c>
      <c r="T7" s="239" t="s">
        <v>263</v>
      </c>
      <c r="U7" s="239" t="s">
        <v>263</v>
      </c>
      <c r="V7" s="239" t="s">
        <v>122</v>
      </c>
      <c r="W7" s="239" t="s">
        <v>263</v>
      </c>
      <c r="X7" s="268">
        <f t="shared" ref="X7" si="1">COUNTIF(E7:W7,"SI")</f>
        <v>11</v>
      </c>
    </row>
    <row r="8" spans="1:24" x14ac:dyDescent="0.2">
      <c r="X8" s="244"/>
    </row>
    <row r="9" spans="1:24" x14ac:dyDescent="0.2">
      <c r="X9" s="244"/>
    </row>
    <row r="10" spans="1:24" x14ac:dyDescent="0.2">
      <c r="X10" s="244"/>
    </row>
    <row r="11" spans="1:24" x14ac:dyDescent="0.2">
      <c r="X11" s="244"/>
    </row>
    <row r="12" spans="1:24" ht="15.75" customHeight="1" x14ac:dyDescent="0.2">
      <c r="X12" s="244"/>
    </row>
    <row r="13" spans="1:24" ht="15.75" customHeight="1" x14ac:dyDescent="0.2">
      <c r="X13" s="244"/>
    </row>
    <row r="14" spans="1:24" ht="15.75" customHeight="1" x14ac:dyDescent="0.2">
      <c r="X14" s="244"/>
    </row>
    <row r="15" spans="1:24" ht="15.75" customHeight="1" x14ac:dyDescent="0.2">
      <c r="X15" s="244"/>
    </row>
    <row r="16" spans="1:24" ht="15.75" customHeight="1" x14ac:dyDescent="0.2">
      <c r="X16" s="244"/>
    </row>
    <row r="17" spans="24:24" ht="15.75" customHeight="1" x14ac:dyDescent="0.2">
      <c r="X17" s="244"/>
    </row>
    <row r="18" spans="24:24" ht="15.75" customHeight="1" x14ac:dyDescent="0.2">
      <c r="X18" s="244"/>
    </row>
    <row r="19" spans="24:24" ht="15.75" customHeight="1" x14ac:dyDescent="0.2">
      <c r="X19" s="244"/>
    </row>
    <row r="20" spans="24:24" ht="15.75" customHeight="1" x14ac:dyDescent="0.2">
      <c r="X20" s="244"/>
    </row>
    <row r="21" spans="24:24" ht="15.75" customHeight="1" x14ac:dyDescent="0.2">
      <c r="X21" s="244"/>
    </row>
    <row r="22" spans="24:24" ht="15.75" customHeight="1" x14ac:dyDescent="0.2">
      <c r="X22" s="244"/>
    </row>
    <row r="23" spans="24:24" ht="15.75" customHeight="1" x14ac:dyDescent="0.2">
      <c r="X23" s="244"/>
    </row>
    <row r="24" spans="24:24" ht="15.75" customHeight="1" x14ac:dyDescent="0.2">
      <c r="X24" s="244"/>
    </row>
    <row r="25" spans="24:24" ht="15.75" customHeight="1" x14ac:dyDescent="0.2">
      <c r="X25" s="244"/>
    </row>
    <row r="26" spans="24:24" ht="15.75" customHeight="1" x14ac:dyDescent="0.2">
      <c r="X26" s="244"/>
    </row>
    <row r="27" spans="24:24" ht="15.75" customHeight="1" x14ac:dyDescent="0.2">
      <c r="X27" s="244"/>
    </row>
    <row r="28" spans="24:24" ht="15.75" customHeight="1" x14ac:dyDescent="0.2">
      <c r="X28" s="244"/>
    </row>
    <row r="29" spans="24:24" ht="15.75" customHeight="1" x14ac:dyDescent="0.2">
      <c r="X29" s="244"/>
    </row>
    <row r="30" spans="24:24" ht="15.75" customHeight="1" x14ac:dyDescent="0.2">
      <c r="X30" s="244"/>
    </row>
    <row r="31" spans="24:24" ht="15.75" customHeight="1" x14ac:dyDescent="0.2">
      <c r="X31" s="244"/>
    </row>
    <row r="32" spans="24:24" ht="15.75" customHeight="1" x14ac:dyDescent="0.2">
      <c r="X32" s="244"/>
    </row>
    <row r="33" spans="24:24" ht="15.75" customHeight="1" x14ac:dyDescent="0.2">
      <c r="X33" s="244"/>
    </row>
    <row r="34" spans="24:24" ht="15.75" customHeight="1" x14ac:dyDescent="0.2">
      <c r="X34" s="244"/>
    </row>
    <row r="35" spans="24:24" ht="15.75" customHeight="1" x14ac:dyDescent="0.2">
      <c r="X35" s="244"/>
    </row>
    <row r="36" spans="24:24" ht="15.75" customHeight="1" x14ac:dyDescent="0.2">
      <c r="X36" s="244"/>
    </row>
    <row r="37" spans="24:24" ht="15.75" customHeight="1" x14ac:dyDescent="0.2">
      <c r="X37" s="244"/>
    </row>
    <row r="38" spans="24:24" ht="15.75" customHeight="1" x14ac:dyDescent="0.2">
      <c r="X38" s="244"/>
    </row>
    <row r="39" spans="24:24" ht="15.75" customHeight="1" x14ac:dyDescent="0.2">
      <c r="X39" s="244"/>
    </row>
    <row r="40" spans="24:24" ht="15.75" customHeight="1" x14ac:dyDescent="0.2">
      <c r="X40" s="244"/>
    </row>
    <row r="41" spans="24:24" ht="15.75" customHeight="1" x14ac:dyDescent="0.2">
      <c r="X41" s="244"/>
    </row>
    <row r="42" spans="24:24" ht="15.75" customHeight="1" x14ac:dyDescent="0.2">
      <c r="X42" s="244"/>
    </row>
    <row r="43" spans="24:24" ht="15.75" customHeight="1" x14ac:dyDescent="0.2">
      <c r="X43" s="244"/>
    </row>
    <row r="44" spans="24:24" ht="15.75" customHeight="1" x14ac:dyDescent="0.2">
      <c r="X44" s="244"/>
    </row>
    <row r="45" spans="24:24" ht="15.75" customHeight="1" x14ac:dyDescent="0.2">
      <c r="X45" s="244"/>
    </row>
    <row r="46" spans="24:24" ht="15.75" customHeight="1" x14ac:dyDescent="0.2">
      <c r="X46" s="244"/>
    </row>
    <row r="47" spans="24:24" ht="15.75" customHeight="1" x14ac:dyDescent="0.2">
      <c r="X47" s="244"/>
    </row>
    <row r="48" spans="24:24" ht="15.75" customHeight="1" x14ac:dyDescent="0.2">
      <c r="X48" s="244"/>
    </row>
    <row r="49" spans="24:24" ht="15.75" customHeight="1" x14ac:dyDescent="0.2">
      <c r="X49" s="244"/>
    </row>
    <row r="50" spans="24:24" ht="15.75" customHeight="1" x14ac:dyDescent="0.2">
      <c r="X50" s="244"/>
    </row>
    <row r="51" spans="24:24" ht="15.75" customHeight="1" x14ac:dyDescent="0.2">
      <c r="X51" s="244"/>
    </row>
    <row r="52" spans="24:24" ht="15.75" customHeight="1" x14ac:dyDescent="0.2">
      <c r="X52" s="244"/>
    </row>
    <row r="53" spans="24:24" ht="15.75" customHeight="1" x14ac:dyDescent="0.2">
      <c r="X53" s="244"/>
    </row>
    <row r="54" spans="24:24" ht="15.75" customHeight="1" x14ac:dyDescent="0.2">
      <c r="X54" s="244"/>
    </row>
    <row r="55" spans="24:24" ht="15.75" customHeight="1" x14ac:dyDescent="0.2">
      <c r="X55" s="244"/>
    </row>
    <row r="56" spans="24:24" ht="15.75" customHeight="1" x14ac:dyDescent="0.2">
      <c r="X56" s="244"/>
    </row>
    <row r="57" spans="24:24" ht="15.75" customHeight="1" x14ac:dyDescent="0.2">
      <c r="X57" s="244"/>
    </row>
    <row r="58" spans="24:24" ht="15.75" customHeight="1" x14ac:dyDescent="0.2">
      <c r="X58" s="244"/>
    </row>
    <row r="59" spans="24:24" ht="15.75" customHeight="1" x14ac:dyDescent="0.2">
      <c r="X59" s="244"/>
    </row>
    <row r="60" spans="24:24" ht="15.75" customHeight="1" x14ac:dyDescent="0.2">
      <c r="X60" s="244"/>
    </row>
    <row r="61" spans="24:24" ht="15.75" customHeight="1" x14ac:dyDescent="0.2">
      <c r="X61" s="244"/>
    </row>
    <row r="62" spans="24:24" ht="15.75" customHeight="1" x14ac:dyDescent="0.2">
      <c r="X62" s="244"/>
    </row>
    <row r="63" spans="24:24" ht="15.75" customHeight="1" x14ac:dyDescent="0.2">
      <c r="X63" s="244"/>
    </row>
    <row r="64" spans="24:24" ht="15.75" customHeight="1" x14ac:dyDescent="0.2">
      <c r="X64" s="244"/>
    </row>
    <row r="65" spans="24:24" ht="15.75" customHeight="1" x14ac:dyDescent="0.2">
      <c r="X65" s="244"/>
    </row>
    <row r="66" spans="24:24" ht="15.75" customHeight="1" x14ac:dyDescent="0.2">
      <c r="X66" s="244"/>
    </row>
    <row r="67" spans="24:24" ht="15.75" customHeight="1" x14ac:dyDescent="0.2">
      <c r="X67" s="244"/>
    </row>
    <row r="68" spans="24:24" ht="15.75" customHeight="1" x14ac:dyDescent="0.2">
      <c r="X68" s="244"/>
    </row>
    <row r="69" spans="24:24" ht="15.75" customHeight="1" x14ac:dyDescent="0.2">
      <c r="X69" s="244"/>
    </row>
    <row r="70" spans="24:24" ht="15.75" customHeight="1" x14ac:dyDescent="0.2">
      <c r="X70" s="244"/>
    </row>
    <row r="71" spans="24:24" ht="15.75" customHeight="1" x14ac:dyDescent="0.2">
      <c r="X71" s="244"/>
    </row>
    <row r="72" spans="24:24" ht="15.75" customHeight="1" x14ac:dyDescent="0.2">
      <c r="X72" s="244"/>
    </row>
    <row r="73" spans="24:24" ht="15.75" customHeight="1" x14ac:dyDescent="0.2">
      <c r="X73" s="244"/>
    </row>
    <row r="74" spans="24:24" ht="15.75" customHeight="1" x14ac:dyDescent="0.2">
      <c r="X74" s="244"/>
    </row>
    <row r="75" spans="24:24" ht="15.75" customHeight="1" x14ac:dyDescent="0.2">
      <c r="X75" s="244"/>
    </row>
    <row r="76" spans="24:24" ht="15.75" customHeight="1" x14ac:dyDescent="0.2">
      <c r="X76" s="244"/>
    </row>
    <row r="77" spans="24:24" ht="15.75" customHeight="1" x14ac:dyDescent="0.2">
      <c r="X77" s="244"/>
    </row>
    <row r="78" spans="24:24" ht="15.75" customHeight="1" x14ac:dyDescent="0.2">
      <c r="X78" s="244"/>
    </row>
    <row r="79" spans="24:24" ht="15.75" customHeight="1" x14ac:dyDescent="0.2">
      <c r="X79" s="244"/>
    </row>
    <row r="80" spans="24:24" ht="15.75" customHeight="1" x14ac:dyDescent="0.2">
      <c r="X80" s="244"/>
    </row>
    <row r="81" spans="24:24" ht="15.75" customHeight="1" x14ac:dyDescent="0.2">
      <c r="X81" s="244"/>
    </row>
    <row r="82" spans="24:24" ht="15.75" customHeight="1" x14ac:dyDescent="0.2">
      <c r="X82" s="244"/>
    </row>
    <row r="83" spans="24:24" ht="15.75" customHeight="1" x14ac:dyDescent="0.2">
      <c r="X83" s="244"/>
    </row>
    <row r="84" spans="24:24" ht="15.75" customHeight="1" x14ac:dyDescent="0.2">
      <c r="X84" s="244"/>
    </row>
    <row r="85" spans="24:24" ht="15.75" customHeight="1" x14ac:dyDescent="0.2">
      <c r="X85" s="244"/>
    </row>
    <row r="86" spans="24:24" ht="15.75" customHeight="1" x14ac:dyDescent="0.2">
      <c r="X86" s="244"/>
    </row>
    <row r="87" spans="24:24" ht="15.75" customHeight="1" x14ac:dyDescent="0.2">
      <c r="X87" s="244"/>
    </row>
    <row r="88" spans="24:24" ht="15.75" customHeight="1" x14ac:dyDescent="0.2">
      <c r="X88" s="244"/>
    </row>
    <row r="89" spans="24:24" ht="15.75" customHeight="1" x14ac:dyDescent="0.2">
      <c r="X89" s="244"/>
    </row>
    <row r="90" spans="24:24" ht="15.75" customHeight="1" x14ac:dyDescent="0.2">
      <c r="X90" s="244"/>
    </row>
    <row r="91" spans="24:24" ht="15.75" customHeight="1" x14ac:dyDescent="0.2">
      <c r="X91" s="244"/>
    </row>
    <row r="92" spans="24:24" ht="15.75" customHeight="1" x14ac:dyDescent="0.2">
      <c r="X92" s="244"/>
    </row>
    <row r="93" spans="24:24" ht="15.75" customHeight="1" x14ac:dyDescent="0.2">
      <c r="X93" s="244"/>
    </row>
    <row r="94" spans="24:24" ht="15.75" customHeight="1" x14ac:dyDescent="0.2">
      <c r="X94" s="244"/>
    </row>
    <row r="95" spans="24:24" ht="15.75" customHeight="1" x14ac:dyDescent="0.2">
      <c r="X95" s="244"/>
    </row>
    <row r="96" spans="24:24" ht="15.75" customHeight="1" x14ac:dyDescent="0.2">
      <c r="X96" s="244"/>
    </row>
    <row r="97" spans="24:24" ht="15.75" customHeight="1" x14ac:dyDescent="0.2">
      <c r="X97" s="244"/>
    </row>
    <row r="98" spans="24:24" ht="15.75" customHeight="1" x14ac:dyDescent="0.2">
      <c r="X98" s="244"/>
    </row>
    <row r="99" spans="24:24" ht="15.75" customHeight="1" x14ac:dyDescent="0.2">
      <c r="X99" s="244"/>
    </row>
    <row r="100" spans="24:24" ht="15.75" customHeight="1" x14ac:dyDescent="0.2">
      <c r="X100" s="244"/>
    </row>
    <row r="101" spans="24:24" ht="15.75" customHeight="1" x14ac:dyDescent="0.2">
      <c r="X101" s="244"/>
    </row>
    <row r="102" spans="24:24" ht="15.75" customHeight="1" x14ac:dyDescent="0.2">
      <c r="X102" s="244"/>
    </row>
    <row r="103" spans="24:24" ht="15.75" customHeight="1" x14ac:dyDescent="0.2">
      <c r="X103" s="244"/>
    </row>
    <row r="104" spans="24:24" ht="15.75" customHeight="1" x14ac:dyDescent="0.2">
      <c r="X104" s="244"/>
    </row>
    <row r="105" spans="24:24" ht="15.75" customHeight="1" x14ac:dyDescent="0.2">
      <c r="X105" s="244"/>
    </row>
    <row r="106" spans="24:24" ht="15.75" customHeight="1" x14ac:dyDescent="0.2">
      <c r="X106" s="244"/>
    </row>
    <row r="107" spans="24:24" ht="15.75" customHeight="1" x14ac:dyDescent="0.2">
      <c r="X107" s="244"/>
    </row>
    <row r="108" spans="24:24" ht="15.75" customHeight="1" x14ac:dyDescent="0.2">
      <c r="X108" s="244"/>
    </row>
    <row r="109" spans="24:24" ht="15.75" customHeight="1" x14ac:dyDescent="0.2">
      <c r="X109" s="244"/>
    </row>
    <row r="110" spans="24:24" ht="15.75" customHeight="1" x14ac:dyDescent="0.2">
      <c r="X110" s="244"/>
    </row>
    <row r="111" spans="24:24" ht="15.75" customHeight="1" x14ac:dyDescent="0.2">
      <c r="X111" s="244"/>
    </row>
    <row r="112" spans="24:24" ht="15.75" customHeight="1" x14ac:dyDescent="0.2">
      <c r="X112" s="244"/>
    </row>
    <row r="113" spans="24:24" ht="15.75" customHeight="1" x14ac:dyDescent="0.2">
      <c r="X113" s="244"/>
    </row>
    <row r="114" spans="24:24" ht="15.75" customHeight="1" x14ac:dyDescent="0.2">
      <c r="X114" s="244"/>
    </row>
    <row r="115" spans="24:24" ht="15.75" customHeight="1" x14ac:dyDescent="0.2">
      <c r="X115" s="244"/>
    </row>
    <row r="116" spans="24:24" ht="15.75" customHeight="1" x14ac:dyDescent="0.2">
      <c r="X116" s="244"/>
    </row>
    <row r="117" spans="24:24" ht="15.75" customHeight="1" x14ac:dyDescent="0.2">
      <c r="X117" s="244"/>
    </row>
    <row r="118" spans="24:24" ht="15.75" customHeight="1" x14ac:dyDescent="0.2">
      <c r="X118" s="244"/>
    </row>
    <row r="119" spans="24:24" ht="15.75" customHeight="1" x14ac:dyDescent="0.2">
      <c r="X119" s="244"/>
    </row>
    <row r="120" spans="24:24" ht="15.75" customHeight="1" x14ac:dyDescent="0.2">
      <c r="X120" s="244"/>
    </row>
    <row r="121" spans="24:24" ht="15.75" customHeight="1" x14ac:dyDescent="0.2">
      <c r="X121" s="244"/>
    </row>
    <row r="122" spans="24:24" ht="15.75" customHeight="1" x14ac:dyDescent="0.2">
      <c r="X122" s="244"/>
    </row>
    <row r="123" spans="24:24" ht="15.75" customHeight="1" x14ac:dyDescent="0.2">
      <c r="X123" s="244"/>
    </row>
    <row r="124" spans="24:24" ht="15.75" customHeight="1" x14ac:dyDescent="0.2">
      <c r="X124" s="244"/>
    </row>
    <row r="125" spans="24:24" ht="15.75" customHeight="1" x14ac:dyDescent="0.2">
      <c r="X125" s="244"/>
    </row>
    <row r="126" spans="24:24" ht="15.75" customHeight="1" x14ac:dyDescent="0.2">
      <c r="X126" s="244"/>
    </row>
    <row r="127" spans="24:24" ht="15.75" customHeight="1" x14ac:dyDescent="0.2">
      <c r="X127" s="244"/>
    </row>
    <row r="128" spans="24:24" ht="15.75" customHeight="1" x14ac:dyDescent="0.2">
      <c r="X128" s="244"/>
    </row>
    <row r="129" spans="24:24" ht="15.75" customHeight="1" x14ac:dyDescent="0.2">
      <c r="X129" s="244"/>
    </row>
    <row r="130" spans="24:24" ht="15.75" customHeight="1" x14ac:dyDescent="0.2">
      <c r="X130" s="244"/>
    </row>
    <row r="131" spans="24:24" ht="15.75" customHeight="1" x14ac:dyDescent="0.2">
      <c r="X131" s="244"/>
    </row>
    <row r="132" spans="24:24" ht="15.75" customHeight="1" x14ac:dyDescent="0.2">
      <c r="X132" s="244"/>
    </row>
    <row r="133" spans="24:24" ht="15.75" customHeight="1" x14ac:dyDescent="0.2">
      <c r="X133" s="244"/>
    </row>
    <row r="134" spans="24:24" ht="15.75" customHeight="1" x14ac:dyDescent="0.2">
      <c r="X134" s="244"/>
    </row>
    <row r="135" spans="24:24" ht="15.75" customHeight="1" x14ac:dyDescent="0.2">
      <c r="X135" s="244"/>
    </row>
    <row r="136" spans="24:24" ht="15.75" customHeight="1" x14ac:dyDescent="0.2">
      <c r="X136" s="244"/>
    </row>
    <row r="137" spans="24:24" ht="15.75" customHeight="1" x14ac:dyDescent="0.2">
      <c r="X137" s="244"/>
    </row>
    <row r="138" spans="24:24" ht="15.75" customHeight="1" x14ac:dyDescent="0.2">
      <c r="X138" s="244"/>
    </row>
    <row r="139" spans="24:24" ht="15.75" customHeight="1" x14ac:dyDescent="0.2">
      <c r="X139" s="244"/>
    </row>
    <row r="140" spans="24:24" ht="15.75" customHeight="1" x14ac:dyDescent="0.2">
      <c r="X140" s="244"/>
    </row>
    <row r="141" spans="24:24" ht="15.75" customHeight="1" x14ac:dyDescent="0.2">
      <c r="X141" s="244"/>
    </row>
    <row r="142" spans="24:24" ht="15.75" customHeight="1" x14ac:dyDescent="0.2">
      <c r="X142" s="244"/>
    </row>
    <row r="143" spans="24:24" ht="15.75" customHeight="1" x14ac:dyDescent="0.2">
      <c r="X143" s="244"/>
    </row>
    <row r="144" spans="24:24" ht="15.75" customHeight="1" x14ac:dyDescent="0.2">
      <c r="X144" s="244"/>
    </row>
    <row r="145" spans="24:24" ht="15.75" customHeight="1" x14ac:dyDescent="0.2">
      <c r="X145" s="244"/>
    </row>
    <row r="146" spans="24:24" ht="15.75" customHeight="1" x14ac:dyDescent="0.2">
      <c r="X146" s="244"/>
    </row>
    <row r="147" spans="24:24" ht="15.75" customHeight="1" x14ac:dyDescent="0.2">
      <c r="X147" s="244"/>
    </row>
    <row r="148" spans="24:24" ht="15.75" customHeight="1" x14ac:dyDescent="0.2">
      <c r="X148" s="244"/>
    </row>
    <row r="149" spans="24:24" ht="15.75" customHeight="1" x14ac:dyDescent="0.2">
      <c r="X149" s="244"/>
    </row>
    <row r="150" spans="24:24" ht="15.75" customHeight="1" x14ac:dyDescent="0.2">
      <c r="X150" s="244"/>
    </row>
    <row r="151" spans="24:24" ht="15.75" customHeight="1" x14ac:dyDescent="0.2">
      <c r="X151" s="244"/>
    </row>
    <row r="152" spans="24:24" ht="15.75" customHeight="1" x14ac:dyDescent="0.2">
      <c r="X152" s="244"/>
    </row>
    <row r="153" spans="24:24" ht="15.75" customHeight="1" x14ac:dyDescent="0.2">
      <c r="X153" s="244"/>
    </row>
    <row r="154" spans="24:24" ht="15.75" customHeight="1" x14ac:dyDescent="0.2">
      <c r="X154" s="244"/>
    </row>
    <row r="155" spans="24:24" ht="15.75" customHeight="1" x14ac:dyDescent="0.2">
      <c r="X155" s="244"/>
    </row>
    <row r="156" spans="24:24" ht="15.75" customHeight="1" x14ac:dyDescent="0.2">
      <c r="X156" s="244"/>
    </row>
    <row r="157" spans="24:24" ht="15.75" customHeight="1" x14ac:dyDescent="0.2">
      <c r="X157" s="244"/>
    </row>
    <row r="158" spans="24:24" ht="15.75" customHeight="1" x14ac:dyDescent="0.2">
      <c r="X158" s="244"/>
    </row>
    <row r="159" spans="24:24" ht="15.75" customHeight="1" x14ac:dyDescent="0.2">
      <c r="X159" s="244"/>
    </row>
    <row r="160" spans="24:24" ht="15.75" customHeight="1" x14ac:dyDescent="0.2">
      <c r="X160" s="244"/>
    </row>
    <row r="161" spans="24:24" ht="15.75" customHeight="1" x14ac:dyDescent="0.2">
      <c r="X161" s="244"/>
    </row>
    <row r="162" spans="24:24" ht="15.75" customHeight="1" x14ac:dyDescent="0.2">
      <c r="X162" s="244"/>
    </row>
    <row r="163" spans="24:24" ht="15.75" customHeight="1" x14ac:dyDescent="0.2">
      <c r="X163" s="244"/>
    </row>
    <row r="164" spans="24:24" ht="15.75" customHeight="1" x14ac:dyDescent="0.2">
      <c r="X164" s="244"/>
    </row>
    <row r="165" spans="24:24" ht="15.75" customHeight="1" x14ac:dyDescent="0.2">
      <c r="X165" s="244"/>
    </row>
    <row r="166" spans="24:24" ht="15.75" customHeight="1" x14ac:dyDescent="0.2">
      <c r="X166" s="244"/>
    </row>
    <row r="167" spans="24:24" ht="15.75" customHeight="1" x14ac:dyDescent="0.2">
      <c r="X167" s="244"/>
    </row>
    <row r="168" spans="24:24" ht="15.75" customHeight="1" x14ac:dyDescent="0.2">
      <c r="X168" s="244"/>
    </row>
    <row r="169" spans="24:24" ht="15.75" customHeight="1" x14ac:dyDescent="0.2">
      <c r="X169" s="244"/>
    </row>
    <row r="170" spans="24:24" ht="15.75" customHeight="1" x14ac:dyDescent="0.2">
      <c r="X170" s="244"/>
    </row>
    <row r="171" spans="24:24" ht="15.75" customHeight="1" x14ac:dyDescent="0.2">
      <c r="X171" s="244"/>
    </row>
    <row r="172" spans="24:24" ht="15.75" customHeight="1" x14ac:dyDescent="0.2">
      <c r="X172" s="244"/>
    </row>
    <row r="173" spans="24:24" ht="15.75" customHeight="1" x14ac:dyDescent="0.2">
      <c r="X173" s="244"/>
    </row>
    <row r="174" spans="24:24" ht="15.75" customHeight="1" x14ac:dyDescent="0.2">
      <c r="X174" s="244"/>
    </row>
    <row r="175" spans="24:24" ht="15.75" customHeight="1" x14ac:dyDescent="0.2">
      <c r="X175" s="244"/>
    </row>
    <row r="176" spans="24:24" ht="15.75" customHeight="1" x14ac:dyDescent="0.2">
      <c r="X176" s="244"/>
    </row>
    <row r="177" spans="24:24" ht="15.75" customHeight="1" x14ac:dyDescent="0.2">
      <c r="X177" s="244"/>
    </row>
    <row r="178" spans="24:24" ht="15.75" customHeight="1" x14ac:dyDescent="0.2">
      <c r="X178" s="244"/>
    </row>
    <row r="179" spans="24:24" ht="15.75" customHeight="1" x14ac:dyDescent="0.2">
      <c r="X179" s="244"/>
    </row>
    <row r="180" spans="24:24" ht="15.75" customHeight="1" x14ac:dyDescent="0.2">
      <c r="X180" s="244"/>
    </row>
    <row r="181" spans="24:24" ht="15.75" customHeight="1" x14ac:dyDescent="0.2">
      <c r="X181" s="244"/>
    </row>
    <row r="182" spans="24:24" ht="15.75" customHeight="1" x14ac:dyDescent="0.2">
      <c r="X182" s="244"/>
    </row>
    <row r="183" spans="24:24" ht="15.75" customHeight="1" x14ac:dyDescent="0.2">
      <c r="X183" s="244"/>
    </row>
    <row r="184" spans="24:24" ht="15.75" customHeight="1" x14ac:dyDescent="0.2">
      <c r="X184" s="244"/>
    </row>
    <row r="185" spans="24:24" ht="15.75" customHeight="1" x14ac:dyDescent="0.2">
      <c r="X185" s="244"/>
    </row>
    <row r="186" spans="24:24" ht="15.75" customHeight="1" x14ac:dyDescent="0.2">
      <c r="X186" s="244"/>
    </row>
    <row r="187" spans="24:24" ht="15.75" customHeight="1" x14ac:dyDescent="0.2">
      <c r="X187" s="244"/>
    </row>
    <row r="188" spans="24:24" ht="15.75" customHeight="1" x14ac:dyDescent="0.2">
      <c r="X188" s="244"/>
    </row>
    <row r="189" spans="24:24" ht="15.75" customHeight="1" x14ac:dyDescent="0.2">
      <c r="X189" s="244"/>
    </row>
    <row r="190" spans="24:24" ht="15.75" customHeight="1" x14ac:dyDescent="0.2">
      <c r="X190" s="244"/>
    </row>
    <row r="191" spans="24:24" ht="15.75" customHeight="1" x14ac:dyDescent="0.2">
      <c r="X191" s="244"/>
    </row>
    <row r="192" spans="24:24" ht="15.75" customHeight="1" x14ac:dyDescent="0.2">
      <c r="X192" s="244"/>
    </row>
    <row r="193" spans="24:24" ht="15.75" customHeight="1" x14ac:dyDescent="0.2">
      <c r="X193" s="244"/>
    </row>
    <row r="194" spans="24:24" ht="15.75" customHeight="1" x14ac:dyDescent="0.2">
      <c r="X194" s="244"/>
    </row>
    <row r="195" spans="24:24" ht="15.75" customHeight="1" x14ac:dyDescent="0.2">
      <c r="X195" s="244"/>
    </row>
    <row r="196" spans="24:24" ht="15.75" customHeight="1" x14ac:dyDescent="0.2">
      <c r="X196" s="244"/>
    </row>
    <row r="197" spans="24:24" ht="15.75" customHeight="1" x14ac:dyDescent="0.2">
      <c r="X197" s="244"/>
    </row>
    <row r="198" spans="24:24" ht="15.75" customHeight="1" x14ac:dyDescent="0.2">
      <c r="X198" s="244"/>
    </row>
    <row r="199" spans="24:24" ht="15.75" customHeight="1" x14ac:dyDescent="0.2">
      <c r="X199" s="244"/>
    </row>
    <row r="200" spans="24:24" ht="15.75" customHeight="1" x14ac:dyDescent="0.2">
      <c r="X200" s="244"/>
    </row>
    <row r="201" spans="24:24" ht="15.75" customHeight="1" x14ac:dyDescent="0.2">
      <c r="X201" s="244"/>
    </row>
    <row r="202" spans="24:24" ht="15.75" customHeight="1" x14ac:dyDescent="0.2">
      <c r="X202" s="244"/>
    </row>
    <row r="203" spans="24:24" ht="15.75" customHeight="1" x14ac:dyDescent="0.2">
      <c r="X203" s="244"/>
    </row>
    <row r="204" spans="24:24" ht="15.75" customHeight="1" x14ac:dyDescent="0.2">
      <c r="X204" s="244"/>
    </row>
    <row r="205" spans="24:24" ht="15.75" customHeight="1" x14ac:dyDescent="0.2">
      <c r="X205" s="244"/>
    </row>
    <row r="206" spans="24:24" ht="15.75" customHeight="1" x14ac:dyDescent="0.2">
      <c r="X206" s="244"/>
    </row>
    <row r="207" spans="24:24" ht="15.75" customHeight="1" x14ac:dyDescent="0.2">
      <c r="X207" s="244"/>
    </row>
    <row r="208" spans="24:24" ht="15.75" customHeight="1" x14ac:dyDescent="0.2">
      <c r="X208" s="244"/>
    </row>
    <row r="209" spans="24:24" ht="15.75" customHeight="1" x14ac:dyDescent="0.2">
      <c r="X209" s="244"/>
    </row>
    <row r="210" spans="24:24" ht="15.75" customHeight="1" x14ac:dyDescent="0.2">
      <c r="X210" s="244"/>
    </row>
    <row r="211" spans="24:24" ht="15.75" customHeight="1" x14ac:dyDescent="0.2">
      <c r="X211" s="244"/>
    </row>
    <row r="212" spans="24:24" ht="15.75" customHeight="1" x14ac:dyDescent="0.2">
      <c r="X212" s="244"/>
    </row>
    <row r="213" spans="24:24" ht="15.75" customHeight="1" x14ac:dyDescent="0.2">
      <c r="X213" s="244"/>
    </row>
    <row r="214" spans="24:24" ht="15.75" customHeight="1" x14ac:dyDescent="0.2">
      <c r="X214" s="244"/>
    </row>
    <row r="215" spans="24:24" ht="15.75" customHeight="1" x14ac:dyDescent="0.2">
      <c r="X215" s="244"/>
    </row>
    <row r="216" spans="24:24" ht="15.75" customHeight="1" x14ac:dyDescent="0.2">
      <c r="X216" s="244"/>
    </row>
    <row r="217" spans="24:24" ht="15.75" customHeight="1" x14ac:dyDescent="0.2">
      <c r="X217" s="244"/>
    </row>
    <row r="218" spans="24:24" ht="15.75" customHeight="1" x14ac:dyDescent="0.2">
      <c r="X218" s="244"/>
    </row>
    <row r="219" spans="24:24" ht="15.75" customHeight="1" x14ac:dyDescent="0.2">
      <c r="X219" s="244"/>
    </row>
    <row r="220" spans="24:24" ht="15.75" customHeight="1" x14ac:dyDescent="0.2">
      <c r="X220" s="244"/>
    </row>
    <row r="221" spans="24:24" ht="15.75" customHeight="1" x14ac:dyDescent="0.2">
      <c r="X221" s="244"/>
    </row>
    <row r="222" spans="24:24" ht="15.75" customHeight="1" x14ac:dyDescent="0.2">
      <c r="X222" s="244"/>
    </row>
    <row r="223" spans="24:24" ht="15.75" customHeight="1" x14ac:dyDescent="0.2">
      <c r="X223" s="244"/>
    </row>
    <row r="224" spans="24:24" ht="15.75" customHeight="1" x14ac:dyDescent="0.2">
      <c r="X224" s="244"/>
    </row>
    <row r="225" spans="24:24" ht="15.75" customHeight="1" x14ac:dyDescent="0.2">
      <c r="X225" s="244"/>
    </row>
    <row r="226" spans="24:24" ht="15.75" customHeight="1" x14ac:dyDescent="0.2">
      <c r="X226" s="244"/>
    </row>
    <row r="227" spans="24:24" ht="15.75" customHeight="1" x14ac:dyDescent="0.2">
      <c r="X227" s="244"/>
    </row>
    <row r="228" spans="24:24" ht="15.75" customHeight="1" x14ac:dyDescent="0.2">
      <c r="X228" s="244"/>
    </row>
    <row r="229" spans="24:24" ht="15.75" customHeight="1" x14ac:dyDescent="0.2">
      <c r="X229" s="244"/>
    </row>
    <row r="230" spans="24:24" ht="15.75" customHeight="1" x14ac:dyDescent="0.2">
      <c r="X230" s="244"/>
    </row>
    <row r="231" spans="24:24" ht="15.75" customHeight="1" x14ac:dyDescent="0.2">
      <c r="X231" s="244"/>
    </row>
    <row r="232" spans="24:24" ht="15.75" customHeight="1" x14ac:dyDescent="0.2">
      <c r="X232" s="244"/>
    </row>
    <row r="233" spans="24:24" ht="15.75" customHeight="1" x14ac:dyDescent="0.2">
      <c r="X233" s="244"/>
    </row>
    <row r="234" spans="24:24" ht="15.75" customHeight="1" x14ac:dyDescent="0.2">
      <c r="X234" s="244"/>
    </row>
    <row r="235" spans="24:24" ht="15.75" customHeight="1" x14ac:dyDescent="0.2">
      <c r="X235" s="244"/>
    </row>
    <row r="236" spans="24:24" ht="15.75" customHeight="1" x14ac:dyDescent="0.2">
      <c r="X236" s="244"/>
    </row>
    <row r="237" spans="24:24" ht="15.75" customHeight="1" x14ac:dyDescent="0.2">
      <c r="X237" s="244"/>
    </row>
    <row r="238" spans="24:24" ht="15.75" customHeight="1" x14ac:dyDescent="0.2">
      <c r="X238" s="244"/>
    </row>
    <row r="239" spans="24:24" ht="15.75" customHeight="1" x14ac:dyDescent="0.2">
      <c r="X239" s="244"/>
    </row>
    <row r="240" spans="24:24" ht="15.75" customHeight="1" x14ac:dyDescent="0.2">
      <c r="X240" s="244"/>
    </row>
    <row r="241" spans="24:24" ht="15.75" customHeight="1" x14ac:dyDescent="0.2">
      <c r="X241" s="244"/>
    </row>
    <row r="242" spans="24:24" ht="15.75" customHeight="1" x14ac:dyDescent="0.2">
      <c r="X242" s="244"/>
    </row>
    <row r="243" spans="24:24" ht="15.75" customHeight="1" x14ac:dyDescent="0.2">
      <c r="X243" s="244"/>
    </row>
    <row r="244" spans="24:24" ht="15.75" customHeight="1" x14ac:dyDescent="0.2">
      <c r="X244" s="244"/>
    </row>
    <row r="245" spans="24:24" ht="15.75" customHeight="1" x14ac:dyDescent="0.2">
      <c r="X245" s="244"/>
    </row>
    <row r="246" spans="24:24" ht="15.75" customHeight="1" x14ac:dyDescent="0.2">
      <c r="X246" s="244"/>
    </row>
    <row r="247" spans="24:24" ht="15.75" customHeight="1" x14ac:dyDescent="0.2">
      <c r="X247" s="244"/>
    </row>
    <row r="248" spans="24:24" ht="15.75" customHeight="1" x14ac:dyDescent="0.2">
      <c r="X248" s="244"/>
    </row>
    <row r="249" spans="24:24" ht="15.75" customHeight="1" x14ac:dyDescent="0.2">
      <c r="X249" s="244"/>
    </row>
    <row r="250" spans="24:24" ht="15.75" customHeight="1" x14ac:dyDescent="0.2">
      <c r="X250" s="244"/>
    </row>
    <row r="251" spans="24:24" ht="15.75" customHeight="1" x14ac:dyDescent="0.2">
      <c r="X251" s="244"/>
    </row>
    <row r="252" spans="24:24" ht="15.75" customHeight="1" x14ac:dyDescent="0.2">
      <c r="X252" s="244"/>
    </row>
    <row r="253" spans="24:24" ht="15.75" customHeight="1" x14ac:dyDescent="0.2">
      <c r="X253" s="244"/>
    </row>
    <row r="254" spans="24:24" ht="15.75" customHeight="1" x14ac:dyDescent="0.2">
      <c r="X254" s="244"/>
    </row>
    <row r="255" spans="24:24" ht="15.75" customHeight="1" x14ac:dyDescent="0.2">
      <c r="X255" s="244"/>
    </row>
    <row r="256" spans="24:24" ht="15.75" customHeight="1" x14ac:dyDescent="0.2">
      <c r="X256" s="244"/>
    </row>
    <row r="257" spans="24:24" ht="15.75" customHeight="1" x14ac:dyDescent="0.2">
      <c r="X257" s="244"/>
    </row>
    <row r="258" spans="24:24" ht="15.75" customHeight="1" x14ac:dyDescent="0.2">
      <c r="X258" s="244"/>
    </row>
    <row r="259" spans="24:24" ht="15.75" customHeight="1" x14ac:dyDescent="0.2">
      <c r="X259" s="244"/>
    </row>
    <row r="260" spans="24:24" ht="15.75" customHeight="1" x14ac:dyDescent="0.2">
      <c r="X260" s="244"/>
    </row>
    <row r="261" spans="24:24" ht="15.75" customHeight="1" x14ac:dyDescent="0.2">
      <c r="X261" s="244"/>
    </row>
    <row r="262" spans="24:24" ht="15.75" customHeight="1" x14ac:dyDescent="0.2">
      <c r="X262" s="244"/>
    </row>
    <row r="263" spans="24:24" ht="15.75" customHeight="1" x14ac:dyDescent="0.2">
      <c r="X263" s="244"/>
    </row>
    <row r="264" spans="24:24" ht="15.75" customHeight="1" x14ac:dyDescent="0.2">
      <c r="X264" s="244"/>
    </row>
    <row r="265" spans="24:24" ht="15.75" customHeight="1" x14ac:dyDescent="0.2">
      <c r="X265" s="244"/>
    </row>
    <row r="266" spans="24:24" ht="15.75" customHeight="1" x14ac:dyDescent="0.2">
      <c r="X266" s="244"/>
    </row>
    <row r="267" spans="24:24" ht="15.75" customHeight="1" x14ac:dyDescent="0.2">
      <c r="X267" s="244"/>
    </row>
    <row r="268" spans="24:24" ht="15.75" customHeight="1" x14ac:dyDescent="0.2">
      <c r="X268" s="244"/>
    </row>
    <row r="269" spans="24:24" ht="15.75" customHeight="1" x14ac:dyDescent="0.2">
      <c r="X269" s="244"/>
    </row>
    <row r="270" spans="24:24" ht="15.75" customHeight="1" x14ac:dyDescent="0.2">
      <c r="X270" s="244"/>
    </row>
    <row r="271" spans="24:24" ht="15.75" customHeight="1" x14ac:dyDescent="0.2">
      <c r="X271" s="244"/>
    </row>
    <row r="272" spans="24:24" ht="15.75" customHeight="1" x14ac:dyDescent="0.2">
      <c r="X272" s="244"/>
    </row>
    <row r="273" spans="24:24" ht="15.75" customHeight="1" x14ac:dyDescent="0.2">
      <c r="X273" s="244"/>
    </row>
    <row r="274" spans="24:24" ht="15.75" customHeight="1" x14ac:dyDescent="0.2">
      <c r="X274" s="244"/>
    </row>
    <row r="275" spans="24:24" ht="15.75" customHeight="1" x14ac:dyDescent="0.2">
      <c r="X275" s="244"/>
    </row>
    <row r="276" spans="24:24" ht="15.75" customHeight="1" x14ac:dyDescent="0.2">
      <c r="X276" s="244"/>
    </row>
    <row r="277" spans="24:24" ht="15.75" customHeight="1" x14ac:dyDescent="0.2">
      <c r="X277" s="244"/>
    </row>
    <row r="278" spans="24:24" ht="15.75" customHeight="1" x14ac:dyDescent="0.2">
      <c r="X278" s="244"/>
    </row>
    <row r="279" spans="24:24" ht="15.75" customHeight="1" x14ac:dyDescent="0.2">
      <c r="X279" s="244"/>
    </row>
    <row r="280" spans="24:24" ht="15.75" customHeight="1" x14ac:dyDescent="0.2">
      <c r="X280" s="244"/>
    </row>
    <row r="281" spans="24:24" ht="15.75" customHeight="1" x14ac:dyDescent="0.2">
      <c r="X281" s="244"/>
    </row>
    <row r="282" spans="24:24" ht="15.75" customHeight="1" x14ac:dyDescent="0.2">
      <c r="X282" s="244"/>
    </row>
    <row r="283" spans="24:24" ht="15.75" customHeight="1" x14ac:dyDescent="0.2">
      <c r="X283" s="244"/>
    </row>
    <row r="284" spans="24:24" ht="15.75" customHeight="1" x14ac:dyDescent="0.2">
      <c r="X284" s="244"/>
    </row>
    <row r="285" spans="24:24" ht="15.75" customHeight="1" x14ac:dyDescent="0.2">
      <c r="X285" s="244"/>
    </row>
    <row r="286" spans="24:24" ht="15.75" customHeight="1" x14ac:dyDescent="0.2">
      <c r="X286" s="244"/>
    </row>
    <row r="287" spans="24:24" ht="15.75" customHeight="1" x14ac:dyDescent="0.2">
      <c r="X287" s="244"/>
    </row>
    <row r="288" spans="24:24" ht="15.75" customHeight="1" x14ac:dyDescent="0.2">
      <c r="X288" s="244"/>
    </row>
    <row r="289" spans="24:24" ht="15.75" customHeight="1" x14ac:dyDescent="0.2">
      <c r="X289" s="244"/>
    </row>
    <row r="290" spans="24:24" ht="15.75" customHeight="1" x14ac:dyDescent="0.2">
      <c r="X290" s="244"/>
    </row>
    <row r="291" spans="24:24" ht="15.75" customHeight="1" x14ac:dyDescent="0.2">
      <c r="X291" s="244"/>
    </row>
    <row r="292" spans="24:24" ht="15.75" customHeight="1" x14ac:dyDescent="0.2">
      <c r="X292" s="244"/>
    </row>
    <row r="293" spans="24:24" ht="15.75" customHeight="1" x14ac:dyDescent="0.2">
      <c r="X293" s="244"/>
    </row>
    <row r="294" spans="24:24" ht="15.75" customHeight="1" x14ac:dyDescent="0.2">
      <c r="X294" s="244"/>
    </row>
    <row r="295" spans="24:24" ht="15.75" customHeight="1" x14ac:dyDescent="0.2">
      <c r="X295" s="244"/>
    </row>
    <row r="296" spans="24:24" ht="15.75" customHeight="1" x14ac:dyDescent="0.2">
      <c r="X296" s="244"/>
    </row>
    <row r="297" spans="24:24" ht="15.75" customHeight="1" x14ac:dyDescent="0.2">
      <c r="X297" s="244"/>
    </row>
    <row r="298" spans="24:24" ht="15.75" customHeight="1" x14ac:dyDescent="0.2">
      <c r="X298" s="244"/>
    </row>
    <row r="299" spans="24:24" ht="15.75" customHeight="1" x14ac:dyDescent="0.2">
      <c r="X299" s="244"/>
    </row>
    <row r="300" spans="24:24" ht="15.75" customHeight="1" x14ac:dyDescent="0.2">
      <c r="X300" s="244"/>
    </row>
    <row r="301" spans="24:24" ht="15.75" customHeight="1" x14ac:dyDescent="0.2">
      <c r="X301" s="244"/>
    </row>
    <row r="302" spans="24:24" ht="15.75" customHeight="1" x14ac:dyDescent="0.2">
      <c r="X302" s="244"/>
    </row>
    <row r="303" spans="24:24" ht="15.75" customHeight="1" x14ac:dyDescent="0.2">
      <c r="X303" s="244"/>
    </row>
    <row r="304" spans="24:24" ht="15.75" customHeight="1" x14ac:dyDescent="0.2">
      <c r="X304" s="244"/>
    </row>
    <row r="305" spans="24:24" ht="15.75" customHeight="1" x14ac:dyDescent="0.2">
      <c r="X305" s="244"/>
    </row>
    <row r="306" spans="24:24" ht="15.75" customHeight="1" x14ac:dyDescent="0.2">
      <c r="X306" s="244"/>
    </row>
    <row r="307" spans="24:24" ht="15.75" customHeight="1" x14ac:dyDescent="0.2">
      <c r="X307" s="244"/>
    </row>
    <row r="308" spans="24:24" ht="15.75" customHeight="1" x14ac:dyDescent="0.2">
      <c r="X308" s="244"/>
    </row>
    <row r="309" spans="24:24" ht="15.75" customHeight="1" x14ac:dyDescent="0.2">
      <c r="X309" s="244"/>
    </row>
    <row r="310" spans="24:24" ht="15.75" customHeight="1" x14ac:dyDescent="0.2">
      <c r="X310" s="244"/>
    </row>
    <row r="311" spans="24:24" ht="15.75" customHeight="1" x14ac:dyDescent="0.2">
      <c r="X311" s="244"/>
    </row>
    <row r="312" spans="24:24" ht="15.75" customHeight="1" x14ac:dyDescent="0.2">
      <c r="X312" s="244"/>
    </row>
    <row r="313" spans="24:24" ht="15.75" customHeight="1" x14ac:dyDescent="0.2">
      <c r="X313" s="244"/>
    </row>
    <row r="314" spans="24:24" ht="15.75" customHeight="1" x14ac:dyDescent="0.2">
      <c r="X314" s="244"/>
    </row>
    <row r="315" spans="24:24" ht="15.75" customHeight="1" x14ac:dyDescent="0.2">
      <c r="X315" s="244"/>
    </row>
    <row r="316" spans="24:24" ht="15.75" customHeight="1" x14ac:dyDescent="0.2">
      <c r="X316" s="244"/>
    </row>
    <row r="317" spans="24:24" ht="15.75" customHeight="1" x14ac:dyDescent="0.2">
      <c r="X317" s="244"/>
    </row>
    <row r="318" spans="24:24" ht="15.75" customHeight="1" x14ac:dyDescent="0.2">
      <c r="X318" s="244"/>
    </row>
    <row r="319" spans="24:24" ht="15.75" customHeight="1" x14ac:dyDescent="0.2">
      <c r="X319" s="244"/>
    </row>
    <row r="320" spans="24:24" ht="15.75" customHeight="1" x14ac:dyDescent="0.2">
      <c r="X320" s="244"/>
    </row>
    <row r="321" spans="24:24" ht="15.75" customHeight="1" x14ac:dyDescent="0.2">
      <c r="X321" s="244"/>
    </row>
    <row r="322" spans="24:24" ht="15.75" customHeight="1" x14ac:dyDescent="0.2">
      <c r="X322" s="244"/>
    </row>
    <row r="323" spans="24:24" ht="15.75" customHeight="1" x14ac:dyDescent="0.2">
      <c r="X323" s="244"/>
    </row>
    <row r="324" spans="24:24" ht="15.75" customHeight="1" x14ac:dyDescent="0.2">
      <c r="X324" s="244"/>
    </row>
    <row r="325" spans="24:24" ht="15.75" customHeight="1" x14ac:dyDescent="0.2">
      <c r="X325" s="244"/>
    </row>
    <row r="326" spans="24:24" ht="15.75" customHeight="1" x14ac:dyDescent="0.2">
      <c r="X326" s="244"/>
    </row>
    <row r="327" spans="24:24" ht="15.75" customHeight="1" x14ac:dyDescent="0.2">
      <c r="X327" s="244"/>
    </row>
    <row r="328" spans="24:24" ht="15.75" customHeight="1" x14ac:dyDescent="0.2">
      <c r="X328" s="244"/>
    </row>
    <row r="329" spans="24:24" ht="15.75" customHeight="1" x14ac:dyDescent="0.2">
      <c r="X329" s="244"/>
    </row>
    <row r="330" spans="24:24" ht="15.75" customHeight="1" x14ac:dyDescent="0.2">
      <c r="X330" s="244"/>
    </row>
    <row r="331" spans="24:24" ht="15.75" customHeight="1" x14ac:dyDescent="0.2">
      <c r="X331" s="244"/>
    </row>
    <row r="332" spans="24:24" ht="15.75" customHeight="1" x14ac:dyDescent="0.2">
      <c r="X332" s="244"/>
    </row>
    <row r="333" spans="24:24" ht="15.75" customHeight="1" x14ac:dyDescent="0.2">
      <c r="X333" s="244"/>
    </row>
    <row r="334" spans="24:24" ht="15.75" customHeight="1" x14ac:dyDescent="0.2">
      <c r="X334" s="244"/>
    </row>
    <row r="335" spans="24:24" ht="15.75" customHeight="1" x14ac:dyDescent="0.2">
      <c r="X335" s="244"/>
    </row>
    <row r="336" spans="24:24" ht="15.75" customHeight="1" x14ac:dyDescent="0.2">
      <c r="X336" s="244"/>
    </row>
    <row r="337" spans="24:24" ht="15.75" customHeight="1" x14ac:dyDescent="0.2">
      <c r="X337" s="244"/>
    </row>
    <row r="338" spans="24:24" ht="15.75" customHeight="1" x14ac:dyDescent="0.2">
      <c r="X338" s="244"/>
    </row>
    <row r="339" spans="24:24" ht="15.75" customHeight="1" x14ac:dyDescent="0.2">
      <c r="X339" s="244"/>
    </row>
    <row r="340" spans="24:24" ht="15.75" customHeight="1" x14ac:dyDescent="0.2">
      <c r="X340" s="244"/>
    </row>
    <row r="341" spans="24:24" ht="15.75" customHeight="1" x14ac:dyDescent="0.2">
      <c r="X341" s="244"/>
    </row>
    <row r="342" spans="24:24" ht="15.75" customHeight="1" x14ac:dyDescent="0.2">
      <c r="X342" s="244"/>
    </row>
    <row r="343" spans="24:24" ht="15.75" customHeight="1" x14ac:dyDescent="0.2">
      <c r="X343" s="244"/>
    </row>
    <row r="344" spans="24:24" ht="15.75" customHeight="1" x14ac:dyDescent="0.2">
      <c r="X344" s="244"/>
    </row>
    <row r="345" spans="24:24" ht="15.75" customHeight="1" x14ac:dyDescent="0.2">
      <c r="X345" s="244"/>
    </row>
    <row r="346" spans="24:24" ht="15.75" customHeight="1" x14ac:dyDescent="0.2">
      <c r="X346" s="244"/>
    </row>
    <row r="347" spans="24:24" ht="15.75" customHeight="1" x14ac:dyDescent="0.2">
      <c r="X347" s="244"/>
    </row>
    <row r="348" spans="24:24" ht="15.75" customHeight="1" x14ac:dyDescent="0.2">
      <c r="X348" s="244"/>
    </row>
    <row r="349" spans="24:24" ht="15.75" customHeight="1" x14ac:dyDescent="0.2">
      <c r="X349" s="244"/>
    </row>
    <row r="350" spans="24:24" ht="15.75" customHeight="1" x14ac:dyDescent="0.2">
      <c r="X350" s="244"/>
    </row>
    <row r="351" spans="24:24" ht="15.75" customHeight="1" x14ac:dyDescent="0.2">
      <c r="X351" s="244"/>
    </row>
    <row r="352" spans="24:24" ht="15.75" customHeight="1" x14ac:dyDescent="0.2">
      <c r="X352" s="244"/>
    </row>
    <row r="353" spans="24:24" ht="15.75" customHeight="1" x14ac:dyDescent="0.2">
      <c r="X353" s="244"/>
    </row>
    <row r="354" spans="24:24" ht="15.75" customHeight="1" x14ac:dyDescent="0.2">
      <c r="X354" s="244"/>
    </row>
    <row r="355" spans="24:24" ht="15.75" customHeight="1" x14ac:dyDescent="0.2">
      <c r="X355" s="244"/>
    </row>
    <row r="356" spans="24:24" ht="15.75" customHeight="1" x14ac:dyDescent="0.2">
      <c r="X356" s="244"/>
    </row>
    <row r="357" spans="24:24" ht="15.75" customHeight="1" x14ac:dyDescent="0.2">
      <c r="X357" s="244"/>
    </row>
    <row r="358" spans="24:24" ht="15.75" customHeight="1" x14ac:dyDescent="0.2">
      <c r="X358" s="244"/>
    </row>
    <row r="359" spans="24:24" ht="15.75" customHeight="1" x14ac:dyDescent="0.2">
      <c r="X359" s="244"/>
    </row>
    <row r="360" spans="24:24" ht="15.75" customHeight="1" x14ac:dyDescent="0.2">
      <c r="X360" s="244"/>
    </row>
    <row r="361" spans="24:24" ht="15.75" customHeight="1" x14ac:dyDescent="0.2">
      <c r="X361" s="244"/>
    </row>
    <row r="362" spans="24:24" ht="15.75" customHeight="1" x14ac:dyDescent="0.2">
      <c r="X362" s="244"/>
    </row>
    <row r="363" spans="24:24" ht="15.75" customHeight="1" x14ac:dyDescent="0.2">
      <c r="X363" s="244"/>
    </row>
    <row r="364" spans="24:24" ht="15.75" customHeight="1" x14ac:dyDescent="0.2">
      <c r="X364" s="244"/>
    </row>
    <row r="365" spans="24:24" ht="15.75" customHeight="1" x14ac:dyDescent="0.2">
      <c r="X365" s="244"/>
    </row>
    <row r="366" spans="24:24" ht="15.75" customHeight="1" x14ac:dyDescent="0.2">
      <c r="X366" s="244"/>
    </row>
    <row r="367" spans="24:24" ht="15.75" customHeight="1" x14ac:dyDescent="0.2">
      <c r="X367" s="244"/>
    </row>
    <row r="368" spans="24:24" ht="15.75" customHeight="1" x14ac:dyDescent="0.2">
      <c r="X368" s="244"/>
    </row>
    <row r="369" spans="24:24" ht="15.75" customHeight="1" x14ac:dyDescent="0.2">
      <c r="X369" s="244"/>
    </row>
    <row r="370" spans="24:24" ht="15.75" customHeight="1" x14ac:dyDescent="0.2">
      <c r="X370" s="244"/>
    </row>
    <row r="371" spans="24:24" ht="15.75" customHeight="1" x14ac:dyDescent="0.2">
      <c r="X371" s="244"/>
    </row>
    <row r="372" spans="24:24" ht="15.75" customHeight="1" x14ac:dyDescent="0.2">
      <c r="X372" s="244"/>
    </row>
    <row r="373" spans="24:24" ht="15.75" customHeight="1" x14ac:dyDescent="0.2">
      <c r="X373" s="244"/>
    </row>
    <row r="374" spans="24:24" ht="15.75" customHeight="1" x14ac:dyDescent="0.2">
      <c r="X374" s="244"/>
    </row>
    <row r="375" spans="24:24" ht="15.75" customHeight="1" x14ac:dyDescent="0.2">
      <c r="X375" s="244"/>
    </row>
    <row r="376" spans="24:24" ht="15.75" customHeight="1" x14ac:dyDescent="0.2">
      <c r="X376" s="244"/>
    </row>
    <row r="377" spans="24:24" ht="15.75" customHeight="1" x14ac:dyDescent="0.2">
      <c r="X377" s="244"/>
    </row>
    <row r="378" spans="24:24" ht="15.75" customHeight="1" x14ac:dyDescent="0.2">
      <c r="X378" s="244"/>
    </row>
    <row r="379" spans="24:24" ht="15.75" customHeight="1" x14ac:dyDescent="0.2">
      <c r="X379" s="244"/>
    </row>
    <row r="380" spans="24:24" ht="15.75" customHeight="1" x14ac:dyDescent="0.2">
      <c r="X380" s="244"/>
    </row>
    <row r="381" spans="24:24" ht="15.75" customHeight="1" x14ac:dyDescent="0.2">
      <c r="X381" s="244"/>
    </row>
    <row r="382" spans="24:24" ht="15.75" customHeight="1" x14ac:dyDescent="0.2">
      <c r="X382" s="244"/>
    </row>
    <row r="383" spans="24:24" ht="15.75" customHeight="1" x14ac:dyDescent="0.2">
      <c r="X383" s="244"/>
    </row>
    <row r="384" spans="24:24" ht="15.75" customHeight="1" x14ac:dyDescent="0.2">
      <c r="X384" s="244"/>
    </row>
    <row r="385" spans="24:24" ht="15.75" customHeight="1" x14ac:dyDescent="0.2">
      <c r="X385" s="244"/>
    </row>
    <row r="386" spans="24:24" ht="15.75" customHeight="1" x14ac:dyDescent="0.2">
      <c r="X386" s="244"/>
    </row>
    <row r="387" spans="24:24" ht="15.75" customHeight="1" x14ac:dyDescent="0.2">
      <c r="X387" s="244"/>
    </row>
    <row r="388" spans="24:24" ht="15.75" customHeight="1" x14ac:dyDescent="0.2">
      <c r="X388" s="244"/>
    </row>
    <row r="389" spans="24:24" ht="15.75" customHeight="1" x14ac:dyDescent="0.2">
      <c r="X389" s="244"/>
    </row>
    <row r="390" spans="24:24" ht="15.75" customHeight="1" x14ac:dyDescent="0.2">
      <c r="X390" s="244"/>
    </row>
    <row r="391" spans="24:24" ht="15.75" customHeight="1" x14ac:dyDescent="0.2">
      <c r="X391" s="244"/>
    </row>
    <row r="392" spans="24:24" ht="15.75" customHeight="1" x14ac:dyDescent="0.2">
      <c r="X392" s="244"/>
    </row>
    <row r="393" spans="24:24" ht="15.75" customHeight="1" x14ac:dyDescent="0.2">
      <c r="X393" s="244"/>
    </row>
    <row r="394" spans="24:24" ht="15.75" customHeight="1" x14ac:dyDescent="0.2">
      <c r="X394" s="244"/>
    </row>
    <row r="395" spans="24:24" ht="15.75" customHeight="1" x14ac:dyDescent="0.2">
      <c r="X395" s="244"/>
    </row>
    <row r="396" spans="24:24" ht="15.75" customHeight="1" x14ac:dyDescent="0.2">
      <c r="X396" s="244"/>
    </row>
    <row r="397" spans="24:24" ht="15.75" customHeight="1" x14ac:dyDescent="0.2">
      <c r="X397" s="244"/>
    </row>
    <row r="398" spans="24:24" ht="15.75" customHeight="1" x14ac:dyDescent="0.2">
      <c r="X398" s="244"/>
    </row>
    <row r="399" spans="24:24" ht="15.75" customHeight="1" x14ac:dyDescent="0.2">
      <c r="X399" s="244"/>
    </row>
    <row r="400" spans="24:24" ht="15.75" customHeight="1" x14ac:dyDescent="0.2">
      <c r="X400" s="244"/>
    </row>
    <row r="401" spans="24:24" ht="15.75" customHeight="1" x14ac:dyDescent="0.2">
      <c r="X401" s="244"/>
    </row>
    <row r="402" spans="24:24" ht="15.75" customHeight="1" x14ac:dyDescent="0.2">
      <c r="X402" s="244"/>
    </row>
    <row r="403" spans="24:24" ht="15.75" customHeight="1" x14ac:dyDescent="0.2">
      <c r="X403" s="244"/>
    </row>
    <row r="404" spans="24:24" ht="15.75" customHeight="1" x14ac:dyDescent="0.2">
      <c r="X404" s="244"/>
    </row>
    <row r="405" spans="24:24" ht="15.75" customHeight="1" x14ac:dyDescent="0.2">
      <c r="X405" s="244"/>
    </row>
    <row r="406" spans="24:24" ht="15.75" customHeight="1" x14ac:dyDescent="0.2">
      <c r="X406" s="244"/>
    </row>
    <row r="407" spans="24:24" ht="15.75" customHeight="1" x14ac:dyDescent="0.2">
      <c r="X407" s="244"/>
    </row>
    <row r="408" spans="24:24" ht="15.75" customHeight="1" x14ac:dyDescent="0.2">
      <c r="X408" s="244"/>
    </row>
    <row r="409" spans="24:24" ht="15.75" customHeight="1" x14ac:dyDescent="0.2">
      <c r="X409" s="244"/>
    </row>
    <row r="410" spans="24:24" ht="15.75" customHeight="1" x14ac:dyDescent="0.2">
      <c r="X410" s="244"/>
    </row>
    <row r="411" spans="24:24" ht="15.75" customHeight="1" x14ac:dyDescent="0.2">
      <c r="X411" s="244"/>
    </row>
    <row r="412" spans="24:24" ht="15.75" customHeight="1" x14ac:dyDescent="0.2">
      <c r="X412" s="244"/>
    </row>
    <row r="413" spans="24:24" ht="15.75" customHeight="1" x14ac:dyDescent="0.2">
      <c r="X413" s="244"/>
    </row>
    <row r="414" spans="24:24" ht="15.75" customHeight="1" x14ac:dyDescent="0.2">
      <c r="X414" s="244"/>
    </row>
    <row r="415" spans="24:24" ht="15.75" customHeight="1" x14ac:dyDescent="0.2">
      <c r="X415" s="244"/>
    </row>
    <row r="416" spans="24:24" ht="15.75" customHeight="1" x14ac:dyDescent="0.2">
      <c r="X416" s="244"/>
    </row>
    <row r="417" spans="24:24" ht="15.75" customHeight="1" x14ac:dyDescent="0.2">
      <c r="X417" s="244"/>
    </row>
    <row r="418" spans="24:24" ht="15.75" customHeight="1" x14ac:dyDescent="0.2">
      <c r="X418" s="244"/>
    </row>
    <row r="419" spans="24:24" ht="15.75" customHeight="1" x14ac:dyDescent="0.2">
      <c r="X419" s="244"/>
    </row>
    <row r="420" spans="24:24" ht="15.75" customHeight="1" x14ac:dyDescent="0.2">
      <c r="X420" s="244"/>
    </row>
    <row r="421" spans="24:24" ht="15.75" customHeight="1" x14ac:dyDescent="0.2">
      <c r="X421" s="244"/>
    </row>
    <row r="422" spans="24:24" ht="15.75" customHeight="1" x14ac:dyDescent="0.2">
      <c r="X422" s="244"/>
    </row>
    <row r="423" spans="24:24" ht="15.75" customHeight="1" x14ac:dyDescent="0.2">
      <c r="X423" s="244"/>
    </row>
    <row r="424" spans="24:24" ht="15.75" customHeight="1" x14ac:dyDescent="0.2">
      <c r="X424" s="244"/>
    </row>
    <row r="425" spans="24:24" ht="15.75" customHeight="1" x14ac:dyDescent="0.2">
      <c r="X425" s="244"/>
    </row>
    <row r="426" spans="24:24" ht="15.75" customHeight="1" x14ac:dyDescent="0.2">
      <c r="X426" s="244"/>
    </row>
    <row r="427" spans="24:24" ht="15.75" customHeight="1" x14ac:dyDescent="0.2">
      <c r="X427" s="244"/>
    </row>
    <row r="428" spans="24:24" ht="15.75" customHeight="1" x14ac:dyDescent="0.2">
      <c r="X428" s="244"/>
    </row>
    <row r="429" spans="24:24" ht="15.75" customHeight="1" x14ac:dyDescent="0.2">
      <c r="X429" s="244"/>
    </row>
    <row r="430" spans="24:24" ht="15.75" customHeight="1" x14ac:dyDescent="0.2">
      <c r="X430" s="244"/>
    </row>
    <row r="431" spans="24:24" ht="15.75" customHeight="1" x14ac:dyDescent="0.2">
      <c r="X431" s="244"/>
    </row>
    <row r="432" spans="24:24" ht="15.75" customHeight="1" x14ac:dyDescent="0.2">
      <c r="X432" s="244"/>
    </row>
    <row r="433" spans="24:24" ht="15.75" customHeight="1" x14ac:dyDescent="0.2">
      <c r="X433" s="244"/>
    </row>
    <row r="434" spans="24:24" ht="15.75" customHeight="1" x14ac:dyDescent="0.2">
      <c r="X434" s="244"/>
    </row>
    <row r="435" spans="24:24" ht="15.75" customHeight="1" x14ac:dyDescent="0.2">
      <c r="X435" s="244"/>
    </row>
    <row r="436" spans="24:24" ht="15.75" customHeight="1" x14ac:dyDescent="0.2">
      <c r="X436" s="244"/>
    </row>
    <row r="437" spans="24:24" ht="15.75" customHeight="1" x14ac:dyDescent="0.2">
      <c r="X437" s="244"/>
    </row>
    <row r="438" spans="24:24" ht="15.75" customHeight="1" x14ac:dyDescent="0.2">
      <c r="X438" s="244"/>
    </row>
    <row r="439" spans="24:24" ht="15.75" customHeight="1" x14ac:dyDescent="0.2">
      <c r="X439" s="244"/>
    </row>
    <row r="440" spans="24:24" ht="15.75" customHeight="1" x14ac:dyDescent="0.2">
      <c r="X440" s="244"/>
    </row>
    <row r="441" spans="24:24" ht="15.75" customHeight="1" x14ac:dyDescent="0.2">
      <c r="X441" s="244"/>
    </row>
    <row r="442" spans="24:24" ht="15.75" customHeight="1" x14ac:dyDescent="0.2">
      <c r="X442" s="244"/>
    </row>
    <row r="443" spans="24:24" ht="15.75" customHeight="1" x14ac:dyDescent="0.2">
      <c r="X443" s="244"/>
    </row>
    <row r="444" spans="24:24" ht="15.75" customHeight="1" x14ac:dyDescent="0.2">
      <c r="X444" s="244"/>
    </row>
    <row r="445" spans="24:24" ht="15.75" customHeight="1" x14ac:dyDescent="0.2">
      <c r="X445" s="244"/>
    </row>
    <row r="446" spans="24:24" ht="15.75" customHeight="1" x14ac:dyDescent="0.2">
      <c r="X446" s="244"/>
    </row>
    <row r="447" spans="24:24" ht="15.75" customHeight="1" x14ac:dyDescent="0.2">
      <c r="X447" s="244"/>
    </row>
    <row r="448" spans="24:24" ht="15.75" customHeight="1" x14ac:dyDescent="0.2">
      <c r="X448" s="244"/>
    </row>
    <row r="449" spans="24:24" ht="15.75" customHeight="1" x14ac:dyDescent="0.2">
      <c r="X449" s="244"/>
    </row>
    <row r="450" spans="24:24" ht="15.75" customHeight="1" x14ac:dyDescent="0.2">
      <c r="X450" s="244"/>
    </row>
    <row r="451" spans="24:24" ht="15.75" customHeight="1" x14ac:dyDescent="0.2">
      <c r="X451" s="244"/>
    </row>
    <row r="452" spans="24:24" ht="15.75" customHeight="1" x14ac:dyDescent="0.2">
      <c r="X452" s="244"/>
    </row>
    <row r="453" spans="24:24" ht="15.75" customHeight="1" x14ac:dyDescent="0.2">
      <c r="X453" s="244"/>
    </row>
    <row r="454" spans="24:24" ht="15.75" customHeight="1" x14ac:dyDescent="0.2">
      <c r="X454" s="244"/>
    </row>
    <row r="455" spans="24:24" ht="15.75" customHeight="1" x14ac:dyDescent="0.2">
      <c r="X455" s="244"/>
    </row>
    <row r="456" spans="24:24" ht="15.75" customHeight="1" x14ac:dyDescent="0.2">
      <c r="X456" s="244"/>
    </row>
    <row r="457" spans="24:24" ht="15.75" customHeight="1" x14ac:dyDescent="0.2">
      <c r="X457" s="244"/>
    </row>
    <row r="458" spans="24:24" ht="15.75" customHeight="1" x14ac:dyDescent="0.2">
      <c r="X458" s="244"/>
    </row>
    <row r="459" spans="24:24" ht="15.75" customHeight="1" x14ac:dyDescent="0.2">
      <c r="X459" s="244"/>
    </row>
    <row r="460" spans="24:24" ht="15.75" customHeight="1" x14ac:dyDescent="0.2">
      <c r="X460" s="244"/>
    </row>
    <row r="461" spans="24:24" ht="15.75" customHeight="1" x14ac:dyDescent="0.2">
      <c r="X461" s="244"/>
    </row>
    <row r="462" spans="24:24" ht="15.75" customHeight="1" x14ac:dyDescent="0.2">
      <c r="X462" s="244"/>
    </row>
    <row r="463" spans="24:24" ht="15.75" customHeight="1" x14ac:dyDescent="0.2">
      <c r="X463" s="244"/>
    </row>
    <row r="464" spans="24:24" ht="15.75" customHeight="1" x14ac:dyDescent="0.2">
      <c r="X464" s="244"/>
    </row>
    <row r="465" spans="24:24" ht="15.75" customHeight="1" x14ac:dyDescent="0.2">
      <c r="X465" s="244"/>
    </row>
    <row r="466" spans="24:24" ht="15.75" customHeight="1" x14ac:dyDescent="0.2">
      <c r="X466" s="244"/>
    </row>
    <row r="467" spans="24:24" ht="15.75" customHeight="1" x14ac:dyDescent="0.2">
      <c r="X467" s="244"/>
    </row>
    <row r="468" spans="24:24" ht="15.75" customHeight="1" x14ac:dyDescent="0.2">
      <c r="X468" s="244"/>
    </row>
    <row r="469" spans="24:24" ht="15.75" customHeight="1" x14ac:dyDescent="0.2">
      <c r="X469" s="244"/>
    </row>
    <row r="470" spans="24:24" ht="15.75" customHeight="1" x14ac:dyDescent="0.2">
      <c r="X470" s="244"/>
    </row>
    <row r="471" spans="24:24" ht="15.75" customHeight="1" x14ac:dyDescent="0.2">
      <c r="X471" s="244"/>
    </row>
    <row r="472" spans="24:24" ht="15.75" customHeight="1" x14ac:dyDescent="0.2">
      <c r="X472" s="244"/>
    </row>
    <row r="473" spans="24:24" ht="15.75" customHeight="1" x14ac:dyDescent="0.2">
      <c r="X473" s="244"/>
    </row>
    <row r="474" spans="24:24" ht="15.75" customHeight="1" x14ac:dyDescent="0.2">
      <c r="X474" s="244"/>
    </row>
    <row r="475" spans="24:24" ht="15.75" customHeight="1" x14ac:dyDescent="0.2">
      <c r="X475" s="244"/>
    </row>
    <row r="476" spans="24:24" ht="15.75" customHeight="1" x14ac:dyDescent="0.2">
      <c r="X476" s="244"/>
    </row>
    <row r="477" spans="24:24" ht="15.75" customHeight="1" x14ac:dyDescent="0.2">
      <c r="X477" s="244"/>
    </row>
    <row r="478" spans="24:24" ht="15.75" customHeight="1" x14ac:dyDescent="0.2">
      <c r="X478" s="244"/>
    </row>
    <row r="479" spans="24:24" ht="15.75" customHeight="1" x14ac:dyDescent="0.2">
      <c r="X479" s="244"/>
    </row>
    <row r="480" spans="24:24" ht="15.75" customHeight="1" x14ac:dyDescent="0.2">
      <c r="X480" s="244"/>
    </row>
    <row r="481" spans="24:24" ht="15.75" customHeight="1" x14ac:dyDescent="0.2">
      <c r="X481" s="244"/>
    </row>
    <row r="482" spans="24:24" ht="15.75" customHeight="1" x14ac:dyDescent="0.2">
      <c r="X482" s="244"/>
    </row>
    <row r="483" spans="24:24" ht="15.75" customHeight="1" x14ac:dyDescent="0.2">
      <c r="X483" s="244"/>
    </row>
    <row r="484" spans="24:24" ht="15.75" customHeight="1" x14ac:dyDescent="0.2">
      <c r="X484" s="244"/>
    </row>
    <row r="485" spans="24:24" ht="15.75" customHeight="1" x14ac:dyDescent="0.2">
      <c r="X485" s="244"/>
    </row>
    <row r="486" spans="24:24" ht="15.75" customHeight="1" x14ac:dyDescent="0.2">
      <c r="X486" s="244"/>
    </row>
    <row r="487" spans="24:24" ht="15.75" customHeight="1" x14ac:dyDescent="0.2">
      <c r="X487" s="244"/>
    </row>
    <row r="488" spans="24:24" ht="15.75" customHeight="1" x14ac:dyDescent="0.2">
      <c r="X488" s="244"/>
    </row>
    <row r="489" spans="24:24" ht="15.75" customHeight="1" x14ac:dyDescent="0.2">
      <c r="X489" s="244"/>
    </row>
    <row r="490" spans="24:24" ht="15.75" customHeight="1" x14ac:dyDescent="0.2">
      <c r="X490" s="244"/>
    </row>
    <row r="491" spans="24:24" ht="15.75" customHeight="1" x14ac:dyDescent="0.2">
      <c r="X491" s="244"/>
    </row>
    <row r="492" spans="24:24" ht="15.75" customHeight="1" x14ac:dyDescent="0.2">
      <c r="X492" s="244"/>
    </row>
    <row r="493" spans="24:24" ht="15.75" customHeight="1" x14ac:dyDescent="0.2">
      <c r="X493" s="244"/>
    </row>
    <row r="494" spans="24:24" ht="15.75" customHeight="1" x14ac:dyDescent="0.2">
      <c r="X494" s="244"/>
    </row>
    <row r="495" spans="24:24" ht="15.75" customHeight="1" x14ac:dyDescent="0.2">
      <c r="X495" s="244"/>
    </row>
    <row r="496" spans="24:24" ht="15.75" customHeight="1" x14ac:dyDescent="0.2">
      <c r="X496" s="244"/>
    </row>
    <row r="497" spans="24:24" ht="15.75" customHeight="1" x14ac:dyDescent="0.2">
      <c r="X497" s="244"/>
    </row>
    <row r="498" spans="24:24" ht="15.75" customHeight="1" x14ac:dyDescent="0.2">
      <c r="X498" s="244"/>
    </row>
    <row r="499" spans="24:24" ht="15.75" customHeight="1" x14ac:dyDescent="0.2">
      <c r="X499" s="244"/>
    </row>
    <row r="500" spans="24:24" ht="15.75" customHeight="1" x14ac:dyDescent="0.2">
      <c r="X500" s="244"/>
    </row>
    <row r="501" spans="24:24" ht="15.75" customHeight="1" x14ac:dyDescent="0.2">
      <c r="X501" s="244"/>
    </row>
    <row r="502" spans="24:24" ht="15.75" customHeight="1" x14ac:dyDescent="0.2">
      <c r="X502" s="244"/>
    </row>
    <row r="503" spans="24:24" ht="15.75" customHeight="1" x14ac:dyDescent="0.2">
      <c r="X503" s="244"/>
    </row>
    <row r="504" spans="24:24" ht="15.75" customHeight="1" x14ac:dyDescent="0.2">
      <c r="X504" s="244"/>
    </row>
    <row r="505" spans="24:24" ht="15.75" customHeight="1" x14ac:dyDescent="0.2">
      <c r="X505" s="244"/>
    </row>
    <row r="506" spans="24:24" ht="15.75" customHeight="1" x14ac:dyDescent="0.2">
      <c r="X506" s="244"/>
    </row>
    <row r="507" spans="24:24" ht="15.75" customHeight="1" x14ac:dyDescent="0.2">
      <c r="X507" s="244"/>
    </row>
    <row r="508" spans="24:24" ht="15.75" customHeight="1" x14ac:dyDescent="0.2">
      <c r="X508" s="244"/>
    </row>
    <row r="509" spans="24:24" ht="15.75" customHeight="1" x14ac:dyDescent="0.2">
      <c r="X509" s="244"/>
    </row>
    <row r="510" spans="24:24" ht="15.75" customHeight="1" x14ac:dyDescent="0.2">
      <c r="X510" s="244"/>
    </row>
    <row r="511" spans="24:24" ht="15.75" customHeight="1" x14ac:dyDescent="0.2">
      <c r="X511" s="244"/>
    </row>
    <row r="512" spans="24:24" ht="15.75" customHeight="1" x14ac:dyDescent="0.2">
      <c r="X512" s="244"/>
    </row>
    <row r="513" spans="24:24" ht="15.75" customHeight="1" x14ac:dyDescent="0.2">
      <c r="X513" s="244"/>
    </row>
    <row r="514" spans="24:24" ht="15.75" customHeight="1" x14ac:dyDescent="0.2">
      <c r="X514" s="244"/>
    </row>
    <row r="515" spans="24:24" ht="15.75" customHeight="1" x14ac:dyDescent="0.2">
      <c r="X515" s="244"/>
    </row>
    <row r="516" spans="24:24" ht="15.75" customHeight="1" x14ac:dyDescent="0.2">
      <c r="X516" s="244"/>
    </row>
    <row r="517" spans="24:24" ht="15.75" customHeight="1" x14ac:dyDescent="0.2">
      <c r="X517" s="244"/>
    </row>
    <row r="518" spans="24:24" ht="15.75" customHeight="1" x14ac:dyDescent="0.2">
      <c r="X518" s="244"/>
    </row>
    <row r="519" spans="24:24" ht="15.75" customHeight="1" x14ac:dyDescent="0.2">
      <c r="X519" s="244"/>
    </row>
    <row r="520" spans="24:24" ht="15.75" customHeight="1" x14ac:dyDescent="0.2">
      <c r="X520" s="244"/>
    </row>
    <row r="521" spans="24:24" ht="15.75" customHeight="1" x14ac:dyDescent="0.2">
      <c r="X521" s="244"/>
    </row>
    <row r="522" spans="24:24" ht="15.75" customHeight="1" x14ac:dyDescent="0.2">
      <c r="X522" s="244"/>
    </row>
    <row r="523" spans="24:24" ht="15.75" customHeight="1" x14ac:dyDescent="0.2">
      <c r="X523" s="244"/>
    </row>
    <row r="524" spans="24:24" ht="15.75" customHeight="1" x14ac:dyDescent="0.2">
      <c r="X524" s="244"/>
    </row>
    <row r="525" spans="24:24" ht="15.75" customHeight="1" x14ac:dyDescent="0.2">
      <c r="X525" s="244"/>
    </row>
    <row r="526" spans="24:24" ht="15.75" customHeight="1" x14ac:dyDescent="0.2">
      <c r="X526" s="244"/>
    </row>
    <row r="527" spans="24:24" ht="15.75" customHeight="1" x14ac:dyDescent="0.2">
      <c r="X527" s="244"/>
    </row>
    <row r="528" spans="24:24" ht="15.75" customHeight="1" x14ac:dyDescent="0.2">
      <c r="X528" s="244"/>
    </row>
    <row r="529" spans="24:24" ht="15.75" customHeight="1" x14ac:dyDescent="0.2">
      <c r="X529" s="244"/>
    </row>
    <row r="530" spans="24:24" ht="15.75" customHeight="1" x14ac:dyDescent="0.2">
      <c r="X530" s="244"/>
    </row>
    <row r="531" spans="24:24" ht="15.75" customHeight="1" x14ac:dyDescent="0.2">
      <c r="X531" s="244"/>
    </row>
    <row r="532" spans="24:24" ht="15.75" customHeight="1" x14ac:dyDescent="0.2">
      <c r="X532" s="244"/>
    </row>
    <row r="533" spans="24:24" ht="15.75" customHeight="1" x14ac:dyDescent="0.2">
      <c r="X533" s="244"/>
    </row>
    <row r="534" spans="24:24" ht="15.75" customHeight="1" x14ac:dyDescent="0.2">
      <c r="X534" s="244"/>
    </row>
    <row r="535" spans="24:24" ht="15.75" customHeight="1" x14ac:dyDescent="0.2">
      <c r="X535" s="244"/>
    </row>
    <row r="536" spans="24:24" ht="15.75" customHeight="1" x14ac:dyDescent="0.2">
      <c r="X536" s="244"/>
    </row>
    <row r="537" spans="24:24" ht="15.75" customHeight="1" x14ac:dyDescent="0.2">
      <c r="X537" s="244"/>
    </row>
    <row r="538" spans="24:24" ht="15.75" customHeight="1" x14ac:dyDescent="0.2">
      <c r="X538" s="244"/>
    </row>
    <row r="539" spans="24:24" ht="15.75" customHeight="1" x14ac:dyDescent="0.2">
      <c r="X539" s="244"/>
    </row>
    <row r="540" spans="24:24" ht="15.75" customHeight="1" x14ac:dyDescent="0.2">
      <c r="X540" s="244"/>
    </row>
    <row r="541" spans="24:24" ht="15.75" customHeight="1" x14ac:dyDescent="0.2">
      <c r="X541" s="244"/>
    </row>
    <row r="542" spans="24:24" ht="15.75" customHeight="1" x14ac:dyDescent="0.2">
      <c r="X542" s="244"/>
    </row>
    <row r="543" spans="24:24" ht="15.75" customHeight="1" x14ac:dyDescent="0.2">
      <c r="X543" s="244"/>
    </row>
    <row r="544" spans="24:24" ht="15.75" customHeight="1" x14ac:dyDescent="0.2">
      <c r="X544" s="244"/>
    </row>
    <row r="545" spans="24:24" ht="15.75" customHeight="1" x14ac:dyDescent="0.2">
      <c r="X545" s="244"/>
    </row>
    <row r="546" spans="24:24" ht="15.75" customHeight="1" x14ac:dyDescent="0.2">
      <c r="X546" s="244"/>
    </row>
    <row r="547" spans="24:24" ht="15.75" customHeight="1" x14ac:dyDescent="0.2">
      <c r="X547" s="244"/>
    </row>
    <row r="548" spans="24:24" ht="15.75" customHeight="1" x14ac:dyDescent="0.2">
      <c r="X548" s="244"/>
    </row>
    <row r="549" spans="24:24" ht="15.75" customHeight="1" x14ac:dyDescent="0.2">
      <c r="X549" s="244"/>
    </row>
    <row r="550" spans="24:24" ht="15.75" customHeight="1" x14ac:dyDescent="0.2">
      <c r="X550" s="244"/>
    </row>
    <row r="551" spans="24:24" ht="15.75" customHeight="1" x14ac:dyDescent="0.2">
      <c r="X551" s="244"/>
    </row>
    <row r="552" spans="24:24" ht="15.75" customHeight="1" x14ac:dyDescent="0.2">
      <c r="X552" s="244"/>
    </row>
    <row r="553" spans="24:24" ht="15.75" customHeight="1" x14ac:dyDescent="0.2">
      <c r="X553" s="244"/>
    </row>
    <row r="554" spans="24:24" ht="15.75" customHeight="1" x14ac:dyDescent="0.2">
      <c r="X554" s="244"/>
    </row>
    <row r="555" spans="24:24" ht="15.75" customHeight="1" x14ac:dyDescent="0.2">
      <c r="X555" s="244"/>
    </row>
    <row r="556" spans="24:24" ht="15.75" customHeight="1" x14ac:dyDescent="0.2">
      <c r="X556" s="244"/>
    </row>
    <row r="557" spans="24:24" ht="15.75" customHeight="1" x14ac:dyDescent="0.2">
      <c r="X557" s="244"/>
    </row>
    <row r="558" spans="24:24" ht="15.75" customHeight="1" x14ac:dyDescent="0.2">
      <c r="X558" s="244"/>
    </row>
    <row r="559" spans="24:24" ht="15.75" customHeight="1" x14ac:dyDescent="0.2">
      <c r="X559" s="244"/>
    </row>
    <row r="560" spans="24:24" ht="15.75" customHeight="1" x14ac:dyDescent="0.2">
      <c r="X560" s="244"/>
    </row>
    <row r="561" spans="24:24" ht="15.75" customHeight="1" x14ac:dyDescent="0.2">
      <c r="X561" s="244"/>
    </row>
    <row r="562" spans="24:24" ht="15.75" customHeight="1" x14ac:dyDescent="0.2">
      <c r="X562" s="244"/>
    </row>
    <row r="563" spans="24:24" ht="15.75" customHeight="1" x14ac:dyDescent="0.2">
      <c r="X563" s="244"/>
    </row>
    <row r="564" spans="24:24" ht="15.75" customHeight="1" x14ac:dyDescent="0.2">
      <c r="X564" s="244"/>
    </row>
    <row r="565" spans="24:24" ht="15.75" customHeight="1" x14ac:dyDescent="0.2">
      <c r="X565" s="244"/>
    </row>
    <row r="566" spans="24:24" ht="15.75" customHeight="1" x14ac:dyDescent="0.2">
      <c r="X566" s="244"/>
    </row>
    <row r="567" spans="24:24" ht="15.75" customHeight="1" x14ac:dyDescent="0.2">
      <c r="X567" s="244"/>
    </row>
    <row r="568" spans="24:24" ht="15.75" customHeight="1" x14ac:dyDescent="0.2">
      <c r="X568" s="244"/>
    </row>
    <row r="569" spans="24:24" ht="15.75" customHeight="1" x14ac:dyDescent="0.2">
      <c r="X569" s="244"/>
    </row>
    <row r="570" spans="24:24" ht="15.75" customHeight="1" x14ac:dyDescent="0.2">
      <c r="X570" s="244"/>
    </row>
    <row r="571" spans="24:24" ht="15.75" customHeight="1" x14ac:dyDescent="0.2">
      <c r="X571" s="244"/>
    </row>
    <row r="572" spans="24:24" ht="15.75" customHeight="1" x14ac:dyDescent="0.2">
      <c r="X572" s="244"/>
    </row>
    <row r="573" spans="24:24" ht="15.75" customHeight="1" x14ac:dyDescent="0.2">
      <c r="X573" s="244"/>
    </row>
    <row r="574" spans="24:24" ht="15.75" customHeight="1" x14ac:dyDescent="0.2">
      <c r="X574" s="244"/>
    </row>
    <row r="575" spans="24:24" ht="15.75" customHeight="1" x14ac:dyDescent="0.2">
      <c r="X575" s="244"/>
    </row>
    <row r="576" spans="24:24" ht="15.75" customHeight="1" x14ac:dyDescent="0.2">
      <c r="X576" s="244"/>
    </row>
    <row r="577" spans="24:24" ht="15.75" customHeight="1" x14ac:dyDescent="0.2">
      <c r="X577" s="244"/>
    </row>
    <row r="578" spans="24:24" ht="15.75" customHeight="1" x14ac:dyDescent="0.2">
      <c r="X578" s="244"/>
    </row>
    <row r="579" spans="24:24" ht="15.75" customHeight="1" x14ac:dyDescent="0.2">
      <c r="X579" s="244"/>
    </row>
    <row r="580" spans="24:24" ht="15.75" customHeight="1" x14ac:dyDescent="0.2">
      <c r="X580" s="244"/>
    </row>
    <row r="581" spans="24:24" ht="15.75" customHeight="1" x14ac:dyDescent="0.2">
      <c r="X581" s="244"/>
    </row>
    <row r="582" spans="24:24" ht="15.75" customHeight="1" x14ac:dyDescent="0.2">
      <c r="X582" s="244"/>
    </row>
    <row r="583" spans="24:24" ht="15.75" customHeight="1" x14ac:dyDescent="0.2">
      <c r="X583" s="244"/>
    </row>
    <row r="584" spans="24:24" ht="15.75" customHeight="1" x14ac:dyDescent="0.2">
      <c r="X584" s="244"/>
    </row>
    <row r="585" spans="24:24" ht="15.75" customHeight="1" x14ac:dyDescent="0.2">
      <c r="X585" s="244"/>
    </row>
    <row r="586" spans="24:24" ht="15.75" customHeight="1" x14ac:dyDescent="0.2">
      <c r="X586" s="244"/>
    </row>
    <row r="587" spans="24:24" ht="15.75" customHeight="1" x14ac:dyDescent="0.2">
      <c r="X587" s="244"/>
    </row>
    <row r="588" spans="24:24" ht="15.75" customHeight="1" x14ac:dyDescent="0.2">
      <c r="X588" s="244"/>
    </row>
    <row r="589" spans="24:24" ht="15.75" customHeight="1" x14ac:dyDescent="0.2">
      <c r="X589" s="244"/>
    </row>
    <row r="590" spans="24:24" ht="15.75" customHeight="1" x14ac:dyDescent="0.2">
      <c r="X590" s="244"/>
    </row>
    <row r="591" spans="24:24" ht="15.75" customHeight="1" x14ac:dyDescent="0.2">
      <c r="X591" s="244"/>
    </row>
    <row r="592" spans="24:24" ht="15.75" customHeight="1" x14ac:dyDescent="0.2">
      <c r="X592" s="244"/>
    </row>
    <row r="593" spans="24:24" ht="15.75" customHeight="1" x14ac:dyDescent="0.2">
      <c r="X593" s="244"/>
    </row>
    <row r="594" spans="24:24" ht="15.75" customHeight="1" x14ac:dyDescent="0.2">
      <c r="X594" s="244"/>
    </row>
    <row r="595" spans="24:24" ht="15.75" customHeight="1" x14ac:dyDescent="0.2">
      <c r="X595" s="244"/>
    </row>
    <row r="596" spans="24:24" ht="15.75" customHeight="1" x14ac:dyDescent="0.2">
      <c r="X596" s="244"/>
    </row>
    <row r="597" spans="24:24" ht="15.75" customHeight="1" x14ac:dyDescent="0.2">
      <c r="X597" s="244"/>
    </row>
    <row r="598" spans="24:24" ht="15.75" customHeight="1" x14ac:dyDescent="0.2">
      <c r="X598" s="244"/>
    </row>
    <row r="599" spans="24:24" ht="15.75" customHeight="1" x14ac:dyDescent="0.2">
      <c r="X599" s="244"/>
    </row>
    <row r="600" spans="24:24" ht="15.75" customHeight="1" x14ac:dyDescent="0.2">
      <c r="X600" s="244"/>
    </row>
    <row r="601" spans="24:24" ht="15.75" customHeight="1" x14ac:dyDescent="0.2">
      <c r="X601" s="244"/>
    </row>
    <row r="602" spans="24:24" ht="15.75" customHeight="1" x14ac:dyDescent="0.2">
      <c r="X602" s="244"/>
    </row>
    <row r="603" spans="24:24" ht="15.75" customHeight="1" x14ac:dyDescent="0.2">
      <c r="X603" s="244"/>
    </row>
    <row r="604" spans="24:24" ht="15.75" customHeight="1" x14ac:dyDescent="0.2">
      <c r="X604" s="244"/>
    </row>
    <row r="605" spans="24:24" ht="15.75" customHeight="1" x14ac:dyDescent="0.2">
      <c r="X605" s="244"/>
    </row>
    <row r="606" spans="24:24" ht="15.75" customHeight="1" x14ac:dyDescent="0.2">
      <c r="X606" s="244"/>
    </row>
    <row r="607" spans="24:24" ht="15.75" customHeight="1" x14ac:dyDescent="0.2">
      <c r="X607" s="244"/>
    </row>
    <row r="608" spans="24:24" ht="15.75" customHeight="1" x14ac:dyDescent="0.2">
      <c r="X608" s="244"/>
    </row>
    <row r="609" spans="24:24" ht="15.75" customHeight="1" x14ac:dyDescent="0.2">
      <c r="X609" s="244"/>
    </row>
    <row r="610" spans="24:24" ht="15.75" customHeight="1" x14ac:dyDescent="0.2">
      <c r="X610" s="244"/>
    </row>
    <row r="611" spans="24:24" ht="15.75" customHeight="1" x14ac:dyDescent="0.2">
      <c r="X611" s="244"/>
    </row>
    <row r="612" spans="24:24" ht="15.75" customHeight="1" x14ac:dyDescent="0.2">
      <c r="X612" s="244"/>
    </row>
    <row r="613" spans="24:24" ht="15.75" customHeight="1" x14ac:dyDescent="0.2">
      <c r="X613" s="244"/>
    </row>
    <row r="614" spans="24:24" ht="15.75" customHeight="1" x14ac:dyDescent="0.2">
      <c r="X614" s="244"/>
    </row>
    <row r="615" spans="24:24" ht="15.75" customHeight="1" x14ac:dyDescent="0.2">
      <c r="X615" s="244"/>
    </row>
    <row r="616" spans="24:24" ht="15.75" customHeight="1" x14ac:dyDescent="0.2">
      <c r="X616" s="244"/>
    </row>
    <row r="617" spans="24:24" ht="15.75" customHeight="1" x14ac:dyDescent="0.2">
      <c r="X617" s="244"/>
    </row>
    <row r="618" spans="24:24" ht="15.75" customHeight="1" x14ac:dyDescent="0.2">
      <c r="X618" s="244"/>
    </row>
    <row r="619" spans="24:24" ht="15.75" customHeight="1" x14ac:dyDescent="0.2">
      <c r="X619" s="244"/>
    </row>
    <row r="620" spans="24:24" ht="15.75" customHeight="1" x14ac:dyDescent="0.2">
      <c r="X620" s="244"/>
    </row>
    <row r="621" spans="24:24" ht="15.75" customHeight="1" x14ac:dyDescent="0.2">
      <c r="X621" s="244"/>
    </row>
    <row r="622" spans="24:24" ht="15.75" customHeight="1" x14ac:dyDescent="0.2">
      <c r="X622" s="244"/>
    </row>
    <row r="623" spans="24:24" ht="15.75" customHeight="1" x14ac:dyDescent="0.2">
      <c r="X623" s="244"/>
    </row>
    <row r="624" spans="24:24" ht="15.75" customHeight="1" x14ac:dyDescent="0.2">
      <c r="X624" s="244"/>
    </row>
    <row r="625" spans="24:24" ht="15.75" customHeight="1" x14ac:dyDescent="0.2">
      <c r="X625" s="244"/>
    </row>
    <row r="626" spans="24:24" ht="15.75" customHeight="1" x14ac:dyDescent="0.2">
      <c r="X626" s="244"/>
    </row>
    <row r="627" spans="24:24" ht="15.75" customHeight="1" x14ac:dyDescent="0.2">
      <c r="X627" s="244"/>
    </row>
    <row r="628" spans="24:24" ht="15.75" customHeight="1" x14ac:dyDescent="0.2">
      <c r="X628" s="244"/>
    </row>
    <row r="629" spans="24:24" ht="15.75" customHeight="1" x14ac:dyDescent="0.2">
      <c r="X629" s="244"/>
    </row>
    <row r="630" spans="24:24" ht="15.75" customHeight="1" x14ac:dyDescent="0.2">
      <c r="X630" s="244"/>
    </row>
    <row r="631" spans="24:24" ht="15.75" customHeight="1" x14ac:dyDescent="0.2">
      <c r="X631" s="244"/>
    </row>
    <row r="632" spans="24:24" ht="15.75" customHeight="1" x14ac:dyDescent="0.2">
      <c r="X632" s="244"/>
    </row>
    <row r="633" spans="24:24" ht="15.75" customHeight="1" x14ac:dyDescent="0.2">
      <c r="X633" s="244"/>
    </row>
    <row r="634" spans="24:24" ht="15.75" customHeight="1" x14ac:dyDescent="0.2">
      <c r="X634" s="244"/>
    </row>
    <row r="635" spans="24:24" ht="15.75" customHeight="1" x14ac:dyDescent="0.2">
      <c r="X635" s="244"/>
    </row>
    <row r="636" spans="24:24" ht="15.75" customHeight="1" x14ac:dyDescent="0.2">
      <c r="X636" s="244"/>
    </row>
    <row r="637" spans="24:24" ht="15.75" customHeight="1" x14ac:dyDescent="0.2">
      <c r="X637" s="244"/>
    </row>
    <row r="638" spans="24:24" ht="15.75" customHeight="1" x14ac:dyDescent="0.2">
      <c r="X638" s="244"/>
    </row>
    <row r="639" spans="24:24" ht="15.75" customHeight="1" x14ac:dyDescent="0.2">
      <c r="X639" s="244"/>
    </row>
    <row r="640" spans="24:24" ht="15.75" customHeight="1" x14ac:dyDescent="0.2">
      <c r="X640" s="244"/>
    </row>
    <row r="641" spans="24:24" ht="15.75" customHeight="1" x14ac:dyDescent="0.2">
      <c r="X641" s="244"/>
    </row>
    <row r="642" spans="24:24" ht="15.75" customHeight="1" x14ac:dyDescent="0.2">
      <c r="X642" s="244"/>
    </row>
    <row r="643" spans="24:24" ht="15.75" customHeight="1" x14ac:dyDescent="0.2">
      <c r="X643" s="244"/>
    </row>
    <row r="644" spans="24:24" ht="15.75" customHeight="1" x14ac:dyDescent="0.2">
      <c r="X644" s="244"/>
    </row>
    <row r="645" spans="24:24" ht="15.75" customHeight="1" x14ac:dyDescent="0.2">
      <c r="X645" s="244"/>
    </row>
    <row r="646" spans="24:24" ht="15.75" customHeight="1" x14ac:dyDescent="0.2">
      <c r="X646" s="244"/>
    </row>
    <row r="647" spans="24:24" ht="15.75" customHeight="1" x14ac:dyDescent="0.2">
      <c r="X647" s="244"/>
    </row>
    <row r="648" spans="24:24" ht="15.75" customHeight="1" x14ac:dyDescent="0.2">
      <c r="X648" s="244"/>
    </row>
    <row r="649" spans="24:24" ht="15.75" customHeight="1" x14ac:dyDescent="0.2">
      <c r="X649" s="244"/>
    </row>
    <row r="650" spans="24:24" ht="15.75" customHeight="1" x14ac:dyDescent="0.2">
      <c r="X650" s="244"/>
    </row>
    <row r="651" spans="24:24" ht="15.75" customHeight="1" x14ac:dyDescent="0.2">
      <c r="X651" s="244"/>
    </row>
    <row r="652" spans="24:24" ht="15.75" customHeight="1" x14ac:dyDescent="0.2">
      <c r="X652" s="244"/>
    </row>
    <row r="653" spans="24:24" ht="15.75" customHeight="1" x14ac:dyDescent="0.2">
      <c r="X653" s="244"/>
    </row>
    <row r="654" spans="24:24" ht="15.75" customHeight="1" x14ac:dyDescent="0.2">
      <c r="X654" s="244"/>
    </row>
    <row r="655" spans="24:24" ht="15.75" customHeight="1" x14ac:dyDescent="0.2">
      <c r="X655" s="244"/>
    </row>
    <row r="656" spans="24:24" ht="15.75" customHeight="1" x14ac:dyDescent="0.2">
      <c r="X656" s="244"/>
    </row>
    <row r="657" spans="24:24" ht="15.75" customHeight="1" x14ac:dyDescent="0.2">
      <c r="X657" s="244"/>
    </row>
    <row r="658" spans="24:24" ht="15.75" customHeight="1" x14ac:dyDescent="0.2">
      <c r="X658" s="244"/>
    </row>
    <row r="659" spans="24:24" ht="15.75" customHeight="1" x14ac:dyDescent="0.2">
      <c r="X659" s="244"/>
    </row>
    <row r="660" spans="24:24" ht="15.75" customHeight="1" x14ac:dyDescent="0.2">
      <c r="X660" s="244"/>
    </row>
    <row r="661" spans="24:24" ht="15.75" customHeight="1" x14ac:dyDescent="0.2">
      <c r="X661" s="244"/>
    </row>
    <row r="662" spans="24:24" ht="15.75" customHeight="1" x14ac:dyDescent="0.2">
      <c r="X662" s="244"/>
    </row>
    <row r="663" spans="24:24" ht="15.75" customHeight="1" x14ac:dyDescent="0.2">
      <c r="X663" s="244"/>
    </row>
    <row r="664" spans="24:24" ht="15.75" customHeight="1" x14ac:dyDescent="0.2">
      <c r="X664" s="244"/>
    </row>
    <row r="665" spans="24:24" ht="15.75" customHeight="1" x14ac:dyDescent="0.2">
      <c r="X665" s="244"/>
    </row>
    <row r="666" spans="24:24" ht="15.75" customHeight="1" x14ac:dyDescent="0.2">
      <c r="X666" s="244"/>
    </row>
    <row r="667" spans="24:24" ht="15.75" customHeight="1" x14ac:dyDescent="0.2">
      <c r="X667" s="244"/>
    </row>
    <row r="668" spans="24:24" ht="15.75" customHeight="1" x14ac:dyDescent="0.2">
      <c r="X668" s="244"/>
    </row>
    <row r="669" spans="24:24" ht="15.75" customHeight="1" x14ac:dyDescent="0.2">
      <c r="X669" s="244"/>
    </row>
    <row r="670" spans="24:24" ht="15.75" customHeight="1" x14ac:dyDescent="0.2">
      <c r="X670" s="244"/>
    </row>
    <row r="671" spans="24:24" ht="15.75" customHeight="1" x14ac:dyDescent="0.2">
      <c r="X671" s="244"/>
    </row>
    <row r="672" spans="24:24" ht="15.75" customHeight="1" x14ac:dyDescent="0.2">
      <c r="X672" s="244"/>
    </row>
    <row r="673" spans="24:24" ht="15.75" customHeight="1" x14ac:dyDescent="0.2">
      <c r="X673" s="244"/>
    </row>
    <row r="674" spans="24:24" ht="15.75" customHeight="1" x14ac:dyDescent="0.2">
      <c r="X674" s="244"/>
    </row>
    <row r="675" spans="24:24" ht="15.75" customHeight="1" x14ac:dyDescent="0.2">
      <c r="X675" s="244"/>
    </row>
    <row r="676" spans="24:24" ht="15.75" customHeight="1" x14ac:dyDescent="0.2">
      <c r="X676" s="244"/>
    </row>
    <row r="677" spans="24:24" ht="15.75" customHeight="1" x14ac:dyDescent="0.2">
      <c r="X677" s="244"/>
    </row>
    <row r="678" spans="24:24" ht="15.75" customHeight="1" x14ac:dyDescent="0.2">
      <c r="X678" s="244"/>
    </row>
    <row r="679" spans="24:24" ht="15.75" customHeight="1" x14ac:dyDescent="0.2">
      <c r="X679" s="244"/>
    </row>
    <row r="680" spans="24:24" ht="15.75" customHeight="1" x14ac:dyDescent="0.2">
      <c r="X680" s="244"/>
    </row>
    <row r="681" spans="24:24" ht="15.75" customHeight="1" x14ac:dyDescent="0.2">
      <c r="X681" s="244"/>
    </row>
    <row r="682" spans="24:24" ht="15.75" customHeight="1" x14ac:dyDescent="0.2">
      <c r="X682" s="244"/>
    </row>
    <row r="683" spans="24:24" ht="15.75" customHeight="1" x14ac:dyDescent="0.2">
      <c r="X683" s="244"/>
    </row>
    <row r="684" spans="24:24" ht="15.75" customHeight="1" x14ac:dyDescent="0.2">
      <c r="X684" s="244"/>
    </row>
    <row r="685" spans="24:24" ht="15.75" customHeight="1" x14ac:dyDescent="0.2">
      <c r="X685" s="244"/>
    </row>
    <row r="686" spans="24:24" ht="15.75" customHeight="1" x14ac:dyDescent="0.2">
      <c r="X686" s="244"/>
    </row>
    <row r="687" spans="24:24" ht="15.75" customHeight="1" x14ac:dyDescent="0.2">
      <c r="X687" s="244"/>
    </row>
    <row r="688" spans="24:24" ht="15.75" customHeight="1" x14ac:dyDescent="0.2">
      <c r="X688" s="244"/>
    </row>
    <row r="689" spans="24:24" ht="15.75" customHeight="1" x14ac:dyDescent="0.2">
      <c r="X689" s="244"/>
    </row>
    <row r="690" spans="24:24" ht="15.75" customHeight="1" x14ac:dyDescent="0.2">
      <c r="X690" s="244"/>
    </row>
    <row r="691" spans="24:24" ht="15.75" customHeight="1" x14ac:dyDescent="0.2">
      <c r="X691" s="244"/>
    </row>
    <row r="692" spans="24:24" ht="15.75" customHeight="1" x14ac:dyDescent="0.2">
      <c r="X692" s="244"/>
    </row>
    <row r="693" spans="24:24" ht="15.75" customHeight="1" x14ac:dyDescent="0.2">
      <c r="X693" s="244"/>
    </row>
    <row r="694" spans="24:24" ht="15.75" customHeight="1" x14ac:dyDescent="0.2">
      <c r="X694" s="244"/>
    </row>
    <row r="695" spans="24:24" ht="15.75" customHeight="1" x14ac:dyDescent="0.2">
      <c r="X695" s="244"/>
    </row>
    <row r="696" spans="24:24" ht="15.75" customHeight="1" x14ac:dyDescent="0.2">
      <c r="X696" s="244"/>
    </row>
    <row r="697" spans="24:24" ht="15.75" customHeight="1" x14ac:dyDescent="0.2">
      <c r="X697" s="244"/>
    </row>
    <row r="698" spans="24:24" ht="15.75" customHeight="1" x14ac:dyDescent="0.2">
      <c r="X698" s="244"/>
    </row>
    <row r="699" spans="24:24" ht="15.75" customHeight="1" x14ac:dyDescent="0.2">
      <c r="X699" s="244"/>
    </row>
    <row r="700" spans="24:24" ht="15.75" customHeight="1" x14ac:dyDescent="0.2">
      <c r="X700" s="244"/>
    </row>
    <row r="701" spans="24:24" ht="15.75" customHeight="1" x14ac:dyDescent="0.2">
      <c r="X701" s="244"/>
    </row>
    <row r="702" spans="24:24" ht="15.75" customHeight="1" x14ac:dyDescent="0.2">
      <c r="X702" s="244"/>
    </row>
    <row r="703" spans="24:24" ht="15.75" customHeight="1" x14ac:dyDescent="0.2">
      <c r="X703" s="244"/>
    </row>
    <row r="704" spans="24:24" ht="15.75" customHeight="1" x14ac:dyDescent="0.2">
      <c r="X704" s="244"/>
    </row>
    <row r="705" spans="24:24" ht="15.75" customHeight="1" x14ac:dyDescent="0.2">
      <c r="X705" s="244"/>
    </row>
    <row r="706" spans="24:24" ht="15.75" customHeight="1" x14ac:dyDescent="0.2">
      <c r="X706" s="244"/>
    </row>
    <row r="707" spans="24:24" ht="15.75" customHeight="1" x14ac:dyDescent="0.2">
      <c r="X707" s="244"/>
    </row>
    <row r="708" spans="24:24" ht="15.75" customHeight="1" x14ac:dyDescent="0.2">
      <c r="X708" s="244"/>
    </row>
    <row r="709" spans="24:24" ht="15.75" customHeight="1" x14ac:dyDescent="0.2">
      <c r="X709" s="244"/>
    </row>
    <row r="710" spans="24:24" ht="15.75" customHeight="1" x14ac:dyDescent="0.2">
      <c r="X710" s="244"/>
    </row>
    <row r="711" spans="24:24" ht="15.75" customHeight="1" x14ac:dyDescent="0.2">
      <c r="X711" s="244"/>
    </row>
    <row r="712" spans="24:24" ht="15.75" customHeight="1" x14ac:dyDescent="0.2">
      <c r="X712" s="244"/>
    </row>
    <row r="713" spans="24:24" ht="15.75" customHeight="1" x14ac:dyDescent="0.2">
      <c r="X713" s="244"/>
    </row>
    <row r="714" spans="24:24" ht="15.75" customHeight="1" x14ac:dyDescent="0.2">
      <c r="X714" s="244"/>
    </row>
    <row r="715" spans="24:24" ht="15.75" customHeight="1" x14ac:dyDescent="0.2">
      <c r="X715" s="244"/>
    </row>
    <row r="716" spans="24:24" ht="15.75" customHeight="1" x14ac:dyDescent="0.2">
      <c r="X716" s="244"/>
    </row>
    <row r="717" spans="24:24" ht="15.75" customHeight="1" x14ac:dyDescent="0.2">
      <c r="X717" s="244"/>
    </row>
    <row r="718" spans="24:24" ht="15.75" customHeight="1" x14ac:dyDescent="0.2">
      <c r="X718" s="244"/>
    </row>
    <row r="719" spans="24:24" ht="15.75" customHeight="1" x14ac:dyDescent="0.2">
      <c r="X719" s="244"/>
    </row>
    <row r="720" spans="24:24" ht="15.75" customHeight="1" x14ac:dyDescent="0.2">
      <c r="X720" s="244"/>
    </row>
    <row r="721" spans="24:24" ht="15.75" customHeight="1" x14ac:dyDescent="0.2">
      <c r="X721" s="244"/>
    </row>
    <row r="722" spans="24:24" ht="15.75" customHeight="1" x14ac:dyDescent="0.2">
      <c r="X722" s="244"/>
    </row>
    <row r="723" spans="24:24" ht="15.75" customHeight="1" x14ac:dyDescent="0.2">
      <c r="X723" s="244"/>
    </row>
    <row r="724" spans="24:24" ht="15.75" customHeight="1" x14ac:dyDescent="0.2">
      <c r="X724" s="244"/>
    </row>
    <row r="725" spans="24:24" ht="15.75" customHeight="1" x14ac:dyDescent="0.2">
      <c r="X725" s="244"/>
    </row>
    <row r="726" spans="24:24" ht="15.75" customHeight="1" x14ac:dyDescent="0.2">
      <c r="X726" s="244"/>
    </row>
    <row r="727" spans="24:24" ht="15.75" customHeight="1" x14ac:dyDescent="0.2">
      <c r="X727" s="244"/>
    </row>
    <row r="728" spans="24:24" ht="15.75" customHeight="1" x14ac:dyDescent="0.2">
      <c r="X728" s="244"/>
    </row>
    <row r="729" spans="24:24" ht="15.75" customHeight="1" x14ac:dyDescent="0.2">
      <c r="X729" s="244"/>
    </row>
    <row r="730" spans="24:24" ht="15.75" customHeight="1" x14ac:dyDescent="0.2">
      <c r="X730" s="244"/>
    </row>
    <row r="731" spans="24:24" ht="15.75" customHeight="1" x14ac:dyDescent="0.2">
      <c r="X731" s="244"/>
    </row>
    <row r="732" spans="24:24" ht="15.75" customHeight="1" x14ac:dyDescent="0.2">
      <c r="X732" s="244"/>
    </row>
    <row r="733" spans="24:24" ht="15.75" customHeight="1" x14ac:dyDescent="0.2">
      <c r="X733" s="244"/>
    </row>
    <row r="734" spans="24:24" ht="15.75" customHeight="1" x14ac:dyDescent="0.2">
      <c r="X734" s="244"/>
    </row>
    <row r="735" spans="24:24" ht="15.75" customHeight="1" x14ac:dyDescent="0.2">
      <c r="X735" s="244"/>
    </row>
    <row r="736" spans="24:24" ht="15.75" customHeight="1" x14ac:dyDescent="0.2">
      <c r="X736" s="244"/>
    </row>
    <row r="737" spans="24:24" ht="15.75" customHeight="1" x14ac:dyDescent="0.2">
      <c r="X737" s="244"/>
    </row>
    <row r="738" spans="24:24" ht="15.75" customHeight="1" x14ac:dyDescent="0.2">
      <c r="X738" s="244"/>
    </row>
    <row r="739" spans="24:24" ht="15.75" customHeight="1" x14ac:dyDescent="0.2">
      <c r="X739" s="244"/>
    </row>
    <row r="740" spans="24:24" ht="15.75" customHeight="1" x14ac:dyDescent="0.2">
      <c r="X740" s="244"/>
    </row>
    <row r="741" spans="24:24" ht="15.75" customHeight="1" x14ac:dyDescent="0.2">
      <c r="X741" s="244"/>
    </row>
    <row r="742" spans="24:24" ht="15.75" customHeight="1" x14ac:dyDescent="0.2">
      <c r="X742" s="244"/>
    </row>
    <row r="743" spans="24:24" ht="15.75" customHeight="1" x14ac:dyDescent="0.2">
      <c r="X743" s="244"/>
    </row>
    <row r="744" spans="24:24" ht="15.75" customHeight="1" x14ac:dyDescent="0.2">
      <c r="X744" s="244"/>
    </row>
    <row r="745" spans="24:24" ht="15.75" customHeight="1" x14ac:dyDescent="0.2">
      <c r="X745" s="244"/>
    </row>
    <row r="746" spans="24:24" ht="15.75" customHeight="1" x14ac:dyDescent="0.2">
      <c r="X746" s="244"/>
    </row>
    <row r="747" spans="24:24" ht="15.75" customHeight="1" x14ac:dyDescent="0.2">
      <c r="X747" s="244"/>
    </row>
    <row r="748" spans="24:24" ht="15.75" customHeight="1" x14ac:dyDescent="0.2">
      <c r="X748" s="244"/>
    </row>
    <row r="749" spans="24:24" ht="15.75" customHeight="1" x14ac:dyDescent="0.2">
      <c r="X749" s="244"/>
    </row>
    <row r="750" spans="24:24" ht="15.75" customHeight="1" x14ac:dyDescent="0.2">
      <c r="X750" s="244"/>
    </row>
    <row r="751" spans="24:24" ht="15.75" customHeight="1" x14ac:dyDescent="0.2">
      <c r="X751" s="244"/>
    </row>
    <row r="752" spans="24:24" ht="15.75" customHeight="1" x14ac:dyDescent="0.2">
      <c r="X752" s="244"/>
    </row>
    <row r="753" spans="24:24" ht="15.75" customHeight="1" x14ac:dyDescent="0.2">
      <c r="X753" s="244"/>
    </row>
    <row r="754" spans="24:24" ht="15.75" customHeight="1" x14ac:dyDescent="0.2">
      <c r="X754" s="244"/>
    </row>
    <row r="755" spans="24:24" ht="15.75" customHeight="1" x14ac:dyDescent="0.2">
      <c r="X755" s="244"/>
    </row>
    <row r="756" spans="24:24" ht="15.75" customHeight="1" x14ac:dyDescent="0.2">
      <c r="X756" s="244"/>
    </row>
    <row r="757" spans="24:24" ht="15.75" customHeight="1" x14ac:dyDescent="0.2">
      <c r="X757" s="244"/>
    </row>
    <row r="758" spans="24:24" ht="15.75" customHeight="1" x14ac:dyDescent="0.2">
      <c r="X758" s="244"/>
    </row>
    <row r="759" spans="24:24" ht="15.75" customHeight="1" x14ac:dyDescent="0.2">
      <c r="X759" s="244"/>
    </row>
    <row r="760" spans="24:24" ht="15.75" customHeight="1" x14ac:dyDescent="0.2">
      <c r="X760" s="244"/>
    </row>
    <row r="761" spans="24:24" ht="15.75" customHeight="1" x14ac:dyDescent="0.2">
      <c r="X761" s="244"/>
    </row>
    <row r="762" spans="24:24" ht="15.75" customHeight="1" x14ac:dyDescent="0.2">
      <c r="X762" s="244"/>
    </row>
    <row r="763" spans="24:24" ht="15.75" customHeight="1" x14ac:dyDescent="0.2">
      <c r="X763" s="244"/>
    </row>
    <row r="764" spans="24:24" ht="15.75" customHeight="1" x14ac:dyDescent="0.2">
      <c r="X764" s="244"/>
    </row>
    <row r="765" spans="24:24" ht="15.75" customHeight="1" x14ac:dyDescent="0.2">
      <c r="X765" s="244"/>
    </row>
    <row r="766" spans="24:24" ht="15.75" customHeight="1" x14ac:dyDescent="0.2">
      <c r="X766" s="244"/>
    </row>
    <row r="767" spans="24:24" ht="15.75" customHeight="1" x14ac:dyDescent="0.2">
      <c r="X767" s="244"/>
    </row>
    <row r="768" spans="24:24" ht="15.75" customHeight="1" x14ac:dyDescent="0.2">
      <c r="X768" s="244"/>
    </row>
    <row r="769" spans="24:24" ht="15.75" customHeight="1" x14ac:dyDescent="0.2">
      <c r="X769" s="244"/>
    </row>
    <row r="770" spans="24:24" ht="15.75" customHeight="1" x14ac:dyDescent="0.2">
      <c r="X770" s="244"/>
    </row>
    <row r="771" spans="24:24" ht="15.75" customHeight="1" x14ac:dyDescent="0.2">
      <c r="X771" s="244"/>
    </row>
    <row r="772" spans="24:24" ht="15.75" customHeight="1" x14ac:dyDescent="0.2">
      <c r="X772" s="244"/>
    </row>
    <row r="773" spans="24:24" ht="15.75" customHeight="1" x14ac:dyDescent="0.2">
      <c r="X773" s="244"/>
    </row>
    <row r="774" spans="24:24" ht="15.75" customHeight="1" x14ac:dyDescent="0.2">
      <c r="X774" s="244"/>
    </row>
    <row r="775" spans="24:24" ht="15.75" customHeight="1" x14ac:dyDescent="0.2">
      <c r="X775" s="244"/>
    </row>
    <row r="776" spans="24:24" ht="15.75" customHeight="1" x14ac:dyDescent="0.2">
      <c r="X776" s="244"/>
    </row>
    <row r="777" spans="24:24" ht="15.75" customHeight="1" x14ac:dyDescent="0.2">
      <c r="X777" s="244"/>
    </row>
    <row r="778" spans="24:24" ht="15.75" customHeight="1" x14ac:dyDescent="0.2">
      <c r="X778" s="244"/>
    </row>
    <row r="779" spans="24:24" ht="15.75" customHeight="1" x14ac:dyDescent="0.2">
      <c r="X779" s="244"/>
    </row>
    <row r="780" spans="24:24" ht="15.75" customHeight="1" x14ac:dyDescent="0.2">
      <c r="X780" s="244"/>
    </row>
    <row r="781" spans="24:24" ht="15.75" customHeight="1" x14ac:dyDescent="0.2">
      <c r="X781" s="244"/>
    </row>
    <row r="782" spans="24:24" ht="15.75" customHeight="1" x14ac:dyDescent="0.2">
      <c r="X782" s="244"/>
    </row>
    <row r="783" spans="24:24" ht="15.75" customHeight="1" x14ac:dyDescent="0.2">
      <c r="X783" s="244"/>
    </row>
    <row r="784" spans="24:24" ht="15.75" customHeight="1" x14ac:dyDescent="0.2">
      <c r="X784" s="244"/>
    </row>
    <row r="785" spans="24:24" ht="15.75" customHeight="1" x14ac:dyDescent="0.2">
      <c r="X785" s="244"/>
    </row>
    <row r="786" spans="24:24" ht="15.75" customHeight="1" x14ac:dyDescent="0.2">
      <c r="X786" s="244"/>
    </row>
    <row r="787" spans="24:24" ht="15.75" customHeight="1" x14ac:dyDescent="0.2">
      <c r="X787" s="244"/>
    </row>
    <row r="788" spans="24:24" ht="15.75" customHeight="1" x14ac:dyDescent="0.2">
      <c r="X788" s="244"/>
    </row>
    <row r="789" spans="24:24" ht="15.75" customHeight="1" x14ac:dyDescent="0.2">
      <c r="X789" s="244"/>
    </row>
    <row r="790" spans="24:24" ht="15.75" customHeight="1" x14ac:dyDescent="0.2">
      <c r="X790" s="244"/>
    </row>
    <row r="791" spans="24:24" ht="15.75" customHeight="1" x14ac:dyDescent="0.2">
      <c r="X791" s="244"/>
    </row>
    <row r="792" spans="24:24" ht="15.75" customHeight="1" x14ac:dyDescent="0.2">
      <c r="X792" s="244"/>
    </row>
    <row r="793" spans="24:24" ht="15.75" customHeight="1" x14ac:dyDescent="0.2">
      <c r="X793" s="244"/>
    </row>
    <row r="794" spans="24:24" ht="15.75" customHeight="1" x14ac:dyDescent="0.2">
      <c r="X794" s="244"/>
    </row>
    <row r="795" spans="24:24" ht="15.75" customHeight="1" x14ac:dyDescent="0.2">
      <c r="X795" s="244"/>
    </row>
    <row r="796" spans="24:24" ht="15.75" customHeight="1" x14ac:dyDescent="0.2">
      <c r="X796" s="244"/>
    </row>
    <row r="797" spans="24:24" ht="15.75" customHeight="1" x14ac:dyDescent="0.2">
      <c r="X797" s="244"/>
    </row>
    <row r="798" spans="24:24" ht="15.75" customHeight="1" x14ac:dyDescent="0.2">
      <c r="X798" s="244"/>
    </row>
    <row r="799" spans="24:24" ht="15.75" customHeight="1" x14ac:dyDescent="0.2">
      <c r="X799" s="244"/>
    </row>
    <row r="800" spans="24:24" ht="15.75" customHeight="1" x14ac:dyDescent="0.2">
      <c r="X800" s="244"/>
    </row>
    <row r="801" spans="24:24" ht="15.75" customHeight="1" x14ac:dyDescent="0.2">
      <c r="X801" s="244"/>
    </row>
    <row r="802" spans="24:24" ht="15.75" customHeight="1" x14ac:dyDescent="0.2">
      <c r="X802" s="244"/>
    </row>
    <row r="803" spans="24:24" ht="15.75" customHeight="1" x14ac:dyDescent="0.2">
      <c r="X803" s="244"/>
    </row>
    <row r="804" spans="24:24" ht="15.75" customHeight="1" x14ac:dyDescent="0.2">
      <c r="X804" s="244"/>
    </row>
    <row r="805" spans="24:24" ht="15.75" customHeight="1" x14ac:dyDescent="0.2">
      <c r="X805" s="244"/>
    </row>
    <row r="806" spans="24:24" ht="15.75" customHeight="1" x14ac:dyDescent="0.2">
      <c r="X806" s="244"/>
    </row>
    <row r="807" spans="24:24" ht="15.75" customHeight="1" x14ac:dyDescent="0.2">
      <c r="X807" s="244"/>
    </row>
    <row r="808" spans="24:24" ht="15.75" customHeight="1" x14ac:dyDescent="0.2">
      <c r="X808" s="244"/>
    </row>
    <row r="809" spans="24:24" ht="15.75" customHeight="1" x14ac:dyDescent="0.2">
      <c r="X809" s="244"/>
    </row>
    <row r="810" spans="24:24" ht="15.75" customHeight="1" x14ac:dyDescent="0.2">
      <c r="X810" s="244"/>
    </row>
    <row r="811" spans="24:24" ht="15.75" customHeight="1" x14ac:dyDescent="0.2">
      <c r="X811" s="244"/>
    </row>
    <row r="812" spans="24:24" ht="15.75" customHeight="1" x14ac:dyDescent="0.2">
      <c r="X812" s="244"/>
    </row>
    <row r="813" spans="24:24" ht="15.75" customHeight="1" x14ac:dyDescent="0.2">
      <c r="X813" s="244"/>
    </row>
    <row r="814" spans="24:24" ht="15.75" customHeight="1" x14ac:dyDescent="0.2">
      <c r="X814" s="244"/>
    </row>
    <row r="815" spans="24:24" ht="15.75" customHeight="1" x14ac:dyDescent="0.2">
      <c r="X815" s="244"/>
    </row>
    <row r="816" spans="24:24" ht="15.75" customHeight="1" x14ac:dyDescent="0.2">
      <c r="X816" s="244"/>
    </row>
    <row r="817" spans="24:24" ht="15.75" customHeight="1" x14ac:dyDescent="0.2">
      <c r="X817" s="244"/>
    </row>
    <row r="818" spans="24:24" ht="15.75" customHeight="1" x14ac:dyDescent="0.2">
      <c r="X818" s="244"/>
    </row>
    <row r="819" spans="24:24" ht="15.75" customHeight="1" x14ac:dyDescent="0.2">
      <c r="X819" s="244"/>
    </row>
    <row r="820" spans="24:24" ht="15.75" customHeight="1" x14ac:dyDescent="0.2">
      <c r="X820" s="244"/>
    </row>
    <row r="821" spans="24:24" ht="15.75" customHeight="1" x14ac:dyDescent="0.2">
      <c r="X821" s="244"/>
    </row>
    <row r="822" spans="24:24" ht="15.75" customHeight="1" x14ac:dyDescent="0.2">
      <c r="X822" s="244"/>
    </row>
    <row r="823" spans="24:24" ht="15.75" customHeight="1" x14ac:dyDescent="0.2">
      <c r="X823" s="244"/>
    </row>
    <row r="824" spans="24:24" ht="15.75" customHeight="1" x14ac:dyDescent="0.2">
      <c r="X824" s="244"/>
    </row>
    <row r="825" spans="24:24" ht="15.75" customHeight="1" x14ac:dyDescent="0.2">
      <c r="X825" s="244"/>
    </row>
    <row r="826" spans="24:24" ht="15.75" customHeight="1" x14ac:dyDescent="0.2">
      <c r="X826" s="244"/>
    </row>
    <row r="827" spans="24:24" ht="15.75" customHeight="1" x14ac:dyDescent="0.2">
      <c r="X827" s="244"/>
    </row>
    <row r="828" spans="24:24" ht="15.75" customHeight="1" x14ac:dyDescent="0.2">
      <c r="X828" s="244"/>
    </row>
    <row r="829" spans="24:24" ht="15.75" customHeight="1" x14ac:dyDescent="0.2">
      <c r="X829" s="244"/>
    </row>
    <row r="830" spans="24:24" ht="15.75" customHeight="1" x14ac:dyDescent="0.2">
      <c r="X830" s="244"/>
    </row>
    <row r="831" spans="24:24" ht="15.75" customHeight="1" x14ac:dyDescent="0.2">
      <c r="X831" s="244"/>
    </row>
    <row r="832" spans="24:24" ht="15.75" customHeight="1" x14ac:dyDescent="0.2">
      <c r="X832" s="244"/>
    </row>
    <row r="833" spans="24:24" ht="15.75" customHeight="1" x14ac:dyDescent="0.2">
      <c r="X833" s="244"/>
    </row>
    <row r="834" spans="24:24" ht="15.75" customHeight="1" x14ac:dyDescent="0.2">
      <c r="X834" s="244"/>
    </row>
    <row r="835" spans="24:24" ht="15.75" customHeight="1" x14ac:dyDescent="0.2">
      <c r="X835" s="244"/>
    </row>
    <row r="836" spans="24:24" ht="15.75" customHeight="1" x14ac:dyDescent="0.2">
      <c r="X836" s="244"/>
    </row>
    <row r="837" spans="24:24" ht="15.75" customHeight="1" x14ac:dyDescent="0.2">
      <c r="X837" s="244"/>
    </row>
    <row r="838" spans="24:24" ht="15.75" customHeight="1" x14ac:dyDescent="0.2">
      <c r="X838" s="244"/>
    </row>
    <row r="839" spans="24:24" ht="15.75" customHeight="1" x14ac:dyDescent="0.2">
      <c r="X839" s="244"/>
    </row>
    <row r="840" spans="24:24" ht="15.75" customHeight="1" x14ac:dyDescent="0.2">
      <c r="X840" s="244"/>
    </row>
    <row r="841" spans="24:24" ht="15.75" customHeight="1" x14ac:dyDescent="0.2">
      <c r="X841" s="244"/>
    </row>
    <row r="842" spans="24:24" ht="15.75" customHeight="1" x14ac:dyDescent="0.2">
      <c r="X842" s="244"/>
    </row>
    <row r="843" spans="24:24" ht="15.75" customHeight="1" x14ac:dyDescent="0.2">
      <c r="X843" s="244"/>
    </row>
    <row r="844" spans="24:24" ht="15.75" customHeight="1" x14ac:dyDescent="0.2">
      <c r="X844" s="244"/>
    </row>
    <row r="845" spans="24:24" ht="15.75" customHeight="1" x14ac:dyDescent="0.2">
      <c r="X845" s="244"/>
    </row>
    <row r="846" spans="24:24" ht="15.75" customHeight="1" x14ac:dyDescent="0.2">
      <c r="X846" s="244"/>
    </row>
    <row r="847" spans="24:24" ht="15.75" customHeight="1" x14ac:dyDescent="0.2">
      <c r="X847" s="244"/>
    </row>
    <row r="848" spans="24:24" ht="15.75" customHeight="1" x14ac:dyDescent="0.2">
      <c r="X848" s="244"/>
    </row>
    <row r="849" spans="24:24" ht="15.75" customHeight="1" x14ac:dyDescent="0.2">
      <c r="X849" s="244"/>
    </row>
    <row r="850" spans="24:24" ht="15.75" customHeight="1" x14ac:dyDescent="0.2">
      <c r="X850" s="244"/>
    </row>
    <row r="851" spans="24:24" ht="15.75" customHeight="1" x14ac:dyDescent="0.2">
      <c r="X851" s="244"/>
    </row>
    <row r="852" spans="24:24" ht="15.75" customHeight="1" x14ac:dyDescent="0.2">
      <c r="X852" s="244"/>
    </row>
    <row r="853" spans="24:24" ht="15.75" customHeight="1" x14ac:dyDescent="0.2">
      <c r="X853" s="244"/>
    </row>
    <row r="854" spans="24:24" ht="15.75" customHeight="1" x14ac:dyDescent="0.2">
      <c r="X854" s="244"/>
    </row>
    <row r="855" spans="24:24" ht="15.75" customHeight="1" x14ac:dyDescent="0.2">
      <c r="X855" s="244"/>
    </row>
    <row r="856" spans="24:24" ht="15.75" customHeight="1" x14ac:dyDescent="0.2">
      <c r="X856" s="244"/>
    </row>
    <row r="857" spans="24:24" ht="15.75" customHeight="1" x14ac:dyDescent="0.2">
      <c r="X857" s="244"/>
    </row>
    <row r="858" spans="24:24" ht="15.75" customHeight="1" x14ac:dyDescent="0.2">
      <c r="X858" s="244"/>
    </row>
    <row r="859" spans="24:24" ht="15.75" customHeight="1" x14ac:dyDescent="0.2">
      <c r="X859" s="244"/>
    </row>
    <row r="860" spans="24:24" ht="15.75" customHeight="1" x14ac:dyDescent="0.2">
      <c r="X860" s="244"/>
    </row>
    <row r="861" spans="24:24" ht="15.75" customHeight="1" x14ac:dyDescent="0.2">
      <c r="X861" s="244"/>
    </row>
    <row r="862" spans="24:24" ht="15.75" customHeight="1" x14ac:dyDescent="0.2">
      <c r="X862" s="244"/>
    </row>
    <row r="863" spans="24:24" ht="15.75" customHeight="1" x14ac:dyDescent="0.2">
      <c r="X863" s="244"/>
    </row>
    <row r="864" spans="24:24" ht="15.75" customHeight="1" x14ac:dyDescent="0.2">
      <c r="X864" s="244"/>
    </row>
    <row r="865" spans="24:24" ht="15.75" customHeight="1" x14ac:dyDescent="0.2">
      <c r="X865" s="244"/>
    </row>
    <row r="866" spans="24:24" ht="15.75" customHeight="1" x14ac:dyDescent="0.2">
      <c r="X866" s="244"/>
    </row>
    <row r="867" spans="24:24" ht="15.75" customHeight="1" x14ac:dyDescent="0.2">
      <c r="X867" s="244"/>
    </row>
    <row r="868" spans="24:24" ht="15.75" customHeight="1" x14ac:dyDescent="0.2">
      <c r="X868" s="244"/>
    </row>
    <row r="869" spans="24:24" ht="15.75" customHeight="1" x14ac:dyDescent="0.2">
      <c r="X869" s="244"/>
    </row>
    <row r="870" spans="24:24" ht="15.75" customHeight="1" x14ac:dyDescent="0.2">
      <c r="X870" s="244"/>
    </row>
    <row r="871" spans="24:24" ht="15.75" customHeight="1" x14ac:dyDescent="0.2">
      <c r="X871" s="244"/>
    </row>
    <row r="872" spans="24:24" ht="15.75" customHeight="1" x14ac:dyDescent="0.2">
      <c r="X872" s="244"/>
    </row>
    <row r="873" spans="24:24" ht="15.75" customHeight="1" x14ac:dyDescent="0.2">
      <c r="X873" s="244"/>
    </row>
    <row r="874" spans="24:24" ht="15.75" customHeight="1" x14ac:dyDescent="0.2">
      <c r="X874" s="244"/>
    </row>
    <row r="875" spans="24:24" ht="15.75" customHeight="1" x14ac:dyDescent="0.2">
      <c r="X875" s="244"/>
    </row>
    <row r="876" spans="24:24" ht="15.75" customHeight="1" x14ac:dyDescent="0.2">
      <c r="X876" s="244"/>
    </row>
    <row r="877" spans="24:24" ht="15.75" customHeight="1" x14ac:dyDescent="0.2">
      <c r="X877" s="244"/>
    </row>
    <row r="878" spans="24:24" ht="15.75" customHeight="1" x14ac:dyDescent="0.2">
      <c r="X878" s="244"/>
    </row>
    <row r="879" spans="24:24" ht="15.75" customHeight="1" x14ac:dyDescent="0.2">
      <c r="X879" s="244"/>
    </row>
    <row r="880" spans="24:24" ht="15.75" customHeight="1" x14ac:dyDescent="0.2">
      <c r="X880" s="244"/>
    </row>
    <row r="881" spans="24:24" ht="15.75" customHeight="1" x14ac:dyDescent="0.2">
      <c r="X881" s="244"/>
    </row>
    <row r="882" spans="24:24" ht="15.75" customHeight="1" x14ac:dyDescent="0.2">
      <c r="X882" s="244"/>
    </row>
    <row r="883" spans="24:24" ht="15.75" customHeight="1" x14ac:dyDescent="0.2">
      <c r="X883" s="244"/>
    </row>
    <row r="884" spans="24:24" ht="15.75" customHeight="1" x14ac:dyDescent="0.2">
      <c r="X884" s="244"/>
    </row>
    <row r="885" spans="24:24" ht="15.75" customHeight="1" x14ac:dyDescent="0.2">
      <c r="X885" s="244"/>
    </row>
    <row r="886" spans="24:24" ht="15.75" customHeight="1" x14ac:dyDescent="0.2">
      <c r="X886" s="244"/>
    </row>
    <row r="887" spans="24:24" ht="15.75" customHeight="1" x14ac:dyDescent="0.2">
      <c r="X887" s="244"/>
    </row>
    <row r="888" spans="24:24" ht="15.75" customHeight="1" x14ac:dyDescent="0.2">
      <c r="X888" s="244"/>
    </row>
    <row r="889" spans="24:24" ht="15.75" customHeight="1" x14ac:dyDescent="0.2">
      <c r="X889" s="244"/>
    </row>
    <row r="890" spans="24:24" ht="15.75" customHeight="1" x14ac:dyDescent="0.2">
      <c r="X890" s="244"/>
    </row>
    <row r="891" spans="24:24" ht="15.75" customHeight="1" x14ac:dyDescent="0.2">
      <c r="X891" s="244"/>
    </row>
    <row r="892" spans="24:24" ht="15.75" customHeight="1" x14ac:dyDescent="0.2">
      <c r="X892" s="244"/>
    </row>
    <row r="893" spans="24:24" ht="15.75" customHeight="1" x14ac:dyDescent="0.2">
      <c r="X893" s="244"/>
    </row>
    <row r="894" spans="24:24" ht="15.75" customHeight="1" x14ac:dyDescent="0.2">
      <c r="X894" s="244"/>
    </row>
    <row r="895" spans="24:24" ht="15.75" customHeight="1" x14ac:dyDescent="0.2">
      <c r="X895" s="244"/>
    </row>
    <row r="896" spans="24:24" ht="15.75" customHeight="1" x14ac:dyDescent="0.2">
      <c r="X896" s="244"/>
    </row>
    <row r="897" spans="24:24" ht="15.75" customHeight="1" x14ac:dyDescent="0.2">
      <c r="X897" s="244"/>
    </row>
    <row r="898" spans="24:24" ht="15.75" customHeight="1" x14ac:dyDescent="0.2">
      <c r="X898" s="244"/>
    </row>
    <row r="899" spans="24:24" ht="15.75" customHeight="1" x14ac:dyDescent="0.2">
      <c r="X899" s="244"/>
    </row>
    <row r="900" spans="24:24" ht="15.75" customHeight="1" x14ac:dyDescent="0.2">
      <c r="X900" s="244"/>
    </row>
    <row r="901" spans="24:24" ht="15.75" customHeight="1" x14ac:dyDescent="0.2">
      <c r="X901" s="244"/>
    </row>
    <row r="902" spans="24:24" ht="15.75" customHeight="1" x14ac:dyDescent="0.2">
      <c r="X902" s="244"/>
    </row>
    <row r="903" spans="24:24" ht="15.75" customHeight="1" x14ac:dyDescent="0.2">
      <c r="X903" s="244"/>
    </row>
    <row r="904" spans="24:24" ht="15.75" customHeight="1" x14ac:dyDescent="0.2">
      <c r="X904" s="244"/>
    </row>
    <row r="905" spans="24:24" ht="15.75" customHeight="1" x14ac:dyDescent="0.2">
      <c r="X905" s="244"/>
    </row>
    <row r="906" spans="24:24" ht="15.75" customHeight="1" x14ac:dyDescent="0.2">
      <c r="X906" s="244"/>
    </row>
    <row r="907" spans="24:24" ht="15.75" customHeight="1" x14ac:dyDescent="0.2">
      <c r="X907" s="244"/>
    </row>
    <row r="908" spans="24:24" ht="15.75" customHeight="1" x14ac:dyDescent="0.2">
      <c r="X908" s="244"/>
    </row>
    <row r="909" spans="24:24" ht="15.75" customHeight="1" x14ac:dyDescent="0.2">
      <c r="X909" s="244"/>
    </row>
    <row r="910" spans="24:24" ht="15.75" customHeight="1" x14ac:dyDescent="0.2">
      <c r="X910" s="244"/>
    </row>
    <row r="911" spans="24:24" ht="15.75" customHeight="1" x14ac:dyDescent="0.2">
      <c r="X911" s="244"/>
    </row>
    <row r="912" spans="24:24" ht="15.75" customHeight="1" x14ac:dyDescent="0.2">
      <c r="X912" s="244"/>
    </row>
    <row r="913" spans="24:24" ht="15.75" customHeight="1" x14ac:dyDescent="0.2">
      <c r="X913" s="244"/>
    </row>
    <row r="914" spans="24:24" ht="15.75" customHeight="1" x14ac:dyDescent="0.2">
      <c r="X914" s="244"/>
    </row>
    <row r="915" spans="24:24" ht="15.75" customHeight="1" x14ac:dyDescent="0.2">
      <c r="X915" s="244"/>
    </row>
    <row r="916" spans="24:24" ht="15.75" customHeight="1" x14ac:dyDescent="0.2">
      <c r="X916" s="244"/>
    </row>
    <row r="917" spans="24:24" ht="15.75" customHeight="1" x14ac:dyDescent="0.2">
      <c r="X917" s="244"/>
    </row>
    <row r="918" spans="24:24" ht="15.75" customHeight="1" x14ac:dyDescent="0.2">
      <c r="X918" s="244"/>
    </row>
    <row r="919" spans="24:24" ht="15.75" customHeight="1" x14ac:dyDescent="0.2">
      <c r="X919" s="244"/>
    </row>
    <row r="920" spans="24:24" ht="15.75" customHeight="1" x14ac:dyDescent="0.2">
      <c r="X920" s="244"/>
    </row>
    <row r="921" spans="24:24" ht="15.75" customHeight="1" x14ac:dyDescent="0.2">
      <c r="X921" s="244"/>
    </row>
    <row r="922" spans="24:24" ht="15.75" customHeight="1" x14ac:dyDescent="0.2">
      <c r="X922" s="244"/>
    </row>
    <row r="923" spans="24:24" ht="15.75" customHeight="1" x14ac:dyDescent="0.2">
      <c r="X923" s="244"/>
    </row>
    <row r="924" spans="24:24" ht="15.75" customHeight="1" x14ac:dyDescent="0.2">
      <c r="X924" s="244"/>
    </row>
    <row r="925" spans="24:24" ht="15.75" customHeight="1" x14ac:dyDescent="0.2">
      <c r="X925" s="244"/>
    </row>
    <row r="926" spans="24:24" ht="15.75" customHeight="1" x14ac:dyDescent="0.2">
      <c r="X926" s="244"/>
    </row>
    <row r="927" spans="24:24" ht="15.75" customHeight="1" x14ac:dyDescent="0.2">
      <c r="X927" s="244"/>
    </row>
    <row r="928" spans="24:24" ht="15.75" customHeight="1" x14ac:dyDescent="0.2">
      <c r="X928" s="244"/>
    </row>
    <row r="929" spans="24:24" ht="15.75" customHeight="1" x14ac:dyDescent="0.2">
      <c r="X929" s="244"/>
    </row>
    <row r="930" spans="24:24" ht="15.75" customHeight="1" x14ac:dyDescent="0.2">
      <c r="X930" s="244"/>
    </row>
    <row r="931" spans="24:24" ht="15.75" customHeight="1" x14ac:dyDescent="0.2">
      <c r="X931" s="244"/>
    </row>
    <row r="932" spans="24:24" ht="15.75" customHeight="1" x14ac:dyDescent="0.2">
      <c r="X932" s="244"/>
    </row>
    <row r="933" spans="24:24" ht="15.75" customHeight="1" x14ac:dyDescent="0.2">
      <c r="X933" s="244"/>
    </row>
    <row r="934" spans="24:24" ht="15.75" customHeight="1" x14ac:dyDescent="0.2">
      <c r="X934" s="244"/>
    </row>
    <row r="935" spans="24:24" ht="15.75" customHeight="1" x14ac:dyDescent="0.2">
      <c r="X935" s="244"/>
    </row>
    <row r="936" spans="24:24" ht="15.75" customHeight="1" x14ac:dyDescent="0.2">
      <c r="X936" s="244"/>
    </row>
    <row r="937" spans="24:24" ht="15.75" customHeight="1" x14ac:dyDescent="0.2">
      <c r="X937" s="244"/>
    </row>
    <row r="938" spans="24:24" ht="15.75" customHeight="1" x14ac:dyDescent="0.2">
      <c r="X938" s="244"/>
    </row>
    <row r="939" spans="24:24" ht="15.75" customHeight="1" x14ac:dyDescent="0.2">
      <c r="X939" s="244"/>
    </row>
    <row r="940" spans="24:24" ht="15.75" customHeight="1" x14ac:dyDescent="0.2">
      <c r="X940" s="244"/>
    </row>
    <row r="941" spans="24:24" ht="15.75" customHeight="1" x14ac:dyDescent="0.2">
      <c r="X941" s="244"/>
    </row>
    <row r="942" spans="24:24" ht="15.75" customHeight="1" x14ac:dyDescent="0.2">
      <c r="X942" s="244"/>
    </row>
    <row r="943" spans="24:24" ht="15.75" customHeight="1" x14ac:dyDescent="0.2">
      <c r="X943" s="244"/>
    </row>
    <row r="944" spans="24:24" ht="15.75" customHeight="1" x14ac:dyDescent="0.2">
      <c r="X944" s="244"/>
    </row>
    <row r="945" spans="24:24" ht="15.75" customHeight="1" x14ac:dyDescent="0.2">
      <c r="X945" s="244"/>
    </row>
    <row r="946" spans="24:24" ht="15.75" customHeight="1" x14ac:dyDescent="0.2">
      <c r="X946" s="244"/>
    </row>
    <row r="947" spans="24:24" ht="15.75" customHeight="1" x14ac:dyDescent="0.2">
      <c r="X947" s="244"/>
    </row>
    <row r="948" spans="24:24" ht="15.75" customHeight="1" x14ac:dyDescent="0.2">
      <c r="X948" s="244"/>
    </row>
    <row r="949" spans="24:24" ht="15.75" customHeight="1" x14ac:dyDescent="0.2">
      <c r="X949" s="244"/>
    </row>
    <row r="950" spans="24:24" ht="15.75" customHeight="1" x14ac:dyDescent="0.2">
      <c r="X950" s="244"/>
    </row>
    <row r="951" spans="24:24" ht="15.75" customHeight="1" x14ac:dyDescent="0.2">
      <c r="X951" s="244"/>
    </row>
    <row r="952" spans="24:24" ht="15.75" customHeight="1" x14ac:dyDescent="0.2">
      <c r="X952" s="244"/>
    </row>
    <row r="953" spans="24:24" ht="15.75" customHeight="1" x14ac:dyDescent="0.2">
      <c r="X953" s="244"/>
    </row>
    <row r="954" spans="24:24" ht="15.75" customHeight="1" x14ac:dyDescent="0.2">
      <c r="X954" s="244"/>
    </row>
    <row r="955" spans="24:24" ht="15.75" customHeight="1" x14ac:dyDescent="0.2">
      <c r="X955" s="244"/>
    </row>
    <row r="956" spans="24:24" ht="15.75" customHeight="1" x14ac:dyDescent="0.2">
      <c r="X956" s="244"/>
    </row>
    <row r="957" spans="24:24" ht="15.75" customHeight="1" x14ac:dyDescent="0.2">
      <c r="X957" s="244"/>
    </row>
    <row r="958" spans="24:24" ht="15.75" customHeight="1" x14ac:dyDescent="0.2">
      <c r="X958" s="244"/>
    </row>
    <row r="959" spans="24:24" ht="15.75" customHeight="1" x14ac:dyDescent="0.2">
      <c r="X959" s="244"/>
    </row>
    <row r="960" spans="24:24" ht="15.75" customHeight="1" x14ac:dyDescent="0.2">
      <c r="X960" s="244"/>
    </row>
    <row r="961" spans="24:24" ht="15.75" customHeight="1" x14ac:dyDescent="0.2">
      <c r="X961" s="244"/>
    </row>
    <row r="962" spans="24:24" ht="15.75" customHeight="1" x14ac:dyDescent="0.2">
      <c r="X962" s="244"/>
    </row>
    <row r="963" spans="24:24" ht="15.75" customHeight="1" x14ac:dyDescent="0.2">
      <c r="X963" s="244"/>
    </row>
    <row r="964" spans="24:24" ht="15.75" customHeight="1" x14ac:dyDescent="0.2">
      <c r="X964" s="244"/>
    </row>
    <row r="965" spans="24:24" ht="15.75" customHeight="1" x14ac:dyDescent="0.2">
      <c r="X965" s="244"/>
    </row>
    <row r="966" spans="24:24" ht="15.75" customHeight="1" x14ac:dyDescent="0.2">
      <c r="X966" s="244"/>
    </row>
    <row r="967" spans="24:24" ht="15.75" customHeight="1" x14ac:dyDescent="0.2">
      <c r="X967" s="244"/>
    </row>
    <row r="968" spans="24:24" ht="15.75" customHeight="1" x14ac:dyDescent="0.2">
      <c r="X968" s="244"/>
    </row>
    <row r="969" spans="24:24" ht="15.75" customHeight="1" x14ac:dyDescent="0.2">
      <c r="X969" s="244"/>
    </row>
    <row r="970" spans="24:24" ht="15.75" customHeight="1" x14ac:dyDescent="0.2">
      <c r="X970" s="244"/>
    </row>
    <row r="971" spans="24:24" ht="15.75" customHeight="1" x14ac:dyDescent="0.2">
      <c r="X971" s="244"/>
    </row>
    <row r="972" spans="24:24" ht="15.75" customHeight="1" x14ac:dyDescent="0.2">
      <c r="X972" s="244"/>
    </row>
    <row r="973" spans="24:24" ht="15.75" customHeight="1" x14ac:dyDescent="0.2">
      <c r="X973" s="244"/>
    </row>
    <row r="974" spans="24:24" ht="15.75" customHeight="1" x14ac:dyDescent="0.2">
      <c r="X974" s="244"/>
    </row>
    <row r="975" spans="24:24" ht="15.75" customHeight="1" x14ac:dyDescent="0.2">
      <c r="X975" s="244"/>
    </row>
    <row r="976" spans="24:24" ht="15.75" customHeight="1" x14ac:dyDescent="0.2">
      <c r="X976" s="244"/>
    </row>
    <row r="977" spans="24:24" ht="15.75" customHeight="1" x14ac:dyDescent="0.2">
      <c r="X977" s="244"/>
    </row>
    <row r="978" spans="24:24" ht="15.75" customHeight="1" x14ac:dyDescent="0.2">
      <c r="X978" s="244"/>
    </row>
    <row r="979" spans="24:24" ht="15.75" customHeight="1" x14ac:dyDescent="0.2">
      <c r="X979" s="244"/>
    </row>
    <row r="980" spans="24:24" ht="15.75" customHeight="1" x14ac:dyDescent="0.2">
      <c r="X980" s="244"/>
    </row>
    <row r="981" spans="24:24" ht="15.75" customHeight="1" x14ac:dyDescent="0.2">
      <c r="X981" s="244"/>
    </row>
    <row r="982" spans="24:24" ht="15.75" customHeight="1" x14ac:dyDescent="0.2">
      <c r="X982" s="244"/>
    </row>
    <row r="983" spans="24:24" ht="15.75" customHeight="1" x14ac:dyDescent="0.2">
      <c r="X983" s="244"/>
    </row>
    <row r="984" spans="24:24" ht="15.75" customHeight="1" x14ac:dyDescent="0.2">
      <c r="X984" s="244"/>
    </row>
    <row r="985" spans="24:24" ht="15.75" customHeight="1" x14ac:dyDescent="0.2">
      <c r="X985" s="244"/>
    </row>
    <row r="986" spans="24:24" ht="15.75" customHeight="1" x14ac:dyDescent="0.2">
      <c r="X986" s="244"/>
    </row>
    <row r="987" spans="24:24" ht="15.75" customHeight="1" x14ac:dyDescent="0.2">
      <c r="X987" s="244"/>
    </row>
    <row r="988" spans="24:24" ht="15.75" customHeight="1" x14ac:dyDescent="0.2">
      <c r="X988" s="244"/>
    </row>
    <row r="989" spans="24:24" ht="15.75" customHeight="1" x14ac:dyDescent="0.2">
      <c r="X989" s="244"/>
    </row>
    <row r="990" spans="24:24" ht="15.75" customHeight="1" x14ac:dyDescent="0.2">
      <c r="X990" s="244"/>
    </row>
    <row r="991" spans="24:24" ht="15.75" customHeight="1" x14ac:dyDescent="0.2">
      <c r="X991" s="244"/>
    </row>
  </sheetData>
  <mergeCells count="6">
    <mergeCell ref="A1:D4"/>
    <mergeCell ref="E1:T4"/>
    <mergeCell ref="U1:X2"/>
    <mergeCell ref="U3:X4"/>
    <mergeCell ref="A5:D5"/>
    <mergeCell ref="E5:X5"/>
  </mergeCells>
  <dataValidations count="1">
    <dataValidation type="list" allowBlank="1" showErrorMessage="1" sqref="E7:W7" xr:uid="{00000000-0002-0000-1400-000000000000}">
      <formula1>"SI,NO"</formula1>
    </dataValidation>
  </dataValidations>
  <pageMargins left="0.51181102362204722" right="0.70866141732283472" top="1.1417322834645669" bottom="0.74803149606299213" header="0" footer="0"/>
  <pageSetup orientation="landscape" r:id="rId1"/>
  <headerFooter>
    <oddHeader>&amp;C Matriz de Riesgos</oddHeader>
  </headerFooter>
  <colBreaks count="1" manualBreakCount="1">
    <brk id="4" man="1"/>
  </colBreak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D965"/>
  <sheetViews>
    <sheetView showGridLines="0" zoomScale="85" zoomScaleNormal="85" workbookViewId="0">
      <selection activeCell="D19" sqref="D19"/>
    </sheetView>
  </sheetViews>
  <sheetFormatPr baseColWidth="10" defaultColWidth="12.625" defaultRowHeight="15" customHeight="1" x14ac:dyDescent="0.2"/>
  <cols>
    <col min="1" max="1" width="6.625" style="228" customWidth="1"/>
    <col min="2" max="2" width="16.75" style="228" customWidth="1"/>
    <col min="3" max="3" width="33.25" style="228" customWidth="1"/>
    <col min="4" max="4" width="22" style="301" customWidth="1"/>
    <col min="5" max="5" width="38" style="228" customWidth="1"/>
    <col min="6" max="10" width="21.75" style="228" hidden="1" customWidth="1"/>
    <col min="11" max="11" width="33.875" style="228" hidden="1" customWidth="1"/>
    <col min="12" max="12" width="21.75" style="228" hidden="1" customWidth="1"/>
    <col min="13" max="17" width="19.25" style="228" hidden="1" customWidth="1"/>
    <col min="18" max="18" width="22.625" style="228" hidden="1" customWidth="1"/>
    <col min="19" max="19" width="19.25" style="228" hidden="1" customWidth="1"/>
    <col min="20" max="20" width="8" style="228" customWidth="1"/>
    <col min="21" max="22" width="18.125" style="228" customWidth="1"/>
    <col min="23" max="23" width="17.75" style="228" hidden="1" customWidth="1"/>
    <col min="24" max="24" width="16.25" style="228" hidden="1" customWidth="1"/>
    <col min="25" max="25" width="15.25" style="228" customWidth="1"/>
    <col min="26" max="26" width="18.875" style="228" customWidth="1"/>
    <col min="27" max="27" width="15.625" style="228" customWidth="1"/>
    <col min="28" max="28" width="23.125" style="228" customWidth="1"/>
    <col min="29" max="29" width="22.25" style="228" customWidth="1"/>
    <col min="30" max="30" width="26.5" style="228" customWidth="1"/>
    <col min="31" max="16384" width="12.625" style="228"/>
  </cols>
  <sheetData>
    <row r="1" spans="1:30" ht="15.75" customHeight="1" x14ac:dyDescent="0.2">
      <c r="A1" s="1246"/>
      <c r="B1" s="1200"/>
      <c r="C1" s="1201"/>
      <c r="D1" s="1242" t="s">
        <v>0</v>
      </c>
      <c r="E1" s="1200"/>
      <c r="F1" s="1200"/>
      <c r="G1" s="1200"/>
      <c r="H1" s="1200"/>
      <c r="I1" s="1200"/>
      <c r="J1" s="1200"/>
      <c r="K1" s="1200"/>
      <c r="L1" s="1200"/>
      <c r="M1" s="1200"/>
      <c r="N1" s="1200"/>
      <c r="O1" s="1200"/>
      <c r="P1" s="1200"/>
      <c r="Q1" s="1200"/>
      <c r="R1" s="1200"/>
      <c r="S1" s="1200"/>
      <c r="T1" s="1200"/>
      <c r="U1" s="1200"/>
      <c r="V1" s="1200"/>
      <c r="W1" s="1200"/>
      <c r="X1" s="1200"/>
      <c r="Y1" s="1200"/>
      <c r="Z1" s="1200"/>
      <c r="AA1" s="1200"/>
      <c r="AB1" s="1201"/>
      <c r="AC1" s="1247" t="s">
        <v>128</v>
      </c>
      <c r="AD1" s="1201"/>
    </row>
    <row r="2" spans="1:30" ht="15.75" customHeight="1" x14ac:dyDescent="0.2">
      <c r="A2" s="1202"/>
      <c r="B2" s="1203"/>
      <c r="C2" s="1198"/>
      <c r="D2" s="1202"/>
      <c r="E2" s="1203"/>
      <c r="F2" s="1203"/>
      <c r="G2" s="1203"/>
      <c r="H2" s="1203"/>
      <c r="I2" s="1203"/>
      <c r="J2" s="1203"/>
      <c r="K2" s="1203"/>
      <c r="L2" s="1203"/>
      <c r="M2" s="1203"/>
      <c r="N2" s="1203"/>
      <c r="O2" s="1203"/>
      <c r="P2" s="1203"/>
      <c r="Q2" s="1203"/>
      <c r="R2" s="1203"/>
      <c r="S2" s="1203"/>
      <c r="T2" s="1203"/>
      <c r="U2" s="1203"/>
      <c r="V2" s="1203"/>
      <c r="W2" s="1203"/>
      <c r="X2" s="1203"/>
      <c r="Y2" s="1203"/>
      <c r="Z2" s="1203"/>
      <c r="AA2" s="1203"/>
      <c r="AB2" s="1198"/>
      <c r="AC2" s="1204"/>
      <c r="AD2" s="1206"/>
    </row>
    <row r="3" spans="1:30" ht="15.75" customHeight="1" x14ac:dyDescent="0.2">
      <c r="A3" s="1202"/>
      <c r="B3" s="1203"/>
      <c r="C3" s="1198"/>
      <c r="D3" s="1202"/>
      <c r="E3" s="1203"/>
      <c r="F3" s="1203"/>
      <c r="G3" s="1203"/>
      <c r="H3" s="1203"/>
      <c r="I3" s="1203"/>
      <c r="J3" s="1203"/>
      <c r="K3" s="1203"/>
      <c r="L3" s="1203"/>
      <c r="M3" s="1203"/>
      <c r="N3" s="1203"/>
      <c r="O3" s="1203"/>
      <c r="P3" s="1203"/>
      <c r="Q3" s="1203"/>
      <c r="R3" s="1203"/>
      <c r="S3" s="1203"/>
      <c r="T3" s="1203"/>
      <c r="U3" s="1203"/>
      <c r="V3" s="1203"/>
      <c r="W3" s="1203"/>
      <c r="X3" s="1203"/>
      <c r="Y3" s="1203"/>
      <c r="Z3" s="1203"/>
      <c r="AA3" s="1203"/>
      <c r="AB3" s="1198"/>
      <c r="AC3" s="1247" t="s">
        <v>2</v>
      </c>
      <c r="AD3" s="1201"/>
    </row>
    <row r="4" spans="1:30" ht="15.75" customHeight="1" x14ac:dyDescent="0.2">
      <c r="A4" s="1204"/>
      <c r="B4" s="1205"/>
      <c r="C4" s="1206"/>
      <c r="D4" s="1204"/>
      <c r="E4" s="1205"/>
      <c r="F4" s="1205"/>
      <c r="G4" s="1205"/>
      <c r="H4" s="1205"/>
      <c r="I4" s="1205"/>
      <c r="J4" s="1205"/>
      <c r="K4" s="1205"/>
      <c r="L4" s="1205"/>
      <c r="M4" s="1205"/>
      <c r="N4" s="1205"/>
      <c r="O4" s="1205"/>
      <c r="P4" s="1205"/>
      <c r="Q4" s="1205"/>
      <c r="R4" s="1205"/>
      <c r="S4" s="1205"/>
      <c r="T4" s="1205"/>
      <c r="U4" s="1205"/>
      <c r="V4" s="1205"/>
      <c r="W4" s="1205"/>
      <c r="X4" s="1205"/>
      <c r="Y4" s="1205"/>
      <c r="Z4" s="1205"/>
      <c r="AA4" s="1205"/>
      <c r="AB4" s="1206"/>
      <c r="AC4" s="1204"/>
      <c r="AD4" s="1206"/>
    </row>
    <row r="5" spans="1:30" ht="15.75" customHeight="1" x14ac:dyDescent="0.2">
      <c r="A5" s="1217" t="s">
        <v>36</v>
      </c>
      <c r="B5" s="1218"/>
      <c r="C5" s="1196"/>
      <c r="D5" s="1248" t="str">
        <f t="array" ref="D5">+'[2]Identificación del Riesgo'!D5:N5</f>
        <v>DEMANDA Y PROSPECTIVA MINERO-ENERGÉTICA</v>
      </c>
      <c r="E5" s="1218"/>
      <c r="F5" s="1218"/>
      <c r="G5" s="1218"/>
      <c r="H5" s="1218"/>
      <c r="I5" s="1218"/>
      <c r="J5" s="1218"/>
      <c r="K5" s="1218"/>
      <c r="L5" s="1218"/>
      <c r="M5" s="1218"/>
      <c r="N5" s="1218"/>
      <c r="O5" s="1218"/>
      <c r="P5" s="1218"/>
      <c r="Q5" s="1218"/>
      <c r="R5" s="1218"/>
      <c r="S5" s="1218"/>
      <c r="T5" s="1218"/>
      <c r="U5" s="1218"/>
      <c r="V5" s="1218"/>
      <c r="W5" s="1218"/>
      <c r="X5" s="1218"/>
      <c r="Y5" s="1218"/>
      <c r="Z5" s="1218"/>
      <c r="AA5" s="1218"/>
      <c r="AB5" s="1218"/>
      <c r="AC5" s="1218"/>
      <c r="AD5" s="1218"/>
    </row>
    <row r="6" spans="1:30" ht="15.75" customHeight="1" thickBot="1" x14ac:dyDescent="0.25">
      <c r="A6" s="1217" t="s">
        <v>37</v>
      </c>
      <c r="B6" s="1218"/>
      <c r="C6" s="1196"/>
      <c r="D6" s="1248" t="str">
        <f t="array" ref="D6">+'[2]Identificación del Riesgo'!D6:N6</f>
        <v>Proyectar las necesidades minero-energéticas del país de manera oportuna, confiable y conforme con los requerimientos normativos y regulatorios establecidos para buscar la forma óptima de aprovechar los recursos del país.</v>
      </c>
      <c r="E6" s="1218"/>
      <c r="F6" s="1218"/>
      <c r="G6" s="1218"/>
      <c r="H6" s="1218"/>
      <c r="I6" s="1218"/>
      <c r="J6" s="1218"/>
      <c r="K6" s="1218"/>
      <c r="L6" s="1218"/>
      <c r="M6" s="1218"/>
      <c r="N6" s="1218"/>
      <c r="O6" s="1218"/>
      <c r="P6" s="1218"/>
      <c r="Q6" s="1218"/>
      <c r="R6" s="1218"/>
      <c r="S6" s="1218"/>
      <c r="T6" s="1218"/>
      <c r="U6" s="1218"/>
      <c r="V6" s="1218"/>
      <c r="W6" s="1218"/>
      <c r="X6" s="1218"/>
      <c r="Y6" s="1218"/>
      <c r="Z6" s="1218"/>
      <c r="AA6" s="1218"/>
      <c r="AB6" s="1218"/>
      <c r="AC6" s="1218"/>
      <c r="AD6" s="1218"/>
    </row>
    <row r="7" spans="1:30" ht="15" customHeight="1" x14ac:dyDescent="0.2">
      <c r="A7" s="1249" t="s">
        <v>129</v>
      </c>
      <c r="B7" s="1250"/>
      <c r="C7" s="1250"/>
      <c r="D7" s="1250"/>
      <c r="E7" s="1250"/>
      <c r="F7" s="1250"/>
      <c r="G7" s="1250"/>
      <c r="H7" s="1250"/>
      <c r="I7" s="1250"/>
      <c r="J7" s="1250"/>
      <c r="K7" s="1250"/>
      <c r="L7" s="1213"/>
      <c r="M7" s="1251" t="s">
        <v>75</v>
      </c>
      <c r="N7" s="1250"/>
      <c r="O7" s="1250"/>
      <c r="P7" s="1250"/>
      <c r="Q7" s="1250"/>
      <c r="R7" s="1250"/>
      <c r="S7" s="1250"/>
      <c r="T7" s="1250"/>
      <c r="U7" s="1250"/>
      <c r="V7" s="1250"/>
      <c r="W7" s="1250"/>
      <c r="X7" s="1250"/>
      <c r="Y7" s="1213"/>
      <c r="Z7" s="1252" t="s">
        <v>130</v>
      </c>
      <c r="AA7" s="1250"/>
      <c r="AB7" s="1213"/>
      <c r="AC7" s="1253" t="s">
        <v>131</v>
      </c>
      <c r="AD7" s="1254"/>
    </row>
    <row r="8" spans="1:30" ht="12.75" customHeight="1" x14ac:dyDescent="0.2">
      <c r="A8" s="269" t="s">
        <v>44</v>
      </c>
      <c r="B8" s="270" t="s">
        <v>64</v>
      </c>
      <c r="C8" s="270" t="s">
        <v>132</v>
      </c>
      <c r="D8" s="271" t="s">
        <v>73</v>
      </c>
      <c r="E8" s="270" t="s">
        <v>133</v>
      </c>
      <c r="F8" s="270" t="s">
        <v>134</v>
      </c>
      <c r="G8" s="270" t="s">
        <v>135</v>
      </c>
      <c r="H8" s="270" t="s">
        <v>136</v>
      </c>
      <c r="I8" s="270" t="s">
        <v>137</v>
      </c>
      <c r="J8" s="270" t="s">
        <v>138</v>
      </c>
      <c r="K8" s="270" t="s">
        <v>139</v>
      </c>
      <c r="L8" s="270" t="s">
        <v>140</v>
      </c>
      <c r="M8" s="270" t="s">
        <v>134</v>
      </c>
      <c r="N8" s="270" t="s">
        <v>135</v>
      </c>
      <c r="O8" s="270" t="s">
        <v>141</v>
      </c>
      <c r="P8" s="270" t="s">
        <v>137</v>
      </c>
      <c r="Q8" s="270" t="s">
        <v>138</v>
      </c>
      <c r="R8" s="270" t="s">
        <v>139</v>
      </c>
      <c r="S8" s="270" t="s">
        <v>140</v>
      </c>
      <c r="T8" s="272" t="s">
        <v>121</v>
      </c>
      <c r="U8" s="270" t="s">
        <v>142</v>
      </c>
      <c r="V8" s="270" t="s">
        <v>143</v>
      </c>
      <c r="W8" s="270" t="s">
        <v>142</v>
      </c>
      <c r="X8" s="270" t="s">
        <v>143</v>
      </c>
      <c r="Y8" s="270" t="s">
        <v>144</v>
      </c>
      <c r="Z8" s="270" t="s">
        <v>145</v>
      </c>
      <c r="AA8" s="270" t="s">
        <v>146</v>
      </c>
      <c r="AB8" s="270" t="s">
        <v>76</v>
      </c>
      <c r="AC8" s="270" t="s">
        <v>147</v>
      </c>
      <c r="AD8" s="273" t="s">
        <v>148</v>
      </c>
    </row>
    <row r="9" spans="1:30" ht="142.5" x14ac:dyDescent="0.2">
      <c r="A9" s="1255">
        <f>'[2]Identificación del Riesgo'!D9</f>
        <v>1</v>
      </c>
      <c r="B9" s="1258" t="str">
        <f>'[2]Identificación del Riesgo'!E9</f>
        <v>Extemporaneidad en la entrega de la información.</v>
      </c>
      <c r="C9" s="1258" t="str">
        <f>'[2]Identificación del Riesgo'!H9</f>
        <v>• Demoras en el recibo de la información que se requiere como insumo del proceso.
• Deficiencias en la calidad de la información que se requiere como insumo del proceso.
• Demoras en el análisis y procesamiento de la información.
• Inexistentes o inadecuadas herramientas tecnológicas para el procesamiento de la información.
• Incumplimiento, desconocimiento o baja definición de los tiempos en los que deben ser entregados los resultados del proceso por parte de los profesionales asignados.</v>
      </c>
      <c r="D9" s="274" t="str">
        <f>'[2]Analisis Riesgo'!K7</f>
        <v>Obtener información de fuentes oficiales y confiables para obtener información en tiempos optimos.</v>
      </c>
      <c r="E9" s="275" t="str">
        <f>'[2]Analisis Riesgo'!L7</f>
        <v>Se realizan gestion a través de solicitudes de información, acuerdos, convenios y contratos para obtener o adquirir información de fuentes confiables. Este contro busca garantizar el acceso a información y la obtención de datos. El reponsable de gestionar estos procesos es el Subdirctor de Demanda quien designa acciones en los Profesionales de la Dependencia para esta actividad de control.</v>
      </c>
      <c r="F9" s="276" t="s">
        <v>296</v>
      </c>
      <c r="G9" s="276" t="s">
        <v>299</v>
      </c>
      <c r="H9" s="276" t="s">
        <v>300</v>
      </c>
      <c r="I9" s="276" t="s">
        <v>301</v>
      </c>
      <c r="J9" s="276" t="s">
        <v>302</v>
      </c>
      <c r="K9" s="277" t="s">
        <v>368</v>
      </c>
      <c r="L9" s="276" t="s">
        <v>304</v>
      </c>
      <c r="M9" s="278">
        <f t="shared" ref="M9:M27" si="0">IF(F9="Asignado", 15,0)</f>
        <v>15</v>
      </c>
      <c r="N9" s="278">
        <f t="shared" ref="N9:N27" si="1">IF(G9="Adecuado",15,0)</f>
        <v>15</v>
      </c>
      <c r="O9" s="278">
        <f t="shared" ref="O9:O27" si="2">IF(H9="Oportuna",15,0)</f>
        <v>15</v>
      </c>
      <c r="P9" s="278">
        <f t="shared" ref="P9:P27" si="3">IF(I9="Prevenir",15,IF(I9="Detectar",10,0))</f>
        <v>15</v>
      </c>
      <c r="Q9" s="278">
        <f t="shared" ref="Q9:Q27" si="4">IF(J9="Confiable", 15,0)</f>
        <v>15</v>
      </c>
      <c r="R9" s="278">
        <f t="shared" ref="R9:R27" si="5">IF(K9="Se invesigan y resuelven oportunamente",15,0)</f>
        <v>15</v>
      </c>
      <c r="S9" s="278">
        <f t="shared" ref="S9:S27" si="6">IF(L9="Completa",10,IF(L9="Incompleta",5,0))</f>
        <v>10</v>
      </c>
      <c r="T9" s="278">
        <f t="shared" ref="T9:T27" si="7">SUM(M9:S9)</f>
        <v>100</v>
      </c>
      <c r="U9" s="276" t="s">
        <v>263</v>
      </c>
      <c r="V9" s="276" t="s">
        <v>122</v>
      </c>
      <c r="W9" s="278">
        <f t="shared" ref="W9:W27" si="8">IF(U9="SI",1,0)*T9/100</f>
        <v>0</v>
      </c>
      <c r="X9" s="278">
        <f t="shared" ref="X9:X27" si="9">IF(V9="SI",1,0)*T9/100</f>
        <v>1</v>
      </c>
      <c r="Y9" s="278" t="str">
        <f t="shared" ref="Y9:Y27" si="10">IF(W9&gt;=0.96,"Fuerte",IF(W9&gt;=0.86,"Moderado","Debil"))</f>
        <v>Debil</v>
      </c>
      <c r="Z9" s="276" t="s">
        <v>305</v>
      </c>
      <c r="AA9" s="278" t="str">
        <f t="shared" ref="AA9:AA27" si="11">IF(Z9="Siempre se ejecuta","Fuerte",IF(Z9="Algunas veces se ejecuta","Moderado","Debil"))</f>
        <v>Fuerte</v>
      </c>
      <c r="AB9" s="278" t="str">
        <f t="shared" ref="AB9:AB27" si="12">IF(Y9="Fuerte",IF(AA9="Fuerte","No","SI"),"SI")</f>
        <v>SI</v>
      </c>
      <c r="AC9" s="279"/>
      <c r="AD9" s="280"/>
    </row>
    <row r="10" spans="1:30" ht="156.75" x14ac:dyDescent="0.2">
      <c r="A10" s="1256"/>
      <c r="B10" s="1259"/>
      <c r="C10" s="1259"/>
      <c r="D10" s="274" t="str">
        <f>'[2]Analisis Riesgo'!K8</f>
        <v>Aplicar niveles de elaboración, revisión y aprobación de productos y servicios de la Subdirección de Demanda.</v>
      </c>
      <c r="E10" s="275" t="str">
        <f>'[2]Analisis Riesgo'!L8</f>
        <v>Este es un mecanismo establecido en el cual previa a la emisión externa de productos del proceso estos son revisados y validados por un par de la dependencia o por el Subdirector de Demanda. Pretende evitar sesgos, baja calidada y errrotes en los productos de la Subdirección de Demanda. Es aplicado cada vez que es requerido y su evidencia queda almacenada en memorandos internos, oficios y correos electrónicos.</v>
      </c>
      <c r="F10" s="276" t="s">
        <v>296</v>
      </c>
      <c r="G10" s="276" t="s">
        <v>299</v>
      </c>
      <c r="H10" s="276" t="s">
        <v>300</v>
      </c>
      <c r="I10" s="276" t="s">
        <v>301</v>
      </c>
      <c r="J10" s="276" t="s">
        <v>302</v>
      </c>
      <c r="K10" s="277" t="s">
        <v>368</v>
      </c>
      <c r="L10" s="276" t="s">
        <v>304</v>
      </c>
      <c r="M10" s="278">
        <f t="shared" si="0"/>
        <v>15</v>
      </c>
      <c r="N10" s="278">
        <f t="shared" si="1"/>
        <v>15</v>
      </c>
      <c r="O10" s="278">
        <f t="shared" si="2"/>
        <v>15</v>
      </c>
      <c r="P10" s="278">
        <f t="shared" si="3"/>
        <v>15</v>
      </c>
      <c r="Q10" s="278">
        <f t="shared" si="4"/>
        <v>15</v>
      </c>
      <c r="R10" s="278">
        <f t="shared" si="5"/>
        <v>15</v>
      </c>
      <c r="S10" s="278">
        <f t="shared" si="6"/>
        <v>10</v>
      </c>
      <c r="T10" s="278">
        <f t="shared" si="7"/>
        <v>100</v>
      </c>
      <c r="U10" s="276" t="s">
        <v>122</v>
      </c>
      <c r="V10" s="276" t="s">
        <v>263</v>
      </c>
      <c r="W10" s="278">
        <f t="shared" si="8"/>
        <v>1</v>
      </c>
      <c r="X10" s="278">
        <f t="shared" si="9"/>
        <v>0</v>
      </c>
      <c r="Y10" s="278" t="str">
        <f t="shared" si="10"/>
        <v>Fuerte</v>
      </c>
      <c r="Z10" s="276" t="s">
        <v>305</v>
      </c>
      <c r="AA10" s="278" t="str">
        <f t="shared" si="11"/>
        <v>Fuerte</v>
      </c>
      <c r="AB10" s="278" t="str">
        <f t="shared" si="12"/>
        <v>No</v>
      </c>
      <c r="AC10" s="279"/>
      <c r="AD10" s="280"/>
    </row>
    <row r="11" spans="1:30" ht="99.75" x14ac:dyDescent="0.2">
      <c r="A11" s="1256"/>
      <c r="B11" s="1259"/>
      <c r="C11" s="1259"/>
      <c r="D11" s="274" t="str">
        <f>'[2]Analisis Riesgo'!K9</f>
        <v>Determinar metas para la elaboración de productos.</v>
      </c>
      <c r="E11" s="275" t="str">
        <f>'[2]Analisis Riesgo'!L9</f>
        <v>A través de la herramienta plan de acción de la Subdirección de Demanda, se realiza la formulación y seguimiento a las metas de la dependencia. Este control permite detectar y prevenir posibles desviaciones en cuanto al cumplimientode las metas y entrega de productos.</v>
      </c>
      <c r="F11" s="276" t="s">
        <v>296</v>
      </c>
      <c r="G11" s="276" t="s">
        <v>299</v>
      </c>
      <c r="H11" s="276" t="s">
        <v>300</v>
      </c>
      <c r="I11" s="276" t="s">
        <v>301</v>
      </c>
      <c r="J11" s="276" t="s">
        <v>302</v>
      </c>
      <c r="K11" s="277" t="s">
        <v>368</v>
      </c>
      <c r="L11" s="276" t="s">
        <v>304</v>
      </c>
      <c r="M11" s="278">
        <f t="shared" si="0"/>
        <v>15</v>
      </c>
      <c r="N11" s="278">
        <f t="shared" si="1"/>
        <v>15</v>
      </c>
      <c r="O11" s="278">
        <f t="shared" si="2"/>
        <v>15</v>
      </c>
      <c r="P11" s="278">
        <f t="shared" si="3"/>
        <v>15</v>
      </c>
      <c r="Q11" s="278">
        <f t="shared" si="4"/>
        <v>15</v>
      </c>
      <c r="R11" s="278">
        <f t="shared" si="5"/>
        <v>15</v>
      </c>
      <c r="S11" s="278">
        <f t="shared" si="6"/>
        <v>10</v>
      </c>
      <c r="T11" s="278">
        <f t="shared" si="7"/>
        <v>100</v>
      </c>
      <c r="U11" s="276" t="s">
        <v>122</v>
      </c>
      <c r="V11" s="276" t="s">
        <v>263</v>
      </c>
      <c r="W11" s="278">
        <f t="shared" si="8"/>
        <v>1</v>
      </c>
      <c r="X11" s="278">
        <f t="shared" si="9"/>
        <v>0</v>
      </c>
      <c r="Y11" s="278" t="str">
        <f t="shared" si="10"/>
        <v>Fuerte</v>
      </c>
      <c r="Z11" s="276" t="s">
        <v>305</v>
      </c>
      <c r="AA11" s="278" t="str">
        <f t="shared" si="11"/>
        <v>Fuerte</v>
      </c>
      <c r="AB11" s="278" t="str">
        <f t="shared" si="12"/>
        <v>No</v>
      </c>
      <c r="AC11" s="279"/>
      <c r="AD11" s="280"/>
    </row>
    <row r="12" spans="1:30" ht="128.25" x14ac:dyDescent="0.2">
      <c r="A12" s="1256"/>
      <c r="B12" s="1259"/>
      <c r="C12" s="1259"/>
      <c r="D12" s="274" t="str">
        <f>'[2]Analisis Riesgo'!K10</f>
        <v>Utilizar herramientas especializadas y de ofimática para el procesamiento de información.</v>
      </c>
      <c r="E12" s="275" t="str">
        <f>'[2]Analisis Riesgo'!L10</f>
        <v>Utilizar el uso de herramientas informáticas y especializadas para el tratamiento y administración de datos e información permite reducir la carga de trabajo en labores de procesamiento. La aplicación y uso de herramientas es un control que permite reducir los tiempos en algunas operaciones del proceso de Demanda y Prospectiva.</v>
      </c>
      <c r="F12" s="276" t="s">
        <v>296</v>
      </c>
      <c r="G12" s="276" t="s">
        <v>299</v>
      </c>
      <c r="H12" s="276" t="s">
        <v>300</v>
      </c>
      <c r="I12" s="276" t="s">
        <v>301</v>
      </c>
      <c r="J12" s="276" t="s">
        <v>302</v>
      </c>
      <c r="K12" s="277" t="s">
        <v>368</v>
      </c>
      <c r="L12" s="276" t="s">
        <v>304</v>
      </c>
      <c r="M12" s="278">
        <f t="shared" si="0"/>
        <v>15</v>
      </c>
      <c r="N12" s="278">
        <f t="shared" si="1"/>
        <v>15</v>
      </c>
      <c r="O12" s="278">
        <f t="shared" si="2"/>
        <v>15</v>
      </c>
      <c r="P12" s="278">
        <f t="shared" si="3"/>
        <v>15</v>
      </c>
      <c r="Q12" s="278">
        <f t="shared" si="4"/>
        <v>15</v>
      </c>
      <c r="R12" s="278">
        <f t="shared" si="5"/>
        <v>15</v>
      </c>
      <c r="S12" s="278">
        <f t="shared" si="6"/>
        <v>10</v>
      </c>
      <c r="T12" s="278">
        <f t="shared" si="7"/>
        <v>100</v>
      </c>
      <c r="U12" s="276" t="s">
        <v>263</v>
      </c>
      <c r="V12" s="276" t="s">
        <v>122</v>
      </c>
      <c r="W12" s="278">
        <f t="shared" si="8"/>
        <v>0</v>
      </c>
      <c r="X12" s="278">
        <f t="shared" si="9"/>
        <v>1</v>
      </c>
      <c r="Y12" s="278" t="str">
        <f t="shared" si="10"/>
        <v>Debil</v>
      </c>
      <c r="Z12" s="276" t="s">
        <v>305</v>
      </c>
      <c r="AA12" s="278" t="str">
        <f t="shared" si="11"/>
        <v>Fuerte</v>
      </c>
      <c r="AB12" s="278" t="str">
        <f t="shared" si="12"/>
        <v>SI</v>
      </c>
      <c r="AC12" s="279"/>
      <c r="AD12" s="280"/>
    </row>
    <row r="13" spans="1:30" ht="156.75" x14ac:dyDescent="0.2">
      <c r="A13" s="1256"/>
      <c r="B13" s="1259"/>
      <c r="C13" s="1259"/>
      <c r="D13" s="274" t="str">
        <f>'[2]Analisis Riesgo'!K11</f>
        <v>Formalidad en el registro de entradas y salidas del proceso en Orfeo.</v>
      </c>
      <c r="E13" s="275" t="str">
        <f>'[2]Analisis Riesgo'!L11</f>
        <v>Se utiliza la herramienta Orfeo como el canal para tramitar las solicitudes de información y entrega de información. Este control aplicado busca garantizar que  la documentación quede formalmente  en el Sistema de Gestión Documental de la entidad. Este control permite evidenciar el registro del tiempo de las entradas y salidas de información en la interacción entre los partes interesadas del proceso  y la Subdirección de Demanda.</v>
      </c>
      <c r="F13" s="276" t="s">
        <v>296</v>
      </c>
      <c r="G13" s="276" t="s">
        <v>299</v>
      </c>
      <c r="H13" s="276" t="s">
        <v>300</v>
      </c>
      <c r="I13" s="276" t="s">
        <v>301</v>
      </c>
      <c r="J13" s="276" t="s">
        <v>302</v>
      </c>
      <c r="K13" s="277" t="s">
        <v>368</v>
      </c>
      <c r="L13" s="276" t="s">
        <v>304</v>
      </c>
      <c r="M13" s="278">
        <f t="shared" si="0"/>
        <v>15</v>
      </c>
      <c r="N13" s="278">
        <f t="shared" si="1"/>
        <v>15</v>
      </c>
      <c r="O13" s="278">
        <f t="shared" si="2"/>
        <v>15</v>
      </c>
      <c r="P13" s="278">
        <f t="shared" si="3"/>
        <v>15</v>
      </c>
      <c r="Q13" s="278">
        <f t="shared" si="4"/>
        <v>15</v>
      </c>
      <c r="R13" s="278">
        <f t="shared" si="5"/>
        <v>15</v>
      </c>
      <c r="S13" s="278">
        <f t="shared" si="6"/>
        <v>10</v>
      </c>
      <c r="T13" s="278">
        <f t="shared" si="7"/>
        <v>100</v>
      </c>
      <c r="U13" s="276" t="s">
        <v>122</v>
      </c>
      <c r="V13" s="276" t="s">
        <v>263</v>
      </c>
      <c r="W13" s="278">
        <f t="shared" si="8"/>
        <v>1</v>
      </c>
      <c r="X13" s="278">
        <f t="shared" si="9"/>
        <v>0</v>
      </c>
      <c r="Y13" s="278" t="str">
        <f t="shared" si="10"/>
        <v>Fuerte</v>
      </c>
      <c r="Z13" s="276" t="s">
        <v>305</v>
      </c>
      <c r="AA13" s="278" t="str">
        <f t="shared" si="11"/>
        <v>Fuerte</v>
      </c>
      <c r="AB13" s="278" t="str">
        <f t="shared" si="12"/>
        <v>No</v>
      </c>
      <c r="AC13" s="279"/>
      <c r="AD13" s="280"/>
    </row>
    <row r="14" spans="1:30" ht="85.5" x14ac:dyDescent="0.2">
      <c r="A14" s="1257"/>
      <c r="B14" s="1208"/>
      <c r="C14" s="1208"/>
      <c r="D14" s="274" t="str">
        <f>'[2]Analisis Riesgo'!K12</f>
        <v>Accesar a información a través de herramientas y mecanismos como Basses de Datos,  ETL, Datawhaterhouse,entre otros (Xm, SUI, DANE).</v>
      </c>
      <c r="E14" s="275" t="str">
        <f>'[2]Analisis Riesgo'!L12</f>
        <v>La gestón de este tipo control busca que los profesionales cuenten con acceso a datos e información de manera permantente utilizando la tecnología como un instrumento que permite el acceso oportuno.</v>
      </c>
      <c r="F14" s="276" t="s">
        <v>296</v>
      </c>
      <c r="G14" s="276" t="s">
        <v>299</v>
      </c>
      <c r="H14" s="276" t="s">
        <v>300</v>
      </c>
      <c r="I14" s="276" t="s">
        <v>301</v>
      </c>
      <c r="J14" s="276" t="s">
        <v>302</v>
      </c>
      <c r="K14" s="277" t="s">
        <v>368</v>
      </c>
      <c r="L14" s="276" t="s">
        <v>304</v>
      </c>
      <c r="M14" s="278">
        <f t="shared" si="0"/>
        <v>15</v>
      </c>
      <c r="N14" s="278">
        <f t="shared" si="1"/>
        <v>15</v>
      </c>
      <c r="O14" s="278">
        <f t="shared" si="2"/>
        <v>15</v>
      </c>
      <c r="P14" s="278">
        <f t="shared" si="3"/>
        <v>15</v>
      </c>
      <c r="Q14" s="278">
        <f t="shared" si="4"/>
        <v>15</v>
      </c>
      <c r="R14" s="278">
        <f t="shared" si="5"/>
        <v>15</v>
      </c>
      <c r="S14" s="278">
        <f t="shared" si="6"/>
        <v>10</v>
      </c>
      <c r="T14" s="278">
        <f t="shared" si="7"/>
        <v>100</v>
      </c>
      <c r="U14" s="276" t="s">
        <v>122</v>
      </c>
      <c r="V14" s="276" t="s">
        <v>263</v>
      </c>
      <c r="W14" s="278">
        <f t="shared" si="8"/>
        <v>1</v>
      </c>
      <c r="X14" s="278">
        <f t="shared" si="9"/>
        <v>0</v>
      </c>
      <c r="Y14" s="278" t="str">
        <f t="shared" si="10"/>
        <v>Fuerte</v>
      </c>
      <c r="Z14" s="276" t="s">
        <v>305</v>
      </c>
      <c r="AA14" s="278" t="str">
        <f t="shared" si="11"/>
        <v>Fuerte</v>
      </c>
      <c r="AB14" s="278" t="str">
        <f t="shared" si="12"/>
        <v>No</v>
      </c>
      <c r="AC14" s="279"/>
      <c r="AD14" s="280"/>
    </row>
    <row r="15" spans="1:30" ht="142.5" x14ac:dyDescent="0.2">
      <c r="A15" s="1255">
        <f>'[2]Identificación del Riesgo'!D10</f>
        <v>2</v>
      </c>
      <c r="B15" s="1258" t="str">
        <f>'[2]Identificación del Riesgo'!E10</f>
        <v>Proyecciones con altas desviaciones respecto del comportamiento real de la demanda.</v>
      </c>
      <c r="C15" s="1258" t="str">
        <f>'[2]Identificación del Riesgo'!H10</f>
        <v xml:space="preserve">• Deficiencias en la calidad de la información que se requiere como insumo del proceso.
• Falta de datos e información confiable.
• No comprobación y evaluación del modelo con datos históricos.
• Inadecuada definición de variables que impacten el comportamiento de las proyecciones.
• Desconocimiento en el uso de metodologías aplicadas en el proceso.
• Falta de estandarización en los lineamientos, procesos y procedimientos para el estudio de la demanda.
• Inexistentes o inadecuadas herramientas tecnológicas para el procesamiento de la información.
</v>
      </c>
      <c r="D15" s="274" t="str">
        <f>'[2]Analisis Riesgo'!K13</f>
        <v>Obtener información de fuentes oficiales y confiables.</v>
      </c>
      <c r="E15" s="275" t="str">
        <f>'[2]Analisis Riesgo'!L13</f>
        <v>Se realizan gestion a través de solicitudes de información, acuerdos, convenios y contratos para obtener o adquirir información de fuentes confiables. Este contro busca garantizar el acceso a información y la obtención de datos. El reponsable de gestionar estos procesos es el Subdirctor de Demanda quien designa acciones en los Profesionales de la Dependencia para esta actividad de control.</v>
      </c>
      <c r="F15" s="276" t="s">
        <v>296</v>
      </c>
      <c r="G15" s="276" t="s">
        <v>299</v>
      </c>
      <c r="H15" s="276" t="s">
        <v>300</v>
      </c>
      <c r="I15" s="276" t="s">
        <v>301</v>
      </c>
      <c r="J15" s="276" t="s">
        <v>302</v>
      </c>
      <c r="K15" s="277" t="s">
        <v>368</v>
      </c>
      <c r="L15" s="276" t="s">
        <v>304</v>
      </c>
      <c r="M15" s="278">
        <f t="shared" si="0"/>
        <v>15</v>
      </c>
      <c r="N15" s="278">
        <f t="shared" si="1"/>
        <v>15</v>
      </c>
      <c r="O15" s="278">
        <f t="shared" si="2"/>
        <v>15</v>
      </c>
      <c r="P15" s="278">
        <f t="shared" si="3"/>
        <v>15</v>
      </c>
      <c r="Q15" s="278">
        <f t="shared" si="4"/>
        <v>15</v>
      </c>
      <c r="R15" s="278">
        <f t="shared" si="5"/>
        <v>15</v>
      </c>
      <c r="S15" s="278">
        <f t="shared" si="6"/>
        <v>10</v>
      </c>
      <c r="T15" s="278">
        <f t="shared" si="7"/>
        <v>100</v>
      </c>
      <c r="U15" s="276" t="s">
        <v>122</v>
      </c>
      <c r="V15" s="276" t="s">
        <v>263</v>
      </c>
      <c r="W15" s="278">
        <f t="shared" si="8"/>
        <v>1</v>
      </c>
      <c r="X15" s="278">
        <f t="shared" si="9"/>
        <v>0</v>
      </c>
      <c r="Y15" s="278" t="str">
        <f t="shared" si="10"/>
        <v>Fuerte</v>
      </c>
      <c r="Z15" s="276" t="s">
        <v>305</v>
      </c>
      <c r="AA15" s="278" t="str">
        <f t="shared" si="11"/>
        <v>Fuerte</v>
      </c>
      <c r="AB15" s="278" t="str">
        <f t="shared" si="12"/>
        <v>No</v>
      </c>
      <c r="AC15" s="279"/>
      <c r="AD15" s="280"/>
    </row>
    <row r="16" spans="1:30" ht="85.5" x14ac:dyDescent="0.2">
      <c r="A16" s="1256"/>
      <c r="B16" s="1259"/>
      <c r="C16" s="1259"/>
      <c r="D16" s="274" t="str">
        <f>'[2]Analisis Riesgo'!K14</f>
        <v>Comprobar los modelos con datos y determinar las  el grado de confiabilidad.</v>
      </c>
      <c r="E16" s="275" t="str">
        <f>'[2]Analisis Riesgo'!L14</f>
        <v>Este control tiene como propósito validar el diseño de modelos, con el propósito de verificar que es confiable el cual es comprobado con series históricas, análisis de sensibilidad y pruebas estadísticas realizada por los profesionales.</v>
      </c>
      <c r="F16" s="276" t="s">
        <v>296</v>
      </c>
      <c r="G16" s="276" t="s">
        <v>299</v>
      </c>
      <c r="H16" s="276" t="s">
        <v>300</v>
      </c>
      <c r="I16" s="276" t="s">
        <v>301</v>
      </c>
      <c r="J16" s="276" t="s">
        <v>302</v>
      </c>
      <c r="K16" s="277" t="s">
        <v>368</v>
      </c>
      <c r="L16" s="276" t="s">
        <v>304</v>
      </c>
      <c r="M16" s="278">
        <f t="shared" si="0"/>
        <v>15</v>
      </c>
      <c r="N16" s="278">
        <f t="shared" si="1"/>
        <v>15</v>
      </c>
      <c r="O16" s="278">
        <f t="shared" si="2"/>
        <v>15</v>
      </c>
      <c r="P16" s="278">
        <f t="shared" si="3"/>
        <v>15</v>
      </c>
      <c r="Q16" s="278">
        <f t="shared" si="4"/>
        <v>15</v>
      </c>
      <c r="R16" s="278">
        <f t="shared" si="5"/>
        <v>15</v>
      </c>
      <c r="S16" s="278">
        <f t="shared" si="6"/>
        <v>10</v>
      </c>
      <c r="T16" s="278">
        <f t="shared" si="7"/>
        <v>100</v>
      </c>
      <c r="U16" s="276" t="s">
        <v>263</v>
      </c>
      <c r="V16" s="276" t="s">
        <v>122</v>
      </c>
      <c r="W16" s="278">
        <f t="shared" si="8"/>
        <v>0</v>
      </c>
      <c r="X16" s="278">
        <f t="shared" si="9"/>
        <v>1</v>
      </c>
      <c r="Y16" s="278" t="str">
        <f t="shared" si="10"/>
        <v>Debil</v>
      </c>
      <c r="Z16" s="276" t="s">
        <v>305</v>
      </c>
      <c r="AA16" s="278" t="str">
        <f t="shared" si="11"/>
        <v>Fuerte</v>
      </c>
      <c r="AB16" s="278" t="str">
        <f t="shared" si="12"/>
        <v>SI</v>
      </c>
      <c r="AC16" s="279"/>
      <c r="AD16" s="280"/>
    </row>
    <row r="17" spans="1:30" ht="128.25" x14ac:dyDescent="0.2">
      <c r="A17" s="1256"/>
      <c r="B17" s="1259"/>
      <c r="C17" s="1259"/>
      <c r="D17" s="274" t="str">
        <f>'[2]Analisis Riesgo'!K15</f>
        <v>Verificar los datos a utilizarse.</v>
      </c>
      <c r="E17" s="275" t="str">
        <f>'[2]Analisis Riesgo'!L15</f>
        <v>Previa a la realzación de las proyecciones se verifica el insumo datos, donde se realizan comparaciones con datos historicos y se verifica su proveniencia. Este control busca reducir el uso de datos incorrectos o que puedan presentar variaciones con altas incertidumbre. Los datos con variaciones anormales son revisados para garantizar la calidad del dato.</v>
      </c>
      <c r="F17" s="276" t="s">
        <v>296</v>
      </c>
      <c r="G17" s="276" t="s">
        <v>299</v>
      </c>
      <c r="H17" s="276" t="s">
        <v>300</v>
      </c>
      <c r="I17" s="276" t="s">
        <v>301</v>
      </c>
      <c r="J17" s="276" t="s">
        <v>302</v>
      </c>
      <c r="K17" s="277" t="s">
        <v>368</v>
      </c>
      <c r="L17" s="276" t="s">
        <v>304</v>
      </c>
      <c r="M17" s="278">
        <f t="shared" si="0"/>
        <v>15</v>
      </c>
      <c r="N17" s="278">
        <f t="shared" si="1"/>
        <v>15</v>
      </c>
      <c r="O17" s="278">
        <f t="shared" si="2"/>
        <v>15</v>
      </c>
      <c r="P17" s="278">
        <f t="shared" si="3"/>
        <v>15</v>
      </c>
      <c r="Q17" s="278">
        <f t="shared" si="4"/>
        <v>15</v>
      </c>
      <c r="R17" s="278">
        <f t="shared" si="5"/>
        <v>15</v>
      </c>
      <c r="S17" s="278">
        <f t="shared" si="6"/>
        <v>10</v>
      </c>
      <c r="T17" s="278">
        <f t="shared" si="7"/>
        <v>100</v>
      </c>
      <c r="U17" s="276" t="s">
        <v>122</v>
      </c>
      <c r="V17" s="276" t="s">
        <v>263</v>
      </c>
      <c r="W17" s="278">
        <f t="shared" si="8"/>
        <v>1</v>
      </c>
      <c r="X17" s="278">
        <f t="shared" si="9"/>
        <v>0</v>
      </c>
      <c r="Y17" s="278" t="str">
        <f t="shared" si="10"/>
        <v>Fuerte</v>
      </c>
      <c r="Z17" s="276" t="s">
        <v>305</v>
      </c>
      <c r="AA17" s="278" t="str">
        <f t="shared" si="11"/>
        <v>Fuerte</v>
      </c>
      <c r="AB17" s="278" t="str">
        <f t="shared" si="12"/>
        <v>No</v>
      </c>
      <c r="AC17" s="279"/>
      <c r="AD17" s="280"/>
    </row>
    <row r="18" spans="1:30" ht="99.75" x14ac:dyDescent="0.2">
      <c r="A18" s="1256"/>
      <c r="B18" s="1259"/>
      <c r="C18" s="1259"/>
      <c r="D18" s="274" t="str">
        <f>'[2]Analisis Riesgo'!K16</f>
        <v>Validar variables y parametros de los modelos.</v>
      </c>
      <c r="E18" s="275" t="str">
        <f>'[2]Analisis Riesgo'!L16</f>
        <v>Se revisa si se cuenta con toda la información de variables y parametros que permitan efectua los calculos requeridos. Este control busca garantizar que se cumpla con los insumos del modelo requeridos para análsiis completos o se tomen decisiones al respecto.</v>
      </c>
      <c r="F18" s="276" t="s">
        <v>296</v>
      </c>
      <c r="G18" s="276" t="s">
        <v>299</v>
      </c>
      <c r="H18" s="276" t="s">
        <v>300</v>
      </c>
      <c r="I18" s="276" t="s">
        <v>301</v>
      </c>
      <c r="J18" s="276" t="s">
        <v>302</v>
      </c>
      <c r="K18" s="277" t="s">
        <v>368</v>
      </c>
      <c r="L18" s="276" t="s">
        <v>304</v>
      </c>
      <c r="M18" s="278">
        <f t="shared" si="0"/>
        <v>15</v>
      </c>
      <c r="N18" s="278">
        <f t="shared" si="1"/>
        <v>15</v>
      </c>
      <c r="O18" s="278">
        <f t="shared" si="2"/>
        <v>15</v>
      </c>
      <c r="P18" s="278">
        <f t="shared" si="3"/>
        <v>15</v>
      </c>
      <c r="Q18" s="278">
        <f t="shared" si="4"/>
        <v>15</v>
      </c>
      <c r="R18" s="278">
        <f t="shared" si="5"/>
        <v>15</v>
      </c>
      <c r="S18" s="278">
        <f t="shared" si="6"/>
        <v>10</v>
      </c>
      <c r="T18" s="278">
        <f t="shared" si="7"/>
        <v>100</v>
      </c>
      <c r="U18" s="276" t="s">
        <v>122</v>
      </c>
      <c r="V18" s="276" t="s">
        <v>263</v>
      </c>
      <c r="W18" s="278">
        <f t="shared" si="8"/>
        <v>1</v>
      </c>
      <c r="X18" s="278">
        <f t="shared" si="9"/>
        <v>0</v>
      </c>
      <c r="Y18" s="278" t="str">
        <f t="shared" si="10"/>
        <v>Fuerte</v>
      </c>
      <c r="Z18" s="276" t="s">
        <v>305</v>
      </c>
      <c r="AA18" s="278" t="str">
        <f t="shared" si="11"/>
        <v>Fuerte</v>
      </c>
      <c r="AB18" s="278" t="str">
        <f t="shared" si="12"/>
        <v>No</v>
      </c>
      <c r="AC18" s="279"/>
      <c r="AD18" s="280"/>
    </row>
    <row r="19" spans="1:30" ht="57" x14ac:dyDescent="0.2">
      <c r="A19" s="1257"/>
      <c r="B19" s="1208"/>
      <c r="C19" s="1208"/>
      <c r="D19" s="274" t="str">
        <f>'[2]Analisis Riesgo'!K17</f>
        <v>Revisar procedimientos documentados y aplicar sus actividades.</v>
      </c>
      <c r="E19" s="275" t="str">
        <f>'[2]Analisis Riesgo'!L17</f>
        <v>Aplicar las actividades estandarizadas busca garantizar que se cumplan los métodos para realiar el trabajo definidos por la Subdirección de Demanda.</v>
      </c>
      <c r="F19" s="276" t="s">
        <v>296</v>
      </c>
      <c r="G19" s="276" t="s">
        <v>299</v>
      </c>
      <c r="H19" s="276" t="s">
        <v>300</v>
      </c>
      <c r="I19" s="276" t="s">
        <v>301</v>
      </c>
      <c r="J19" s="276" t="s">
        <v>302</v>
      </c>
      <c r="K19" s="277" t="s">
        <v>368</v>
      </c>
      <c r="L19" s="276" t="s">
        <v>304</v>
      </c>
      <c r="M19" s="278">
        <f t="shared" si="0"/>
        <v>15</v>
      </c>
      <c r="N19" s="278">
        <f t="shared" si="1"/>
        <v>15</v>
      </c>
      <c r="O19" s="278">
        <f t="shared" si="2"/>
        <v>15</v>
      </c>
      <c r="P19" s="278">
        <f t="shared" si="3"/>
        <v>15</v>
      </c>
      <c r="Q19" s="278">
        <f t="shared" si="4"/>
        <v>15</v>
      </c>
      <c r="R19" s="278">
        <f t="shared" si="5"/>
        <v>15</v>
      </c>
      <c r="S19" s="278">
        <f t="shared" si="6"/>
        <v>10</v>
      </c>
      <c r="T19" s="278">
        <f t="shared" si="7"/>
        <v>100</v>
      </c>
      <c r="U19" s="276" t="s">
        <v>122</v>
      </c>
      <c r="V19" s="276" t="s">
        <v>263</v>
      </c>
      <c r="W19" s="278">
        <f t="shared" si="8"/>
        <v>1</v>
      </c>
      <c r="X19" s="278">
        <f t="shared" si="9"/>
        <v>0</v>
      </c>
      <c r="Y19" s="278" t="str">
        <f t="shared" si="10"/>
        <v>Fuerte</v>
      </c>
      <c r="Z19" s="276" t="s">
        <v>305</v>
      </c>
      <c r="AA19" s="278" t="str">
        <f t="shared" si="11"/>
        <v>Fuerte</v>
      </c>
      <c r="AB19" s="278" t="str">
        <f t="shared" si="12"/>
        <v>No</v>
      </c>
      <c r="AC19" s="279"/>
      <c r="AD19" s="280"/>
    </row>
    <row r="20" spans="1:30" ht="85.5" x14ac:dyDescent="0.2">
      <c r="A20" s="1255">
        <f>'[2]Identificación del Riesgo'!D11</f>
        <v>3</v>
      </c>
      <c r="B20" s="1258" t="str">
        <f>'[2]Identificación del Riesgo'!E11</f>
        <v>Baja calidad de los productos del proceso Demanda y Prospectiva.</v>
      </c>
      <c r="C20" s="1258" t="str">
        <f>'[2]Identificación del Riesgo'!H11</f>
        <v xml:space="preserve">• Bajo nivel de comunicación entre las dependencias y definición de acuerdos.
•  Inadecuada interrelación entre los procesos.
• Baja o nula definición de los requisitos de los productos generados por los clientes del proceso Demanda y Prospectiva.
• Inadecuados procesos de revisión y seguimiento a la calidad de los productos del proceso Demanda y Prospectiva.
• Baja calidad de los insumos del proceso (datos e información).
</v>
      </c>
      <c r="D20" s="274" t="str">
        <f>'[2]Analisis Riesgo'!K18</f>
        <v>Definir requisitos mínimos y caracteristicas de los productos de la Subdirección de Demanda</v>
      </c>
      <c r="E20" s="275" t="str">
        <f>'[2]Analisis Riesgo'!L18</f>
        <v>Se ha documentado a través de procedimientos las caracteristicas y actividades para la elaboraciónde los productos del proceso.Esto con el propósiito de que cumpla con claidad.</v>
      </c>
      <c r="F20" s="276" t="s">
        <v>296</v>
      </c>
      <c r="G20" s="276" t="s">
        <v>299</v>
      </c>
      <c r="H20" s="276" t="s">
        <v>300</v>
      </c>
      <c r="I20" s="276" t="s">
        <v>301</v>
      </c>
      <c r="J20" s="276" t="s">
        <v>302</v>
      </c>
      <c r="K20" s="277" t="s">
        <v>368</v>
      </c>
      <c r="L20" s="276" t="s">
        <v>304</v>
      </c>
      <c r="M20" s="278">
        <f t="shared" si="0"/>
        <v>15</v>
      </c>
      <c r="N20" s="278">
        <f t="shared" si="1"/>
        <v>15</v>
      </c>
      <c r="O20" s="278">
        <f t="shared" si="2"/>
        <v>15</v>
      </c>
      <c r="P20" s="278">
        <f t="shared" si="3"/>
        <v>15</v>
      </c>
      <c r="Q20" s="278">
        <f t="shared" si="4"/>
        <v>15</v>
      </c>
      <c r="R20" s="278">
        <f t="shared" si="5"/>
        <v>15</v>
      </c>
      <c r="S20" s="278">
        <f t="shared" si="6"/>
        <v>10</v>
      </c>
      <c r="T20" s="278">
        <f t="shared" si="7"/>
        <v>100</v>
      </c>
      <c r="U20" s="276" t="s">
        <v>122</v>
      </c>
      <c r="V20" s="276" t="s">
        <v>263</v>
      </c>
      <c r="W20" s="278">
        <f t="shared" si="8"/>
        <v>1</v>
      </c>
      <c r="X20" s="278">
        <f t="shared" si="9"/>
        <v>0</v>
      </c>
      <c r="Y20" s="278" t="str">
        <f t="shared" si="10"/>
        <v>Fuerte</v>
      </c>
      <c r="Z20" s="276" t="s">
        <v>305</v>
      </c>
      <c r="AA20" s="278" t="str">
        <f t="shared" si="11"/>
        <v>Fuerte</v>
      </c>
      <c r="AB20" s="278" t="str">
        <f t="shared" si="12"/>
        <v>No</v>
      </c>
      <c r="AC20" s="281"/>
      <c r="AD20" s="280"/>
    </row>
    <row r="21" spans="1:30" ht="160.5" customHeight="1" x14ac:dyDescent="0.2">
      <c r="A21" s="1256"/>
      <c r="B21" s="1259"/>
      <c r="C21" s="1259"/>
      <c r="D21" s="274" t="str">
        <f>'[2]Analisis Riesgo'!K19</f>
        <v>Aplicar niveles de elaboración, revisión y aprobación de productos y servicios de la Subdirección de Demanda.</v>
      </c>
      <c r="E21" s="275" t="str">
        <f>'[2]Analisis Riesgo'!L19</f>
        <v>Este es un mecanismo establecido en el cual previa a la emisión externa de productos del proceso estos son revisados y validados por un par de la dependencia o por el Subdirector de Demanda. Pretende evitar sesgos, baja calidada y errrotes en los productos de la Subdirección de Demanda. Es aplicado cada vez que es requerido y su evidencia queda almacenada en memorandos internos, oficios y correos electrónicos.</v>
      </c>
      <c r="F21" s="276" t="s">
        <v>296</v>
      </c>
      <c r="G21" s="276" t="s">
        <v>299</v>
      </c>
      <c r="H21" s="276" t="s">
        <v>300</v>
      </c>
      <c r="I21" s="276" t="s">
        <v>301</v>
      </c>
      <c r="J21" s="276" t="s">
        <v>302</v>
      </c>
      <c r="K21" s="277" t="s">
        <v>368</v>
      </c>
      <c r="L21" s="276" t="s">
        <v>304</v>
      </c>
      <c r="M21" s="278">
        <f t="shared" si="0"/>
        <v>15</v>
      </c>
      <c r="N21" s="278">
        <f t="shared" si="1"/>
        <v>15</v>
      </c>
      <c r="O21" s="278">
        <f t="shared" si="2"/>
        <v>15</v>
      </c>
      <c r="P21" s="278">
        <f t="shared" si="3"/>
        <v>15</v>
      </c>
      <c r="Q21" s="278">
        <f t="shared" si="4"/>
        <v>15</v>
      </c>
      <c r="R21" s="278">
        <f t="shared" si="5"/>
        <v>15</v>
      </c>
      <c r="S21" s="278">
        <f t="shared" si="6"/>
        <v>10</v>
      </c>
      <c r="T21" s="278">
        <f t="shared" si="7"/>
        <v>100</v>
      </c>
      <c r="U21" s="276" t="s">
        <v>122</v>
      </c>
      <c r="V21" s="276" t="s">
        <v>263</v>
      </c>
      <c r="W21" s="278">
        <f t="shared" si="8"/>
        <v>1</v>
      </c>
      <c r="X21" s="278">
        <f t="shared" si="9"/>
        <v>0</v>
      </c>
      <c r="Y21" s="278" t="str">
        <f t="shared" si="10"/>
        <v>Fuerte</v>
      </c>
      <c r="Z21" s="276" t="s">
        <v>305</v>
      </c>
      <c r="AA21" s="278" t="str">
        <f t="shared" si="11"/>
        <v>Fuerte</v>
      </c>
      <c r="AB21" s="278" t="str">
        <f t="shared" si="12"/>
        <v>No</v>
      </c>
      <c r="AC21" s="282"/>
      <c r="AD21" s="280"/>
    </row>
    <row r="22" spans="1:30" ht="99.75" x14ac:dyDescent="0.2">
      <c r="A22" s="1256"/>
      <c r="B22" s="1259"/>
      <c r="C22" s="1259"/>
      <c r="D22" s="274" t="str">
        <f>'[2]Analisis Riesgo'!K20</f>
        <v>Determinar un Plan de Acción con metas e indicadores para los productos de la Subdirección de Demanda.</v>
      </c>
      <c r="E22" s="275" t="str">
        <f>'[2]Analisis Riesgo'!L20</f>
        <v>A través de la herramienta plan de acción de la Subdirección de Demanda, se realiza la formulación y seguimiento a las productos de la dependencia. Este control permite detectar y prevenir posibles desviaciones en cuanto al cumplimientode las metas y entrega de productos.</v>
      </c>
      <c r="F22" s="276" t="s">
        <v>296</v>
      </c>
      <c r="G22" s="276" t="s">
        <v>299</v>
      </c>
      <c r="H22" s="276" t="s">
        <v>300</v>
      </c>
      <c r="I22" s="276" t="s">
        <v>301</v>
      </c>
      <c r="J22" s="276" t="s">
        <v>302</v>
      </c>
      <c r="K22" s="277" t="s">
        <v>368</v>
      </c>
      <c r="L22" s="276" t="s">
        <v>304</v>
      </c>
      <c r="M22" s="278">
        <f t="shared" si="0"/>
        <v>15</v>
      </c>
      <c r="N22" s="278">
        <f t="shared" si="1"/>
        <v>15</v>
      </c>
      <c r="O22" s="278">
        <f t="shared" si="2"/>
        <v>15</v>
      </c>
      <c r="P22" s="278">
        <f t="shared" si="3"/>
        <v>15</v>
      </c>
      <c r="Q22" s="278">
        <f t="shared" si="4"/>
        <v>15</v>
      </c>
      <c r="R22" s="278">
        <f t="shared" si="5"/>
        <v>15</v>
      </c>
      <c r="S22" s="278">
        <f t="shared" si="6"/>
        <v>10</v>
      </c>
      <c r="T22" s="278">
        <f t="shared" si="7"/>
        <v>100</v>
      </c>
      <c r="U22" s="276" t="s">
        <v>122</v>
      </c>
      <c r="V22" s="276" t="s">
        <v>263</v>
      </c>
      <c r="W22" s="278">
        <f t="shared" si="8"/>
        <v>1</v>
      </c>
      <c r="X22" s="278">
        <f t="shared" si="9"/>
        <v>0</v>
      </c>
      <c r="Y22" s="278" t="str">
        <f t="shared" si="10"/>
        <v>Fuerte</v>
      </c>
      <c r="Z22" s="276" t="s">
        <v>305</v>
      </c>
      <c r="AA22" s="278" t="str">
        <f t="shared" si="11"/>
        <v>Fuerte</v>
      </c>
      <c r="AB22" s="278" t="str">
        <f t="shared" si="12"/>
        <v>No</v>
      </c>
      <c r="AC22" s="282"/>
      <c r="AD22" s="280"/>
    </row>
    <row r="23" spans="1:30" ht="128.25" x14ac:dyDescent="0.2">
      <c r="A23" s="1256"/>
      <c r="B23" s="1259"/>
      <c r="C23" s="1259"/>
      <c r="D23" s="283" t="str">
        <f>'[2]Analisis Riesgo'!K21</f>
        <v>Verificar los datos a utilizarse.</v>
      </c>
      <c r="E23" s="284" t="str">
        <f>'[2]Analisis Riesgo'!L21</f>
        <v>Previa a la realzación de las proyecciones se verifica el insumo datos, donde se realizan comparaciones con datos historicos y se verifica su proveniencia. Este control busca reducir el uso de datos incorrectos o que puedan presentar variaciones con altas incertidumbre. Los datos con variaciones anormales son revisados para garantizar la calidad del dato.</v>
      </c>
      <c r="F23" s="285" t="s">
        <v>296</v>
      </c>
      <c r="G23" s="285" t="s">
        <v>299</v>
      </c>
      <c r="H23" s="285" t="s">
        <v>300</v>
      </c>
      <c r="I23" s="285" t="s">
        <v>301</v>
      </c>
      <c r="J23" s="285" t="s">
        <v>302</v>
      </c>
      <c r="K23" s="286" t="s">
        <v>368</v>
      </c>
      <c r="L23" s="285" t="s">
        <v>304</v>
      </c>
      <c r="M23" s="287">
        <f t="shared" si="0"/>
        <v>15</v>
      </c>
      <c r="N23" s="287">
        <f t="shared" si="1"/>
        <v>15</v>
      </c>
      <c r="O23" s="287">
        <f t="shared" si="2"/>
        <v>15</v>
      </c>
      <c r="P23" s="287">
        <f t="shared" si="3"/>
        <v>15</v>
      </c>
      <c r="Q23" s="287">
        <f t="shared" si="4"/>
        <v>15</v>
      </c>
      <c r="R23" s="287">
        <f t="shared" si="5"/>
        <v>15</v>
      </c>
      <c r="S23" s="287">
        <f t="shared" si="6"/>
        <v>10</v>
      </c>
      <c r="T23" s="287">
        <f t="shared" si="7"/>
        <v>100</v>
      </c>
      <c r="U23" s="285" t="s">
        <v>122</v>
      </c>
      <c r="V23" s="285" t="s">
        <v>263</v>
      </c>
      <c r="W23" s="287">
        <f t="shared" si="8"/>
        <v>1</v>
      </c>
      <c r="X23" s="287">
        <f t="shared" si="9"/>
        <v>0</v>
      </c>
      <c r="Y23" s="287" t="str">
        <f t="shared" si="10"/>
        <v>Fuerte</v>
      </c>
      <c r="Z23" s="285" t="s">
        <v>305</v>
      </c>
      <c r="AA23" s="287" t="str">
        <f t="shared" si="11"/>
        <v>Fuerte</v>
      </c>
      <c r="AB23" s="287" t="str">
        <f t="shared" si="12"/>
        <v>No</v>
      </c>
      <c r="AC23" s="288"/>
      <c r="AD23" s="289"/>
    </row>
    <row r="24" spans="1:30" ht="142.5" x14ac:dyDescent="0.2">
      <c r="A24" s="1260">
        <f>'[2]Identificación del Riesgo'!D12</f>
        <v>4</v>
      </c>
      <c r="B24" s="1261" t="str">
        <f>'[2]Identificación del Riesgo'!E12</f>
        <v>Posibilidad de alterar o manipular resultados del proceso con beneficio propio o favorecimiento a terceros.</v>
      </c>
      <c r="C24" s="1261" t="str">
        <f>'[2]Identificación del Riesgo'!H12</f>
        <v>• Presiones indebidas por parte de particulares que buscan un beneficio propio.
• Trafico de influencias.
• Falta de integridad de los funcionarios encargados del proceso.
• Alto grado de discrecionalidad.
• Falta de estandarización en los lineamientos, procesos y procedimientos.
• Alteración y manipulación de información sin niveles de revisión y seguimiento.</v>
      </c>
      <c r="D24" s="290" t="str">
        <f>'[2]Analisis Riesgo'!K22</f>
        <v>Publicar los resultados preeliminares trabajos en la página web.</v>
      </c>
      <c r="E24" s="291" t="str">
        <f>'[2]Analisis Riesgo'!L22</f>
        <v>Es publicado en la página web productos con el propósito que sean comentados por las partes interesadas. Este contro lbusca garantizar la participación ciudadana y adicional a ello mostrar un ejercicio transparente y colaborativo con partes interesadas. Evidencias de ello se ve reflejado en la página web, este control es aplicado por visto bueno del Subdirector de Demanda y aprobación del Director General.</v>
      </c>
      <c r="F24" s="292" t="s">
        <v>296</v>
      </c>
      <c r="G24" s="292" t="s">
        <v>299</v>
      </c>
      <c r="H24" s="292" t="s">
        <v>300</v>
      </c>
      <c r="I24" s="292" t="s">
        <v>301</v>
      </c>
      <c r="J24" s="292" t="s">
        <v>302</v>
      </c>
      <c r="K24" s="293" t="s">
        <v>368</v>
      </c>
      <c r="L24" s="292" t="s">
        <v>304</v>
      </c>
      <c r="M24" s="251">
        <f t="shared" si="0"/>
        <v>15</v>
      </c>
      <c r="N24" s="251">
        <f t="shared" si="1"/>
        <v>15</v>
      </c>
      <c r="O24" s="251">
        <f t="shared" si="2"/>
        <v>15</v>
      </c>
      <c r="P24" s="251">
        <f t="shared" si="3"/>
        <v>15</v>
      </c>
      <c r="Q24" s="251">
        <f t="shared" si="4"/>
        <v>15</v>
      </c>
      <c r="R24" s="251">
        <f t="shared" si="5"/>
        <v>15</v>
      </c>
      <c r="S24" s="251">
        <f t="shared" si="6"/>
        <v>10</v>
      </c>
      <c r="T24" s="251">
        <f t="shared" si="7"/>
        <v>100</v>
      </c>
      <c r="U24" s="292" t="s">
        <v>122</v>
      </c>
      <c r="V24" s="292" t="s">
        <v>122</v>
      </c>
      <c r="W24" s="251">
        <f t="shared" si="8"/>
        <v>1</v>
      </c>
      <c r="X24" s="251">
        <f t="shared" si="9"/>
        <v>1</v>
      </c>
      <c r="Y24" s="251" t="str">
        <f t="shared" si="10"/>
        <v>Fuerte</v>
      </c>
      <c r="Z24" s="292" t="s">
        <v>305</v>
      </c>
      <c r="AA24" s="251" t="str">
        <f t="shared" si="11"/>
        <v>Fuerte</v>
      </c>
      <c r="AB24" s="251" t="str">
        <f t="shared" si="12"/>
        <v>No</v>
      </c>
      <c r="AC24" s="294"/>
      <c r="AD24" s="295"/>
    </row>
    <row r="25" spans="1:30" ht="171" x14ac:dyDescent="0.2">
      <c r="A25" s="1225"/>
      <c r="B25" s="1225"/>
      <c r="C25" s="1225"/>
      <c r="D25" s="290" t="str">
        <f>'[2]Analisis Riesgo'!K23</f>
        <v>Divulgar y socializar los trabajos al interior de la Subdirección de Demanda.</v>
      </c>
      <c r="E25" s="291" t="str">
        <f>'[2]Analisis Riesgo'!L23</f>
        <v>Con el propósito de tener productos robustos y construído interdisciplinariamente, los productos son divulgados y socializados al interior de la Dirección. Este proceso permite la colaboración, la revisón y la critica constructiva al interior de la subdirección evitando los sesgos errores y fallos en los productos de la Subdirección de Demanda. Este control puede ser evidenciado en presentaciónes, ayudas de memoria, actas y correos electrónicos.</v>
      </c>
      <c r="F25" s="292" t="s">
        <v>296</v>
      </c>
      <c r="G25" s="292" t="s">
        <v>299</v>
      </c>
      <c r="H25" s="292" t="s">
        <v>300</v>
      </c>
      <c r="I25" s="292" t="s">
        <v>301</v>
      </c>
      <c r="J25" s="292" t="s">
        <v>302</v>
      </c>
      <c r="K25" s="293" t="s">
        <v>368</v>
      </c>
      <c r="L25" s="292" t="s">
        <v>304</v>
      </c>
      <c r="M25" s="251">
        <f t="shared" si="0"/>
        <v>15</v>
      </c>
      <c r="N25" s="251">
        <f t="shared" si="1"/>
        <v>15</v>
      </c>
      <c r="O25" s="251">
        <f t="shared" si="2"/>
        <v>15</v>
      </c>
      <c r="P25" s="251">
        <f t="shared" si="3"/>
        <v>15</v>
      </c>
      <c r="Q25" s="251">
        <f t="shared" si="4"/>
        <v>15</v>
      </c>
      <c r="R25" s="251">
        <f t="shared" si="5"/>
        <v>15</v>
      </c>
      <c r="S25" s="251">
        <f t="shared" si="6"/>
        <v>10</v>
      </c>
      <c r="T25" s="251">
        <f t="shared" si="7"/>
        <v>100</v>
      </c>
      <c r="U25" s="292" t="s">
        <v>122</v>
      </c>
      <c r="V25" s="292" t="s">
        <v>263</v>
      </c>
      <c r="W25" s="251">
        <f t="shared" si="8"/>
        <v>1</v>
      </c>
      <c r="X25" s="251">
        <f t="shared" si="9"/>
        <v>0</v>
      </c>
      <c r="Y25" s="251" t="str">
        <f t="shared" si="10"/>
        <v>Fuerte</v>
      </c>
      <c r="Z25" s="292" t="s">
        <v>305</v>
      </c>
      <c r="AA25" s="251" t="str">
        <f t="shared" si="11"/>
        <v>Fuerte</v>
      </c>
      <c r="AB25" s="251" t="str">
        <f t="shared" si="12"/>
        <v>No</v>
      </c>
      <c r="AC25" s="294"/>
      <c r="AD25" s="295"/>
    </row>
    <row r="26" spans="1:30" ht="156.75" x14ac:dyDescent="0.2">
      <c r="A26" s="1225"/>
      <c r="B26" s="1225"/>
      <c r="C26" s="1225"/>
      <c r="D26" s="290" t="str">
        <f>'[2]Analisis Riesgo'!K24</f>
        <v>Aplicar niveles de elaboración, revisión y aprobación de productos y servicios de la Subdirección de Demanda.</v>
      </c>
      <c r="E26" s="291" t="str">
        <f>'[2]Analisis Riesgo'!L24</f>
        <v>Este es un mecanismo establecido en el cual previa a la emisión externa de productos del proceso estos son revisados y validados por un par de la dependencia o por el Subdirector de Demanda. Pretende evitar sesgos, baja calidada y errrotes en los productos de la Subdirección de Demanda. Es aplicado cada vez que es requerido y su evidencia queda almacenada en memorandos internos, oficios y correos electrónicos.</v>
      </c>
      <c r="F26" s="292" t="s">
        <v>296</v>
      </c>
      <c r="G26" s="292" t="s">
        <v>299</v>
      </c>
      <c r="H26" s="292" t="s">
        <v>300</v>
      </c>
      <c r="I26" s="292" t="s">
        <v>301</v>
      </c>
      <c r="J26" s="292" t="s">
        <v>302</v>
      </c>
      <c r="K26" s="293" t="s">
        <v>368</v>
      </c>
      <c r="L26" s="292" t="s">
        <v>304</v>
      </c>
      <c r="M26" s="251">
        <f t="shared" si="0"/>
        <v>15</v>
      </c>
      <c r="N26" s="251">
        <f t="shared" si="1"/>
        <v>15</v>
      </c>
      <c r="O26" s="251">
        <f t="shared" si="2"/>
        <v>15</v>
      </c>
      <c r="P26" s="251">
        <f t="shared" si="3"/>
        <v>15</v>
      </c>
      <c r="Q26" s="251">
        <f t="shared" si="4"/>
        <v>15</v>
      </c>
      <c r="R26" s="251">
        <f t="shared" si="5"/>
        <v>15</v>
      </c>
      <c r="S26" s="251">
        <f t="shared" si="6"/>
        <v>10</v>
      </c>
      <c r="T26" s="251">
        <f t="shared" si="7"/>
        <v>100</v>
      </c>
      <c r="U26" s="292" t="s">
        <v>122</v>
      </c>
      <c r="V26" s="292" t="s">
        <v>263</v>
      </c>
      <c r="W26" s="251">
        <f t="shared" si="8"/>
        <v>1</v>
      </c>
      <c r="X26" s="251">
        <f t="shared" si="9"/>
        <v>0</v>
      </c>
      <c r="Y26" s="251" t="str">
        <f t="shared" si="10"/>
        <v>Fuerte</v>
      </c>
      <c r="Z26" s="292" t="s">
        <v>305</v>
      </c>
      <c r="AA26" s="251" t="str">
        <f t="shared" si="11"/>
        <v>Fuerte</v>
      </c>
      <c r="AB26" s="251" t="str">
        <f t="shared" si="12"/>
        <v>No</v>
      </c>
      <c r="AC26" s="294"/>
      <c r="AD26" s="295"/>
    </row>
    <row r="27" spans="1:30" ht="142.5" x14ac:dyDescent="0.2">
      <c r="A27" s="1225"/>
      <c r="B27" s="1225"/>
      <c r="C27" s="1225"/>
      <c r="D27" s="290" t="str">
        <f>'[2]Analisis Riesgo'!K25</f>
        <v>Participar en las actividades de promoción del código de integridad del servidor público</v>
      </c>
      <c r="E27" s="291" t="str">
        <f>'[2]Analisis Riesgo'!L25</f>
        <v>Es un mecanismos en el que la entidad promueve el código de integridad y sus herramientas entre estas la identificación y declaración de conflictosde interés. Los servidores públicos deben participar en esta actividades, las cuales tienen como propósito sensibilizar y comprometer a los servidores a que apliquen la declaración de impedimento cuando existan conflictos de interés.</v>
      </c>
      <c r="F27" s="292" t="s">
        <v>296</v>
      </c>
      <c r="G27" s="292" t="s">
        <v>299</v>
      </c>
      <c r="H27" s="292" t="s">
        <v>300</v>
      </c>
      <c r="I27" s="292" t="s">
        <v>301</v>
      </c>
      <c r="J27" s="292" t="s">
        <v>302</v>
      </c>
      <c r="K27" s="293" t="s">
        <v>368</v>
      </c>
      <c r="L27" s="292" t="s">
        <v>304</v>
      </c>
      <c r="M27" s="251">
        <f t="shared" si="0"/>
        <v>15</v>
      </c>
      <c r="N27" s="251">
        <f t="shared" si="1"/>
        <v>15</v>
      </c>
      <c r="O27" s="251">
        <f t="shared" si="2"/>
        <v>15</v>
      </c>
      <c r="P27" s="251">
        <f t="shared" si="3"/>
        <v>15</v>
      </c>
      <c r="Q27" s="251">
        <f t="shared" si="4"/>
        <v>15</v>
      </c>
      <c r="R27" s="251">
        <f t="shared" si="5"/>
        <v>15</v>
      </c>
      <c r="S27" s="251">
        <f t="shared" si="6"/>
        <v>10</v>
      </c>
      <c r="T27" s="251">
        <f t="shared" si="7"/>
        <v>100</v>
      </c>
      <c r="U27" s="292" t="s">
        <v>263</v>
      </c>
      <c r="V27" s="292" t="s">
        <v>122</v>
      </c>
      <c r="W27" s="251">
        <f t="shared" si="8"/>
        <v>0</v>
      </c>
      <c r="X27" s="251">
        <f t="shared" si="9"/>
        <v>1</v>
      </c>
      <c r="Y27" s="251" t="str">
        <f t="shared" si="10"/>
        <v>Debil</v>
      </c>
      <c r="Z27" s="292" t="s">
        <v>305</v>
      </c>
      <c r="AA27" s="251" t="str">
        <f t="shared" si="11"/>
        <v>Fuerte</v>
      </c>
      <c r="AB27" s="251" t="str">
        <f t="shared" si="12"/>
        <v>SI</v>
      </c>
      <c r="AC27" s="294"/>
      <c r="AD27" s="295"/>
    </row>
    <row r="28" spans="1:30" ht="12.75" customHeight="1" x14ac:dyDescent="0.2">
      <c r="A28" s="296"/>
      <c r="B28" s="296"/>
      <c r="C28" s="296"/>
      <c r="D28" s="297"/>
      <c r="E28" s="298"/>
      <c r="F28" s="296"/>
      <c r="G28" s="296"/>
      <c r="H28" s="296"/>
      <c r="I28" s="296"/>
      <c r="J28" s="296"/>
      <c r="K28" s="296"/>
      <c r="L28" s="296"/>
      <c r="M28" s="299"/>
      <c r="N28" s="299"/>
      <c r="O28" s="299"/>
      <c r="P28" s="299"/>
      <c r="Q28" s="299"/>
      <c r="R28" s="299"/>
      <c r="S28" s="299"/>
      <c r="T28" s="299"/>
      <c r="U28" s="299"/>
      <c r="V28" s="299"/>
      <c r="W28" s="299"/>
      <c r="X28" s="299"/>
      <c r="Y28" s="299"/>
      <c r="Z28" s="299"/>
      <c r="AA28" s="299"/>
      <c r="AB28" s="299"/>
      <c r="AC28" s="300"/>
      <c r="AD28" s="300"/>
    </row>
    <row r="29" spans="1:30" ht="12.75" customHeight="1" x14ac:dyDescent="0.2">
      <c r="A29" s="296"/>
      <c r="B29" s="296"/>
      <c r="C29" s="296"/>
      <c r="D29" s="297"/>
      <c r="E29" s="298"/>
      <c r="F29" s="296"/>
      <c r="G29" s="296"/>
      <c r="H29" s="296"/>
      <c r="I29" s="296"/>
      <c r="J29" s="296"/>
      <c r="K29" s="296"/>
      <c r="L29" s="296"/>
      <c r="M29" s="299"/>
      <c r="N29" s="299"/>
      <c r="O29" s="299"/>
      <c r="P29" s="299"/>
      <c r="Q29" s="299"/>
      <c r="R29" s="299"/>
      <c r="S29" s="299"/>
      <c r="T29" s="299"/>
      <c r="U29" s="299"/>
      <c r="V29" s="299"/>
      <c r="W29" s="299"/>
      <c r="X29" s="299"/>
      <c r="Y29" s="299"/>
      <c r="Z29" s="299"/>
      <c r="AA29" s="299"/>
      <c r="AB29" s="299"/>
      <c r="AC29" s="300"/>
      <c r="AD29" s="300"/>
    </row>
    <row r="30" spans="1:30" ht="12.75" customHeight="1" x14ac:dyDescent="0.2">
      <c r="A30" s="296"/>
      <c r="B30" s="296"/>
      <c r="C30" s="296"/>
      <c r="D30" s="297"/>
      <c r="E30" s="298"/>
      <c r="F30" s="296"/>
      <c r="G30" s="296"/>
      <c r="H30" s="296"/>
      <c r="I30" s="296"/>
      <c r="J30" s="296"/>
      <c r="K30" s="296"/>
      <c r="L30" s="296"/>
      <c r="M30" s="299"/>
      <c r="N30" s="299"/>
      <c r="O30" s="299"/>
      <c r="P30" s="299"/>
      <c r="Q30" s="299"/>
      <c r="R30" s="299"/>
      <c r="S30" s="299"/>
      <c r="T30" s="299"/>
      <c r="U30" s="299"/>
      <c r="V30" s="299"/>
      <c r="W30" s="299"/>
      <c r="X30" s="299"/>
      <c r="Y30" s="299"/>
      <c r="Z30" s="299"/>
      <c r="AA30" s="299"/>
      <c r="AB30" s="299"/>
      <c r="AC30" s="300"/>
      <c r="AD30" s="300"/>
    </row>
    <row r="31" spans="1:30" ht="12.75" customHeight="1" x14ac:dyDescent="0.2">
      <c r="A31" s="296"/>
      <c r="B31" s="296"/>
      <c r="C31" s="296"/>
      <c r="D31" s="297"/>
      <c r="E31" s="298"/>
      <c r="F31" s="296"/>
      <c r="G31" s="296"/>
      <c r="H31" s="296"/>
      <c r="I31" s="296"/>
      <c r="J31" s="296"/>
      <c r="K31" s="296"/>
      <c r="L31" s="296"/>
      <c r="M31" s="299"/>
      <c r="N31" s="299"/>
      <c r="O31" s="299"/>
      <c r="P31" s="299"/>
      <c r="Q31" s="299"/>
      <c r="R31" s="299"/>
      <c r="S31" s="299"/>
      <c r="T31" s="299"/>
      <c r="U31" s="299"/>
      <c r="V31" s="299"/>
      <c r="W31" s="299"/>
      <c r="X31" s="299"/>
      <c r="Y31" s="299"/>
      <c r="Z31" s="299"/>
      <c r="AA31" s="299"/>
      <c r="AB31" s="299"/>
      <c r="AC31" s="300"/>
      <c r="AD31" s="300"/>
    </row>
    <row r="32" spans="1:30" ht="12.75" customHeight="1" x14ac:dyDescent="0.2">
      <c r="A32" s="296"/>
      <c r="B32" s="296"/>
      <c r="C32" s="296"/>
      <c r="D32" s="297"/>
      <c r="E32" s="298"/>
      <c r="F32" s="296"/>
      <c r="G32" s="296"/>
      <c r="H32" s="296"/>
      <c r="I32" s="296"/>
      <c r="J32" s="296"/>
      <c r="K32" s="296"/>
      <c r="L32" s="296"/>
      <c r="M32" s="299"/>
      <c r="N32" s="299"/>
      <c r="O32" s="299"/>
      <c r="P32" s="299"/>
      <c r="Q32" s="299"/>
      <c r="R32" s="299"/>
      <c r="S32" s="299"/>
      <c r="T32" s="299"/>
      <c r="U32" s="299"/>
      <c r="V32" s="299"/>
      <c r="W32" s="299"/>
      <c r="X32" s="299"/>
      <c r="Y32" s="299"/>
      <c r="Z32" s="299"/>
      <c r="AA32" s="299"/>
      <c r="AB32" s="299"/>
      <c r="AC32" s="300"/>
      <c r="AD32" s="300"/>
    </row>
    <row r="33" spans="1:30" ht="12.75" customHeight="1" x14ac:dyDescent="0.2">
      <c r="A33" s="296"/>
      <c r="B33" s="296"/>
      <c r="C33" s="296"/>
      <c r="D33" s="297"/>
      <c r="E33" s="298"/>
      <c r="F33" s="296"/>
      <c r="G33" s="296"/>
      <c r="H33" s="296"/>
      <c r="I33" s="296"/>
      <c r="J33" s="296"/>
      <c r="K33" s="296"/>
      <c r="L33" s="296"/>
      <c r="M33" s="299"/>
      <c r="N33" s="299"/>
      <c r="O33" s="299"/>
      <c r="P33" s="299"/>
      <c r="Q33" s="299"/>
      <c r="R33" s="299"/>
      <c r="S33" s="299"/>
      <c r="T33" s="299"/>
      <c r="U33" s="299"/>
      <c r="V33" s="299"/>
      <c r="W33" s="299"/>
      <c r="X33" s="299"/>
      <c r="Y33" s="299"/>
      <c r="Z33" s="299"/>
      <c r="AA33" s="299"/>
      <c r="AB33" s="299"/>
      <c r="AC33" s="300"/>
      <c r="AD33" s="300"/>
    </row>
    <row r="34" spans="1:30" ht="12.75" customHeight="1" x14ac:dyDescent="0.2">
      <c r="A34" s="296"/>
      <c r="B34" s="296"/>
      <c r="C34" s="296"/>
      <c r="D34" s="297"/>
      <c r="E34" s="298"/>
      <c r="F34" s="296"/>
      <c r="G34" s="296"/>
      <c r="H34" s="296"/>
      <c r="I34" s="296"/>
      <c r="J34" s="296"/>
      <c r="K34" s="296"/>
      <c r="L34" s="296"/>
      <c r="M34" s="299"/>
      <c r="N34" s="299"/>
      <c r="O34" s="299"/>
      <c r="P34" s="299"/>
      <c r="Q34" s="299"/>
      <c r="R34" s="299"/>
      <c r="S34" s="299"/>
      <c r="T34" s="299"/>
      <c r="U34" s="299"/>
      <c r="V34" s="299"/>
      <c r="W34" s="299"/>
      <c r="X34" s="299"/>
      <c r="Y34" s="299"/>
      <c r="Z34" s="299"/>
      <c r="AA34" s="299"/>
      <c r="AB34" s="299"/>
      <c r="AC34" s="300"/>
      <c r="AD34" s="300"/>
    </row>
    <row r="35" spans="1:30" ht="12.75" customHeight="1" x14ac:dyDescent="0.2">
      <c r="A35" s="296"/>
      <c r="B35" s="296"/>
      <c r="C35" s="296"/>
      <c r="D35" s="297"/>
      <c r="E35" s="298"/>
      <c r="F35" s="296"/>
      <c r="G35" s="296"/>
      <c r="H35" s="296"/>
      <c r="I35" s="296"/>
      <c r="J35" s="296"/>
      <c r="K35" s="296"/>
      <c r="L35" s="296"/>
      <c r="M35" s="299"/>
      <c r="N35" s="299"/>
      <c r="O35" s="299"/>
      <c r="P35" s="299"/>
      <c r="Q35" s="299"/>
      <c r="R35" s="299"/>
      <c r="S35" s="299"/>
      <c r="T35" s="299"/>
      <c r="U35" s="299"/>
      <c r="V35" s="299"/>
      <c r="W35" s="299"/>
      <c r="X35" s="299"/>
      <c r="Y35" s="299"/>
      <c r="Z35" s="299"/>
      <c r="AA35" s="299"/>
      <c r="AB35" s="299"/>
      <c r="AC35" s="300"/>
      <c r="AD35" s="300"/>
    </row>
    <row r="36" spans="1:30" ht="12.75" customHeight="1" x14ac:dyDescent="0.2">
      <c r="A36" s="296"/>
      <c r="B36" s="296"/>
      <c r="C36" s="296"/>
      <c r="D36" s="297"/>
      <c r="E36" s="298"/>
      <c r="F36" s="296"/>
      <c r="G36" s="296"/>
      <c r="H36" s="296"/>
      <c r="I36" s="296"/>
      <c r="J36" s="296"/>
      <c r="K36" s="296"/>
      <c r="L36" s="296"/>
      <c r="M36" s="299"/>
      <c r="N36" s="299"/>
      <c r="O36" s="299"/>
      <c r="P36" s="299"/>
      <c r="Q36" s="299"/>
      <c r="R36" s="299"/>
      <c r="S36" s="299"/>
      <c r="T36" s="299"/>
      <c r="U36" s="299"/>
      <c r="V36" s="299"/>
      <c r="W36" s="299"/>
      <c r="X36" s="299"/>
      <c r="Y36" s="299"/>
      <c r="Z36" s="299"/>
      <c r="AA36" s="299"/>
      <c r="AB36" s="299"/>
      <c r="AC36" s="300"/>
      <c r="AD36" s="300"/>
    </row>
    <row r="37" spans="1:30" ht="12.75" customHeight="1" x14ac:dyDescent="0.2">
      <c r="A37" s="296"/>
      <c r="B37" s="296"/>
      <c r="C37" s="296"/>
      <c r="D37" s="297"/>
      <c r="E37" s="298"/>
      <c r="F37" s="296"/>
      <c r="G37" s="296"/>
      <c r="H37" s="296"/>
      <c r="I37" s="296"/>
      <c r="J37" s="296"/>
      <c r="K37" s="296"/>
      <c r="L37" s="296"/>
      <c r="M37" s="299"/>
      <c r="N37" s="299"/>
      <c r="O37" s="299"/>
      <c r="P37" s="299"/>
      <c r="Q37" s="299"/>
      <c r="R37" s="299"/>
      <c r="S37" s="299"/>
      <c r="T37" s="299"/>
      <c r="U37" s="299"/>
      <c r="V37" s="299"/>
      <c r="W37" s="299"/>
      <c r="X37" s="299"/>
      <c r="Y37" s="299"/>
      <c r="Z37" s="299"/>
      <c r="AA37" s="299"/>
      <c r="AB37" s="299"/>
      <c r="AC37" s="300"/>
      <c r="AD37" s="300"/>
    </row>
    <row r="38" spans="1:30" ht="12.75" customHeight="1" x14ac:dyDescent="0.2">
      <c r="A38" s="296"/>
      <c r="B38" s="296"/>
      <c r="C38" s="296"/>
      <c r="D38" s="297"/>
      <c r="E38" s="298"/>
      <c r="F38" s="296"/>
      <c r="G38" s="296"/>
      <c r="H38" s="296"/>
      <c r="I38" s="296"/>
      <c r="J38" s="296"/>
      <c r="K38" s="296"/>
      <c r="L38" s="296"/>
      <c r="M38" s="299"/>
      <c r="N38" s="299"/>
      <c r="O38" s="299"/>
      <c r="P38" s="299"/>
      <c r="Q38" s="299"/>
      <c r="R38" s="299"/>
      <c r="S38" s="299"/>
      <c r="T38" s="299"/>
      <c r="U38" s="299"/>
      <c r="V38" s="299"/>
      <c r="W38" s="299"/>
      <c r="X38" s="299"/>
      <c r="Y38" s="299"/>
      <c r="Z38" s="299"/>
      <c r="AA38" s="299"/>
      <c r="AB38" s="299"/>
      <c r="AC38" s="300"/>
      <c r="AD38" s="300"/>
    </row>
    <row r="39" spans="1:30" ht="12.75" customHeight="1" x14ac:dyDescent="0.2">
      <c r="A39" s="296"/>
      <c r="B39" s="296"/>
      <c r="C39" s="296"/>
      <c r="D39" s="297"/>
      <c r="E39" s="298"/>
      <c r="F39" s="296"/>
      <c r="G39" s="296"/>
      <c r="H39" s="296"/>
      <c r="I39" s="296"/>
      <c r="J39" s="296"/>
      <c r="K39" s="296"/>
      <c r="L39" s="296"/>
      <c r="M39" s="299"/>
      <c r="N39" s="299"/>
      <c r="O39" s="299"/>
      <c r="P39" s="299"/>
      <c r="Q39" s="299"/>
      <c r="R39" s="299"/>
      <c r="S39" s="299"/>
      <c r="T39" s="299"/>
      <c r="U39" s="299"/>
      <c r="V39" s="299"/>
      <c r="W39" s="299"/>
      <c r="X39" s="299"/>
      <c r="Y39" s="299"/>
      <c r="Z39" s="299"/>
      <c r="AA39" s="299"/>
      <c r="AB39" s="299"/>
      <c r="AC39" s="300"/>
      <c r="AD39" s="300"/>
    </row>
    <row r="40" spans="1:30" ht="12.75" customHeight="1" x14ac:dyDescent="0.2">
      <c r="A40" s="296"/>
      <c r="B40" s="296"/>
      <c r="C40" s="296"/>
      <c r="D40" s="297"/>
      <c r="E40" s="298"/>
      <c r="F40" s="296"/>
      <c r="G40" s="296"/>
      <c r="H40" s="296"/>
      <c r="I40" s="296"/>
      <c r="J40" s="296"/>
      <c r="K40" s="296"/>
      <c r="L40" s="296"/>
      <c r="M40" s="299"/>
      <c r="N40" s="299"/>
      <c r="O40" s="299"/>
      <c r="P40" s="299"/>
      <c r="Q40" s="299"/>
      <c r="R40" s="299"/>
      <c r="S40" s="299"/>
      <c r="T40" s="299"/>
      <c r="U40" s="299"/>
      <c r="V40" s="299"/>
      <c r="W40" s="299"/>
      <c r="X40" s="299"/>
      <c r="Y40" s="299"/>
      <c r="Z40" s="299"/>
      <c r="AA40" s="299"/>
      <c r="AB40" s="299"/>
      <c r="AC40" s="300"/>
      <c r="AD40" s="300"/>
    </row>
    <row r="41" spans="1:30" ht="12.75" customHeight="1" x14ac:dyDescent="0.2">
      <c r="A41" s="296"/>
      <c r="B41" s="296"/>
      <c r="C41" s="296"/>
      <c r="D41" s="297"/>
      <c r="E41" s="298"/>
      <c r="F41" s="296"/>
      <c r="G41" s="296"/>
      <c r="H41" s="296"/>
      <c r="I41" s="296"/>
      <c r="J41" s="296"/>
      <c r="K41" s="296"/>
      <c r="L41" s="296"/>
      <c r="M41" s="299"/>
      <c r="N41" s="299"/>
      <c r="O41" s="299"/>
      <c r="P41" s="299"/>
      <c r="Q41" s="299"/>
      <c r="R41" s="299"/>
      <c r="S41" s="299"/>
      <c r="T41" s="299"/>
      <c r="U41" s="299"/>
      <c r="V41" s="299"/>
      <c r="W41" s="299"/>
      <c r="X41" s="299"/>
      <c r="Y41" s="299"/>
      <c r="Z41" s="299"/>
      <c r="AA41" s="299"/>
      <c r="AB41" s="299"/>
      <c r="AC41" s="300"/>
      <c r="AD41" s="300"/>
    </row>
    <row r="42" spans="1:30" ht="12.75" customHeight="1" x14ac:dyDescent="0.2">
      <c r="A42" s="296"/>
      <c r="B42" s="296"/>
      <c r="C42" s="296"/>
      <c r="D42" s="297"/>
      <c r="E42" s="298"/>
      <c r="F42" s="296"/>
      <c r="G42" s="296"/>
      <c r="H42" s="296"/>
      <c r="I42" s="296"/>
      <c r="J42" s="296"/>
      <c r="K42" s="296"/>
      <c r="L42" s="296"/>
      <c r="M42" s="299"/>
      <c r="N42" s="299"/>
      <c r="O42" s="299"/>
      <c r="P42" s="299"/>
      <c r="Q42" s="299"/>
      <c r="R42" s="299"/>
      <c r="S42" s="299"/>
      <c r="T42" s="299"/>
      <c r="U42" s="299"/>
      <c r="V42" s="299"/>
      <c r="W42" s="299"/>
      <c r="X42" s="299"/>
      <c r="Y42" s="299"/>
      <c r="Z42" s="299"/>
      <c r="AA42" s="299"/>
      <c r="AB42" s="299"/>
      <c r="AC42" s="300"/>
      <c r="AD42" s="300"/>
    </row>
    <row r="43" spans="1:30" ht="12.75" customHeight="1" x14ac:dyDescent="0.2">
      <c r="A43" s="296"/>
      <c r="B43" s="296"/>
      <c r="C43" s="296"/>
      <c r="D43" s="297"/>
      <c r="E43" s="298"/>
      <c r="F43" s="296"/>
      <c r="G43" s="296"/>
      <c r="H43" s="296"/>
      <c r="I43" s="296"/>
      <c r="J43" s="296"/>
      <c r="K43" s="296"/>
      <c r="L43" s="296"/>
      <c r="M43" s="299"/>
      <c r="N43" s="299"/>
      <c r="O43" s="299"/>
      <c r="P43" s="299"/>
      <c r="Q43" s="299"/>
      <c r="R43" s="299"/>
      <c r="S43" s="299"/>
      <c r="T43" s="299"/>
      <c r="U43" s="299"/>
      <c r="V43" s="299"/>
      <c r="W43" s="299"/>
      <c r="X43" s="299"/>
      <c r="Y43" s="299"/>
      <c r="Z43" s="299"/>
      <c r="AA43" s="299"/>
      <c r="AB43" s="299"/>
      <c r="AC43" s="300"/>
      <c r="AD43" s="300"/>
    </row>
    <row r="44" spans="1:30" ht="12.75" customHeight="1" x14ac:dyDescent="0.2">
      <c r="A44" s="296"/>
      <c r="B44" s="296"/>
      <c r="C44" s="296"/>
      <c r="D44" s="297"/>
      <c r="E44" s="298"/>
      <c r="F44" s="296"/>
      <c r="G44" s="296"/>
      <c r="H44" s="296"/>
      <c r="I44" s="296"/>
      <c r="J44" s="296"/>
      <c r="K44" s="296"/>
      <c r="L44" s="296"/>
      <c r="M44" s="299"/>
      <c r="N44" s="299"/>
      <c r="O44" s="299"/>
      <c r="P44" s="299"/>
      <c r="Q44" s="299"/>
      <c r="R44" s="299"/>
      <c r="S44" s="299"/>
      <c r="T44" s="299"/>
      <c r="U44" s="299"/>
      <c r="V44" s="299"/>
      <c r="W44" s="299"/>
      <c r="X44" s="299"/>
      <c r="Y44" s="299"/>
      <c r="Z44" s="299"/>
      <c r="AA44" s="299"/>
      <c r="AB44" s="299"/>
      <c r="AC44" s="300"/>
      <c r="AD44" s="300"/>
    </row>
    <row r="45" spans="1:30" ht="12.75" customHeight="1" x14ac:dyDescent="0.2">
      <c r="A45" s="296"/>
      <c r="B45" s="296"/>
      <c r="C45" s="296"/>
      <c r="D45" s="297"/>
      <c r="E45" s="298"/>
      <c r="F45" s="296"/>
      <c r="G45" s="296"/>
      <c r="H45" s="296"/>
      <c r="I45" s="296"/>
      <c r="J45" s="296"/>
      <c r="K45" s="296"/>
      <c r="L45" s="296"/>
      <c r="M45" s="299"/>
      <c r="N45" s="299"/>
      <c r="O45" s="299"/>
      <c r="P45" s="299"/>
      <c r="Q45" s="299"/>
      <c r="R45" s="299"/>
      <c r="S45" s="299"/>
      <c r="T45" s="299"/>
      <c r="U45" s="299"/>
      <c r="V45" s="299"/>
      <c r="W45" s="299"/>
      <c r="X45" s="299"/>
      <c r="Y45" s="299"/>
      <c r="Z45" s="299"/>
      <c r="AA45" s="299"/>
      <c r="AB45" s="299"/>
      <c r="AC45" s="300"/>
      <c r="AD45" s="300"/>
    </row>
    <row r="46" spans="1:30" ht="12.75" customHeight="1" x14ac:dyDescent="0.2">
      <c r="A46" s="296"/>
      <c r="B46" s="296"/>
      <c r="C46" s="296"/>
      <c r="D46" s="297"/>
      <c r="E46" s="298"/>
      <c r="F46" s="296"/>
      <c r="G46" s="296"/>
      <c r="H46" s="296"/>
      <c r="I46" s="296"/>
      <c r="J46" s="296"/>
      <c r="K46" s="296"/>
      <c r="L46" s="296"/>
      <c r="M46" s="299"/>
      <c r="N46" s="299"/>
      <c r="O46" s="299"/>
      <c r="P46" s="299"/>
      <c r="Q46" s="299"/>
      <c r="R46" s="299"/>
      <c r="S46" s="299"/>
      <c r="T46" s="299"/>
      <c r="U46" s="299"/>
      <c r="V46" s="299"/>
      <c r="W46" s="299"/>
      <c r="X46" s="299"/>
      <c r="Y46" s="299"/>
      <c r="Z46" s="299"/>
      <c r="AA46" s="299"/>
      <c r="AB46" s="299"/>
      <c r="AC46" s="300"/>
      <c r="AD46" s="300"/>
    </row>
    <row r="47" spans="1:30" ht="12.75" customHeight="1" x14ac:dyDescent="0.2">
      <c r="A47" s="296"/>
      <c r="B47" s="296"/>
      <c r="C47" s="296"/>
      <c r="D47" s="297"/>
      <c r="E47" s="298"/>
      <c r="F47" s="296"/>
      <c r="G47" s="296"/>
      <c r="H47" s="296"/>
      <c r="I47" s="296"/>
      <c r="J47" s="296"/>
      <c r="K47" s="296"/>
      <c r="L47" s="296"/>
      <c r="M47" s="299"/>
      <c r="N47" s="299"/>
      <c r="O47" s="299"/>
      <c r="P47" s="299"/>
      <c r="Q47" s="299"/>
      <c r="R47" s="299"/>
      <c r="S47" s="299"/>
      <c r="T47" s="299"/>
      <c r="U47" s="299"/>
      <c r="V47" s="299"/>
      <c r="W47" s="299"/>
      <c r="X47" s="299"/>
      <c r="Y47" s="299"/>
      <c r="Z47" s="299"/>
      <c r="AA47" s="299"/>
      <c r="AB47" s="299"/>
      <c r="AC47" s="300"/>
      <c r="AD47" s="300"/>
    </row>
    <row r="48" spans="1:30" ht="12.75" customHeight="1" x14ac:dyDescent="0.2">
      <c r="A48" s="296"/>
      <c r="B48" s="296"/>
      <c r="C48" s="296"/>
      <c r="D48" s="297"/>
      <c r="E48" s="298"/>
      <c r="F48" s="296"/>
      <c r="G48" s="296"/>
      <c r="H48" s="296"/>
      <c r="I48" s="296"/>
      <c r="J48" s="296"/>
      <c r="K48" s="296"/>
      <c r="L48" s="296"/>
      <c r="M48" s="299"/>
      <c r="N48" s="299"/>
      <c r="O48" s="299"/>
      <c r="P48" s="299"/>
      <c r="Q48" s="299"/>
      <c r="R48" s="299"/>
      <c r="S48" s="299"/>
      <c r="T48" s="299"/>
      <c r="U48" s="299"/>
      <c r="V48" s="299"/>
      <c r="W48" s="299"/>
      <c r="X48" s="299"/>
      <c r="Y48" s="299"/>
      <c r="Z48" s="299"/>
      <c r="AA48" s="299"/>
      <c r="AB48" s="299"/>
      <c r="AC48" s="300"/>
      <c r="AD48" s="300"/>
    </row>
    <row r="49" spans="1:30" ht="12.75" customHeight="1" x14ac:dyDescent="0.2">
      <c r="A49" s="296"/>
      <c r="B49" s="296"/>
      <c r="C49" s="296"/>
      <c r="D49" s="297"/>
      <c r="E49" s="298"/>
      <c r="F49" s="296"/>
      <c r="G49" s="296"/>
      <c r="H49" s="296"/>
      <c r="I49" s="296"/>
      <c r="J49" s="296"/>
      <c r="K49" s="296"/>
      <c r="L49" s="296"/>
      <c r="M49" s="299"/>
      <c r="N49" s="299"/>
      <c r="O49" s="299"/>
      <c r="P49" s="299"/>
      <c r="Q49" s="299"/>
      <c r="R49" s="299"/>
      <c r="S49" s="299"/>
      <c r="T49" s="299"/>
      <c r="U49" s="299"/>
      <c r="V49" s="299"/>
      <c r="W49" s="299"/>
      <c r="X49" s="299"/>
      <c r="Y49" s="299"/>
      <c r="Z49" s="299"/>
      <c r="AA49" s="299"/>
      <c r="AB49" s="299"/>
      <c r="AC49" s="300"/>
      <c r="AD49" s="300"/>
    </row>
    <row r="50" spans="1:30" ht="12.75" customHeight="1" x14ac:dyDescent="0.2">
      <c r="A50" s="296"/>
      <c r="B50" s="296"/>
      <c r="C50" s="296"/>
      <c r="D50" s="297"/>
      <c r="E50" s="298"/>
      <c r="F50" s="296"/>
      <c r="G50" s="296"/>
      <c r="H50" s="296"/>
      <c r="I50" s="296"/>
      <c r="J50" s="296"/>
      <c r="K50" s="296"/>
      <c r="L50" s="296"/>
      <c r="M50" s="299"/>
      <c r="N50" s="299"/>
      <c r="O50" s="299"/>
      <c r="P50" s="299"/>
      <c r="Q50" s="299"/>
      <c r="R50" s="299"/>
      <c r="S50" s="299"/>
      <c r="T50" s="299"/>
      <c r="U50" s="299"/>
      <c r="V50" s="299"/>
      <c r="W50" s="299"/>
      <c r="X50" s="299"/>
      <c r="Y50" s="299"/>
      <c r="Z50" s="299"/>
      <c r="AA50" s="299"/>
      <c r="AB50" s="299"/>
      <c r="AC50" s="300"/>
      <c r="AD50" s="300"/>
    </row>
    <row r="51" spans="1:30" ht="12.75" customHeight="1" x14ac:dyDescent="0.2">
      <c r="A51" s="296"/>
      <c r="B51" s="296"/>
      <c r="C51" s="296"/>
      <c r="D51" s="297"/>
      <c r="E51" s="298"/>
      <c r="F51" s="296"/>
      <c r="G51" s="296"/>
      <c r="H51" s="296"/>
      <c r="I51" s="296"/>
      <c r="J51" s="296"/>
      <c r="K51" s="296"/>
      <c r="L51" s="296"/>
      <c r="M51" s="299"/>
      <c r="N51" s="299"/>
      <c r="O51" s="299"/>
      <c r="P51" s="299"/>
      <c r="Q51" s="299"/>
      <c r="R51" s="299"/>
      <c r="S51" s="299"/>
      <c r="T51" s="299"/>
      <c r="U51" s="299"/>
      <c r="V51" s="299"/>
      <c r="W51" s="299"/>
      <c r="X51" s="299"/>
      <c r="Y51" s="299"/>
      <c r="Z51" s="299"/>
      <c r="AA51" s="299"/>
      <c r="AB51" s="299"/>
      <c r="AC51" s="300"/>
      <c r="AD51" s="300"/>
    </row>
    <row r="52" spans="1:30" ht="12.75" customHeight="1" x14ac:dyDescent="0.2">
      <c r="A52" s="296"/>
      <c r="B52" s="296"/>
      <c r="C52" s="296"/>
      <c r="D52" s="297"/>
      <c r="E52" s="298"/>
      <c r="F52" s="296"/>
      <c r="G52" s="296"/>
      <c r="H52" s="296"/>
      <c r="I52" s="296"/>
      <c r="J52" s="296"/>
      <c r="K52" s="296"/>
      <c r="L52" s="296"/>
      <c r="M52" s="299"/>
      <c r="N52" s="299"/>
      <c r="O52" s="299"/>
      <c r="P52" s="299"/>
      <c r="Q52" s="299"/>
      <c r="R52" s="299"/>
      <c r="S52" s="299"/>
      <c r="T52" s="299"/>
      <c r="U52" s="299"/>
      <c r="V52" s="299"/>
      <c r="W52" s="299"/>
      <c r="X52" s="299"/>
      <c r="Y52" s="299"/>
      <c r="Z52" s="299"/>
      <c r="AA52" s="299"/>
      <c r="AB52" s="299"/>
      <c r="AC52" s="300"/>
      <c r="AD52" s="300"/>
    </row>
    <row r="53" spans="1:30" ht="12.75" customHeight="1" x14ac:dyDescent="0.2">
      <c r="A53" s="296"/>
      <c r="B53" s="296"/>
      <c r="C53" s="296"/>
      <c r="D53" s="297"/>
      <c r="E53" s="298"/>
      <c r="F53" s="296"/>
      <c r="G53" s="296"/>
      <c r="H53" s="296"/>
      <c r="I53" s="296"/>
      <c r="J53" s="296"/>
      <c r="K53" s="296"/>
      <c r="L53" s="296"/>
      <c r="M53" s="299"/>
      <c r="N53" s="299"/>
      <c r="O53" s="299"/>
      <c r="P53" s="299"/>
      <c r="Q53" s="299"/>
      <c r="R53" s="299"/>
      <c r="S53" s="299"/>
      <c r="T53" s="299"/>
      <c r="U53" s="299"/>
      <c r="V53" s="299"/>
      <c r="W53" s="299"/>
      <c r="X53" s="299"/>
      <c r="Y53" s="299"/>
      <c r="Z53" s="299"/>
      <c r="AA53" s="299"/>
      <c r="AB53" s="299"/>
      <c r="AC53" s="300"/>
      <c r="AD53" s="300"/>
    </row>
    <row r="54" spans="1:30" ht="12.75" customHeight="1" x14ac:dyDescent="0.2">
      <c r="A54" s="296"/>
      <c r="B54" s="296"/>
      <c r="C54" s="296"/>
      <c r="D54" s="297"/>
      <c r="E54" s="298"/>
      <c r="F54" s="296"/>
      <c r="G54" s="296"/>
      <c r="H54" s="296"/>
      <c r="I54" s="296"/>
      <c r="J54" s="296"/>
      <c r="K54" s="296"/>
      <c r="L54" s="296"/>
      <c r="M54" s="299"/>
      <c r="N54" s="299"/>
      <c r="O54" s="299"/>
      <c r="P54" s="299"/>
      <c r="Q54" s="299"/>
      <c r="R54" s="299"/>
      <c r="S54" s="299"/>
      <c r="T54" s="299"/>
      <c r="U54" s="299"/>
      <c r="V54" s="299"/>
      <c r="W54" s="299"/>
      <c r="X54" s="299"/>
      <c r="Y54" s="299"/>
      <c r="Z54" s="299"/>
      <c r="AA54" s="299"/>
      <c r="AB54" s="299"/>
      <c r="AC54" s="300"/>
      <c r="AD54" s="300"/>
    </row>
    <row r="55" spans="1:30" ht="12.75" customHeight="1" x14ac:dyDescent="0.2">
      <c r="A55" s="296"/>
      <c r="B55" s="296"/>
      <c r="C55" s="296"/>
      <c r="D55" s="297"/>
      <c r="E55" s="298"/>
      <c r="F55" s="296"/>
      <c r="G55" s="296"/>
      <c r="H55" s="296"/>
      <c r="I55" s="296"/>
      <c r="J55" s="296"/>
      <c r="K55" s="296"/>
      <c r="L55" s="296"/>
      <c r="M55" s="299"/>
      <c r="N55" s="299"/>
      <c r="O55" s="299"/>
      <c r="P55" s="299"/>
      <c r="Q55" s="299"/>
      <c r="R55" s="299"/>
      <c r="S55" s="299"/>
      <c r="T55" s="299"/>
      <c r="U55" s="299"/>
      <c r="V55" s="299"/>
      <c r="W55" s="299"/>
      <c r="X55" s="299"/>
      <c r="Y55" s="299"/>
      <c r="Z55" s="299"/>
      <c r="AA55" s="299"/>
      <c r="AB55" s="299"/>
      <c r="AC55" s="300"/>
      <c r="AD55" s="300"/>
    </row>
    <row r="56" spans="1:30" ht="12.75" customHeight="1" x14ac:dyDescent="0.2">
      <c r="A56" s="296"/>
      <c r="B56" s="296"/>
      <c r="C56" s="296"/>
      <c r="D56" s="297"/>
      <c r="E56" s="298"/>
      <c r="F56" s="296"/>
      <c r="G56" s="296"/>
      <c r="H56" s="296"/>
      <c r="I56" s="296"/>
      <c r="J56" s="296"/>
      <c r="K56" s="296"/>
      <c r="L56" s="296"/>
      <c r="M56" s="299"/>
      <c r="N56" s="299"/>
      <c r="O56" s="299"/>
      <c r="P56" s="299"/>
      <c r="Q56" s="299"/>
      <c r="R56" s="299"/>
      <c r="S56" s="299"/>
      <c r="T56" s="299"/>
      <c r="U56" s="299"/>
      <c r="V56" s="299"/>
      <c r="W56" s="299"/>
      <c r="X56" s="299"/>
      <c r="Y56" s="299"/>
      <c r="Z56" s="299"/>
      <c r="AA56" s="299"/>
      <c r="AB56" s="299"/>
      <c r="AC56" s="300"/>
      <c r="AD56" s="300"/>
    </row>
    <row r="57" spans="1:30" ht="12.75" customHeight="1" x14ac:dyDescent="0.2">
      <c r="A57" s="296"/>
      <c r="B57" s="296"/>
      <c r="C57" s="296"/>
      <c r="D57" s="297"/>
      <c r="E57" s="298"/>
      <c r="F57" s="296"/>
      <c r="G57" s="296"/>
      <c r="H57" s="296"/>
      <c r="I57" s="296"/>
      <c r="J57" s="296"/>
      <c r="K57" s="296"/>
      <c r="L57" s="296"/>
      <c r="M57" s="299"/>
      <c r="N57" s="299"/>
      <c r="O57" s="299"/>
      <c r="P57" s="299"/>
      <c r="Q57" s="299"/>
      <c r="R57" s="299"/>
      <c r="S57" s="299"/>
      <c r="T57" s="299"/>
      <c r="U57" s="299"/>
      <c r="V57" s="299"/>
      <c r="W57" s="299"/>
      <c r="X57" s="299"/>
      <c r="Y57" s="299"/>
      <c r="Z57" s="299"/>
      <c r="AA57" s="299"/>
      <c r="AB57" s="299"/>
      <c r="AC57" s="300"/>
      <c r="AD57" s="300"/>
    </row>
    <row r="58" spans="1:30" ht="12.75" customHeight="1" x14ac:dyDescent="0.2">
      <c r="A58" s="296"/>
      <c r="B58" s="296"/>
      <c r="C58" s="296"/>
      <c r="D58" s="297"/>
      <c r="E58" s="298"/>
      <c r="F58" s="296"/>
      <c r="G58" s="296"/>
      <c r="H58" s="296"/>
      <c r="I58" s="296"/>
      <c r="J58" s="296"/>
      <c r="K58" s="296"/>
      <c r="L58" s="296"/>
      <c r="M58" s="299"/>
      <c r="N58" s="299"/>
      <c r="O58" s="299"/>
      <c r="P58" s="299"/>
      <c r="Q58" s="299"/>
      <c r="R58" s="299"/>
      <c r="S58" s="299"/>
      <c r="T58" s="299"/>
      <c r="U58" s="299"/>
      <c r="V58" s="299"/>
      <c r="W58" s="299"/>
      <c r="X58" s="299"/>
      <c r="Y58" s="299"/>
      <c r="Z58" s="299"/>
      <c r="AA58" s="299"/>
      <c r="AB58" s="299"/>
      <c r="AC58" s="300"/>
      <c r="AD58" s="300"/>
    </row>
    <row r="59" spans="1:30" ht="12.75" customHeight="1" x14ac:dyDescent="0.2">
      <c r="A59" s="296"/>
      <c r="B59" s="296"/>
      <c r="C59" s="296"/>
      <c r="D59" s="297"/>
      <c r="E59" s="298"/>
      <c r="F59" s="296"/>
      <c r="G59" s="296"/>
      <c r="H59" s="296"/>
      <c r="I59" s="296"/>
      <c r="J59" s="296"/>
      <c r="K59" s="296"/>
      <c r="L59" s="296"/>
      <c r="M59" s="299"/>
      <c r="N59" s="299"/>
      <c r="O59" s="299"/>
      <c r="P59" s="299"/>
      <c r="Q59" s="299"/>
      <c r="R59" s="299"/>
      <c r="S59" s="299"/>
      <c r="T59" s="299"/>
      <c r="U59" s="299"/>
      <c r="V59" s="299"/>
      <c r="W59" s="299"/>
      <c r="X59" s="299"/>
      <c r="Y59" s="299"/>
      <c r="Z59" s="299"/>
      <c r="AA59" s="299"/>
      <c r="AB59" s="299"/>
      <c r="AC59" s="300"/>
      <c r="AD59" s="300"/>
    </row>
    <row r="60" spans="1:30" ht="12.75" customHeight="1" x14ac:dyDescent="0.2">
      <c r="A60" s="296"/>
      <c r="B60" s="296"/>
      <c r="C60" s="296"/>
      <c r="D60" s="297"/>
      <c r="E60" s="298"/>
      <c r="F60" s="296"/>
      <c r="G60" s="296"/>
      <c r="H60" s="296"/>
      <c r="I60" s="296"/>
      <c r="J60" s="296"/>
      <c r="K60" s="296"/>
      <c r="L60" s="296"/>
      <c r="M60" s="299"/>
      <c r="N60" s="299"/>
      <c r="O60" s="299"/>
      <c r="P60" s="299"/>
      <c r="Q60" s="299"/>
      <c r="R60" s="299"/>
      <c r="S60" s="299"/>
      <c r="T60" s="299"/>
      <c r="U60" s="299"/>
      <c r="V60" s="299"/>
      <c r="W60" s="299"/>
      <c r="X60" s="299"/>
      <c r="Y60" s="299"/>
      <c r="Z60" s="299"/>
      <c r="AA60" s="299"/>
      <c r="AB60" s="299"/>
      <c r="AC60" s="300"/>
      <c r="AD60" s="300"/>
    </row>
    <row r="61" spans="1:30" ht="12.75" customHeight="1" x14ac:dyDescent="0.2">
      <c r="A61" s="296"/>
      <c r="B61" s="296"/>
      <c r="C61" s="296"/>
      <c r="D61" s="297"/>
      <c r="E61" s="298"/>
      <c r="F61" s="296"/>
      <c r="G61" s="296"/>
      <c r="H61" s="296"/>
      <c r="I61" s="296"/>
      <c r="J61" s="296"/>
      <c r="K61" s="296"/>
      <c r="L61" s="296"/>
      <c r="M61" s="299"/>
      <c r="N61" s="299"/>
      <c r="O61" s="299"/>
      <c r="P61" s="299"/>
      <c r="Q61" s="299"/>
      <c r="R61" s="299"/>
      <c r="S61" s="299"/>
      <c r="T61" s="299"/>
      <c r="U61" s="299"/>
      <c r="V61" s="299"/>
      <c r="W61" s="299"/>
      <c r="X61" s="299"/>
      <c r="Y61" s="299"/>
      <c r="Z61" s="299"/>
      <c r="AA61" s="299"/>
      <c r="AB61" s="299"/>
      <c r="AC61" s="300"/>
      <c r="AD61" s="300"/>
    </row>
    <row r="62" spans="1:30" ht="12.75" customHeight="1" x14ac:dyDescent="0.2">
      <c r="A62" s="296"/>
      <c r="B62" s="296"/>
      <c r="C62" s="296"/>
      <c r="D62" s="297"/>
      <c r="E62" s="298"/>
      <c r="F62" s="296"/>
      <c r="G62" s="296"/>
      <c r="H62" s="296"/>
      <c r="I62" s="296"/>
      <c r="J62" s="296"/>
      <c r="K62" s="296"/>
      <c r="L62" s="296"/>
      <c r="M62" s="299"/>
      <c r="N62" s="299"/>
      <c r="O62" s="299"/>
      <c r="P62" s="299"/>
      <c r="Q62" s="299"/>
      <c r="R62" s="299"/>
      <c r="S62" s="299"/>
      <c r="T62" s="299"/>
      <c r="U62" s="299"/>
      <c r="V62" s="299"/>
      <c r="W62" s="299"/>
      <c r="X62" s="299"/>
      <c r="Y62" s="299"/>
      <c r="Z62" s="299"/>
      <c r="AA62" s="299"/>
      <c r="AB62" s="299"/>
      <c r="AC62" s="300"/>
      <c r="AD62" s="300"/>
    </row>
    <row r="63" spans="1:30" ht="12.75" customHeight="1" x14ac:dyDescent="0.2">
      <c r="A63" s="296"/>
      <c r="B63" s="296"/>
      <c r="C63" s="296"/>
      <c r="D63" s="297"/>
      <c r="E63" s="298"/>
      <c r="F63" s="296"/>
      <c r="G63" s="296"/>
      <c r="H63" s="296"/>
      <c r="I63" s="296"/>
      <c r="J63" s="296"/>
      <c r="K63" s="296"/>
      <c r="L63" s="296"/>
      <c r="M63" s="299"/>
      <c r="N63" s="299"/>
      <c r="O63" s="299"/>
      <c r="P63" s="299"/>
      <c r="Q63" s="299"/>
      <c r="R63" s="299"/>
      <c r="S63" s="299"/>
      <c r="T63" s="299"/>
      <c r="U63" s="299"/>
      <c r="V63" s="299"/>
      <c r="W63" s="299"/>
      <c r="X63" s="299"/>
      <c r="Y63" s="299"/>
      <c r="Z63" s="299"/>
      <c r="AA63" s="299"/>
      <c r="AB63" s="299"/>
      <c r="AC63" s="300"/>
      <c r="AD63" s="300"/>
    </row>
    <row r="64" spans="1:30" ht="12.75" customHeight="1" x14ac:dyDescent="0.2">
      <c r="A64" s="296"/>
      <c r="B64" s="296"/>
      <c r="C64" s="296"/>
      <c r="D64" s="297"/>
      <c r="E64" s="298"/>
      <c r="F64" s="296"/>
      <c r="G64" s="296"/>
      <c r="H64" s="296"/>
      <c r="I64" s="296"/>
      <c r="J64" s="296"/>
      <c r="K64" s="296"/>
      <c r="L64" s="296"/>
      <c r="M64" s="299"/>
      <c r="N64" s="299"/>
      <c r="O64" s="299"/>
      <c r="P64" s="299"/>
      <c r="Q64" s="299"/>
      <c r="R64" s="299"/>
      <c r="S64" s="299"/>
      <c r="T64" s="299"/>
      <c r="U64" s="299"/>
      <c r="V64" s="299"/>
      <c r="W64" s="299"/>
      <c r="X64" s="299"/>
      <c r="Y64" s="299"/>
      <c r="Z64" s="299"/>
      <c r="AA64" s="299"/>
      <c r="AB64" s="299"/>
      <c r="AC64" s="300"/>
      <c r="AD64" s="300"/>
    </row>
    <row r="65" spans="1:30" ht="12.75" customHeight="1" x14ac:dyDescent="0.2">
      <c r="A65" s="296"/>
      <c r="B65" s="296"/>
      <c r="C65" s="296"/>
      <c r="D65" s="297"/>
      <c r="E65" s="298"/>
      <c r="F65" s="296"/>
      <c r="G65" s="296"/>
      <c r="H65" s="296"/>
      <c r="I65" s="296"/>
      <c r="J65" s="296"/>
      <c r="K65" s="296"/>
      <c r="L65" s="296"/>
      <c r="M65" s="299"/>
      <c r="N65" s="299"/>
      <c r="O65" s="299"/>
      <c r="P65" s="299"/>
      <c r="Q65" s="299"/>
      <c r="R65" s="299"/>
      <c r="S65" s="299"/>
      <c r="T65" s="299"/>
      <c r="U65" s="299"/>
      <c r="V65" s="299"/>
      <c r="W65" s="299"/>
      <c r="X65" s="299"/>
      <c r="Y65" s="299"/>
      <c r="Z65" s="299"/>
      <c r="AA65" s="299"/>
      <c r="AB65" s="299"/>
      <c r="AC65" s="300"/>
      <c r="AD65" s="300"/>
    </row>
    <row r="66" spans="1:30" ht="12.75" customHeight="1" x14ac:dyDescent="0.2">
      <c r="A66" s="296"/>
      <c r="B66" s="296"/>
      <c r="C66" s="296"/>
      <c r="D66" s="297"/>
      <c r="E66" s="298"/>
      <c r="F66" s="296"/>
      <c r="G66" s="296"/>
      <c r="H66" s="296"/>
      <c r="I66" s="296"/>
      <c r="J66" s="296"/>
      <c r="K66" s="296"/>
      <c r="L66" s="296"/>
      <c r="M66" s="299"/>
      <c r="N66" s="299"/>
      <c r="O66" s="299"/>
      <c r="P66" s="299"/>
      <c r="Q66" s="299"/>
      <c r="R66" s="299"/>
      <c r="S66" s="299"/>
      <c r="T66" s="299"/>
      <c r="U66" s="299"/>
      <c r="V66" s="299"/>
      <c r="W66" s="299"/>
      <c r="X66" s="299"/>
      <c r="Y66" s="299"/>
      <c r="Z66" s="299"/>
      <c r="AA66" s="299"/>
      <c r="AB66" s="299"/>
      <c r="AC66" s="300"/>
      <c r="AD66" s="300"/>
    </row>
    <row r="67" spans="1:30" ht="12.75" customHeight="1" x14ac:dyDescent="0.2">
      <c r="A67" s="296"/>
      <c r="B67" s="296"/>
      <c r="C67" s="296"/>
      <c r="D67" s="297"/>
      <c r="E67" s="298"/>
      <c r="F67" s="296"/>
      <c r="G67" s="296"/>
      <c r="H67" s="296"/>
      <c r="I67" s="296"/>
      <c r="J67" s="296"/>
      <c r="K67" s="296"/>
      <c r="L67" s="296"/>
      <c r="M67" s="299"/>
      <c r="N67" s="299"/>
      <c r="O67" s="299"/>
      <c r="P67" s="299"/>
      <c r="Q67" s="299"/>
      <c r="R67" s="299"/>
      <c r="S67" s="299"/>
      <c r="T67" s="299"/>
      <c r="U67" s="299"/>
      <c r="V67" s="299"/>
      <c r="W67" s="299"/>
      <c r="X67" s="299"/>
      <c r="Y67" s="299"/>
      <c r="Z67" s="299"/>
      <c r="AA67" s="299"/>
      <c r="AB67" s="299"/>
      <c r="AC67" s="300"/>
      <c r="AD67" s="300"/>
    </row>
    <row r="68" spans="1:30" ht="12.75" customHeight="1" x14ac:dyDescent="0.2">
      <c r="A68" s="296"/>
      <c r="B68" s="296"/>
      <c r="C68" s="296"/>
      <c r="D68" s="297"/>
      <c r="E68" s="298"/>
      <c r="F68" s="296"/>
      <c r="G68" s="296"/>
      <c r="H68" s="296"/>
      <c r="I68" s="296"/>
      <c r="J68" s="296"/>
      <c r="K68" s="296"/>
      <c r="L68" s="296"/>
      <c r="M68" s="299"/>
      <c r="N68" s="299"/>
      <c r="O68" s="299"/>
      <c r="P68" s="299"/>
      <c r="Q68" s="299"/>
      <c r="R68" s="299"/>
      <c r="S68" s="299"/>
      <c r="T68" s="299"/>
      <c r="U68" s="299"/>
      <c r="V68" s="299"/>
      <c r="W68" s="299"/>
      <c r="X68" s="299"/>
      <c r="Y68" s="299"/>
      <c r="Z68" s="299"/>
      <c r="AA68" s="299"/>
      <c r="AB68" s="299"/>
      <c r="AC68" s="300"/>
      <c r="AD68" s="300"/>
    </row>
    <row r="69" spans="1:30" ht="12.75" customHeight="1" x14ac:dyDescent="0.2">
      <c r="A69" s="296"/>
      <c r="B69" s="296"/>
      <c r="C69" s="296"/>
      <c r="D69" s="297"/>
      <c r="E69" s="298"/>
      <c r="F69" s="296"/>
      <c r="G69" s="296"/>
      <c r="H69" s="296"/>
      <c r="I69" s="296"/>
      <c r="J69" s="296"/>
      <c r="K69" s="296"/>
      <c r="L69" s="296"/>
      <c r="M69" s="299"/>
      <c r="N69" s="299"/>
      <c r="O69" s="299"/>
      <c r="P69" s="299"/>
      <c r="Q69" s="299"/>
      <c r="R69" s="299"/>
      <c r="S69" s="299"/>
      <c r="T69" s="299"/>
      <c r="U69" s="299"/>
      <c r="V69" s="299"/>
      <c r="W69" s="299"/>
      <c r="X69" s="299"/>
      <c r="Y69" s="299"/>
      <c r="Z69" s="299"/>
      <c r="AA69" s="299"/>
      <c r="AB69" s="299"/>
      <c r="AC69" s="300"/>
      <c r="AD69" s="300"/>
    </row>
    <row r="70" spans="1:30" ht="12.75" customHeight="1" x14ac:dyDescent="0.2">
      <c r="A70" s="296"/>
      <c r="B70" s="296"/>
      <c r="C70" s="296"/>
      <c r="D70" s="297"/>
      <c r="E70" s="298"/>
      <c r="F70" s="296"/>
      <c r="G70" s="296"/>
      <c r="H70" s="296"/>
      <c r="I70" s="296"/>
      <c r="J70" s="296"/>
      <c r="K70" s="296"/>
      <c r="L70" s="296"/>
      <c r="M70" s="299"/>
      <c r="N70" s="299"/>
      <c r="O70" s="299"/>
      <c r="P70" s="299"/>
      <c r="Q70" s="299"/>
      <c r="R70" s="299"/>
      <c r="S70" s="299"/>
      <c r="T70" s="299"/>
      <c r="U70" s="299"/>
      <c r="V70" s="299"/>
      <c r="W70" s="299"/>
      <c r="X70" s="299"/>
      <c r="Y70" s="299"/>
      <c r="Z70" s="299"/>
      <c r="AA70" s="299"/>
      <c r="AB70" s="299"/>
      <c r="AC70" s="300"/>
      <c r="AD70" s="300"/>
    </row>
    <row r="71" spans="1:30" ht="12.75" customHeight="1" x14ac:dyDescent="0.2">
      <c r="A71" s="296"/>
      <c r="B71" s="296"/>
      <c r="C71" s="296"/>
      <c r="D71" s="297"/>
      <c r="E71" s="298"/>
      <c r="F71" s="296"/>
      <c r="G71" s="296"/>
      <c r="H71" s="296"/>
      <c r="I71" s="296"/>
      <c r="J71" s="296"/>
      <c r="K71" s="296"/>
      <c r="L71" s="296"/>
      <c r="M71" s="299"/>
      <c r="N71" s="299"/>
      <c r="O71" s="299"/>
      <c r="P71" s="299"/>
      <c r="Q71" s="299"/>
      <c r="R71" s="299"/>
      <c r="S71" s="299"/>
      <c r="T71" s="299"/>
      <c r="U71" s="299"/>
      <c r="V71" s="299"/>
      <c r="W71" s="299"/>
      <c r="X71" s="299"/>
      <c r="Y71" s="299"/>
      <c r="Z71" s="299"/>
      <c r="AA71" s="299"/>
      <c r="AB71" s="299"/>
      <c r="AC71" s="300"/>
      <c r="AD71" s="300"/>
    </row>
    <row r="72" spans="1:30" ht="12.75" customHeight="1" x14ac:dyDescent="0.2">
      <c r="A72" s="296"/>
      <c r="B72" s="296"/>
      <c r="C72" s="296"/>
      <c r="D72" s="297"/>
      <c r="E72" s="298"/>
      <c r="F72" s="296"/>
      <c r="G72" s="296"/>
      <c r="H72" s="296"/>
      <c r="I72" s="296"/>
      <c r="J72" s="296"/>
      <c r="K72" s="296"/>
      <c r="L72" s="296"/>
      <c r="M72" s="299"/>
      <c r="N72" s="299"/>
      <c r="O72" s="299"/>
      <c r="P72" s="299"/>
      <c r="Q72" s="299"/>
      <c r="R72" s="299"/>
      <c r="S72" s="299"/>
      <c r="T72" s="299"/>
      <c r="U72" s="299"/>
      <c r="V72" s="299"/>
      <c r="W72" s="299"/>
      <c r="X72" s="299"/>
      <c r="Y72" s="299"/>
      <c r="Z72" s="299"/>
      <c r="AA72" s="299"/>
      <c r="AB72" s="299"/>
      <c r="AC72" s="300"/>
      <c r="AD72" s="300"/>
    </row>
    <row r="73" spans="1:30" ht="12.75" customHeight="1" x14ac:dyDescent="0.2">
      <c r="A73" s="296"/>
      <c r="B73" s="296"/>
      <c r="C73" s="296"/>
      <c r="D73" s="297"/>
      <c r="E73" s="298"/>
      <c r="F73" s="296"/>
      <c r="G73" s="296"/>
      <c r="H73" s="296"/>
      <c r="I73" s="296"/>
      <c r="J73" s="296"/>
      <c r="K73" s="296"/>
      <c r="L73" s="296"/>
      <c r="M73" s="299"/>
      <c r="N73" s="299"/>
      <c r="O73" s="299"/>
      <c r="P73" s="299"/>
      <c r="Q73" s="299"/>
      <c r="R73" s="299"/>
      <c r="S73" s="299"/>
      <c r="T73" s="299"/>
      <c r="U73" s="299"/>
      <c r="V73" s="299"/>
      <c r="W73" s="299"/>
      <c r="X73" s="299"/>
      <c r="Y73" s="299"/>
      <c r="Z73" s="299"/>
      <c r="AA73" s="299"/>
      <c r="AB73" s="299"/>
      <c r="AC73" s="300"/>
      <c r="AD73" s="300"/>
    </row>
    <row r="74" spans="1:30" ht="12.75" customHeight="1" x14ac:dyDescent="0.2">
      <c r="A74" s="296"/>
      <c r="B74" s="296"/>
      <c r="C74" s="296"/>
      <c r="D74" s="297"/>
      <c r="E74" s="298"/>
      <c r="F74" s="296"/>
      <c r="G74" s="296"/>
      <c r="H74" s="296"/>
      <c r="I74" s="296"/>
      <c r="J74" s="296"/>
      <c r="K74" s="296"/>
      <c r="L74" s="296"/>
      <c r="M74" s="299"/>
      <c r="N74" s="299"/>
      <c r="O74" s="299"/>
      <c r="P74" s="299"/>
      <c r="Q74" s="299"/>
      <c r="R74" s="299"/>
      <c r="S74" s="299"/>
      <c r="T74" s="299"/>
      <c r="U74" s="299"/>
      <c r="V74" s="299"/>
      <c r="W74" s="299"/>
      <c r="X74" s="299"/>
      <c r="Y74" s="299"/>
      <c r="Z74" s="299"/>
      <c r="AA74" s="299"/>
      <c r="AB74" s="299"/>
      <c r="AC74" s="300"/>
      <c r="AD74" s="300"/>
    </row>
    <row r="75" spans="1:30" ht="12.75" customHeight="1" x14ac:dyDescent="0.2">
      <c r="A75" s="296"/>
      <c r="B75" s="296"/>
      <c r="C75" s="296"/>
      <c r="D75" s="297"/>
      <c r="E75" s="298"/>
      <c r="F75" s="296"/>
      <c r="G75" s="296"/>
      <c r="H75" s="296"/>
      <c r="I75" s="296"/>
      <c r="J75" s="296"/>
      <c r="K75" s="296"/>
      <c r="L75" s="296"/>
      <c r="M75" s="299"/>
      <c r="N75" s="299"/>
      <c r="O75" s="299"/>
      <c r="P75" s="299"/>
      <c r="Q75" s="299"/>
      <c r="R75" s="299"/>
      <c r="S75" s="299"/>
      <c r="T75" s="299"/>
      <c r="U75" s="299"/>
      <c r="V75" s="299"/>
      <c r="W75" s="299"/>
      <c r="X75" s="299"/>
      <c r="Y75" s="299"/>
      <c r="Z75" s="299"/>
      <c r="AA75" s="299"/>
      <c r="AB75" s="299"/>
      <c r="AC75" s="300"/>
      <c r="AD75" s="300"/>
    </row>
    <row r="76" spans="1:30" ht="12.75" customHeight="1" x14ac:dyDescent="0.2">
      <c r="A76" s="296"/>
      <c r="B76" s="296"/>
      <c r="C76" s="296"/>
      <c r="D76" s="297"/>
      <c r="E76" s="298"/>
      <c r="F76" s="296"/>
      <c r="G76" s="296"/>
      <c r="H76" s="296"/>
      <c r="I76" s="296"/>
      <c r="J76" s="296"/>
      <c r="K76" s="296"/>
      <c r="L76" s="296"/>
      <c r="M76" s="299"/>
      <c r="N76" s="299"/>
      <c r="O76" s="299"/>
      <c r="P76" s="299"/>
      <c r="Q76" s="299"/>
      <c r="R76" s="299"/>
      <c r="S76" s="299"/>
      <c r="T76" s="299"/>
      <c r="U76" s="299"/>
      <c r="V76" s="299"/>
      <c r="W76" s="299"/>
      <c r="X76" s="299"/>
      <c r="Y76" s="299"/>
      <c r="Z76" s="299"/>
      <c r="AA76" s="299"/>
      <c r="AB76" s="299"/>
      <c r="AC76" s="300"/>
      <c r="AD76" s="300"/>
    </row>
    <row r="77" spans="1:30" ht="12.75" customHeight="1" x14ac:dyDescent="0.2">
      <c r="A77" s="296"/>
      <c r="B77" s="296"/>
      <c r="C77" s="296"/>
      <c r="D77" s="297"/>
      <c r="E77" s="298"/>
      <c r="F77" s="296"/>
      <c r="G77" s="296"/>
      <c r="H77" s="296"/>
      <c r="I77" s="296"/>
      <c r="J77" s="296"/>
      <c r="K77" s="296"/>
      <c r="L77" s="296"/>
      <c r="M77" s="299"/>
      <c r="N77" s="299"/>
      <c r="O77" s="299"/>
      <c r="P77" s="299"/>
      <c r="Q77" s="299"/>
      <c r="R77" s="299"/>
      <c r="S77" s="299"/>
      <c r="T77" s="299"/>
      <c r="U77" s="299"/>
      <c r="V77" s="299"/>
      <c r="W77" s="299"/>
      <c r="X77" s="299"/>
      <c r="Y77" s="299"/>
      <c r="Z77" s="299"/>
      <c r="AA77" s="299"/>
      <c r="AB77" s="299"/>
      <c r="AC77" s="300"/>
      <c r="AD77" s="300"/>
    </row>
    <row r="78" spans="1:30" ht="12.75" customHeight="1" x14ac:dyDescent="0.2">
      <c r="A78" s="296"/>
      <c r="B78" s="296"/>
      <c r="C78" s="296"/>
      <c r="D78" s="297"/>
      <c r="E78" s="298"/>
      <c r="F78" s="296"/>
      <c r="G78" s="296"/>
      <c r="H78" s="296"/>
      <c r="I78" s="296"/>
      <c r="J78" s="296"/>
      <c r="K78" s="296"/>
      <c r="L78" s="296"/>
      <c r="M78" s="299"/>
      <c r="N78" s="299"/>
      <c r="O78" s="299"/>
      <c r="P78" s="299"/>
      <c r="Q78" s="299"/>
      <c r="R78" s="299"/>
      <c r="S78" s="299"/>
      <c r="T78" s="299"/>
      <c r="U78" s="299"/>
      <c r="V78" s="299"/>
      <c r="W78" s="299"/>
      <c r="X78" s="299"/>
      <c r="Y78" s="299"/>
      <c r="Z78" s="299"/>
      <c r="AA78" s="299"/>
      <c r="AB78" s="299"/>
      <c r="AC78" s="300"/>
      <c r="AD78" s="300"/>
    </row>
    <row r="79" spans="1:30" ht="12.75" customHeight="1" x14ac:dyDescent="0.2">
      <c r="A79" s="296"/>
      <c r="B79" s="296"/>
      <c r="C79" s="296"/>
      <c r="D79" s="297"/>
      <c r="E79" s="298"/>
      <c r="F79" s="296"/>
      <c r="G79" s="296"/>
      <c r="H79" s="296"/>
      <c r="I79" s="296"/>
      <c r="J79" s="296"/>
      <c r="K79" s="296"/>
      <c r="L79" s="296"/>
      <c r="M79" s="299"/>
      <c r="N79" s="299"/>
      <c r="O79" s="299"/>
      <c r="P79" s="299"/>
      <c r="Q79" s="299"/>
      <c r="R79" s="299"/>
      <c r="S79" s="299"/>
      <c r="T79" s="299"/>
      <c r="U79" s="299"/>
      <c r="V79" s="299"/>
      <c r="W79" s="299"/>
      <c r="X79" s="299"/>
      <c r="Y79" s="299"/>
      <c r="Z79" s="299"/>
      <c r="AA79" s="299"/>
      <c r="AB79" s="299"/>
      <c r="AC79" s="300"/>
      <c r="AD79" s="300"/>
    </row>
    <row r="80" spans="1:30" ht="12.75" customHeight="1" x14ac:dyDescent="0.2">
      <c r="A80" s="296"/>
      <c r="B80" s="296"/>
      <c r="C80" s="296"/>
      <c r="D80" s="297"/>
      <c r="E80" s="298"/>
      <c r="F80" s="296"/>
      <c r="G80" s="296"/>
      <c r="H80" s="296"/>
      <c r="I80" s="296"/>
      <c r="J80" s="296"/>
      <c r="K80" s="296"/>
      <c r="L80" s="296"/>
      <c r="M80" s="299"/>
      <c r="N80" s="299"/>
      <c r="O80" s="299"/>
      <c r="P80" s="299"/>
      <c r="Q80" s="299"/>
      <c r="R80" s="299"/>
      <c r="S80" s="299"/>
      <c r="T80" s="299"/>
      <c r="U80" s="299"/>
      <c r="V80" s="299"/>
      <c r="W80" s="299"/>
      <c r="X80" s="299"/>
      <c r="Y80" s="299"/>
      <c r="Z80" s="299"/>
      <c r="AA80" s="299"/>
      <c r="AB80" s="299"/>
      <c r="AC80" s="300"/>
      <c r="AD80" s="300"/>
    </row>
    <row r="81" spans="1:30" ht="12.75" customHeight="1" x14ac:dyDescent="0.2">
      <c r="A81" s="296"/>
      <c r="B81" s="296"/>
      <c r="C81" s="296"/>
      <c r="D81" s="297"/>
      <c r="E81" s="298"/>
      <c r="F81" s="296"/>
      <c r="G81" s="296"/>
      <c r="H81" s="296"/>
      <c r="I81" s="296"/>
      <c r="J81" s="296"/>
      <c r="K81" s="296"/>
      <c r="L81" s="296"/>
      <c r="M81" s="299"/>
      <c r="N81" s="299"/>
      <c r="O81" s="299"/>
      <c r="P81" s="299"/>
      <c r="Q81" s="299"/>
      <c r="R81" s="299"/>
      <c r="S81" s="299"/>
      <c r="T81" s="299"/>
      <c r="U81" s="299"/>
      <c r="V81" s="299"/>
      <c r="W81" s="299"/>
      <c r="X81" s="299"/>
      <c r="Y81" s="299"/>
      <c r="Z81" s="299"/>
      <c r="AA81" s="299"/>
      <c r="AB81" s="299"/>
      <c r="AC81" s="300"/>
      <c r="AD81" s="300"/>
    </row>
    <row r="82" spans="1:30" ht="12.75" customHeight="1" x14ac:dyDescent="0.2">
      <c r="A82" s="296"/>
      <c r="B82" s="296"/>
      <c r="C82" s="296"/>
      <c r="D82" s="297"/>
      <c r="E82" s="298"/>
      <c r="F82" s="296"/>
      <c r="G82" s="296"/>
      <c r="H82" s="296"/>
      <c r="I82" s="296"/>
      <c r="J82" s="296"/>
      <c r="K82" s="296"/>
      <c r="L82" s="296"/>
      <c r="M82" s="299"/>
      <c r="N82" s="299"/>
      <c r="O82" s="299"/>
      <c r="P82" s="299"/>
      <c r="Q82" s="299"/>
      <c r="R82" s="299"/>
      <c r="S82" s="299"/>
      <c r="T82" s="299"/>
      <c r="U82" s="299"/>
      <c r="V82" s="299"/>
      <c r="W82" s="299"/>
      <c r="X82" s="299"/>
      <c r="Y82" s="299"/>
      <c r="Z82" s="299"/>
      <c r="AA82" s="299"/>
      <c r="AB82" s="299"/>
      <c r="AC82" s="300"/>
      <c r="AD82" s="300"/>
    </row>
    <row r="83" spans="1:30" ht="12.75" customHeight="1" x14ac:dyDescent="0.2">
      <c r="A83" s="296"/>
      <c r="B83" s="296"/>
      <c r="C83" s="296"/>
      <c r="D83" s="297"/>
      <c r="E83" s="298"/>
      <c r="F83" s="296"/>
      <c r="G83" s="296"/>
      <c r="H83" s="296"/>
      <c r="I83" s="296"/>
      <c r="J83" s="296"/>
      <c r="K83" s="296"/>
      <c r="L83" s="296"/>
      <c r="M83" s="299"/>
      <c r="N83" s="299"/>
      <c r="O83" s="299"/>
      <c r="P83" s="299"/>
      <c r="Q83" s="299"/>
      <c r="R83" s="299"/>
      <c r="S83" s="299"/>
      <c r="T83" s="299"/>
      <c r="U83" s="299"/>
      <c r="V83" s="299"/>
      <c r="W83" s="299"/>
      <c r="X83" s="299"/>
      <c r="Y83" s="299"/>
      <c r="Z83" s="299"/>
      <c r="AA83" s="299"/>
      <c r="AB83" s="299"/>
      <c r="AC83" s="300"/>
      <c r="AD83" s="300"/>
    </row>
    <row r="84" spans="1:30" ht="12.75" customHeight="1" x14ac:dyDescent="0.2">
      <c r="A84" s="296"/>
      <c r="B84" s="296"/>
      <c r="C84" s="296"/>
      <c r="D84" s="297"/>
      <c r="E84" s="298"/>
      <c r="F84" s="296"/>
      <c r="G84" s="296"/>
      <c r="H84" s="296"/>
      <c r="I84" s="296"/>
      <c r="J84" s="296"/>
      <c r="K84" s="296"/>
      <c r="L84" s="296"/>
      <c r="M84" s="299"/>
      <c r="N84" s="299"/>
      <c r="O84" s="299"/>
      <c r="P84" s="299"/>
      <c r="Q84" s="299"/>
      <c r="R84" s="299"/>
      <c r="S84" s="299"/>
      <c r="T84" s="299"/>
      <c r="U84" s="299"/>
      <c r="V84" s="299"/>
      <c r="W84" s="299"/>
      <c r="X84" s="299"/>
      <c r="Y84" s="299"/>
      <c r="Z84" s="299"/>
      <c r="AA84" s="299"/>
      <c r="AB84" s="299"/>
      <c r="AC84" s="300"/>
      <c r="AD84" s="300"/>
    </row>
    <row r="85" spans="1:30" ht="12.75" customHeight="1" x14ac:dyDescent="0.2">
      <c r="A85" s="296"/>
      <c r="B85" s="296"/>
      <c r="C85" s="296"/>
      <c r="D85" s="297"/>
      <c r="E85" s="298"/>
      <c r="F85" s="296"/>
      <c r="G85" s="296"/>
      <c r="H85" s="296"/>
      <c r="I85" s="296"/>
      <c r="J85" s="296"/>
      <c r="K85" s="296"/>
      <c r="L85" s="296"/>
      <c r="M85" s="299"/>
      <c r="N85" s="299"/>
      <c r="O85" s="299"/>
      <c r="P85" s="299"/>
      <c r="Q85" s="299"/>
      <c r="R85" s="299"/>
      <c r="S85" s="299"/>
      <c r="T85" s="299"/>
      <c r="U85" s="299"/>
      <c r="V85" s="299"/>
      <c r="W85" s="299"/>
      <c r="X85" s="299"/>
      <c r="Y85" s="299"/>
      <c r="Z85" s="299"/>
      <c r="AA85" s="299"/>
      <c r="AB85" s="299"/>
      <c r="AC85" s="300"/>
      <c r="AD85" s="300"/>
    </row>
    <row r="86" spans="1:30" ht="12.75" customHeight="1" x14ac:dyDescent="0.2">
      <c r="A86" s="296"/>
      <c r="B86" s="296"/>
      <c r="C86" s="296"/>
      <c r="D86" s="297"/>
      <c r="E86" s="298"/>
      <c r="F86" s="296"/>
      <c r="G86" s="296"/>
      <c r="H86" s="296"/>
      <c r="I86" s="296"/>
      <c r="J86" s="296"/>
      <c r="K86" s="296"/>
      <c r="L86" s="296"/>
      <c r="M86" s="299"/>
      <c r="N86" s="299"/>
      <c r="O86" s="299"/>
      <c r="P86" s="299"/>
      <c r="Q86" s="299"/>
      <c r="R86" s="299"/>
      <c r="S86" s="299"/>
      <c r="T86" s="299"/>
      <c r="U86" s="299"/>
      <c r="V86" s="299"/>
      <c r="W86" s="299"/>
      <c r="X86" s="299"/>
      <c r="Y86" s="299"/>
      <c r="Z86" s="299"/>
      <c r="AA86" s="299"/>
      <c r="AB86" s="299"/>
      <c r="AC86" s="300"/>
      <c r="AD86" s="300"/>
    </row>
    <row r="87" spans="1:30" ht="12.75" customHeight="1" x14ac:dyDescent="0.2">
      <c r="A87" s="296"/>
      <c r="B87" s="296"/>
      <c r="C87" s="296"/>
      <c r="D87" s="297"/>
      <c r="E87" s="298"/>
      <c r="F87" s="296"/>
      <c r="G87" s="296"/>
      <c r="H87" s="296"/>
      <c r="I87" s="296"/>
      <c r="J87" s="296"/>
      <c r="K87" s="296"/>
      <c r="L87" s="296"/>
      <c r="M87" s="299"/>
      <c r="N87" s="299"/>
      <c r="O87" s="299"/>
      <c r="P87" s="299"/>
      <c r="Q87" s="299"/>
      <c r="R87" s="299"/>
      <c r="S87" s="299"/>
      <c r="T87" s="299"/>
      <c r="U87" s="299"/>
      <c r="V87" s="299"/>
      <c r="W87" s="299"/>
      <c r="X87" s="299"/>
      <c r="Y87" s="299"/>
      <c r="Z87" s="299"/>
      <c r="AA87" s="299"/>
      <c r="AB87" s="299"/>
      <c r="AC87" s="300"/>
      <c r="AD87" s="300"/>
    </row>
    <row r="88" spans="1:30" ht="12.75" customHeight="1" x14ac:dyDescent="0.2">
      <c r="A88" s="296"/>
      <c r="B88" s="296"/>
      <c r="C88" s="296"/>
      <c r="D88" s="297"/>
      <c r="E88" s="298"/>
      <c r="F88" s="296"/>
      <c r="G88" s="296"/>
      <c r="H88" s="296"/>
      <c r="I88" s="296"/>
      <c r="J88" s="296"/>
      <c r="K88" s="296"/>
      <c r="L88" s="296"/>
      <c r="M88" s="299"/>
      <c r="N88" s="299"/>
      <c r="O88" s="299"/>
      <c r="P88" s="299"/>
      <c r="Q88" s="299"/>
      <c r="R88" s="299"/>
      <c r="S88" s="299"/>
      <c r="T88" s="299"/>
      <c r="U88" s="299"/>
      <c r="V88" s="299"/>
      <c r="W88" s="299"/>
      <c r="X88" s="299"/>
      <c r="Y88" s="299"/>
      <c r="Z88" s="299"/>
      <c r="AA88" s="299"/>
      <c r="AB88" s="299"/>
      <c r="AC88" s="300"/>
      <c r="AD88" s="300"/>
    </row>
    <row r="89" spans="1:30" ht="12.75" customHeight="1" x14ac:dyDescent="0.2">
      <c r="A89" s="296"/>
      <c r="B89" s="296"/>
      <c r="C89" s="296"/>
      <c r="D89" s="297"/>
      <c r="E89" s="298"/>
      <c r="F89" s="296"/>
      <c r="G89" s="296"/>
      <c r="H89" s="296"/>
      <c r="I89" s="296"/>
      <c r="J89" s="296"/>
      <c r="K89" s="296"/>
      <c r="L89" s="296"/>
      <c r="M89" s="299"/>
      <c r="N89" s="299"/>
      <c r="O89" s="299"/>
      <c r="P89" s="299"/>
      <c r="Q89" s="299"/>
      <c r="R89" s="299"/>
      <c r="S89" s="299"/>
      <c r="T89" s="299"/>
      <c r="U89" s="299"/>
      <c r="V89" s="299"/>
      <c r="W89" s="299"/>
      <c r="X89" s="299"/>
      <c r="Y89" s="299"/>
      <c r="Z89" s="299"/>
      <c r="AA89" s="299"/>
      <c r="AB89" s="299"/>
      <c r="AC89" s="300"/>
      <c r="AD89" s="300"/>
    </row>
    <row r="90" spans="1:30" ht="12.75" customHeight="1" x14ac:dyDescent="0.2">
      <c r="A90" s="296"/>
      <c r="B90" s="296"/>
      <c r="C90" s="296"/>
      <c r="D90" s="297"/>
      <c r="E90" s="298"/>
      <c r="F90" s="296"/>
      <c r="G90" s="296"/>
      <c r="H90" s="296"/>
      <c r="I90" s="296"/>
      <c r="J90" s="296"/>
      <c r="K90" s="296"/>
      <c r="L90" s="296"/>
      <c r="M90" s="299"/>
      <c r="N90" s="299"/>
      <c r="O90" s="299"/>
      <c r="P90" s="299"/>
      <c r="Q90" s="299"/>
      <c r="R90" s="299"/>
      <c r="S90" s="299"/>
      <c r="T90" s="299"/>
      <c r="U90" s="299"/>
      <c r="V90" s="299"/>
      <c r="W90" s="299"/>
      <c r="X90" s="299"/>
      <c r="Y90" s="299"/>
      <c r="Z90" s="299"/>
      <c r="AA90" s="299"/>
      <c r="AB90" s="299"/>
      <c r="AC90" s="300"/>
      <c r="AD90" s="300"/>
    </row>
    <row r="91" spans="1:30" ht="12.75" customHeight="1" x14ac:dyDescent="0.2">
      <c r="A91" s="296"/>
      <c r="B91" s="296"/>
      <c r="C91" s="296"/>
      <c r="D91" s="297"/>
      <c r="E91" s="298"/>
      <c r="F91" s="296"/>
      <c r="G91" s="296"/>
      <c r="H91" s="296"/>
      <c r="I91" s="296"/>
      <c r="J91" s="296"/>
      <c r="K91" s="296"/>
      <c r="L91" s="296"/>
      <c r="M91" s="299"/>
      <c r="N91" s="299"/>
      <c r="O91" s="299"/>
      <c r="P91" s="299"/>
      <c r="Q91" s="299"/>
      <c r="R91" s="299"/>
      <c r="S91" s="299"/>
      <c r="T91" s="299"/>
      <c r="U91" s="299"/>
      <c r="V91" s="299"/>
      <c r="W91" s="299"/>
      <c r="X91" s="299"/>
      <c r="Y91" s="299"/>
      <c r="Z91" s="299"/>
      <c r="AA91" s="299"/>
      <c r="AB91" s="299"/>
      <c r="AC91" s="300"/>
      <c r="AD91" s="300"/>
    </row>
    <row r="92" spans="1:30" ht="12.75" customHeight="1" x14ac:dyDescent="0.2">
      <c r="A92" s="296"/>
      <c r="B92" s="296"/>
      <c r="C92" s="296"/>
      <c r="D92" s="297"/>
      <c r="E92" s="298"/>
      <c r="F92" s="296"/>
      <c r="G92" s="296"/>
      <c r="H92" s="296"/>
      <c r="I92" s="296"/>
      <c r="J92" s="296"/>
      <c r="K92" s="296"/>
      <c r="L92" s="296"/>
      <c r="M92" s="299"/>
      <c r="N92" s="299"/>
      <c r="O92" s="299"/>
      <c r="P92" s="299"/>
      <c r="Q92" s="299"/>
      <c r="R92" s="299"/>
      <c r="S92" s="299"/>
      <c r="T92" s="299"/>
      <c r="U92" s="299"/>
      <c r="V92" s="299"/>
      <c r="W92" s="299"/>
      <c r="X92" s="299"/>
      <c r="Y92" s="299"/>
      <c r="Z92" s="299"/>
      <c r="AA92" s="299"/>
      <c r="AB92" s="299"/>
      <c r="AC92" s="300"/>
      <c r="AD92" s="300"/>
    </row>
    <row r="93" spans="1:30" ht="12.75" customHeight="1" x14ac:dyDescent="0.2">
      <c r="A93" s="296"/>
      <c r="B93" s="296"/>
      <c r="C93" s="296"/>
      <c r="D93" s="297"/>
      <c r="E93" s="298"/>
      <c r="F93" s="296"/>
      <c r="G93" s="296"/>
      <c r="H93" s="296"/>
      <c r="I93" s="296"/>
      <c r="J93" s="296"/>
      <c r="K93" s="296"/>
      <c r="L93" s="296"/>
      <c r="M93" s="299"/>
      <c r="N93" s="299"/>
      <c r="O93" s="299"/>
      <c r="P93" s="299"/>
      <c r="Q93" s="299"/>
      <c r="R93" s="299"/>
      <c r="S93" s="299"/>
      <c r="T93" s="299"/>
      <c r="U93" s="299"/>
      <c r="V93" s="299"/>
      <c r="W93" s="299"/>
      <c r="X93" s="299"/>
      <c r="Y93" s="299"/>
      <c r="Z93" s="299"/>
      <c r="AA93" s="299"/>
      <c r="AB93" s="299"/>
      <c r="AC93" s="300"/>
      <c r="AD93" s="300"/>
    </row>
    <row r="94" spans="1:30" ht="12.75" customHeight="1" x14ac:dyDescent="0.2">
      <c r="A94" s="296"/>
      <c r="B94" s="296"/>
      <c r="C94" s="296"/>
      <c r="D94" s="297"/>
      <c r="E94" s="298"/>
      <c r="F94" s="296"/>
      <c r="G94" s="296"/>
      <c r="H94" s="296"/>
      <c r="I94" s="296"/>
      <c r="J94" s="296"/>
      <c r="K94" s="296"/>
      <c r="L94" s="296"/>
      <c r="M94" s="299"/>
      <c r="N94" s="299"/>
      <c r="O94" s="299"/>
      <c r="P94" s="299"/>
      <c r="Q94" s="299"/>
      <c r="R94" s="299"/>
      <c r="S94" s="299"/>
      <c r="T94" s="299"/>
      <c r="U94" s="299"/>
      <c r="V94" s="299"/>
      <c r="W94" s="299"/>
      <c r="X94" s="299"/>
      <c r="Y94" s="299"/>
      <c r="Z94" s="299"/>
      <c r="AA94" s="299"/>
      <c r="AB94" s="299"/>
      <c r="AC94" s="300"/>
      <c r="AD94" s="300"/>
    </row>
    <row r="95" spans="1:30" ht="12.75" customHeight="1" x14ac:dyDescent="0.2">
      <c r="A95" s="296"/>
      <c r="B95" s="296"/>
      <c r="C95" s="296"/>
      <c r="D95" s="297"/>
      <c r="E95" s="298"/>
      <c r="F95" s="296"/>
      <c r="G95" s="296"/>
      <c r="H95" s="296"/>
      <c r="I95" s="296"/>
      <c r="J95" s="296"/>
      <c r="K95" s="296"/>
      <c r="L95" s="296"/>
      <c r="M95" s="299"/>
      <c r="N95" s="299"/>
      <c r="O95" s="299"/>
      <c r="P95" s="299"/>
      <c r="Q95" s="299"/>
      <c r="R95" s="299"/>
      <c r="S95" s="299"/>
      <c r="T95" s="299"/>
      <c r="U95" s="299"/>
      <c r="V95" s="299"/>
      <c r="W95" s="299"/>
      <c r="X95" s="299"/>
      <c r="Y95" s="299"/>
      <c r="Z95" s="299"/>
      <c r="AA95" s="299"/>
      <c r="AB95" s="299"/>
      <c r="AC95" s="300"/>
      <c r="AD95" s="300"/>
    </row>
    <row r="96" spans="1:30" ht="12.75" customHeight="1" x14ac:dyDescent="0.2">
      <c r="A96" s="296"/>
      <c r="B96" s="296"/>
      <c r="C96" s="296"/>
      <c r="D96" s="297"/>
      <c r="E96" s="298"/>
      <c r="F96" s="296"/>
      <c r="G96" s="296"/>
      <c r="H96" s="296"/>
      <c r="I96" s="296"/>
      <c r="J96" s="296"/>
      <c r="K96" s="296"/>
      <c r="L96" s="296"/>
      <c r="M96" s="299"/>
      <c r="N96" s="299"/>
      <c r="O96" s="299"/>
      <c r="P96" s="299"/>
      <c r="Q96" s="299"/>
      <c r="R96" s="299"/>
      <c r="S96" s="299"/>
      <c r="T96" s="299"/>
      <c r="U96" s="299"/>
      <c r="V96" s="299"/>
      <c r="W96" s="299"/>
      <c r="X96" s="299"/>
      <c r="Y96" s="299"/>
      <c r="Z96" s="299"/>
      <c r="AA96" s="299"/>
      <c r="AB96" s="299"/>
      <c r="AC96" s="300"/>
      <c r="AD96" s="300"/>
    </row>
    <row r="97" spans="1:30" ht="12.75" customHeight="1" x14ac:dyDescent="0.2">
      <c r="A97" s="296"/>
      <c r="B97" s="296"/>
      <c r="C97" s="296"/>
      <c r="D97" s="297"/>
      <c r="E97" s="298"/>
      <c r="F97" s="296"/>
      <c r="G97" s="296"/>
      <c r="H97" s="296"/>
      <c r="I97" s="296"/>
      <c r="J97" s="296"/>
      <c r="K97" s="296"/>
      <c r="L97" s="296"/>
      <c r="M97" s="299"/>
      <c r="N97" s="299"/>
      <c r="O97" s="299"/>
      <c r="P97" s="299"/>
      <c r="Q97" s="299"/>
      <c r="R97" s="299"/>
      <c r="S97" s="299"/>
      <c r="T97" s="299"/>
      <c r="U97" s="299"/>
      <c r="V97" s="299"/>
      <c r="W97" s="299"/>
      <c r="X97" s="299"/>
      <c r="Y97" s="299"/>
      <c r="Z97" s="299"/>
      <c r="AA97" s="299"/>
      <c r="AB97" s="299"/>
      <c r="AC97" s="300"/>
      <c r="AD97" s="300"/>
    </row>
    <row r="98" spans="1:30" ht="12.75" customHeight="1" x14ac:dyDescent="0.2">
      <c r="A98" s="296"/>
      <c r="B98" s="296"/>
      <c r="C98" s="296"/>
      <c r="D98" s="297"/>
      <c r="E98" s="298"/>
      <c r="F98" s="296"/>
      <c r="G98" s="296"/>
      <c r="H98" s="296"/>
      <c r="I98" s="296"/>
      <c r="J98" s="296"/>
      <c r="K98" s="296"/>
      <c r="L98" s="296"/>
      <c r="M98" s="299"/>
      <c r="N98" s="299"/>
      <c r="O98" s="299"/>
      <c r="P98" s="299"/>
      <c r="Q98" s="299"/>
      <c r="R98" s="299"/>
      <c r="S98" s="299"/>
      <c r="T98" s="299"/>
      <c r="U98" s="299"/>
      <c r="V98" s="299"/>
      <c r="W98" s="299"/>
      <c r="X98" s="299"/>
      <c r="Y98" s="299"/>
      <c r="Z98" s="299"/>
      <c r="AA98" s="299"/>
      <c r="AB98" s="299"/>
      <c r="AC98" s="300"/>
      <c r="AD98" s="300"/>
    </row>
    <row r="99" spans="1:30" ht="12.75" customHeight="1" x14ac:dyDescent="0.2">
      <c r="A99" s="296"/>
      <c r="B99" s="296"/>
      <c r="C99" s="296"/>
      <c r="D99" s="297"/>
      <c r="E99" s="298"/>
      <c r="F99" s="296"/>
      <c r="G99" s="296"/>
      <c r="H99" s="296"/>
      <c r="I99" s="296"/>
      <c r="J99" s="296"/>
      <c r="K99" s="296"/>
      <c r="L99" s="296"/>
      <c r="M99" s="299"/>
      <c r="N99" s="299"/>
      <c r="O99" s="299"/>
      <c r="P99" s="299"/>
      <c r="Q99" s="299"/>
      <c r="R99" s="299"/>
      <c r="S99" s="299"/>
      <c r="T99" s="299"/>
      <c r="U99" s="299"/>
      <c r="V99" s="299"/>
      <c r="W99" s="299"/>
      <c r="X99" s="299"/>
      <c r="Y99" s="299"/>
      <c r="Z99" s="299"/>
      <c r="AA99" s="299"/>
      <c r="AB99" s="299"/>
      <c r="AC99" s="300"/>
      <c r="AD99" s="300"/>
    </row>
    <row r="100" spans="1:30" ht="12.75" customHeight="1" x14ac:dyDescent="0.2">
      <c r="A100" s="296"/>
      <c r="B100" s="296"/>
      <c r="C100" s="296"/>
      <c r="D100" s="297"/>
      <c r="E100" s="298"/>
      <c r="F100" s="296"/>
      <c r="G100" s="296"/>
      <c r="H100" s="296"/>
      <c r="I100" s="296"/>
      <c r="J100" s="296"/>
      <c r="K100" s="296"/>
      <c r="L100" s="296"/>
      <c r="M100" s="299"/>
      <c r="N100" s="299"/>
      <c r="O100" s="299"/>
      <c r="P100" s="299"/>
      <c r="Q100" s="299"/>
      <c r="R100" s="299"/>
      <c r="S100" s="299"/>
      <c r="T100" s="299"/>
      <c r="U100" s="299"/>
      <c r="V100" s="299"/>
      <c r="W100" s="299"/>
      <c r="X100" s="299"/>
      <c r="Y100" s="299"/>
      <c r="Z100" s="299"/>
      <c r="AA100" s="299"/>
      <c r="AB100" s="299"/>
      <c r="AC100" s="300"/>
      <c r="AD100" s="300"/>
    </row>
    <row r="101" spans="1:30" ht="12.75" customHeight="1" x14ac:dyDescent="0.2">
      <c r="A101" s="296"/>
      <c r="B101" s="296"/>
      <c r="C101" s="296"/>
      <c r="D101" s="297"/>
      <c r="E101" s="298"/>
      <c r="F101" s="296"/>
      <c r="G101" s="296"/>
      <c r="H101" s="296"/>
      <c r="I101" s="296"/>
      <c r="J101" s="296"/>
      <c r="K101" s="296"/>
      <c r="L101" s="296"/>
      <c r="M101" s="299"/>
      <c r="N101" s="299"/>
      <c r="O101" s="299"/>
      <c r="P101" s="299"/>
      <c r="Q101" s="299"/>
      <c r="R101" s="299"/>
      <c r="S101" s="299"/>
      <c r="T101" s="299"/>
      <c r="U101" s="299"/>
      <c r="V101" s="299"/>
      <c r="W101" s="299"/>
      <c r="X101" s="299"/>
      <c r="Y101" s="299"/>
      <c r="Z101" s="299"/>
      <c r="AA101" s="299"/>
      <c r="AB101" s="299"/>
      <c r="AC101" s="300"/>
      <c r="AD101" s="300"/>
    </row>
    <row r="102" spans="1:30" ht="12.75" customHeight="1" x14ac:dyDescent="0.2">
      <c r="A102" s="296"/>
      <c r="B102" s="296"/>
      <c r="C102" s="296"/>
      <c r="D102" s="297"/>
      <c r="E102" s="298"/>
      <c r="F102" s="296"/>
      <c r="G102" s="296"/>
      <c r="H102" s="296"/>
      <c r="I102" s="296"/>
      <c r="J102" s="296"/>
      <c r="K102" s="296"/>
      <c r="L102" s="296"/>
      <c r="M102" s="299"/>
      <c r="N102" s="299"/>
      <c r="O102" s="299"/>
      <c r="P102" s="299"/>
      <c r="Q102" s="299"/>
      <c r="R102" s="299"/>
      <c r="S102" s="299"/>
      <c r="T102" s="299"/>
      <c r="U102" s="299"/>
      <c r="V102" s="299"/>
      <c r="W102" s="299"/>
      <c r="X102" s="299"/>
      <c r="Y102" s="299"/>
      <c r="Z102" s="299"/>
      <c r="AA102" s="299"/>
      <c r="AB102" s="299"/>
      <c r="AC102" s="300"/>
      <c r="AD102" s="300"/>
    </row>
    <row r="103" spans="1:30" ht="12.75" customHeight="1" x14ac:dyDescent="0.2">
      <c r="A103" s="296"/>
      <c r="B103" s="296"/>
      <c r="C103" s="296"/>
      <c r="D103" s="297"/>
      <c r="E103" s="298"/>
      <c r="F103" s="296"/>
      <c r="G103" s="296"/>
      <c r="H103" s="296"/>
      <c r="I103" s="296"/>
      <c r="J103" s="296"/>
      <c r="K103" s="296"/>
      <c r="L103" s="296"/>
      <c r="M103" s="299"/>
      <c r="N103" s="299"/>
      <c r="O103" s="299"/>
      <c r="P103" s="299"/>
      <c r="Q103" s="299"/>
      <c r="R103" s="299"/>
      <c r="S103" s="299"/>
      <c r="T103" s="299"/>
      <c r="U103" s="299"/>
      <c r="V103" s="299"/>
      <c r="W103" s="299"/>
      <c r="X103" s="299"/>
      <c r="Y103" s="299"/>
      <c r="Z103" s="299"/>
      <c r="AA103" s="299"/>
      <c r="AB103" s="299"/>
      <c r="AC103" s="300"/>
      <c r="AD103" s="300"/>
    </row>
    <row r="104" spans="1:30" ht="12.75" customHeight="1" x14ac:dyDescent="0.2">
      <c r="A104" s="296"/>
      <c r="B104" s="296"/>
      <c r="C104" s="296"/>
      <c r="D104" s="297"/>
      <c r="E104" s="298"/>
      <c r="F104" s="296"/>
      <c r="G104" s="296"/>
      <c r="H104" s="296"/>
      <c r="I104" s="296"/>
      <c r="J104" s="296"/>
      <c r="K104" s="296"/>
      <c r="L104" s="296"/>
      <c r="M104" s="299"/>
      <c r="N104" s="299"/>
      <c r="O104" s="299"/>
      <c r="P104" s="299"/>
      <c r="Q104" s="299"/>
      <c r="R104" s="299"/>
      <c r="S104" s="299"/>
      <c r="T104" s="299"/>
      <c r="U104" s="299"/>
      <c r="V104" s="299"/>
      <c r="W104" s="299"/>
      <c r="X104" s="299"/>
      <c r="Y104" s="299"/>
      <c r="Z104" s="299"/>
      <c r="AA104" s="299"/>
      <c r="AB104" s="299"/>
      <c r="AC104" s="300"/>
      <c r="AD104" s="300"/>
    </row>
    <row r="105" spans="1:30" ht="12.75" customHeight="1" x14ac:dyDescent="0.2">
      <c r="A105" s="296"/>
      <c r="B105" s="296"/>
      <c r="C105" s="296"/>
      <c r="D105" s="297"/>
      <c r="E105" s="298"/>
      <c r="F105" s="296"/>
      <c r="G105" s="296"/>
      <c r="H105" s="296"/>
      <c r="I105" s="296"/>
      <c r="J105" s="296"/>
      <c r="K105" s="296"/>
      <c r="L105" s="296"/>
      <c r="M105" s="299"/>
      <c r="N105" s="299"/>
      <c r="O105" s="299"/>
      <c r="P105" s="299"/>
      <c r="Q105" s="299"/>
      <c r="R105" s="299"/>
      <c r="S105" s="299"/>
      <c r="T105" s="299"/>
      <c r="U105" s="299"/>
      <c r="V105" s="299"/>
      <c r="W105" s="299"/>
      <c r="X105" s="299"/>
      <c r="Y105" s="299"/>
      <c r="Z105" s="299"/>
      <c r="AA105" s="299"/>
      <c r="AB105" s="299"/>
      <c r="AC105" s="300"/>
      <c r="AD105" s="300"/>
    </row>
    <row r="106" spans="1:30" ht="12.75" customHeight="1" x14ac:dyDescent="0.2">
      <c r="A106" s="296"/>
      <c r="B106" s="296"/>
      <c r="C106" s="296"/>
      <c r="D106" s="297"/>
      <c r="E106" s="298"/>
      <c r="F106" s="296"/>
      <c r="G106" s="296"/>
      <c r="H106" s="296"/>
      <c r="I106" s="296"/>
      <c r="J106" s="296"/>
      <c r="K106" s="296"/>
      <c r="L106" s="296"/>
      <c r="M106" s="299"/>
      <c r="N106" s="299"/>
      <c r="O106" s="299"/>
      <c r="P106" s="299"/>
      <c r="Q106" s="299"/>
      <c r="R106" s="299"/>
      <c r="S106" s="299"/>
      <c r="T106" s="299"/>
      <c r="U106" s="299"/>
      <c r="V106" s="299"/>
      <c r="W106" s="299"/>
      <c r="X106" s="299"/>
      <c r="Y106" s="299"/>
      <c r="Z106" s="299"/>
      <c r="AA106" s="299"/>
      <c r="AB106" s="299"/>
      <c r="AC106" s="300"/>
      <c r="AD106" s="300"/>
    </row>
    <row r="107" spans="1:30" ht="12.75" customHeight="1" x14ac:dyDescent="0.2">
      <c r="A107" s="296"/>
      <c r="B107" s="296"/>
      <c r="C107" s="296"/>
      <c r="D107" s="297"/>
      <c r="E107" s="298"/>
      <c r="F107" s="296"/>
      <c r="G107" s="296"/>
      <c r="H107" s="296"/>
      <c r="I107" s="296"/>
      <c r="J107" s="296"/>
      <c r="K107" s="296"/>
      <c r="L107" s="296"/>
      <c r="M107" s="299"/>
      <c r="N107" s="299"/>
      <c r="O107" s="299"/>
      <c r="P107" s="299"/>
      <c r="Q107" s="299"/>
      <c r="R107" s="299"/>
      <c r="S107" s="299"/>
      <c r="T107" s="299"/>
      <c r="U107" s="299"/>
      <c r="V107" s="299"/>
      <c r="W107" s="299"/>
      <c r="X107" s="299"/>
      <c r="Y107" s="299"/>
      <c r="Z107" s="299"/>
      <c r="AA107" s="299"/>
      <c r="AB107" s="299"/>
      <c r="AC107" s="300"/>
      <c r="AD107" s="300"/>
    </row>
    <row r="108" spans="1:30" ht="12.75" customHeight="1" x14ac:dyDescent="0.2">
      <c r="A108" s="296"/>
      <c r="B108" s="296"/>
      <c r="C108" s="296"/>
      <c r="D108" s="297"/>
      <c r="E108" s="298"/>
      <c r="F108" s="296"/>
      <c r="G108" s="296"/>
      <c r="H108" s="296"/>
      <c r="I108" s="296"/>
      <c r="J108" s="296"/>
      <c r="K108" s="296"/>
      <c r="L108" s="296"/>
      <c r="M108" s="299"/>
      <c r="N108" s="299"/>
      <c r="O108" s="299"/>
      <c r="P108" s="299"/>
      <c r="Q108" s="299"/>
      <c r="R108" s="299"/>
      <c r="S108" s="299"/>
      <c r="T108" s="299"/>
      <c r="U108" s="299"/>
      <c r="V108" s="299"/>
      <c r="W108" s="299"/>
      <c r="X108" s="299"/>
      <c r="Y108" s="299"/>
      <c r="Z108" s="299"/>
      <c r="AA108" s="299"/>
      <c r="AB108" s="299"/>
      <c r="AC108" s="300"/>
      <c r="AD108" s="300"/>
    </row>
    <row r="109" spans="1:30" ht="12.75" customHeight="1" x14ac:dyDescent="0.2">
      <c r="A109" s="296"/>
      <c r="B109" s="296"/>
      <c r="C109" s="296"/>
      <c r="D109" s="297"/>
      <c r="E109" s="298"/>
      <c r="F109" s="296"/>
      <c r="G109" s="296"/>
      <c r="H109" s="296"/>
      <c r="I109" s="296"/>
      <c r="J109" s="296"/>
      <c r="K109" s="296"/>
      <c r="L109" s="296"/>
      <c r="M109" s="299"/>
      <c r="N109" s="299"/>
      <c r="O109" s="299"/>
      <c r="P109" s="299"/>
      <c r="Q109" s="299"/>
      <c r="R109" s="299"/>
      <c r="S109" s="299"/>
      <c r="T109" s="299"/>
      <c r="U109" s="299"/>
      <c r="V109" s="299"/>
      <c r="W109" s="299"/>
      <c r="X109" s="299"/>
      <c r="Y109" s="299"/>
      <c r="Z109" s="299"/>
      <c r="AA109" s="299"/>
      <c r="AB109" s="299"/>
      <c r="AC109" s="300"/>
      <c r="AD109" s="300"/>
    </row>
    <row r="110" spans="1:30" ht="12.75" customHeight="1" x14ac:dyDescent="0.2">
      <c r="A110" s="296"/>
      <c r="B110" s="296"/>
      <c r="C110" s="296"/>
      <c r="D110" s="297"/>
      <c r="E110" s="298"/>
      <c r="F110" s="296"/>
      <c r="G110" s="296"/>
      <c r="H110" s="296"/>
      <c r="I110" s="296"/>
      <c r="J110" s="296"/>
      <c r="K110" s="296"/>
      <c r="L110" s="296"/>
      <c r="M110" s="299"/>
      <c r="N110" s="299"/>
      <c r="O110" s="299"/>
      <c r="P110" s="299"/>
      <c r="Q110" s="299"/>
      <c r="R110" s="299"/>
      <c r="S110" s="299"/>
      <c r="T110" s="299"/>
      <c r="U110" s="299"/>
      <c r="V110" s="299"/>
      <c r="W110" s="299"/>
      <c r="X110" s="299"/>
      <c r="Y110" s="299"/>
      <c r="Z110" s="299"/>
      <c r="AA110" s="299"/>
      <c r="AB110" s="299"/>
      <c r="AC110" s="300"/>
      <c r="AD110" s="300"/>
    </row>
    <row r="111" spans="1:30" ht="12.75" customHeight="1" x14ac:dyDescent="0.2">
      <c r="A111" s="296"/>
      <c r="B111" s="296"/>
      <c r="C111" s="296"/>
      <c r="D111" s="297"/>
      <c r="E111" s="298"/>
      <c r="F111" s="296"/>
      <c r="G111" s="296"/>
      <c r="H111" s="296"/>
      <c r="I111" s="296"/>
      <c r="J111" s="296"/>
      <c r="K111" s="296"/>
      <c r="L111" s="296"/>
      <c r="M111" s="299"/>
      <c r="N111" s="299"/>
      <c r="O111" s="299"/>
      <c r="P111" s="299"/>
      <c r="Q111" s="299"/>
      <c r="R111" s="299"/>
      <c r="S111" s="299"/>
      <c r="T111" s="299"/>
      <c r="U111" s="299"/>
      <c r="V111" s="299"/>
      <c r="W111" s="299"/>
      <c r="X111" s="299"/>
      <c r="Y111" s="299"/>
      <c r="Z111" s="299"/>
      <c r="AA111" s="299"/>
      <c r="AB111" s="299"/>
      <c r="AC111" s="300"/>
      <c r="AD111" s="300"/>
    </row>
    <row r="112" spans="1:30" ht="12.75" customHeight="1" x14ac:dyDescent="0.2">
      <c r="A112" s="296"/>
      <c r="B112" s="296"/>
      <c r="C112" s="296"/>
      <c r="D112" s="297"/>
      <c r="E112" s="298"/>
      <c r="F112" s="296"/>
      <c r="G112" s="296"/>
      <c r="H112" s="296"/>
      <c r="I112" s="296"/>
      <c r="J112" s="296"/>
      <c r="K112" s="296"/>
      <c r="L112" s="296"/>
      <c r="M112" s="299"/>
      <c r="N112" s="299"/>
      <c r="O112" s="299"/>
      <c r="P112" s="299"/>
      <c r="Q112" s="299"/>
      <c r="R112" s="299"/>
      <c r="S112" s="299"/>
      <c r="T112" s="299"/>
      <c r="U112" s="299"/>
      <c r="V112" s="299"/>
      <c r="W112" s="299"/>
      <c r="X112" s="299"/>
      <c r="Y112" s="299"/>
      <c r="Z112" s="299"/>
      <c r="AA112" s="299"/>
      <c r="AB112" s="299"/>
      <c r="AC112" s="300"/>
      <c r="AD112" s="300"/>
    </row>
    <row r="113" spans="1:30" ht="12.75" customHeight="1" x14ac:dyDescent="0.2">
      <c r="A113" s="296"/>
      <c r="B113" s="296"/>
      <c r="C113" s="296"/>
      <c r="D113" s="297"/>
      <c r="E113" s="298"/>
      <c r="F113" s="296"/>
      <c r="G113" s="296"/>
      <c r="H113" s="296"/>
      <c r="I113" s="296"/>
      <c r="J113" s="296"/>
      <c r="K113" s="296"/>
      <c r="L113" s="296"/>
      <c r="M113" s="299"/>
      <c r="N113" s="299"/>
      <c r="O113" s="299"/>
      <c r="P113" s="299"/>
      <c r="Q113" s="299"/>
      <c r="R113" s="299"/>
      <c r="S113" s="299"/>
      <c r="T113" s="299"/>
      <c r="U113" s="299"/>
      <c r="V113" s="299"/>
      <c r="W113" s="299"/>
      <c r="X113" s="299"/>
      <c r="Y113" s="299"/>
      <c r="Z113" s="299"/>
      <c r="AA113" s="299"/>
      <c r="AB113" s="299"/>
      <c r="AC113" s="300"/>
      <c r="AD113" s="300"/>
    </row>
    <row r="114" spans="1:30" ht="12.75" customHeight="1" x14ac:dyDescent="0.2">
      <c r="A114" s="296"/>
      <c r="B114" s="296"/>
      <c r="C114" s="296"/>
      <c r="D114" s="297"/>
      <c r="E114" s="298"/>
      <c r="F114" s="296"/>
      <c r="G114" s="296"/>
      <c r="H114" s="296"/>
      <c r="I114" s="296"/>
      <c r="J114" s="296"/>
      <c r="K114" s="296"/>
      <c r="L114" s="296"/>
      <c r="M114" s="299"/>
      <c r="N114" s="299"/>
      <c r="O114" s="299"/>
      <c r="P114" s="299"/>
      <c r="Q114" s="299"/>
      <c r="R114" s="299"/>
      <c r="S114" s="299"/>
      <c r="T114" s="299"/>
      <c r="U114" s="299"/>
      <c r="V114" s="299"/>
      <c r="W114" s="299"/>
      <c r="X114" s="299"/>
      <c r="Y114" s="299"/>
      <c r="Z114" s="299"/>
      <c r="AA114" s="299"/>
      <c r="AB114" s="299"/>
      <c r="AC114" s="300"/>
      <c r="AD114" s="300"/>
    </row>
    <row r="115" spans="1:30" ht="12.75" customHeight="1" x14ac:dyDescent="0.2">
      <c r="A115" s="296"/>
      <c r="B115" s="296"/>
      <c r="C115" s="296"/>
      <c r="D115" s="297"/>
      <c r="E115" s="298"/>
      <c r="F115" s="296"/>
      <c r="G115" s="296"/>
      <c r="H115" s="296"/>
      <c r="I115" s="296"/>
      <c r="J115" s="296"/>
      <c r="K115" s="296"/>
      <c r="L115" s="296"/>
      <c r="M115" s="299"/>
      <c r="N115" s="299"/>
      <c r="O115" s="299"/>
      <c r="P115" s="299"/>
      <c r="Q115" s="299"/>
      <c r="R115" s="299"/>
      <c r="S115" s="299"/>
      <c r="T115" s="299"/>
      <c r="U115" s="299"/>
      <c r="V115" s="299"/>
      <c r="W115" s="299"/>
      <c r="X115" s="299"/>
      <c r="Y115" s="299"/>
      <c r="Z115" s="299"/>
      <c r="AA115" s="299"/>
      <c r="AB115" s="299"/>
      <c r="AC115" s="300"/>
      <c r="AD115" s="300"/>
    </row>
    <row r="116" spans="1:30" ht="12.75" customHeight="1" x14ac:dyDescent="0.2">
      <c r="A116" s="296"/>
      <c r="B116" s="296"/>
      <c r="C116" s="296"/>
      <c r="D116" s="297"/>
      <c r="E116" s="298"/>
      <c r="F116" s="296"/>
      <c r="G116" s="296"/>
      <c r="H116" s="296"/>
      <c r="I116" s="296"/>
      <c r="J116" s="296"/>
      <c r="K116" s="296"/>
      <c r="L116" s="296"/>
      <c r="M116" s="299"/>
      <c r="N116" s="299"/>
      <c r="O116" s="299"/>
      <c r="P116" s="299"/>
      <c r="Q116" s="299"/>
      <c r="R116" s="299"/>
      <c r="S116" s="299"/>
      <c r="T116" s="299"/>
      <c r="U116" s="299"/>
      <c r="V116" s="299"/>
      <c r="W116" s="299"/>
      <c r="X116" s="299"/>
      <c r="Y116" s="299"/>
      <c r="Z116" s="299"/>
      <c r="AA116" s="299"/>
      <c r="AB116" s="299"/>
      <c r="AC116" s="300"/>
      <c r="AD116" s="300"/>
    </row>
    <row r="117" spans="1:30" ht="12.75" customHeight="1" x14ac:dyDescent="0.2">
      <c r="A117" s="296"/>
      <c r="B117" s="296"/>
      <c r="C117" s="296"/>
      <c r="D117" s="297"/>
      <c r="E117" s="298"/>
      <c r="F117" s="296"/>
      <c r="G117" s="296"/>
      <c r="H117" s="296"/>
      <c r="I117" s="296"/>
      <c r="J117" s="296"/>
      <c r="K117" s="296"/>
      <c r="L117" s="296"/>
      <c r="M117" s="299"/>
      <c r="N117" s="299"/>
      <c r="O117" s="299"/>
      <c r="P117" s="299"/>
      <c r="Q117" s="299"/>
      <c r="R117" s="299"/>
      <c r="S117" s="299"/>
      <c r="T117" s="299"/>
      <c r="U117" s="299"/>
      <c r="V117" s="299"/>
      <c r="W117" s="299"/>
      <c r="X117" s="299"/>
      <c r="Y117" s="299"/>
      <c r="Z117" s="299"/>
      <c r="AA117" s="299"/>
      <c r="AB117" s="299"/>
      <c r="AC117" s="300"/>
      <c r="AD117" s="300"/>
    </row>
    <row r="118" spans="1:30" ht="12.75" customHeight="1" x14ac:dyDescent="0.2">
      <c r="A118" s="296"/>
      <c r="B118" s="296"/>
      <c r="C118" s="296"/>
      <c r="D118" s="297"/>
      <c r="E118" s="298"/>
      <c r="F118" s="296"/>
      <c r="G118" s="296"/>
      <c r="H118" s="296"/>
      <c r="I118" s="296"/>
      <c r="J118" s="296"/>
      <c r="K118" s="296"/>
      <c r="L118" s="296"/>
      <c r="M118" s="299"/>
      <c r="N118" s="299"/>
      <c r="O118" s="299"/>
      <c r="P118" s="299"/>
      <c r="Q118" s="299"/>
      <c r="R118" s="299"/>
      <c r="S118" s="299"/>
      <c r="T118" s="299"/>
      <c r="U118" s="299"/>
      <c r="V118" s="299"/>
      <c r="W118" s="299"/>
      <c r="X118" s="299"/>
      <c r="Y118" s="299"/>
      <c r="Z118" s="299"/>
      <c r="AA118" s="299"/>
      <c r="AB118" s="299"/>
      <c r="AC118" s="300"/>
      <c r="AD118" s="300"/>
    </row>
    <row r="119" spans="1:30" ht="12.75" customHeight="1" x14ac:dyDescent="0.2">
      <c r="A119" s="296"/>
      <c r="B119" s="296"/>
      <c r="C119" s="296"/>
      <c r="D119" s="297"/>
      <c r="E119" s="298"/>
      <c r="F119" s="296"/>
      <c r="G119" s="296"/>
      <c r="H119" s="296"/>
      <c r="I119" s="296"/>
      <c r="J119" s="296"/>
      <c r="K119" s="296"/>
      <c r="L119" s="296"/>
      <c r="M119" s="299"/>
      <c r="N119" s="299"/>
      <c r="O119" s="299"/>
      <c r="P119" s="299"/>
      <c r="Q119" s="299"/>
      <c r="R119" s="299"/>
      <c r="S119" s="299"/>
      <c r="T119" s="299"/>
      <c r="U119" s="299"/>
      <c r="V119" s="299"/>
      <c r="W119" s="299"/>
      <c r="X119" s="299"/>
      <c r="Y119" s="299"/>
      <c r="Z119" s="299"/>
      <c r="AA119" s="299"/>
      <c r="AB119" s="299"/>
      <c r="AC119" s="300"/>
      <c r="AD119" s="300"/>
    </row>
    <row r="120" spans="1:30" ht="12.75" customHeight="1" x14ac:dyDescent="0.2">
      <c r="A120" s="296"/>
      <c r="B120" s="296"/>
      <c r="C120" s="296"/>
      <c r="D120" s="297"/>
      <c r="E120" s="298"/>
      <c r="F120" s="296"/>
      <c r="G120" s="296"/>
      <c r="H120" s="296"/>
      <c r="I120" s="296"/>
      <c r="J120" s="296"/>
      <c r="K120" s="296"/>
      <c r="L120" s="296"/>
      <c r="M120" s="299"/>
      <c r="N120" s="299"/>
      <c r="O120" s="299"/>
      <c r="P120" s="299"/>
      <c r="Q120" s="299"/>
      <c r="R120" s="299"/>
      <c r="S120" s="299"/>
      <c r="T120" s="299"/>
      <c r="U120" s="299"/>
      <c r="V120" s="299"/>
      <c r="W120" s="299"/>
      <c r="X120" s="299"/>
      <c r="Y120" s="299"/>
      <c r="Z120" s="299"/>
      <c r="AA120" s="299"/>
      <c r="AB120" s="299"/>
      <c r="AC120" s="300"/>
      <c r="AD120" s="300"/>
    </row>
    <row r="121" spans="1:30" ht="12.75" customHeight="1" x14ac:dyDescent="0.2">
      <c r="A121" s="296"/>
      <c r="B121" s="296"/>
      <c r="C121" s="296"/>
      <c r="D121" s="297"/>
      <c r="E121" s="298"/>
      <c r="F121" s="296"/>
      <c r="G121" s="296"/>
      <c r="H121" s="296"/>
      <c r="I121" s="296"/>
      <c r="J121" s="296"/>
      <c r="K121" s="296"/>
      <c r="L121" s="296"/>
      <c r="M121" s="299"/>
      <c r="N121" s="299"/>
      <c r="O121" s="299"/>
      <c r="P121" s="299"/>
      <c r="Q121" s="299"/>
      <c r="R121" s="299"/>
      <c r="S121" s="299"/>
      <c r="T121" s="299"/>
      <c r="U121" s="299"/>
      <c r="V121" s="299"/>
      <c r="W121" s="299"/>
      <c r="X121" s="299"/>
      <c r="Y121" s="299"/>
      <c r="Z121" s="299"/>
      <c r="AA121" s="299"/>
      <c r="AB121" s="299"/>
      <c r="AC121" s="300"/>
      <c r="AD121" s="300"/>
    </row>
    <row r="122" spans="1:30" ht="12.75" customHeight="1" x14ac:dyDescent="0.2">
      <c r="A122" s="296"/>
      <c r="B122" s="296"/>
      <c r="C122" s="296"/>
      <c r="D122" s="297"/>
      <c r="E122" s="298"/>
      <c r="F122" s="296"/>
      <c r="G122" s="296"/>
      <c r="H122" s="296"/>
      <c r="I122" s="296"/>
      <c r="J122" s="296"/>
      <c r="K122" s="296"/>
      <c r="L122" s="296"/>
      <c r="M122" s="299"/>
      <c r="N122" s="299"/>
      <c r="O122" s="299"/>
      <c r="P122" s="299"/>
      <c r="Q122" s="299"/>
      <c r="R122" s="299"/>
      <c r="S122" s="299"/>
      <c r="T122" s="299"/>
      <c r="U122" s="299"/>
      <c r="V122" s="299"/>
      <c r="W122" s="299"/>
      <c r="X122" s="299"/>
      <c r="Y122" s="299"/>
      <c r="Z122" s="299"/>
      <c r="AA122" s="299"/>
      <c r="AB122" s="299"/>
      <c r="AC122" s="300"/>
      <c r="AD122" s="300"/>
    </row>
    <row r="123" spans="1:30" ht="12.75" customHeight="1" x14ac:dyDescent="0.2">
      <c r="A123" s="296"/>
      <c r="B123" s="296"/>
      <c r="C123" s="296"/>
      <c r="D123" s="297"/>
      <c r="E123" s="298"/>
      <c r="F123" s="296"/>
      <c r="G123" s="296"/>
      <c r="H123" s="296"/>
      <c r="I123" s="296"/>
      <c r="J123" s="296"/>
      <c r="K123" s="296"/>
      <c r="L123" s="296"/>
      <c r="M123" s="299"/>
      <c r="N123" s="299"/>
      <c r="O123" s="299"/>
      <c r="P123" s="299"/>
      <c r="Q123" s="299"/>
      <c r="R123" s="299"/>
      <c r="S123" s="299"/>
      <c r="T123" s="299"/>
      <c r="U123" s="299"/>
      <c r="V123" s="299"/>
      <c r="W123" s="299"/>
      <c r="X123" s="299"/>
      <c r="Y123" s="299"/>
      <c r="Z123" s="299"/>
      <c r="AA123" s="299"/>
      <c r="AB123" s="299"/>
      <c r="AC123" s="300"/>
      <c r="AD123" s="300"/>
    </row>
    <row r="124" spans="1:30" ht="12.75" customHeight="1" x14ac:dyDescent="0.2">
      <c r="A124" s="296"/>
      <c r="B124" s="296"/>
      <c r="C124" s="296"/>
      <c r="D124" s="297"/>
      <c r="E124" s="298"/>
      <c r="F124" s="296"/>
      <c r="G124" s="296"/>
      <c r="H124" s="296"/>
      <c r="I124" s="296"/>
      <c r="J124" s="296"/>
      <c r="K124" s="296"/>
      <c r="L124" s="296"/>
      <c r="M124" s="299"/>
      <c r="N124" s="299"/>
      <c r="O124" s="299"/>
      <c r="P124" s="299"/>
      <c r="Q124" s="299"/>
      <c r="R124" s="299"/>
      <c r="S124" s="299"/>
      <c r="T124" s="299"/>
      <c r="U124" s="299"/>
      <c r="V124" s="299"/>
      <c r="W124" s="299"/>
      <c r="X124" s="299"/>
      <c r="Y124" s="299"/>
      <c r="Z124" s="299"/>
      <c r="AA124" s="299"/>
      <c r="AB124" s="299"/>
      <c r="AC124" s="300"/>
      <c r="AD124" s="300"/>
    </row>
    <row r="125" spans="1:30" ht="12.75" customHeight="1" x14ac:dyDescent="0.2">
      <c r="A125" s="296"/>
      <c r="B125" s="296"/>
      <c r="C125" s="296"/>
      <c r="D125" s="297"/>
      <c r="E125" s="298"/>
      <c r="F125" s="296"/>
      <c r="G125" s="296"/>
      <c r="H125" s="296"/>
      <c r="I125" s="296"/>
      <c r="J125" s="296"/>
      <c r="K125" s="296"/>
      <c r="L125" s="296"/>
      <c r="M125" s="299"/>
      <c r="N125" s="299"/>
      <c r="O125" s="299"/>
      <c r="P125" s="299"/>
      <c r="Q125" s="299"/>
      <c r="R125" s="299"/>
      <c r="S125" s="299"/>
      <c r="T125" s="299"/>
      <c r="U125" s="299"/>
      <c r="V125" s="299"/>
      <c r="W125" s="299"/>
      <c r="X125" s="299"/>
      <c r="Y125" s="299"/>
      <c r="Z125" s="299"/>
      <c r="AA125" s="299"/>
      <c r="AB125" s="299"/>
      <c r="AC125" s="300"/>
      <c r="AD125" s="300"/>
    </row>
    <row r="126" spans="1:30" ht="12.75" customHeight="1" x14ac:dyDescent="0.2">
      <c r="A126" s="296"/>
      <c r="B126" s="296"/>
      <c r="C126" s="296"/>
      <c r="D126" s="297"/>
      <c r="E126" s="298"/>
      <c r="F126" s="296"/>
      <c r="G126" s="296"/>
      <c r="H126" s="296"/>
      <c r="I126" s="296"/>
      <c r="J126" s="296"/>
      <c r="K126" s="296"/>
      <c r="L126" s="296"/>
      <c r="M126" s="299"/>
      <c r="N126" s="299"/>
      <c r="O126" s="299"/>
      <c r="P126" s="299"/>
      <c r="Q126" s="299"/>
      <c r="R126" s="299"/>
      <c r="S126" s="299"/>
      <c r="T126" s="299"/>
      <c r="U126" s="299"/>
      <c r="V126" s="299"/>
      <c r="W126" s="299"/>
      <c r="X126" s="299"/>
      <c r="Y126" s="299"/>
      <c r="Z126" s="299"/>
      <c r="AA126" s="299"/>
      <c r="AB126" s="299"/>
      <c r="AC126" s="300"/>
      <c r="AD126" s="300"/>
    </row>
    <row r="127" spans="1:30" ht="12.75" customHeight="1" x14ac:dyDescent="0.2">
      <c r="A127" s="296"/>
      <c r="B127" s="296"/>
      <c r="C127" s="296"/>
      <c r="D127" s="297"/>
      <c r="E127" s="298"/>
      <c r="F127" s="296"/>
      <c r="G127" s="296"/>
      <c r="H127" s="296"/>
      <c r="I127" s="296"/>
      <c r="J127" s="296"/>
      <c r="K127" s="296"/>
      <c r="L127" s="296"/>
      <c r="M127" s="299"/>
      <c r="N127" s="299"/>
      <c r="O127" s="299"/>
      <c r="P127" s="299"/>
      <c r="Q127" s="299"/>
      <c r="R127" s="299"/>
      <c r="S127" s="299"/>
      <c r="T127" s="299"/>
      <c r="U127" s="299"/>
      <c r="V127" s="299"/>
      <c r="W127" s="299"/>
      <c r="X127" s="299"/>
      <c r="Y127" s="299"/>
      <c r="Z127" s="299"/>
      <c r="AA127" s="299"/>
      <c r="AB127" s="299"/>
      <c r="AC127" s="300"/>
      <c r="AD127" s="300"/>
    </row>
    <row r="128" spans="1:30" ht="12.75" customHeight="1" x14ac:dyDescent="0.2">
      <c r="A128" s="296"/>
      <c r="B128" s="296"/>
      <c r="C128" s="296"/>
      <c r="D128" s="297"/>
      <c r="E128" s="298"/>
      <c r="F128" s="296"/>
      <c r="G128" s="296"/>
      <c r="H128" s="296"/>
      <c r="I128" s="296"/>
      <c r="J128" s="296"/>
      <c r="K128" s="296"/>
      <c r="L128" s="296"/>
      <c r="M128" s="299"/>
      <c r="N128" s="299"/>
      <c r="O128" s="299"/>
      <c r="P128" s="299"/>
      <c r="Q128" s="299"/>
      <c r="R128" s="299"/>
      <c r="S128" s="299"/>
      <c r="T128" s="299"/>
      <c r="U128" s="299"/>
      <c r="V128" s="299"/>
      <c r="W128" s="299"/>
      <c r="X128" s="299"/>
      <c r="Y128" s="299"/>
      <c r="Z128" s="299"/>
      <c r="AA128" s="299"/>
      <c r="AB128" s="299"/>
      <c r="AC128" s="300"/>
      <c r="AD128" s="300"/>
    </row>
    <row r="129" spans="1:30" ht="12.75" customHeight="1" x14ac:dyDescent="0.2">
      <c r="A129" s="296"/>
      <c r="B129" s="296"/>
      <c r="C129" s="296"/>
      <c r="D129" s="297"/>
      <c r="E129" s="298"/>
      <c r="F129" s="296"/>
      <c r="G129" s="296"/>
      <c r="H129" s="296"/>
      <c r="I129" s="296"/>
      <c r="J129" s="296"/>
      <c r="K129" s="296"/>
      <c r="L129" s="296"/>
      <c r="M129" s="299"/>
      <c r="N129" s="299"/>
      <c r="O129" s="299"/>
      <c r="P129" s="299"/>
      <c r="Q129" s="299"/>
      <c r="R129" s="299"/>
      <c r="S129" s="299"/>
      <c r="T129" s="299"/>
      <c r="U129" s="299"/>
      <c r="V129" s="299"/>
      <c r="W129" s="299"/>
      <c r="X129" s="299"/>
      <c r="Y129" s="299"/>
      <c r="Z129" s="299"/>
      <c r="AA129" s="299"/>
      <c r="AB129" s="299"/>
      <c r="AC129" s="300"/>
      <c r="AD129" s="300"/>
    </row>
    <row r="130" spans="1:30" ht="12.75" customHeight="1" x14ac:dyDescent="0.2">
      <c r="A130" s="296"/>
      <c r="B130" s="296"/>
      <c r="C130" s="296"/>
      <c r="D130" s="297"/>
      <c r="E130" s="298"/>
      <c r="F130" s="296"/>
      <c r="G130" s="296"/>
      <c r="H130" s="296"/>
      <c r="I130" s="296"/>
      <c r="J130" s="296"/>
      <c r="K130" s="296"/>
      <c r="L130" s="296"/>
      <c r="M130" s="299"/>
      <c r="N130" s="299"/>
      <c r="O130" s="299"/>
      <c r="P130" s="299"/>
      <c r="Q130" s="299"/>
      <c r="R130" s="299"/>
      <c r="S130" s="299"/>
      <c r="T130" s="299"/>
      <c r="U130" s="299"/>
      <c r="V130" s="299"/>
      <c r="W130" s="299"/>
      <c r="X130" s="299"/>
      <c r="Y130" s="299"/>
      <c r="Z130" s="299"/>
      <c r="AA130" s="299"/>
      <c r="AB130" s="299"/>
      <c r="AC130" s="300"/>
      <c r="AD130" s="300"/>
    </row>
    <row r="131" spans="1:30" ht="12.75" customHeight="1" x14ac:dyDescent="0.2">
      <c r="A131" s="296"/>
      <c r="B131" s="296"/>
      <c r="C131" s="296"/>
      <c r="D131" s="297"/>
      <c r="E131" s="298"/>
      <c r="F131" s="296"/>
      <c r="G131" s="296"/>
      <c r="H131" s="296"/>
      <c r="I131" s="296"/>
      <c r="J131" s="296"/>
      <c r="K131" s="296"/>
      <c r="L131" s="296"/>
      <c r="M131" s="299"/>
      <c r="N131" s="299"/>
      <c r="O131" s="299"/>
      <c r="P131" s="299"/>
      <c r="Q131" s="299"/>
      <c r="R131" s="299"/>
      <c r="S131" s="299"/>
      <c r="T131" s="299"/>
      <c r="U131" s="299"/>
      <c r="V131" s="299"/>
      <c r="W131" s="299"/>
      <c r="X131" s="299"/>
      <c r="Y131" s="299"/>
      <c r="Z131" s="299"/>
      <c r="AA131" s="299"/>
      <c r="AB131" s="299"/>
      <c r="AC131" s="300"/>
      <c r="AD131" s="300"/>
    </row>
    <row r="132" spans="1:30" ht="12.75" customHeight="1" x14ac:dyDescent="0.2">
      <c r="A132" s="296"/>
      <c r="B132" s="296"/>
      <c r="C132" s="296"/>
      <c r="D132" s="297"/>
      <c r="E132" s="298"/>
      <c r="F132" s="296"/>
      <c r="G132" s="296"/>
      <c r="H132" s="296"/>
      <c r="I132" s="296"/>
      <c r="J132" s="296"/>
      <c r="K132" s="296"/>
      <c r="L132" s="296"/>
      <c r="M132" s="299"/>
      <c r="N132" s="299"/>
      <c r="O132" s="299"/>
      <c r="P132" s="299"/>
      <c r="Q132" s="299"/>
      <c r="R132" s="299"/>
      <c r="S132" s="299"/>
      <c r="T132" s="299"/>
      <c r="U132" s="299"/>
      <c r="V132" s="299"/>
      <c r="W132" s="299"/>
      <c r="X132" s="299"/>
      <c r="Y132" s="299"/>
      <c r="Z132" s="299"/>
      <c r="AA132" s="299"/>
      <c r="AB132" s="299"/>
      <c r="AC132" s="300"/>
      <c r="AD132" s="300"/>
    </row>
    <row r="133" spans="1:30" ht="12.75" customHeight="1" x14ac:dyDescent="0.2">
      <c r="A133" s="296"/>
      <c r="B133" s="296"/>
      <c r="C133" s="296"/>
      <c r="D133" s="297"/>
      <c r="E133" s="298"/>
      <c r="F133" s="296"/>
      <c r="G133" s="296"/>
      <c r="H133" s="296"/>
      <c r="I133" s="296"/>
      <c r="J133" s="296"/>
      <c r="K133" s="296"/>
      <c r="L133" s="296"/>
      <c r="M133" s="299"/>
      <c r="N133" s="299"/>
      <c r="O133" s="299"/>
      <c r="P133" s="299"/>
      <c r="Q133" s="299"/>
      <c r="R133" s="299"/>
      <c r="S133" s="299"/>
      <c r="T133" s="299"/>
      <c r="U133" s="299"/>
      <c r="V133" s="299"/>
      <c r="W133" s="299"/>
      <c r="X133" s="299"/>
      <c r="Y133" s="299"/>
      <c r="Z133" s="299"/>
      <c r="AA133" s="299"/>
      <c r="AB133" s="299"/>
      <c r="AC133" s="300"/>
      <c r="AD133" s="300"/>
    </row>
    <row r="134" spans="1:30" ht="12.75" customHeight="1" x14ac:dyDescent="0.2">
      <c r="A134" s="296"/>
      <c r="B134" s="296"/>
      <c r="C134" s="296"/>
      <c r="D134" s="297"/>
      <c r="E134" s="298"/>
      <c r="F134" s="296"/>
      <c r="G134" s="296"/>
      <c r="H134" s="296"/>
      <c r="I134" s="296"/>
      <c r="J134" s="296"/>
      <c r="K134" s="296"/>
      <c r="L134" s="296"/>
      <c r="M134" s="299"/>
      <c r="N134" s="299"/>
      <c r="O134" s="299"/>
      <c r="P134" s="299"/>
      <c r="Q134" s="299"/>
      <c r="R134" s="299"/>
      <c r="S134" s="299"/>
      <c r="T134" s="299"/>
      <c r="U134" s="299"/>
      <c r="V134" s="299"/>
      <c r="W134" s="299"/>
      <c r="X134" s="299"/>
      <c r="Y134" s="299"/>
      <c r="Z134" s="299"/>
      <c r="AA134" s="299"/>
      <c r="AB134" s="299"/>
      <c r="AC134" s="300"/>
      <c r="AD134" s="300"/>
    </row>
    <row r="135" spans="1:30" ht="12.75" customHeight="1" x14ac:dyDescent="0.2">
      <c r="A135" s="296"/>
      <c r="B135" s="296"/>
      <c r="C135" s="296"/>
      <c r="D135" s="297"/>
      <c r="E135" s="298"/>
      <c r="F135" s="296"/>
      <c r="G135" s="296"/>
      <c r="H135" s="296"/>
      <c r="I135" s="296"/>
      <c r="J135" s="296"/>
      <c r="K135" s="296"/>
      <c r="L135" s="296"/>
      <c r="M135" s="299"/>
      <c r="N135" s="299"/>
      <c r="O135" s="299"/>
      <c r="P135" s="299"/>
      <c r="Q135" s="299"/>
      <c r="R135" s="299"/>
      <c r="S135" s="299"/>
      <c r="T135" s="299"/>
      <c r="U135" s="299"/>
      <c r="V135" s="299"/>
      <c r="W135" s="299"/>
      <c r="X135" s="299"/>
      <c r="Y135" s="299"/>
      <c r="Z135" s="299"/>
      <c r="AA135" s="299"/>
      <c r="AB135" s="299"/>
      <c r="AC135" s="300"/>
      <c r="AD135" s="300"/>
    </row>
    <row r="136" spans="1:30" ht="12.75" customHeight="1" x14ac:dyDescent="0.2">
      <c r="A136" s="296"/>
      <c r="B136" s="296"/>
      <c r="C136" s="296"/>
      <c r="D136" s="297"/>
      <c r="E136" s="298"/>
      <c r="F136" s="296"/>
      <c r="G136" s="296"/>
      <c r="H136" s="296"/>
      <c r="I136" s="296"/>
      <c r="J136" s="296"/>
      <c r="K136" s="296"/>
      <c r="L136" s="296"/>
      <c r="M136" s="299"/>
      <c r="N136" s="299"/>
      <c r="O136" s="299"/>
      <c r="P136" s="299"/>
      <c r="Q136" s="299"/>
      <c r="R136" s="299"/>
      <c r="S136" s="299"/>
      <c r="T136" s="299"/>
      <c r="U136" s="299"/>
      <c r="V136" s="299"/>
      <c r="W136" s="299"/>
      <c r="X136" s="299"/>
      <c r="Y136" s="299"/>
      <c r="Z136" s="299"/>
      <c r="AA136" s="299"/>
      <c r="AB136" s="299"/>
      <c r="AC136" s="300"/>
      <c r="AD136" s="300"/>
    </row>
    <row r="137" spans="1:30" ht="12.75" customHeight="1" x14ac:dyDescent="0.2">
      <c r="A137" s="296"/>
      <c r="B137" s="296"/>
      <c r="C137" s="296"/>
      <c r="D137" s="297"/>
      <c r="E137" s="298"/>
      <c r="F137" s="296"/>
      <c r="G137" s="296"/>
      <c r="H137" s="296"/>
      <c r="I137" s="296"/>
      <c r="J137" s="296"/>
      <c r="K137" s="296"/>
      <c r="L137" s="296"/>
      <c r="M137" s="299"/>
      <c r="N137" s="299"/>
      <c r="O137" s="299"/>
      <c r="P137" s="299"/>
      <c r="Q137" s="299"/>
      <c r="R137" s="299"/>
      <c r="S137" s="299"/>
      <c r="T137" s="299"/>
      <c r="U137" s="299"/>
      <c r="V137" s="299"/>
      <c r="W137" s="299"/>
      <c r="X137" s="299"/>
      <c r="Y137" s="299"/>
      <c r="Z137" s="299"/>
      <c r="AA137" s="299"/>
      <c r="AB137" s="299"/>
      <c r="AC137" s="300"/>
      <c r="AD137" s="300"/>
    </row>
    <row r="138" spans="1:30" ht="12.75" customHeight="1" x14ac:dyDescent="0.2">
      <c r="A138" s="296"/>
      <c r="B138" s="296"/>
      <c r="C138" s="296"/>
      <c r="D138" s="297"/>
      <c r="E138" s="298"/>
      <c r="F138" s="296"/>
      <c r="G138" s="296"/>
      <c r="H138" s="296"/>
      <c r="I138" s="296"/>
      <c r="J138" s="296"/>
      <c r="K138" s="296"/>
      <c r="L138" s="296"/>
      <c r="M138" s="299"/>
      <c r="N138" s="299"/>
      <c r="O138" s="299"/>
      <c r="P138" s="299"/>
      <c r="Q138" s="299"/>
      <c r="R138" s="299"/>
      <c r="S138" s="299"/>
      <c r="T138" s="299"/>
      <c r="U138" s="299"/>
      <c r="V138" s="299"/>
      <c r="W138" s="299"/>
      <c r="X138" s="299"/>
      <c r="Y138" s="299"/>
      <c r="Z138" s="299"/>
      <c r="AA138" s="299"/>
      <c r="AB138" s="299"/>
      <c r="AC138" s="300"/>
      <c r="AD138" s="300"/>
    </row>
    <row r="139" spans="1:30" ht="12.75" customHeight="1" x14ac:dyDescent="0.2">
      <c r="A139" s="296"/>
      <c r="B139" s="296"/>
      <c r="C139" s="296"/>
      <c r="D139" s="297"/>
      <c r="E139" s="298"/>
      <c r="F139" s="296"/>
      <c r="G139" s="296"/>
      <c r="H139" s="296"/>
      <c r="I139" s="296"/>
      <c r="J139" s="296"/>
      <c r="K139" s="296"/>
      <c r="L139" s="296"/>
      <c r="M139" s="299"/>
      <c r="N139" s="299"/>
      <c r="O139" s="299"/>
      <c r="P139" s="299"/>
      <c r="Q139" s="299"/>
      <c r="R139" s="299"/>
      <c r="S139" s="299"/>
      <c r="T139" s="299"/>
      <c r="U139" s="299"/>
      <c r="V139" s="299"/>
      <c r="W139" s="299"/>
      <c r="X139" s="299"/>
      <c r="Y139" s="299"/>
      <c r="Z139" s="299"/>
      <c r="AA139" s="299"/>
      <c r="AB139" s="299"/>
      <c r="AC139" s="300"/>
      <c r="AD139" s="300"/>
    </row>
    <row r="140" spans="1:30" ht="12.75" customHeight="1" x14ac:dyDescent="0.2">
      <c r="A140" s="296"/>
      <c r="B140" s="296"/>
      <c r="C140" s="296"/>
      <c r="D140" s="297"/>
      <c r="E140" s="298"/>
      <c r="F140" s="296"/>
      <c r="G140" s="296"/>
      <c r="H140" s="296"/>
      <c r="I140" s="296"/>
      <c r="J140" s="296"/>
      <c r="K140" s="296"/>
      <c r="L140" s="296"/>
      <c r="M140" s="299"/>
      <c r="N140" s="299"/>
      <c r="O140" s="299"/>
      <c r="P140" s="299"/>
      <c r="Q140" s="299"/>
      <c r="R140" s="299"/>
      <c r="S140" s="299"/>
      <c r="T140" s="299"/>
      <c r="U140" s="299"/>
      <c r="V140" s="299"/>
      <c r="W140" s="299"/>
      <c r="X140" s="299"/>
      <c r="Y140" s="299"/>
      <c r="Z140" s="299"/>
      <c r="AA140" s="299"/>
      <c r="AB140" s="299"/>
      <c r="AC140" s="300"/>
      <c r="AD140" s="300"/>
    </row>
    <row r="141" spans="1:30" ht="12.75" customHeight="1" x14ac:dyDescent="0.2">
      <c r="A141" s="296"/>
      <c r="B141" s="296"/>
      <c r="C141" s="296"/>
      <c r="D141" s="297"/>
      <c r="E141" s="298"/>
      <c r="F141" s="296"/>
      <c r="G141" s="296"/>
      <c r="H141" s="296"/>
      <c r="I141" s="296"/>
      <c r="J141" s="296"/>
      <c r="K141" s="296"/>
      <c r="L141" s="296"/>
      <c r="M141" s="299"/>
      <c r="N141" s="299"/>
      <c r="O141" s="299"/>
      <c r="P141" s="299"/>
      <c r="Q141" s="299"/>
      <c r="R141" s="299"/>
      <c r="S141" s="299"/>
      <c r="T141" s="299"/>
      <c r="U141" s="299"/>
      <c r="V141" s="299"/>
      <c r="W141" s="299"/>
      <c r="X141" s="299"/>
      <c r="Y141" s="299"/>
      <c r="Z141" s="299"/>
      <c r="AA141" s="299"/>
      <c r="AB141" s="299"/>
      <c r="AC141" s="300"/>
      <c r="AD141" s="300"/>
    </row>
    <row r="142" spans="1:30" ht="12.75" customHeight="1" x14ac:dyDescent="0.2">
      <c r="A142" s="296"/>
      <c r="B142" s="296"/>
      <c r="C142" s="296"/>
      <c r="D142" s="297"/>
      <c r="E142" s="298"/>
      <c r="F142" s="296"/>
      <c r="G142" s="296"/>
      <c r="H142" s="296"/>
      <c r="I142" s="296"/>
      <c r="J142" s="296"/>
      <c r="K142" s="296"/>
      <c r="L142" s="296"/>
      <c r="M142" s="299"/>
      <c r="N142" s="299"/>
      <c r="O142" s="299"/>
      <c r="P142" s="299"/>
      <c r="Q142" s="299"/>
      <c r="R142" s="299"/>
      <c r="S142" s="299"/>
      <c r="T142" s="299"/>
      <c r="U142" s="299"/>
      <c r="V142" s="299"/>
      <c r="W142" s="299"/>
      <c r="X142" s="299"/>
      <c r="Y142" s="299"/>
      <c r="Z142" s="299"/>
      <c r="AA142" s="299"/>
      <c r="AB142" s="299"/>
      <c r="AC142" s="300"/>
      <c r="AD142" s="300"/>
    </row>
    <row r="143" spans="1:30" ht="12.75" customHeight="1" x14ac:dyDescent="0.2">
      <c r="A143" s="296"/>
      <c r="B143" s="296"/>
      <c r="C143" s="296"/>
      <c r="D143" s="297"/>
      <c r="E143" s="298"/>
      <c r="F143" s="296"/>
      <c r="G143" s="296"/>
      <c r="H143" s="296"/>
      <c r="I143" s="296"/>
      <c r="J143" s="296"/>
      <c r="K143" s="296"/>
      <c r="L143" s="296"/>
      <c r="M143" s="299"/>
      <c r="N143" s="299"/>
      <c r="O143" s="299"/>
      <c r="P143" s="299"/>
      <c r="Q143" s="299"/>
      <c r="R143" s="299"/>
      <c r="S143" s="299"/>
      <c r="T143" s="299"/>
      <c r="U143" s="299"/>
      <c r="V143" s="299"/>
      <c r="W143" s="299"/>
      <c r="X143" s="299"/>
      <c r="Y143" s="299"/>
      <c r="Z143" s="299"/>
      <c r="AA143" s="299"/>
      <c r="AB143" s="299"/>
      <c r="AC143" s="300"/>
      <c r="AD143" s="300"/>
    </row>
    <row r="144" spans="1:30" ht="12.75" customHeight="1" x14ac:dyDescent="0.2">
      <c r="A144" s="296"/>
      <c r="B144" s="296"/>
      <c r="C144" s="296"/>
      <c r="D144" s="297"/>
      <c r="E144" s="298"/>
      <c r="F144" s="296"/>
      <c r="G144" s="296"/>
      <c r="H144" s="296"/>
      <c r="I144" s="296"/>
      <c r="J144" s="296"/>
      <c r="K144" s="296"/>
      <c r="L144" s="296"/>
      <c r="M144" s="299"/>
      <c r="N144" s="299"/>
      <c r="O144" s="299"/>
      <c r="P144" s="299"/>
      <c r="Q144" s="299"/>
      <c r="R144" s="299"/>
      <c r="S144" s="299"/>
      <c r="T144" s="299"/>
      <c r="U144" s="299"/>
      <c r="V144" s="299"/>
      <c r="W144" s="299"/>
      <c r="X144" s="299"/>
      <c r="Y144" s="299"/>
      <c r="Z144" s="299"/>
      <c r="AA144" s="299"/>
      <c r="AB144" s="299"/>
      <c r="AC144" s="300"/>
      <c r="AD144" s="300"/>
    </row>
    <row r="145" spans="1:30" ht="12.75" customHeight="1" x14ac:dyDescent="0.2">
      <c r="A145" s="296"/>
      <c r="B145" s="296"/>
      <c r="C145" s="296"/>
      <c r="D145" s="297"/>
      <c r="E145" s="298"/>
      <c r="F145" s="296"/>
      <c r="G145" s="296"/>
      <c r="H145" s="296"/>
      <c r="I145" s="296"/>
      <c r="J145" s="296"/>
      <c r="K145" s="296"/>
      <c r="L145" s="296"/>
      <c r="M145" s="299"/>
      <c r="N145" s="299"/>
      <c r="O145" s="299"/>
      <c r="P145" s="299"/>
      <c r="Q145" s="299"/>
      <c r="R145" s="299"/>
      <c r="S145" s="299"/>
      <c r="T145" s="299"/>
      <c r="U145" s="299"/>
      <c r="V145" s="299"/>
      <c r="W145" s="299"/>
      <c r="X145" s="299"/>
      <c r="Y145" s="299"/>
      <c r="Z145" s="299"/>
      <c r="AA145" s="299"/>
      <c r="AB145" s="299"/>
      <c r="AC145" s="300"/>
      <c r="AD145" s="300"/>
    </row>
    <row r="146" spans="1:30" ht="12.75" customHeight="1" x14ac:dyDescent="0.2">
      <c r="A146" s="296"/>
      <c r="B146" s="296"/>
      <c r="C146" s="296"/>
      <c r="D146" s="297"/>
      <c r="E146" s="298"/>
      <c r="F146" s="296"/>
      <c r="G146" s="296"/>
      <c r="H146" s="296"/>
      <c r="I146" s="296"/>
      <c r="J146" s="296"/>
      <c r="K146" s="296"/>
      <c r="L146" s="296"/>
      <c r="M146" s="299"/>
      <c r="N146" s="299"/>
      <c r="O146" s="299"/>
      <c r="P146" s="299"/>
      <c r="Q146" s="299"/>
      <c r="R146" s="299"/>
      <c r="S146" s="299"/>
      <c r="T146" s="299"/>
      <c r="U146" s="299"/>
      <c r="V146" s="299"/>
      <c r="W146" s="299"/>
      <c r="X146" s="299"/>
      <c r="Y146" s="299"/>
      <c r="Z146" s="299"/>
      <c r="AA146" s="299"/>
      <c r="AB146" s="299"/>
      <c r="AC146" s="300"/>
      <c r="AD146" s="300"/>
    </row>
    <row r="147" spans="1:30" ht="12.75" customHeight="1" x14ac:dyDescent="0.2">
      <c r="A147" s="296"/>
      <c r="B147" s="296"/>
      <c r="C147" s="296"/>
      <c r="D147" s="297"/>
      <c r="E147" s="298"/>
      <c r="F147" s="296"/>
      <c r="G147" s="296"/>
      <c r="H147" s="296"/>
      <c r="I147" s="296"/>
      <c r="J147" s="296"/>
      <c r="K147" s="296"/>
      <c r="L147" s="296"/>
      <c r="M147" s="299"/>
      <c r="N147" s="299"/>
      <c r="O147" s="299"/>
      <c r="P147" s="299"/>
      <c r="Q147" s="299"/>
      <c r="R147" s="299"/>
      <c r="S147" s="299"/>
      <c r="T147" s="299"/>
      <c r="U147" s="299"/>
      <c r="V147" s="299"/>
      <c r="W147" s="299"/>
      <c r="X147" s="299"/>
      <c r="Y147" s="299"/>
      <c r="Z147" s="299"/>
      <c r="AA147" s="299"/>
      <c r="AB147" s="299"/>
      <c r="AC147" s="300"/>
      <c r="AD147" s="300"/>
    </row>
    <row r="148" spans="1:30" ht="12.75" customHeight="1" x14ac:dyDescent="0.2">
      <c r="A148" s="296"/>
      <c r="B148" s="296"/>
      <c r="C148" s="296"/>
      <c r="D148" s="297"/>
      <c r="E148" s="298"/>
      <c r="F148" s="296"/>
      <c r="G148" s="296"/>
      <c r="H148" s="296"/>
      <c r="I148" s="296"/>
      <c r="J148" s="296"/>
      <c r="K148" s="296"/>
      <c r="L148" s="296"/>
      <c r="M148" s="299"/>
      <c r="N148" s="299"/>
      <c r="O148" s="299"/>
      <c r="P148" s="299"/>
      <c r="Q148" s="299"/>
      <c r="R148" s="299"/>
      <c r="S148" s="299"/>
      <c r="T148" s="299"/>
      <c r="U148" s="299"/>
      <c r="V148" s="299"/>
      <c r="W148" s="299"/>
      <c r="X148" s="299"/>
      <c r="Y148" s="299"/>
      <c r="Z148" s="299"/>
      <c r="AA148" s="299"/>
      <c r="AB148" s="299"/>
      <c r="AC148" s="300"/>
      <c r="AD148" s="300"/>
    </row>
    <row r="149" spans="1:30" ht="12.75" customHeight="1" x14ac:dyDescent="0.2">
      <c r="A149" s="296"/>
      <c r="B149" s="296"/>
      <c r="C149" s="296"/>
      <c r="D149" s="297"/>
      <c r="E149" s="298"/>
      <c r="F149" s="296"/>
      <c r="G149" s="296"/>
      <c r="H149" s="296"/>
      <c r="I149" s="296"/>
      <c r="J149" s="296"/>
      <c r="K149" s="296"/>
      <c r="L149" s="296"/>
      <c r="M149" s="299"/>
      <c r="N149" s="299"/>
      <c r="O149" s="299"/>
      <c r="P149" s="299"/>
      <c r="Q149" s="299"/>
      <c r="R149" s="299"/>
      <c r="S149" s="299"/>
      <c r="T149" s="299"/>
      <c r="U149" s="299"/>
      <c r="V149" s="299"/>
      <c r="W149" s="299"/>
      <c r="X149" s="299"/>
      <c r="Y149" s="299"/>
      <c r="Z149" s="299"/>
      <c r="AA149" s="299"/>
      <c r="AB149" s="299"/>
      <c r="AC149" s="300"/>
      <c r="AD149" s="300"/>
    </row>
    <row r="150" spans="1:30" ht="12.75" customHeight="1" x14ac:dyDescent="0.2">
      <c r="A150" s="296"/>
      <c r="B150" s="296"/>
      <c r="C150" s="296"/>
      <c r="D150" s="297"/>
      <c r="E150" s="298"/>
      <c r="F150" s="296"/>
      <c r="G150" s="296"/>
      <c r="H150" s="296"/>
      <c r="I150" s="296"/>
      <c r="J150" s="296"/>
      <c r="K150" s="296"/>
      <c r="L150" s="296"/>
      <c r="M150" s="299"/>
      <c r="N150" s="299"/>
      <c r="O150" s="299"/>
      <c r="P150" s="299"/>
      <c r="Q150" s="299"/>
      <c r="R150" s="299"/>
      <c r="S150" s="299"/>
      <c r="T150" s="299"/>
      <c r="U150" s="299"/>
      <c r="V150" s="299"/>
      <c r="W150" s="299"/>
      <c r="X150" s="299"/>
      <c r="Y150" s="299"/>
      <c r="Z150" s="299"/>
      <c r="AA150" s="299"/>
      <c r="AB150" s="299"/>
      <c r="AC150" s="300"/>
      <c r="AD150" s="300"/>
    </row>
    <row r="151" spans="1:30" ht="12.75" customHeight="1" x14ac:dyDescent="0.2">
      <c r="A151" s="296"/>
      <c r="B151" s="296"/>
      <c r="C151" s="296"/>
      <c r="D151" s="297"/>
      <c r="E151" s="298"/>
      <c r="F151" s="296"/>
      <c r="G151" s="296"/>
      <c r="H151" s="296"/>
      <c r="I151" s="296"/>
      <c r="J151" s="296"/>
      <c r="K151" s="296"/>
      <c r="L151" s="296"/>
      <c r="M151" s="299"/>
      <c r="N151" s="299"/>
      <c r="O151" s="299"/>
      <c r="P151" s="299"/>
      <c r="Q151" s="299"/>
      <c r="R151" s="299"/>
      <c r="S151" s="299"/>
      <c r="T151" s="299"/>
      <c r="U151" s="299"/>
      <c r="V151" s="299"/>
      <c r="W151" s="299"/>
      <c r="X151" s="299"/>
      <c r="Y151" s="299"/>
      <c r="Z151" s="299"/>
      <c r="AA151" s="299"/>
      <c r="AB151" s="299"/>
      <c r="AC151" s="300"/>
      <c r="AD151" s="300"/>
    </row>
    <row r="152" spans="1:30" ht="12.75" customHeight="1" x14ac:dyDescent="0.2">
      <c r="A152" s="296"/>
      <c r="B152" s="296"/>
      <c r="C152" s="296"/>
      <c r="D152" s="297"/>
      <c r="E152" s="298"/>
      <c r="F152" s="296"/>
      <c r="G152" s="296"/>
      <c r="H152" s="296"/>
      <c r="I152" s="296"/>
      <c r="J152" s="296"/>
      <c r="K152" s="296"/>
      <c r="L152" s="296"/>
      <c r="M152" s="299"/>
      <c r="N152" s="299"/>
      <c r="O152" s="299"/>
      <c r="P152" s="299"/>
      <c r="Q152" s="299"/>
      <c r="R152" s="299"/>
      <c r="S152" s="299"/>
      <c r="T152" s="299"/>
      <c r="U152" s="299"/>
      <c r="V152" s="299"/>
      <c r="W152" s="299"/>
      <c r="X152" s="299"/>
      <c r="Y152" s="299"/>
      <c r="Z152" s="299"/>
      <c r="AA152" s="299"/>
      <c r="AB152" s="299"/>
      <c r="AC152" s="300"/>
      <c r="AD152" s="300"/>
    </row>
    <row r="153" spans="1:30" ht="12.75" customHeight="1" x14ac:dyDescent="0.2">
      <c r="A153" s="296"/>
      <c r="B153" s="296"/>
      <c r="C153" s="296"/>
      <c r="D153" s="297"/>
      <c r="E153" s="298"/>
      <c r="F153" s="296"/>
      <c r="G153" s="296"/>
      <c r="H153" s="296"/>
      <c r="I153" s="296"/>
      <c r="J153" s="296"/>
      <c r="K153" s="296"/>
      <c r="L153" s="296"/>
      <c r="M153" s="299"/>
      <c r="N153" s="299"/>
      <c r="O153" s="299"/>
      <c r="P153" s="299"/>
      <c r="Q153" s="299"/>
      <c r="R153" s="299"/>
      <c r="S153" s="299"/>
      <c r="T153" s="299"/>
      <c r="U153" s="299"/>
      <c r="V153" s="299"/>
      <c r="W153" s="299"/>
      <c r="X153" s="299"/>
      <c r="Y153" s="299"/>
      <c r="Z153" s="299"/>
      <c r="AA153" s="299"/>
      <c r="AB153" s="299"/>
      <c r="AC153" s="300"/>
      <c r="AD153" s="300"/>
    </row>
    <row r="154" spans="1:30" ht="12.75" customHeight="1" x14ac:dyDescent="0.2">
      <c r="A154" s="296"/>
      <c r="B154" s="296"/>
      <c r="C154" s="296"/>
      <c r="D154" s="297"/>
      <c r="E154" s="298"/>
      <c r="F154" s="296"/>
      <c r="G154" s="296"/>
      <c r="H154" s="296"/>
      <c r="I154" s="296"/>
      <c r="J154" s="296"/>
      <c r="K154" s="296"/>
      <c r="L154" s="296"/>
      <c r="M154" s="299"/>
      <c r="N154" s="299"/>
      <c r="O154" s="299"/>
      <c r="P154" s="299"/>
      <c r="Q154" s="299"/>
      <c r="R154" s="299"/>
      <c r="S154" s="299"/>
      <c r="T154" s="299"/>
      <c r="U154" s="299"/>
      <c r="V154" s="299"/>
      <c r="W154" s="299"/>
      <c r="X154" s="299"/>
      <c r="Y154" s="299"/>
      <c r="Z154" s="299"/>
      <c r="AA154" s="299"/>
      <c r="AB154" s="299"/>
      <c r="AC154" s="300"/>
      <c r="AD154" s="300"/>
    </row>
    <row r="155" spans="1:30" ht="12.75" customHeight="1" x14ac:dyDescent="0.2">
      <c r="A155" s="296"/>
      <c r="B155" s="296"/>
      <c r="C155" s="296"/>
      <c r="D155" s="297"/>
      <c r="E155" s="298"/>
      <c r="F155" s="296"/>
      <c r="G155" s="296"/>
      <c r="H155" s="296"/>
      <c r="I155" s="296"/>
      <c r="J155" s="296"/>
      <c r="K155" s="296"/>
      <c r="L155" s="296"/>
      <c r="M155" s="299"/>
      <c r="N155" s="299"/>
      <c r="O155" s="299"/>
      <c r="P155" s="299"/>
      <c r="Q155" s="299"/>
      <c r="R155" s="299"/>
      <c r="S155" s="299"/>
      <c r="T155" s="299"/>
      <c r="U155" s="299"/>
      <c r="V155" s="299"/>
      <c r="W155" s="299"/>
      <c r="X155" s="299"/>
      <c r="Y155" s="299"/>
      <c r="Z155" s="299"/>
      <c r="AA155" s="299"/>
      <c r="AB155" s="299"/>
      <c r="AC155" s="300"/>
      <c r="AD155" s="300"/>
    </row>
    <row r="156" spans="1:30" ht="12.75" customHeight="1" x14ac:dyDescent="0.2">
      <c r="A156" s="296"/>
      <c r="B156" s="296"/>
      <c r="C156" s="296"/>
      <c r="D156" s="297"/>
      <c r="E156" s="298"/>
      <c r="F156" s="296"/>
      <c r="G156" s="296"/>
      <c r="H156" s="296"/>
      <c r="I156" s="296"/>
      <c r="J156" s="296"/>
      <c r="K156" s="296"/>
      <c r="L156" s="296"/>
      <c r="M156" s="299"/>
      <c r="N156" s="299"/>
      <c r="O156" s="299"/>
      <c r="P156" s="299"/>
      <c r="Q156" s="299"/>
      <c r="R156" s="299"/>
      <c r="S156" s="299"/>
      <c r="T156" s="299"/>
      <c r="U156" s="299"/>
      <c r="V156" s="299"/>
      <c r="W156" s="299"/>
      <c r="X156" s="299"/>
      <c r="Y156" s="299"/>
      <c r="Z156" s="299"/>
      <c r="AA156" s="299"/>
      <c r="AB156" s="299"/>
      <c r="AC156" s="300"/>
      <c r="AD156" s="300"/>
    </row>
    <row r="157" spans="1:30" ht="12.75" customHeight="1" x14ac:dyDescent="0.2">
      <c r="A157" s="296"/>
      <c r="B157" s="296"/>
      <c r="C157" s="296"/>
      <c r="D157" s="297"/>
      <c r="E157" s="298"/>
      <c r="F157" s="296"/>
      <c r="G157" s="296"/>
      <c r="H157" s="296"/>
      <c r="I157" s="296"/>
      <c r="J157" s="296"/>
      <c r="K157" s="296"/>
      <c r="L157" s="296"/>
      <c r="M157" s="299"/>
      <c r="N157" s="299"/>
      <c r="O157" s="299"/>
      <c r="P157" s="299"/>
      <c r="Q157" s="299"/>
      <c r="R157" s="299"/>
      <c r="S157" s="299"/>
      <c r="T157" s="299"/>
      <c r="U157" s="299"/>
      <c r="V157" s="299"/>
      <c r="W157" s="299"/>
      <c r="X157" s="299"/>
      <c r="Y157" s="299"/>
      <c r="Z157" s="299"/>
      <c r="AA157" s="299"/>
      <c r="AB157" s="299"/>
      <c r="AC157" s="300"/>
      <c r="AD157" s="300"/>
    </row>
    <row r="158" spans="1:30" ht="12.75" customHeight="1" x14ac:dyDescent="0.2">
      <c r="A158" s="296"/>
      <c r="B158" s="296"/>
      <c r="C158" s="296"/>
      <c r="D158" s="297"/>
      <c r="E158" s="298"/>
      <c r="F158" s="296"/>
      <c r="G158" s="296"/>
      <c r="H158" s="296"/>
      <c r="I158" s="296"/>
      <c r="J158" s="296"/>
      <c r="K158" s="296"/>
      <c r="L158" s="296"/>
      <c r="M158" s="299"/>
      <c r="N158" s="299"/>
      <c r="O158" s="299"/>
      <c r="P158" s="299"/>
      <c r="Q158" s="299"/>
      <c r="R158" s="299"/>
      <c r="S158" s="299"/>
      <c r="T158" s="299"/>
      <c r="U158" s="299"/>
      <c r="V158" s="299"/>
      <c r="W158" s="299"/>
      <c r="X158" s="299"/>
      <c r="Y158" s="299"/>
      <c r="Z158" s="299"/>
      <c r="AA158" s="299"/>
      <c r="AB158" s="299"/>
      <c r="AC158" s="300"/>
      <c r="AD158" s="300"/>
    </row>
    <row r="159" spans="1:30" ht="12.75" customHeight="1" x14ac:dyDescent="0.2">
      <c r="A159" s="296"/>
      <c r="B159" s="296"/>
      <c r="C159" s="296"/>
      <c r="D159" s="297"/>
      <c r="E159" s="298"/>
      <c r="F159" s="296"/>
      <c r="G159" s="296"/>
      <c r="H159" s="296"/>
      <c r="I159" s="296"/>
      <c r="J159" s="296"/>
      <c r="K159" s="296"/>
      <c r="L159" s="296"/>
      <c r="M159" s="299"/>
      <c r="N159" s="299"/>
      <c r="O159" s="299"/>
      <c r="P159" s="299"/>
      <c r="Q159" s="299"/>
      <c r="R159" s="299"/>
      <c r="S159" s="299"/>
      <c r="T159" s="299"/>
      <c r="U159" s="299"/>
      <c r="V159" s="299"/>
      <c r="W159" s="299"/>
      <c r="X159" s="299"/>
      <c r="Y159" s="299"/>
      <c r="Z159" s="299"/>
      <c r="AA159" s="299"/>
      <c r="AB159" s="299"/>
      <c r="AC159" s="300"/>
      <c r="AD159" s="300"/>
    </row>
    <row r="160" spans="1:30" ht="12.75" customHeight="1" x14ac:dyDescent="0.2">
      <c r="A160" s="296"/>
      <c r="B160" s="296"/>
      <c r="C160" s="296"/>
      <c r="D160" s="297"/>
      <c r="E160" s="298"/>
      <c r="F160" s="296"/>
      <c r="G160" s="296"/>
      <c r="H160" s="296"/>
      <c r="I160" s="296"/>
      <c r="J160" s="296"/>
      <c r="K160" s="296"/>
      <c r="L160" s="296"/>
      <c r="M160" s="299"/>
      <c r="N160" s="299"/>
      <c r="O160" s="299"/>
      <c r="P160" s="299"/>
      <c r="Q160" s="299"/>
      <c r="R160" s="299"/>
      <c r="S160" s="299"/>
      <c r="T160" s="299"/>
      <c r="U160" s="299"/>
      <c r="V160" s="299"/>
      <c r="W160" s="299"/>
      <c r="X160" s="299"/>
      <c r="Y160" s="299"/>
      <c r="Z160" s="299"/>
      <c r="AA160" s="299"/>
      <c r="AB160" s="299"/>
      <c r="AC160" s="300"/>
      <c r="AD160" s="300"/>
    </row>
    <row r="161" spans="1:30" ht="12.75" customHeight="1" x14ac:dyDescent="0.2">
      <c r="A161" s="296"/>
      <c r="B161" s="296"/>
      <c r="C161" s="296"/>
      <c r="D161" s="297"/>
      <c r="E161" s="298"/>
      <c r="F161" s="296"/>
      <c r="G161" s="296"/>
      <c r="H161" s="296"/>
      <c r="I161" s="296"/>
      <c r="J161" s="296"/>
      <c r="K161" s="296"/>
      <c r="L161" s="296"/>
      <c r="M161" s="299"/>
      <c r="N161" s="299"/>
      <c r="O161" s="299"/>
      <c r="P161" s="299"/>
      <c r="Q161" s="299"/>
      <c r="R161" s="299"/>
      <c r="S161" s="299"/>
      <c r="T161" s="299"/>
      <c r="U161" s="299"/>
      <c r="V161" s="299"/>
      <c r="W161" s="299"/>
      <c r="X161" s="299"/>
      <c r="Y161" s="299"/>
      <c r="Z161" s="299"/>
      <c r="AA161" s="299"/>
      <c r="AB161" s="299"/>
      <c r="AC161" s="300"/>
      <c r="AD161" s="300"/>
    </row>
    <row r="162" spans="1:30" ht="12.75" customHeight="1" x14ac:dyDescent="0.2">
      <c r="A162" s="296"/>
      <c r="B162" s="296"/>
      <c r="C162" s="296"/>
      <c r="D162" s="297"/>
      <c r="E162" s="298"/>
      <c r="F162" s="296"/>
      <c r="G162" s="296"/>
      <c r="H162" s="296"/>
      <c r="I162" s="296"/>
      <c r="J162" s="296"/>
      <c r="K162" s="296"/>
      <c r="L162" s="296"/>
      <c r="M162" s="299"/>
      <c r="N162" s="299"/>
      <c r="O162" s="299"/>
      <c r="P162" s="299"/>
      <c r="Q162" s="299"/>
      <c r="R162" s="299"/>
      <c r="S162" s="299"/>
      <c r="T162" s="299"/>
      <c r="U162" s="299"/>
      <c r="V162" s="299"/>
      <c r="W162" s="299"/>
      <c r="X162" s="299"/>
      <c r="Y162" s="299"/>
      <c r="Z162" s="299"/>
      <c r="AA162" s="299"/>
      <c r="AB162" s="299"/>
      <c r="AC162" s="300"/>
      <c r="AD162" s="300"/>
    </row>
    <row r="163" spans="1:30" ht="12.75" customHeight="1" x14ac:dyDescent="0.2">
      <c r="A163" s="296"/>
      <c r="B163" s="296"/>
      <c r="C163" s="296"/>
      <c r="D163" s="297"/>
      <c r="E163" s="298"/>
      <c r="F163" s="296"/>
      <c r="G163" s="296"/>
      <c r="H163" s="296"/>
      <c r="I163" s="296"/>
      <c r="J163" s="296"/>
      <c r="K163" s="296"/>
      <c r="L163" s="296"/>
      <c r="M163" s="299"/>
      <c r="N163" s="299"/>
      <c r="O163" s="299"/>
      <c r="P163" s="299"/>
      <c r="Q163" s="299"/>
      <c r="R163" s="299"/>
      <c r="S163" s="299"/>
      <c r="T163" s="299"/>
      <c r="U163" s="299"/>
      <c r="V163" s="299"/>
      <c r="W163" s="299"/>
      <c r="X163" s="299"/>
      <c r="Y163" s="299"/>
      <c r="Z163" s="299"/>
      <c r="AA163" s="299"/>
      <c r="AB163" s="299"/>
      <c r="AC163" s="300"/>
      <c r="AD163" s="300"/>
    </row>
    <row r="164" spans="1:30" ht="12.75" customHeight="1" x14ac:dyDescent="0.2">
      <c r="A164" s="296"/>
      <c r="B164" s="296"/>
      <c r="C164" s="296"/>
      <c r="D164" s="297"/>
      <c r="E164" s="298"/>
      <c r="F164" s="296"/>
      <c r="G164" s="296"/>
      <c r="H164" s="296"/>
      <c r="I164" s="296"/>
      <c r="J164" s="296"/>
      <c r="K164" s="296"/>
      <c r="L164" s="296"/>
      <c r="M164" s="299"/>
      <c r="N164" s="299"/>
      <c r="O164" s="299"/>
      <c r="P164" s="299"/>
      <c r="Q164" s="299"/>
      <c r="R164" s="299"/>
      <c r="S164" s="299"/>
      <c r="T164" s="299"/>
      <c r="U164" s="299"/>
      <c r="V164" s="299"/>
      <c r="W164" s="299"/>
      <c r="X164" s="299"/>
      <c r="Y164" s="299"/>
      <c r="Z164" s="299"/>
      <c r="AA164" s="299"/>
      <c r="AB164" s="299"/>
      <c r="AC164" s="300"/>
      <c r="AD164" s="300"/>
    </row>
    <row r="165" spans="1:30" ht="12.75" customHeight="1" x14ac:dyDescent="0.2">
      <c r="A165" s="296"/>
      <c r="B165" s="296"/>
      <c r="C165" s="296"/>
      <c r="D165" s="297"/>
      <c r="E165" s="298"/>
      <c r="F165" s="296"/>
      <c r="G165" s="296"/>
      <c r="H165" s="296"/>
      <c r="I165" s="296"/>
      <c r="J165" s="296"/>
      <c r="K165" s="296"/>
      <c r="L165" s="296"/>
      <c r="M165" s="299"/>
      <c r="N165" s="299"/>
      <c r="O165" s="299"/>
      <c r="P165" s="299"/>
      <c r="Q165" s="299"/>
      <c r="R165" s="299"/>
      <c r="S165" s="299"/>
      <c r="T165" s="299"/>
      <c r="U165" s="299"/>
      <c r="V165" s="299"/>
      <c r="W165" s="299"/>
      <c r="X165" s="299"/>
      <c r="Y165" s="299"/>
      <c r="Z165" s="299"/>
      <c r="AA165" s="299"/>
      <c r="AB165" s="299"/>
      <c r="AC165" s="300"/>
      <c r="AD165" s="300"/>
    </row>
    <row r="166" spans="1:30" ht="12.75" customHeight="1" x14ac:dyDescent="0.2">
      <c r="A166" s="296"/>
      <c r="B166" s="296"/>
      <c r="C166" s="296"/>
      <c r="D166" s="297"/>
      <c r="E166" s="298"/>
      <c r="F166" s="296"/>
      <c r="G166" s="296"/>
      <c r="H166" s="296"/>
      <c r="I166" s="296"/>
      <c r="J166" s="296"/>
      <c r="K166" s="296"/>
      <c r="L166" s="296"/>
      <c r="M166" s="299"/>
      <c r="N166" s="299"/>
      <c r="O166" s="299"/>
      <c r="P166" s="299"/>
      <c r="Q166" s="299"/>
      <c r="R166" s="299"/>
      <c r="S166" s="299"/>
      <c r="T166" s="299"/>
      <c r="U166" s="299"/>
      <c r="V166" s="299"/>
      <c r="W166" s="299"/>
      <c r="X166" s="299"/>
      <c r="Y166" s="299"/>
      <c r="Z166" s="299"/>
      <c r="AA166" s="299"/>
      <c r="AB166" s="299"/>
      <c r="AC166" s="300"/>
      <c r="AD166" s="300"/>
    </row>
    <row r="167" spans="1:30" ht="12.75" customHeight="1" x14ac:dyDescent="0.2">
      <c r="A167" s="296"/>
      <c r="B167" s="296"/>
      <c r="C167" s="296"/>
      <c r="D167" s="297"/>
      <c r="E167" s="298"/>
      <c r="F167" s="296"/>
      <c r="G167" s="296"/>
      <c r="H167" s="296"/>
      <c r="I167" s="296"/>
      <c r="J167" s="296"/>
      <c r="K167" s="296"/>
      <c r="L167" s="296"/>
      <c r="M167" s="299"/>
      <c r="N167" s="299"/>
      <c r="O167" s="299"/>
      <c r="P167" s="299"/>
      <c r="Q167" s="299"/>
      <c r="R167" s="299"/>
      <c r="S167" s="299"/>
      <c r="T167" s="299"/>
      <c r="U167" s="299"/>
      <c r="V167" s="299"/>
      <c r="W167" s="299"/>
      <c r="X167" s="299"/>
      <c r="Y167" s="299"/>
      <c r="Z167" s="299"/>
      <c r="AA167" s="299"/>
      <c r="AB167" s="299"/>
      <c r="AC167" s="300"/>
      <c r="AD167" s="300"/>
    </row>
    <row r="168" spans="1:30" ht="12.75" customHeight="1" x14ac:dyDescent="0.2">
      <c r="A168" s="296"/>
      <c r="B168" s="296"/>
      <c r="C168" s="296"/>
      <c r="D168" s="297"/>
      <c r="E168" s="298"/>
      <c r="F168" s="296"/>
      <c r="G168" s="296"/>
      <c r="H168" s="296"/>
      <c r="I168" s="296"/>
      <c r="J168" s="296"/>
      <c r="K168" s="296"/>
      <c r="L168" s="296"/>
      <c r="M168" s="299"/>
      <c r="N168" s="299"/>
      <c r="O168" s="299"/>
      <c r="P168" s="299"/>
      <c r="Q168" s="299"/>
      <c r="R168" s="299"/>
      <c r="S168" s="299"/>
      <c r="T168" s="299"/>
      <c r="U168" s="299"/>
      <c r="V168" s="299"/>
      <c r="W168" s="299"/>
      <c r="X168" s="299"/>
      <c r="Y168" s="299"/>
      <c r="Z168" s="299"/>
      <c r="AA168" s="299"/>
      <c r="AB168" s="299"/>
      <c r="AC168" s="300"/>
      <c r="AD168" s="300"/>
    </row>
    <row r="169" spans="1:30" ht="12.75" customHeight="1" x14ac:dyDescent="0.2">
      <c r="A169" s="296"/>
      <c r="B169" s="296"/>
      <c r="C169" s="296"/>
      <c r="D169" s="297"/>
      <c r="E169" s="298"/>
      <c r="F169" s="296"/>
      <c r="G169" s="296"/>
      <c r="H169" s="296"/>
      <c r="I169" s="296"/>
      <c r="J169" s="296"/>
      <c r="K169" s="296"/>
      <c r="L169" s="296"/>
      <c r="M169" s="299"/>
      <c r="N169" s="299"/>
      <c r="O169" s="299"/>
      <c r="P169" s="299"/>
      <c r="Q169" s="299"/>
      <c r="R169" s="299"/>
      <c r="S169" s="299"/>
      <c r="T169" s="299"/>
      <c r="U169" s="299"/>
      <c r="V169" s="299"/>
      <c r="W169" s="299"/>
      <c r="X169" s="299"/>
      <c r="Y169" s="299"/>
      <c r="Z169" s="299"/>
      <c r="AA169" s="299"/>
      <c r="AB169" s="299"/>
      <c r="AC169" s="300"/>
      <c r="AD169" s="300"/>
    </row>
    <row r="170" spans="1:30" ht="12.75" customHeight="1" x14ac:dyDescent="0.2">
      <c r="A170" s="296"/>
      <c r="B170" s="296"/>
      <c r="C170" s="296"/>
      <c r="D170" s="297"/>
      <c r="E170" s="298"/>
      <c r="F170" s="296"/>
      <c r="G170" s="296"/>
      <c r="H170" s="296"/>
      <c r="I170" s="296"/>
      <c r="J170" s="296"/>
      <c r="K170" s="296"/>
      <c r="L170" s="296"/>
      <c r="M170" s="299"/>
      <c r="N170" s="299"/>
      <c r="O170" s="299"/>
      <c r="P170" s="299"/>
      <c r="Q170" s="299"/>
      <c r="R170" s="299"/>
      <c r="S170" s="299"/>
      <c r="T170" s="299"/>
      <c r="U170" s="299"/>
      <c r="V170" s="299"/>
      <c r="W170" s="299"/>
      <c r="X170" s="299"/>
      <c r="Y170" s="299"/>
      <c r="Z170" s="299"/>
      <c r="AA170" s="299"/>
      <c r="AB170" s="299"/>
      <c r="AC170" s="300"/>
      <c r="AD170" s="300"/>
    </row>
    <row r="171" spans="1:30" ht="12.75" customHeight="1" x14ac:dyDescent="0.2">
      <c r="A171" s="296"/>
      <c r="B171" s="296"/>
      <c r="C171" s="296"/>
      <c r="D171" s="297"/>
      <c r="E171" s="298"/>
      <c r="F171" s="296"/>
      <c r="G171" s="296"/>
      <c r="H171" s="296"/>
      <c r="I171" s="296"/>
      <c r="J171" s="296"/>
      <c r="K171" s="296"/>
      <c r="L171" s="296"/>
      <c r="M171" s="299"/>
      <c r="N171" s="299"/>
      <c r="O171" s="299"/>
      <c r="P171" s="299"/>
      <c r="Q171" s="299"/>
      <c r="R171" s="299"/>
      <c r="S171" s="299"/>
      <c r="T171" s="299"/>
      <c r="U171" s="299"/>
      <c r="V171" s="299"/>
      <c r="W171" s="299"/>
      <c r="X171" s="299"/>
      <c r="Y171" s="299"/>
      <c r="Z171" s="299"/>
      <c r="AA171" s="299"/>
      <c r="AB171" s="299"/>
      <c r="AC171" s="300"/>
      <c r="AD171" s="300"/>
    </row>
    <row r="172" spans="1:30" ht="12.75" customHeight="1" x14ac:dyDescent="0.2">
      <c r="A172" s="296"/>
      <c r="B172" s="296"/>
      <c r="C172" s="296"/>
      <c r="D172" s="297"/>
      <c r="E172" s="298"/>
      <c r="F172" s="296"/>
      <c r="G172" s="296"/>
      <c r="H172" s="296"/>
      <c r="I172" s="296"/>
      <c r="J172" s="296"/>
      <c r="K172" s="296"/>
      <c r="L172" s="296"/>
      <c r="M172" s="299"/>
      <c r="N172" s="299"/>
      <c r="O172" s="299"/>
      <c r="P172" s="299"/>
      <c r="Q172" s="299"/>
      <c r="R172" s="299"/>
      <c r="S172" s="299"/>
      <c r="T172" s="299"/>
      <c r="U172" s="299"/>
      <c r="V172" s="299"/>
      <c r="W172" s="299"/>
      <c r="X172" s="299"/>
      <c r="Y172" s="299"/>
      <c r="Z172" s="299"/>
      <c r="AA172" s="299"/>
      <c r="AB172" s="299"/>
      <c r="AC172" s="300"/>
      <c r="AD172" s="300"/>
    </row>
    <row r="173" spans="1:30" ht="12.75" customHeight="1" x14ac:dyDescent="0.2">
      <c r="A173" s="296"/>
      <c r="B173" s="296"/>
      <c r="C173" s="296"/>
      <c r="D173" s="297"/>
      <c r="E173" s="298"/>
      <c r="F173" s="296"/>
      <c r="G173" s="296"/>
      <c r="H173" s="296"/>
      <c r="I173" s="296"/>
      <c r="J173" s="296"/>
      <c r="K173" s="296"/>
      <c r="L173" s="296"/>
      <c r="M173" s="299"/>
      <c r="N173" s="299"/>
      <c r="O173" s="299"/>
      <c r="P173" s="299"/>
      <c r="Q173" s="299"/>
      <c r="R173" s="299"/>
      <c r="S173" s="299"/>
      <c r="T173" s="299"/>
      <c r="U173" s="299"/>
      <c r="V173" s="299"/>
      <c r="W173" s="299"/>
      <c r="X173" s="299"/>
      <c r="Y173" s="299"/>
      <c r="Z173" s="299"/>
      <c r="AA173" s="299"/>
      <c r="AB173" s="299"/>
      <c r="AC173" s="300"/>
      <c r="AD173" s="300"/>
    </row>
    <row r="174" spans="1:30" ht="12.75" customHeight="1" x14ac:dyDescent="0.2">
      <c r="A174" s="296"/>
      <c r="B174" s="296"/>
      <c r="C174" s="296"/>
      <c r="D174" s="297"/>
      <c r="E174" s="298"/>
      <c r="F174" s="296"/>
      <c r="G174" s="296"/>
      <c r="H174" s="296"/>
      <c r="I174" s="296"/>
      <c r="J174" s="296"/>
      <c r="K174" s="296"/>
      <c r="L174" s="296"/>
      <c r="M174" s="299"/>
      <c r="N174" s="299"/>
      <c r="O174" s="299"/>
      <c r="P174" s="299"/>
      <c r="Q174" s="299"/>
      <c r="R174" s="299"/>
      <c r="S174" s="299"/>
      <c r="T174" s="299"/>
      <c r="U174" s="299"/>
      <c r="V174" s="299"/>
      <c r="W174" s="299"/>
      <c r="X174" s="299"/>
      <c r="Y174" s="299"/>
      <c r="Z174" s="299"/>
      <c r="AA174" s="299"/>
      <c r="AB174" s="299"/>
      <c r="AC174" s="300"/>
      <c r="AD174" s="300"/>
    </row>
    <row r="175" spans="1:30" ht="12.75" customHeight="1" x14ac:dyDescent="0.2">
      <c r="A175" s="296"/>
      <c r="B175" s="296"/>
      <c r="C175" s="296"/>
      <c r="D175" s="297"/>
      <c r="E175" s="298"/>
      <c r="F175" s="296"/>
      <c r="G175" s="296"/>
      <c r="H175" s="296"/>
      <c r="I175" s="296"/>
      <c r="J175" s="296"/>
      <c r="K175" s="296"/>
      <c r="L175" s="296"/>
      <c r="M175" s="299"/>
      <c r="N175" s="299"/>
      <c r="O175" s="299"/>
      <c r="P175" s="299"/>
      <c r="Q175" s="299"/>
      <c r="R175" s="299"/>
      <c r="S175" s="299"/>
      <c r="T175" s="299"/>
      <c r="U175" s="299"/>
      <c r="V175" s="299"/>
      <c r="W175" s="299"/>
      <c r="X175" s="299"/>
      <c r="Y175" s="299"/>
      <c r="Z175" s="299"/>
      <c r="AA175" s="299"/>
      <c r="AB175" s="299"/>
      <c r="AC175" s="300"/>
      <c r="AD175" s="300"/>
    </row>
    <row r="176" spans="1:30" ht="12.75" customHeight="1" x14ac:dyDescent="0.2">
      <c r="A176" s="296"/>
      <c r="B176" s="296"/>
      <c r="C176" s="296"/>
      <c r="D176" s="297"/>
      <c r="E176" s="298"/>
      <c r="F176" s="296"/>
      <c r="G176" s="296"/>
      <c r="H176" s="296"/>
      <c r="I176" s="296"/>
      <c r="J176" s="296"/>
      <c r="K176" s="296"/>
      <c r="L176" s="296"/>
      <c r="M176" s="299"/>
      <c r="N176" s="299"/>
      <c r="O176" s="299"/>
      <c r="P176" s="299"/>
      <c r="Q176" s="299"/>
      <c r="R176" s="299"/>
      <c r="S176" s="299"/>
      <c r="T176" s="299"/>
      <c r="U176" s="299"/>
      <c r="V176" s="299"/>
      <c r="W176" s="299"/>
      <c r="X176" s="299"/>
      <c r="Y176" s="299"/>
      <c r="Z176" s="299"/>
      <c r="AA176" s="299"/>
      <c r="AB176" s="299"/>
      <c r="AC176" s="300"/>
      <c r="AD176" s="300"/>
    </row>
    <row r="177" spans="1:30" ht="12.75" customHeight="1" x14ac:dyDescent="0.2">
      <c r="A177" s="296"/>
      <c r="B177" s="296"/>
      <c r="C177" s="296"/>
      <c r="D177" s="297"/>
      <c r="E177" s="298"/>
      <c r="F177" s="296"/>
      <c r="G177" s="296"/>
      <c r="H177" s="296"/>
      <c r="I177" s="296"/>
      <c r="J177" s="296"/>
      <c r="K177" s="296"/>
      <c r="L177" s="296"/>
      <c r="M177" s="299"/>
      <c r="N177" s="299"/>
      <c r="O177" s="299"/>
      <c r="P177" s="299"/>
      <c r="Q177" s="299"/>
      <c r="R177" s="299"/>
      <c r="S177" s="299"/>
      <c r="T177" s="299"/>
      <c r="U177" s="299"/>
      <c r="V177" s="299"/>
      <c r="W177" s="299"/>
      <c r="X177" s="299"/>
      <c r="Y177" s="299"/>
      <c r="Z177" s="299"/>
      <c r="AA177" s="299"/>
      <c r="AB177" s="299"/>
      <c r="AC177" s="300"/>
      <c r="AD177" s="300"/>
    </row>
    <row r="178" spans="1:30" ht="12.75" customHeight="1" x14ac:dyDescent="0.2">
      <c r="A178" s="296"/>
      <c r="B178" s="296"/>
      <c r="C178" s="296"/>
      <c r="D178" s="297"/>
      <c r="E178" s="298"/>
      <c r="F178" s="296"/>
      <c r="G178" s="296"/>
      <c r="H178" s="296"/>
      <c r="I178" s="296"/>
      <c r="J178" s="296"/>
      <c r="K178" s="296"/>
      <c r="L178" s="296"/>
      <c r="M178" s="299"/>
      <c r="N178" s="299"/>
      <c r="O178" s="299"/>
      <c r="P178" s="299"/>
      <c r="Q178" s="299"/>
      <c r="R178" s="299"/>
      <c r="S178" s="299"/>
      <c r="T178" s="299"/>
      <c r="U178" s="299"/>
      <c r="V178" s="299"/>
      <c r="W178" s="299"/>
      <c r="X178" s="299"/>
      <c r="Y178" s="299"/>
      <c r="Z178" s="299"/>
      <c r="AA178" s="299"/>
      <c r="AB178" s="299"/>
      <c r="AC178" s="300"/>
      <c r="AD178" s="300"/>
    </row>
    <row r="179" spans="1:30" ht="12.75" customHeight="1" x14ac:dyDescent="0.2">
      <c r="A179" s="296"/>
      <c r="B179" s="296"/>
      <c r="C179" s="296"/>
      <c r="D179" s="297"/>
      <c r="E179" s="298"/>
      <c r="F179" s="296"/>
      <c r="G179" s="296"/>
      <c r="H179" s="296"/>
      <c r="I179" s="296"/>
      <c r="J179" s="296"/>
      <c r="K179" s="296"/>
      <c r="L179" s="296"/>
      <c r="M179" s="299"/>
      <c r="N179" s="299"/>
      <c r="O179" s="299"/>
      <c r="P179" s="299"/>
      <c r="Q179" s="299"/>
      <c r="R179" s="299"/>
      <c r="S179" s="299"/>
      <c r="T179" s="299"/>
      <c r="U179" s="299"/>
      <c r="V179" s="299"/>
      <c r="W179" s="299"/>
      <c r="X179" s="299"/>
      <c r="Y179" s="299"/>
      <c r="Z179" s="299"/>
      <c r="AA179" s="299"/>
      <c r="AB179" s="299"/>
      <c r="AC179" s="300"/>
      <c r="AD179" s="300"/>
    </row>
    <row r="180" spans="1:30" ht="12.75" customHeight="1" x14ac:dyDescent="0.2">
      <c r="A180" s="296"/>
      <c r="B180" s="296"/>
      <c r="C180" s="296"/>
      <c r="D180" s="297"/>
      <c r="E180" s="298"/>
      <c r="F180" s="296"/>
      <c r="G180" s="296"/>
      <c r="H180" s="296"/>
      <c r="I180" s="296"/>
      <c r="J180" s="296"/>
      <c r="K180" s="296"/>
      <c r="L180" s="296"/>
      <c r="M180" s="299"/>
      <c r="N180" s="299"/>
      <c r="O180" s="299"/>
      <c r="P180" s="299"/>
      <c r="Q180" s="299"/>
      <c r="R180" s="299"/>
      <c r="S180" s="299"/>
      <c r="T180" s="299"/>
      <c r="U180" s="299"/>
      <c r="V180" s="299"/>
      <c r="W180" s="299"/>
      <c r="X180" s="299"/>
      <c r="Y180" s="299"/>
      <c r="Z180" s="299"/>
      <c r="AA180" s="299"/>
      <c r="AB180" s="299"/>
      <c r="AC180" s="300"/>
      <c r="AD180" s="300"/>
    </row>
    <row r="181" spans="1:30" ht="12.75" customHeight="1" x14ac:dyDescent="0.2">
      <c r="A181" s="296"/>
      <c r="B181" s="296"/>
      <c r="C181" s="296"/>
      <c r="D181" s="297"/>
      <c r="E181" s="298"/>
      <c r="F181" s="296"/>
      <c r="G181" s="296"/>
      <c r="H181" s="296"/>
      <c r="I181" s="296"/>
      <c r="J181" s="296"/>
      <c r="K181" s="296"/>
      <c r="L181" s="296"/>
      <c r="M181" s="299"/>
      <c r="N181" s="299"/>
      <c r="O181" s="299"/>
      <c r="P181" s="299"/>
      <c r="Q181" s="299"/>
      <c r="R181" s="299"/>
      <c r="S181" s="299"/>
      <c r="T181" s="299"/>
      <c r="U181" s="299"/>
      <c r="V181" s="299"/>
      <c r="W181" s="299"/>
      <c r="X181" s="299"/>
      <c r="Y181" s="299"/>
      <c r="Z181" s="299"/>
      <c r="AA181" s="299"/>
      <c r="AB181" s="299"/>
      <c r="AC181" s="300"/>
      <c r="AD181" s="300"/>
    </row>
    <row r="182" spans="1:30" ht="12.75" customHeight="1" x14ac:dyDescent="0.2">
      <c r="A182" s="296"/>
      <c r="B182" s="296"/>
      <c r="C182" s="296"/>
      <c r="D182" s="297"/>
      <c r="E182" s="298"/>
      <c r="F182" s="296"/>
      <c r="G182" s="296"/>
      <c r="H182" s="296"/>
      <c r="I182" s="296"/>
      <c r="J182" s="296"/>
      <c r="K182" s="296"/>
      <c r="L182" s="296"/>
      <c r="M182" s="299"/>
      <c r="N182" s="299"/>
      <c r="O182" s="299"/>
      <c r="P182" s="299"/>
      <c r="Q182" s="299"/>
      <c r="R182" s="299"/>
      <c r="S182" s="299"/>
      <c r="T182" s="299"/>
      <c r="U182" s="299"/>
      <c r="V182" s="299"/>
      <c r="W182" s="299"/>
      <c r="X182" s="299"/>
      <c r="Y182" s="299"/>
      <c r="Z182" s="299"/>
      <c r="AA182" s="299"/>
      <c r="AB182" s="299"/>
      <c r="AC182" s="300"/>
      <c r="AD182" s="300"/>
    </row>
    <row r="183" spans="1:30" ht="12.75" customHeight="1" x14ac:dyDescent="0.2">
      <c r="A183" s="296"/>
      <c r="B183" s="296"/>
      <c r="C183" s="296"/>
      <c r="D183" s="297"/>
      <c r="E183" s="298"/>
      <c r="F183" s="296"/>
      <c r="G183" s="296"/>
      <c r="H183" s="296"/>
      <c r="I183" s="296"/>
      <c r="J183" s="296"/>
      <c r="K183" s="296"/>
      <c r="L183" s="296"/>
      <c r="M183" s="299"/>
      <c r="N183" s="299"/>
      <c r="O183" s="299"/>
      <c r="P183" s="299"/>
      <c r="Q183" s="299"/>
      <c r="R183" s="299"/>
      <c r="S183" s="299"/>
      <c r="T183" s="299"/>
      <c r="U183" s="299"/>
      <c r="V183" s="299"/>
      <c r="W183" s="299"/>
      <c r="X183" s="299"/>
      <c r="Y183" s="299"/>
      <c r="Z183" s="299"/>
      <c r="AA183" s="299"/>
      <c r="AB183" s="299"/>
      <c r="AC183" s="300"/>
      <c r="AD183" s="300"/>
    </row>
    <row r="184" spans="1:30" ht="12.75" customHeight="1" x14ac:dyDescent="0.2">
      <c r="A184" s="296"/>
      <c r="B184" s="296"/>
      <c r="C184" s="296"/>
      <c r="D184" s="297"/>
      <c r="E184" s="298"/>
      <c r="F184" s="296"/>
      <c r="G184" s="296"/>
      <c r="H184" s="296"/>
      <c r="I184" s="296"/>
      <c r="J184" s="296"/>
      <c r="K184" s="296"/>
      <c r="L184" s="296"/>
      <c r="M184" s="299"/>
      <c r="N184" s="299"/>
      <c r="O184" s="299"/>
      <c r="P184" s="299"/>
      <c r="Q184" s="299"/>
      <c r="R184" s="299"/>
      <c r="S184" s="299"/>
      <c r="T184" s="299"/>
      <c r="U184" s="299"/>
      <c r="V184" s="299"/>
      <c r="W184" s="299"/>
      <c r="X184" s="299"/>
      <c r="Y184" s="299"/>
      <c r="Z184" s="299"/>
      <c r="AA184" s="299"/>
      <c r="AB184" s="299"/>
      <c r="AC184" s="300"/>
      <c r="AD184" s="300"/>
    </row>
    <row r="185" spans="1:30" ht="12.75" customHeight="1" x14ac:dyDescent="0.2">
      <c r="A185" s="296"/>
      <c r="B185" s="296"/>
      <c r="C185" s="296"/>
      <c r="D185" s="297"/>
      <c r="E185" s="298"/>
      <c r="F185" s="296"/>
      <c r="G185" s="296"/>
      <c r="H185" s="296"/>
      <c r="I185" s="296"/>
      <c r="J185" s="296"/>
      <c r="K185" s="296"/>
      <c r="L185" s="296"/>
      <c r="M185" s="299"/>
      <c r="N185" s="299"/>
      <c r="O185" s="299"/>
      <c r="P185" s="299"/>
      <c r="Q185" s="299"/>
      <c r="R185" s="299"/>
      <c r="S185" s="299"/>
      <c r="T185" s="299"/>
      <c r="U185" s="299"/>
      <c r="V185" s="299"/>
      <c r="W185" s="299"/>
      <c r="X185" s="299"/>
      <c r="Y185" s="299"/>
      <c r="Z185" s="299"/>
      <c r="AA185" s="299"/>
      <c r="AB185" s="299"/>
      <c r="AC185" s="300"/>
      <c r="AD185" s="300"/>
    </row>
    <row r="186" spans="1:30" ht="12.75" customHeight="1" x14ac:dyDescent="0.2">
      <c r="A186" s="296"/>
      <c r="B186" s="296"/>
      <c r="C186" s="296"/>
      <c r="D186" s="297"/>
      <c r="E186" s="298"/>
      <c r="F186" s="296"/>
      <c r="G186" s="296"/>
      <c r="H186" s="296"/>
      <c r="I186" s="296"/>
      <c r="J186" s="296"/>
      <c r="K186" s="296"/>
      <c r="L186" s="296"/>
      <c r="M186" s="299"/>
      <c r="N186" s="299"/>
      <c r="O186" s="299"/>
      <c r="P186" s="299"/>
      <c r="Q186" s="299"/>
      <c r="R186" s="299"/>
      <c r="S186" s="299"/>
      <c r="T186" s="299"/>
      <c r="U186" s="299"/>
      <c r="V186" s="299"/>
      <c r="W186" s="299"/>
      <c r="X186" s="299"/>
      <c r="Y186" s="299"/>
      <c r="Z186" s="299"/>
      <c r="AA186" s="299"/>
      <c r="AB186" s="299"/>
      <c r="AC186" s="300"/>
      <c r="AD186" s="300"/>
    </row>
    <row r="187" spans="1:30" ht="12.75" customHeight="1" x14ac:dyDescent="0.2">
      <c r="A187" s="296"/>
      <c r="B187" s="296"/>
      <c r="C187" s="296"/>
      <c r="D187" s="297"/>
      <c r="E187" s="298"/>
      <c r="F187" s="296"/>
      <c r="G187" s="296"/>
      <c r="H187" s="296"/>
      <c r="I187" s="296"/>
      <c r="J187" s="296"/>
      <c r="K187" s="296"/>
      <c r="L187" s="296"/>
      <c r="M187" s="299"/>
      <c r="N187" s="299"/>
      <c r="O187" s="299"/>
      <c r="P187" s="299"/>
      <c r="Q187" s="299"/>
      <c r="R187" s="299"/>
      <c r="S187" s="299"/>
      <c r="T187" s="299"/>
      <c r="U187" s="299"/>
      <c r="V187" s="299"/>
      <c r="W187" s="299"/>
      <c r="X187" s="299"/>
      <c r="Y187" s="299"/>
      <c r="Z187" s="299"/>
      <c r="AA187" s="299"/>
      <c r="AB187" s="299"/>
      <c r="AC187" s="300"/>
      <c r="AD187" s="300"/>
    </row>
    <row r="188" spans="1:30" ht="12.75" customHeight="1" x14ac:dyDescent="0.2">
      <c r="A188" s="296"/>
      <c r="B188" s="296"/>
      <c r="C188" s="296"/>
      <c r="D188" s="297"/>
      <c r="E188" s="298"/>
      <c r="F188" s="296"/>
      <c r="G188" s="296"/>
      <c r="H188" s="296"/>
      <c r="I188" s="296"/>
      <c r="J188" s="296"/>
      <c r="K188" s="296"/>
      <c r="L188" s="296"/>
      <c r="M188" s="299"/>
      <c r="N188" s="299"/>
      <c r="O188" s="299"/>
      <c r="P188" s="299"/>
      <c r="Q188" s="299"/>
      <c r="R188" s="299"/>
      <c r="S188" s="299"/>
      <c r="T188" s="299"/>
      <c r="U188" s="299"/>
      <c r="V188" s="299"/>
      <c r="W188" s="299"/>
      <c r="X188" s="299"/>
      <c r="Y188" s="299"/>
      <c r="Z188" s="299"/>
      <c r="AA188" s="299"/>
      <c r="AB188" s="299"/>
      <c r="AC188" s="300"/>
      <c r="AD188" s="300"/>
    </row>
    <row r="189" spans="1:30" ht="12.75" customHeight="1" x14ac:dyDescent="0.2">
      <c r="A189" s="296"/>
      <c r="B189" s="296"/>
      <c r="C189" s="296"/>
      <c r="D189" s="297"/>
      <c r="E189" s="298"/>
      <c r="F189" s="296"/>
      <c r="G189" s="296"/>
      <c r="H189" s="296"/>
      <c r="I189" s="296"/>
      <c r="J189" s="296"/>
      <c r="K189" s="296"/>
      <c r="L189" s="296"/>
      <c r="M189" s="299"/>
      <c r="N189" s="299"/>
      <c r="O189" s="299"/>
      <c r="P189" s="299"/>
      <c r="Q189" s="299"/>
      <c r="R189" s="299"/>
      <c r="S189" s="299"/>
      <c r="T189" s="299"/>
      <c r="U189" s="299"/>
      <c r="V189" s="299"/>
      <c r="W189" s="299"/>
      <c r="X189" s="299"/>
      <c r="Y189" s="299"/>
      <c r="Z189" s="299"/>
      <c r="AA189" s="299"/>
      <c r="AB189" s="299"/>
      <c r="AC189" s="300"/>
      <c r="AD189" s="300"/>
    </row>
    <row r="190" spans="1:30" ht="12.75" customHeight="1" x14ac:dyDescent="0.2">
      <c r="A190" s="296"/>
      <c r="B190" s="296"/>
      <c r="C190" s="296"/>
      <c r="D190" s="297"/>
      <c r="E190" s="298"/>
      <c r="F190" s="296"/>
      <c r="G190" s="296"/>
      <c r="H190" s="296"/>
      <c r="I190" s="296"/>
      <c r="J190" s="296"/>
      <c r="K190" s="296"/>
      <c r="L190" s="296"/>
      <c r="M190" s="299"/>
      <c r="N190" s="299"/>
      <c r="O190" s="299"/>
      <c r="P190" s="299"/>
      <c r="Q190" s="299"/>
      <c r="R190" s="299"/>
      <c r="S190" s="299"/>
      <c r="T190" s="299"/>
      <c r="U190" s="299"/>
      <c r="V190" s="299"/>
      <c r="W190" s="299"/>
      <c r="X190" s="299"/>
      <c r="Y190" s="299"/>
      <c r="Z190" s="299"/>
      <c r="AA190" s="299"/>
      <c r="AB190" s="299"/>
      <c r="AC190" s="300"/>
      <c r="AD190" s="300"/>
    </row>
    <row r="191" spans="1:30" ht="12.75" customHeight="1" x14ac:dyDescent="0.2">
      <c r="A191" s="296"/>
      <c r="B191" s="296"/>
      <c r="C191" s="296"/>
      <c r="D191" s="297"/>
      <c r="E191" s="298"/>
      <c r="F191" s="296"/>
      <c r="G191" s="296"/>
      <c r="H191" s="296"/>
      <c r="I191" s="296"/>
      <c r="J191" s="296"/>
      <c r="K191" s="296"/>
      <c r="L191" s="296"/>
      <c r="M191" s="299"/>
      <c r="N191" s="299"/>
      <c r="O191" s="299"/>
      <c r="P191" s="299"/>
      <c r="Q191" s="299"/>
      <c r="R191" s="299"/>
      <c r="S191" s="299"/>
      <c r="T191" s="299"/>
      <c r="U191" s="299"/>
      <c r="V191" s="299"/>
      <c r="W191" s="299"/>
      <c r="X191" s="299"/>
      <c r="Y191" s="299"/>
      <c r="Z191" s="299"/>
      <c r="AA191" s="299"/>
      <c r="AB191" s="299"/>
      <c r="AC191" s="300"/>
      <c r="AD191" s="300"/>
    </row>
    <row r="192" spans="1:30" ht="12.75" customHeight="1" x14ac:dyDescent="0.2">
      <c r="A192" s="296"/>
      <c r="B192" s="296"/>
      <c r="C192" s="296"/>
      <c r="D192" s="297"/>
      <c r="E192" s="298"/>
      <c r="F192" s="296"/>
      <c r="G192" s="296"/>
      <c r="H192" s="296"/>
      <c r="I192" s="296"/>
      <c r="J192" s="296"/>
      <c r="K192" s="296"/>
      <c r="L192" s="296"/>
      <c r="M192" s="299"/>
      <c r="N192" s="299"/>
      <c r="O192" s="299"/>
      <c r="P192" s="299"/>
      <c r="Q192" s="299"/>
      <c r="R192" s="299"/>
      <c r="S192" s="299"/>
      <c r="T192" s="299"/>
      <c r="U192" s="299"/>
      <c r="V192" s="299"/>
      <c r="W192" s="299"/>
      <c r="X192" s="299"/>
      <c r="Y192" s="299"/>
      <c r="Z192" s="299"/>
      <c r="AA192" s="299"/>
      <c r="AB192" s="299"/>
      <c r="AC192" s="300"/>
      <c r="AD192" s="300"/>
    </row>
    <row r="193" spans="1:30" ht="12.75" customHeight="1" x14ac:dyDescent="0.2">
      <c r="A193" s="296"/>
      <c r="B193" s="296"/>
      <c r="C193" s="296"/>
      <c r="D193" s="297"/>
      <c r="E193" s="298"/>
      <c r="F193" s="296"/>
      <c r="G193" s="296"/>
      <c r="H193" s="296"/>
      <c r="I193" s="296"/>
      <c r="J193" s="296"/>
      <c r="K193" s="296"/>
      <c r="L193" s="296"/>
      <c r="M193" s="299"/>
      <c r="N193" s="299"/>
      <c r="O193" s="299"/>
      <c r="P193" s="299"/>
      <c r="Q193" s="299"/>
      <c r="R193" s="299"/>
      <c r="S193" s="299"/>
      <c r="T193" s="299"/>
      <c r="U193" s="299"/>
      <c r="V193" s="299"/>
      <c r="W193" s="299"/>
      <c r="X193" s="299"/>
      <c r="Y193" s="299"/>
      <c r="Z193" s="299"/>
      <c r="AA193" s="299"/>
      <c r="AB193" s="299"/>
      <c r="AC193" s="300"/>
      <c r="AD193" s="300"/>
    </row>
    <row r="194" spans="1:30" ht="12.75" customHeight="1" x14ac:dyDescent="0.2">
      <c r="A194" s="296"/>
      <c r="B194" s="296"/>
      <c r="C194" s="296"/>
      <c r="D194" s="297"/>
      <c r="E194" s="298"/>
      <c r="F194" s="296"/>
      <c r="G194" s="296"/>
      <c r="H194" s="296"/>
      <c r="I194" s="296"/>
      <c r="J194" s="296"/>
      <c r="K194" s="296"/>
      <c r="L194" s="296"/>
      <c r="M194" s="299"/>
      <c r="N194" s="299"/>
      <c r="O194" s="299"/>
      <c r="P194" s="299"/>
      <c r="Q194" s="299"/>
      <c r="R194" s="299"/>
      <c r="S194" s="299"/>
      <c r="T194" s="299"/>
      <c r="U194" s="299"/>
      <c r="V194" s="299"/>
      <c r="W194" s="299"/>
      <c r="X194" s="299"/>
      <c r="Y194" s="299"/>
      <c r="Z194" s="299"/>
      <c r="AA194" s="299"/>
      <c r="AB194" s="299"/>
      <c r="AC194" s="300"/>
      <c r="AD194" s="300"/>
    </row>
    <row r="195" spans="1:30" ht="12.75" customHeight="1" x14ac:dyDescent="0.2">
      <c r="A195" s="296"/>
      <c r="B195" s="296"/>
      <c r="C195" s="296"/>
      <c r="D195" s="297"/>
      <c r="E195" s="298"/>
      <c r="F195" s="296"/>
      <c r="G195" s="296"/>
      <c r="H195" s="296"/>
      <c r="I195" s="296"/>
      <c r="J195" s="296"/>
      <c r="K195" s="296"/>
      <c r="L195" s="296"/>
      <c r="M195" s="299"/>
      <c r="N195" s="299"/>
      <c r="O195" s="299"/>
      <c r="P195" s="299"/>
      <c r="Q195" s="299"/>
      <c r="R195" s="299"/>
      <c r="S195" s="299"/>
      <c r="T195" s="299"/>
      <c r="U195" s="299"/>
      <c r="V195" s="299"/>
      <c r="W195" s="299"/>
      <c r="X195" s="299"/>
      <c r="Y195" s="299"/>
      <c r="Z195" s="299"/>
      <c r="AA195" s="299"/>
      <c r="AB195" s="299"/>
      <c r="AC195" s="300"/>
      <c r="AD195" s="300"/>
    </row>
    <row r="196" spans="1:30" ht="12.75" customHeight="1" x14ac:dyDescent="0.2">
      <c r="A196" s="296"/>
      <c r="B196" s="296"/>
      <c r="C196" s="296"/>
      <c r="D196" s="297"/>
      <c r="E196" s="298"/>
      <c r="F196" s="296"/>
      <c r="G196" s="296"/>
      <c r="H196" s="296"/>
      <c r="I196" s="296"/>
      <c r="J196" s="296"/>
      <c r="K196" s="296"/>
      <c r="L196" s="296"/>
      <c r="M196" s="299"/>
      <c r="N196" s="299"/>
      <c r="O196" s="299"/>
      <c r="P196" s="299"/>
      <c r="Q196" s="299"/>
      <c r="R196" s="299"/>
      <c r="S196" s="299"/>
      <c r="T196" s="299"/>
      <c r="U196" s="299"/>
      <c r="V196" s="299"/>
      <c r="W196" s="299"/>
      <c r="X196" s="299"/>
      <c r="Y196" s="299"/>
      <c r="Z196" s="299"/>
      <c r="AA196" s="299"/>
      <c r="AB196" s="299"/>
      <c r="AC196" s="300"/>
      <c r="AD196" s="300"/>
    </row>
    <row r="197" spans="1:30" ht="12.75" customHeight="1" x14ac:dyDescent="0.2">
      <c r="A197" s="296"/>
      <c r="B197" s="296"/>
      <c r="C197" s="296"/>
      <c r="D197" s="297"/>
      <c r="E197" s="298"/>
      <c r="F197" s="296"/>
      <c r="G197" s="296"/>
      <c r="H197" s="296"/>
      <c r="I197" s="296"/>
      <c r="J197" s="296"/>
      <c r="K197" s="296"/>
      <c r="L197" s="296"/>
      <c r="M197" s="299"/>
      <c r="N197" s="299"/>
      <c r="O197" s="299"/>
      <c r="P197" s="299"/>
      <c r="Q197" s="299"/>
      <c r="R197" s="299"/>
      <c r="S197" s="299"/>
      <c r="T197" s="299"/>
      <c r="U197" s="299"/>
      <c r="V197" s="299"/>
      <c r="W197" s="299"/>
      <c r="X197" s="299"/>
      <c r="Y197" s="299"/>
      <c r="Z197" s="299"/>
      <c r="AA197" s="299"/>
      <c r="AB197" s="299"/>
      <c r="AC197" s="300"/>
      <c r="AD197" s="300"/>
    </row>
    <row r="198" spans="1:30" ht="12.75" customHeight="1" x14ac:dyDescent="0.2">
      <c r="A198" s="296"/>
      <c r="B198" s="296"/>
      <c r="C198" s="296"/>
      <c r="D198" s="297"/>
      <c r="E198" s="298"/>
      <c r="F198" s="296"/>
      <c r="G198" s="296"/>
      <c r="H198" s="296"/>
      <c r="I198" s="296"/>
      <c r="J198" s="296"/>
      <c r="K198" s="296"/>
      <c r="L198" s="296"/>
      <c r="M198" s="299"/>
      <c r="N198" s="299"/>
      <c r="O198" s="299"/>
      <c r="P198" s="299"/>
      <c r="Q198" s="299"/>
      <c r="R198" s="299"/>
      <c r="S198" s="299"/>
      <c r="T198" s="299"/>
      <c r="U198" s="299"/>
      <c r="V198" s="299"/>
      <c r="W198" s="299"/>
      <c r="X198" s="299"/>
      <c r="Y198" s="299"/>
      <c r="Z198" s="299"/>
      <c r="AA198" s="299"/>
      <c r="AB198" s="299"/>
      <c r="AC198" s="300"/>
      <c r="AD198" s="300"/>
    </row>
    <row r="199" spans="1:30" ht="12.75" customHeight="1" x14ac:dyDescent="0.2">
      <c r="A199" s="296"/>
      <c r="B199" s="296"/>
      <c r="C199" s="296"/>
      <c r="D199" s="297"/>
      <c r="E199" s="298"/>
      <c r="F199" s="296"/>
      <c r="G199" s="296"/>
      <c r="H199" s="296"/>
      <c r="I199" s="296"/>
      <c r="J199" s="296"/>
      <c r="K199" s="296"/>
      <c r="L199" s="296"/>
      <c r="M199" s="299"/>
      <c r="N199" s="299"/>
      <c r="O199" s="299"/>
      <c r="P199" s="299"/>
      <c r="Q199" s="299"/>
      <c r="R199" s="299"/>
      <c r="S199" s="299"/>
      <c r="T199" s="299"/>
      <c r="U199" s="299"/>
      <c r="V199" s="299"/>
      <c r="W199" s="299"/>
      <c r="X199" s="299"/>
      <c r="Y199" s="299"/>
      <c r="Z199" s="299"/>
      <c r="AA199" s="299"/>
      <c r="AB199" s="299"/>
      <c r="AC199" s="300"/>
      <c r="AD199" s="300"/>
    </row>
    <row r="200" spans="1:30" ht="12.75" customHeight="1" x14ac:dyDescent="0.2">
      <c r="A200" s="296"/>
      <c r="B200" s="296"/>
      <c r="C200" s="296"/>
      <c r="D200" s="297"/>
      <c r="E200" s="298"/>
      <c r="F200" s="296"/>
      <c r="G200" s="296"/>
      <c r="H200" s="296"/>
      <c r="I200" s="296"/>
      <c r="J200" s="296"/>
      <c r="K200" s="296"/>
      <c r="L200" s="296"/>
      <c r="M200" s="299"/>
      <c r="N200" s="299"/>
      <c r="O200" s="299"/>
      <c r="P200" s="299"/>
      <c r="Q200" s="299"/>
      <c r="R200" s="299"/>
      <c r="S200" s="299"/>
      <c r="T200" s="299"/>
      <c r="U200" s="299"/>
      <c r="V200" s="299"/>
      <c r="W200" s="299"/>
      <c r="X200" s="299"/>
      <c r="Y200" s="299"/>
      <c r="Z200" s="299"/>
      <c r="AA200" s="299"/>
      <c r="AB200" s="299"/>
      <c r="AC200" s="300"/>
      <c r="AD200" s="300"/>
    </row>
    <row r="201" spans="1:30" ht="12.75" customHeight="1" x14ac:dyDescent="0.2">
      <c r="A201" s="296"/>
      <c r="B201" s="296"/>
      <c r="C201" s="296"/>
      <c r="D201" s="297"/>
      <c r="E201" s="298"/>
      <c r="F201" s="296"/>
      <c r="G201" s="296"/>
      <c r="H201" s="296"/>
      <c r="I201" s="296"/>
      <c r="J201" s="296"/>
      <c r="K201" s="296"/>
      <c r="L201" s="296"/>
      <c r="M201" s="299"/>
      <c r="N201" s="299"/>
      <c r="O201" s="299"/>
      <c r="P201" s="299"/>
      <c r="Q201" s="299"/>
      <c r="R201" s="299"/>
      <c r="S201" s="299"/>
      <c r="T201" s="299"/>
      <c r="U201" s="299"/>
      <c r="V201" s="299"/>
      <c r="W201" s="299"/>
      <c r="X201" s="299"/>
      <c r="Y201" s="299"/>
      <c r="Z201" s="299"/>
      <c r="AA201" s="299"/>
      <c r="AB201" s="299"/>
      <c r="AC201" s="300"/>
      <c r="AD201" s="300"/>
    </row>
    <row r="202" spans="1:30" ht="12.75" customHeight="1" x14ac:dyDescent="0.2">
      <c r="A202" s="296"/>
      <c r="B202" s="296"/>
      <c r="C202" s="296"/>
      <c r="D202" s="297"/>
      <c r="E202" s="298"/>
      <c r="F202" s="296"/>
      <c r="G202" s="296"/>
      <c r="H202" s="296"/>
      <c r="I202" s="296"/>
      <c r="J202" s="296"/>
      <c r="K202" s="296"/>
      <c r="L202" s="296"/>
      <c r="M202" s="299"/>
      <c r="N202" s="299"/>
      <c r="O202" s="299"/>
      <c r="P202" s="299"/>
      <c r="Q202" s="299"/>
      <c r="R202" s="299"/>
      <c r="S202" s="299"/>
      <c r="T202" s="299"/>
      <c r="U202" s="299"/>
      <c r="V202" s="299"/>
      <c r="W202" s="299"/>
      <c r="X202" s="299"/>
      <c r="Y202" s="299"/>
      <c r="Z202" s="299"/>
      <c r="AA202" s="299"/>
      <c r="AB202" s="299"/>
      <c r="AC202" s="300"/>
      <c r="AD202" s="300"/>
    </row>
    <row r="203" spans="1:30" ht="12.75" customHeight="1" x14ac:dyDescent="0.2">
      <c r="A203" s="296"/>
      <c r="B203" s="296"/>
      <c r="C203" s="296"/>
      <c r="D203" s="297"/>
      <c r="E203" s="298"/>
      <c r="F203" s="296"/>
      <c r="G203" s="296"/>
      <c r="H203" s="296"/>
      <c r="I203" s="296"/>
      <c r="J203" s="296"/>
      <c r="K203" s="296"/>
      <c r="L203" s="296"/>
      <c r="M203" s="299"/>
      <c r="N203" s="299"/>
      <c r="O203" s="299"/>
      <c r="P203" s="299"/>
      <c r="Q203" s="299"/>
      <c r="R203" s="299"/>
      <c r="S203" s="299"/>
      <c r="T203" s="299"/>
      <c r="U203" s="299"/>
      <c r="V203" s="299"/>
      <c r="W203" s="299"/>
      <c r="X203" s="299"/>
      <c r="Y203" s="299"/>
      <c r="Z203" s="299"/>
      <c r="AA203" s="299"/>
      <c r="AB203" s="299"/>
      <c r="AC203" s="300"/>
      <c r="AD203" s="300"/>
    </row>
    <row r="204" spans="1:30" ht="12.75" customHeight="1" x14ac:dyDescent="0.2">
      <c r="A204" s="296"/>
      <c r="B204" s="296"/>
      <c r="C204" s="296"/>
      <c r="D204" s="297"/>
      <c r="E204" s="298"/>
      <c r="F204" s="296"/>
      <c r="G204" s="296"/>
      <c r="H204" s="296"/>
      <c r="I204" s="296"/>
      <c r="J204" s="296"/>
      <c r="K204" s="296"/>
      <c r="L204" s="296"/>
      <c r="M204" s="299"/>
      <c r="N204" s="299"/>
      <c r="O204" s="299"/>
      <c r="P204" s="299"/>
      <c r="Q204" s="299"/>
      <c r="R204" s="299"/>
      <c r="S204" s="299"/>
      <c r="T204" s="299"/>
      <c r="U204" s="299"/>
      <c r="V204" s="299"/>
      <c r="W204" s="299"/>
      <c r="X204" s="299"/>
      <c r="Y204" s="299"/>
      <c r="Z204" s="299"/>
      <c r="AA204" s="299"/>
      <c r="AB204" s="299"/>
      <c r="AC204" s="300"/>
      <c r="AD204" s="300"/>
    </row>
    <row r="205" spans="1:30" ht="12.75" customHeight="1" x14ac:dyDescent="0.2">
      <c r="A205" s="296"/>
      <c r="B205" s="296"/>
      <c r="C205" s="296"/>
      <c r="D205" s="297"/>
      <c r="E205" s="298"/>
      <c r="F205" s="296"/>
      <c r="G205" s="296"/>
      <c r="H205" s="296"/>
      <c r="I205" s="296"/>
      <c r="J205" s="296"/>
      <c r="K205" s="296"/>
      <c r="L205" s="296"/>
      <c r="M205" s="299"/>
      <c r="N205" s="299"/>
      <c r="O205" s="299"/>
      <c r="P205" s="299"/>
      <c r="Q205" s="299"/>
      <c r="R205" s="299"/>
      <c r="S205" s="299"/>
      <c r="T205" s="299"/>
      <c r="U205" s="299"/>
      <c r="V205" s="299"/>
      <c r="W205" s="299"/>
      <c r="X205" s="299"/>
      <c r="Y205" s="299"/>
      <c r="Z205" s="299"/>
      <c r="AA205" s="299"/>
      <c r="AB205" s="299"/>
      <c r="AC205" s="300"/>
      <c r="AD205" s="300"/>
    </row>
    <row r="206" spans="1:30" ht="12.75" customHeight="1" x14ac:dyDescent="0.2">
      <c r="A206" s="296"/>
      <c r="B206" s="296"/>
      <c r="C206" s="296"/>
      <c r="D206" s="297"/>
      <c r="E206" s="298"/>
      <c r="F206" s="296"/>
      <c r="G206" s="296"/>
      <c r="H206" s="296"/>
      <c r="I206" s="296"/>
      <c r="J206" s="296"/>
      <c r="K206" s="296"/>
      <c r="L206" s="296"/>
      <c r="M206" s="299"/>
      <c r="N206" s="299"/>
      <c r="O206" s="299"/>
      <c r="P206" s="299"/>
      <c r="Q206" s="299"/>
      <c r="R206" s="299"/>
      <c r="S206" s="299"/>
      <c r="T206" s="299"/>
      <c r="U206" s="299"/>
      <c r="V206" s="299"/>
      <c r="W206" s="299"/>
      <c r="X206" s="299"/>
      <c r="Y206" s="299"/>
      <c r="Z206" s="299"/>
      <c r="AA206" s="299"/>
      <c r="AB206" s="299"/>
      <c r="AC206" s="300"/>
      <c r="AD206" s="300"/>
    </row>
    <row r="207" spans="1:30" ht="12.75" customHeight="1" x14ac:dyDescent="0.2">
      <c r="A207" s="296"/>
      <c r="B207" s="296"/>
      <c r="C207" s="296"/>
      <c r="D207" s="297"/>
      <c r="E207" s="298"/>
      <c r="F207" s="296"/>
      <c r="G207" s="296"/>
      <c r="H207" s="296"/>
      <c r="I207" s="296"/>
      <c r="J207" s="296"/>
      <c r="K207" s="296"/>
      <c r="L207" s="296"/>
      <c r="M207" s="299"/>
      <c r="N207" s="299"/>
      <c r="O207" s="299"/>
      <c r="P207" s="299"/>
      <c r="Q207" s="299"/>
      <c r="R207" s="299"/>
      <c r="S207" s="299"/>
      <c r="T207" s="299"/>
      <c r="U207" s="299"/>
      <c r="V207" s="299"/>
      <c r="W207" s="299"/>
      <c r="X207" s="299"/>
      <c r="Y207" s="299"/>
      <c r="Z207" s="299"/>
      <c r="AA207" s="299"/>
      <c r="AB207" s="299"/>
      <c r="AC207" s="300"/>
      <c r="AD207" s="300"/>
    </row>
    <row r="208" spans="1:30" ht="12.75" customHeight="1" x14ac:dyDescent="0.2">
      <c r="A208" s="296"/>
      <c r="B208" s="296"/>
      <c r="C208" s="296"/>
      <c r="D208" s="297"/>
      <c r="E208" s="298"/>
      <c r="F208" s="296"/>
      <c r="G208" s="296"/>
      <c r="H208" s="296"/>
      <c r="I208" s="296"/>
      <c r="J208" s="296"/>
      <c r="K208" s="296"/>
      <c r="L208" s="296"/>
      <c r="M208" s="299"/>
      <c r="N208" s="299"/>
      <c r="O208" s="299"/>
      <c r="P208" s="299"/>
      <c r="Q208" s="299"/>
      <c r="R208" s="299"/>
      <c r="S208" s="299"/>
      <c r="T208" s="299"/>
      <c r="U208" s="299"/>
      <c r="V208" s="299"/>
      <c r="W208" s="299"/>
      <c r="X208" s="299"/>
      <c r="Y208" s="299"/>
      <c r="Z208" s="299"/>
      <c r="AA208" s="299"/>
      <c r="AB208" s="299"/>
      <c r="AC208" s="300"/>
      <c r="AD208" s="300"/>
    </row>
    <row r="209" spans="1:30" ht="12.75" customHeight="1" x14ac:dyDescent="0.2">
      <c r="A209" s="296"/>
      <c r="B209" s="296"/>
      <c r="C209" s="296"/>
      <c r="D209" s="297"/>
      <c r="E209" s="298"/>
      <c r="F209" s="296"/>
      <c r="G209" s="296"/>
      <c r="H209" s="296"/>
      <c r="I209" s="296"/>
      <c r="J209" s="296"/>
      <c r="K209" s="296"/>
      <c r="L209" s="296"/>
      <c r="M209" s="299"/>
      <c r="N209" s="299"/>
      <c r="O209" s="299"/>
      <c r="P209" s="299"/>
      <c r="Q209" s="299"/>
      <c r="R209" s="299"/>
      <c r="S209" s="299"/>
      <c r="T209" s="299"/>
      <c r="U209" s="299"/>
      <c r="V209" s="299"/>
      <c r="W209" s="299"/>
      <c r="X209" s="299"/>
      <c r="Y209" s="299"/>
      <c r="Z209" s="299"/>
      <c r="AA209" s="299"/>
      <c r="AB209" s="299"/>
      <c r="AC209" s="300"/>
      <c r="AD209" s="300"/>
    </row>
    <row r="210" spans="1:30" ht="12.75" customHeight="1" x14ac:dyDescent="0.2">
      <c r="A210" s="296"/>
      <c r="B210" s="296"/>
      <c r="C210" s="296"/>
      <c r="D210" s="297"/>
      <c r="E210" s="298"/>
      <c r="F210" s="296"/>
      <c r="G210" s="296"/>
      <c r="H210" s="296"/>
      <c r="I210" s="296"/>
      <c r="J210" s="296"/>
      <c r="K210" s="296"/>
      <c r="L210" s="296"/>
      <c r="M210" s="299"/>
      <c r="N210" s="299"/>
      <c r="O210" s="299"/>
      <c r="P210" s="299"/>
      <c r="Q210" s="299"/>
      <c r="R210" s="299"/>
      <c r="S210" s="299"/>
      <c r="T210" s="299"/>
      <c r="U210" s="299"/>
      <c r="V210" s="299"/>
      <c r="W210" s="299"/>
      <c r="X210" s="299"/>
      <c r="Y210" s="299"/>
      <c r="Z210" s="299"/>
      <c r="AA210" s="299"/>
      <c r="AB210" s="299"/>
      <c r="AC210" s="300"/>
      <c r="AD210" s="300"/>
    </row>
    <row r="211" spans="1:30" ht="12.75" customHeight="1" x14ac:dyDescent="0.2">
      <c r="A211" s="296"/>
      <c r="B211" s="296"/>
      <c r="C211" s="296"/>
      <c r="D211" s="297"/>
      <c r="E211" s="298"/>
      <c r="F211" s="296"/>
      <c r="G211" s="296"/>
      <c r="H211" s="296"/>
      <c r="I211" s="296"/>
      <c r="J211" s="296"/>
      <c r="K211" s="296"/>
      <c r="L211" s="296"/>
      <c r="M211" s="299"/>
      <c r="N211" s="299"/>
      <c r="O211" s="299"/>
      <c r="P211" s="299"/>
      <c r="Q211" s="299"/>
      <c r="R211" s="299"/>
      <c r="S211" s="299"/>
      <c r="T211" s="299"/>
      <c r="U211" s="299"/>
      <c r="V211" s="299"/>
      <c r="W211" s="299"/>
      <c r="X211" s="299"/>
      <c r="Y211" s="299"/>
      <c r="Z211" s="299"/>
      <c r="AA211" s="299"/>
      <c r="AB211" s="299"/>
      <c r="AC211" s="300"/>
      <c r="AD211" s="300"/>
    </row>
    <row r="212" spans="1:30" ht="12.75" customHeight="1" x14ac:dyDescent="0.2">
      <c r="A212" s="296"/>
      <c r="B212" s="296"/>
      <c r="C212" s="296"/>
      <c r="D212" s="297"/>
      <c r="E212" s="298"/>
      <c r="F212" s="296"/>
      <c r="G212" s="296"/>
      <c r="H212" s="296"/>
      <c r="I212" s="296"/>
      <c r="J212" s="296"/>
      <c r="K212" s="296"/>
      <c r="L212" s="296"/>
      <c r="M212" s="299"/>
      <c r="N212" s="299"/>
      <c r="O212" s="299"/>
      <c r="P212" s="299"/>
      <c r="Q212" s="299"/>
      <c r="R212" s="299"/>
      <c r="S212" s="299"/>
      <c r="T212" s="299"/>
      <c r="U212" s="299"/>
      <c r="V212" s="299"/>
      <c r="W212" s="299"/>
      <c r="X212" s="299"/>
      <c r="Y212" s="299"/>
      <c r="Z212" s="299"/>
      <c r="AA212" s="299"/>
      <c r="AB212" s="299"/>
      <c r="AC212" s="300"/>
      <c r="AD212" s="300"/>
    </row>
    <row r="213" spans="1:30" ht="12.75" customHeight="1" x14ac:dyDescent="0.2">
      <c r="A213" s="296"/>
      <c r="B213" s="296"/>
      <c r="C213" s="296"/>
      <c r="D213" s="297"/>
      <c r="E213" s="298"/>
      <c r="F213" s="296"/>
      <c r="G213" s="296"/>
      <c r="H213" s="296"/>
      <c r="I213" s="296"/>
      <c r="J213" s="296"/>
      <c r="K213" s="296"/>
      <c r="L213" s="296"/>
      <c r="M213" s="299"/>
      <c r="N213" s="299"/>
      <c r="O213" s="299"/>
      <c r="P213" s="299"/>
      <c r="Q213" s="299"/>
      <c r="R213" s="299"/>
      <c r="S213" s="299"/>
      <c r="T213" s="299"/>
      <c r="U213" s="299"/>
      <c r="V213" s="299"/>
      <c r="W213" s="299"/>
      <c r="X213" s="299"/>
      <c r="Y213" s="299"/>
      <c r="Z213" s="299"/>
      <c r="AA213" s="299"/>
      <c r="AB213" s="299"/>
      <c r="AC213" s="300"/>
      <c r="AD213" s="300"/>
    </row>
    <row r="214" spans="1:30" ht="12.75" customHeight="1" x14ac:dyDescent="0.2">
      <c r="A214" s="296"/>
      <c r="B214" s="296"/>
      <c r="C214" s="296"/>
      <c r="D214" s="297"/>
      <c r="E214" s="298"/>
      <c r="F214" s="296"/>
      <c r="G214" s="296"/>
      <c r="H214" s="296"/>
      <c r="I214" s="296"/>
      <c r="J214" s="296"/>
      <c r="K214" s="296"/>
      <c r="L214" s="296"/>
      <c r="M214" s="299"/>
      <c r="N214" s="299"/>
      <c r="O214" s="299"/>
      <c r="P214" s="299"/>
      <c r="Q214" s="299"/>
      <c r="R214" s="299"/>
      <c r="S214" s="299"/>
      <c r="T214" s="299"/>
      <c r="U214" s="299"/>
      <c r="V214" s="299"/>
      <c r="W214" s="299"/>
      <c r="X214" s="299"/>
      <c r="Y214" s="299"/>
      <c r="Z214" s="299"/>
      <c r="AA214" s="299"/>
      <c r="AB214" s="299"/>
      <c r="AC214" s="300"/>
      <c r="AD214" s="300"/>
    </row>
    <row r="215" spans="1:30" ht="12.75" customHeight="1" x14ac:dyDescent="0.2">
      <c r="A215" s="296"/>
      <c r="B215" s="296"/>
      <c r="C215" s="296"/>
      <c r="D215" s="297"/>
      <c r="E215" s="298"/>
      <c r="F215" s="296"/>
      <c r="G215" s="296"/>
      <c r="H215" s="296"/>
      <c r="I215" s="296"/>
      <c r="J215" s="296"/>
      <c r="K215" s="296"/>
      <c r="L215" s="296"/>
      <c r="M215" s="299"/>
      <c r="N215" s="299"/>
      <c r="O215" s="299"/>
      <c r="P215" s="299"/>
      <c r="Q215" s="299"/>
      <c r="R215" s="299"/>
      <c r="S215" s="299"/>
      <c r="T215" s="299"/>
      <c r="U215" s="299"/>
      <c r="V215" s="299"/>
      <c r="W215" s="299"/>
      <c r="X215" s="299"/>
      <c r="Y215" s="299"/>
      <c r="Z215" s="299"/>
      <c r="AA215" s="299"/>
      <c r="AB215" s="299"/>
      <c r="AC215" s="300"/>
      <c r="AD215" s="300"/>
    </row>
    <row r="216" spans="1:30" ht="12.75" customHeight="1" x14ac:dyDescent="0.2">
      <c r="A216" s="296"/>
      <c r="B216" s="296"/>
      <c r="C216" s="296"/>
      <c r="D216" s="297"/>
      <c r="E216" s="298"/>
      <c r="F216" s="296"/>
      <c r="G216" s="296"/>
      <c r="H216" s="296"/>
      <c r="I216" s="296"/>
      <c r="J216" s="296"/>
      <c r="K216" s="296"/>
      <c r="L216" s="296"/>
      <c r="M216" s="299"/>
      <c r="N216" s="299"/>
      <c r="O216" s="299"/>
      <c r="P216" s="299"/>
      <c r="Q216" s="299"/>
      <c r="R216" s="299"/>
      <c r="S216" s="299"/>
      <c r="T216" s="299"/>
      <c r="U216" s="299"/>
      <c r="V216" s="299"/>
      <c r="W216" s="299"/>
      <c r="X216" s="299"/>
      <c r="Y216" s="299"/>
      <c r="Z216" s="299"/>
      <c r="AA216" s="299"/>
      <c r="AB216" s="299"/>
      <c r="AC216" s="300"/>
      <c r="AD216" s="300"/>
    </row>
    <row r="217" spans="1:30" ht="12.75" customHeight="1" x14ac:dyDescent="0.2">
      <c r="A217" s="296"/>
      <c r="B217" s="296"/>
      <c r="C217" s="296"/>
      <c r="D217" s="297"/>
      <c r="E217" s="298"/>
      <c r="F217" s="296"/>
      <c r="G217" s="296"/>
      <c r="H217" s="296"/>
      <c r="I217" s="296"/>
      <c r="J217" s="296"/>
      <c r="K217" s="296"/>
      <c r="L217" s="296"/>
      <c r="M217" s="299"/>
      <c r="N217" s="299"/>
      <c r="O217" s="299"/>
      <c r="P217" s="299"/>
      <c r="Q217" s="299"/>
      <c r="R217" s="299"/>
      <c r="S217" s="299"/>
      <c r="T217" s="299"/>
      <c r="U217" s="299"/>
      <c r="V217" s="299"/>
      <c r="W217" s="299"/>
      <c r="X217" s="299"/>
      <c r="Y217" s="299"/>
      <c r="Z217" s="299"/>
      <c r="AA217" s="299"/>
      <c r="AB217" s="299"/>
      <c r="AC217" s="300"/>
      <c r="AD217" s="300"/>
    </row>
    <row r="218" spans="1:30" ht="12.75" customHeight="1" x14ac:dyDescent="0.2">
      <c r="A218" s="296"/>
      <c r="B218" s="296"/>
      <c r="C218" s="296"/>
      <c r="D218" s="297"/>
      <c r="E218" s="298"/>
      <c r="F218" s="296"/>
      <c r="G218" s="296"/>
      <c r="H218" s="296"/>
      <c r="I218" s="296"/>
      <c r="J218" s="296"/>
      <c r="K218" s="296"/>
      <c r="L218" s="296"/>
      <c r="M218" s="299"/>
      <c r="N218" s="299"/>
      <c r="O218" s="299"/>
      <c r="P218" s="299"/>
      <c r="Q218" s="299"/>
      <c r="R218" s="299"/>
      <c r="S218" s="299"/>
      <c r="T218" s="299"/>
      <c r="U218" s="299"/>
      <c r="V218" s="299"/>
      <c r="W218" s="299"/>
      <c r="X218" s="299"/>
      <c r="Y218" s="299"/>
      <c r="Z218" s="299"/>
      <c r="AA218" s="299"/>
      <c r="AB218" s="299"/>
      <c r="AC218" s="300"/>
      <c r="AD218" s="300"/>
    </row>
    <row r="219" spans="1:30" ht="12.75" customHeight="1" x14ac:dyDescent="0.2">
      <c r="A219" s="296"/>
      <c r="B219" s="296"/>
      <c r="C219" s="296"/>
      <c r="D219" s="297"/>
      <c r="E219" s="298"/>
      <c r="F219" s="296"/>
      <c r="G219" s="296"/>
      <c r="H219" s="296"/>
      <c r="I219" s="296"/>
      <c r="J219" s="296"/>
      <c r="K219" s="296"/>
      <c r="L219" s="296"/>
      <c r="M219" s="299"/>
      <c r="N219" s="299"/>
      <c r="O219" s="299"/>
      <c r="P219" s="299"/>
      <c r="Q219" s="299"/>
      <c r="R219" s="299"/>
      <c r="S219" s="299"/>
      <c r="T219" s="299"/>
      <c r="U219" s="299"/>
      <c r="V219" s="299"/>
      <c r="W219" s="299"/>
      <c r="X219" s="299"/>
      <c r="Y219" s="299"/>
      <c r="Z219" s="299"/>
      <c r="AA219" s="299"/>
      <c r="AB219" s="299"/>
      <c r="AC219" s="300"/>
      <c r="AD219" s="300"/>
    </row>
    <row r="220" spans="1:30" ht="12.75" customHeight="1" x14ac:dyDescent="0.2">
      <c r="A220" s="296"/>
      <c r="B220" s="296"/>
      <c r="C220" s="296"/>
      <c r="D220" s="297"/>
      <c r="E220" s="298"/>
      <c r="F220" s="296"/>
      <c r="G220" s="296"/>
      <c r="H220" s="296"/>
      <c r="I220" s="296"/>
      <c r="J220" s="296"/>
      <c r="K220" s="296"/>
      <c r="L220" s="296"/>
      <c r="M220" s="299"/>
      <c r="N220" s="299"/>
      <c r="O220" s="299"/>
      <c r="P220" s="299"/>
      <c r="Q220" s="299"/>
      <c r="R220" s="299"/>
      <c r="S220" s="299"/>
      <c r="T220" s="299"/>
      <c r="U220" s="299"/>
      <c r="V220" s="299"/>
      <c r="W220" s="299"/>
      <c r="X220" s="299"/>
      <c r="Y220" s="299"/>
      <c r="Z220" s="299"/>
      <c r="AA220" s="299"/>
      <c r="AB220" s="299"/>
      <c r="AC220" s="300"/>
      <c r="AD220" s="300"/>
    </row>
    <row r="221" spans="1:30" ht="12.75" customHeight="1" x14ac:dyDescent="0.2">
      <c r="A221" s="296"/>
      <c r="B221" s="296"/>
      <c r="C221" s="296"/>
      <c r="D221" s="297"/>
      <c r="E221" s="298"/>
      <c r="F221" s="296"/>
      <c r="G221" s="296"/>
      <c r="H221" s="296"/>
      <c r="I221" s="296"/>
      <c r="J221" s="296"/>
      <c r="K221" s="296"/>
      <c r="L221" s="296"/>
      <c r="M221" s="299"/>
      <c r="N221" s="299"/>
      <c r="O221" s="299"/>
      <c r="P221" s="299"/>
      <c r="Q221" s="299"/>
      <c r="R221" s="299"/>
      <c r="S221" s="299"/>
      <c r="T221" s="299"/>
      <c r="U221" s="299"/>
      <c r="V221" s="299"/>
      <c r="W221" s="299"/>
      <c r="X221" s="299"/>
      <c r="Y221" s="299"/>
      <c r="Z221" s="299"/>
      <c r="AA221" s="299"/>
      <c r="AB221" s="299"/>
      <c r="AC221" s="300"/>
      <c r="AD221" s="300"/>
    </row>
    <row r="222" spans="1:30" ht="12.75" customHeight="1" x14ac:dyDescent="0.2">
      <c r="A222" s="296"/>
      <c r="B222" s="296"/>
      <c r="C222" s="296"/>
      <c r="D222" s="297"/>
      <c r="E222" s="298"/>
      <c r="F222" s="296"/>
      <c r="G222" s="296"/>
      <c r="H222" s="296"/>
      <c r="I222" s="296"/>
      <c r="J222" s="296"/>
      <c r="K222" s="296"/>
      <c r="L222" s="296"/>
      <c r="M222" s="299"/>
      <c r="N222" s="299"/>
      <c r="O222" s="299"/>
      <c r="P222" s="299"/>
      <c r="Q222" s="299"/>
      <c r="R222" s="299"/>
      <c r="S222" s="299"/>
      <c r="T222" s="299"/>
      <c r="U222" s="299"/>
      <c r="V222" s="299"/>
      <c r="W222" s="299"/>
      <c r="X222" s="299"/>
      <c r="Y222" s="299"/>
      <c r="Z222" s="299"/>
      <c r="AA222" s="299"/>
      <c r="AB222" s="299"/>
      <c r="AC222" s="300"/>
      <c r="AD222" s="300"/>
    </row>
    <row r="223" spans="1:30" ht="12.75" customHeight="1" x14ac:dyDescent="0.2">
      <c r="A223" s="296"/>
      <c r="B223" s="296"/>
      <c r="C223" s="296"/>
      <c r="D223" s="297"/>
      <c r="E223" s="298"/>
      <c r="F223" s="296"/>
      <c r="G223" s="296"/>
      <c r="H223" s="296"/>
      <c r="I223" s="296"/>
      <c r="J223" s="296"/>
      <c r="K223" s="296"/>
      <c r="L223" s="296"/>
      <c r="M223" s="299"/>
      <c r="N223" s="299"/>
      <c r="O223" s="299"/>
      <c r="P223" s="299"/>
      <c r="Q223" s="299"/>
      <c r="R223" s="299"/>
      <c r="S223" s="299"/>
      <c r="T223" s="299"/>
      <c r="U223" s="299"/>
      <c r="V223" s="299"/>
      <c r="W223" s="299"/>
      <c r="X223" s="299"/>
      <c r="Y223" s="299"/>
      <c r="Z223" s="299"/>
      <c r="AA223" s="299"/>
      <c r="AB223" s="299"/>
      <c r="AC223" s="300"/>
      <c r="AD223" s="300"/>
    </row>
    <row r="224" spans="1:30" ht="12.75" customHeight="1" x14ac:dyDescent="0.2">
      <c r="A224" s="296"/>
      <c r="B224" s="296"/>
      <c r="C224" s="296"/>
      <c r="D224" s="297"/>
      <c r="E224" s="298"/>
      <c r="F224" s="296"/>
      <c r="G224" s="296"/>
      <c r="H224" s="296"/>
      <c r="I224" s="296"/>
      <c r="J224" s="296"/>
      <c r="K224" s="296"/>
      <c r="L224" s="296"/>
      <c r="M224" s="299"/>
      <c r="N224" s="299"/>
      <c r="O224" s="299"/>
      <c r="P224" s="299"/>
      <c r="Q224" s="299"/>
      <c r="R224" s="299"/>
      <c r="S224" s="299"/>
      <c r="T224" s="299"/>
      <c r="U224" s="299"/>
      <c r="V224" s="299"/>
      <c r="W224" s="299"/>
      <c r="X224" s="299"/>
      <c r="Y224" s="299"/>
      <c r="Z224" s="299"/>
      <c r="AA224" s="299"/>
      <c r="AB224" s="299"/>
      <c r="AC224" s="300"/>
      <c r="AD224" s="300"/>
    </row>
    <row r="225" spans="1:30" ht="12.75" customHeight="1" x14ac:dyDescent="0.2">
      <c r="A225" s="296"/>
      <c r="B225" s="296"/>
      <c r="C225" s="296"/>
      <c r="D225" s="297"/>
      <c r="E225" s="298"/>
      <c r="F225" s="296"/>
      <c r="G225" s="296"/>
      <c r="H225" s="296"/>
      <c r="I225" s="296"/>
      <c r="J225" s="296"/>
      <c r="K225" s="296"/>
      <c r="L225" s="296"/>
      <c r="M225" s="299"/>
      <c r="N225" s="299"/>
      <c r="O225" s="299"/>
      <c r="P225" s="299"/>
      <c r="Q225" s="299"/>
      <c r="R225" s="299"/>
      <c r="S225" s="299"/>
      <c r="T225" s="299"/>
      <c r="U225" s="299"/>
      <c r="V225" s="299"/>
      <c r="W225" s="299"/>
      <c r="X225" s="299"/>
      <c r="Y225" s="299"/>
      <c r="Z225" s="299"/>
      <c r="AA225" s="299"/>
      <c r="AB225" s="299"/>
      <c r="AC225" s="300"/>
      <c r="AD225" s="300"/>
    </row>
    <row r="226" spans="1:30" ht="12.75" customHeight="1" x14ac:dyDescent="0.2">
      <c r="A226" s="296"/>
      <c r="B226" s="296"/>
      <c r="C226" s="296"/>
      <c r="D226" s="297"/>
      <c r="E226" s="298"/>
      <c r="F226" s="296"/>
      <c r="G226" s="296"/>
      <c r="H226" s="296"/>
      <c r="I226" s="296"/>
      <c r="J226" s="296"/>
      <c r="K226" s="296"/>
      <c r="L226" s="296"/>
      <c r="M226" s="299"/>
      <c r="N226" s="299"/>
      <c r="O226" s="299"/>
      <c r="P226" s="299"/>
      <c r="Q226" s="299"/>
      <c r="R226" s="299"/>
      <c r="S226" s="299"/>
      <c r="T226" s="299"/>
      <c r="U226" s="299"/>
      <c r="V226" s="299"/>
      <c r="W226" s="299"/>
      <c r="X226" s="299"/>
      <c r="Y226" s="299"/>
      <c r="Z226" s="299"/>
      <c r="AA226" s="299"/>
      <c r="AB226" s="299"/>
      <c r="AC226" s="300"/>
      <c r="AD226" s="300"/>
    </row>
    <row r="227" spans="1:30" ht="12.75" customHeight="1" x14ac:dyDescent="0.2">
      <c r="A227" s="296"/>
      <c r="B227" s="296"/>
      <c r="C227" s="296"/>
      <c r="D227" s="297"/>
      <c r="E227" s="298"/>
      <c r="F227" s="296"/>
      <c r="G227" s="296"/>
      <c r="H227" s="296"/>
      <c r="I227" s="296"/>
      <c r="J227" s="296"/>
      <c r="K227" s="296"/>
      <c r="L227" s="296"/>
      <c r="M227" s="299"/>
      <c r="N227" s="299"/>
      <c r="O227" s="299"/>
      <c r="P227" s="299"/>
      <c r="Q227" s="299"/>
      <c r="R227" s="299"/>
      <c r="S227" s="299"/>
      <c r="T227" s="299"/>
      <c r="U227" s="299"/>
      <c r="V227" s="299"/>
      <c r="W227" s="299"/>
      <c r="X227" s="299"/>
      <c r="Y227" s="299"/>
      <c r="Z227" s="299"/>
      <c r="AA227" s="299"/>
      <c r="AB227" s="299"/>
      <c r="AC227" s="300"/>
      <c r="AD227" s="300"/>
    </row>
    <row r="228" spans="1:30" ht="12.75" customHeight="1" x14ac:dyDescent="0.2">
      <c r="A228" s="296"/>
      <c r="B228" s="296"/>
      <c r="C228" s="296"/>
      <c r="D228" s="297"/>
      <c r="E228" s="298"/>
      <c r="F228" s="296"/>
      <c r="G228" s="296"/>
      <c r="H228" s="296"/>
      <c r="I228" s="296"/>
      <c r="J228" s="296"/>
      <c r="K228" s="296"/>
      <c r="L228" s="296"/>
      <c r="M228" s="299"/>
      <c r="N228" s="299"/>
      <c r="O228" s="299"/>
      <c r="P228" s="299"/>
      <c r="Q228" s="299"/>
      <c r="R228" s="299"/>
      <c r="S228" s="299"/>
      <c r="T228" s="299"/>
      <c r="U228" s="299"/>
      <c r="V228" s="299"/>
      <c r="W228" s="299"/>
      <c r="X228" s="299"/>
      <c r="Y228" s="299"/>
      <c r="Z228" s="299"/>
      <c r="AA228" s="299"/>
      <c r="AB228" s="299"/>
      <c r="AC228" s="300"/>
      <c r="AD228" s="300"/>
    </row>
    <row r="229" spans="1:30" ht="12.75" customHeight="1" x14ac:dyDescent="0.2">
      <c r="A229" s="296"/>
      <c r="B229" s="296"/>
      <c r="C229" s="296"/>
      <c r="D229" s="297"/>
      <c r="E229" s="298"/>
      <c r="F229" s="296"/>
      <c r="G229" s="296"/>
      <c r="H229" s="296"/>
      <c r="I229" s="296"/>
      <c r="J229" s="296"/>
      <c r="K229" s="296"/>
      <c r="L229" s="296"/>
      <c r="M229" s="299"/>
      <c r="N229" s="299"/>
      <c r="O229" s="299"/>
      <c r="P229" s="299"/>
      <c r="Q229" s="299"/>
      <c r="R229" s="299"/>
      <c r="S229" s="299"/>
      <c r="T229" s="299"/>
      <c r="U229" s="299"/>
      <c r="V229" s="299"/>
      <c r="W229" s="299"/>
      <c r="X229" s="299"/>
      <c r="Y229" s="299"/>
      <c r="Z229" s="299"/>
      <c r="AA229" s="299"/>
      <c r="AB229" s="299"/>
      <c r="AC229" s="300"/>
      <c r="AD229" s="300"/>
    </row>
    <row r="230" spans="1:30" ht="12.75" customHeight="1" x14ac:dyDescent="0.2">
      <c r="A230" s="296"/>
      <c r="B230" s="296"/>
      <c r="C230" s="296"/>
      <c r="D230" s="297"/>
      <c r="E230" s="298"/>
      <c r="F230" s="296"/>
      <c r="G230" s="296"/>
      <c r="H230" s="296"/>
      <c r="I230" s="296"/>
      <c r="J230" s="296"/>
      <c r="K230" s="296"/>
      <c r="L230" s="296"/>
      <c r="M230" s="299"/>
      <c r="N230" s="299"/>
      <c r="O230" s="299"/>
      <c r="P230" s="299"/>
      <c r="Q230" s="299"/>
      <c r="R230" s="299"/>
      <c r="S230" s="299"/>
      <c r="T230" s="299"/>
      <c r="U230" s="299"/>
      <c r="V230" s="299"/>
      <c r="W230" s="299"/>
      <c r="X230" s="299"/>
      <c r="Y230" s="299"/>
      <c r="Z230" s="299"/>
      <c r="AA230" s="299"/>
      <c r="AB230" s="299"/>
      <c r="AC230" s="300"/>
      <c r="AD230" s="300"/>
    </row>
    <row r="231" spans="1:30" ht="12.75" customHeight="1" x14ac:dyDescent="0.2">
      <c r="A231" s="296"/>
      <c r="B231" s="296"/>
      <c r="C231" s="296"/>
      <c r="D231" s="297"/>
      <c r="E231" s="298"/>
      <c r="F231" s="296"/>
      <c r="G231" s="296"/>
      <c r="H231" s="296"/>
      <c r="I231" s="296"/>
      <c r="J231" s="296"/>
      <c r="K231" s="296"/>
      <c r="L231" s="296"/>
      <c r="M231" s="299"/>
      <c r="N231" s="299"/>
      <c r="O231" s="299"/>
      <c r="P231" s="299"/>
      <c r="Q231" s="299"/>
      <c r="R231" s="299"/>
      <c r="S231" s="299"/>
      <c r="T231" s="299"/>
      <c r="U231" s="299"/>
      <c r="V231" s="299"/>
      <c r="W231" s="299"/>
      <c r="X231" s="299"/>
      <c r="Y231" s="299"/>
      <c r="Z231" s="299"/>
      <c r="AA231" s="299"/>
      <c r="AB231" s="299"/>
      <c r="AC231" s="300"/>
      <c r="AD231" s="300"/>
    </row>
    <row r="232" spans="1:30" ht="12.75" customHeight="1" x14ac:dyDescent="0.2">
      <c r="A232" s="296"/>
      <c r="B232" s="296"/>
      <c r="C232" s="296"/>
      <c r="D232" s="297"/>
      <c r="E232" s="298"/>
      <c r="F232" s="296"/>
      <c r="G232" s="296"/>
      <c r="H232" s="296"/>
      <c r="I232" s="296"/>
      <c r="J232" s="296"/>
      <c r="K232" s="296"/>
      <c r="L232" s="296"/>
      <c r="M232" s="299"/>
      <c r="N232" s="299"/>
      <c r="O232" s="299"/>
      <c r="P232" s="299"/>
      <c r="Q232" s="299"/>
      <c r="R232" s="299"/>
      <c r="S232" s="299"/>
      <c r="T232" s="299"/>
      <c r="U232" s="299"/>
      <c r="V232" s="299"/>
      <c r="W232" s="299"/>
      <c r="X232" s="299"/>
      <c r="Y232" s="299"/>
      <c r="Z232" s="299"/>
      <c r="AA232" s="299"/>
      <c r="AB232" s="299"/>
      <c r="AC232" s="300"/>
      <c r="AD232" s="300"/>
    </row>
    <row r="233" spans="1:30" ht="12.75" customHeight="1" x14ac:dyDescent="0.2">
      <c r="A233" s="296"/>
      <c r="B233" s="296"/>
      <c r="C233" s="296"/>
      <c r="D233" s="297"/>
      <c r="E233" s="298"/>
      <c r="F233" s="296"/>
      <c r="G233" s="296"/>
      <c r="H233" s="296"/>
      <c r="I233" s="296"/>
      <c r="J233" s="296"/>
      <c r="K233" s="296"/>
      <c r="L233" s="296"/>
      <c r="M233" s="299"/>
      <c r="N233" s="299"/>
      <c r="O233" s="299"/>
      <c r="P233" s="299"/>
      <c r="Q233" s="299"/>
      <c r="R233" s="299"/>
      <c r="S233" s="299"/>
      <c r="T233" s="299"/>
      <c r="U233" s="299"/>
      <c r="V233" s="299"/>
      <c r="W233" s="299"/>
      <c r="X233" s="299"/>
      <c r="Y233" s="299"/>
      <c r="Z233" s="299"/>
      <c r="AA233" s="299"/>
      <c r="AB233" s="299"/>
      <c r="AC233" s="300"/>
      <c r="AD233" s="300"/>
    </row>
    <row r="234" spans="1:30" ht="12.75" customHeight="1" x14ac:dyDescent="0.2">
      <c r="A234" s="296"/>
      <c r="B234" s="296"/>
      <c r="C234" s="296"/>
      <c r="D234" s="297"/>
      <c r="E234" s="298"/>
      <c r="F234" s="296"/>
      <c r="G234" s="296"/>
      <c r="H234" s="296"/>
      <c r="I234" s="296"/>
      <c r="J234" s="296"/>
      <c r="K234" s="296"/>
      <c r="L234" s="296"/>
      <c r="M234" s="299"/>
      <c r="N234" s="299"/>
      <c r="O234" s="299"/>
      <c r="P234" s="299"/>
      <c r="Q234" s="299"/>
      <c r="R234" s="299"/>
      <c r="S234" s="299"/>
      <c r="T234" s="299"/>
      <c r="U234" s="299"/>
      <c r="V234" s="299"/>
      <c r="W234" s="299"/>
      <c r="X234" s="299"/>
      <c r="Y234" s="299"/>
      <c r="Z234" s="299"/>
      <c r="AA234" s="299"/>
      <c r="AB234" s="299"/>
      <c r="AC234" s="300"/>
      <c r="AD234" s="300"/>
    </row>
    <row r="235" spans="1:30" ht="12.75" customHeight="1" x14ac:dyDescent="0.2">
      <c r="A235" s="296"/>
      <c r="B235" s="296"/>
      <c r="C235" s="296"/>
      <c r="D235" s="297"/>
      <c r="E235" s="298"/>
      <c r="F235" s="296"/>
      <c r="G235" s="296"/>
      <c r="H235" s="296"/>
      <c r="I235" s="296"/>
      <c r="J235" s="296"/>
      <c r="K235" s="296"/>
      <c r="L235" s="296"/>
      <c r="M235" s="299"/>
      <c r="N235" s="299"/>
      <c r="O235" s="299"/>
      <c r="P235" s="299"/>
      <c r="Q235" s="299"/>
      <c r="R235" s="299"/>
      <c r="S235" s="299"/>
      <c r="T235" s="299"/>
      <c r="U235" s="299"/>
      <c r="V235" s="299"/>
      <c r="W235" s="299"/>
      <c r="X235" s="299"/>
      <c r="Y235" s="299"/>
      <c r="Z235" s="299"/>
      <c r="AA235" s="299"/>
      <c r="AB235" s="299"/>
      <c r="AC235" s="300"/>
      <c r="AD235" s="300"/>
    </row>
    <row r="236" spans="1:30" ht="12.75" customHeight="1" x14ac:dyDescent="0.2">
      <c r="A236" s="296"/>
      <c r="B236" s="296"/>
      <c r="C236" s="296"/>
      <c r="D236" s="297"/>
      <c r="E236" s="298"/>
      <c r="F236" s="296"/>
      <c r="G236" s="296"/>
      <c r="H236" s="296"/>
      <c r="I236" s="296"/>
      <c r="J236" s="296"/>
      <c r="K236" s="296"/>
      <c r="L236" s="296"/>
      <c r="M236" s="299"/>
      <c r="N236" s="299"/>
      <c r="O236" s="299"/>
      <c r="P236" s="299"/>
      <c r="Q236" s="299"/>
      <c r="R236" s="299"/>
      <c r="S236" s="299"/>
      <c r="T236" s="299"/>
      <c r="U236" s="299"/>
      <c r="V236" s="299"/>
      <c r="W236" s="299"/>
      <c r="X236" s="299"/>
      <c r="Y236" s="299"/>
      <c r="Z236" s="299"/>
      <c r="AA236" s="299"/>
      <c r="AB236" s="299"/>
      <c r="AC236" s="300"/>
      <c r="AD236" s="300"/>
    </row>
    <row r="237" spans="1:30" ht="12.75" customHeight="1" x14ac:dyDescent="0.2">
      <c r="A237" s="296"/>
      <c r="B237" s="296"/>
      <c r="C237" s="296"/>
      <c r="D237" s="297"/>
      <c r="E237" s="298"/>
      <c r="F237" s="296"/>
      <c r="G237" s="296"/>
      <c r="H237" s="296"/>
      <c r="I237" s="296"/>
      <c r="J237" s="296"/>
      <c r="K237" s="296"/>
      <c r="L237" s="296"/>
      <c r="M237" s="299"/>
      <c r="N237" s="299"/>
      <c r="O237" s="299"/>
      <c r="P237" s="299"/>
      <c r="Q237" s="299"/>
      <c r="R237" s="299"/>
      <c r="S237" s="299"/>
      <c r="T237" s="299"/>
      <c r="U237" s="299"/>
      <c r="V237" s="299"/>
      <c r="W237" s="299"/>
      <c r="X237" s="299"/>
      <c r="Y237" s="299"/>
      <c r="Z237" s="299"/>
      <c r="AA237" s="299"/>
      <c r="AB237" s="299"/>
      <c r="AC237" s="300"/>
      <c r="AD237" s="300"/>
    </row>
    <row r="238" spans="1:30" ht="12.75" customHeight="1" x14ac:dyDescent="0.2">
      <c r="A238" s="296"/>
      <c r="B238" s="296"/>
      <c r="C238" s="296"/>
      <c r="D238" s="297"/>
      <c r="E238" s="298"/>
      <c r="F238" s="296"/>
      <c r="G238" s="296"/>
      <c r="H238" s="296"/>
      <c r="I238" s="296"/>
      <c r="J238" s="296"/>
      <c r="K238" s="296"/>
      <c r="L238" s="296"/>
      <c r="M238" s="299"/>
      <c r="N238" s="299"/>
      <c r="O238" s="299"/>
      <c r="P238" s="299"/>
      <c r="Q238" s="299"/>
      <c r="R238" s="299"/>
      <c r="S238" s="299"/>
      <c r="T238" s="299"/>
      <c r="U238" s="299"/>
      <c r="V238" s="299"/>
      <c r="W238" s="299"/>
      <c r="X238" s="299"/>
      <c r="Y238" s="299"/>
      <c r="Z238" s="299"/>
      <c r="AA238" s="299"/>
      <c r="AB238" s="299"/>
      <c r="AC238" s="300"/>
      <c r="AD238" s="300"/>
    </row>
    <row r="239" spans="1:30" ht="12.75" customHeight="1" x14ac:dyDescent="0.2">
      <c r="A239" s="296"/>
      <c r="B239" s="296"/>
      <c r="C239" s="296"/>
      <c r="D239" s="297"/>
      <c r="E239" s="298"/>
      <c r="F239" s="296"/>
      <c r="G239" s="296"/>
      <c r="H239" s="296"/>
      <c r="I239" s="296"/>
      <c r="J239" s="296"/>
      <c r="K239" s="296"/>
      <c r="L239" s="296"/>
      <c r="M239" s="299"/>
      <c r="N239" s="299"/>
      <c r="O239" s="299"/>
      <c r="P239" s="299"/>
      <c r="Q239" s="299"/>
      <c r="R239" s="299"/>
      <c r="S239" s="299"/>
      <c r="T239" s="299"/>
      <c r="U239" s="299"/>
      <c r="V239" s="299"/>
      <c r="W239" s="299"/>
      <c r="X239" s="299"/>
      <c r="Y239" s="299"/>
      <c r="Z239" s="299"/>
      <c r="AA239" s="299"/>
      <c r="AB239" s="299"/>
      <c r="AC239" s="300"/>
      <c r="AD239" s="300"/>
    </row>
    <row r="240" spans="1:30" ht="12.75" customHeight="1" x14ac:dyDescent="0.2">
      <c r="A240" s="296"/>
      <c r="B240" s="296"/>
      <c r="C240" s="296"/>
      <c r="D240" s="297"/>
      <c r="E240" s="298"/>
      <c r="F240" s="296"/>
      <c r="G240" s="296"/>
      <c r="H240" s="296"/>
      <c r="I240" s="296"/>
      <c r="J240" s="296"/>
      <c r="K240" s="296"/>
      <c r="L240" s="296"/>
      <c r="M240" s="299"/>
      <c r="N240" s="299"/>
      <c r="O240" s="299"/>
      <c r="P240" s="299"/>
      <c r="Q240" s="299"/>
      <c r="R240" s="299"/>
      <c r="S240" s="299"/>
      <c r="T240" s="299"/>
      <c r="U240" s="299"/>
      <c r="V240" s="299"/>
      <c r="W240" s="299"/>
      <c r="X240" s="299"/>
      <c r="Y240" s="299"/>
      <c r="Z240" s="299"/>
      <c r="AA240" s="299"/>
      <c r="AB240" s="299"/>
      <c r="AC240" s="300"/>
      <c r="AD240" s="300"/>
    </row>
    <row r="241" spans="1:30" ht="12.75" customHeight="1" x14ac:dyDescent="0.2">
      <c r="A241" s="296"/>
      <c r="B241" s="296"/>
      <c r="C241" s="296"/>
      <c r="D241" s="297"/>
      <c r="E241" s="298"/>
      <c r="F241" s="296"/>
      <c r="G241" s="296"/>
      <c r="H241" s="296"/>
      <c r="I241" s="296"/>
      <c r="J241" s="296"/>
      <c r="K241" s="296"/>
      <c r="L241" s="296"/>
      <c r="M241" s="299"/>
      <c r="N241" s="299"/>
      <c r="O241" s="299"/>
      <c r="P241" s="299"/>
      <c r="Q241" s="299"/>
      <c r="R241" s="299"/>
      <c r="S241" s="299"/>
      <c r="T241" s="299"/>
      <c r="U241" s="299"/>
      <c r="V241" s="299"/>
      <c r="W241" s="299"/>
      <c r="X241" s="299"/>
      <c r="Y241" s="299"/>
      <c r="Z241" s="299"/>
      <c r="AA241" s="299"/>
      <c r="AB241" s="299"/>
      <c r="AC241" s="300"/>
      <c r="AD241" s="300"/>
    </row>
    <row r="242" spans="1:30" ht="12.75" customHeight="1" x14ac:dyDescent="0.2">
      <c r="A242" s="296"/>
      <c r="B242" s="296"/>
      <c r="C242" s="296"/>
      <c r="D242" s="297"/>
      <c r="E242" s="298"/>
      <c r="F242" s="296"/>
      <c r="G242" s="296"/>
      <c r="H242" s="296"/>
      <c r="I242" s="296"/>
      <c r="J242" s="296"/>
      <c r="K242" s="296"/>
      <c r="L242" s="296"/>
      <c r="M242" s="299"/>
      <c r="N242" s="299"/>
      <c r="O242" s="299"/>
      <c r="P242" s="299"/>
      <c r="Q242" s="299"/>
      <c r="R242" s="299"/>
      <c r="S242" s="299"/>
      <c r="T242" s="299"/>
      <c r="U242" s="299"/>
      <c r="V242" s="299"/>
      <c r="W242" s="299"/>
      <c r="X242" s="299"/>
      <c r="Y242" s="299"/>
      <c r="Z242" s="299"/>
      <c r="AA242" s="299"/>
      <c r="AB242" s="299"/>
      <c r="AC242" s="300"/>
      <c r="AD242" s="300"/>
    </row>
    <row r="243" spans="1:30" ht="12.75" customHeight="1" x14ac:dyDescent="0.2">
      <c r="A243" s="296"/>
      <c r="B243" s="296"/>
      <c r="C243" s="296"/>
      <c r="D243" s="297"/>
      <c r="E243" s="298"/>
      <c r="F243" s="296"/>
      <c r="G243" s="296"/>
      <c r="H243" s="296"/>
      <c r="I243" s="296"/>
      <c r="J243" s="296"/>
      <c r="K243" s="296"/>
      <c r="L243" s="296"/>
      <c r="M243" s="299"/>
      <c r="N243" s="299"/>
      <c r="O243" s="299"/>
      <c r="P243" s="299"/>
      <c r="Q243" s="299"/>
      <c r="R243" s="299"/>
      <c r="S243" s="299"/>
      <c r="T243" s="299"/>
      <c r="U243" s="299"/>
      <c r="V243" s="299"/>
      <c r="W243" s="299"/>
      <c r="X243" s="299"/>
      <c r="Y243" s="299"/>
      <c r="Z243" s="299"/>
      <c r="AA243" s="299"/>
      <c r="AB243" s="299"/>
      <c r="AC243" s="300"/>
      <c r="AD243" s="300"/>
    </row>
    <row r="244" spans="1:30" ht="12.75" customHeight="1" x14ac:dyDescent="0.2">
      <c r="A244" s="296"/>
      <c r="B244" s="296"/>
      <c r="C244" s="296"/>
      <c r="D244" s="297"/>
      <c r="E244" s="298"/>
      <c r="F244" s="296"/>
      <c r="G244" s="296"/>
      <c r="H244" s="296"/>
      <c r="I244" s="296"/>
      <c r="J244" s="296"/>
      <c r="K244" s="296"/>
      <c r="L244" s="296"/>
      <c r="M244" s="299"/>
      <c r="N244" s="299"/>
      <c r="O244" s="299"/>
      <c r="P244" s="299"/>
      <c r="Q244" s="299"/>
      <c r="R244" s="299"/>
      <c r="S244" s="299"/>
      <c r="T244" s="299"/>
      <c r="U244" s="299"/>
      <c r="V244" s="299"/>
      <c r="W244" s="299"/>
      <c r="X244" s="299"/>
      <c r="Y244" s="299"/>
      <c r="Z244" s="299"/>
      <c r="AA244" s="299"/>
      <c r="AB244" s="299"/>
      <c r="AC244" s="300"/>
      <c r="AD244" s="300"/>
    </row>
    <row r="245" spans="1:30" ht="12.75" customHeight="1" x14ac:dyDescent="0.2">
      <c r="A245" s="296"/>
      <c r="B245" s="296"/>
      <c r="C245" s="296"/>
      <c r="D245" s="297"/>
      <c r="E245" s="298"/>
      <c r="F245" s="296"/>
      <c r="G245" s="296"/>
      <c r="H245" s="296"/>
      <c r="I245" s="296"/>
      <c r="J245" s="296"/>
      <c r="K245" s="296"/>
      <c r="L245" s="296"/>
      <c r="M245" s="299"/>
      <c r="N245" s="299"/>
      <c r="O245" s="299"/>
      <c r="P245" s="299"/>
      <c r="Q245" s="299"/>
      <c r="R245" s="299"/>
      <c r="S245" s="299"/>
      <c r="T245" s="299"/>
      <c r="U245" s="299"/>
      <c r="V245" s="299"/>
      <c r="W245" s="299"/>
      <c r="X245" s="299"/>
      <c r="Y245" s="299"/>
      <c r="Z245" s="299"/>
      <c r="AA245" s="299"/>
      <c r="AB245" s="299"/>
      <c r="AC245" s="300"/>
      <c r="AD245" s="300"/>
    </row>
    <row r="246" spans="1:30" ht="12.75" customHeight="1" x14ac:dyDescent="0.2">
      <c r="A246" s="296"/>
      <c r="B246" s="296"/>
      <c r="C246" s="296"/>
      <c r="D246" s="297"/>
      <c r="E246" s="298"/>
      <c r="F246" s="296"/>
      <c r="G246" s="296"/>
      <c r="H246" s="296"/>
      <c r="I246" s="296"/>
      <c r="J246" s="296"/>
      <c r="K246" s="296"/>
      <c r="L246" s="296"/>
      <c r="M246" s="299"/>
      <c r="N246" s="299"/>
      <c r="O246" s="299"/>
      <c r="P246" s="299"/>
      <c r="Q246" s="299"/>
      <c r="R246" s="299"/>
      <c r="S246" s="299"/>
      <c r="T246" s="299"/>
      <c r="U246" s="299"/>
      <c r="V246" s="299"/>
      <c r="W246" s="299"/>
      <c r="X246" s="299"/>
      <c r="Y246" s="299"/>
      <c r="Z246" s="299"/>
      <c r="AA246" s="299"/>
      <c r="AB246" s="299"/>
      <c r="AC246" s="300"/>
      <c r="AD246" s="300"/>
    </row>
    <row r="247" spans="1:30" ht="12.75" customHeight="1" x14ac:dyDescent="0.2">
      <c r="A247" s="296"/>
      <c r="B247" s="296"/>
      <c r="C247" s="296"/>
      <c r="D247" s="297"/>
      <c r="E247" s="298"/>
      <c r="F247" s="296"/>
      <c r="G247" s="296"/>
      <c r="H247" s="296"/>
      <c r="I247" s="296"/>
      <c r="J247" s="296"/>
      <c r="K247" s="296"/>
      <c r="L247" s="296"/>
      <c r="M247" s="299"/>
      <c r="N247" s="299"/>
      <c r="O247" s="299"/>
      <c r="P247" s="299"/>
      <c r="Q247" s="299"/>
      <c r="R247" s="299"/>
      <c r="S247" s="299"/>
      <c r="T247" s="299"/>
      <c r="U247" s="299"/>
      <c r="V247" s="299"/>
      <c r="W247" s="299"/>
      <c r="X247" s="299"/>
      <c r="Y247" s="299"/>
      <c r="Z247" s="299"/>
      <c r="AA247" s="299"/>
      <c r="AB247" s="299"/>
      <c r="AC247" s="300"/>
      <c r="AD247" s="300"/>
    </row>
    <row r="248" spans="1:30" ht="12.75" customHeight="1" x14ac:dyDescent="0.2">
      <c r="A248" s="296"/>
      <c r="B248" s="296"/>
      <c r="C248" s="296"/>
      <c r="D248" s="297"/>
      <c r="E248" s="298"/>
      <c r="F248" s="296"/>
      <c r="G248" s="296"/>
      <c r="H248" s="296"/>
      <c r="I248" s="296"/>
      <c r="J248" s="296"/>
      <c r="K248" s="296"/>
      <c r="L248" s="296"/>
      <c r="M248" s="299"/>
      <c r="N248" s="299"/>
      <c r="O248" s="299"/>
      <c r="P248" s="299"/>
      <c r="Q248" s="299"/>
      <c r="R248" s="299"/>
      <c r="S248" s="299"/>
      <c r="T248" s="299"/>
      <c r="U248" s="299"/>
      <c r="V248" s="299"/>
      <c r="W248" s="299"/>
      <c r="X248" s="299"/>
      <c r="Y248" s="299"/>
      <c r="Z248" s="299"/>
      <c r="AA248" s="299"/>
      <c r="AB248" s="299"/>
      <c r="AC248" s="300"/>
      <c r="AD248" s="300"/>
    </row>
    <row r="249" spans="1:30" ht="12.75" customHeight="1" x14ac:dyDescent="0.2">
      <c r="A249" s="296"/>
      <c r="B249" s="296"/>
      <c r="C249" s="296"/>
      <c r="D249" s="297"/>
      <c r="E249" s="298"/>
      <c r="F249" s="296"/>
      <c r="G249" s="296"/>
      <c r="H249" s="296"/>
      <c r="I249" s="296"/>
      <c r="J249" s="296"/>
      <c r="K249" s="296"/>
      <c r="L249" s="296"/>
      <c r="M249" s="299"/>
      <c r="N249" s="299"/>
      <c r="O249" s="299"/>
      <c r="P249" s="299"/>
      <c r="Q249" s="299"/>
      <c r="R249" s="299"/>
      <c r="S249" s="299"/>
      <c r="T249" s="299"/>
      <c r="U249" s="299"/>
      <c r="V249" s="299"/>
      <c r="W249" s="299"/>
      <c r="X249" s="299"/>
      <c r="Y249" s="299"/>
      <c r="Z249" s="299"/>
      <c r="AA249" s="299"/>
      <c r="AB249" s="299"/>
      <c r="AC249" s="300"/>
      <c r="AD249" s="300"/>
    </row>
    <row r="250" spans="1:30" ht="12.75" customHeight="1" x14ac:dyDescent="0.2">
      <c r="A250" s="296"/>
      <c r="B250" s="296"/>
      <c r="C250" s="296"/>
      <c r="D250" s="297"/>
      <c r="E250" s="298"/>
      <c r="F250" s="296"/>
      <c r="G250" s="296"/>
      <c r="H250" s="296"/>
      <c r="I250" s="296"/>
      <c r="J250" s="296"/>
      <c r="K250" s="296"/>
      <c r="L250" s="296"/>
      <c r="M250" s="299"/>
      <c r="N250" s="299"/>
      <c r="O250" s="299"/>
      <c r="P250" s="299"/>
      <c r="Q250" s="299"/>
      <c r="R250" s="299"/>
      <c r="S250" s="299"/>
      <c r="T250" s="299"/>
      <c r="U250" s="299"/>
      <c r="V250" s="299"/>
      <c r="W250" s="299"/>
      <c r="X250" s="299"/>
      <c r="Y250" s="299"/>
      <c r="Z250" s="299"/>
      <c r="AA250" s="299"/>
      <c r="AB250" s="299"/>
      <c r="AC250" s="300"/>
      <c r="AD250" s="300"/>
    </row>
    <row r="251" spans="1:30" ht="12.75" customHeight="1" x14ac:dyDescent="0.2">
      <c r="A251" s="296"/>
      <c r="B251" s="296"/>
      <c r="C251" s="296"/>
      <c r="D251" s="297"/>
      <c r="E251" s="298"/>
      <c r="F251" s="296"/>
      <c r="G251" s="296"/>
      <c r="H251" s="296"/>
      <c r="I251" s="296"/>
      <c r="J251" s="296"/>
      <c r="K251" s="296"/>
      <c r="L251" s="296"/>
      <c r="M251" s="299"/>
      <c r="N251" s="299"/>
      <c r="O251" s="299"/>
      <c r="P251" s="299"/>
      <c r="Q251" s="299"/>
      <c r="R251" s="299"/>
      <c r="S251" s="299"/>
      <c r="T251" s="299"/>
      <c r="U251" s="299"/>
      <c r="V251" s="299"/>
      <c r="W251" s="299"/>
      <c r="X251" s="299"/>
      <c r="Y251" s="299"/>
      <c r="Z251" s="299"/>
      <c r="AA251" s="299"/>
      <c r="AB251" s="299"/>
      <c r="AC251" s="300"/>
      <c r="AD251" s="300"/>
    </row>
    <row r="252" spans="1:30" ht="12.75" customHeight="1" x14ac:dyDescent="0.2">
      <c r="A252" s="296"/>
      <c r="B252" s="296"/>
      <c r="C252" s="296"/>
      <c r="D252" s="297"/>
      <c r="E252" s="298"/>
      <c r="F252" s="296"/>
      <c r="G252" s="296"/>
      <c r="H252" s="296"/>
      <c r="I252" s="296"/>
      <c r="J252" s="296"/>
      <c r="K252" s="296"/>
      <c r="L252" s="296"/>
      <c r="M252" s="299"/>
      <c r="N252" s="299"/>
      <c r="O252" s="299"/>
      <c r="P252" s="299"/>
      <c r="Q252" s="299"/>
      <c r="R252" s="299"/>
      <c r="S252" s="299"/>
      <c r="T252" s="299"/>
      <c r="U252" s="299"/>
      <c r="V252" s="299"/>
      <c r="W252" s="299"/>
      <c r="X252" s="299"/>
      <c r="Y252" s="299"/>
      <c r="Z252" s="299"/>
      <c r="AA252" s="299"/>
      <c r="AB252" s="299"/>
      <c r="AC252" s="300"/>
      <c r="AD252" s="300"/>
    </row>
    <row r="253" spans="1:30" ht="12.75" customHeight="1" x14ac:dyDescent="0.2">
      <c r="A253" s="296"/>
      <c r="B253" s="296"/>
      <c r="C253" s="296"/>
      <c r="D253" s="297"/>
      <c r="E253" s="298"/>
      <c r="F253" s="296"/>
      <c r="G253" s="296"/>
      <c r="H253" s="296"/>
      <c r="I253" s="296"/>
      <c r="J253" s="296"/>
      <c r="K253" s="296"/>
      <c r="L253" s="296"/>
      <c r="M253" s="299"/>
      <c r="N253" s="299"/>
      <c r="O253" s="299"/>
      <c r="P253" s="299"/>
      <c r="Q253" s="299"/>
      <c r="R253" s="299"/>
      <c r="S253" s="299"/>
      <c r="T253" s="299"/>
      <c r="U253" s="299"/>
      <c r="V253" s="299"/>
      <c r="W253" s="299"/>
      <c r="X253" s="299"/>
      <c r="Y253" s="299"/>
      <c r="Z253" s="299"/>
      <c r="AA253" s="299"/>
      <c r="AB253" s="299"/>
      <c r="AC253" s="300"/>
      <c r="AD253" s="300"/>
    </row>
    <row r="254" spans="1:30" ht="12.75" customHeight="1" x14ac:dyDescent="0.2">
      <c r="A254" s="296"/>
      <c r="B254" s="296"/>
      <c r="C254" s="296"/>
      <c r="D254" s="297"/>
      <c r="E254" s="298"/>
      <c r="F254" s="296"/>
      <c r="G254" s="296"/>
      <c r="H254" s="296"/>
      <c r="I254" s="296"/>
      <c r="J254" s="296"/>
      <c r="K254" s="296"/>
      <c r="L254" s="296"/>
      <c r="M254" s="299"/>
      <c r="N254" s="299"/>
      <c r="O254" s="299"/>
      <c r="P254" s="299"/>
      <c r="Q254" s="299"/>
      <c r="R254" s="299"/>
      <c r="S254" s="299"/>
      <c r="T254" s="299"/>
      <c r="U254" s="299"/>
      <c r="V254" s="299"/>
      <c r="W254" s="299"/>
      <c r="X254" s="299"/>
      <c r="Y254" s="299"/>
      <c r="Z254" s="299"/>
      <c r="AA254" s="299"/>
      <c r="AB254" s="299"/>
      <c r="AC254" s="300"/>
      <c r="AD254" s="300"/>
    </row>
    <row r="255" spans="1:30" ht="12.75" customHeight="1" x14ac:dyDescent="0.2">
      <c r="A255" s="296"/>
      <c r="B255" s="296"/>
      <c r="C255" s="296"/>
      <c r="D255" s="297"/>
      <c r="E255" s="298"/>
      <c r="F255" s="296"/>
      <c r="G255" s="296"/>
      <c r="H255" s="296"/>
      <c r="I255" s="296"/>
      <c r="J255" s="296"/>
      <c r="K255" s="296"/>
      <c r="L255" s="296"/>
      <c r="M255" s="299"/>
      <c r="N255" s="299"/>
      <c r="O255" s="299"/>
      <c r="P255" s="299"/>
      <c r="Q255" s="299"/>
      <c r="R255" s="299"/>
      <c r="S255" s="299"/>
      <c r="T255" s="299"/>
      <c r="U255" s="299"/>
      <c r="V255" s="299"/>
      <c r="W255" s="299"/>
      <c r="X255" s="299"/>
      <c r="Y255" s="299"/>
      <c r="Z255" s="299"/>
      <c r="AA255" s="299"/>
      <c r="AB255" s="299"/>
      <c r="AC255" s="300"/>
      <c r="AD255" s="300"/>
    </row>
    <row r="256" spans="1:30" ht="12.75" customHeight="1" x14ac:dyDescent="0.2">
      <c r="A256" s="296"/>
      <c r="B256" s="296"/>
      <c r="C256" s="296"/>
      <c r="D256" s="297"/>
      <c r="E256" s="298"/>
      <c r="F256" s="296"/>
      <c r="G256" s="296"/>
      <c r="H256" s="296"/>
      <c r="I256" s="296"/>
      <c r="J256" s="296"/>
      <c r="K256" s="296"/>
      <c r="L256" s="296"/>
      <c r="M256" s="299"/>
      <c r="N256" s="299"/>
      <c r="O256" s="299"/>
      <c r="P256" s="299"/>
      <c r="Q256" s="299"/>
      <c r="R256" s="299"/>
      <c r="S256" s="299"/>
      <c r="T256" s="299"/>
      <c r="U256" s="299"/>
      <c r="V256" s="299"/>
      <c r="W256" s="299"/>
      <c r="X256" s="299"/>
      <c r="Y256" s="299"/>
      <c r="Z256" s="299"/>
      <c r="AA256" s="299"/>
      <c r="AB256" s="299"/>
      <c r="AC256" s="300"/>
      <c r="AD256" s="300"/>
    </row>
    <row r="257" spans="1:30" ht="12.75" customHeight="1" x14ac:dyDescent="0.2">
      <c r="A257" s="296"/>
      <c r="B257" s="296"/>
      <c r="C257" s="296"/>
      <c r="D257" s="297"/>
      <c r="E257" s="298"/>
      <c r="F257" s="296"/>
      <c r="G257" s="296"/>
      <c r="H257" s="296"/>
      <c r="I257" s="296"/>
      <c r="J257" s="296"/>
      <c r="K257" s="296"/>
      <c r="L257" s="296"/>
      <c r="M257" s="299"/>
      <c r="N257" s="299"/>
      <c r="O257" s="299"/>
      <c r="P257" s="299"/>
      <c r="Q257" s="299"/>
      <c r="R257" s="299"/>
      <c r="S257" s="299"/>
      <c r="T257" s="299"/>
      <c r="U257" s="299"/>
      <c r="V257" s="299"/>
      <c r="W257" s="299"/>
      <c r="X257" s="299"/>
      <c r="Y257" s="299"/>
      <c r="Z257" s="299"/>
      <c r="AA257" s="299"/>
      <c r="AB257" s="299"/>
      <c r="AC257" s="300"/>
      <c r="AD257" s="300"/>
    </row>
    <row r="258" spans="1:30" ht="12.75" customHeight="1" x14ac:dyDescent="0.2">
      <c r="A258" s="296"/>
      <c r="B258" s="296"/>
      <c r="C258" s="296"/>
      <c r="D258" s="297"/>
      <c r="E258" s="298"/>
      <c r="F258" s="296"/>
      <c r="G258" s="296"/>
      <c r="H258" s="296"/>
      <c r="I258" s="296"/>
      <c r="J258" s="296"/>
      <c r="K258" s="296"/>
      <c r="L258" s="296"/>
      <c r="M258" s="299"/>
      <c r="N258" s="299"/>
      <c r="O258" s="299"/>
      <c r="P258" s="299"/>
      <c r="Q258" s="299"/>
      <c r="R258" s="299"/>
      <c r="S258" s="299"/>
      <c r="T258" s="299"/>
      <c r="U258" s="299"/>
      <c r="V258" s="299"/>
      <c r="W258" s="299"/>
      <c r="X258" s="299"/>
      <c r="Y258" s="299"/>
      <c r="Z258" s="299"/>
      <c r="AA258" s="299"/>
      <c r="AB258" s="299"/>
      <c r="AC258" s="300"/>
      <c r="AD258" s="300"/>
    </row>
    <row r="259" spans="1:30" ht="12.75" customHeight="1" x14ac:dyDescent="0.2">
      <c r="A259" s="296"/>
      <c r="B259" s="296"/>
      <c r="C259" s="296"/>
      <c r="D259" s="297"/>
      <c r="E259" s="298"/>
      <c r="F259" s="296"/>
      <c r="G259" s="296"/>
      <c r="H259" s="296"/>
      <c r="I259" s="296"/>
      <c r="J259" s="296"/>
      <c r="K259" s="296"/>
      <c r="L259" s="296"/>
      <c r="M259" s="299"/>
      <c r="N259" s="299"/>
      <c r="O259" s="299"/>
      <c r="P259" s="299"/>
      <c r="Q259" s="299"/>
      <c r="R259" s="299"/>
      <c r="S259" s="299"/>
      <c r="T259" s="299"/>
      <c r="U259" s="299"/>
      <c r="V259" s="299"/>
      <c r="W259" s="299"/>
      <c r="X259" s="299"/>
      <c r="Y259" s="299"/>
      <c r="Z259" s="299"/>
      <c r="AA259" s="299"/>
      <c r="AB259" s="299"/>
      <c r="AC259" s="300"/>
      <c r="AD259" s="300"/>
    </row>
    <row r="260" spans="1:30" ht="12.75" customHeight="1" x14ac:dyDescent="0.2">
      <c r="A260" s="296"/>
      <c r="B260" s="296"/>
      <c r="C260" s="296"/>
      <c r="D260" s="297"/>
      <c r="E260" s="298"/>
      <c r="F260" s="296"/>
      <c r="G260" s="296"/>
      <c r="H260" s="296"/>
      <c r="I260" s="296"/>
      <c r="J260" s="296"/>
      <c r="K260" s="296"/>
      <c r="L260" s="296"/>
      <c r="M260" s="299"/>
      <c r="N260" s="299"/>
      <c r="O260" s="299"/>
      <c r="P260" s="299"/>
      <c r="Q260" s="299"/>
      <c r="R260" s="299"/>
      <c r="S260" s="299"/>
      <c r="T260" s="299"/>
      <c r="U260" s="299"/>
      <c r="V260" s="299"/>
      <c r="W260" s="299"/>
      <c r="X260" s="299"/>
      <c r="Y260" s="299"/>
      <c r="Z260" s="299"/>
      <c r="AA260" s="299"/>
      <c r="AB260" s="299"/>
      <c r="AC260" s="300"/>
      <c r="AD260" s="300"/>
    </row>
    <row r="261" spans="1:30" ht="12.75" customHeight="1" x14ac:dyDescent="0.2">
      <c r="A261" s="296"/>
      <c r="B261" s="296"/>
      <c r="C261" s="296"/>
      <c r="D261" s="297"/>
      <c r="E261" s="298"/>
      <c r="F261" s="296"/>
      <c r="G261" s="296"/>
      <c r="H261" s="296"/>
      <c r="I261" s="296"/>
      <c r="J261" s="296"/>
      <c r="K261" s="296"/>
      <c r="L261" s="296"/>
      <c r="M261" s="299"/>
      <c r="N261" s="299"/>
      <c r="O261" s="299"/>
      <c r="P261" s="299"/>
      <c r="Q261" s="299"/>
      <c r="R261" s="299"/>
      <c r="S261" s="299"/>
      <c r="T261" s="299"/>
      <c r="U261" s="299"/>
      <c r="V261" s="299"/>
      <c r="W261" s="299"/>
      <c r="X261" s="299"/>
      <c r="Y261" s="299"/>
      <c r="Z261" s="299"/>
      <c r="AA261" s="299"/>
      <c r="AB261" s="299"/>
      <c r="AC261" s="300"/>
      <c r="AD261" s="300"/>
    </row>
    <row r="262" spans="1:30" ht="12.75" customHeight="1" x14ac:dyDescent="0.2">
      <c r="A262" s="296"/>
      <c r="B262" s="296"/>
      <c r="C262" s="296"/>
      <c r="D262" s="297"/>
      <c r="E262" s="298"/>
      <c r="F262" s="296"/>
      <c r="G262" s="296"/>
      <c r="H262" s="296"/>
      <c r="I262" s="296"/>
      <c r="J262" s="296"/>
      <c r="K262" s="296"/>
      <c r="L262" s="296"/>
      <c r="M262" s="299"/>
      <c r="N262" s="299"/>
      <c r="O262" s="299"/>
      <c r="P262" s="299"/>
      <c r="Q262" s="299"/>
      <c r="R262" s="299"/>
      <c r="S262" s="299"/>
      <c r="T262" s="299"/>
      <c r="U262" s="299"/>
      <c r="V262" s="299"/>
      <c r="W262" s="299"/>
      <c r="X262" s="299"/>
      <c r="Y262" s="299"/>
      <c r="Z262" s="299"/>
      <c r="AA262" s="299"/>
      <c r="AB262" s="299"/>
      <c r="AC262" s="300"/>
      <c r="AD262" s="300"/>
    </row>
    <row r="263" spans="1:30" ht="12.75" customHeight="1" x14ac:dyDescent="0.2">
      <c r="A263" s="296"/>
      <c r="B263" s="296"/>
      <c r="C263" s="296"/>
      <c r="D263" s="297"/>
      <c r="E263" s="298"/>
      <c r="F263" s="296"/>
      <c r="G263" s="296"/>
      <c r="H263" s="296"/>
      <c r="I263" s="296"/>
      <c r="J263" s="296"/>
      <c r="K263" s="296"/>
      <c r="L263" s="296"/>
      <c r="M263" s="299"/>
      <c r="N263" s="299"/>
      <c r="O263" s="299"/>
      <c r="P263" s="299"/>
      <c r="Q263" s="299"/>
      <c r="R263" s="299"/>
      <c r="S263" s="299"/>
      <c r="T263" s="299"/>
      <c r="U263" s="299"/>
      <c r="V263" s="299"/>
      <c r="W263" s="299"/>
      <c r="X263" s="299"/>
      <c r="Y263" s="299"/>
      <c r="Z263" s="299"/>
      <c r="AA263" s="299"/>
      <c r="AB263" s="299"/>
      <c r="AC263" s="300"/>
      <c r="AD263" s="300"/>
    </row>
    <row r="264" spans="1:30" ht="12.75" customHeight="1" x14ac:dyDescent="0.2">
      <c r="A264" s="296"/>
      <c r="B264" s="296"/>
      <c r="C264" s="296"/>
      <c r="D264" s="297"/>
      <c r="E264" s="298"/>
      <c r="F264" s="296"/>
      <c r="G264" s="296"/>
      <c r="H264" s="296"/>
      <c r="I264" s="296"/>
      <c r="J264" s="296"/>
      <c r="K264" s="296"/>
      <c r="L264" s="296"/>
      <c r="M264" s="299"/>
      <c r="N264" s="299"/>
      <c r="O264" s="299"/>
      <c r="P264" s="299"/>
      <c r="Q264" s="299"/>
      <c r="R264" s="299"/>
      <c r="S264" s="299"/>
      <c r="T264" s="299"/>
      <c r="U264" s="299"/>
      <c r="V264" s="299"/>
      <c r="W264" s="299"/>
      <c r="X264" s="299"/>
      <c r="Y264" s="299"/>
      <c r="Z264" s="299"/>
      <c r="AA264" s="299"/>
      <c r="AB264" s="299"/>
      <c r="AC264" s="300"/>
      <c r="AD264" s="300"/>
    </row>
    <row r="265" spans="1:30" ht="12.75" customHeight="1" x14ac:dyDescent="0.2">
      <c r="A265" s="296"/>
      <c r="B265" s="296"/>
      <c r="C265" s="296"/>
      <c r="D265" s="297"/>
      <c r="E265" s="298"/>
      <c r="F265" s="296"/>
      <c r="G265" s="296"/>
      <c r="H265" s="296"/>
      <c r="I265" s="296"/>
      <c r="J265" s="296"/>
      <c r="K265" s="296"/>
      <c r="L265" s="296"/>
      <c r="M265" s="299"/>
      <c r="N265" s="299"/>
      <c r="O265" s="299"/>
      <c r="P265" s="299"/>
      <c r="Q265" s="299"/>
      <c r="R265" s="299"/>
      <c r="S265" s="299"/>
      <c r="T265" s="299"/>
      <c r="U265" s="299"/>
      <c r="V265" s="299"/>
      <c r="W265" s="299"/>
      <c r="X265" s="299"/>
      <c r="Y265" s="299"/>
      <c r="Z265" s="299"/>
      <c r="AA265" s="299"/>
      <c r="AB265" s="299"/>
      <c r="AC265" s="300"/>
      <c r="AD265" s="300"/>
    </row>
    <row r="266" spans="1:30" ht="12.75" customHeight="1" x14ac:dyDescent="0.2">
      <c r="A266" s="296"/>
      <c r="B266" s="296"/>
      <c r="C266" s="296"/>
      <c r="D266" s="297"/>
      <c r="E266" s="298"/>
      <c r="F266" s="296"/>
      <c r="G266" s="296"/>
      <c r="H266" s="296"/>
      <c r="I266" s="296"/>
      <c r="J266" s="296"/>
      <c r="K266" s="296"/>
      <c r="L266" s="296"/>
      <c r="M266" s="299"/>
      <c r="N266" s="299"/>
      <c r="O266" s="299"/>
      <c r="P266" s="299"/>
      <c r="Q266" s="299"/>
      <c r="R266" s="299"/>
      <c r="S266" s="299"/>
      <c r="T266" s="299"/>
      <c r="U266" s="299"/>
      <c r="V266" s="299"/>
      <c r="W266" s="299"/>
      <c r="X266" s="299"/>
      <c r="Y266" s="299"/>
      <c r="Z266" s="299"/>
      <c r="AA266" s="299"/>
      <c r="AB266" s="299"/>
      <c r="AC266" s="300"/>
      <c r="AD266" s="300"/>
    </row>
    <row r="267" spans="1:30" ht="12.75" customHeight="1" x14ac:dyDescent="0.2">
      <c r="A267" s="296"/>
      <c r="B267" s="296"/>
      <c r="C267" s="296"/>
      <c r="D267" s="297"/>
      <c r="E267" s="298"/>
      <c r="F267" s="296"/>
      <c r="G267" s="296"/>
      <c r="H267" s="296"/>
      <c r="I267" s="296"/>
      <c r="J267" s="296"/>
      <c r="K267" s="296"/>
      <c r="L267" s="296"/>
      <c r="M267" s="299"/>
      <c r="N267" s="299"/>
      <c r="O267" s="299"/>
      <c r="P267" s="299"/>
      <c r="Q267" s="299"/>
      <c r="R267" s="299"/>
      <c r="S267" s="299"/>
      <c r="T267" s="299"/>
      <c r="U267" s="299"/>
      <c r="V267" s="299"/>
      <c r="W267" s="299"/>
      <c r="X267" s="299"/>
      <c r="Y267" s="299"/>
      <c r="Z267" s="299"/>
      <c r="AA267" s="299"/>
      <c r="AB267" s="299"/>
      <c r="AC267" s="300"/>
      <c r="AD267" s="300"/>
    </row>
    <row r="268" spans="1:30" ht="12.75" customHeight="1" x14ac:dyDescent="0.2">
      <c r="A268" s="296"/>
      <c r="B268" s="296"/>
      <c r="C268" s="296"/>
      <c r="D268" s="297"/>
      <c r="E268" s="298"/>
      <c r="F268" s="296"/>
      <c r="G268" s="296"/>
      <c r="H268" s="296"/>
      <c r="I268" s="296"/>
      <c r="J268" s="296"/>
      <c r="K268" s="296"/>
      <c r="L268" s="296"/>
      <c r="M268" s="299"/>
      <c r="N268" s="299"/>
      <c r="O268" s="299"/>
      <c r="P268" s="299"/>
      <c r="Q268" s="299"/>
      <c r="R268" s="299"/>
      <c r="S268" s="299"/>
      <c r="T268" s="299"/>
      <c r="U268" s="299"/>
      <c r="V268" s="299"/>
      <c r="W268" s="299"/>
      <c r="X268" s="299"/>
      <c r="Y268" s="299"/>
      <c r="Z268" s="299"/>
      <c r="AA268" s="299"/>
      <c r="AB268" s="299"/>
      <c r="AC268" s="300"/>
      <c r="AD268" s="300"/>
    </row>
    <row r="269" spans="1:30" ht="12.75" customHeight="1" x14ac:dyDescent="0.2">
      <c r="A269" s="296"/>
      <c r="B269" s="296"/>
      <c r="C269" s="296"/>
      <c r="D269" s="297"/>
      <c r="E269" s="298"/>
      <c r="F269" s="296"/>
      <c r="G269" s="296"/>
      <c r="H269" s="296"/>
      <c r="I269" s="296"/>
      <c r="J269" s="296"/>
      <c r="K269" s="296"/>
      <c r="L269" s="296"/>
      <c r="M269" s="299"/>
      <c r="N269" s="299"/>
      <c r="O269" s="299"/>
      <c r="P269" s="299"/>
      <c r="Q269" s="299"/>
      <c r="R269" s="299"/>
      <c r="S269" s="299"/>
      <c r="T269" s="299"/>
      <c r="U269" s="299"/>
      <c r="V269" s="299"/>
      <c r="W269" s="299"/>
      <c r="X269" s="299"/>
      <c r="Y269" s="299"/>
      <c r="Z269" s="299"/>
      <c r="AA269" s="299"/>
      <c r="AB269" s="299"/>
      <c r="AC269" s="300"/>
      <c r="AD269" s="300"/>
    </row>
    <row r="270" spans="1:30" ht="12.75" customHeight="1" x14ac:dyDescent="0.2">
      <c r="A270" s="296"/>
      <c r="B270" s="296"/>
      <c r="C270" s="296"/>
      <c r="D270" s="297"/>
      <c r="E270" s="298"/>
      <c r="F270" s="296"/>
      <c r="G270" s="296"/>
      <c r="H270" s="296"/>
      <c r="I270" s="296"/>
      <c r="J270" s="296"/>
      <c r="K270" s="296"/>
      <c r="L270" s="296"/>
      <c r="M270" s="299"/>
      <c r="N270" s="299"/>
      <c r="O270" s="299"/>
      <c r="P270" s="299"/>
      <c r="Q270" s="299"/>
      <c r="R270" s="299"/>
      <c r="S270" s="299"/>
      <c r="T270" s="299"/>
      <c r="U270" s="299"/>
      <c r="V270" s="299"/>
      <c r="W270" s="299"/>
      <c r="X270" s="299"/>
      <c r="Y270" s="299"/>
      <c r="Z270" s="299"/>
      <c r="AA270" s="299"/>
      <c r="AB270" s="299"/>
      <c r="AC270" s="300"/>
      <c r="AD270" s="300"/>
    </row>
    <row r="271" spans="1:30" ht="12.75" customHeight="1" x14ac:dyDescent="0.2">
      <c r="A271" s="296"/>
      <c r="B271" s="296"/>
      <c r="C271" s="296"/>
      <c r="D271" s="297"/>
      <c r="E271" s="298"/>
      <c r="F271" s="296"/>
      <c r="G271" s="296"/>
      <c r="H271" s="296"/>
      <c r="I271" s="296"/>
      <c r="J271" s="296"/>
      <c r="K271" s="296"/>
      <c r="L271" s="296"/>
      <c r="M271" s="299"/>
      <c r="N271" s="299"/>
      <c r="O271" s="299"/>
      <c r="P271" s="299"/>
      <c r="Q271" s="299"/>
      <c r="R271" s="299"/>
      <c r="S271" s="299"/>
      <c r="T271" s="299"/>
      <c r="U271" s="299"/>
      <c r="V271" s="299"/>
      <c r="W271" s="299"/>
      <c r="X271" s="299"/>
      <c r="Y271" s="299"/>
      <c r="Z271" s="299"/>
      <c r="AA271" s="299"/>
      <c r="AB271" s="299"/>
      <c r="AC271" s="300"/>
      <c r="AD271" s="300"/>
    </row>
    <row r="272" spans="1:30" ht="12.75" customHeight="1" x14ac:dyDescent="0.2">
      <c r="A272" s="296"/>
      <c r="B272" s="296"/>
      <c r="C272" s="296"/>
      <c r="D272" s="297"/>
      <c r="E272" s="298"/>
      <c r="F272" s="296"/>
      <c r="G272" s="296"/>
      <c r="H272" s="296"/>
      <c r="I272" s="296"/>
      <c r="J272" s="296"/>
      <c r="K272" s="296"/>
      <c r="L272" s="296"/>
      <c r="M272" s="299"/>
      <c r="N272" s="299"/>
      <c r="O272" s="299"/>
      <c r="P272" s="299"/>
      <c r="Q272" s="299"/>
      <c r="R272" s="299"/>
      <c r="S272" s="299"/>
      <c r="T272" s="299"/>
      <c r="U272" s="299"/>
      <c r="V272" s="299"/>
      <c r="W272" s="299"/>
      <c r="X272" s="299"/>
      <c r="Y272" s="299"/>
      <c r="Z272" s="299"/>
      <c r="AA272" s="299"/>
      <c r="AB272" s="299"/>
      <c r="AC272" s="300"/>
      <c r="AD272" s="300"/>
    </row>
    <row r="273" spans="1:30" ht="12.75" customHeight="1" x14ac:dyDescent="0.2">
      <c r="A273" s="296"/>
      <c r="B273" s="296"/>
      <c r="C273" s="296"/>
      <c r="D273" s="297"/>
      <c r="E273" s="298"/>
      <c r="F273" s="296"/>
      <c r="G273" s="296"/>
      <c r="H273" s="296"/>
      <c r="I273" s="296"/>
      <c r="J273" s="296"/>
      <c r="K273" s="296"/>
      <c r="L273" s="296"/>
      <c r="M273" s="299"/>
      <c r="N273" s="299"/>
      <c r="O273" s="299"/>
      <c r="P273" s="299"/>
      <c r="Q273" s="299"/>
      <c r="R273" s="299"/>
      <c r="S273" s="299"/>
      <c r="T273" s="299"/>
      <c r="U273" s="299"/>
      <c r="V273" s="299"/>
      <c r="W273" s="299"/>
      <c r="X273" s="299"/>
      <c r="Y273" s="299"/>
      <c r="Z273" s="299"/>
      <c r="AA273" s="299"/>
      <c r="AB273" s="299"/>
      <c r="AC273" s="300"/>
      <c r="AD273" s="300"/>
    </row>
    <row r="274" spans="1:30" ht="12.75" customHeight="1" x14ac:dyDescent="0.2">
      <c r="A274" s="296"/>
      <c r="B274" s="296"/>
      <c r="C274" s="296"/>
      <c r="D274" s="297"/>
      <c r="E274" s="298"/>
      <c r="F274" s="296"/>
      <c r="G274" s="296"/>
      <c r="H274" s="296"/>
      <c r="I274" s="296"/>
      <c r="J274" s="296"/>
      <c r="K274" s="296"/>
      <c r="L274" s="296"/>
      <c r="M274" s="299"/>
      <c r="N274" s="299"/>
      <c r="O274" s="299"/>
      <c r="P274" s="299"/>
      <c r="Q274" s="299"/>
      <c r="R274" s="299"/>
      <c r="S274" s="299"/>
      <c r="T274" s="299"/>
      <c r="U274" s="299"/>
      <c r="V274" s="299"/>
      <c r="W274" s="299"/>
      <c r="X274" s="299"/>
      <c r="Y274" s="299"/>
      <c r="Z274" s="299"/>
      <c r="AA274" s="299"/>
      <c r="AB274" s="299"/>
      <c r="AC274" s="300"/>
      <c r="AD274" s="300"/>
    </row>
    <row r="275" spans="1:30" ht="12.75" customHeight="1" x14ac:dyDescent="0.2">
      <c r="A275" s="296"/>
      <c r="B275" s="296"/>
      <c r="C275" s="296"/>
      <c r="D275" s="297"/>
      <c r="E275" s="298"/>
      <c r="F275" s="296"/>
      <c r="G275" s="296"/>
      <c r="H275" s="296"/>
      <c r="I275" s="296"/>
      <c r="J275" s="296"/>
      <c r="K275" s="296"/>
      <c r="L275" s="296"/>
      <c r="M275" s="299"/>
      <c r="N275" s="299"/>
      <c r="O275" s="299"/>
      <c r="P275" s="299"/>
      <c r="Q275" s="299"/>
      <c r="R275" s="299"/>
      <c r="S275" s="299"/>
      <c r="T275" s="299"/>
      <c r="U275" s="299"/>
      <c r="V275" s="299"/>
      <c r="W275" s="299"/>
      <c r="X275" s="299"/>
      <c r="Y275" s="299"/>
      <c r="Z275" s="299"/>
      <c r="AA275" s="299"/>
      <c r="AB275" s="299"/>
      <c r="AC275" s="300"/>
      <c r="AD275" s="300"/>
    </row>
    <row r="276" spans="1:30" ht="12.75" customHeight="1" x14ac:dyDescent="0.2">
      <c r="A276" s="296"/>
      <c r="B276" s="296"/>
      <c r="C276" s="296"/>
      <c r="D276" s="297"/>
      <c r="E276" s="298"/>
      <c r="F276" s="296"/>
      <c r="G276" s="296"/>
      <c r="H276" s="296"/>
      <c r="I276" s="296"/>
      <c r="J276" s="296"/>
      <c r="K276" s="296"/>
      <c r="L276" s="296"/>
      <c r="M276" s="299"/>
      <c r="N276" s="299"/>
      <c r="O276" s="299"/>
      <c r="P276" s="299"/>
      <c r="Q276" s="299"/>
      <c r="R276" s="299"/>
      <c r="S276" s="299"/>
      <c r="T276" s="299"/>
      <c r="U276" s="299"/>
      <c r="V276" s="299"/>
      <c r="W276" s="299"/>
      <c r="X276" s="299"/>
      <c r="Y276" s="299"/>
      <c r="Z276" s="299"/>
      <c r="AA276" s="299"/>
      <c r="AB276" s="299"/>
      <c r="AC276" s="300"/>
      <c r="AD276" s="300"/>
    </row>
    <row r="277" spans="1:30" ht="12.75" customHeight="1" x14ac:dyDescent="0.2">
      <c r="A277" s="296"/>
      <c r="B277" s="296"/>
      <c r="C277" s="296"/>
      <c r="D277" s="297"/>
      <c r="E277" s="298"/>
      <c r="F277" s="296"/>
      <c r="G277" s="296"/>
      <c r="H277" s="296"/>
      <c r="I277" s="296"/>
      <c r="J277" s="296"/>
      <c r="K277" s="296"/>
      <c r="L277" s="296"/>
      <c r="M277" s="299"/>
      <c r="N277" s="299"/>
      <c r="O277" s="299"/>
      <c r="P277" s="299"/>
      <c r="Q277" s="299"/>
      <c r="R277" s="299"/>
      <c r="S277" s="299"/>
      <c r="T277" s="299"/>
      <c r="U277" s="299"/>
      <c r="V277" s="299"/>
      <c r="W277" s="299"/>
      <c r="X277" s="299"/>
      <c r="Y277" s="299"/>
      <c r="Z277" s="299"/>
      <c r="AA277" s="299"/>
      <c r="AB277" s="299"/>
      <c r="AC277" s="300"/>
      <c r="AD277" s="300"/>
    </row>
    <row r="278" spans="1:30" ht="12.75" customHeight="1" x14ac:dyDescent="0.2">
      <c r="A278" s="296"/>
      <c r="B278" s="296"/>
      <c r="C278" s="296"/>
      <c r="D278" s="297"/>
      <c r="E278" s="298"/>
      <c r="F278" s="296"/>
      <c r="G278" s="296"/>
      <c r="H278" s="296"/>
      <c r="I278" s="296"/>
      <c r="J278" s="296"/>
      <c r="K278" s="296"/>
      <c r="L278" s="296"/>
      <c r="M278" s="299"/>
      <c r="N278" s="299"/>
      <c r="O278" s="299"/>
      <c r="P278" s="299"/>
      <c r="Q278" s="299"/>
      <c r="R278" s="299"/>
      <c r="S278" s="299"/>
      <c r="T278" s="299"/>
      <c r="U278" s="299"/>
      <c r="V278" s="299"/>
      <c r="W278" s="299"/>
      <c r="X278" s="299"/>
      <c r="Y278" s="299"/>
      <c r="Z278" s="299"/>
      <c r="AA278" s="299"/>
      <c r="AB278" s="299"/>
      <c r="AC278" s="300"/>
      <c r="AD278" s="300"/>
    </row>
    <row r="279" spans="1:30" ht="12.75" customHeight="1" x14ac:dyDescent="0.2">
      <c r="A279" s="296"/>
      <c r="B279" s="296"/>
      <c r="C279" s="296"/>
      <c r="D279" s="297"/>
      <c r="E279" s="298"/>
      <c r="F279" s="296"/>
      <c r="G279" s="296"/>
      <c r="H279" s="296"/>
      <c r="I279" s="296"/>
      <c r="J279" s="296"/>
      <c r="K279" s="296"/>
      <c r="L279" s="296"/>
      <c r="M279" s="299"/>
      <c r="N279" s="299"/>
      <c r="O279" s="299"/>
      <c r="P279" s="299"/>
      <c r="Q279" s="299"/>
      <c r="R279" s="299"/>
      <c r="S279" s="299"/>
      <c r="T279" s="299"/>
      <c r="U279" s="299"/>
      <c r="V279" s="299"/>
      <c r="W279" s="299"/>
      <c r="X279" s="299"/>
      <c r="Y279" s="299"/>
      <c r="Z279" s="299"/>
      <c r="AA279" s="299"/>
      <c r="AB279" s="299"/>
      <c r="AC279" s="300"/>
      <c r="AD279" s="300"/>
    </row>
    <row r="280" spans="1:30" ht="12.75" customHeight="1" x14ac:dyDescent="0.2">
      <c r="A280" s="296"/>
      <c r="B280" s="296"/>
      <c r="C280" s="296"/>
      <c r="D280" s="297"/>
      <c r="E280" s="298"/>
      <c r="F280" s="296"/>
      <c r="G280" s="296"/>
      <c r="H280" s="296"/>
      <c r="I280" s="296"/>
      <c r="J280" s="296"/>
      <c r="K280" s="296"/>
      <c r="L280" s="296"/>
      <c r="M280" s="299"/>
      <c r="N280" s="299"/>
      <c r="O280" s="299"/>
      <c r="P280" s="299"/>
      <c r="Q280" s="299"/>
      <c r="R280" s="299"/>
      <c r="S280" s="299"/>
      <c r="T280" s="299"/>
      <c r="U280" s="299"/>
      <c r="V280" s="299"/>
      <c r="W280" s="299"/>
      <c r="X280" s="299"/>
      <c r="Y280" s="299"/>
      <c r="Z280" s="299"/>
      <c r="AA280" s="299"/>
      <c r="AB280" s="299"/>
      <c r="AC280" s="300"/>
      <c r="AD280" s="300"/>
    </row>
    <row r="281" spans="1:30" ht="12.75" customHeight="1" x14ac:dyDescent="0.2">
      <c r="A281" s="296"/>
      <c r="B281" s="296"/>
      <c r="C281" s="296"/>
      <c r="D281" s="297"/>
      <c r="E281" s="298"/>
      <c r="F281" s="296"/>
      <c r="G281" s="296"/>
      <c r="H281" s="296"/>
      <c r="I281" s="296"/>
      <c r="J281" s="296"/>
      <c r="K281" s="296"/>
      <c r="L281" s="296"/>
      <c r="M281" s="299"/>
      <c r="N281" s="299"/>
      <c r="O281" s="299"/>
      <c r="P281" s="299"/>
      <c r="Q281" s="299"/>
      <c r="R281" s="299"/>
      <c r="S281" s="299"/>
      <c r="T281" s="299"/>
      <c r="U281" s="299"/>
      <c r="V281" s="299"/>
      <c r="W281" s="299"/>
      <c r="X281" s="299"/>
      <c r="Y281" s="299"/>
      <c r="Z281" s="299"/>
      <c r="AA281" s="299"/>
      <c r="AB281" s="299"/>
      <c r="AC281" s="300"/>
      <c r="AD281" s="300"/>
    </row>
    <row r="282" spans="1:30" ht="12.75" customHeight="1" x14ac:dyDescent="0.2">
      <c r="A282" s="296"/>
      <c r="B282" s="296"/>
      <c r="C282" s="296"/>
      <c r="D282" s="297"/>
      <c r="E282" s="298"/>
      <c r="F282" s="296"/>
      <c r="G282" s="296"/>
      <c r="H282" s="296"/>
      <c r="I282" s="296"/>
      <c r="J282" s="296"/>
      <c r="K282" s="296"/>
      <c r="L282" s="296"/>
      <c r="M282" s="299"/>
      <c r="N282" s="299"/>
      <c r="O282" s="299"/>
      <c r="P282" s="299"/>
      <c r="Q282" s="299"/>
      <c r="R282" s="299"/>
      <c r="S282" s="299"/>
      <c r="T282" s="299"/>
      <c r="U282" s="299"/>
      <c r="V282" s="299"/>
      <c r="W282" s="299"/>
      <c r="X282" s="299"/>
      <c r="Y282" s="299"/>
      <c r="Z282" s="299"/>
      <c r="AA282" s="299"/>
      <c r="AB282" s="299"/>
      <c r="AC282" s="300"/>
      <c r="AD282" s="300"/>
    </row>
    <row r="283" spans="1:30" ht="12.75" customHeight="1" x14ac:dyDescent="0.2">
      <c r="A283" s="296"/>
      <c r="B283" s="296"/>
      <c r="C283" s="296"/>
      <c r="D283" s="297"/>
      <c r="E283" s="298"/>
      <c r="F283" s="296"/>
      <c r="G283" s="296"/>
      <c r="H283" s="296"/>
      <c r="I283" s="296"/>
      <c r="J283" s="296"/>
      <c r="K283" s="296"/>
      <c r="L283" s="296"/>
      <c r="M283" s="299"/>
      <c r="N283" s="299"/>
      <c r="O283" s="299"/>
      <c r="P283" s="299"/>
      <c r="Q283" s="299"/>
      <c r="R283" s="299"/>
      <c r="S283" s="299"/>
      <c r="T283" s="299"/>
      <c r="U283" s="299"/>
      <c r="V283" s="299"/>
      <c r="W283" s="299"/>
      <c r="X283" s="299"/>
      <c r="Y283" s="299"/>
      <c r="Z283" s="299"/>
      <c r="AA283" s="299"/>
      <c r="AB283" s="299"/>
      <c r="AC283" s="300"/>
      <c r="AD283" s="300"/>
    </row>
    <row r="284" spans="1:30" ht="12.75" customHeight="1" x14ac:dyDescent="0.2">
      <c r="A284" s="296"/>
      <c r="B284" s="296"/>
      <c r="C284" s="296"/>
      <c r="D284" s="297"/>
      <c r="E284" s="298"/>
      <c r="F284" s="296"/>
      <c r="G284" s="296"/>
      <c r="H284" s="296"/>
      <c r="I284" s="296"/>
      <c r="J284" s="296"/>
      <c r="K284" s="296"/>
      <c r="L284" s="296"/>
      <c r="M284" s="299"/>
      <c r="N284" s="299"/>
      <c r="O284" s="299"/>
      <c r="P284" s="299"/>
      <c r="Q284" s="299"/>
      <c r="R284" s="299"/>
      <c r="S284" s="299"/>
      <c r="T284" s="299"/>
      <c r="U284" s="299"/>
      <c r="V284" s="299"/>
      <c r="W284" s="299"/>
      <c r="X284" s="299"/>
      <c r="Y284" s="299"/>
      <c r="Z284" s="299"/>
      <c r="AA284" s="299"/>
      <c r="AB284" s="299"/>
      <c r="AC284" s="300"/>
      <c r="AD284" s="300"/>
    </row>
    <row r="285" spans="1:30" ht="12.75" customHeight="1" x14ac:dyDescent="0.2">
      <c r="A285" s="296"/>
      <c r="B285" s="296"/>
      <c r="C285" s="296"/>
      <c r="D285" s="297"/>
      <c r="E285" s="298"/>
      <c r="F285" s="296"/>
      <c r="G285" s="296"/>
      <c r="H285" s="296"/>
      <c r="I285" s="296"/>
      <c r="J285" s="296"/>
      <c r="K285" s="296"/>
      <c r="L285" s="296"/>
      <c r="M285" s="299"/>
      <c r="N285" s="299"/>
      <c r="O285" s="299"/>
      <c r="P285" s="299"/>
      <c r="Q285" s="299"/>
      <c r="R285" s="299"/>
      <c r="S285" s="299"/>
      <c r="T285" s="299"/>
      <c r="U285" s="299"/>
      <c r="V285" s="299"/>
      <c r="W285" s="299"/>
      <c r="X285" s="299"/>
      <c r="Y285" s="299"/>
      <c r="Z285" s="299"/>
      <c r="AA285" s="299"/>
      <c r="AB285" s="299"/>
      <c r="AC285" s="300"/>
      <c r="AD285" s="300"/>
    </row>
    <row r="286" spans="1:30" ht="12.75" customHeight="1" x14ac:dyDescent="0.2">
      <c r="A286" s="296"/>
      <c r="B286" s="296"/>
      <c r="C286" s="296"/>
      <c r="D286" s="297"/>
      <c r="E286" s="298"/>
      <c r="F286" s="296"/>
      <c r="G286" s="296"/>
      <c r="H286" s="296"/>
      <c r="I286" s="296"/>
      <c r="J286" s="296"/>
      <c r="K286" s="296"/>
      <c r="L286" s="296"/>
      <c r="M286" s="299"/>
      <c r="N286" s="299"/>
      <c r="O286" s="299"/>
      <c r="P286" s="299"/>
      <c r="Q286" s="299"/>
      <c r="R286" s="299"/>
      <c r="S286" s="299"/>
      <c r="T286" s="299"/>
      <c r="U286" s="299"/>
      <c r="V286" s="299"/>
      <c r="W286" s="299"/>
      <c r="X286" s="299"/>
      <c r="Y286" s="299"/>
      <c r="Z286" s="299"/>
      <c r="AA286" s="299"/>
      <c r="AB286" s="299"/>
      <c r="AC286" s="300"/>
      <c r="AD286" s="300"/>
    </row>
    <row r="287" spans="1:30" ht="12.75" customHeight="1" x14ac:dyDescent="0.2">
      <c r="A287" s="296"/>
      <c r="B287" s="296"/>
      <c r="C287" s="296"/>
      <c r="D287" s="297"/>
      <c r="E287" s="298"/>
      <c r="F287" s="296"/>
      <c r="G287" s="296"/>
      <c r="H287" s="296"/>
      <c r="I287" s="296"/>
      <c r="J287" s="296"/>
      <c r="K287" s="296"/>
      <c r="L287" s="296"/>
      <c r="M287" s="299"/>
      <c r="N287" s="299"/>
      <c r="O287" s="299"/>
      <c r="P287" s="299"/>
      <c r="Q287" s="299"/>
      <c r="R287" s="299"/>
      <c r="S287" s="299"/>
      <c r="T287" s="299"/>
      <c r="U287" s="299"/>
      <c r="V287" s="299"/>
      <c r="W287" s="299"/>
      <c r="X287" s="299"/>
      <c r="Y287" s="299"/>
      <c r="Z287" s="299"/>
      <c r="AA287" s="299"/>
      <c r="AB287" s="299"/>
      <c r="AC287" s="300"/>
      <c r="AD287" s="300"/>
    </row>
    <row r="288" spans="1:30" ht="12.75" customHeight="1" x14ac:dyDescent="0.2">
      <c r="A288" s="296"/>
      <c r="B288" s="296"/>
      <c r="C288" s="296"/>
      <c r="D288" s="297"/>
      <c r="E288" s="298"/>
      <c r="F288" s="296"/>
      <c r="G288" s="296"/>
      <c r="H288" s="296"/>
      <c r="I288" s="296"/>
      <c r="J288" s="296"/>
      <c r="K288" s="296"/>
      <c r="L288" s="296"/>
      <c r="M288" s="299"/>
      <c r="N288" s="299"/>
      <c r="O288" s="299"/>
      <c r="P288" s="299"/>
      <c r="Q288" s="299"/>
      <c r="R288" s="299"/>
      <c r="S288" s="299"/>
      <c r="T288" s="299"/>
      <c r="U288" s="299"/>
      <c r="V288" s="299"/>
      <c r="W288" s="299"/>
      <c r="X288" s="299"/>
      <c r="Y288" s="299"/>
      <c r="Z288" s="299"/>
      <c r="AA288" s="299"/>
      <c r="AB288" s="299"/>
      <c r="AC288" s="300"/>
      <c r="AD288" s="300"/>
    </row>
    <row r="289" spans="1:30" ht="12.75" customHeight="1" x14ac:dyDescent="0.2">
      <c r="A289" s="296"/>
      <c r="B289" s="296"/>
      <c r="C289" s="296"/>
      <c r="D289" s="297"/>
      <c r="E289" s="298"/>
      <c r="F289" s="296"/>
      <c r="G289" s="296"/>
      <c r="H289" s="296"/>
      <c r="I289" s="296"/>
      <c r="J289" s="296"/>
      <c r="K289" s="296"/>
      <c r="L289" s="296"/>
      <c r="M289" s="299"/>
      <c r="N289" s="299"/>
      <c r="O289" s="299"/>
      <c r="P289" s="299"/>
      <c r="Q289" s="299"/>
      <c r="R289" s="299"/>
      <c r="S289" s="299"/>
      <c r="T289" s="299"/>
      <c r="U289" s="299"/>
      <c r="V289" s="299"/>
      <c r="W289" s="299"/>
      <c r="X289" s="299"/>
      <c r="Y289" s="299"/>
      <c r="Z289" s="299"/>
      <c r="AA289" s="299"/>
      <c r="AB289" s="299"/>
      <c r="AC289" s="300"/>
      <c r="AD289" s="300"/>
    </row>
    <row r="290" spans="1:30" ht="12.75" customHeight="1" x14ac:dyDescent="0.2">
      <c r="A290" s="296"/>
      <c r="B290" s="296"/>
      <c r="C290" s="296"/>
      <c r="D290" s="297"/>
      <c r="E290" s="298"/>
      <c r="F290" s="296"/>
      <c r="G290" s="296"/>
      <c r="H290" s="296"/>
      <c r="I290" s="296"/>
      <c r="J290" s="296"/>
      <c r="K290" s="296"/>
      <c r="L290" s="296"/>
      <c r="M290" s="299"/>
      <c r="N290" s="299"/>
      <c r="O290" s="299"/>
      <c r="P290" s="299"/>
      <c r="Q290" s="299"/>
      <c r="R290" s="299"/>
      <c r="S290" s="299"/>
      <c r="T290" s="299"/>
      <c r="U290" s="299"/>
      <c r="V290" s="299"/>
      <c r="W290" s="299"/>
      <c r="X290" s="299"/>
      <c r="Y290" s="299"/>
      <c r="Z290" s="299"/>
      <c r="AA290" s="299"/>
      <c r="AB290" s="299"/>
      <c r="AC290" s="300"/>
      <c r="AD290" s="300"/>
    </row>
    <row r="291" spans="1:30" ht="12.75" customHeight="1" x14ac:dyDescent="0.2">
      <c r="A291" s="296"/>
      <c r="B291" s="296"/>
      <c r="C291" s="296"/>
      <c r="D291" s="297"/>
      <c r="E291" s="298"/>
      <c r="F291" s="296"/>
      <c r="G291" s="296"/>
      <c r="H291" s="296"/>
      <c r="I291" s="296"/>
      <c r="J291" s="296"/>
      <c r="K291" s="296"/>
      <c r="L291" s="296"/>
      <c r="M291" s="299"/>
      <c r="N291" s="299"/>
      <c r="O291" s="299"/>
      <c r="P291" s="299"/>
      <c r="Q291" s="299"/>
      <c r="R291" s="299"/>
      <c r="S291" s="299"/>
      <c r="T291" s="299"/>
      <c r="U291" s="299"/>
      <c r="V291" s="299"/>
      <c r="W291" s="299"/>
      <c r="X291" s="299"/>
      <c r="Y291" s="299"/>
      <c r="Z291" s="299"/>
      <c r="AA291" s="299"/>
      <c r="AB291" s="299"/>
      <c r="AC291" s="300"/>
      <c r="AD291" s="300"/>
    </row>
    <row r="292" spans="1:30" ht="12.75" customHeight="1" x14ac:dyDescent="0.2">
      <c r="A292" s="296"/>
      <c r="B292" s="296"/>
      <c r="C292" s="296"/>
      <c r="D292" s="297"/>
      <c r="E292" s="298"/>
      <c r="F292" s="296"/>
      <c r="G292" s="296"/>
      <c r="H292" s="296"/>
      <c r="I292" s="296"/>
      <c r="J292" s="296"/>
      <c r="K292" s="296"/>
      <c r="L292" s="296"/>
      <c r="M292" s="299"/>
      <c r="N292" s="299"/>
      <c r="O292" s="299"/>
      <c r="P292" s="299"/>
      <c r="Q292" s="299"/>
      <c r="R292" s="299"/>
      <c r="S292" s="299"/>
      <c r="T292" s="299"/>
      <c r="U292" s="299"/>
      <c r="V292" s="299"/>
      <c r="W292" s="299"/>
      <c r="X292" s="299"/>
      <c r="Y292" s="299"/>
      <c r="Z292" s="299"/>
      <c r="AA292" s="299"/>
      <c r="AB292" s="299"/>
      <c r="AC292" s="300"/>
      <c r="AD292" s="300"/>
    </row>
    <row r="293" spans="1:30" ht="12.75" customHeight="1" x14ac:dyDescent="0.2">
      <c r="A293" s="296"/>
      <c r="B293" s="296"/>
      <c r="C293" s="296"/>
      <c r="D293" s="297"/>
      <c r="E293" s="298"/>
      <c r="F293" s="296"/>
      <c r="G293" s="296"/>
      <c r="H293" s="296"/>
      <c r="I293" s="296"/>
      <c r="J293" s="296"/>
      <c r="K293" s="296"/>
      <c r="L293" s="296"/>
      <c r="M293" s="299"/>
      <c r="N293" s="299"/>
      <c r="O293" s="299"/>
      <c r="P293" s="299"/>
      <c r="Q293" s="299"/>
      <c r="R293" s="299"/>
      <c r="S293" s="299"/>
      <c r="T293" s="299"/>
      <c r="U293" s="299"/>
      <c r="V293" s="299"/>
      <c r="W293" s="299"/>
      <c r="X293" s="299"/>
      <c r="Y293" s="299"/>
      <c r="Z293" s="299"/>
      <c r="AA293" s="299"/>
      <c r="AB293" s="299"/>
      <c r="AC293" s="300"/>
      <c r="AD293" s="300"/>
    </row>
    <row r="294" spans="1:30" ht="12.75" customHeight="1" x14ac:dyDescent="0.2">
      <c r="A294" s="296"/>
      <c r="B294" s="296"/>
      <c r="C294" s="296"/>
      <c r="D294" s="297"/>
      <c r="E294" s="298"/>
      <c r="F294" s="296"/>
      <c r="G294" s="296"/>
      <c r="H294" s="296"/>
      <c r="I294" s="296"/>
      <c r="J294" s="296"/>
      <c r="K294" s="296"/>
      <c r="L294" s="296"/>
      <c r="M294" s="299"/>
      <c r="N294" s="299"/>
      <c r="O294" s="299"/>
      <c r="P294" s="299"/>
      <c r="Q294" s="299"/>
      <c r="R294" s="299"/>
      <c r="S294" s="299"/>
      <c r="T294" s="299"/>
      <c r="U294" s="299"/>
      <c r="V294" s="299"/>
      <c r="W294" s="299"/>
      <c r="X294" s="299"/>
      <c r="Y294" s="299"/>
      <c r="Z294" s="299"/>
      <c r="AA294" s="299"/>
      <c r="AB294" s="299"/>
      <c r="AC294" s="300"/>
      <c r="AD294" s="300"/>
    </row>
    <row r="295" spans="1:30" ht="12.75" customHeight="1" x14ac:dyDescent="0.2">
      <c r="A295" s="296"/>
      <c r="B295" s="296"/>
      <c r="C295" s="296"/>
      <c r="D295" s="297"/>
      <c r="E295" s="298"/>
      <c r="F295" s="296"/>
      <c r="G295" s="296"/>
      <c r="H295" s="296"/>
      <c r="I295" s="296"/>
      <c r="J295" s="296"/>
      <c r="K295" s="296"/>
      <c r="L295" s="296"/>
      <c r="M295" s="299"/>
      <c r="N295" s="299"/>
      <c r="O295" s="299"/>
      <c r="P295" s="299"/>
      <c r="Q295" s="299"/>
      <c r="R295" s="299"/>
      <c r="S295" s="299"/>
      <c r="T295" s="299"/>
      <c r="U295" s="299"/>
      <c r="V295" s="299"/>
      <c r="W295" s="299"/>
      <c r="X295" s="299"/>
      <c r="Y295" s="299"/>
      <c r="Z295" s="299"/>
      <c r="AA295" s="299"/>
      <c r="AB295" s="299"/>
      <c r="AC295" s="300"/>
      <c r="AD295" s="300"/>
    </row>
    <row r="296" spans="1:30" ht="12.75" customHeight="1" x14ac:dyDescent="0.2">
      <c r="A296" s="296"/>
      <c r="B296" s="296"/>
      <c r="C296" s="296"/>
      <c r="D296" s="297"/>
      <c r="E296" s="298"/>
      <c r="F296" s="296"/>
      <c r="G296" s="296"/>
      <c r="H296" s="296"/>
      <c r="I296" s="296"/>
      <c r="J296" s="296"/>
      <c r="K296" s="296"/>
      <c r="L296" s="296"/>
      <c r="M296" s="299"/>
      <c r="N296" s="299"/>
      <c r="O296" s="299"/>
      <c r="P296" s="299"/>
      <c r="Q296" s="299"/>
      <c r="R296" s="299"/>
      <c r="S296" s="299"/>
      <c r="T296" s="299"/>
      <c r="U296" s="299"/>
      <c r="V296" s="299"/>
      <c r="W296" s="299"/>
      <c r="X296" s="299"/>
      <c r="Y296" s="299"/>
      <c r="Z296" s="299"/>
      <c r="AA296" s="299"/>
      <c r="AB296" s="299"/>
      <c r="AC296" s="300"/>
      <c r="AD296" s="300"/>
    </row>
    <row r="297" spans="1:30" ht="12.75" customHeight="1" x14ac:dyDescent="0.2">
      <c r="A297" s="296"/>
      <c r="B297" s="296"/>
      <c r="C297" s="296"/>
      <c r="D297" s="297"/>
      <c r="E297" s="298"/>
      <c r="F297" s="296"/>
      <c r="G297" s="296"/>
      <c r="H297" s="296"/>
      <c r="I297" s="296"/>
      <c r="J297" s="296"/>
      <c r="K297" s="296"/>
      <c r="L297" s="296"/>
      <c r="M297" s="299"/>
      <c r="N297" s="299"/>
      <c r="O297" s="299"/>
      <c r="P297" s="299"/>
      <c r="Q297" s="299"/>
      <c r="R297" s="299"/>
      <c r="S297" s="299"/>
      <c r="T297" s="299"/>
      <c r="U297" s="299"/>
      <c r="V297" s="299"/>
      <c r="W297" s="299"/>
      <c r="X297" s="299"/>
      <c r="Y297" s="299"/>
      <c r="Z297" s="299"/>
      <c r="AA297" s="299"/>
      <c r="AB297" s="299"/>
      <c r="AC297" s="300"/>
      <c r="AD297" s="300"/>
    </row>
    <row r="298" spans="1:30" ht="12.75" customHeight="1" x14ac:dyDescent="0.2">
      <c r="A298" s="296"/>
      <c r="B298" s="296"/>
      <c r="C298" s="296"/>
      <c r="D298" s="297"/>
      <c r="E298" s="298"/>
      <c r="F298" s="296"/>
      <c r="G298" s="296"/>
      <c r="H298" s="296"/>
      <c r="I298" s="296"/>
      <c r="J298" s="296"/>
      <c r="K298" s="296"/>
      <c r="L298" s="296"/>
      <c r="M298" s="299"/>
      <c r="N298" s="299"/>
      <c r="O298" s="299"/>
      <c r="P298" s="299"/>
      <c r="Q298" s="299"/>
      <c r="R298" s="299"/>
      <c r="S298" s="299"/>
      <c r="T298" s="299"/>
      <c r="U298" s="299"/>
      <c r="V298" s="299"/>
      <c r="W298" s="299"/>
      <c r="X298" s="299"/>
      <c r="Y298" s="299"/>
      <c r="Z298" s="299"/>
      <c r="AA298" s="299"/>
      <c r="AB298" s="299"/>
      <c r="AC298" s="300"/>
      <c r="AD298" s="300"/>
    </row>
    <row r="299" spans="1:30" ht="12.75" customHeight="1" x14ac:dyDescent="0.2">
      <c r="A299" s="296"/>
      <c r="B299" s="296"/>
      <c r="C299" s="296"/>
      <c r="D299" s="297"/>
      <c r="E299" s="298"/>
      <c r="F299" s="296"/>
      <c r="G299" s="296"/>
      <c r="H299" s="296"/>
      <c r="I299" s="296"/>
      <c r="J299" s="296"/>
      <c r="K299" s="296"/>
      <c r="L299" s="296"/>
      <c r="M299" s="299"/>
      <c r="N299" s="299"/>
      <c r="O299" s="299"/>
      <c r="P299" s="299"/>
      <c r="Q299" s="299"/>
      <c r="R299" s="299"/>
      <c r="S299" s="299"/>
      <c r="T299" s="299"/>
      <c r="U299" s="299"/>
      <c r="V299" s="299"/>
      <c r="W299" s="299"/>
      <c r="X299" s="299"/>
      <c r="Y299" s="299"/>
      <c r="Z299" s="299"/>
      <c r="AA299" s="299"/>
      <c r="AB299" s="299"/>
      <c r="AC299" s="300"/>
      <c r="AD299" s="300"/>
    </row>
    <row r="300" spans="1:30" ht="12.75" customHeight="1" x14ac:dyDescent="0.2">
      <c r="A300" s="296"/>
      <c r="B300" s="296"/>
      <c r="C300" s="296"/>
      <c r="D300" s="297"/>
      <c r="E300" s="298"/>
      <c r="F300" s="296"/>
      <c r="G300" s="296"/>
      <c r="H300" s="296"/>
      <c r="I300" s="296"/>
      <c r="J300" s="296"/>
      <c r="K300" s="296"/>
      <c r="L300" s="296"/>
      <c r="M300" s="299"/>
      <c r="N300" s="299"/>
      <c r="O300" s="299"/>
      <c r="P300" s="299"/>
      <c r="Q300" s="299"/>
      <c r="R300" s="299"/>
      <c r="S300" s="299"/>
      <c r="T300" s="299"/>
      <c r="U300" s="299"/>
      <c r="V300" s="299"/>
      <c r="W300" s="299"/>
      <c r="X300" s="299"/>
      <c r="Y300" s="299"/>
      <c r="Z300" s="299"/>
      <c r="AA300" s="299"/>
      <c r="AB300" s="299"/>
      <c r="AC300" s="300"/>
      <c r="AD300" s="300"/>
    </row>
    <row r="301" spans="1:30" ht="12.75" customHeight="1" x14ac:dyDescent="0.2">
      <c r="A301" s="296"/>
      <c r="B301" s="296"/>
      <c r="C301" s="296"/>
      <c r="D301" s="297"/>
      <c r="E301" s="298"/>
      <c r="F301" s="296"/>
      <c r="G301" s="296"/>
      <c r="H301" s="296"/>
      <c r="I301" s="296"/>
      <c r="J301" s="296"/>
      <c r="K301" s="296"/>
      <c r="L301" s="296"/>
      <c r="M301" s="299"/>
      <c r="N301" s="299"/>
      <c r="O301" s="299"/>
      <c r="P301" s="299"/>
      <c r="Q301" s="299"/>
      <c r="R301" s="299"/>
      <c r="S301" s="299"/>
      <c r="T301" s="299"/>
      <c r="U301" s="299"/>
      <c r="V301" s="299"/>
      <c r="W301" s="299"/>
      <c r="X301" s="299"/>
      <c r="Y301" s="299"/>
      <c r="Z301" s="299"/>
      <c r="AA301" s="299"/>
      <c r="AB301" s="299"/>
      <c r="AC301" s="300"/>
      <c r="AD301" s="300"/>
    </row>
    <row r="302" spans="1:30" ht="12.75" customHeight="1" x14ac:dyDescent="0.2">
      <c r="A302" s="296"/>
      <c r="B302" s="296"/>
      <c r="C302" s="296"/>
      <c r="D302" s="297"/>
      <c r="E302" s="298"/>
      <c r="F302" s="296"/>
      <c r="G302" s="296"/>
      <c r="H302" s="296"/>
      <c r="I302" s="296"/>
      <c r="J302" s="296"/>
      <c r="K302" s="296"/>
      <c r="L302" s="296"/>
      <c r="M302" s="299"/>
      <c r="N302" s="299"/>
      <c r="O302" s="299"/>
      <c r="P302" s="299"/>
      <c r="Q302" s="299"/>
      <c r="R302" s="299"/>
      <c r="S302" s="299"/>
      <c r="T302" s="299"/>
      <c r="U302" s="299"/>
      <c r="V302" s="299"/>
      <c r="W302" s="299"/>
      <c r="X302" s="299"/>
      <c r="Y302" s="299"/>
      <c r="Z302" s="299"/>
      <c r="AA302" s="299"/>
      <c r="AB302" s="299"/>
      <c r="AC302" s="300"/>
      <c r="AD302" s="300"/>
    </row>
    <row r="303" spans="1:30" ht="12.75" customHeight="1" x14ac:dyDescent="0.2">
      <c r="A303" s="296"/>
      <c r="B303" s="296"/>
      <c r="C303" s="296"/>
      <c r="D303" s="297"/>
      <c r="E303" s="298"/>
      <c r="F303" s="296"/>
      <c r="G303" s="296"/>
      <c r="H303" s="296"/>
      <c r="I303" s="296"/>
      <c r="J303" s="296"/>
      <c r="K303" s="296"/>
      <c r="L303" s="296"/>
      <c r="M303" s="299"/>
      <c r="N303" s="299"/>
      <c r="O303" s="299"/>
      <c r="P303" s="299"/>
      <c r="Q303" s="299"/>
      <c r="R303" s="299"/>
      <c r="S303" s="299"/>
      <c r="T303" s="299"/>
      <c r="U303" s="299"/>
      <c r="V303" s="299"/>
      <c r="W303" s="299"/>
      <c r="X303" s="299"/>
      <c r="Y303" s="299"/>
      <c r="Z303" s="299"/>
      <c r="AA303" s="299"/>
      <c r="AB303" s="299"/>
      <c r="AC303" s="300"/>
      <c r="AD303" s="300"/>
    </row>
    <row r="304" spans="1:30" ht="12.75" customHeight="1" x14ac:dyDescent="0.2">
      <c r="A304" s="296"/>
      <c r="B304" s="296"/>
      <c r="C304" s="296"/>
      <c r="D304" s="297"/>
      <c r="E304" s="298"/>
      <c r="F304" s="296"/>
      <c r="G304" s="296"/>
      <c r="H304" s="296"/>
      <c r="I304" s="296"/>
      <c r="J304" s="296"/>
      <c r="K304" s="296"/>
      <c r="L304" s="296"/>
      <c r="M304" s="299"/>
      <c r="N304" s="299"/>
      <c r="O304" s="299"/>
      <c r="P304" s="299"/>
      <c r="Q304" s="299"/>
      <c r="R304" s="299"/>
      <c r="S304" s="299"/>
      <c r="T304" s="299"/>
      <c r="U304" s="299"/>
      <c r="V304" s="299"/>
      <c r="W304" s="299"/>
      <c r="X304" s="299"/>
      <c r="Y304" s="299"/>
      <c r="Z304" s="299"/>
      <c r="AA304" s="299"/>
      <c r="AB304" s="299"/>
      <c r="AC304" s="300"/>
      <c r="AD304" s="300"/>
    </row>
    <row r="305" spans="1:30" ht="12.75" customHeight="1" x14ac:dyDescent="0.2">
      <c r="A305" s="296"/>
      <c r="B305" s="296"/>
      <c r="C305" s="296"/>
      <c r="D305" s="297"/>
      <c r="E305" s="298"/>
      <c r="F305" s="296"/>
      <c r="G305" s="296"/>
      <c r="H305" s="296"/>
      <c r="I305" s="296"/>
      <c r="J305" s="296"/>
      <c r="K305" s="296"/>
      <c r="L305" s="296"/>
      <c r="M305" s="299"/>
      <c r="N305" s="299"/>
      <c r="O305" s="299"/>
      <c r="P305" s="299"/>
      <c r="Q305" s="299"/>
      <c r="R305" s="299"/>
      <c r="S305" s="299"/>
      <c r="T305" s="299"/>
      <c r="U305" s="299"/>
      <c r="V305" s="299"/>
      <c r="W305" s="299"/>
      <c r="X305" s="299"/>
      <c r="Y305" s="299"/>
      <c r="Z305" s="299"/>
      <c r="AA305" s="299"/>
      <c r="AB305" s="299"/>
      <c r="AC305" s="300"/>
      <c r="AD305" s="300"/>
    </row>
    <row r="306" spans="1:30" ht="12.75" customHeight="1" x14ac:dyDescent="0.2">
      <c r="A306" s="296"/>
      <c r="B306" s="296"/>
      <c r="C306" s="296"/>
      <c r="D306" s="297"/>
      <c r="E306" s="298"/>
      <c r="F306" s="296"/>
      <c r="G306" s="296"/>
      <c r="H306" s="296"/>
      <c r="I306" s="296"/>
      <c r="J306" s="296"/>
      <c r="K306" s="296"/>
      <c r="L306" s="296"/>
      <c r="M306" s="299"/>
      <c r="N306" s="299"/>
      <c r="O306" s="299"/>
      <c r="P306" s="299"/>
      <c r="Q306" s="299"/>
      <c r="R306" s="299"/>
      <c r="S306" s="299"/>
      <c r="T306" s="299"/>
      <c r="U306" s="299"/>
      <c r="V306" s="299"/>
      <c r="W306" s="299"/>
      <c r="X306" s="299"/>
      <c r="Y306" s="299"/>
      <c r="Z306" s="299"/>
      <c r="AA306" s="299"/>
      <c r="AB306" s="299"/>
      <c r="AC306" s="300"/>
      <c r="AD306" s="300"/>
    </row>
    <row r="307" spans="1:30" ht="12.75" customHeight="1" x14ac:dyDescent="0.2">
      <c r="A307" s="296"/>
      <c r="B307" s="296"/>
      <c r="C307" s="296"/>
      <c r="D307" s="297"/>
      <c r="E307" s="298"/>
      <c r="F307" s="296"/>
      <c r="G307" s="296"/>
      <c r="H307" s="296"/>
      <c r="I307" s="296"/>
      <c r="J307" s="296"/>
      <c r="K307" s="296"/>
      <c r="L307" s="296"/>
      <c r="M307" s="299"/>
      <c r="N307" s="299"/>
      <c r="O307" s="299"/>
      <c r="P307" s="299"/>
      <c r="Q307" s="299"/>
      <c r="R307" s="299"/>
      <c r="S307" s="299"/>
      <c r="T307" s="299"/>
      <c r="U307" s="299"/>
      <c r="V307" s="299"/>
      <c r="W307" s="299"/>
      <c r="X307" s="299"/>
      <c r="Y307" s="299"/>
      <c r="Z307" s="299"/>
      <c r="AA307" s="299"/>
      <c r="AB307" s="299"/>
      <c r="AC307" s="300"/>
      <c r="AD307" s="300"/>
    </row>
    <row r="308" spans="1:30" ht="12.75" customHeight="1" x14ac:dyDescent="0.2">
      <c r="A308" s="296"/>
      <c r="B308" s="296"/>
      <c r="C308" s="296"/>
      <c r="D308" s="297"/>
      <c r="E308" s="298"/>
      <c r="F308" s="296"/>
      <c r="G308" s="296"/>
      <c r="H308" s="296"/>
      <c r="I308" s="296"/>
      <c r="J308" s="296"/>
      <c r="K308" s="296"/>
      <c r="L308" s="296"/>
      <c r="M308" s="299"/>
      <c r="N308" s="299"/>
      <c r="O308" s="299"/>
      <c r="P308" s="299"/>
      <c r="Q308" s="299"/>
      <c r="R308" s="299"/>
      <c r="S308" s="299"/>
      <c r="T308" s="299"/>
      <c r="U308" s="299"/>
      <c r="V308" s="299"/>
      <c r="W308" s="299"/>
      <c r="X308" s="299"/>
      <c r="Y308" s="299"/>
      <c r="Z308" s="299"/>
      <c r="AA308" s="299"/>
      <c r="AB308" s="299"/>
      <c r="AC308" s="300"/>
      <c r="AD308" s="300"/>
    </row>
    <row r="309" spans="1:30" ht="12.75" customHeight="1" x14ac:dyDescent="0.2">
      <c r="A309" s="296"/>
      <c r="B309" s="296"/>
      <c r="C309" s="296"/>
      <c r="D309" s="297"/>
      <c r="E309" s="298"/>
      <c r="F309" s="296"/>
      <c r="G309" s="296"/>
      <c r="H309" s="296"/>
      <c r="I309" s="296"/>
      <c r="J309" s="296"/>
      <c r="K309" s="296"/>
      <c r="L309" s="296"/>
      <c r="M309" s="299"/>
      <c r="N309" s="299"/>
      <c r="O309" s="299"/>
      <c r="P309" s="299"/>
      <c r="Q309" s="299"/>
      <c r="R309" s="299"/>
      <c r="S309" s="299"/>
      <c r="T309" s="299"/>
      <c r="U309" s="299"/>
      <c r="V309" s="299"/>
      <c r="W309" s="299"/>
      <c r="X309" s="299"/>
      <c r="Y309" s="299"/>
      <c r="Z309" s="299"/>
      <c r="AA309" s="299"/>
      <c r="AB309" s="299"/>
      <c r="AC309" s="300"/>
      <c r="AD309" s="300"/>
    </row>
    <row r="310" spans="1:30" ht="12.75" customHeight="1" x14ac:dyDescent="0.2">
      <c r="A310" s="296"/>
      <c r="B310" s="296"/>
      <c r="C310" s="296"/>
      <c r="D310" s="297"/>
      <c r="E310" s="298"/>
      <c r="F310" s="296"/>
      <c r="G310" s="296"/>
      <c r="H310" s="296"/>
      <c r="I310" s="296"/>
      <c r="J310" s="296"/>
      <c r="K310" s="296"/>
      <c r="L310" s="296"/>
      <c r="M310" s="299"/>
      <c r="N310" s="299"/>
      <c r="O310" s="299"/>
      <c r="P310" s="299"/>
      <c r="Q310" s="299"/>
      <c r="R310" s="299"/>
      <c r="S310" s="299"/>
      <c r="T310" s="299"/>
      <c r="U310" s="299"/>
      <c r="V310" s="299"/>
      <c r="W310" s="299"/>
      <c r="X310" s="299"/>
      <c r="Y310" s="299"/>
      <c r="Z310" s="299"/>
      <c r="AA310" s="299"/>
      <c r="AB310" s="299"/>
      <c r="AC310" s="300"/>
      <c r="AD310" s="300"/>
    </row>
    <row r="311" spans="1:30" ht="12.75" customHeight="1" x14ac:dyDescent="0.2">
      <c r="A311" s="296"/>
      <c r="B311" s="296"/>
      <c r="C311" s="296"/>
      <c r="D311" s="297"/>
      <c r="E311" s="298"/>
      <c r="F311" s="296"/>
      <c r="G311" s="296"/>
      <c r="H311" s="296"/>
      <c r="I311" s="296"/>
      <c r="J311" s="296"/>
      <c r="K311" s="296"/>
      <c r="L311" s="296"/>
      <c r="M311" s="299"/>
      <c r="N311" s="299"/>
      <c r="O311" s="299"/>
      <c r="P311" s="299"/>
      <c r="Q311" s="299"/>
      <c r="R311" s="299"/>
      <c r="S311" s="299"/>
      <c r="T311" s="299"/>
      <c r="U311" s="299"/>
      <c r="V311" s="299"/>
      <c r="W311" s="299"/>
      <c r="X311" s="299"/>
      <c r="Y311" s="299"/>
      <c r="Z311" s="299"/>
      <c r="AA311" s="299"/>
      <c r="AB311" s="299"/>
      <c r="AC311" s="300"/>
      <c r="AD311" s="300"/>
    </row>
    <row r="312" spans="1:30" ht="12.75" customHeight="1" x14ac:dyDescent="0.2">
      <c r="A312" s="296"/>
      <c r="B312" s="296"/>
      <c r="C312" s="296"/>
      <c r="D312" s="297"/>
      <c r="E312" s="298"/>
      <c r="F312" s="296"/>
      <c r="G312" s="296"/>
      <c r="H312" s="296"/>
      <c r="I312" s="296"/>
      <c r="J312" s="296"/>
      <c r="K312" s="296"/>
      <c r="L312" s="296"/>
      <c r="M312" s="299"/>
      <c r="N312" s="299"/>
      <c r="O312" s="299"/>
      <c r="P312" s="299"/>
      <c r="Q312" s="299"/>
      <c r="R312" s="299"/>
      <c r="S312" s="299"/>
      <c r="T312" s="299"/>
      <c r="U312" s="299"/>
      <c r="V312" s="299"/>
      <c r="W312" s="299"/>
      <c r="X312" s="299"/>
      <c r="Y312" s="299"/>
      <c r="Z312" s="299"/>
      <c r="AA312" s="299"/>
      <c r="AB312" s="299"/>
      <c r="AC312" s="300"/>
      <c r="AD312" s="300"/>
    </row>
    <row r="313" spans="1:30" ht="12.75" customHeight="1" x14ac:dyDescent="0.2">
      <c r="A313" s="296"/>
      <c r="B313" s="296"/>
      <c r="C313" s="296"/>
      <c r="D313" s="297"/>
      <c r="E313" s="298"/>
      <c r="F313" s="296"/>
      <c r="G313" s="296"/>
      <c r="H313" s="296"/>
      <c r="I313" s="296"/>
      <c r="J313" s="296"/>
      <c r="K313" s="296"/>
      <c r="L313" s="296"/>
      <c r="M313" s="299"/>
      <c r="N313" s="299"/>
      <c r="O313" s="299"/>
      <c r="P313" s="299"/>
      <c r="Q313" s="299"/>
      <c r="R313" s="299"/>
      <c r="S313" s="299"/>
      <c r="T313" s="299"/>
      <c r="U313" s="299"/>
      <c r="V313" s="299"/>
      <c r="W313" s="299"/>
      <c r="X313" s="299"/>
      <c r="Y313" s="299"/>
      <c r="Z313" s="299"/>
      <c r="AA313" s="299"/>
      <c r="AB313" s="299"/>
      <c r="AC313" s="300"/>
      <c r="AD313" s="300"/>
    </row>
    <row r="314" spans="1:30" ht="12.75" customHeight="1" x14ac:dyDescent="0.2">
      <c r="A314" s="296"/>
      <c r="B314" s="296"/>
      <c r="C314" s="296"/>
      <c r="D314" s="297"/>
      <c r="E314" s="298"/>
      <c r="F314" s="296"/>
      <c r="G314" s="296"/>
      <c r="H314" s="296"/>
      <c r="I314" s="296"/>
      <c r="J314" s="296"/>
      <c r="K314" s="296"/>
      <c r="L314" s="296"/>
      <c r="M314" s="299"/>
      <c r="N314" s="299"/>
      <c r="O314" s="299"/>
      <c r="P314" s="299"/>
      <c r="Q314" s="299"/>
      <c r="R314" s="299"/>
      <c r="S314" s="299"/>
      <c r="T314" s="299"/>
      <c r="U314" s="299"/>
      <c r="V314" s="299"/>
      <c r="W314" s="299"/>
      <c r="X314" s="299"/>
      <c r="Y314" s="299"/>
      <c r="Z314" s="299"/>
      <c r="AA314" s="299"/>
      <c r="AB314" s="299"/>
      <c r="AC314" s="300"/>
      <c r="AD314" s="300"/>
    </row>
    <row r="315" spans="1:30" ht="12.75" customHeight="1" x14ac:dyDescent="0.2">
      <c r="A315" s="296"/>
      <c r="B315" s="296"/>
      <c r="C315" s="296"/>
      <c r="D315" s="297"/>
      <c r="E315" s="298"/>
      <c r="F315" s="296"/>
      <c r="G315" s="296"/>
      <c r="H315" s="296"/>
      <c r="I315" s="296"/>
      <c r="J315" s="296"/>
      <c r="K315" s="296"/>
      <c r="L315" s="296"/>
      <c r="M315" s="299"/>
      <c r="N315" s="299"/>
      <c r="O315" s="299"/>
      <c r="P315" s="299"/>
      <c r="Q315" s="299"/>
      <c r="R315" s="299"/>
      <c r="S315" s="299"/>
      <c r="T315" s="299"/>
      <c r="U315" s="299"/>
      <c r="V315" s="299"/>
      <c r="W315" s="299"/>
      <c r="X315" s="299"/>
      <c r="Y315" s="299"/>
      <c r="Z315" s="299"/>
      <c r="AA315" s="299"/>
      <c r="AB315" s="299"/>
      <c r="AC315" s="300"/>
      <c r="AD315" s="300"/>
    </row>
    <row r="316" spans="1:30" ht="12.75" customHeight="1" x14ac:dyDescent="0.2">
      <c r="A316" s="296"/>
      <c r="B316" s="296"/>
      <c r="C316" s="296"/>
      <c r="D316" s="297"/>
      <c r="E316" s="298"/>
      <c r="F316" s="296"/>
      <c r="G316" s="296"/>
      <c r="H316" s="296"/>
      <c r="I316" s="296"/>
      <c r="J316" s="296"/>
      <c r="K316" s="296"/>
      <c r="L316" s="296"/>
      <c r="M316" s="299"/>
      <c r="N316" s="299"/>
      <c r="O316" s="299"/>
      <c r="P316" s="299"/>
      <c r="Q316" s="299"/>
      <c r="R316" s="299"/>
      <c r="S316" s="299"/>
      <c r="T316" s="299"/>
      <c r="U316" s="299"/>
      <c r="V316" s="299"/>
      <c r="W316" s="299"/>
      <c r="X316" s="299"/>
      <c r="Y316" s="299"/>
      <c r="Z316" s="299"/>
      <c r="AA316" s="299"/>
      <c r="AB316" s="299"/>
      <c r="AC316" s="300"/>
      <c r="AD316" s="300"/>
    </row>
    <row r="317" spans="1:30" ht="12.75" customHeight="1" x14ac:dyDescent="0.2">
      <c r="A317" s="296"/>
      <c r="B317" s="296"/>
      <c r="C317" s="296"/>
      <c r="D317" s="297"/>
      <c r="E317" s="298"/>
      <c r="F317" s="296"/>
      <c r="G317" s="296"/>
      <c r="H317" s="296"/>
      <c r="I317" s="296"/>
      <c r="J317" s="296"/>
      <c r="K317" s="296"/>
      <c r="L317" s="296"/>
      <c r="M317" s="299"/>
      <c r="N317" s="299"/>
      <c r="O317" s="299"/>
      <c r="P317" s="299"/>
      <c r="Q317" s="299"/>
      <c r="R317" s="299"/>
      <c r="S317" s="299"/>
      <c r="T317" s="299"/>
      <c r="U317" s="299"/>
      <c r="V317" s="299"/>
      <c r="W317" s="299"/>
      <c r="X317" s="299"/>
      <c r="Y317" s="299"/>
      <c r="Z317" s="299"/>
      <c r="AA317" s="299"/>
      <c r="AB317" s="299"/>
      <c r="AC317" s="300"/>
      <c r="AD317" s="300"/>
    </row>
    <row r="318" spans="1:30" ht="12.75" customHeight="1" x14ac:dyDescent="0.2">
      <c r="A318" s="296"/>
      <c r="B318" s="296"/>
      <c r="C318" s="296"/>
      <c r="D318" s="297"/>
      <c r="E318" s="298"/>
      <c r="F318" s="296"/>
      <c r="G318" s="296"/>
      <c r="H318" s="296"/>
      <c r="I318" s="296"/>
      <c r="J318" s="296"/>
      <c r="K318" s="296"/>
      <c r="L318" s="296"/>
      <c r="M318" s="299"/>
      <c r="N318" s="299"/>
      <c r="O318" s="299"/>
      <c r="P318" s="299"/>
      <c r="Q318" s="299"/>
      <c r="R318" s="299"/>
      <c r="S318" s="299"/>
      <c r="T318" s="299"/>
      <c r="U318" s="299"/>
      <c r="V318" s="299"/>
      <c r="W318" s="299"/>
      <c r="X318" s="299"/>
      <c r="Y318" s="299"/>
      <c r="Z318" s="299"/>
      <c r="AA318" s="299"/>
      <c r="AB318" s="299"/>
      <c r="AC318" s="300"/>
      <c r="AD318" s="300"/>
    </row>
    <row r="319" spans="1:30" ht="12.75" customHeight="1" x14ac:dyDescent="0.2">
      <c r="A319" s="296"/>
      <c r="B319" s="296"/>
      <c r="C319" s="296"/>
      <c r="D319" s="297"/>
      <c r="E319" s="298"/>
      <c r="F319" s="296"/>
      <c r="G319" s="296"/>
      <c r="H319" s="296"/>
      <c r="I319" s="296"/>
      <c r="J319" s="296"/>
      <c r="K319" s="296"/>
      <c r="L319" s="296"/>
      <c r="M319" s="299"/>
      <c r="N319" s="299"/>
      <c r="O319" s="299"/>
      <c r="P319" s="299"/>
      <c r="Q319" s="299"/>
      <c r="R319" s="299"/>
      <c r="S319" s="299"/>
      <c r="T319" s="299"/>
      <c r="U319" s="299"/>
      <c r="V319" s="299"/>
      <c r="W319" s="299"/>
      <c r="X319" s="299"/>
      <c r="Y319" s="299"/>
      <c r="Z319" s="299"/>
      <c r="AA319" s="299"/>
      <c r="AB319" s="299"/>
      <c r="AC319" s="300"/>
      <c r="AD319" s="300"/>
    </row>
    <row r="320" spans="1:30" ht="12.75" customHeight="1" x14ac:dyDescent="0.2">
      <c r="A320" s="296"/>
      <c r="B320" s="296"/>
      <c r="C320" s="296"/>
      <c r="D320" s="297"/>
      <c r="E320" s="298"/>
      <c r="F320" s="296"/>
      <c r="G320" s="296"/>
      <c r="H320" s="296"/>
      <c r="I320" s="296"/>
      <c r="J320" s="296"/>
      <c r="K320" s="296"/>
      <c r="L320" s="296"/>
      <c r="M320" s="299"/>
      <c r="N320" s="299"/>
      <c r="O320" s="299"/>
      <c r="P320" s="299"/>
      <c r="Q320" s="299"/>
      <c r="R320" s="299"/>
      <c r="S320" s="299"/>
      <c r="T320" s="299"/>
      <c r="U320" s="299"/>
      <c r="V320" s="299"/>
      <c r="W320" s="299"/>
      <c r="X320" s="299"/>
      <c r="Y320" s="299"/>
      <c r="Z320" s="299"/>
      <c r="AA320" s="299"/>
      <c r="AB320" s="299"/>
      <c r="AC320" s="300"/>
      <c r="AD320" s="300"/>
    </row>
    <row r="321" spans="1:30" ht="12.75" customHeight="1" x14ac:dyDescent="0.2">
      <c r="A321" s="296"/>
      <c r="B321" s="296"/>
      <c r="C321" s="296"/>
      <c r="D321" s="297"/>
      <c r="E321" s="298"/>
      <c r="F321" s="296"/>
      <c r="G321" s="296"/>
      <c r="H321" s="296"/>
      <c r="I321" s="296"/>
      <c r="J321" s="296"/>
      <c r="K321" s="296"/>
      <c r="L321" s="296"/>
      <c r="M321" s="299"/>
      <c r="N321" s="299"/>
      <c r="O321" s="299"/>
      <c r="P321" s="299"/>
      <c r="Q321" s="299"/>
      <c r="R321" s="299"/>
      <c r="S321" s="299"/>
      <c r="T321" s="299"/>
      <c r="U321" s="299"/>
      <c r="V321" s="299"/>
      <c r="W321" s="299"/>
      <c r="X321" s="299"/>
      <c r="Y321" s="299"/>
      <c r="Z321" s="299"/>
      <c r="AA321" s="299"/>
      <c r="AB321" s="299"/>
      <c r="AC321" s="300"/>
      <c r="AD321" s="300"/>
    </row>
    <row r="322" spans="1:30" ht="12.75" customHeight="1" x14ac:dyDescent="0.2">
      <c r="A322" s="296"/>
      <c r="B322" s="296"/>
      <c r="C322" s="296"/>
      <c r="D322" s="297"/>
      <c r="E322" s="298"/>
      <c r="F322" s="296"/>
      <c r="G322" s="296"/>
      <c r="H322" s="296"/>
      <c r="I322" s="296"/>
      <c r="J322" s="296"/>
      <c r="K322" s="296"/>
      <c r="L322" s="296"/>
      <c r="M322" s="299"/>
      <c r="N322" s="299"/>
      <c r="O322" s="299"/>
      <c r="P322" s="299"/>
      <c r="Q322" s="299"/>
      <c r="R322" s="299"/>
      <c r="S322" s="299"/>
      <c r="T322" s="299"/>
      <c r="U322" s="299"/>
      <c r="V322" s="299"/>
      <c r="W322" s="299"/>
      <c r="X322" s="299"/>
      <c r="Y322" s="299"/>
      <c r="Z322" s="299"/>
      <c r="AA322" s="299"/>
      <c r="AB322" s="299"/>
      <c r="AC322" s="300"/>
      <c r="AD322" s="300"/>
    </row>
    <row r="323" spans="1:30" ht="12.75" customHeight="1" x14ac:dyDescent="0.2">
      <c r="A323" s="296"/>
      <c r="B323" s="296"/>
      <c r="C323" s="296"/>
      <c r="D323" s="297"/>
      <c r="E323" s="298"/>
      <c r="F323" s="296"/>
      <c r="G323" s="296"/>
      <c r="H323" s="296"/>
      <c r="I323" s="296"/>
      <c r="J323" s="296"/>
      <c r="K323" s="296"/>
      <c r="L323" s="296"/>
      <c r="M323" s="299"/>
      <c r="N323" s="299"/>
      <c r="O323" s="299"/>
      <c r="P323" s="299"/>
      <c r="Q323" s="299"/>
      <c r="R323" s="299"/>
      <c r="S323" s="299"/>
      <c r="T323" s="299"/>
      <c r="U323" s="299"/>
      <c r="V323" s="299"/>
      <c r="W323" s="299"/>
      <c r="X323" s="299"/>
      <c r="Y323" s="299"/>
      <c r="Z323" s="299"/>
      <c r="AA323" s="299"/>
      <c r="AB323" s="299"/>
      <c r="AC323" s="300"/>
      <c r="AD323" s="300"/>
    </row>
    <row r="324" spans="1:30" ht="12.75" customHeight="1" x14ac:dyDescent="0.2">
      <c r="A324" s="296"/>
      <c r="B324" s="296"/>
      <c r="C324" s="296"/>
      <c r="D324" s="297"/>
      <c r="E324" s="298"/>
      <c r="F324" s="296"/>
      <c r="G324" s="296"/>
      <c r="H324" s="296"/>
      <c r="I324" s="296"/>
      <c r="J324" s="296"/>
      <c r="K324" s="296"/>
      <c r="L324" s="296"/>
      <c r="M324" s="299"/>
      <c r="N324" s="299"/>
      <c r="O324" s="299"/>
      <c r="P324" s="299"/>
      <c r="Q324" s="299"/>
      <c r="R324" s="299"/>
      <c r="S324" s="299"/>
      <c r="T324" s="299"/>
      <c r="U324" s="299"/>
      <c r="V324" s="299"/>
      <c r="W324" s="299"/>
      <c r="X324" s="299"/>
      <c r="Y324" s="299"/>
      <c r="Z324" s="299"/>
      <c r="AA324" s="299"/>
      <c r="AB324" s="299"/>
      <c r="AC324" s="300"/>
      <c r="AD324" s="300"/>
    </row>
    <row r="325" spans="1:30" ht="12.75" customHeight="1" x14ac:dyDescent="0.2">
      <c r="A325" s="296"/>
      <c r="B325" s="296"/>
      <c r="C325" s="296"/>
      <c r="D325" s="297"/>
      <c r="E325" s="298"/>
      <c r="F325" s="296"/>
      <c r="G325" s="296"/>
      <c r="H325" s="296"/>
      <c r="I325" s="296"/>
      <c r="J325" s="296"/>
      <c r="K325" s="296"/>
      <c r="L325" s="296"/>
      <c r="M325" s="299"/>
      <c r="N325" s="299"/>
      <c r="O325" s="299"/>
      <c r="P325" s="299"/>
      <c r="Q325" s="299"/>
      <c r="R325" s="299"/>
      <c r="S325" s="299"/>
      <c r="T325" s="299"/>
      <c r="U325" s="299"/>
      <c r="V325" s="299"/>
      <c r="W325" s="299"/>
      <c r="X325" s="299"/>
      <c r="Y325" s="299"/>
      <c r="Z325" s="299"/>
      <c r="AA325" s="299"/>
      <c r="AB325" s="299"/>
      <c r="AC325" s="300"/>
      <c r="AD325" s="300"/>
    </row>
    <row r="326" spans="1:30" ht="12.75" customHeight="1" x14ac:dyDescent="0.2">
      <c r="A326" s="296"/>
      <c r="B326" s="296"/>
      <c r="C326" s="296"/>
      <c r="D326" s="297"/>
      <c r="E326" s="298"/>
      <c r="F326" s="296"/>
      <c r="G326" s="296"/>
      <c r="H326" s="296"/>
      <c r="I326" s="296"/>
      <c r="J326" s="296"/>
      <c r="K326" s="296"/>
      <c r="L326" s="296"/>
      <c r="M326" s="299"/>
      <c r="N326" s="299"/>
      <c r="O326" s="299"/>
      <c r="P326" s="299"/>
      <c r="Q326" s="299"/>
      <c r="R326" s="299"/>
      <c r="S326" s="299"/>
      <c r="T326" s="299"/>
      <c r="U326" s="299"/>
      <c r="V326" s="299"/>
      <c r="W326" s="299"/>
      <c r="X326" s="299"/>
      <c r="Y326" s="299"/>
      <c r="Z326" s="299"/>
      <c r="AA326" s="299"/>
      <c r="AB326" s="299"/>
      <c r="AC326" s="300"/>
      <c r="AD326" s="300"/>
    </row>
    <row r="327" spans="1:30" ht="12.75" customHeight="1" x14ac:dyDescent="0.2">
      <c r="A327" s="296"/>
      <c r="B327" s="296"/>
      <c r="C327" s="296"/>
      <c r="D327" s="297"/>
      <c r="E327" s="298"/>
      <c r="F327" s="296"/>
      <c r="G327" s="296"/>
      <c r="H327" s="296"/>
      <c r="I327" s="296"/>
      <c r="J327" s="296"/>
      <c r="K327" s="296"/>
      <c r="L327" s="296"/>
      <c r="M327" s="299"/>
      <c r="N327" s="299"/>
      <c r="O327" s="299"/>
      <c r="P327" s="299"/>
      <c r="Q327" s="299"/>
      <c r="R327" s="299"/>
      <c r="S327" s="299"/>
      <c r="T327" s="299"/>
      <c r="U327" s="299"/>
      <c r="V327" s="299"/>
      <c r="W327" s="299"/>
      <c r="X327" s="299"/>
      <c r="Y327" s="299"/>
      <c r="Z327" s="299"/>
      <c r="AA327" s="299"/>
      <c r="AB327" s="299"/>
      <c r="AC327" s="300"/>
      <c r="AD327" s="300"/>
    </row>
    <row r="328" spans="1:30" ht="12.75" customHeight="1" x14ac:dyDescent="0.2">
      <c r="A328" s="296"/>
      <c r="B328" s="296"/>
      <c r="C328" s="296"/>
      <c r="D328" s="297"/>
      <c r="E328" s="298"/>
      <c r="F328" s="296"/>
      <c r="G328" s="296"/>
      <c r="H328" s="296"/>
      <c r="I328" s="296"/>
      <c r="J328" s="296"/>
      <c r="K328" s="296"/>
      <c r="L328" s="296"/>
      <c r="M328" s="299"/>
      <c r="N328" s="299"/>
      <c r="O328" s="299"/>
      <c r="P328" s="299"/>
      <c r="Q328" s="299"/>
      <c r="R328" s="299"/>
      <c r="S328" s="299"/>
      <c r="T328" s="299"/>
      <c r="U328" s="299"/>
      <c r="V328" s="299"/>
      <c r="W328" s="299"/>
      <c r="X328" s="299"/>
      <c r="Y328" s="299"/>
      <c r="Z328" s="299"/>
      <c r="AA328" s="299"/>
      <c r="AB328" s="299"/>
      <c r="AC328" s="300"/>
      <c r="AD328" s="300"/>
    </row>
    <row r="329" spans="1:30" ht="12.75" customHeight="1" x14ac:dyDescent="0.2">
      <c r="A329" s="296"/>
      <c r="B329" s="296"/>
      <c r="C329" s="296"/>
      <c r="D329" s="297"/>
      <c r="E329" s="298"/>
      <c r="F329" s="296"/>
      <c r="G329" s="296"/>
      <c r="H329" s="296"/>
      <c r="I329" s="296"/>
      <c r="J329" s="296"/>
      <c r="K329" s="296"/>
      <c r="L329" s="296"/>
      <c r="M329" s="299"/>
      <c r="N329" s="299"/>
      <c r="O329" s="299"/>
      <c r="P329" s="299"/>
      <c r="Q329" s="299"/>
      <c r="R329" s="299"/>
      <c r="S329" s="299"/>
      <c r="T329" s="299"/>
      <c r="U329" s="299"/>
      <c r="V329" s="299"/>
      <c r="W329" s="299"/>
      <c r="X329" s="299"/>
      <c r="Y329" s="299"/>
      <c r="Z329" s="299"/>
      <c r="AA329" s="299"/>
      <c r="AB329" s="299"/>
      <c r="AC329" s="300"/>
      <c r="AD329" s="300"/>
    </row>
    <row r="330" spans="1:30" ht="12.75" customHeight="1" x14ac:dyDescent="0.2">
      <c r="A330" s="296"/>
      <c r="B330" s="296"/>
      <c r="C330" s="296"/>
      <c r="D330" s="297"/>
      <c r="E330" s="298"/>
      <c r="F330" s="296"/>
      <c r="G330" s="296"/>
      <c r="H330" s="296"/>
      <c r="I330" s="296"/>
      <c r="J330" s="296"/>
      <c r="K330" s="296"/>
      <c r="L330" s="296"/>
      <c r="M330" s="299"/>
      <c r="N330" s="299"/>
      <c r="O330" s="299"/>
      <c r="P330" s="299"/>
      <c r="Q330" s="299"/>
      <c r="R330" s="299"/>
      <c r="S330" s="299"/>
      <c r="T330" s="299"/>
      <c r="U330" s="299"/>
      <c r="V330" s="299"/>
      <c r="W330" s="299"/>
      <c r="X330" s="299"/>
      <c r="Y330" s="299"/>
      <c r="Z330" s="299"/>
      <c r="AA330" s="299"/>
      <c r="AB330" s="299"/>
      <c r="AC330" s="300"/>
      <c r="AD330" s="300"/>
    </row>
    <row r="331" spans="1:30" ht="12.75" customHeight="1" x14ac:dyDescent="0.2">
      <c r="A331" s="296"/>
      <c r="B331" s="296"/>
      <c r="C331" s="296"/>
      <c r="D331" s="297"/>
      <c r="E331" s="298"/>
      <c r="F331" s="296"/>
      <c r="G331" s="296"/>
      <c r="H331" s="296"/>
      <c r="I331" s="296"/>
      <c r="J331" s="296"/>
      <c r="K331" s="296"/>
      <c r="L331" s="296"/>
      <c r="M331" s="299"/>
      <c r="N331" s="299"/>
      <c r="O331" s="299"/>
      <c r="P331" s="299"/>
      <c r="Q331" s="299"/>
      <c r="R331" s="299"/>
      <c r="S331" s="299"/>
      <c r="T331" s="299"/>
      <c r="U331" s="299"/>
      <c r="V331" s="299"/>
      <c r="W331" s="299"/>
      <c r="X331" s="299"/>
      <c r="Y331" s="299"/>
      <c r="Z331" s="299"/>
      <c r="AA331" s="299"/>
      <c r="AB331" s="299"/>
      <c r="AC331" s="300"/>
      <c r="AD331" s="300"/>
    </row>
    <row r="332" spans="1:30" ht="12.75" customHeight="1" x14ac:dyDescent="0.2">
      <c r="A332" s="296"/>
      <c r="B332" s="296"/>
      <c r="C332" s="296"/>
      <c r="D332" s="297"/>
      <c r="E332" s="298"/>
      <c r="F332" s="296"/>
      <c r="G332" s="296"/>
      <c r="H332" s="296"/>
      <c r="I332" s="296"/>
      <c r="J332" s="296"/>
      <c r="K332" s="296"/>
      <c r="L332" s="296"/>
      <c r="M332" s="299"/>
      <c r="N332" s="299"/>
      <c r="O332" s="299"/>
      <c r="P332" s="299"/>
      <c r="Q332" s="299"/>
      <c r="R332" s="299"/>
      <c r="S332" s="299"/>
      <c r="T332" s="299"/>
      <c r="U332" s="299"/>
      <c r="V332" s="299"/>
      <c r="W332" s="299"/>
      <c r="X332" s="299"/>
      <c r="Y332" s="299"/>
      <c r="Z332" s="299"/>
      <c r="AA332" s="299"/>
      <c r="AB332" s="299"/>
      <c r="AC332" s="300"/>
      <c r="AD332" s="300"/>
    </row>
    <row r="333" spans="1:30" ht="12.75" customHeight="1" x14ac:dyDescent="0.2">
      <c r="A333" s="296"/>
      <c r="B333" s="296"/>
      <c r="C333" s="296"/>
      <c r="D333" s="297"/>
      <c r="E333" s="298"/>
      <c r="F333" s="296"/>
      <c r="G333" s="296"/>
      <c r="H333" s="296"/>
      <c r="I333" s="296"/>
      <c r="J333" s="296"/>
      <c r="K333" s="296"/>
      <c r="L333" s="296"/>
      <c r="M333" s="299"/>
      <c r="N333" s="299"/>
      <c r="O333" s="299"/>
      <c r="P333" s="299"/>
      <c r="Q333" s="299"/>
      <c r="R333" s="299"/>
      <c r="S333" s="299"/>
      <c r="T333" s="299"/>
      <c r="U333" s="299"/>
      <c r="V333" s="299"/>
      <c r="W333" s="299"/>
      <c r="X333" s="299"/>
      <c r="Y333" s="299"/>
      <c r="Z333" s="299"/>
      <c r="AA333" s="299"/>
      <c r="AB333" s="299"/>
      <c r="AC333" s="300"/>
      <c r="AD333" s="300"/>
    </row>
    <row r="334" spans="1:30" ht="12.75" customHeight="1" x14ac:dyDescent="0.2">
      <c r="A334" s="296"/>
      <c r="B334" s="296"/>
      <c r="C334" s="296"/>
      <c r="D334" s="297"/>
      <c r="E334" s="298"/>
      <c r="F334" s="296"/>
      <c r="G334" s="296"/>
      <c r="H334" s="296"/>
      <c r="I334" s="296"/>
      <c r="J334" s="296"/>
      <c r="K334" s="296"/>
      <c r="L334" s="296"/>
      <c r="M334" s="299"/>
      <c r="N334" s="299"/>
      <c r="O334" s="299"/>
      <c r="P334" s="299"/>
      <c r="Q334" s="299"/>
      <c r="R334" s="299"/>
      <c r="S334" s="299"/>
      <c r="T334" s="299"/>
      <c r="U334" s="299"/>
      <c r="V334" s="299"/>
      <c r="W334" s="299"/>
      <c r="X334" s="299"/>
      <c r="Y334" s="299"/>
      <c r="Z334" s="299"/>
      <c r="AA334" s="299"/>
      <c r="AB334" s="299"/>
      <c r="AC334" s="300"/>
      <c r="AD334" s="300"/>
    </row>
    <row r="335" spans="1:30" ht="12.75" customHeight="1" x14ac:dyDescent="0.2">
      <c r="A335" s="296"/>
      <c r="B335" s="296"/>
      <c r="C335" s="296"/>
      <c r="D335" s="297"/>
      <c r="E335" s="298"/>
      <c r="F335" s="296"/>
      <c r="G335" s="296"/>
      <c r="H335" s="296"/>
      <c r="I335" s="296"/>
      <c r="J335" s="296"/>
      <c r="K335" s="296"/>
      <c r="L335" s="296"/>
      <c r="M335" s="299"/>
      <c r="N335" s="299"/>
      <c r="O335" s="299"/>
      <c r="P335" s="299"/>
      <c r="Q335" s="299"/>
      <c r="R335" s="299"/>
      <c r="S335" s="299"/>
      <c r="T335" s="299"/>
      <c r="U335" s="299"/>
      <c r="V335" s="299"/>
      <c r="W335" s="299"/>
      <c r="X335" s="299"/>
      <c r="Y335" s="299"/>
      <c r="Z335" s="299"/>
      <c r="AA335" s="299"/>
      <c r="AB335" s="299"/>
      <c r="AC335" s="300"/>
      <c r="AD335" s="300"/>
    </row>
    <row r="336" spans="1:30" ht="12.75" customHeight="1" x14ac:dyDescent="0.2">
      <c r="A336" s="296"/>
      <c r="B336" s="296"/>
      <c r="C336" s="296"/>
      <c r="D336" s="297"/>
      <c r="E336" s="298"/>
      <c r="F336" s="296"/>
      <c r="G336" s="296"/>
      <c r="H336" s="296"/>
      <c r="I336" s="296"/>
      <c r="J336" s="296"/>
      <c r="K336" s="296"/>
      <c r="L336" s="296"/>
      <c r="M336" s="299"/>
      <c r="N336" s="299"/>
      <c r="O336" s="299"/>
      <c r="P336" s="299"/>
      <c r="Q336" s="299"/>
      <c r="R336" s="299"/>
      <c r="S336" s="299"/>
      <c r="T336" s="299"/>
      <c r="U336" s="299"/>
      <c r="V336" s="299"/>
      <c r="W336" s="299"/>
      <c r="X336" s="299"/>
      <c r="Y336" s="299"/>
      <c r="Z336" s="299"/>
      <c r="AA336" s="299"/>
      <c r="AB336" s="299"/>
      <c r="AC336" s="300"/>
      <c r="AD336" s="300"/>
    </row>
    <row r="337" spans="1:30" ht="12.75" customHeight="1" x14ac:dyDescent="0.2">
      <c r="A337" s="296"/>
      <c r="B337" s="296"/>
      <c r="C337" s="296"/>
      <c r="D337" s="297"/>
      <c r="E337" s="298"/>
      <c r="F337" s="296"/>
      <c r="G337" s="296"/>
      <c r="H337" s="296"/>
      <c r="I337" s="296"/>
      <c r="J337" s="296"/>
      <c r="K337" s="296"/>
      <c r="L337" s="296"/>
      <c r="M337" s="299"/>
      <c r="N337" s="299"/>
      <c r="O337" s="299"/>
      <c r="P337" s="299"/>
      <c r="Q337" s="299"/>
      <c r="R337" s="299"/>
      <c r="S337" s="299"/>
      <c r="T337" s="299"/>
      <c r="U337" s="299"/>
      <c r="V337" s="299"/>
      <c r="W337" s="299"/>
      <c r="X337" s="299"/>
      <c r="Y337" s="299"/>
      <c r="Z337" s="299"/>
      <c r="AA337" s="299"/>
      <c r="AB337" s="299"/>
      <c r="AC337" s="300"/>
      <c r="AD337" s="300"/>
    </row>
    <row r="338" spans="1:30" ht="12.75" customHeight="1" x14ac:dyDescent="0.2">
      <c r="A338" s="296"/>
      <c r="B338" s="296"/>
      <c r="C338" s="296"/>
      <c r="D338" s="297"/>
      <c r="E338" s="298"/>
      <c r="F338" s="296"/>
      <c r="G338" s="296"/>
      <c r="H338" s="296"/>
      <c r="I338" s="296"/>
      <c r="J338" s="296"/>
      <c r="K338" s="296"/>
      <c r="L338" s="296"/>
      <c r="M338" s="299"/>
      <c r="N338" s="299"/>
      <c r="O338" s="299"/>
      <c r="P338" s="299"/>
      <c r="Q338" s="299"/>
      <c r="R338" s="299"/>
      <c r="S338" s="299"/>
      <c r="T338" s="299"/>
      <c r="U338" s="299"/>
      <c r="V338" s="299"/>
      <c r="W338" s="299"/>
      <c r="X338" s="299"/>
      <c r="Y338" s="299"/>
      <c r="Z338" s="299"/>
      <c r="AA338" s="299"/>
      <c r="AB338" s="299"/>
      <c r="AC338" s="300"/>
      <c r="AD338" s="300"/>
    </row>
    <row r="339" spans="1:30" ht="12.75" customHeight="1" x14ac:dyDescent="0.2">
      <c r="A339" s="296"/>
      <c r="B339" s="296"/>
      <c r="C339" s="296"/>
      <c r="D339" s="297"/>
      <c r="E339" s="298"/>
      <c r="F339" s="296"/>
      <c r="G339" s="296"/>
      <c r="H339" s="296"/>
      <c r="I339" s="296"/>
      <c r="J339" s="296"/>
      <c r="K339" s="296"/>
      <c r="L339" s="296"/>
      <c r="M339" s="299"/>
      <c r="N339" s="299"/>
      <c r="O339" s="299"/>
      <c r="P339" s="299"/>
      <c r="Q339" s="299"/>
      <c r="R339" s="299"/>
      <c r="S339" s="299"/>
      <c r="T339" s="299"/>
      <c r="U339" s="299"/>
      <c r="V339" s="299"/>
      <c r="W339" s="299"/>
      <c r="X339" s="299"/>
      <c r="Y339" s="299"/>
      <c r="Z339" s="299"/>
      <c r="AA339" s="299"/>
      <c r="AB339" s="299"/>
      <c r="AC339" s="300"/>
      <c r="AD339" s="300"/>
    </row>
    <row r="340" spans="1:30" ht="12.75" customHeight="1" x14ac:dyDescent="0.2">
      <c r="A340" s="296"/>
      <c r="B340" s="296"/>
      <c r="C340" s="296"/>
      <c r="D340" s="297"/>
      <c r="E340" s="298"/>
      <c r="F340" s="296"/>
      <c r="G340" s="296"/>
      <c r="H340" s="296"/>
      <c r="I340" s="296"/>
      <c r="J340" s="296"/>
      <c r="K340" s="296"/>
      <c r="L340" s="296"/>
      <c r="M340" s="299"/>
      <c r="N340" s="299"/>
      <c r="O340" s="299"/>
      <c r="P340" s="299"/>
      <c r="Q340" s="299"/>
      <c r="R340" s="299"/>
      <c r="S340" s="299"/>
      <c r="T340" s="299"/>
      <c r="U340" s="299"/>
      <c r="V340" s="299"/>
      <c r="W340" s="299"/>
      <c r="X340" s="299"/>
      <c r="Y340" s="299"/>
      <c r="Z340" s="299"/>
      <c r="AA340" s="299"/>
      <c r="AB340" s="299"/>
      <c r="AC340" s="300"/>
      <c r="AD340" s="300"/>
    </row>
    <row r="341" spans="1:30" ht="12.75" customHeight="1" x14ac:dyDescent="0.2">
      <c r="A341" s="296"/>
      <c r="B341" s="296"/>
      <c r="C341" s="296"/>
      <c r="D341" s="297"/>
      <c r="E341" s="298"/>
      <c r="F341" s="296"/>
      <c r="G341" s="296"/>
      <c r="H341" s="296"/>
      <c r="I341" s="296"/>
      <c r="J341" s="296"/>
      <c r="K341" s="296"/>
      <c r="L341" s="296"/>
      <c r="M341" s="299"/>
      <c r="N341" s="299"/>
      <c r="O341" s="299"/>
      <c r="P341" s="299"/>
      <c r="Q341" s="299"/>
      <c r="R341" s="299"/>
      <c r="S341" s="299"/>
      <c r="T341" s="299"/>
      <c r="U341" s="299"/>
      <c r="V341" s="299"/>
      <c r="W341" s="299"/>
      <c r="X341" s="299"/>
      <c r="Y341" s="299"/>
      <c r="Z341" s="299"/>
      <c r="AA341" s="299"/>
      <c r="AB341" s="299"/>
      <c r="AC341" s="300"/>
      <c r="AD341" s="300"/>
    </row>
    <row r="342" spans="1:30" ht="12.75" customHeight="1" x14ac:dyDescent="0.2">
      <c r="A342" s="296"/>
      <c r="B342" s="296"/>
      <c r="C342" s="296"/>
      <c r="D342" s="297"/>
      <c r="E342" s="298"/>
      <c r="F342" s="296"/>
      <c r="G342" s="296"/>
      <c r="H342" s="296"/>
      <c r="I342" s="296"/>
      <c r="J342" s="296"/>
      <c r="K342" s="296"/>
      <c r="L342" s="296"/>
      <c r="M342" s="299"/>
      <c r="N342" s="299"/>
      <c r="O342" s="299"/>
      <c r="P342" s="299"/>
      <c r="Q342" s="299"/>
      <c r="R342" s="299"/>
      <c r="S342" s="299"/>
      <c r="T342" s="299"/>
      <c r="U342" s="299"/>
      <c r="V342" s="299"/>
      <c r="W342" s="299"/>
      <c r="X342" s="299"/>
      <c r="Y342" s="299"/>
      <c r="Z342" s="299"/>
      <c r="AA342" s="299"/>
      <c r="AB342" s="299"/>
      <c r="AC342" s="300"/>
      <c r="AD342" s="300"/>
    </row>
    <row r="343" spans="1:30" ht="12.75" customHeight="1" x14ac:dyDescent="0.2">
      <c r="A343" s="296"/>
      <c r="B343" s="296"/>
      <c r="C343" s="296"/>
      <c r="D343" s="297"/>
      <c r="E343" s="298"/>
      <c r="F343" s="296"/>
      <c r="G343" s="296"/>
      <c r="H343" s="296"/>
      <c r="I343" s="296"/>
      <c r="J343" s="296"/>
      <c r="K343" s="296"/>
      <c r="L343" s="296"/>
      <c r="M343" s="299"/>
      <c r="N343" s="299"/>
      <c r="O343" s="299"/>
      <c r="P343" s="299"/>
      <c r="Q343" s="299"/>
      <c r="R343" s="299"/>
      <c r="S343" s="299"/>
      <c r="T343" s="299"/>
      <c r="U343" s="299"/>
      <c r="V343" s="299"/>
      <c r="W343" s="299"/>
      <c r="X343" s="299"/>
      <c r="Y343" s="299"/>
      <c r="Z343" s="299"/>
      <c r="AA343" s="299"/>
      <c r="AB343" s="299"/>
      <c r="AC343" s="300"/>
      <c r="AD343" s="300"/>
    </row>
    <row r="344" spans="1:30" ht="12.75" customHeight="1" x14ac:dyDescent="0.2">
      <c r="A344" s="296"/>
      <c r="B344" s="296"/>
      <c r="C344" s="296"/>
      <c r="D344" s="297"/>
      <c r="E344" s="298"/>
      <c r="F344" s="296"/>
      <c r="G344" s="296"/>
      <c r="H344" s="296"/>
      <c r="I344" s="296"/>
      <c r="J344" s="296"/>
      <c r="K344" s="296"/>
      <c r="L344" s="296"/>
      <c r="M344" s="299"/>
      <c r="N344" s="299"/>
      <c r="O344" s="299"/>
      <c r="P344" s="299"/>
      <c r="Q344" s="299"/>
      <c r="R344" s="299"/>
      <c r="S344" s="299"/>
      <c r="T344" s="299"/>
      <c r="U344" s="299"/>
      <c r="V344" s="299"/>
      <c r="W344" s="299"/>
      <c r="X344" s="299"/>
      <c r="Y344" s="299"/>
      <c r="Z344" s="299"/>
      <c r="AA344" s="299"/>
      <c r="AB344" s="299"/>
      <c r="AC344" s="300"/>
      <c r="AD344" s="300"/>
    </row>
    <row r="345" spans="1:30" ht="12.75" customHeight="1" x14ac:dyDescent="0.2">
      <c r="A345" s="296"/>
      <c r="B345" s="296"/>
      <c r="C345" s="296"/>
      <c r="D345" s="297"/>
      <c r="E345" s="298"/>
      <c r="F345" s="296"/>
      <c r="G345" s="296"/>
      <c r="H345" s="296"/>
      <c r="I345" s="296"/>
      <c r="J345" s="296"/>
      <c r="K345" s="296"/>
      <c r="L345" s="296"/>
      <c r="M345" s="299"/>
      <c r="N345" s="299"/>
      <c r="O345" s="299"/>
      <c r="P345" s="299"/>
      <c r="Q345" s="299"/>
      <c r="R345" s="299"/>
      <c r="S345" s="299"/>
      <c r="T345" s="299"/>
      <c r="U345" s="299"/>
      <c r="V345" s="299"/>
      <c r="W345" s="299"/>
      <c r="X345" s="299"/>
      <c r="Y345" s="299"/>
      <c r="Z345" s="299"/>
      <c r="AA345" s="299"/>
      <c r="AB345" s="299"/>
      <c r="AC345" s="300"/>
      <c r="AD345" s="300"/>
    </row>
    <row r="346" spans="1:30" ht="12.75" customHeight="1" x14ac:dyDescent="0.2">
      <c r="A346" s="296"/>
      <c r="B346" s="296"/>
      <c r="C346" s="296"/>
      <c r="D346" s="297"/>
      <c r="E346" s="298"/>
      <c r="F346" s="296"/>
      <c r="G346" s="296"/>
      <c r="H346" s="296"/>
      <c r="I346" s="296"/>
      <c r="J346" s="296"/>
      <c r="K346" s="296"/>
      <c r="L346" s="296"/>
      <c r="M346" s="299"/>
      <c r="N346" s="299"/>
      <c r="O346" s="299"/>
      <c r="P346" s="299"/>
      <c r="Q346" s="299"/>
      <c r="R346" s="299"/>
      <c r="S346" s="299"/>
      <c r="T346" s="299"/>
      <c r="U346" s="299"/>
      <c r="V346" s="299"/>
      <c r="W346" s="299"/>
      <c r="X346" s="299"/>
      <c r="Y346" s="299"/>
      <c r="Z346" s="299"/>
      <c r="AA346" s="299"/>
      <c r="AB346" s="299"/>
      <c r="AC346" s="300"/>
      <c r="AD346" s="300"/>
    </row>
    <row r="347" spans="1:30" ht="12.75" customHeight="1" x14ac:dyDescent="0.2">
      <c r="A347" s="296"/>
      <c r="B347" s="296"/>
      <c r="C347" s="296"/>
      <c r="D347" s="297"/>
      <c r="E347" s="298"/>
      <c r="F347" s="296"/>
      <c r="G347" s="296"/>
      <c r="H347" s="296"/>
      <c r="I347" s="296"/>
      <c r="J347" s="296"/>
      <c r="K347" s="296"/>
      <c r="L347" s="296"/>
      <c r="M347" s="299"/>
      <c r="N347" s="299"/>
      <c r="O347" s="299"/>
      <c r="P347" s="299"/>
      <c r="Q347" s="299"/>
      <c r="R347" s="299"/>
      <c r="S347" s="299"/>
      <c r="T347" s="299"/>
      <c r="U347" s="299"/>
      <c r="V347" s="299"/>
      <c r="W347" s="299"/>
      <c r="X347" s="299"/>
      <c r="Y347" s="299"/>
      <c r="Z347" s="299"/>
      <c r="AA347" s="299"/>
      <c r="AB347" s="299"/>
      <c r="AC347" s="300"/>
      <c r="AD347" s="300"/>
    </row>
    <row r="348" spans="1:30" ht="12.75" customHeight="1" x14ac:dyDescent="0.2">
      <c r="A348" s="296"/>
      <c r="B348" s="296"/>
      <c r="C348" s="296"/>
      <c r="D348" s="297"/>
      <c r="E348" s="298"/>
      <c r="F348" s="296"/>
      <c r="G348" s="296"/>
      <c r="H348" s="296"/>
      <c r="I348" s="296"/>
      <c r="J348" s="296"/>
      <c r="K348" s="296"/>
      <c r="L348" s="296"/>
      <c r="M348" s="299"/>
      <c r="N348" s="299"/>
      <c r="O348" s="299"/>
      <c r="P348" s="299"/>
      <c r="Q348" s="299"/>
      <c r="R348" s="299"/>
      <c r="S348" s="299"/>
      <c r="T348" s="299"/>
      <c r="U348" s="299"/>
      <c r="V348" s="299"/>
      <c r="W348" s="299"/>
      <c r="X348" s="299"/>
      <c r="Y348" s="299"/>
      <c r="Z348" s="299"/>
      <c r="AA348" s="299"/>
      <c r="AB348" s="299"/>
      <c r="AC348" s="300"/>
      <c r="AD348" s="300"/>
    </row>
    <row r="349" spans="1:30" ht="12.75" customHeight="1" x14ac:dyDescent="0.2">
      <c r="A349" s="296"/>
      <c r="B349" s="296"/>
      <c r="C349" s="296"/>
      <c r="D349" s="297"/>
      <c r="E349" s="298"/>
      <c r="F349" s="296"/>
      <c r="G349" s="296"/>
      <c r="H349" s="296"/>
      <c r="I349" s="296"/>
      <c r="J349" s="296"/>
      <c r="K349" s="296"/>
      <c r="L349" s="296"/>
      <c r="M349" s="299"/>
      <c r="N349" s="299"/>
      <c r="O349" s="299"/>
      <c r="P349" s="299"/>
      <c r="Q349" s="299"/>
      <c r="R349" s="299"/>
      <c r="S349" s="299"/>
      <c r="T349" s="299"/>
      <c r="U349" s="299"/>
      <c r="V349" s="299"/>
      <c r="W349" s="299"/>
      <c r="X349" s="299"/>
      <c r="Y349" s="299"/>
      <c r="Z349" s="299"/>
      <c r="AA349" s="299"/>
      <c r="AB349" s="299"/>
      <c r="AC349" s="300"/>
      <c r="AD349" s="300"/>
    </row>
    <row r="350" spans="1:30" ht="12.75" customHeight="1" x14ac:dyDescent="0.2">
      <c r="A350" s="296"/>
      <c r="B350" s="296"/>
      <c r="C350" s="296"/>
      <c r="D350" s="297"/>
      <c r="E350" s="298"/>
      <c r="F350" s="296"/>
      <c r="G350" s="296"/>
      <c r="H350" s="296"/>
      <c r="I350" s="296"/>
      <c r="J350" s="296"/>
      <c r="K350" s="296"/>
      <c r="L350" s="296"/>
      <c r="M350" s="299"/>
      <c r="N350" s="299"/>
      <c r="O350" s="299"/>
      <c r="P350" s="299"/>
      <c r="Q350" s="299"/>
      <c r="R350" s="299"/>
      <c r="S350" s="299"/>
      <c r="T350" s="299"/>
      <c r="U350" s="299"/>
      <c r="V350" s="299"/>
      <c r="W350" s="299"/>
      <c r="X350" s="299"/>
      <c r="Y350" s="299"/>
      <c r="Z350" s="299"/>
      <c r="AA350" s="299"/>
      <c r="AB350" s="299"/>
      <c r="AC350" s="300"/>
      <c r="AD350" s="300"/>
    </row>
    <row r="351" spans="1:30" ht="12.75" customHeight="1" x14ac:dyDescent="0.2">
      <c r="A351" s="296"/>
      <c r="B351" s="296"/>
      <c r="C351" s="296"/>
      <c r="D351" s="297"/>
      <c r="E351" s="298"/>
      <c r="F351" s="296"/>
      <c r="G351" s="296"/>
      <c r="H351" s="296"/>
      <c r="I351" s="296"/>
      <c r="J351" s="296"/>
      <c r="K351" s="296"/>
      <c r="L351" s="296"/>
      <c r="M351" s="299"/>
      <c r="N351" s="299"/>
      <c r="O351" s="299"/>
      <c r="P351" s="299"/>
      <c r="Q351" s="299"/>
      <c r="R351" s="299"/>
      <c r="S351" s="299"/>
      <c r="T351" s="299"/>
      <c r="U351" s="299"/>
      <c r="V351" s="299"/>
      <c r="W351" s="299"/>
      <c r="X351" s="299"/>
      <c r="Y351" s="299"/>
      <c r="Z351" s="299"/>
      <c r="AA351" s="299"/>
      <c r="AB351" s="299"/>
      <c r="AC351" s="300"/>
      <c r="AD351" s="300"/>
    </row>
    <row r="352" spans="1:30" ht="12.75" customHeight="1" x14ac:dyDescent="0.2">
      <c r="A352" s="296"/>
      <c r="B352" s="296"/>
      <c r="C352" s="296"/>
      <c r="D352" s="297"/>
      <c r="E352" s="298"/>
      <c r="F352" s="296"/>
      <c r="G352" s="296"/>
      <c r="H352" s="296"/>
      <c r="I352" s="296"/>
      <c r="J352" s="296"/>
      <c r="K352" s="296"/>
      <c r="L352" s="296"/>
      <c r="M352" s="299"/>
      <c r="N352" s="299"/>
      <c r="O352" s="299"/>
      <c r="P352" s="299"/>
      <c r="Q352" s="299"/>
      <c r="R352" s="299"/>
      <c r="S352" s="299"/>
      <c r="T352" s="299"/>
      <c r="U352" s="299"/>
      <c r="V352" s="299"/>
      <c r="W352" s="299"/>
      <c r="X352" s="299"/>
      <c r="Y352" s="299"/>
      <c r="Z352" s="299"/>
      <c r="AA352" s="299"/>
      <c r="AB352" s="299"/>
      <c r="AC352" s="300"/>
      <c r="AD352" s="300"/>
    </row>
    <row r="353" spans="1:30" ht="12.75" customHeight="1" x14ac:dyDescent="0.2">
      <c r="A353" s="296"/>
      <c r="B353" s="296"/>
      <c r="C353" s="296"/>
      <c r="D353" s="297"/>
      <c r="E353" s="298"/>
      <c r="F353" s="296"/>
      <c r="G353" s="296"/>
      <c r="H353" s="296"/>
      <c r="I353" s="296"/>
      <c r="J353" s="296"/>
      <c r="K353" s="296"/>
      <c r="L353" s="296"/>
      <c r="M353" s="299"/>
      <c r="N353" s="299"/>
      <c r="O353" s="299"/>
      <c r="P353" s="299"/>
      <c r="Q353" s="299"/>
      <c r="R353" s="299"/>
      <c r="S353" s="299"/>
      <c r="T353" s="299"/>
      <c r="U353" s="299"/>
      <c r="V353" s="299"/>
      <c r="W353" s="299"/>
      <c r="X353" s="299"/>
      <c r="Y353" s="299"/>
      <c r="Z353" s="299"/>
      <c r="AA353" s="299"/>
      <c r="AB353" s="299"/>
      <c r="AC353" s="300"/>
      <c r="AD353" s="300"/>
    </row>
    <row r="354" spans="1:30" ht="12.75" customHeight="1" x14ac:dyDescent="0.2">
      <c r="A354" s="296"/>
      <c r="B354" s="296"/>
      <c r="C354" s="296"/>
      <c r="D354" s="297"/>
      <c r="E354" s="298"/>
      <c r="F354" s="296"/>
      <c r="G354" s="296"/>
      <c r="H354" s="296"/>
      <c r="I354" s="296"/>
      <c r="J354" s="296"/>
      <c r="K354" s="296"/>
      <c r="L354" s="296"/>
      <c r="M354" s="299"/>
      <c r="N354" s="299"/>
      <c r="O354" s="299"/>
      <c r="P354" s="299"/>
      <c r="Q354" s="299"/>
      <c r="R354" s="299"/>
      <c r="S354" s="299"/>
      <c r="T354" s="299"/>
      <c r="U354" s="299"/>
      <c r="V354" s="299"/>
      <c r="W354" s="299"/>
      <c r="X354" s="299"/>
      <c r="Y354" s="299"/>
      <c r="Z354" s="299"/>
      <c r="AA354" s="299"/>
      <c r="AB354" s="299"/>
      <c r="AC354" s="300"/>
      <c r="AD354" s="300"/>
    </row>
    <row r="355" spans="1:30" ht="12.75" customHeight="1" x14ac:dyDescent="0.2">
      <c r="A355" s="296"/>
      <c r="B355" s="296"/>
      <c r="C355" s="296"/>
      <c r="D355" s="297"/>
      <c r="E355" s="298"/>
      <c r="F355" s="296"/>
      <c r="G355" s="296"/>
      <c r="H355" s="296"/>
      <c r="I355" s="296"/>
      <c r="J355" s="296"/>
      <c r="K355" s="296"/>
      <c r="L355" s="296"/>
      <c r="M355" s="299"/>
      <c r="N355" s="299"/>
      <c r="O355" s="299"/>
      <c r="P355" s="299"/>
      <c r="Q355" s="299"/>
      <c r="R355" s="299"/>
      <c r="S355" s="299"/>
      <c r="T355" s="299"/>
      <c r="U355" s="299"/>
      <c r="V355" s="299"/>
      <c r="W355" s="299"/>
      <c r="X355" s="299"/>
      <c r="Y355" s="299"/>
      <c r="Z355" s="299"/>
      <c r="AA355" s="299"/>
      <c r="AB355" s="299"/>
      <c r="AC355" s="300"/>
      <c r="AD355" s="300"/>
    </row>
    <row r="356" spans="1:30" ht="12.75" customHeight="1" x14ac:dyDescent="0.2">
      <c r="A356" s="296"/>
      <c r="B356" s="296"/>
      <c r="C356" s="296"/>
      <c r="D356" s="297"/>
      <c r="E356" s="298"/>
      <c r="F356" s="296"/>
      <c r="G356" s="296"/>
      <c r="H356" s="296"/>
      <c r="I356" s="296"/>
      <c r="J356" s="296"/>
      <c r="K356" s="296"/>
      <c r="L356" s="296"/>
      <c r="M356" s="299"/>
      <c r="N356" s="299"/>
      <c r="O356" s="299"/>
      <c r="P356" s="299"/>
      <c r="Q356" s="299"/>
      <c r="R356" s="299"/>
      <c r="S356" s="299"/>
      <c r="T356" s="299"/>
      <c r="U356" s="299"/>
      <c r="V356" s="299"/>
      <c r="W356" s="299"/>
      <c r="X356" s="299"/>
      <c r="Y356" s="299"/>
      <c r="Z356" s="299"/>
      <c r="AA356" s="299"/>
      <c r="AB356" s="299"/>
      <c r="AC356" s="300"/>
      <c r="AD356" s="300"/>
    </row>
    <row r="357" spans="1:30" ht="12.75" customHeight="1" x14ac:dyDescent="0.2">
      <c r="A357" s="296"/>
      <c r="B357" s="296"/>
      <c r="C357" s="296"/>
      <c r="D357" s="297"/>
      <c r="E357" s="298"/>
      <c r="F357" s="296"/>
      <c r="G357" s="296"/>
      <c r="H357" s="296"/>
      <c r="I357" s="296"/>
      <c r="J357" s="296"/>
      <c r="K357" s="296"/>
      <c r="L357" s="296"/>
      <c r="M357" s="299"/>
      <c r="N357" s="299"/>
      <c r="O357" s="299"/>
      <c r="P357" s="299"/>
      <c r="Q357" s="299"/>
      <c r="R357" s="299"/>
      <c r="S357" s="299"/>
      <c r="T357" s="299"/>
      <c r="U357" s="299"/>
      <c r="V357" s="299"/>
      <c r="W357" s="299"/>
      <c r="X357" s="299"/>
      <c r="Y357" s="299"/>
      <c r="Z357" s="299"/>
      <c r="AA357" s="299"/>
      <c r="AB357" s="299"/>
      <c r="AC357" s="300"/>
      <c r="AD357" s="300"/>
    </row>
    <row r="358" spans="1:30" ht="12.75" customHeight="1" x14ac:dyDescent="0.2">
      <c r="A358" s="296"/>
      <c r="B358" s="296"/>
      <c r="C358" s="296"/>
      <c r="D358" s="297"/>
      <c r="E358" s="298"/>
      <c r="F358" s="296"/>
      <c r="G358" s="296"/>
      <c r="H358" s="296"/>
      <c r="I358" s="296"/>
      <c r="J358" s="296"/>
      <c r="K358" s="296"/>
      <c r="L358" s="296"/>
      <c r="M358" s="299"/>
      <c r="N358" s="299"/>
      <c r="O358" s="299"/>
      <c r="P358" s="299"/>
      <c r="Q358" s="299"/>
      <c r="R358" s="299"/>
      <c r="S358" s="299"/>
      <c r="T358" s="299"/>
      <c r="U358" s="299"/>
      <c r="V358" s="299"/>
      <c r="W358" s="299"/>
      <c r="X358" s="299"/>
      <c r="Y358" s="299"/>
      <c r="Z358" s="299"/>
      <c r="AA358" s="299"/>
      <c r="AB358" s="299"/>
      <c r="AC358" s="300"/>
      <c r="AD358" s="300"/>
    </row>
    <row r="359" spans="1:30" ht="12.75" customHeight="1" x14ac:dyDescent="0.2">
      <c r="A359" s="296"/>
      <c r="B359" s="296"/>
      <c r="C359" s="296"/>
      <c r="D359" s="297"/>
      <c r="E359" s="298"/>
      <c r="F359" s="296"/>
      <c r="G359" s="296"/>
      <c r="H359" s="296"/>
      <c r="I359" s="296"/>
      <c r="J359" s="296"/>
      <c r="K359" s="296"/>
      <c r="L359" s="296"/>
      <c r="M359" s="299"/>
      <c r="N359" s="299"/>
      <c r="O359" s="299"/>
      <c r="P359" s="299"/>
      <c r="Q359" s="299"/>
      <c r="R359" s="299"/>
      <c r="S359" s="299"/>
      <c r="T359" s="299"/>
      <c r="U359" s="299"/>
      <c r="V359" s="299"/>
      <c r="W359" s="299"/>
      <c r="X359" s="299"/>
      <c r="Y359" s="299"/>
      <c r="Z359" s="299"/>
      <c r="AA359" s="299"/>
      <c r="AB359" s="299"/>
      <c r="AC359" s="300"/>
      <c r="AD359" s="300"/>
    </row>
    <row r="360" spans="1:30" ht="12.75" customHeight="1" x14ac:dyDescent="0.2">
      <c r="A360" s="296"/>
      <c r="B360" s="296"/>
      <c r="C360" s="296"/>
      <c r="D360" s="297"/>
      <c r="E360" s="298"/>
      <c r="F360" s="296"/>
      <c r="G360" s="296"/>
      <c r="H360" s="296"/>
      <c r="I360" s="296"/>
      <c r="J360" s="296"/>
      <c r="K360" s="296"/>
      <c r="L360" s="296"/>
      <c r="M360" s="299"/>
      <c r="N360" s="299"/>
      <c r="O360" s="299"/>
      <c r="P360" s="299"/>
      <c r="Q360" s="299"/>
      <c r="R360" s="299"/>
      <c r="S360" s="299"/>
      <c r="T360" s="299"/>
      <c r="U360" s="299"/>
      <c r="V360" s="299"/>
      <c r="W360" s="299"/>
      <c r="X360" s="299"/>
      <c r="Y360" s="299"/>
      <c r="Z360" s="299"/>
      <c r="AA360" s="299"/>
      <c r="AB360" s="299"/>
      <c r="AC360" s="300"/>
      <c r="AD360" s="300"/>
    </row>
    <row r="361" spans="1:30" ht="12.75" customHeight="1" x14ac:dyDescent="0.2">
      <c r="A361" s="296"/>
      <c r="B361" s="296"/>
      <c r="C361" s="296"/>
      <c r="D361" s="297"/>
      <c r="E361" s="298"/>
      <c r="F361" s="296"/>
      <c r="G361" s="296"/>
      <c r="H361" s="296"/>
      <c r="I361" s="296"/>
      <c r="J361" s="296"/>
      <c r="K361" s="296"/>
      <c r="L361" s="296"/>
      <c r="M361" s="299"/>
      <c r="N361" s="299"/>
      <c r="O361" s="299"/>
      <c r="P361" s="299"/>
      <c r="Q361" s="299"/>
      <c r="R361" s="299"/>
      <c r="S361" s="299"/>
      <c r="T361" s="299"/>
      <c r="U361" s="299"/>
      <c r="V361" s="299"/>
      <c r="W361" s="299"/>
      <c r="X361" s="299"/>
      <c r="Y361" s="299"/>
      <c r="Z361" s="299"/>
      <c r="AA361" s="299"/>
      <c r="AB361" s="299"/>
      <c r="AC361" s="300"/>
      <c r="AD361" s="300"/>
    </row>
    <row r="362" spans="1:30" ht="12.75" customHeight="1" x14ac:dyDescent="0.2">
      <c r="A362" s="296"/>
      <c r="B362" s="296"/>
      <c r="C362" s="296"/>
      <c r="D362" s="297"/>
      <c r="E362" s="298"/>
      <c r="F362" s="296"/>
      <c r="G362" s="296"/>
      <c r="H362" s="296"/>
      <c r="I362" s="296"/>
      <c r="J362" s="296"/>
      <c r="K362" s="296"/>
      <c r="L362" s="296"/>
      <c r="M362" s="299"/>
      <c r="N362" s="299"/>
      <c r="O362" s="299"/>
      <c r="P362" s="299"/>
      <c r="Q362" s="299"/>
      <c r="R362" s="299"/>
      <c r="S362" s="299"/>
      <c r="T362" s="299"/>
      <c r="U362" s="299"/>
      <c r="V362" s="299"/>
      <c r="W362" s="299"/>
      <c r="X362" s="299"/>
      <c r="Y362" s="299"/>
      <c r="Z362" s="299"/>
      <c r="AA362" s="299"/>
      <c r="AB362" s="299"/>
      <c r="AC362" s="300"/>
      <c r="AD362" s="300"/>
    </row>
    <row r="363" spans="1:30" ht="12.75" customHeight="1" x14ac:dyDescent="0.2">
      <c r="A363" s="296"/>
      <c r="B363" s="296"/>
      <c r="C363" s="296"/>
      <c r="D363" s="297"/>
      <c r="E363" s="298"/>
      <c r="F363" s="296"/>
      <c r="G363" s="296"/>
      <c r="H363" s="296"/>
      <c r="I363" s="296"/>
      <c r="J363" s="296"/>
      <c r="K363" s="296"/>
      <c r="L363" s="296"/>
      <c r="M363" s="299"/>
      <c r="N363" s="299"/>
      <c r="O363" s="299"/>
      <c r="P363" s="299"/>
      <c r="Q363" s="299"/>
      <c r="R363" s="299"/>
      <c r="S363" s="299"/>
      <c r="T363" s="299"/>
      <c r="U363" s="299"/>
      <c r="V363" s="299"/>
      <c r="W363" s="299"/>
      <c r="X363" s="299"/>
      <c r="Y363" s="299"/>
      <c r="Z363" s="299"/>
      <c r="AA363" s="299"/>
      <c r="AB363" s="299"/>
      <c r="AC363" s="300"/>
      <c r="AD363" s="300"/>
    </row>
    <row r="364" spans="1:30" ht="12.75" customHeight="1" x14ac:dyDescent="0.2">
      <c r="A364" s="296"/>
      <c r="B364" s="296"/>
      <c r="C364" s="296"/>
      <c r="D364" s="297"/>
      <c r="E364" s="298"/>
      <c r="F364" s="296"/>
      <c r="G364" s="296"/>
      <c r="H364" s="296"/>
      <c r="I364" s="296"/>
      <c r="J364" s="296"/>
      <c r="K364" s="296"/>
      <c r="L364" s="296"/>
      <c r="M364" s="299"/>
      <c r="N364" s="299"/>
      <c r="O364" s="299"/>
      <c r="P364" s="299"/>
      <c r="Q364" s="299"/>
      <c r="R364" s="299"/>
      <c r="S364" s="299"/>
      <c r="T364" s="299"/>
      <c r="U364" s="299"/>
      <c r="V364" s="299"/>
      <c r="W364" s="299"/>
      <c r="X364" s="299"/>
      <c r="Y364" s="299"/>
      <c r="Z364" s="299"/>
      <c r="AA364" s="299"/>
      <c r="AB364" s="299"/>
      <c r="AC364" s="300"/>
      <c r="AD364" s="300"/>
    </row>
    <row r="365" spans="1:30" ht="12.75" customHeight="1" x14ac:dyDescent="0.2">
      <c r="A365" s="296"/>
      <c r="B365" s="296"/>
      <c r="C365" s="296"/>
      <c r="D365" s="297"/>
      <c r="E365" s="298"/>
      <c r="F365" s="296"/>
      <c r="G365" s="296"/>
      <c r="H365" s="296"/>
      <c r="I365" s="296"/>
      <c r="J365" s="296"/>
      <c r="K365" s="296"/>
      <c r="L365" s="296"/>
      <c r="M365" s="299"/>
      <c r="N365" s="299"/>
      <c r="O365" s="299"/>
      <c r="P365" s="299"/>
      <c r="Q365" s="299"/>
      <c r="R365" s="299"/>
      <c r="S365" s="299"/>
      <c r="T365" s="299"/>
      <c r="U365" s="299"/>
      <c r="V365" s="299"/>
      <c r="W365" s="299"/>
      <c r="X365" s="299"/>
      <c r="Y365" s="299"/>
      <c r="Z365" s="299"/>
      <c r="AA365" s="299"/>
      <c r="AB365" s="299"/>
      <c r="AC365" s="300"/>
      <c r="AD365" s="300"/>
    </row>
    <row r="366" spans="1:30" ht="12.75" customHeight="1" x14ac:dyDescent="0.2">
      <c r="A366" s="296"/>
      <c r="B366" s="296"/>
      <c r="C366" s="296"/>
      <c r="D366" s="297"/>
      <c r="E366" s="298"/>
      <c r="F366" s="296"/>
      <c r="G366" s="296"/>
      <c r="H366" s="296"/>
      <c r="I366" s="296"/>
      <c r="J366" s="296"/>
      <c r="K366" s="296"/>
      <c r="L366" s="296"/>
      <c r="M366" s="299"/>
      <c r="N366" s="299"/>
      <c r="O366" s="299"/>
      <c r="P366" s="299"/>
      <c r="Q366" s="299"/>
      <c r="R366" s="299"/>
      <c r="S366" s="299"/>
      <c r="T366" s="299"/>
      <c r="U366" s="299"/>
      <c r="V366" s="299"/>
      <c r="W366" s="299"/>
      <c r="X366" s="299"/>
      <c r="Y366" s="299"/>
      <c r="Z366" s="299"/>
      <c r="AA366" s="299"/>
      <c r="AB366" s="299"/>
      <c r="AC366" s="300"/>
      <c r="AD366" s="300"/>
    </row>
    <row r="367" spans="1:30" ht="12.75" customHeight="1" x14ac:dyDescent="0.2">
      <c r="A367" s="296"/>
      <c r="B367" s="296"/>
      <c r="C367" s="296"/>
      <c r="D367" s="297"/>
      <c r="E367" s="298"/>
      <c r="F367" s="296"/>
      <c r="G367" s="296"/>
      <c r="H367" s="296"/>
      <c r="I367" s="296"/>
      <c r="J367" s="296"/>
      <c r="K367" s="296"/>
      <c r="L367" s="296"/>
      <c r="M367" s="299"/>
      <c r="N367" s="299"/>
      <c r="O367" s="299"/>
      <c r="P367" s="299"/>
      <c r="Q367" s="299"/>
      <c r="R367" s="299"/>
      <c r="S367" s="299"/>
      <c r="T367" s="299"/>
      <c r="U367" s="299"/>
      <c r="V367" s="299"/>
      <c r="W367" s="299"/>
      <c r="X367" s="299"/>
      <c r="Y367" s="299"/>
      <c r="Z367" s="299"/>
      <c r="AA367" s="299"/>
      <c r="AB367" s="299"/>
      <c r="AC367" s="300"/>
      <c r="AD367" s="300"/>
    </row>
    <row r="368" spans="1:30" ht="12.75" customHeight="1" x14ac:dyDescent="0.2">
      <c r="A368" s="296"/>
      <c r="B368" s="296"/>
      <c r="C368" s="296"/>
      <c r="D368" s="297"/>
      <c r="E368" s="298"/>
      <c r="F368" s="296"/>
      <c r="G368" s="296"/>
      <c r="H368" s="296"/>
      <c r="I368" s="296"/>
      <c r="J368" s="296"/>
      <c r="K368" s="296"/>
      <c r="L368" s="296"/>
      <c r="M368" s="299"/>
      <c r="N368" s="299"/>
      <c r="O368" s="299"/>
      <c r="P368" s="299"/>
      <c r="Q368" s="299"/>
      <c r="R368" s="299"/>
      <c r="S368" s="299"/>
      <c r="T368" s="299"/>
      <c r="U368" s="299"/>
      <c r="V368" s="299"/>
      <c r="W368" s="299"/>
      <c r="X368" s="299"/>
      <c r="Y368" s="299"/>
      <c r="Z368" s="299"/>
      <c r="AA368" s="299"/>
      <c r="AB368" s="299"/>
      <c r="AC368" s="300"/>
      <c r="AD368" s="300"/>
    </row>
    <row r="369" spans="1:30" ht="12.75" customHeight="1" x14ac:dyDescent="0.2">
      <c r="A369" s="296"/>
      <c r="B369" s="296"/>
      <c r="C369" s="296"/>
      <c r="D369" s="297"/>
      <c r="E369" s="298"/>
      <c r="F369" s="296"/>
      <c r="G369" s="296"/>
      <c r="H369" s="296"/>
      <c r="I369" s="296"/>
      <c r="J369" s="296"/>
      <c r="K369" s="296"/>
      <c r="L369" s="296"/>
      <c r="M369" s="299"/>
      <c r="N369" s="299"/>
      <c r="O369" s="299"/>
      <c r="P369" s="299"/>
      <c r="Q369" s="299"/>
      <c r="R369" s="299"/>
      <c r="S369" s="299"/>
      <c r="T369" s="299"/>
      <c r="U369" s="299"/>
      <c r="V369" s="299"/>
      <c r="W369" s="299"/>
      <c r="X369" s="299"/>
      <c r="Y369" s="299"/>
      <c r="Z369" s="299"/>
      <c r="AA369" s="299"/>
      <c r="AB369" s="299"/>
      <c r="AC369" s="300"/>
      <c r="AD369" s="300"/>
    </row>
    <row r="370" spans="1:30" ht="12.75" customHeight="1" x14ac:dyDescent="0.2">
      <c r="A370" s="296"/>
      <c r="B370" s="296"/>
      <c r="C370" s="296"/>
      <c r="D370" s="297"/>
      <c r="E370" s="298"/>
      <c r="F370" s="296"/>
      <c r="G370" s="296"/>
      <c r="H370" s="296"/>
      <c r="I370" s="296"/>
      <c r="J370" s="296"/>
      <c r="K370" s="296"/>
      <c r="L370" s="296"/>
      <c r="M370" s="299"/>
      <c r="N370" s="299"/>
      <c r="O370" s="299"/>
      <c r="P370" s="299"/>
      <c r="Q370" s="299"/>
      <c r="R370" s="299"/>
      <c r="S370" s="299"/>
      <c r="T370" s="299"/>
      <c r="U370" s="299"/>
      <c r="V370" s="299"/>
      <c r="W370" s="299"/>
      <c r="X370" s="299"/>
      <c r="Y370" s="299"/>
      <c r="Z370" s="299"/>
      <c r="AA370" s="299"/>
      <c r="AB370" s="299"/>
      <c r="AC370" s="300"/>
      <c r="AD370" s="300"/>
    </row>
    <row r="371" spans="1:30" ht="12.75" customHeight="1" x14ac:dyDescent="0.2">
      <c r="A371" s="296"/>
      <c r="B371" s="296"/>
      <c r="C371" s="296"/>
      <c r="D371" s="297"/>
      <c r="E371" s="298"/>
      <c r="F371" s="296"/>
      <c r="G371" s="296"/>
      <c r="H371" s="296"/>
      <c r="I371" s="296"/>
      <c r="J371" s="296"/>
      <c r="K371" s="296"/>
      <c r="L371" s="296"/>
      <c r="M371" s="299"/>
      <c r="N371" s="299"/>
      <c r="O371" s="299"/>
      <c r="P371" s="299"/>
      <c r="Q371" s="299"/>
      <c r="R371" s="299"/>
      <c r="S371" s="299"/>
      <c r="T371" s="299"/>
      <c r="U371" s="299"/>
      <c r="V371" s="299"/>
      <c r="W371" s="299"/>
      <c r="X371" s="299"/>
      <c r="Y371" s="299"/>
      <c r="Z371" s="299"/>
      <c r="AA371" s="299"/>
      <c r="AB371" s="299"/>
      <c r="AC371" s="300"/>
      <c r="AD371" s="300"/>
    </row>
    <row r="372" spans="1:30" ht="12.75" customHeight="1" x14ac:dyDescent="0.2">
      <c r="A372" s="296"/>
      <c r="B372" s="296"/>
      <c r="C372" s="296"/>
      <c r="D372" s="297"/>
      <c r="E372" s="298"/>
      <c r="F372" s="296"/>
      <c r="G372" s="296"/>
      <c r="H372" s="296"/>
      <c r="I372" s="296"/>
      <c r="J372" s="296"/>
      <c r="K372" s="296"/>
      <c r="L372" s="296"/>
      <c r="M372" s="299"/>
      <c r="N372" s="299"/>
      <c r="O372" s="299"/>
      <c r="P372" s="299"/>
      <c r="Q372" s="299"/>
      <c r="R372" s="299"/>
      <c r="S372" s="299"/>
      <c r="T372" s="299"/>
      <c r="U372" s="299"/>
      <c r="V372" s="299"/>
      <c r="W372" s="299"/>
      <c r="X372" s="299"/>
      <c r="Y372" s="299"/>
      <c r="Z372" s="299"/>
      <c r="AA372" s="299"/>
      <c r="AB372" s="299"/>
      <c r="AC372" s="300"/>
      <c r="AD372" s="300"/>
    </row>
    <row r="373" spans="1:30" ht="12.75" customHeight="1" x14ac:dyDescent="0.2">
      <c r="A373" s="296"/>
      <c r="B373" s="296"/>
      <c r="C373" s="296"/>
      <c r="D373" s="297"/>
      <c r="E373" s="298"/>
      <c r="F373" s="296"/>
      <c r="G373" s="296"/>
      <c r="H373" s="296"/>
      <c r="I373" s="296"/>
      <c r="J373" s="296"/>
      <c r="K373" s="296"/>
      <c r="L373" s="296"/>
      <c r="M373" s="299"/>
      <c r="N373" s="299"/>
      <c r="O373" s="299"/>
      <c r="P373" s="299"/>
      <c r="Q373" s="299"/>
      <c r="R373" s="299"/>
      <c r="S373" s="299"/>
      <c r="T373" s="299"/>
      <c r="U373" s="299"/>
      <c r="V373" s="299"/>
      <c r="W373" s="299"/>
      <c r="X373" s="299"/>
      <c r="Y373" s="299"/>
      <c r="Z373" s="299"/>
      <c r="AA373" s="299"/>
      <c r="AB373" s="299"/>
      <c r="AC373" s="300"/>
      <c r="AD373" s="300"/>
    </row>
    <row r="374" spans="1:30" ht="12.75" customHeight="1" x14ac:dyDescent="0.2">
      <c r="A374" s="296"/>
      <c r="B374" s="296"/>
      <c r="C374" s="296"/>
      <c r="D374" s="297"/>
      <c r="E374" s="298"/>
      <c r="F374" s="296"/>
      <c r="G374" s="296"/>
      <c r="H374" s="296"/>
      <c r="I374" s="296"/>
      <c r="J374" s="296"/>
      <c r="K374" s="296"/>
      <c r="L374" s="296"/>
      <c r="M374" s="299"/>
      <c r="N374" s="299"/>
      <c r="O374" s="299"/>
      <c r="P374" s="299"/>
      <c r="Q374" s="299"/>
      <c r="R374" s="299"/>
      <c r="S374" s="299"/>
      <c r="T374" s="299"/>
      <c r="U374" s="299"/>
      <c r="V374" s="299"/>
      <c r="W374" s="299"/>
      <c r="X374" s="299"/>
      <c r="Y374" s="299"/>
      <c r="Z374" s="299"/>
      <c r="AA374" s="299"/>
      <c r="AB374" s="299"/>
      <c r="AC374" s="300"/>
      <c r="AD374" s="300"/>
    </row>
    <row r="375" spans="1:30" ht="12.75" customHeight="1" x14ac:dyDescent="0.2">
      <c r="A375" s="296"/>
      <c r="B375" s="296"/>
      <c r="C375" s="296"/>
      <c r="D375" s="297"/>
      <c r="E375" s="298"/>
      <c r="F375" s="296"/>
      <c r="G375" s="296"/>
      <c r="H375" s="296"/>
      <c r="I375" s="296"/>
      <c r="J375" s="296"/>
      <c r="K375" s="296"/>
      <c r="L375" s="296"/>
      <c r="M375" s="299"/>
      <c r="N375" s="299"/>
      <c r="O375" s="299"/>
      <c r="P375" s="299"/>
      <c r="Q375" s="299"/>
      <c r="R375" s="299"/>
      <c r="S375" s="299"/>
      <c r="T375" s="299"/>
      <c r="U375" s="299"/>
      <c r="V375" s="299"/>
      <c r="W375" s="299"/>
      <c r="X375" s="299"/>
      <c r="Y375" s="299"/>
      <c r="Z375" s="299"/>
      <c r="AA375" s="299"/>
      <c r="AB375" s="299"/>
      <c r="AC375" s="300"/>
      <c r="AD375" s="300"/>
    </row>
    <row r="376" spans="1:30" ht="12.75" customHeight="1" x14ac:dyDescent="0.2">
      <c r="A376" s="296"/>
      <c r="B376" s="296"/>
      <c r="C376" s="296"/>
      <c r="D376" s="297"/>
      <c r="E376" s="298"/>
      <c r="F376" s="296"/>
      <c r="G376" s="296"/>
      <c r="H376" s="296"/>
      <c r="I376" s="296"/>
      <c r="J376" s="296"/>
      <c r="K376" s="296"/>
      <c r="L376" s="296"/>
      <c r="M376" s="299"/>
      <c r="N376" s="299"/>
      <c r="O376" s="299"/>
      <c r="P376" s="299"/>
      <c r="Q376" s="299"/>
      <c r="R376" s="299"/>
      <c r="S376" s="299"/>
      <c r="T376" s="299"/>
      <c r="U376" s="299"/>
      <c r="V376" s="299"/>
      <c r="W376" s="299"/>
      <c r="X376" s="299"/>
      <c r="Y376" s="299"/>
      <c r="Z376" s="299"/>
      <c r="AA376" s="299"/>
      <c r="AB376" s="299"/>
      <c r="AC376" s="300"/>
      <c r="AD376" s="300"/>
    </row>
    <row r="377" spans="1:30" ht="12.75" customHeight="1" x14ac:dyDescent="0.2">
      <c r="A377" s="296"/>
      <c r="B377" s="296"/>
      <c r="C377" s="296"/>
      <c r="D377" s="297"/>
      <c r="E377" s="298"/>
      <c r="F377" s="296"/>
      <c r="G377" s="296"/>
      <c r="H377" s="296"/>
      <c r="I377" s="296"/>
      <c r="J377" s="296"/>
      <c r="K377" s="296"/>
      <c r="L377" s="296"/>
      <c r="M377" s="299"/>
      <c r="N377" s="299"/>
      <c r="O377" s="299"/>
      <c r="P377" s="299"/>
      <c r="Q377" s="299"/>
      <c r="R377" s="299"/>
      <c r="S377" s="299"/>
      <c r="T377" s="299"/>
      <c r="U377" s="299"/>
      <c r="V377" s="299"/>
      <c r="W377" s="299"/>
      <c r="X377" s="299"/>
      <c r="Y377" s="299"/>
      <c r="Z377" s="299"/>
      <c r="AA377" s="299"/>
      <c r="AB377" s="299"/>
      <c r="AC377" s="300"/>
      <c r="AD377" s="300"/>
    </row>
    <row r="378" spans="1:30" ht="12.75" customHeight="1" x14ac:dyDescent="0.2">
      <c r="A378" s="296"/>
      <c r="B378" s="296"/>
      <c r="C378" s="296"/>
      <c r="D378" s="297"/>
      <c r="E378" s="298"/>
      <c r="F378" s="296"/>
      <c r="G378" s="296"/>
      <c r="H378" s="296"/>
      <c r="I378" s="296"/>
      <c r="J378" s="296"/>
      <c r="K378" s="296"/>
      <c r="L378" s="296"/>
      <c r="M378" s="299"/>
      <c r="N378" s="299"/>
      <c r="O378" s="299"/>
      <c r="P378" s="299"/>
      <c r="Q378" s="299"/>
      <c r="R378" s="299"/>
      <c r="S378" s="299"/>
      <c r="T378" s="299"/>
      <c r="U378" s="299"/>
      <c r="V378" s="299"/>
      <c r="W378" s="299"/>
      <c r="X378" s="299"/>
      <c r="Y378" s="299"/>
      <c r="Z378" s="299"/>
      <c r="AA378" s="299"/>
      <c r="AB378" s="299"/>
      <c r="AC378" s="300"/>
      <c r="AD378" s="300"/>
    </row>
    <row r="379" spans="1:30" ht="12.75" customHeight="1" x14ac:dyDescent="0.2">
      <c r="A379" s="296"/>
      <c r="B379" s="296"/>
      <c r="C379" s="296"/>
      <c r="D379" s="297"/>
      <c r="E379" s="298"/>
      <c r="F379" s="296"/>
      <c r="G379" s="296"/>
      <c r="H379" s="296"/>
      <c r="I379" s="296"/>
      <c r="J379" s="296"/>
      <c r="K379" s="296"/>
      <c r="L379" s="296"/>
      <c r="M379" s="299"/>
      <c r="N379" s="299"/>
      <c r="O379" s="299"/>
      <c r="P379" s="299"/>
      <c r="Q379" s="299"/>
      <c r="R379" s="299"/>
      <c r="S379" s="299"/>
      <c r="T379" s="299"/>
      <c r="U379" s="299"/>
      <c r="V379" s="299"/>
      <c r="W379" s="299"/>
      <c r="X379" s="299"/>
      <c r="Y379" s="299"/>
      <c r="Z379" s="299"/>
      <c r="AA379" s="299"/>
      <c r="AB379" s="299"/>
      <c r="AC379" s="300"/>
      <c r="AD379" s="300"/>
    </row>
    <row r="380" spans="1:30" ht="12.75" customHeight="1" x14ac:dyDescent="0.2">
      <c r="A380" s="296"/>
      <c r="B380" s="296"/>
      <c r="C380" s="296"/>
      <c r="D380" s="297"/>
      <c r="E380" s="298"/>
      <c r="F380" s="296"/>
      <c r="G380" s="296"/>
      <c r="H380" s="296"/>
      <c r="I380" s="296"/>
      <c r="J380" s="296"/>
      <c r="K380" s="296"/>
      <c r="L380" s="296"/>
      <c r="M380" s="299"/>
      <c r="N380" s="299"/>
      <c r="O380" s="299"/>
      <c r="P380" s="299"/>
      <c r="Q380" s="299"/>
      <c r="R380" s="299"/>
      <c r="S380" s="299"/>
      <c r="T380" s="299"/>
      <c r="U380" s="299"/>
      <c r="V380" s="299"/>
      <c r="W380" s="299"/>
      <c r="X380" s="299"/>
      <c r="Y380" s="299"/>
      <c r="Z380" s="299"/>
      <c r="AA380" s="299"/>
      <c r="AB380" s="299"/>
      <c r="AC380" s="300"/>
      <c r="AD380" s="300"/>
    </row>
    <row r="381" spans="1:30" ht="12.75" customHeight="1" x14ac:dyDescent="0.2">
      <c r="A381" s="296"/>
      <c r="B381" s="296"/>
      <c r="C381" s="296"/>
      <c r="D381" s="297"/>
      <c r="E381" s="298"/>
      <c r="F381" s="296"/>
      <c r="G381" s="296"/>
      <c r="H381" s="296"/>
      <c r="I381" s="296"/>
      <c r="J381" s="296"/>
      <c r="K381" s="296"/>
      <c r="L381" s="296"/>
      <c r="M381" s="299"/>
      <c r="N381" s="299"/>
      <c r="O381" s="299"/>
      <c r="P381" s="299"/>
      <c r="Q381" s="299"/>
      <c r="R381" s="299"/>
      <c r="S381" s="299"/>
      <c r="T381" s="299"/>
      <c r="U381" s="299"/>
      <c r="V381" s="299"/>
      <c r="W381" s="299"/>
      <c r="X381" s="299"/>
      <c r="Y381" s="299"/>
      <c r="Z381" s="299"/>
      <c r="AA381" s="299"/>
      <c r="AB381" s="299"/>
      <c r="AC381" s="300"/>
      <c r="AD381" s="300"/>
    </row>
    <row r="382" spans="1:30" ht="12.75" customHeight="1" x14ac:dyDescent="0.2">
      <c r="A382" s="296"/>
      <c r="B382" s="296"/>
      <c r="C382" s="296"/>
      <c r="D382" s="297"/>
      <c r="E382" s="298"/>
      <c r="F382" s="296"/>
      <c r="G382" s="296"/>
      <c r="H382" s="296"/>
      <c r="I382" s="296"/>
      <c r="J382" s="296"/>
      <c r="K382" s="296"/>
      <c r="L382" s="296"/>
      <c r="M382" s="299"/>
      <c r="N382" s="299"/>
      <c r="O382" s="299"/>
      <c r="P382" s="299"/>
      <c r="Q382" s="299"/>
      <c r="R382" s="299"/>
      <c r="S382" s="299"/>
      <c r="T382" s="299"/>
      <c r="U382" s="299"/>
      <c r="V382" s="299"/>
      <c r="W382" s="299"/>
      <c r="X382" s="299"/>
      <c r="Y382" s="299"/>
      <c r="Z382" s="299"/>
      <c r="AA382" s="299"/>
      <c r="AB382" s="299"/>
      <c r="AC382" s="300"/>
      <c r="AD382" s="300"/>
    </row>
    <row r="383" spans="1:30" ht="12.75" customHeight="1" x14ac:dyDescent="0.2">
      <c r="A383" s="296"/>
      <c r="B383" s="296"/>
      <c r="C383" s="296"/>
      <c r="D383" s="297"/>
      <c r="E383" s="298"/>
      <c r="F383" s="296"/>
      <c r="G383" s="296"/>
      <c r="H383" s="296"/>
      <c r="I383" s="296"/>
      <c r="J383" s="296"/>
      <c r="K383" s="296"/>
      <c r="L383" s="296"/>
      <c r="M383" s="299"/>
      <c r="N383" s="299"/>
      <c r="O383" s="299"/>
      <c r="P383" s="299"/>
      <c r="Q383" s="299"/>
      <c r="R383" s="299"/>
      <c r="S383" s="299"/>
      <c r="T383" s="299"/>
      <c r="U383" s="299"/>
      <c r="V383" s="299"/>
      <c r="W383" s="299"/>
      <c r="X383" s="299"/>
      <c r="Y383" s="299"/>
      <c r="Z383" s="299"/>
      <c r="AA383" s="299"/>
      <c r="AB383" s="299"/>
      <c r="AC383" s="300"/>
      <c r="AD383" s="300"/>
    </row>
    <row r="384" spans="1:30" ht="12.75" customHeight="1" x14ac:dyDescent="0.2">
      <c r="A384" s="296"/>
      <c r="B384" s="296"/>
      <c r="C384" s="296"/>
      <c r="D384" s="297"/>
      <c r="E384" s="298"/>
      <c r="F384" s="296"/>
      <c r="G384" s="296"/>
      <c r="H384" s="296"/>
      <c r="I384" s="296"/>
      <c r="J384" s="296"/>
      <c r="K384" s="296"/>
      <c r="L384" s="296"/>
      <c r="M384" s="299"/>
      <c r="N384" s="299"/>
      <c r="O384" s="299"/>
      <c r="P384" s="299"/>
      <c r="Q384" s="299"/>
      <c r="R384" s="299"/>
      <c r="S384" s="299"/>
      <c r="T384" s="299"/>
      <c r="U384" s="299"/>
      <c r="V384" s="299"/>
      <c r="W384" s="299"/>
      <c r="X384" s="299"/>
      <c r="Y384" s="299"/>
      <c r="Z384" s="299"/>
      <c r="AA384" s="299"/>
      <c r="AB384" s="299"/>
      <c r="AC384" s="300"/>
      <c r="AD384" s="300"/>
    </row>
    <row r="385" spans="1:30" ht="12.75" customHeight="1" x14ac:dyDescent="0.2">
      <c r="A385" s="296"/>
      <c r="B385" s="296"/>
      <c r="C385" s="296"/>
      <c r="D385" s="297"/>
      <c r="E385" s="298"/>
      <c r="F385" s="296"/>
      <c r="G385" s="296"/>
      <c r="H385" s="296"/>
      <c r="I385" s="296"/>
      <c r="J385" s="296"/>
      <c r="K385" s="296"/>
      <c r="L385" s="296"/>
      <c r="M385" s="299"/>
      <c r="N385" s="299"/>
      <c r="O385" s="299"/>
      <c r="P385" s="299"/>
      <c r="Q385" s="299"/>
      <c r="R385" s="299"/>
      <c r="S385" s="299"/>
      <c r="T385" s="299"/>
      <c r="U385" s="299"/>
      <c r="V385" s="299"/>
      <c r="W385" s="299"/>
      <c r="X385" s="299"/>
      <c r="Y385" s="299"/>
      <c r="Z385" s="299"/>
      <c r="AA385" s="299"/>
      <c r="AB385" s="299"/>
      <c r="AC385" s="300"/>
      <c r="AD385" s="300"/>
    </row>
    <row r="386" spans="1:30" ht="12.75" customHeight="1" x14ac:dyDescent="0.2">
      <c r="A386" s="296"/>
      <c r="B386" s="296"/>
      <c r="C386" s="296"/>
      <c r="D386" s="297"/>
      <c r="E386" s="298"/>
      <c r="F386" s="296"/>
      <c r="G386" s="296"/>
      <c r="H386" s="296"/>
      <c r="I386" s="296"/>
      <c r="J386" s="296"/>
      <c r="K386" s="296"/>
      <c r="L386" s="296"/>
      <c r="M386" s="299"/>
      <c r="N386" s="299"/>
      <c r="O386" s="299"/>
      <c r="P386" s="299"/>
      <c r="Q386" s="299"/>
      <c r="R386" s="299"/>
      <c r="S386" s="299"/>
      <c r="T386" s="299"/>
      <c r="U386" s="299"/>
      <c r="V386" s="299"/>
      <c r="W386" s="299"/>
      <c r="X386" s="299"/>
      <c r="Y386" s="299"/>
      <c r="Z386" s="299"/>
      <c r="AA386" s="299"/>
      <c r="AB386" s="299"/>
      <c r="AC386" s="300"/>
      <c r="AD386" s="300"/>
    </row>
    <row r="387" spans="1:30" ht="12.75" customHeight="1" x14ac:dyDescent="0.2">
      <c r="A387" s="296"/>
      <c r="B387" s="296"/>
      <c r="C387" s="296"/>
      <c r="D387" s="297"/>
      <c r="E387" s="298"/>
      <c r="F387" s="296"/>
      <c r="G387" s="296"/>
      <c r="H387" s="296"/>
      <c r="I387" s="296"/>
      <c r="J387" s="296"/>
      <c r="K387" s="296"/>
      <c r="L387" s="296"/>
      <c r="M387" s="299"/>
      <c r="N387" s="299"/>
      <c r="O387" s="299"/>
      <c r="P387" s="299"/>
      <c r="Q387" s="299"/>
      <c r="R387" s="299"/>
      <c r="S387" s="299"/>
      <c r="T387" s="299"/>
      <c r="U387" s="299"/>
      <c r="V387" s="299"/>
      <c r="W387" s="299"/>
      <c r="X387" s="299"/>
      <c r="Y387" s="299"/>
      <c r="Z387" s="299"/>
      <c r="AA387" s="299"/>
      <c r="AB387" s="299"/>
      <c r="AC387" s="300"/>
      <c r="AD387" s="300"/>
    </row>
    <row r="388" spans="1:30" ht="12.75" customHeight="1" x14ac:dyDescent="0.2">
      <c r="A388" s="296"/>
      <c r="B388" s="296"/>
      <c r="C388" s="296"/>
      <c r="D388" s="297"/>
      <c r="E388" s="298"/>
      <c r="F388" s="296"/>
      <c r="G388" s="296"/>
      <c r="H388" s="296"/>
      <c r="I388" s="296"/>
      <c r="J388" s="296"/>
      <c r="K388" s="296"/>
      <c r="L388" s="296"/>
      <c r="M388" s="299"/>
      <c r="N388" s="299"/>
      <c r="O388" s="299"/>
      <c r="P388" s="299"/>
      <c r="Q388" s="299"/>
      <c r="R388" s="299"/>
      <c r="S388" s="299"/>
      <c r="T388" s="299"/>
      <c r="U388" s="299"/>
      <c r="V388" s="299"/>
      <c r="W388" s="299"/>
      <c r="X388" s="299"/>
      <c r="Y388" s="299"/>
      <c r="Z388" s="299"/>
      <c r="AA388" s="299"/>
      <c r="AB388" s="299"/>
      <c r="AC388" s="300"/>
      <c r="AD388" s="300"/>
    </row>
    <row r="389" spans="1:30" ht="12.75" customHeight="1" x14ac:dyDescent="0.2">
      <c r="A389" s="296"/>
      <c r="B389" s="296"/>
      <c r="C389" s="296"/>
      <c r="D389" s="297"/>
      <c r="E389" s="298"/>
      <c r="F389" s="296"/>
      <c r="G389" s="296"/>
      <c r="H389" s="296"/>
      <c r="I389" s="296"/>
      <c r="J389" s="296"/>
      <c r="K389" s="296"/>
      <c r="L389" s="296"/>
      <c r="M389" s="299"/>
      <c r="N389" s="299"/>
      <c r="O389" s="299"/>
      <c r="P389" s="299"/>
      <c r="Q389" s="299"/>
      <c r="R389" s="299"/>
      <c r="S389" s="299"/>
      <c r="T389" s="299"/>
      <c r="U389" s="299"/>
      <c r="V389" s="299"/>
      <c r="W389" s="299"/>
      <c r="X389" s="299"/>
      <c r="Y389" s="299"/>
      <c r="Z389" s="299"/>
      <c r="AA389" s="299"/>
      <c r="AB389" s="299"/>
      <c r="AC389" s="300"/>
      <c r="AD389" s="300"/>
    </row>
    <row r="390" spans="1:30" ht="12.75" customHeight="1" x14ac:dyDescent="0.2">
      <c r="A390" s="296"/>
      <c r="B390" s="296"/>
      <c r="C390" s="296"/>
      <c r="D390" s="297"/>
      <c r="E390" s="298"/>
      <c r="F390" s="296"/>
      <c r="G390" s="296"/>
      <c r="H390" s="296"/>
      <c r="I390" s="296"/>
      <c r="J390" s="296"/>
      <c r="K390" s="296"/>
      <c r="L390" s="296"/>
      <c r="M390" s="299"/>
      <c r="N390" s="299"/>
      <c r="O390" s="299"/>
      <c r="P390" s="299"/>
      <c r="Q390" s="299"/>
      <c r="R390" s="299"/>
      <c r="S390" s="299"/>
      <c r="T390" s="299"/>
      <c r="U390" s="299"/>
      <c r="V390" s="299"/>
      <c r="W390" s="299"/>
      <c r="X390" s="299"/>
      <c r="Y390" s="299"/>
      <c r="Z390" s="299"/>
      <c r="AA390" s="299"/>
      <c r="AB390" s="299"/>
      <c r="AC390" s="300"/>
      <c r="AD390" s="300"/>
    </row>
    <row r="391" spans="1:30" ht="12.75" customHeight="1" x14ac:dyDescent="0.2">
      <c r="A391" s="296"/>
      <c r="B391" s="296"/>
      <c r="C391" s="296"/>
      <c r="D391" s="297"/>
      <c r="E391" s="298"/>
      <c r="F391" s="296"/>
      <c r="G391" s="296"/>
      <c r="H391" s="296"/>
      <c r="I391" s="296"/>
      <c r="J391" s="296"/>
      <c r="K391" s="296"/>
      <c r="L391" s="296"/>
      <c r="M391" s="299"/>
      <c r="N391" s="299"/>
      <c r="O391" s="299"/>
      <c r="P391" s="299"/>
      <c r="Q391" s="299"/>
      <c r="R391" s="299"/>
      <c r="S391" s="299"/>
      <c r="T391" s="299"/>
      <c r="U391" s="299"/>
      <c r="V391" s="299"/>
      <c r="W391" s="299"/>
      <c r="X391" s="299"/>
      <c r="Y391" s="299"/>
      <c r="Z391" s="299"/>
      <c r="AA391" s="299"/>
      <c r="AB391" s="299"/>
      <c r="AC391" s="300"/>
      <c r="AD391" s="300"/>
    </row>
    <row r="392" spans="1:30" ht="12.75" customHeight="1" x14ac:dyDescent="0.2">
      <c r="A392" s="296"/>
      <c r="B392" s="296"/>
      <c r="C392" s="296"/>
      <c r="D392" s="297"/>
      <c r="E392" s="298"/>
      <c r="F392" s="296"/>
      <c r="G392" s="296"/>
      <c r="H392" s="296"/>
      <c r="I392" s="296"/>
      <c r="J392" s="296"/>
      <c r="K392" s="296"/>
      <c r="L392" s="296"/>
      <c r="M392" s="299"/>
      <c r="N392" s="299"/>
      <c r="O392" s="299"/>
      <c r="P392" s="299"/>
      <c r="Q392" s="299"/>
      <c r="R392" s="299"/>
      <c r="S392" s="299"/>
      <c r="T392" s="299"/>
      <c r="U392" s="299"/>
      <c r="V392" s="299"/>
      <c r="W392" s="299"/>
      <c r="X392" s="299"/>
      <c r="Y392" s="299"/>
      <c r="Z392" s="299"/>
      <c r="AA392" s="299"/>
      <c r="AB392" s="299"/>
      <c r="AC392" s="300"/>
      <c r="AD392" s="300"/>
    </row>
    <row r="393" spans="1:30" ht="12.75" customHeight="1" x14ac:dyDescent="0.2">
      <c r="A393" s="296"/>
      <c r="B393" s="296"/>
      <c r="C393" s="296"/>
      <c r="D393" s="297"/>
      <c r="E393" s="298"/>
      <c r="F393" s="296"/>
      <c r="G393" s="296"/>
      <c r="H393" s="296"/>
      <c r="I393" s="296"/>
      <c r="J393" s="296"/>
      <c r="K393" s="296"/>
      <c r="L393" s="296"/>
      <c r="M393" s="299"/>
      <c r="N393" s="299"/>
      <c r="O393" s="299"/>
      <c r="P393" s="299"/>
      <c r="Q393" s="299"/>
      <c r="R393" s="299"/>
      <c r="S393" s="299"/>
      <c r="T393" s="299"/>
      <c r="U393" s="299"/>
      <c r="V393" s="299"/>
      <c r="W393" s="299"/>
      <c r="X393" s="299"/>
      <c r="Y393" s="299"/>
      <c r="Z393" s="299"/>
      <c r="AA393" s="299"/>
      <c r="AB393" s="299"/>
      <c r="AC393" s="300"/>
      <c r="AD393" s="300"/>
    </row>
    <row r="394" spans="1:30" ht="12.75" customHeight="1" x14ac:dyDescent="0.2">
      <c r="A394" s="296"/>
      <c r="B394" s="296"/>
      <c r="C394" s="296"/>
      <c r="D394" s="297"/>
      <c r="E394" s="298"/>
      <c r="F394" s="296"/>
      <c r="G394" s="296"/>
      <c r="H394" s="296"/>
      <c r="I394" s="296"/>
      <c r="J394" s="296"/>
      <c r="K394" s="296"/>
      <c r="L394" s="296"/>
      <c r="M394" s="299"/>
      <c r="N394" s="299"/>
      <c r="O394" s="299"/>
      <c r="P394" s="299"/>
      <c r="Q394" s="299"/>
      <c r="R394" s="299"/>
      <c r="S394" s="299"/>
      <c r="T394" s="299"/>
      <c r="U394" s="299"/>
      <c r="V394" s="299"/>
      <c r="W394" s="299"/>
      <c r="X394" s="299"/>
      <c r="Y394" s="299"/>
      <c r="Z394" s="299"/>
      <c r="AA394" s="299"/>
      <c r="AB394" s="299"/>
      <c r="AC394" s="300"/>
      <c r="AD394" s="300"/>
    </row>
    <row r="395" spans="1:30" ht="12.75" customHeight="1" x14ac:dyDescent="0.2">
      <c r="A395" s="296"/>
      <c r="B395" s="296"/>
      <c r="C395" s="296"/>
      <c r="D395" s="297"/>
      <c r="E395" s="298"/>
      <c r="F395" s="296"/>
      <c r="G395" s="296"/>
      <c r="H395" s="296"/>
      <c r="I395" s="296"/>
      <c r="J395" s="296"/>
      <c r="K395" s="296"/>
      <c r="L395" s="296"/>
      <c r="M395" s="299"/>
      <c r="N395" s="299"/>
      <c r="O395" s="299"/>
      <c r="P395" s="299"/>
      <c r="Q395" s="299"/>
      <c r="R395" s="299"/>
      <c r="S395" s="299"/>
      <c r="T395" s="299"/>
      <c r="U395" s="299"/>
      <c r="V395" s="299"/>
      <c r="W395" s="299"/>
      <c r="X395" s="299"/>
      <c r="Y395" s="299"/>
      <c r="Z395" s="299"/>
      <c r="AA395" s="299"/>
      <c r="AB395" s="299"/>
      <c r="AC395" s="300"/>
      <c r="AD395" s="300"/>
    </row>
    <row r="396" spans="1:30" ht="12.75" customHeight="1" x14ac:dyDescent="0.2">
      <c r="A396" s="296"/>
      <c r="B396" s="296"/>
      <c r="C396" s="296"/>
      <c r="D396" s="297"/>
      <c r="E396" s="298"/>
      <c r="F396" s="296"/>
      <c r="G396" s="296"/>
      <c r="H396" s="296"/>
      <c r="I396" s="296"/>
      <c r="J396" s="296"/>
      <c r="K396" s="296"/>
      <c r="L396" s="296"/>
      <c r="M396" s="299"/>
      <c r="N396" s="299"/>
      <c r="O396" s="299"/>
      <c r="P396" s="299"/>
      <c r="Q396" s="299"/>
      <c r="R396" s="299"/>
      <c r="S396" s="299"/>
      <c r="T396" s="299"/>
      <c r="U396" s="299"/>
      <c r="V396" s="299"/>
      <c r="W396" s="299"/>
      <c r="X396" s="299"/>
      <c r="Y396" s="299"/>
      <c r="Z396" s="299"/>
      <c r="AA396" s="299"/>
      <c r="AB396" s="299"/>
      <c r="AC396" s="300"/>
      <c r="AD396" s="300"/>
    </row>
    <row r="397" spans="1:30" ht="12.75" customHeight="1" x14ac:dyDescent="0.2">
      <c r="A397" s="296"/>
      <c r="B397" s="296"/>
      <c r="C397" s="296"/>
      <c r="D397" s="297"/>
      <c r="E397" s="298"/>
      <c r="F397" s="296"/>
      <c r="G397" s="296"/>
      <c r="H397" s="296"/>
      <c r="I397" s="296"/>
      <c r="J397" s="296"/>
      <c r="K397" s="296"/>
      <c r="L397" s="296"/>
      <c r="M397" s="299"/>
      <c r="N397" s="299"/>
      <c r="O397" s="299"/>
      <c r="P397" s="299"/>
      <c r="Q397" s="299"/>
      <c r="R397" s="299"/>
      <c r="S397" s="299"/>
      <c r="T397" s="299"/>
      <c r="U397" s="299"/>
      <c r="V397" s="299"/>
      <c r="W397" s="299"/>
      <c r="X397" s="299"/>
      <c r="Y397" s="299"/>
      <c r="Z397" s="299"/>
      <c r="AA397" s="299"/>
      <c r="AB397" s="299"/>
      <c r="AC397" s="300"/>
      <c r="AD397" s="300"/>
    </row>
    <row r="398" spans="1:30" ht="12.75" customHeight="1" x14ac:dyDescent="0.2">
      <c r="A398" s="296"/>
      <c r="B398" s="296"/>
      <c r="C398" s="296"/>
      <c r="D398" s="297"/>
      <c r="E398" s="298"/>
      <c r="F398" s="296"/>
      <c r="G398" s="296"/>
      <c r="H398" s="296"/>
      <c r="I398" s="296"/>
      <c r="J398" s="296"/>
      <c r="K398" s="296"/>
      <c r="L398" s="296"/>
      <c r="M398" s="299"/>
      <c r="N398" s="299"/>
      <c r="O398" s="299"/>
      <c r="P398" s="299"/>
      <c r="Q398" s="299"/>
      <c r="R398" s="299"/>
      <c r="S398" s="299"/>
      <c r="T398" s="299"/>
      <c r="U398" s="299"/>
      <c r="V398" s="299"/>
      <c r="W398" s="299"/>
      <c r="X398" s="299"/>
      <c r="Y398" s="299"/>
      <c r="Z398" s="299"/>
      <c r="AA398" s="299"/>
      <c r="AB398" s="299"/>
      <c r="AC398" s="300"/>
      <c r="AD398" s="300"/>
    </row>
    <row r="399" spans="1:30" ht="12.75" customHeight="1" x14ac:dyDescent="0.2">
      <c r="A399" s="296"/>
      <c r="B399" s="296"/>
      <c r="C399" s="296"/>
      <c r="D399" s="297"/>
      <c r="E399" s="298"/>
      <c r="F399" s="296"/>
      <c r="G399" s="296"/>
      <c r="H399" s="296"/>
      <c r="I399" s="296"/>
      <c r="J399" s="296"/>
      <c r="K399" s="296"/>
      <c r="L399" s="296"/>
      <c r="M399" s="299"/>
      <c r="N399" s="299"/>
      <c r="O399" s="299"/>
      <c r="P399" s="299"/>
      <c r="Q399" s="299"/>
      <c r="R399" s="299"/>
      <c r="S399" s="299"/>
      <c r="T399" s="299"/>
      <c r="U399" s="299"/>
      <c r="V399" s="299"/>
      <c r="W399" s="299"/>
      <c r="X399" s="299"/>
      <c r="Y399" s="299"/>
      <c r="Z399" s="299"/>
      <c r="AA399" s="299"/>
      <c r="AB399" s="299"/>
      <c r="AC399" s="300"/>
      <c r="AD399" s="300"/>
    </row>
    <row r="400" spans="1:30" ht="12.75" customHeight="1" x14ac:dyDescent="0.2">
      <c r="A400" s="296"/>
      <c r="B400" s="296"/>
      <c r="C400" s="296"/>
      <c r="D400" s="297"/>
      <c r="E400" s="298"/>
      <c r="F400" s="296"/>
      <c r="G400" s="296"/>
      <c r="H400" s="296"/>
      <c r="I400" s="296"/>
      <c r="J400" s="296"/>
      <c r="K400" s="296"/>
      <c r="L400" s="296"/>
      <c r="M400" s="299"/>
      <c r="N400" s="299"/>
      <c r="O400" s="299"/>
      <c r="P400" s="299"/>
      <c r="Q400" s="299"/>
      <c r="R400" s="299"/>
      <c r="S400" s="299"/>
      <c r="T400" s="299"/>
      <c r="U400" s="299"/>
      <c r="V400" s="299"/>
      <c r="W400" s="299"/>
      <c r="X400" s="299"/>
      <c r="Y400" s="299"/>
      <c r="Z400" s="299"/>
      <c r="AA400" s="299"/>
      <c r="AB400" s="299"/>
      <c r="AC400" s="300"/>
      <c r="AD400" s="300"/>
    </row>
    <row r="401" spans="1:30" ht="12.75" customHeight="1" x14ac:dyDescent="0.2">
      <c r="A401" s="296"/>
      <c r="B401" s="296"/>
      <c r="C401" s="296"/>
      <c r="D401" s="297"/>
      <c r="E401" s="298"/>
      <c r="F401" s="296"/>
      <c r="G401" s="296"/>
      <c r="H401" s="296"/>
      <c r="I401" s="296"/>
      <c r="J401" s="296"/>
      <c r="K401" s="296"/>
      <c r="L401" s="296"/>
      <c r="M401" s="299"/>
      <c r="N401" s="299"/>
      <c r="O401" s="299"/>
      <c r="P401" s="299"/>
      <c r="Q401" s="299"/>
      <c r="R401" s="299"/>
      <c r="S401" s="299"/>
      <c r="T401" s="299"/>
      <c r="U401" s="299"/>
      <c r="V401" s="299"/>
      <c r="W401" s="299"/>
      <c r="X401" s="299"/>
      <c r="Y401" s="299"/>
      <c r="Z401" s="299"/>
      <c r="AA401" s="299"/>
      <c r="AB401" s="299"/>
      <c r="AC401" s="300"/>
      <c r="AD401" s="300"/>
    </row>
    <row r="402" spans="1:30" ht="12.75" customHeight="1" x14ac:dyDescent="0.2">
      <c r="A402" s="296"/>
      <c r="B402" s="296"/>
      <c r="C402" s="296"/>
      <c r="D402" s="297"/>
      <c r="E402" s="298"/>
      <c r="F402" s="296"/>
      <c r="G402" s="296"/>
      <c r="H402" s="296"/>
      <c r="I402" s="296"/>
      <c r="J402" s="296"/>
      <c r="K402" s="296"/>
      <c r="L402" s="296"/>
      <c r="M402" s="299"/>
      <c r="N402" s="299"/>
      <c r="O402" s="299"/>
      <c r="P402" s="299"/>
      <c r="Q402" s="299"/>
      <c r="R402" s="299"/>
      <c r="S402" s="299"/>
      <c r="T402" s="299"/>
      <c r="U402" s="299"/>
      <c r="V402" s="299"/>
      <c r="W402" s="299"/>
      <c r="X402" s="299"/>
      <c r="Y402" s="299"/>
      <c r="Z402" s="299"/>
      <c r="AA402" s="299"/>
      <c r="AB402" s="299"/>
      <c r="AC402" s="300"/>
      <c r="AD402" s="300"/>
    </row>
    <row r="403" spans="1:30" ht="12.75" customHeight="1" x14ac:dyDescent="0.2">
      <c r="A403" s="296"/>
      <c r="B403" s="296"/>
      <c r="C403" s="296"/>
      <c r="D403" s="297"/>
      <c r="E403" s="298"/>
      <c r="F403" s="296"/>
      <c r="G403" s="296"/>
      <c r="H403" s="296"/>
      <c r="I403" s="296"/>
      <c r="J403" s="296"/>
      <c r="K403" s="296"/>
      <c r="L403" s="296"/>
      <c r="M403" s="299"/>
      <c r="N403" s="299"/>
      <c r="O403" s="299"/>
      <c r="P403" s="299"/>
      <c r="Q403" s="299"/>
      <c r="R403" s="299"/>
      <c r="S403" s="299"/>
      <c r="T403" s="299"/>
      <c r="U403" s="299"/>
      <c r="V403" s="299"/>
      <c r="W403" s="299"/>
      <c r="X403" s="299"/>
      <c r="Y403" s="299"/>
      <c r="Z403" s="299"/>
      <c r="AA403" s="299"/>
      <c r="AB403" s="299"/>
      <c r="AC403" s="300"/>
      <c r="AD403" s="300"/>
    </row>
    <row r="404" spans="1:30" ht="12.75" customHeight="1" x14ac:dyDescent="0.2">
      <c r="A404" s="296"/>
      <c r="B404" s="296"/>
      <c r="C404" s="296"/>
      <c r="D404" s="297"/>
      <c r="E404" s="298"/>
      <c r="F404" s="296"/>
      <c r="G404" s="296"/>
      <c r="H404" s="296"/>
      <c r="I404" s="296"/>
      <c r="J404" s="296"/>
      <c r="K404" s="296"/>
      <c r="L404" s="296"/>
      <c r="M404" s="299"/>
      <c r="N404" s="299"/>
      <c r="O404" s="299"/>
      <c r="P404" s="299"/>
      <c r="Q404" s="299"/>
      <c r="R404" s="299"/>
      <c r="S404" s="299"/>
      <c r="T404" s="299"/>
      <c r="U404" s="299"/>
      <c r="V404" s="299"/>
      <c r="W404" s="299"/>
      <c r="X404" s="299"/>
      <c r="Y404" s="299"/>
      <c r="Z404" s="299"/>
      <c r="AA404" s="299"/>
      <c r="AB404" s="299"/>
      <c r="AC404" s="300"/>
      <c r="AD404" s="300"/>
    </row>
    <row r="405" spans="1:30" ht="12.75" customHeight="1" x14ac:dyDescent="0.2">
      <c r="A405" s="296"/>
      <c r="B405" s="296"/>
      <c r="C405" s="296"/>
      <c r="D405" s="297"/>
      <c r="E405" s="298"/>
      <c r="F405" s="296"/>
      <c r="G405" s="296"/>
      <c r="H405" s="296"/>
      <c r="I405" s="296"/>
      <c r="J405" s="296"/>
      <c r="K405" s="296"/>
      <c r="L405" s="296"/>
      <c r="M405" s="299"/>
      <c r="N405" s="299"/>
      <c r="O405" s="299"/>
      <c r="P405" s="299"/>
      <c r="Q405" s="299"/>
      <c r="R405" s="299"/>
      <c r="S405" s="299"/>
      <c r="T405" s="299"/>
      <c r="U405" s="299"/>
      <c r="V405" s="299"/>
      <c r="W405" s="299"/>
      <c r="X405" s="299"/>
      <c r="Y405" s="299"/>
      <c r="Z405" s="299"/>
      <c r="AA405" s="299"/>
      <c r="AB405" s="299"/>
      <c r="AC405" s="300"/>
      <c r="AD405" s="300"/>
    </row>
    <row r="406" spans="1:30" ht="12.75" customHeight="1" x14ac:dyDescent="0.2">
      <c r="A406" s="296"/>
      <c r="B406" s="296"/>
      <c r="C406" s="296"/>
      <c r="D406" s="297"/>
      <c r="E406" s="298"/>
      <c r="F406" s="296"/>
      <c r="G406" s="296"/>
      <c r="H406" s="296"/>
      <c r="I406" s="296"/>
      <c r="J406" s="296"/>
      <c r="K406" s="296"/>
      <c r="L406" s="296"/>
      <c r="M406" s="299"/>
      <c r="N406" s="299"/>
      <c r="O406" s="299"/>
      <c r="P406" s="299"/>
      <c r="Q406" s="299"/>
      <c r="R406" s="299"/>
      <c r="S406" s="299"/>
      <c r="T406" s="299"/>
      <c r="U406" s="299"/>
      <c r="V406" s="299"/>
      <c r="W406" s="299"/>
      <c r="X406" s="299"/>
      <c r="Y406" s="299"/>
      <c r="Z406" s="299"/>
      <c r="AA406" s="299"/>
      <c r="AB406" s="299"/>
      <c r="AC406" s="300"/>
      <c r="AD406" s="300"/>
    </row>
    <row r="407" spans="1:30" ht="12.75" customHeight="1" x14ac:dyDescent="0.2">
      <c r="A407" s="296"/>
      <c r="B407" s="296"/>
      <c r="C407" s="296"/>
      <c r="D407" s="297"/>
      <c r="E407" s="298"/>
      <c r="F407" s="296"/>
      <c r="G407" s="296"/>
      <c r="H407" s="296"/>
      <c r="I407" s="296"/>
      <c r="J407" s="296"/>
      <c r="K407" s="296"/>
      <c r="L407" s="296"/>
      <c r="M407" s="299"/>
      <c r="N407" s="299"/>
      <c r="O407" s="299"/>
      <c r="P407" s="299"/>
      <c r="Q407" s="299"/>
      <c r="R407" s="299"/>
      <c r="S407" s="299"/>
      <c r="T407" s="299"/>
      <c r="U407" s="299"/>
      <c r="V407" s="299"/>
      <c r="W407" s="299"/>
      <c r="X407" s="299"/>
      <c r="Y407" s="299"/>
      <c r="Z407" s="299"/>
      <c r="AA407" s="299"/>
      <c r="AB407" s="299"/>
      <c r="AC407" s="300"/>
      <c r="AD407" s="300"/>
    </row>
    <row r="408" spans="1:30" ht="12.75" customHeight="1" x14ac:dyDescent="0.2">
      <c r="A408" s="296"/>
      <c r="B408" s="296"/>
      <c r="C408" s="296"/>
      <c r="D408" s="297"/>
      <c r="E408" s="298"/>
      <c r="F408" s="296"/>
      <c r="G408" s="296"/>
      <c r="H408" s="296"/>
      <c r="I408" s="296"/>
      <c r="J408" s="296"/>
      <c r="K408" s="296"/>
      <c r="L408" s="296"/>
      <c r="M408" s="299"/>
      <c r="N408" s="299"/>
      <c r="O408" s="299"/>
      <c r="P408" s="299"/>
      <c r="Q408" s="299"/>
      <c r="R408" s="299"/>
      <c r="S408" s="299"/>
      <c r="T408" s="299"/>
      <c r="U408" s="299"/>
      <c r="V408" s="299"/>
      <c r="W408" s="299"/>
      <c r="X408" s="299"/>
      <c r="Y408" s="299"/>
      <c r="Z408" s="299"/>
      <c r="AA408" s="299"/>
      <c r="AB408" s="299"/>
      <c r="AC408" s="300"/>
      <c r="AD408" s="300"/>
    </row>
    <row r="409" spans="1:30" ht="12.75" customHeight="1" x14ac:dyDescent="0.2">
      <c r="A409" s="296"/>
      <c r="B409" s="296"/>
      <c r="C409" s="296"/>
      <c r="D409" s="297"/>
      <c r="E409" s="298"/>
      <c r="F409" s="296"/>
      <c r="G409" s="296"/>
      <c r="H409" s="296"/>
      <c r="I409" s="296"/>
      <c r="J409" s="296"/>
      <c r="K409" s="296"/>
      <c r="L409" s="296"/>
      <c r="M409" s="299"/>
      <c r="N409" s="299"/>
      <c r="O409" s="299"/>
      <c r="P409" s="299"/>
      <c r="Q409" s="299"/>
      <c r="R409" s="299"/>
      <c r="S409" s="299"/>
      <c r="T409" s="299"/>
      <c r="U409" s="299"/>
      <c r="V409" s="299"/>
      <c r="W409" s="299"/>
      <c r="X409" s="299"/>
      <c r="Y409" s="299"/>
      <c r="Z409" s="299"/>
      <c r="AA409" s="299"/>
      <c r="AB409" s="299"/>
      <c r="AC409" s="300"/>
      <c r="AD409" s="300"/>
    </row>
    <row r="410" spans="1:30" ht="12.75" customHeight="1" x14ac:dyDescent="0.2">
      <c r="A410" s="296"/>
      <c r="B410" s="296"/>
      <c r="C410" s="296"/>
      <c r="D410" s="297"/>
      <c r="E410" s="298"/>
      <c r="F410" s="296"/>
      <c r="G410" s="296"/>
      <c r="H410" s="296"/>
      <c r="I410" s="296"/>
      <c r="J410" s="296"/>
      <c r="K410" s="296"/>
      <c r="L410" s="296"/>
      <c r="M410" s="299"/>
      <c r="N410" s="299"/>
      <c r="O410" s="299"/>
      <c r="P410" s="299"/>
      <c r="Q410" s="299"/>
      <c r="R410" s="299"/>
      <c r="S410" s="299"/>
      <c r="T410" s="299"/>
      <c r="U410" s="299"/>
      <c r="V410" s="299"/>
      <c r="W410" s="299"/>
      <c r="X410" s="299"/>
      <c r="Y410" s="299"/>
      <c r="Z410" s="299"/>
      <c r="AA410" s="299"/>
      <c r="AB410" s="299"/>
      <c r="AC410" s="300"/>
      <c r="AD410" s="300"/>
    </row>
    <row r="411" spans="1:30" ht="12.75" customHeight="1" x14ac:dyDescent="0.2">
      <c r="A411" s="296"/>
      <c r="B411" s="296"/>
      <c r="C411" s="296"/>
      <c r="D411" s="297"/>
      <c r="E411" s="298"/>
      <c r="F411" s="296"/>
      <c r="G411" s="296"/>
      <c r="H411" s="296"/>
      <c r="I411" s="296"/>
      <c r="J411" s="296"/>
      <c r="K411" s="296"/>
      <c r="L411" s="296"/>
      <c r="M411" s="299"/>
      <c r="N411" s="299"/>
      <c r="O411" s="299"/>
      <c r="P411" s="299"/>
      <c r="Q411" s="299"/>
      <c r="R411" s="299"/>
      <c r="S411" s="299"/>
      <c r="T411" s="299"/>
      <c r="U411" s="299"/>
      <c r="V411" s="299"/>
      <c r="W411" s="299"/>
      <c r="X411" s="299"/>
      <c r="Y411" s="299"/>
      <c r="Z411" s="299"/>
      <c r="AA411" s="299"/>
      <c r="AB411" s="299"/>
      <c r="AC411" s="300"/>
      <c r="AD411" s="300"/>
    </row>
    <row r="412" spans="1:30" ht="12.75" customHeight="1" x14ac:dyDescent="0.2">
      <c r="A412" s="296"/>
      <c r="B412" s="296"/>
      <c r="C412" s="296"/>
      <c r="D412" s="297"/>
      <c r="E412" s="298"/>
      <c r="F412" s="296"/>
      <c r="G412" s="296"/>
      <c r="H412" s="296"/>
      <c r="I412" s="296"/>
      <c r="J412" s="296"/>
      <c r="K412" s="296"/>
      <c r="L412" s="296"/>
      <c r="M412" s="299"/>
      <c r="N412" s="299"/>
      <c r="O412" s="299"/>
      <c r="P412" s="299"/>
      <c r="Q412" s="299"/>
      <c r="R412" s="299"/>
      <c r="S412" s="299"/>
      <c r="T412" s="299"/>
      <c r="U412" s="299"/>
      <c r="V412" s="299"/>
      <c r="W412" s="299"/>
      <c r="X412" s="299"/>
      <c r="Y412" s="299"/>
      <c r="Z412" s="299"/>
      <c r="AA412" s="299"/>
      <c r="AB412" s="299"/>
      <c r="AC412" s="300"/>
      <c r="AD412" s="300"/>
    </row>
    <row r="413" spans="1:30" ht="12.75" customHeight="1" x14ac:dyDescent="0.2">
      <c r="A413" s="296"/>
      <c r="B413" s="296"/>
      <c r="C413" s="296"/>
      <c r="D413" s="297"/>
      <c r="E413" s="298"/>
      <c r="F413" s="296"/>
      <c r="G413" s="296"/>
      <c r="H413" s="296"/>
      <c r="I413" s="296"/>
      <c r="J413" s="296"/>
      <c r="K413" s="296"/>
      <c r="L413" s="296"/>
      <c r="M413" s="299"/>
      <c r="N413" s="299"/>
      <c r="O413" s="299"/>
      <c r="P413" s="299"/>
      <c r="Q413" s="299"/>
      <c r="R413" s="299"/>
      <c r="S413" s="299"/>
      <c r="T413" s="299"/>
      <c r="U413" s="299"/>
      <c r="V413" s="299"/>
      <c r="W413" s="299"/>
      <c r="X413" s="299"/>
      <c r="Y413" s="299"/>
      <c r="Z413" s="299"/>
      <c r="AA413" s="299"/>
      <c r="AB413" s="299"/>
      <c r="AC413" s="300"/>
      <c r="AD413" s="300"/>
    </row>
    <row r="414" spans="1:30" ht="12.75" customHeight="1" x14ac:dyDescent="0.2">
      <c r="A414" s="296"/>
      <c r="B414" s="296"/>
      <c r="C414" s="296"/>
      <c r="D414" s="297"/>
      <c r="E414" s="298"/>
      <c r="F414" s="296"/>
      <c r="G414" s="296"/>
      <c r="H414" s="296"/>
      <c r="I414" s="296"/>
      <c r="J414" s="296"/>
      <c r="K414" s="296"/>
      <c r="L414" s="296"/>
      <c r="M414" s="299"/>
      <c r="N414" s="299"/>
      <c r="O414" s="299"/>
      <c r="P414" s="299"/>
      <c r="Q414" s="299"/>
      <c r="R414" s="299"/>
      <c r="S414" s="299"/>
      <c r="T414" s="299"/>
      <c r="U414" s="299"/>
      <c r="V414" s="299"/>
      <c r="W414" s="299"/>
      <c r="X414" s="299"/>
      <c r="Y414" s="299"/>
      <c r="Z414" s="299"/>
      <c r="AA414" s="299"/>
      <c r="AB414" s="299"/>
      <c r="AC414" s="300"/>
      <c r="AD414" s="300"/>
    </row>
    <row r="415" spans="1:30" ht="12.75" customHeight="1" x14ac:dyDescent="0.2">
      <c r="A415" s="296"/>
      <c r="B415" s="296"/>
      <c r="C415" s="296"/>
      <c r="D415" s="297"/>
      <c r="E415" s="298"/>
      <c r="F415" s="296"/>
      <c r="G415" s="296"/>
      <c r="H415" s="296"/>
      <c r="I415" s="296"/>
      <c r="J415" s="296"/>
      <c r="K415" s="296"/>
      <c r="L415" s="296"/>
      <c r="M415" s="299"/>
      <c r="N415" s="299"/>
      <c r="O415" s="299"/>
      <c r="P415" s="299"/>
      <c r="Q415" s="299"/>
      <c r="R415" s="299"/>
      <c r="S415" s="299"/>
      <c r="T415" s="299"/>
      <c r="U415" s="299"/>
      <c r="V415" s="299"/>
      <c r="W415" s="299"/>
      <c r="X415" s="299"/>
      <c r="Y415" s="299"/>
      <c r="Z415" s="299"/>
      <c r="AA415" s="299"/>
      <c r="AB415" s="299"/>
      <c r="AC415" s="300"/>
      <c r="AD415" s="300"/>
    </row>
    <row r="416" spans="1:30" ht="12.75" customHeight="1" x14ac:dyDescent="0.2">
      <c r="A416" s="296"/>
      <c r="B416" s="296"/>
      <c r="C416" s="296"/>
      <c r="D416" s="297"/>
      <c r="E416" s="298"/>
      <c r="F416" s="296"/>
      <c r="G416" s="296"/>
      <c r="H416" s="296"/>
      <c r="I416" s="296"/>
      <c r="J416" s="296"/>
      <c r="K416" s="296"/>
      <c r="L416" s="296"/>
      <c r="M416" s="299"/>
      <c r="N416" s="299"/>
      <c r="O416" s="299"/>
      <c r="P416" s="299"/>
      <c r="Q416" s="299"/>
      <c r="R416" s="299"/>
      <c r="S416" s="299"/>
      <c r="T416" s="299"/>
      <c r="U416" s="299"/>
      <c r="V416" s="299"/>
      <c r="W416" s="299"/>
      <c r="X416" s="299"/>
      <c r="Y416" s="299"/>
      <c r="Z416" s="299"/>
      <c r="AA416" s="299"/>
      <c r="AB416" s="299"/>
      <c r="AC416" s="300"/>
      <c r="AD416" s="300"/>
    </row>
    <row r="417" spans="1:30" ht="12.75" customHeight="1" x14ac:dyDescent="0.2">
      <c r="A417" s="296"/>
      <c r="B417" s="296"/>
      <c r="C417" s="296"/>
      <c r="D417" s="297"/>
      <c r="E417" s="298"/>
      <c r="F417" s="296"/>
      <c r="G417" s="296"/>
      <c r="H417" s="296"/>
      <c r="I417" s="296"/>
      <c r="J417" s="296"/>
      <c r="K417" s="296"/>
      <c r="L417" s="296"/>
      <c r="M417" s="299"/>
      <c r="N417" s="299"/>
      <c r="O417" s="299"/>
      <c r="P417" s="299"/>
      <c r="Q417" s="299"/>
      <c r="R417" s="299"/>
      <c r="S417" s="299"/>
      <c r="T417" s="299"/>
      <c r="U417" s="299"/>
      <c r="V417" s="299"/>
      <c r="W417" s="299"/>
      <c r="X417" s="299"/>
      <c r="Y417" s="299"/>
      <c r="Z417" s="299"/>
      <c r="AA417" s="299"/>
      <c r="AB417" s="299"/>
      <c r="AC417" s="300"/>
      <c r="AD417" s="300"/>
    </row>
    <row r="418" spans="1:30" ht="12.75" customHeight="1" x14ac:dyDescent="0.2">
      <c r="A418" s="296"/>
      <c r="B418" s="296"/>
      <c r="C418" s="296"/>
      <c r="D418" s="297"/>
      <c r="E418" s="298"/>
      <c r="F418" s="296"/>
      <c r="G418" s="296"/>
      <c r="H418" s="296"/>
      <c r="I418" s="296"/>
      <c r="J418" s="296"/>
      <c r="K418" s="296"/>
      <c r="L418" s="296"/>
      <c r="M418" s="299"/>
      <c r="N418" s="299"/>
      <c r="O418" s="299"/>
      <c r="P418" s="299"/>
      <c r="Q418" s="299"/>
      <c r="R418" s="299"/>
      <c r="S418" s="299"/>
      <c r="T418" s="299"/>
      <c r="U418" s="299"/>
      <c r="V418" s="299"/>
      <c r="W418" s="299"/>
      <c r="X418" s="299"/>
      <c r="Y418" s="299"/>
      <c r="Z418" s="299"/>
      <c r="AA418" s="299"/>
      <c r="AB418" s="299"/>
      <c r="AC418" s="300"/>
      <c r="AD418" s="300"/>
    </row>
    <row r="419" spans="1:30" ht="12.75" customHeight="1" x14ac:dyDescent="0.2">
      <c r="A419" s="296"/>
      <c r="B419" s="296"/>
      <c r="C419" s="296"/>
      <c r="D419" s="297"/>
      <c r="E419" s="298"/>
      <c r="F419" s="296"/>
      <c r="G419" s="296"/>
      <c r="H419" s="296"/>
      <c r="I419" s="296"/>
      <c r="J419" s="296"/>
      <c r="K419" s="296"/>
      <c r="L419" s="296"/>
      <c r="M419" s="299"/>
      <c r="N419" s="299"/>
      <c r="O419" s="299"/>
      <c r="P419" s="299"/>
      <c r="Q419" s="299"/>
      <c r="R419" s="299"/>
      <c r="S419" s="299"/>
      <c r="T419" s="299"/>
      <c r="U419" s="299"/>
      <c r="V419" s="299"/>
      <c r="W419" s="299"/>
      <c r="X419" s="299"/>
      <c r="Y419" s="299"/>
      <c r="Z419" s="299"/>
      <c r="AA419" s="299"/>
      <c r="AB419" s="299"/>
      <c r="AC419" s="300"/>
      <c r="AD419" s="300"/>
    </row>
    <row r="420" spans="1:30" ht="12.75" customHeight="1" x14ac:dyDescent="0.2">
      <c r="A420" s="296"/>
      <c r="B420" s="296"/>
      <c r="C420" s="296"/>
      <c r="D420" s="297"/>
      <c r="E420" s="298"/>
      <c r="F420" s="296"/>
      <c r="G420" s="296"/>
      <c r="H420" s="296"/>
      <c r="I420" s="296"/>
      <c r="J420" s="296"/>
      <c r="K420" s="296"/>
      <c r="L420" s="296"/>
      <c r="M420" s="299"/>
      <c r="N420" s="299"/>
      <c r="O420" s="299"/>
      <c r="P420" s="299"/>
      <c r="Q420" s="299"/>
      <c r="R420" s="299"/>
      <c r="S420" s="299"/>
      <c r="T420" s="299"/>
      <c r="U420" s="299"/>
      <c r="V420" s="299"/>
      <c r="W420" s="299"/>
      <c r="X420" s="299"/>
      <c r="Y420" s="299"/>
      <c r="Z420" s="299"/>
      <c r="AA420" s="299"/>
      <c r="AB420" s="299"/>
      <c r="AC420" s="300"/>
      <c r="AD420" s="300"/>
    </row>
    <row r="421" spans="1:30" ht="12.75" customHeight="1" x14ac:dyDescent="0.2">
      <c r="A421" s="296"/>
      <c r="B421" s="296"/>
      <c r="C421" s="296"/>
      <c r="D421" s="297"/>
      <c r="E421" s="298"/>
      <c r="F421" s="296"/>
      <c r="G421" s="296"/>
      <c r="H421" s="296"/>
      <c r="I421" s="296"/>
      <c r="J421" s="296"/>
      <c r="K421" s="296"/>
      <c r="L421" s="296"/>
      <c r="M421" s="299"/>
      <c r="N421" s="299"/>
      <c r="O421" s="299"/>
      <c r="P421" s="299"/>
      <c r="Q421" s="299"/>
      <c r="R421" s="299"/>
      <c r="S421" s="299"/>
      <c r="T421" s="299"/>
      <c r="U421" s="299"/>
      <c r="V421" s="299"/>
      <c r="W421" s="299"/>
      <c r="X421" s="299"/>
      <c r="Y421" s="299"/>
      <c r="Z421" s="299"/>
      <c r="AA421" s="299"/>
      <c r="AB421" s="299"/>
      <c r="AC421" s="300"/>
      <c r="AD421" s="300"/>
    </row>
    <row r="422" spans="1:30" ht="12.75" customHeight="1" x14ac:dyDescent="0.2">
      <c r="A422" s="296"/>
      <c r="B422" s="296"/>
      <c r="C422" s="296"/>
      <c r="D422" s="297"/>
      <c r="E422" s="298"/>
      <c r="F422" s="296"/>
      <c r="G422" s="296"/>
      <c r="H422" s="296"/>
      <c r="I422" s="296"/>
      <c r="J422" s="296"/>
      <c r="K422" s="296"/>
      <c r="L422" s="296"/>
      <c r="M422" s="299"/>
      <c r="N422" s="299"/>
      <c r="O422" s="299"/>
      <c r="P422" s="299"/>
      <c r="Q422" s="299"/>
      <c r="R422" s="299"/>
      <c r="S422" s="299"/>
      <c r="T422" s="299"/>
      <c r="U422" s="299"/>
      <c r="V422" s="299"/>
      <c r="W422" s="299"/>
      <c r="X422" s="299"/>
      <c r="Y422" s="299"/>
      <c r="Z422" s="299"/>
      <c r="AA422" s="299"/>
      <c r="AB422" s="299"/>
      <c r="AC422" s="300"/>
      <c r="AD422" s="300"/>
    </row>
    <row r="423" spans="1:30" ht="12.75" customHeight="1" x14ac:dyDescent="0.2">
      <c r="A423" s="296"/>
      <c r="B423" s="296"/>
      <c r="C423" s="296"/>
      <c r="D423" s="297"/>
      <c r="E423" s="298"/>
      <c r="F423" s="296"/>
      <c r="G423" s="296"/>
      <c r="H423" s="296"/>
      <c r="I423" s="296"/>
      <c r="J423" s="296"/>
      <c r="K423" s="296"/>
      <c r="L423" s="296"/>
      <c r="M423" s="299"/>
      <c r="N423" s="299"/>
      <c r="O423" s="299"/>
      <c r="P423" s="299"/>
      <c r="Q423" s="299"/>
      <c r="R423" s="299"/>
      <c r="S423" s="299"/>
      <c r="T423" s="299"/>
      <c r="U423" s="299"/>
      <c r="V423" s="299"/>
      <c r="W423" s="299"/>
      <c r="X423" s="299"/>
      <c r="Y423" s="299"/>
      <c r="Z423" s="299"/>
      <c r="AA423" s="299"/>
      <c r="AB423" s="299"/>
      <c r="AC423" s="300"/>
      <c r="AD423" s="300"/>
    </row>
    <row r="424" spans="1:30" ht="12.75" customHeight="1" x14ac:dyDescent="0.2">
      <c r="A424" s="296"/>
      <c r="B424" s="296"/>
      <c r="C424" s="296"/>
      <c r="D424" s="297"/>
      <c r="E424" s="298"/>
      <c r="F424" s="296"/>
      <c r="G424" s="296"/>
      <c r="H424" s="296"/>
      <c r="I424" s="296"/>
      <c r="J424" s="296"/>
      <c r="K424" s="296"/>
      <c r="L424" s="296"/>
      <c r="M424" s="299"/>
      <c r="N424" s="299"/>
      <c r="O424" s="299"/>
      <c r="P424" s="299"/>
      <c r="Q424" s="299"/>
      <c r="R424" s="299"/>
      <c r="S424" s="299"/>
      <c r="T424" s="299"/>
      <c r="U424" s="299"/>
      <c r="V424" s="299"/>
      <c r="W424" s="299"/>
      <c r="X424" s="299"/>
      <c r="Y424" s="299"/>
      <c r="Z424" s="299"/>
      <c r="AA424" s="299"/>
      <c r="AB424" s="299"/>
      <c r="AC424" s="300"/>
      <c r="AD424" s="300"/>
    </row>
    <row r="425" spans="1:30" ht="12.75" customHeight="1" x14ac:dyDescent="0.2">
      <c r="A425" s="296"/>
      <c r="B425" s="296"/>
      <c r="C425" s="296"/>
      <c r="D425" s="297"/>
      <c r="E425" s="298"/>
      <c r="F425" s="296"/>
      <c r="G425" s="296"/>
      <c r="H425" s="296"/>
      <c r="I425" s="296"/>
      <c r="J425" s="296"/>
      <c r="K425" s="296"/>
      <c r="L425" s="296"/>
      <c r="M425" s="299"/>
      <c r="N425" s="299"/>
      <c r="O425" s="299"/>
      <c r="P425" s="299"/>
      <c r="Q425" s="299"/>
      <c r="R425" s="299"/>
      <c r="S425" s="299"/>
      <c r="T425" s="299"/>
      <c r="U425" s="299"/>
      <c r="V425" s="299"/>
      <c r="W425" s="299"/>
      <c r="X425" s="299"/>
      <c r="Y425" s="299"/>
      <c r="Z425" s="299"/>
      <c r="AA425" s="299"/>
      <c r="AB425" s="299"/>
      <c r="AC425" s="300"/>
      <c r="AD425" s="300"/>
    </row>
    <row r="426" spans="1:30" ht="12.75" customHeight="1" x14ac:dyDescent="0.2">
      <c r="A426" s="296"/>
      <c r="B426" s="296"/>
      <c r="C426" s="296"/>
      <c r="D426" s="297"/>
      <c r="E426" s="298"/>
      <c r="F426" s="296"/>
      <c r="G426" s="296"/>
      <c r="H426" s="296"/>
      <c r="I426" s="296"/>
      <c r="J426" s="296"/>
      <c r="K426" s="296"/>
      <c r="L426" s="296"/>
      <c r="M426" s="299"/>
      <c r="N426" s="299"/>
      <c r="O426" s="299"/>
      <c r="P426" s="299"/>
      <c r="Q426" s="299"/>
      <c r="R426" s="299"/>
      <c r="S426" s="299"/>
      <c r="T426" s="299"/>
      <c r="U426" s="299"/>
      <c r="V426" s="299"/>
      <c r="W426" s="299"/>
      <c r="X426" s="299"/>
      <c r="Y426" s="299"/>
      <c r="Z426" s="299"/>
      <c r="AA426" s="299"/>
      <c r="AB426" s="299"/>
      <c r="AC426" s="300"/>
      <c r="AD426" s="300"/>
    </row>
    <row r="427" spans="1:30" ht="12.75" customHeight="1" x14ac:dyDescent="0.2">
      <c r="A427" s="296"/>
      <c r="B427" s="296"/>
      <c r="C427" s="296"/>
      <c r="D427" s="297"/>
      <c r="E427" s="298"/>
      <c r="F427" s="296"/>
      <c r="G427" s="296"/>
      <c r="H427" s="296"/>
      <c r="I427" s="296"/>
      <c r="J427" s="296"/>
      <c r="K427" s="296"/>
      <c r="L427" s="296"/>
      <c r="M427" s="299"/>
      <c r="N427" s="299"/>
      <c r="O427" s="299"/>
      <c r="P427" s="299"/>
      <c r="Q427" s="299"/>
      <c r="R427" s="299"/>
      <c r="S427" s="299"/>
      <c r="T427" s="299"/>
      <c r="U427" s="299"/>
      <c r="V427" s="299"/>
      <c r="W427" s="299"/>
      <c r="X427" s="299"/>
      <c r="Y427" s="299"/>
      <c r="Z427" s="299"/>
      <c r="AA427" s="299"/>
      <c r="AB427" s="299"/>
      <c r="AC427" s="300"/>
      <c r="AD427" s="300"/>
    </row>
    <row r="428" spans="1:30" ht="12.75" customHeight="1" x14ac:dyDescent="0.2">
      <c r="A428" s="296"/>
      <c r="B428" s="296"/>
      <c r="C428" s="296"/>
      <c r="D428" s="297"/>
      <c r="E428" s="298"/>
      <c r="F428" s="296"/>
      <c r="G428" s="296"/>
      <c r="H428" s="296"/>
      <c r="I428" s="296"/>
      <c r="J428" s="296"/>
      <c r="K428" s="296"/>
      <c r="L428" s="296"/>
      <c r="M428" s="299"/>
      <c r="N428" s="299"/>
      <c r="O428" s="299"/>
      <c r="P428" s="299"/>
      <c r="Q428" s="299"/>
      <c r="R428" s="299"/>
      <c r="S428" s="299"/>
      <c r="T428" s="299"/>
      <c r="U428" s="299"/>
      <c r="V428" s="299"/>
      <c r="W428" s="299"/>
      <c r="X428" s="299"/>
      <c r="Y428" s="299"/>
      <c r="Z428" s="299"/>
      <c r="AA428" s="299"/>
      <c r="AB428" s="299"/>
      <c r="AC428" s="300"/>
      <c r="AD428" s="300"/>
    </row>
    <row r="429" spans="1:30" ht="12.75" customHeight="1" x14ac:dyDescent="0.2">
      <c r="A429" s="296"/>
      <c r="B429" s="296"/>
      <c r="C429" s="296"/>
      <c r="D429" s="297"/>
      <c r="E429" s="298"/>
      <c r="F429" s="296"/>
      <c r="G429" s="296"/>
      <c r="H429" s="296"/>
      <c r="I429" s="296"/>
      <c r="J429" s="296"/>
      <c r="K429" s="296"/>
      <c r="L429" s="296"/>
      <c r="M429" s="299"/>
      <c r="N429" s="299"/>
      <c r="O429" s="299"/>
      <c r="P429" s="299"/>
      <c r="Q429" s="299"/>
      <c r="R429" s="299"/>
      <c r="S429" s="299"/>
      <c r="T429" s="299"/>
      <c r="U429" s="299"/>
      <c r="V429" s="299"/>
      <c r="W429" s="299"/>
      <c r="X429" s="299"/>
      <c r="Y429" s="299"/>
      <c r="Z429" s="299"/>
      <c r="AA429" s="299"/>
      <c r="AB429" s="299"/>
      <c r="AC429" s="300"/>
      <c r="AD429" s="300"/>
    </row>
    <row r="430" spans="1:30" ht="12.75" customHeight="1" x14ac:dyDescent="0.2">
      <c r="A430" s="296"/>
      <c r="B430" s="296"/>
      <c r="C430" s="296"/>
      <c r="D430" s="297"/>
      <c r="E430" s="298"/>
      <c r="F430" s="296"/>
      <c r="G430" s="296"/>
      <c r="H430" s="296"/>
      <c r="I430" s="296"/>
      <c r="J430" s="296"/>
      <c r="K430" s="296"/>
      <c r="L430" s="296"/>
      <c r="M430" s="299"/>
      <c r="N430" s="299"/>
      <c r="O430" s="299"/>
      <c r="P430" s="299"/>
      <c r="Q430" s="299"/>
      <c r="R430" s="299"/>
      <c r="S430" s="299"/>
      <c r="T430" s="299"/>
      <c r="U430" s="299"/>
      <c r="V430" s="299"/>
      <c r="W430" s="299"/>
      <c r="X430" s="299"/>
      <c r="Y430" s="299"/>
      <c r="Z430" s="299"/>
      <c r="AA430" s="299"/>
      <c r="AB430" s="299"/>
      <c r="AC430" s="300"/>
      <c r="AD430" s="300"/>
    </row>
    <row r="431" spans="1:30" ht="12.75" customHeight="1" x14ac:dyDescent="0.2">
      <c r="A431" s="296"/>
      <c r="B431" s="296"/>
      <c r="C431" s="296"/>
      <c r="D431" s="297"/>
      <c r="E431" s="298"/>
      <c r="F431" s="296"/>
      <c r="G431" s="296"/>
      <c r="H431" s="296"/>
      <c r="I431" s="296"/>
      <c r="J431" s="296"/>
      <c r="K431" s="296"/>
      <c r="L431" s="296"/>
      <c r="M431" s="299"/>
      <c r="N431" s="299"/>
      <c r="O431" s="299"/>
      <c r="P431" s="299"/>
      <c r="Q431" s="299"/>
      <c r="R431" s="299"/>
      <c r="S431" s="299"/>
      <c r="T431" s="299"/>
      <c r="U431" s="299"/>
      <c r="V431" s="299"/>
      <c r="W431" s="299"/>
      <c r="X431" s="299"/>
      <c r="Y431" s="299"/>
      <c r="Z431" s="299"/>
      <c r="AA431" s="299"/>
      <c r="AB431" s="299"/>
      <c r="AC431" s="300"/>
      <c r="AD431" s="300"/>
    </row>
    <row r="432" spans="1:30" ht="12.75" customHeight="1" x14ac:dyDescent="0.2">
      <c r="A432" s="296"/>
      <c r="B432" s="296"/>
      <c r="C432" s="296"/>
      <c r="D432" s="297"/>
      <c r="E432" s="298"/>
      <c r="F432" s="296"/>
      <c r="G432" s="296"/>
      <c r="H432" s="296"/>
      <c r="I432" s="296"/>
      <c r="J432" s="296"/>
      <c r="K432" s="296"/>
      <c r="L432" s="296"/>
      <c r="M432" s="299"/>
      <c r="N432" s="299"/>
      <c r="O432" s="299"/>
      <c r="P432" s="299"/>
      <c r="Q432" s="299"/>
      <c r="R432" s="299"/>
      <c r="S432" s="299"/>
      <c r="T432" s="299"/>
      <c r="U432" s="299"/>
      <c r="V432" s="299"/>
      <c r="W432" s="299"/>
      <c r="X432" s="299"/>
      <c r="Y432" s="299"/>
      <c r="Z432" s="299"/>
      <c r="AA432" s="299"/>
      <c r="AB432" s="299"/>
      <c r="AC432" s="300"/>
      <c r="AD432" s="300"/>
    </row>
    <row r="433" spans="1:30" ht="12.75" customHeight="1" x14ac:dyDescent="0.2">
      <c r="A433" s="296"/>
      <c r="B433" s="296"/>
      <c r="C433" s="296"/>
      <c r="D433" s="297"/>
      <c r="E433" s="298"/>
      <c r="F433" s="296"/>
      <c r="G433" s="296"/>
      <c r="H433" s="296"/>
      <c r="I433" s="296"/>
      <c r="J433" s="296"/>
      <c r="K433" s="296"/>
      <c r="L433" s="296"/>
      <c r="M433" s="299"/>
      <c r="N433" s="299"/>
      <c r="O433" s="299"/>
      <c r="P433" s="299"/>
      <c r="Q433" s="299"/>
      <c r="R433" s="299"/>
      <c r="S433" s="299"/>
      <c r="T433" s="299"/>
      <c r="U433" s="299"/>
      <c r="V433" s="299"/>
      <c r="W433" s="299"/>
      <c r="X433" s="299"/>
      <c r="Y433" s="299"/>
      <c r="Z433" s="299"/>
      <c r="AA433" s="299"/>
      <c r="AB433" s="299"/>
      <c r="AC433" s="300"/>
      <c r="AD433" s="300"/>
    </row>
    <row r="434" spans="1:30" ht="12.75" customHeight="1" x14ac:dyDescent="0.2">
      <c r="A434" s="296"/>
      <c r="B434" s="296"/>
      <c r="C434" s="296"/>
      <c r="D434" s="297"/>
      <c r="E434" s="298"/>
      <c r="F434" s="296"/>
      <c r="G434" s="296"/>
      <c r="H434" s="296"/>
      <c r="I434" s="296"/>
      <c r="J434" s="296"/>
      <c r="K434" s="296"/>
      <c r="L434" s="296"/>
      <c r="M434" s="299"/>
      <c r="N434" s="299"/>
      <c r="O434" s="299"/>
      <c r="P434" s="299"/>
      <c r="Q434" s="299"/>
      <c r="R434" s="299"/>
      <c r="S434" s="299"/>
      <c r="T434" s="299"/>
      <c r="U434" s="299"/>
      <c r="V434" s="299"/>
      <c r="W434" s="299"/>
      <c r="X434" s="299"/>
      <c r="Y434" s="299"/>
      <c r="Z434" s="299"/>
      <c r="AA434" s="299"/>
      <c r="AB434" s="299"/>
      <c r="AC434" s="300"/>
      <c r="AD434" s="300"/>
    </row>
    <row r="435" spans="1:30" ht="12.75" customHeight="1" x14ac:dyDescent="0.2">
      <c r="A435" s="296"/>
      <c r="B435" s="296"/>
      <c r="C435" s="296"/>
      <c r="D435" s="297"/>
      <c r="E435" s="298"/>
      <c r="F435" s="296"/>
      <c r="G435" s="296"/>
      <c r="H435" s="296"/>
      <c r="I435" s="296"/>
      <c r="J435" s="296"/>
      <c r="K435" s="296"/>
      <c r="L435" s="296"/>
      <c r="M435" s="299"/>
      <c r="N435" s="299"/>
      <c r="O435" s="299"/>
      <c r="P435" s="299"/>
      <c r="Q435" s="299"/>
      <c r="R435" s="299"/>
      <c r="S435" s="299"/>
      <c r="T435" s="299"/>
      <c r="U435" s="299"/>
      <c r="V435" s="299"/>
      <c r="W435" s="299"/>
      <c r="X435" s="299"/>
      <c r="Y435" s="299"/>
      <c r="Z435" s="299"/>
      <c r="AA435" s="299"/>
      <c r="AB435" s="299"/>
      <c r="AC435" s="300"/>
      <c r="AD435" s="300"/>
    </row>
    <row r="436" spans="1:30" ht="12.75" customHeight="1" x14ac:dyDescent="0.2">
      <c r="A436" s="296"/>
      <c r="B436" s="296"/>
      <c r="C436" s="296"/>
      <c r="D436" s="297"/>
      <c r="E436" s="298"/>
      <c r="F436" s="296"/>
      <c r="G436" s="296"/>
      <c r="H436" s="296"/>
      <c r="I436" s="296"/>
      <c r="J436" s="296"/>
      <c r="K436" s="296"/>
      <c r="L436" s="296"/>
      <c r="M436" s="299"/>
      <c r="N436" s="299"/>
      <c r="O436" s="299"/>
      <c r="P436" s="299"/>
      <c r="Q436" s="299"/>
      <c r="R436" s="299"/>
      <c r="S436" s="299"/>
      <c r="T436" s="299"/>
      <c r="U436" s="299"/>
      <c r="V436" s="299"/>
      <c r="W436" s="299"/>
      <c r="X436" s="299"/>
      <c r="Y436" s="299"/>
      <c r="Z436" s="299"/>
      <c r="AA436" s="299"/>
      <c r="AB436" s="299"/>
      <c r="AC436" s="300"/>
      <c r="AD436" s="300"/>
    </row>
    <row r="437" spans="1:30" ht="12.75" customHeight="1" x14ac:dyDescent="0.2">
      <c r="A437" s="296"/>
      <c r="B437" s="296"/>
      <c r="C437" s="296"/>
      <c r="D437" s="297"/>
      <c r="E437" s="298"/>
      <c r="F437" s="296"/>
      <c r="G437" s="296"/>
      <c r="H437" s="296"/>
      <c r="I437" s="296"/>
      <c r="J437" s="296"/>
      <c r="K437" s="296"/>
      <c r="L437" s="296"/>
      <c r="M437" s="299"/>
      <c r="N437" s="299"/>
      <c r="O437" s="299"/>
      <c r="P437" s="299"/>
      <c r="Q437" s="299"/>
      <c r="R437" s="299"/>
      <c r="S437" s="299"/>
      <c r="T437" s="299"/>
      <c r="U437" s="299"/>
      <c r="V437" s="299"/>
      <c r="W437" s="299"/>
      <c r="X437" s="299"/>
      <c r="Y437" s="299"/>
      <c r="Z437" s="299"/>
      <c r="AA437" s="299"/>
      <c r="AB437" s="299"/>
      <c r="AC437" s="300"/>
      <c r="AD437" s="300"/>
    </row>
    <row r="438" spans="1:30" ht="12.75" customHeight="1" x14ac:dyDescent="0.2">
      <c r="A438" s="296"/>
      <c r="B438" s="296"/>
      <c r="C438" s="296"/>
      <c r="D438" s="297"/>
      <c r="E438" s="298"/>
      <c r="F438" s="296"/>
      <c r="G438" s="296"/>
      <c r="H438" s="296"/>
      <c r="I438" s="296"/>
      <c r="J438" s="296"/>
      <c r="K438" s="296"/>
      <c r="L438" s="296"/>
      <c r="M438" s="299"/>
      <c r="N438" s="299"/>
      <c r="O438" s="299"/>
      <c r="P438" s="299"/>
      <c r="Q438" s="299"/>
      <c r="R438" s="299"/>
      <c r="S438" s="299"/>
      <c r="T438" s="299"/>
      <c r="U438" s="299"/>
      <c r="V438" s="299"/>
      <c r="W438" s="299"/>
      <c r="X438" s="299"/>
      <c r="Y438" s="299"/>
      <c r="Z438" s="299"/>
      <c r="AA438" s="299"/>
      <c r="AB438" s="299"/>
      <c r="AC438" s="300"/>
      <c r="AD438" s="300"/>
    </row>
    <row r="439" spans="1:30" ht="12.75" customHeight="1" x14ac:dyDescent="0.2">
      <c r="A439" s="296"/>
      <c r="B439" s="296"/>
      <c r="C439" s="296"/>
      <c r="D439" s="297"/>
      <c r="E439" s="298"/>
      <c r="F439" s="296"/>
      <c r="G439" s="296"/>
      <c r="H439" s="296"/>
      <c r="I439" s="296"/>
      <c r="J439" s="296"/>
      <c r="K439" s="296"/>
      <c r="L439" s="296"/>
      <c r="M439" s="299"/>
      <c r="N439" s="299"/>
      <c r="O439" s="299"/>
      <c r="P439" s="299"/>
      <c r="Q439" s="299"/>
      <c r="R439" s="299"/>
      <c r="S439" s="299"/>
      <c r="T439" s="299"/>
      <c r="U439" s="299"/>
      <c r="V439" s="299"/>
      <c r="W439" s="299"/>
      <c r="X439" s="299"/>
      <c r="Y439" s="299"/>
      <c r="Z439" s="299"/>
      <c r="AA439" s="299"/>
      <c r="AB439" s="299"/>
      <c r="AC439" s="300"/>
      <c r="AD439" s="300"/>
    </row>
    <row r="440" spans="1:30" ht="12.75" customHeight="1" x14ac:dyDescent="0.2">
      <c r="A440" s="296"/>
      <c r="B440" s="296"/>
      <c r="C440" s="296"/>
      <c r="D440" s="297"/>
      <c r="E440" s="298"/>
      <c r="F440" s="296"/>
      <c r="G440" s="296"/>
      <c r="H440" s="296"/>
      <c r="I440" s="296"/>
      <c r="J440" s="296"/>
      <c r="K440" s="296"/>
      <c r="L440" s="296"/>
      <c r="M440" s="299"/>
      <c r="N440" s="299"/>
      <c r="O440" s="299"/>
      <c r="P440" s="299"/>
      <c r="Q440" s="299"/>
      <c r="R440" s="299"/>
      <c r="S440" s="299"/>
      <c r="T440" s="299"/>
      <c r="U440" s="299"/>
      <c r="V440" s="299"/>
      <c r="W440" s="299"/>
      <c r="X440" s="299"/>
      <c r="Y440" s="299"/>
      <c r="Z440" s="299"/>
      <c r="AA440" s="299"/>
      <c r="AB440" s="299"/>
      <c r="AC440" s="300"/>
      <c r="AD440" s="300"/>
    </row>
    <row r="441" spans="1:30" ht="12.75" customHeight="1" x14ac:dyDescent="0.2">
      <c r="A441" s="296"/>
      <c r="B441" s="296"/>
      <c r="C441" s="296"/>
      <c r="D441" s="297"/>
      <c r="E441" s="298"/>
      <c r="F441" s="296"/>
      <c r="G441" s="296"/>
      <c r="H441" s="296"/>
      <c r="I441" s="296"/>
      <c r="J441" s="296"/>
      <c r="K441" s="296"/>
      <c r="L441" s="296"/>
      <c r="M441" s="299"/>
      <c r="N441" s="299"/>
      <c r="O441" s="299"/>
      <c r="P441" s="299"/>
      <c r="Q441" s="299"/>
      <c r="R441" s="299"/>
      <c r="S441" s="299"/>
      <c r="T441" s="299"/>
      <c r="U441" s="299"/>
      <c r="V441" s="299"/>
      <c r="W441" s="299"/>
      <c r="X441" s="299"/>
      <c r="Y441" s="299"/>
      <c r="Z441" s="299"/>
      <c r="AA441" s="299"/>
      <c r="AB441" s="299"/>
      <c r="AC441" s="300"/>
      <c r="AD441" s="300"/>
    </row>
    <row r="442" spans="1:30" ht="12.75" customHeight="1" x14ac:dyDescent="0.2">
      <c r="A442" s="296"/>
      <c r="B442" s="296"/>
      <c r="C442" s="296"/>
      <c r="D442" s="297"/>
      <c r="E442" s="298"/>
      <c r="F442" s="296"/>
      <c r="G442" s="296"/>
      <c r="H442" s="296"/>
      <c r="I442" s="296"/>
      <c r="J442" s="296"/>
      <c r="K442" s="296"/>
      <c r="L442" s="296"/>
      <c r="M442" s="299"/>
      <c r="N442" s="299"/>
      <c r="O442" s="299"/>
      <c r="P442" s="299"/>
      <c r="Q442" s="299"/>
      <c r="R442" s="299"/>
      <c r="S442" s="299"/>
      <c r="T442" s="299"/>
      <c r="U442" s="299"/>
      <c r="V442" s="299"/>
      <c r="W442" s="299"/>
      <c r="X442" s="299"/>
      <c r="Y442" s="299"/>
      <c r="Z442" s="299"/>
      <c r="AA442" s="299"/>
      <c r="AB442" s="299"/>
      <c r="AC442" s="300"/>
      <c r="AD442" s="300"/>
    </row>
    <row r="443" spans="1:30" ht="12.75" customHeight="1" x14ac:dyDescent="0.2">
      <c r="A443" s="296"/>
      <c r="B443" s="296"/>
      <c r="C443" s="296"/>
      <c r="D443" s="297"/>
      <c r="E443" s="298"/>
      <c r="F443" s="296"/>
      <c r="G443" s="296"/>
      <c r="H443" s="296"/>
      <c r="I443" s="296"/>
      <c r="J443" s="296"/>
      <c r="K443" s="296"/>
      <c r="L443" s="296"/>
      <c r="M443" s="299"/>
      <c r="N443" s="299"/>
      <c r="O443" s="299"/>
      <c r="P443" s="299"/>
      <c r="Q443" s="299"/>
      <c r="R443" s="299"/>
      <c r="S443" s="299"/>
      <c r="T443" s="299"/>
      <c r="U443" s="299"/>
      <c r="V443" s="299"/>
      <c r="W443" s="299"/>
      <c r="X443" s="299"/>
      <c r="Y443" s="299"/>
      <c r="Z443" s="299"/>
      <c r="AA443" s="299"/>
      <c r="AB443" s="299"/>
      <c r="AC443" s="300"/>
      <c r="AD443" s="300"/>
    </row>
    <row r="444" spans="1:30" ht="12.75" customHeight="1" x14ac:dyDescent="0.2">
      <c r="A444" s="296"/>
      <c r="B444" s="296"/>
      <c r="C444" s="296"/>
      <c r="D444" s="297"/>
      <c r="E444" s="298"/>
      <c r="F444" s="296"/>
      <c r="G444" s="296"/>
      <c r="H444" s="296"/>
      <c r="I444" s="296"/>
      <c r="J444" s="296"/>
      <c r="K444" s="296"/>
      <c r="L444" s="296"/>
      <c r="M444" s="299"/>
      <c r="N444" s="299"/>
      <c r="O444" s="299"/>
      <c r="P444" s="299"/>
      <c r="Q444" s="299"/>
      <c r="R444" s="299"/>
      <c r="S444" s="299"/>
      <c r="T444" s="299"/>
      <c r="U444" s="299"/>
      <c r="V444" s="299"/>
      <c r="W444" s="299"/>
      <c r="X444" s="299"/>
      <c r="Y444" s="299"/>
      <c r="Z444" s="299"/>
      <c r="AA444" s="299"/>
      <c r="AB444" s="299"/>
      <c r="AC444" s="300"/>
      <c r="AD444" s="300"/>
    </row>
    <row r="445" spans="1:30" ht="12.75" customHeight="1" x14ac:dyDescent="0.2">
      <c r="A445" s="296"/>
      <c r="B445" s="296"/>
      <c r="C445" s="296"/>
      <c r="D445" s="297"/>
      <c r="E445" s="298"/>
      <c r="F445" s="296"/>
      <c r="G445" s="296"/>
      <c r="H445" s="296"/>
      <c r="I445" s="296"/>
      <c r="J445" s="296"/>
      <c r="K445" s="296"/>
      <c r="L445" s="296"/>
      <c r="M445" s="299"/>
      <c r="N445" s="299"/>
      <c r="O445" s="299"/>
      <c r="P445" s="299"/>
      <c r="Q445" s="299"/>
      <c r="R445" s="299"/>
      <c r="S445" s="299"/>
      <c r="T445" s="299"/>
      <c r="U445" s="299"/>
      <c r="V445" s="299"/>
      <c r="W445" s="299"/>
      <c r="X445" s="299"/>
      <c r="Y445" s="299"/>
      <c r="Z445" s="299"/>
      <c r="AA445" s="299"/>
      <c r="AB445" s="299"/>
      <c r="AC445" s="300"/>
      <c r="AD445" s="300"/>
    </row>
    <row r="446" spans="1:30" ht="12.75" customHeight="1" x14ac:dyDescent="0.2">
      <c r="A446" s="296"/>
      <c r="B446" s="296"/>
      <c r="C446" s="296"/>
      <c r="D446" s="297"/>
      <c r="E446" s="298"/>
      <c r="F446" s="296"/>
      <c r="G446" s="296"/>
      <c r="H446" s="296"/>
      <c r="I446" s="296"/>
      <c r="J446" s="296"/>
      <c r="K446" s="296"/>
      <c r="L446" s="296"/>
      <c r="M446" s="299"/>
      <c r="N446" s="299"/>
      <c r="O446" s="299"/>
      <c r="P446" s="299"/>
      <c r="Q446" s="299"/>
      <c r="R446" s="299"/>
      <c r="S446" s="299"/>
      <c r="T446" s="299"/>
      <c r="U446" s="299"/>
      <c r="V446" s="299"/>
      <c r="W446" s="299"/>
      <c r="X446" s="299"/>
      <c r="Y446" s="299"/>
      <c r="Z446" s="299"/>
      <c r="AA446" s="299"/>
      <c r="AB446" s="299"/>
      <c r="AC446" s="300"/>
      <c r="AD446" s="300"/>
    </row>
    <row r="447" spans="1:30" ht="12.75" customHeight="1" x14ac:dyDescent="0.2">
      <c r="A447" s="296"/>
      <c r="B447" s="296"/>
      <c r="C447" s="296"/>
      <c r="D447" s="297"/>
      <c r="E447" s="298"/>
      <c r="F447" s="296"/>
      <c r="G447" s="296"/>
      <c r="H447" s="296"/>
      <c r="I447" s="296"/>
      <c r="J447" s="296"/>
      <c r="K447" s="296"/>
      <c r="L447" s="296"/>
      <c r="M447" s="299"/>
      <c r="N447" s="299"/>
      <c r="O447" s="299"/>
      <c r="P447" s="299"/>
      <c r="Q447" s="299"/>
      <c r="R447" s="299"/>
      <c r="S447" s="299"/>
      <c r="T447" s="299"/>
      <c r="U447" s="299"/>
      <c r="V447" s="299"/>
      <c r="W447" s="299"/>
      <c r="X447" s="299"/>
      <c r="Y447" s="299"/>
      <c r="Z447" s="299"/>
      <c r="AA447" s="299"/>
      <c r="AB447" s="299"/>
      <c r="AC447" s="300"/>
      <c r="AD447" s="300"/>
    </row>
    <row r="448" spans="1:30" ht="12.75" customHeight="1" x14ac:dyDescent="0.2">
      <c r="A448" s="296"/>
      <c r="B448" s="296"/>
      <c r="C448" s="296"/>
      <c r="D448" s="297"/>
      <c r="E448" s="298"/>
      <c r="F448" s="296"/>
      <c r="G448" s="296"/>
      <c r="H448" s="296"/>
      <c r="I448" s="296"/>
      <c r="J448" s="296"/>
      <c r="K448" s="296"/>
      <c r="L448" s="296"/>
      <c r="M448" s="299"/>
      <c r="N448" s="299"/>
      <c r="O448" s="299"/>
      <c r="P448" s="299"/>
      <c r="Q448" s="299"/>
      <c r="R448" s="299"/>
      <c r="S448" s="299"/>
      <c r="T448" s="299"/>
      <c r="U448" s="299"/>
      <c r="V448" s="299"/>
      <c r="W448" s="299"/>
      <c r="X448" s="299"/>
      <c r="Y448" s="299"/>
      <c r="Z448" s="299"/>
      <c r="AA448" s="299"/>
      <c r="AB448" s="299"/>
      <c r="AC448" s="300"/>
      <c r="AD448" s="300"/>
    </row>
    <row r="449" spans="1:30" ht="12.75" customHeight="1" x14ac:dyDescent="0.2">
      <c r="A449" s="296"/>
      <c r="B449" s="296"/>
      <c r="C449" s="296"/>
      <c r="D449" s="297"/>
      <c r="E449" s="298"/>
      <c r="F449" s="296"/>
      <c r="G449" s="296"/>
      <c r="H449" s="296"/>
      <c r="I449" s="296"/>
      <c r="J449" s="296"/>
      <c r="K449" s="296"/>
      <c r="L449" s="296"/>
      <c r="M449" s="299"/>
      <c r="N449" s="299"/>
      <c r="O449" s="299"/>
      <c r="P449" s="299"/>
      <c r="Q449" s="299"/>
      <c r="R449" s="299"/>
      <c r="S449" s="299"/>
      <c r="T449" s="299"/>
      <c r="U449" s="299"/>
      <c r="V449" s="299"/>
      <c r="W449" s="299"/>
      <c r="X449" s="299"/>
      <c r="Y449" s="299"/>
      <c r="Z449" s="299"/>
      <c r="AA449" s="299"/>
      <c r="AB449" s="299"/>
      <c r="AC449" s="300"/>
      <c r="AD449" s="300"/>
    </row>
    <row r="450" spans="1:30" ht="12.75" customHeight="1" x14ac:dyDescent="0.2">
      <c r="A450" s="296"/>
      <c r="B450" s="296"/>
      <c r="C450" s="296"/>
      <c r="D450" s="297"/>
      <c r="E450" s="298"/>
      <c r="F450" s="296"/>
      <c r="G450" s="296"/>
      <c r="H450" s="296"/>
      <c r="I450" s="296"/>
      <c r="J450" s="296"/>
      <c r="K450" s="296"/>
      <c r="L450" s="296"/>
      <c r="M450" s="299"/>
      <c r="N450" s="299"/>
      <c r="O450" s="299"/>
      <c r="P450" s="299"/>
      <c r="Q450" s="299"/>
      <c r="R450" s="299"/>
      <c r="S450" s="299"/>
      <c r="T450" s="299"/>
      <c r="U450" s="299"/>
      <c r="V450" s="299"/>
      <c r="W450" s="299"/>
      <c r="X450" s="299"/>
      <c r="Y450" s="299"/>
      <c r="Z450" s="299"/>
      <c r="AA450" s="299"/>
      <c r="AB450" s="299"/>
      <c r="AC450" s="300"/>
      <c r="AD450" s="300"/>
    </row>
    <row r="451" spans="1:30" ht="12.75" customHeight="1" x14ac:dyDescent="0.2">
      <c r="A451" s="296"/>
      <c r="B451" s="296"/>
      <c r="C451" s="296"/>
      <c r="D451" s="297"/>
      <c r="E451" s="298"/>
      <c r="F451" s="296"/>
      <c r="G451" s="296"/>
      <c r="H451" s="296"/>
      <c r="I451" s="296"/>
      <c r="J451" s="296"/>
      <c r="K451" s="296"/>
      <c r="L451" s="296"/>
      <c r="M451" s="299"/>
      <c r="N451" s="299"/>
      <c r="O451" s="299"/>
      <c r="P451" s="299"/>
      <c r="Q451" s="299"/>
      <c r="R451" s="299"/>
      <c r="S451" s="299"/>
      <c r="T451" s="299"/>
      <c r="U451" s="299"/>
      <c r="V451" s="299"/>
      <c r="W451" s="299"/>
      <c r="X451" s="299"/>
      <c r="Y451" s="299"/>
      <c r="Z451" s="299"/>
      <c r="AA451" s="299"/>
      <c r="AB451" s="299"/>
      <c r="AC451" s="300"/>
      <c r="AD451" s="300"/>
    </row>
    <row r="452" spans="1:30" ht="12.75" customHeight="1" x14ac:dyDescent="0.2">
      <c r="A452" s="296"/>
      <c r="B452" s="296"/>
      <c r="C452" s="296"/>
      <c r="D452" s="297"/>
      <c r="E452" s="298"/>
      <c r="F452" s="296"/>
      <c r="G452" s="296"/>
      <c r="H452" s="296"/>
      <c r="I452" s="296"/>
      <c r="J452" s="296"/>
      <c r="K452" s="296"/>
      <c r="L452" s="296"/>
      <c r="M452" s="299"/>
      <c r="N452" s="299"/>
      <c r="O452" s="299"/>
      <c r="P452" s="299"/>
      <c r="Q452" s="299"/>
      <c r="R452" s="299"/>
      <c r="S452" s="299"/>
      <c r="T452" s="299"/>
      <c r="U452" s="299"/>
      <c r="V452" s="299"/>
      <c r="W452" s="299"/>
      <c r="X452" s="299"/>
      <c r="Y452" s="299"/>
      <c r="Z452" s="299"/>
      <c r="AA452" s="299"/>
      <c r="AB452" s="299"/>
      <c r="AC452" s="300"/>
      <c r="AD452" s="300"/>
    </row>
    <row r="453" spans="1:30" ht="12.75" customHeight="1" x14ac:dyDescent="0.2">
      <c r="A453" s="296"/>
      <c r="B453" s="296"/>
      <c r="C453" s="296"/>
      <c r="D453" s="297"/>
      <c r="E453" s="298"/>
      <c r="F453" s="296"/>
      <c r="G453" s="296"/>
      <c r="H453" s="296"/>
      <c r="I453" s="296"/>
      <c r="J453" s="296"/>
      <c r="K453" s="296"/>
      <c r="L453" s="296"/>
      <c r="M453" s="299"/>
      <c r="N453" s="299"/>
      <c r="O453" s="299"/>
      <c r="P453" s="299"/>
      <c r="Q453" s="299"/>
      <c r="R453" s="299"/>
      <c r="S453" s="299"/>
      <c r="T453" s="299"/>
      <c r="U453" s="299"/>
      <c r="V453" s="299"/>
      <c r="W453" s="299"/>
      <c r="X453" s="299"/>
      <c r="Y453" s="299"/>
      <c r="Z453" s="299"/>
      <c r="AA453" s="299"/>
      <c r="AB453" s="299"/>
      <c r="AC453" s="300"/>
      <c r="AD453" s="300"/>
    </row>
    <row r="454" spans="1:30" ht="12.75" customHeight="1" x14ac:dyDescent="0.2">
      <c r="A454" s="296"/>
      <c r="B454" s="296"/>
      <c r="C454" s="296"/>
      <c r="D454" s="297"/>
      <c r="E454" s="298"/>
      <c r="F454" s="296"/>
      <c r="G454" s="296"/>
      <c r="H454" s="296"/>
      <c r="I454" s="296"/>
      <c r="J454" s="296"/>
      <c r="K454" s="296"/>
      <c r="L454" s="296"/>
      <c r="M454" s="299"/>
      <c r="N454" s="299"/>
      <c r="O454" s="299"/>
      <c r="P454" s="299"/>
      <c r="Q454" s="299"/>
      <c r="R454" s="299"/>
      <c r="S454" s="299"/>
      <c r="T454" s="299"/>
      <c r="U454" s="299"/>
      <c r="V454" s="299"/>
      <c r="W454" s="299"/>
      <c r="X454" s="299"/>
      <c r="Y454" s="299"/>
      <c r="Z454" s="299"/>
      <c r="AA454" s="299"/>
      <c r="AB454" s="299"/>
      <c r="AC454" s="300"/>
      <c r="AD454" s="300"/>
    </row>
    <row r="455" spans="1:30" ht="12.75" customHeight="1" x14ac:dyDescent="0.2">
      <c r="A455" s="296"/>
      <c r="B455" s="296"/>
      <c r="C455" s="296"/>
      <c r="D455" s="297"/>
      <c r="E455" s="298"/>
      <c r="F455" s="296"/>
      <c r="G455" s="296"/>
      <c r="H455" s="296"/>
      <c r="I455" s="296"/>
      <c r="J455" s="296"/>
      <c r="K455" s="296"/>
      <c r="L455" s="296"/>
      <c r="M455" s="299"/>
      <c r="N455" s="299"/>
      <c r="O455" s="299"/>
      <c r="P455" s="299"/>
      <c r="Q455" s="299"/>
      <c r="R455" s="299"/>
      <c r="S455" s="299"/>
      <c r="T455" s="299"/>
      <c r="U455" s="299"/>
      <c r="V455" s="299"/>
      <c r="W455" s="299"/>
      <c r="X455" s="299"/>
      <c r="Y455" s="299"/>
      <c r="Z455" s="299"/>
      <c r="AA455" s="299"/>
      <c r="AB455" s="299"/>
      <c r="AC455" s="300"/>
      <c r="AD455" s="300"/>
    </row>
    <row r="456" spans="1:30" ht="12.75" customHeight="1" x14ac:dyDescent="0.2">
      <c r="A456" s="296"/>
      <c r="B456" s="296"/>
      <c r="C456" s="296"/>
      <c r="D456" s="297"/>
      <c r="E456" s="298"/>
      <c r="F456" s="296"/>
      <c r="G456" s="296"/>
      <c r="H456" s="296"/>
      <c r="I456" s="296"/>
      <c r="J456" s="296"/>
      <c r="K456" s="296"/>
      <c r="L456" s="296"/>
      <c r="M456" s="299"/>
      <c r="N456" s="299"/>
      <c r="O456" s="299"/>
      <c r="P456" s="299"/>
      <c r="Q456" s="299"/>
      <c r="R456" s="299"/>
      <c r="S456" s="299"/>
      <c r="T456" s="299"/>
      <c r="U456" s="299"/>
      <c r="V456" s="299"/>
      <c r="W456" s="299"/>
      <c r="X456" s="299"/>
      <c r="Y456" s="299"/>
      <c r="Z456" s="299"/>
      <c r="AA456" s="299"/>
      <c r="AB456" s="299"/>
      <c r="AC456" s="300"/>
      <c r="AD456" s="300"/>
    </row>
    <row r="457" spans="1:30" ht="12.75" customHeight="1" x14ac:dyDescent="0.2">
      <c r="A457" s="296"/>
      <c r="B457" s="296"/>
      <c r="C457" s="296"/>
      <c r="D457" s="297"/>
      <c r="E457" s="298"/>
      <c r="F457" s="296"/>
      <c r="G457" s="296"/>
      <c r="H457" s="296"/>
      <c r="I457" s="296"/>
      <c r="J457" s="296"/>
      <c r="K457" s="296"/>
      <c r="L457" s="296"/>
      <c r="M457" s="299"/>
      <c r="N457" s="299"/>
      <c r="O457" s="299"/>
      <c r="P457" s="299"/>
      <c r="Q457" s="299"/>
      <c r="R457" s="299"/>
      <c r="S457" s="299"/>
      <c r="T457" s="299"/>
      <c r="U457" s="299"/>
      <c r="V457" s="299"/>
      <c r="W457" s="299"/>
      <c r="X457" s="299"/>
      <c r="Y457" s="299"/>
      <c r="Z457" s="299"/>
      <c r="AA457" s="299"/>
      <c r="AB457" s="299"/>
      <c r="AC457" s="300"/>
      <c r="AD457" s="300"/>
    </row>
    <row r="458" spans="1:30" ht="12.75" customHeight="1" x14ac:dyDescent="0.2">
      <c r="A458" s="296"/>
      <c r="B458" s="296"/>
      <c r="C458" s="296"/>
      <c r="D458" s="297"/>
      <c r="E458" s="298"/>
      <c r="F458" s="296"/>
      <c r="G458" s="296"/>
      <c r="H458" s="296"/>
      <c r="I458" s="296"/>
      <c r="J458" s="296"/>
      <c r="K458" s="296"/>
      <c r="L458" s="296"/>
      <c r="M458" s="299"/>
      <c r="N458" s="299"/>
      <c r="O458" s="299"/>
      <c r="P458" s="299"/>
      <c r="Q458" s="299"/>
      <c r="R458" s="299"/>
      <c r="S458" s="299"/>
      <c r="T458" s="299"/>
      <c r="U458" s="299"/>
      <c r="V458" s="299"/>
      <c r="W458" s="299"/>
      <c r="X458" s="299"/>
      <c r="Y458" s="299"/>
      <c r="Z458" s="299"/>
      <c r="AA458" s="299"/>
      <c r="AB458" s="299"/>
      <c r="AC458" s="300"/>
      <c r="AD458" s="300"/>
    </row>
    <row r="459" spans="1:30" ht="12.75" customHeight="1" x14ac:dyDescent="0.2">
      <c r="A459" s="296"/>
      <c r="B459" s="296"/>
      <c r="C459" s="296"/>
      <c r="D459" s="297"/>
      <c r="E459" s="298"/>
      <c r="F459" s="296"/>
      <c r="G459" s="296"/>
      <c r="H459" s="296"/>
      <c r="I459" s="296"/>
      <c r="J459" s="296"/>
      <c r="K459" s="296"/>
      <c r="L459" s="296"/>
      <c r="M459" s="299"/>
      <c r="N459" s="299"/>
      <c r="O459" s="299"/>
      <c r="P459" s="299"/>
      <c r="Q459" s="299"/>
      <c r="R459" s="299"/>
      <c r="S459" s="299"/>
      <c r="T459" s="299"/>
      <c r="U459" s="299"/>
      <c r="V459" s="299"/>
      <c r="W459" s="299"/>
      <c r="X459" s="299"/>
      <c r="Y459" s="299"/>
      <c r="Z459" s="299"/>
      <c r="AA459" s="299"/>
      <c r="AB459" s="299"/>
      <c r="AC459" s="300"/>
      <c r="AD459" s="300"/>
    </row>
    <row r="460" spans="1:30" ht="12.75" customHeight="1" x14ac:dyDescent="0.2">
      <c r="A460" s="296"/>
      <c r="B460" s="296"/>
      <c r="C460" s="296"/>
      <c r="D460" s="297"/>
      <c r="E460" s="298"/>
      <c r="F460" s="296"/>
      <c r="G460" s="296"/>
      <c r="H460" s="296"/>
      <c r="I460" s="296"/>
      <c r="J460" s="296"/>
      <c r="K460" s="296"/>
      <c r="L460" s="296"/>
      <c r="M460" s="299"/>
      <c r="N460" s="299"/>
      <c r="O460" s="299"/>
      <c r="P460" s="299"/>
      <c r="Q460" s="299"/>
      <c r="R460" s="299"/>
      <c r="S460" s="299"/>
      <c r="T460" s="299"/>
      <c r="U460" s="299"/>
      <c r="V460" s="299"/>
      <c r="W460" s="299"/>
      <c r="X460" s="299"/>
      <c r="Y460" s="299"/>
      <c r="Z460" s="299"/>
      <c r="AA460" s="299"/>
      <c r="AB460" s="299"/>
      <c r="AC460" s="300"/>
      <c r="AD460" s="300"/>
    </row>
    <row r="461" spans="1:30" ht="12.75" customHeight="1" x14ac:dyDescent="0.2">
      <c r="A461" s="296"/>
      <c r="B461" s="296"/>
      <c r="C461" s="296"/>
      <c r="D461" s="297"/>
      <c r="E461" s="298"/>
      <c r="F461" s="296"/>
      <c r="G461" s="296"/>
      <c r="H461" s="296"/>
      <c r="I461" s="296"/>
      <c r="J461" s="296"/>
      <c r="K461" s="296"/>
      <c r="L461" s="296"/>
      <c r="M461" s="299"/>
      <c r="N461" s="299"/>
      <c r="O461" s="299"/>
      <c r="P461" s="299"/>
      <c r="Q461" s="299"/>
      <c r="R461" s="299"/>
      <c r="S461" s="299"/>
      <c r="T461" s="299"/>
      <c r="U461" s="299"/>
      <c r="V461" s="299"/>
      <c r="W461" s="299"/>
      <c r="X461" s="299"/>
      <c r="Y461" s="299"/>
      <c r="Z461" s="299"/>
      <c r="AA461" s="299"/>
      <c r="AB461" s="299"/>
      <c r="AC461" s="300"/>
      <c r="AD461" s="300"/>
    </row>
    <row r="462" spans="1:30" ht="12.75" customHeight="1" x14ac:dyDescent="0.2">
      <c r="A462" s="296"/>
      <c r="B462" s="296"/>
      <c r="C462" s="296"/>
      <c r="D462" s="297"/>
      <c r="E462" s="298"/>
      <c r="F462" s="296"/>
      <c r="G462" s="296"/>
      <c r="H462" s="296"/>
      <c r="I462" s="296"/>
      <c r="J462" s="296"/>
      <c r="K462" s="296"/>
      <c r="L462" s="296"/>
      <c r="M462" s="299"/>
      <c r="N462" s="299"/>
      <c r="O462" s="299"/>
      <c r="P462" s="299"/>
      <c r="Q462" s="299"/>
      <c r="R462" s="299"/>
      <c r="S462" s="299"/>
      <c r="T462" s="299"/>
      <c r="U462" s="299"/>
      <c r="V462" s="299"/>
      <c r="W462" s="299"/>
      <c r="X462" s="299"/>
      <c r="Y462" s="299"/>
      <c r="Z462" s="299"/>
      <c r="AA462" s="299"/>
      <c r="AB462" s="299"/>
      <c r="AC462" s="300"/>
      <c r="AD462" s="300"/>
    </row>
    <row r="463" spans="1:30" ht="12.75" customHeight="1" x14ac:dyDescent="0.2">
      <c r="A463" s="296"/>
      <c r="B463" s="296"/>
      <c r="C463" s="296"/>
      <c r="D463" s="297"/>
      <c r="E463" s="298"/>
      <c r="F463" s="296"/>
      <c r="G463" s="296"/>
      <c r="H463" s="296"/>
      <c r="I463" s="296"/>
      <c r="J463" s="296"/>
      <c r="K463" s="296"/>
      <c r="L463" s="296"/>
      <c r="M463" s="299"/>
      <c r="N463" s="299"/>
      <c r="O463" s="299"/>
      <c r="P463" s="299"/>
      <c r="Q463" s="299"/>
      <c r="R463" s="299"/>
      <c r="S463" s="299"/>
      <c r="T463" s="299"/>
      <c r="U463" s="299"/>
      <c r="V463" s="299"/>
      <c r="W463" s="299"/>
      <c r="X463" s="299"/>
      <c r="Y463" s="299"/>
      <c r="Z463" s="299"/>
      <c r="AA463" s="299"/>
      <c r="AB463" s="299"/>
      <c r="AC463" s="300"/>
      <c r="AD463" s="300"/>
    </row>
    <row r="464" spans="1:30" ht="12.75" customHeight="1" x14ac:dyDescent="0.2">
      <c r="A464" s="296"/>
      <c r="B464" s="296"/>
      <c r="C464" s="296"/>
      <c r="D464" s="297"/>
      <c r="E464" s="298"/>
      <c r="F464" s="296"/>
      <c r="G464" s="296"/>
      <c r="H464" s="296"/>
      <c r="I464" s="296"/>
      <c r="J464" s="296"/>
      <c r="K464" s="296"/>
      <c r="L464" s="296"/>
      <c r="M464" s="299"/>
      <c r="N464" s="299"/>
      <c r="O464" s="299"/>
      <c r="P464" s="299"/>
      <c r="Q464" s="299"/>
      <c r="R464" s="299"/>
      <c r="S464" s="299"/>
      <c r="T464" s="299"/>
      <c r="U464" s="299"/>
      <c r="V464" s="299"/>
      <c r="W464" s="299"/>
      <c r="X464" s="299"/>
      <c r="Y464" s="299"/>
      <c r="Z464" s="299"/>
      <c r="AA464" s="299"/>
      <c r="AB464" s="299"/>
      <c r="AC464" s="300"/>
      <c r="AD464" s="300"/>
    </row>
    <row r="465" spans="1:30" ht="12.75" customHeight="1" x14ac:dyDescent="0.2">
      <c r="A465" s="296"/>
      <c r="B465" s="296"/>
      <c r="C465" s="296"/>
      <c r="D465" s="297"/>
      <c r="E465" s="298"/>
      <c r="F465" s="296"/>
      <c r="G465" s="296"/>
      <c r="H465" s="296"/>
      <c r="I465" s="296"/>
      <c r="J465" s="296"/>
      <c r="K465" s="296"/>
      <c r="L465" s="296"/>
      <c r="M465" s="299"/>
      <c r="N465" s="299"/>
      <c r="O465" s="299"/>
      <c r="P465" s="299"/>
      <c r="Q465" s="299"/>
      <c r="R465" s="299"/>
      <c r="S465" s="299"/>
      <c r="T465" s="299"/>
      <c r="U465" s="299"/>
      <c r="V465" s="299"/>
      <c r="W465" s="299"/>
      <c r="X465" s="299"/>
      <c r="Y465" s="299"/>
      <c r="Z465" s="299"/>
      <c r="AA465" s="299"/>
      <c r="AB465" s="299"/>
      <c r="AC465" s="300"/>
      <c r="AD465" s="300"/>
    </row>
    <row r="466" spans="1:30" ht="12.75" customHeight="1" x14ac:dyDescent="0.2">
      <c r="A466" s="296"/>
      <c r="B466" s="296"/>
      <c r="C466" s="296"/>
      <c r="D466" s="297"/>
      <c r="E466" s="298"/>
      <c r="F466" s="296"/>
      <c r="G466" s="296"/>
      <c r="H466" s="296"/>
      <c r="I466" s="296"/>
      <c r="J466" s="296"/>
      <c r="K466" s="296"/>
      <c r="L466" s="296"/>
      <c r="M466" s="299"/>
      <c r="N466" s="299"/>
      <c r="O466" s="299"/>
      <c r="P466" s="299"/>
      <c r="Q466" s="299"/>
      <c r="R466" s="299"/>
      <c r="S466" s="299"/>
      <c r="T466" s="299"/>
      <c r="U466" s="299"/>
      <c r="V466" s="299"/>
      <c r="W466" s="299"/>
      <c r="X466" s="299"/>
      <c r="Y466" s="299"/>
      <c r="Z466" s="299"/>
      <c r="AA466" s="299"/>
      <c r="AB466" s="299"/>
      <c r="AC466" s="300"/>
      <c r="AD466" s="300"/>
    </row>
    <row r="467" spans="1:30" ht="12.75" customHeight="1" x14ac:dyDescent="0.2">
      <c r="A467" s="296"/>
      <c r="B467" s="296"/>
      <c r="C467" s="296"/>
      <c r="D467" s="297"/>
      <c r="E467" s="298"/>
      <c r="F467" s="296"/>
      <c r="G467" s="296"/>
      <c r="H467" s="296"/>
      <c r="I467" s="296"/>
      <c r="J467" s="296"/>
      <c r="K467" s="296"/>
      <c r="L467" s="296"/>
      <c r="M467" s="299"/>
      <c r="N467" s="299"/>
      <c r="O467" s="299"/>
      <c r="P467" s="299"/>
      <c r="Q467" s="299"/>
      <c r="R467" s="299"/>
      <c r="S467" s="299"/>
      <c r="T467" s="299"/>
      <c r="U467" s="299"/>
      <c r="V467" s="299"/>
      <c r="W467" s="299"/>
      <c r="X467" s="299"/>
      <c r="Y467" s="299"/>
      <c r="Z467" s="299"/>
      <c r="AA467" s="299"/>
      <c r="AB467" s="299"/>
      <c r="AC467" s="300"/>
      <c r="AD467" s="300"/>
    </row>
    <row r="468" spans="1:30" ht="12.75" customHeight="1" x14ac:dyDescent="0.2">
      <c r="A468" s="296"/>
      <c r="B468" s="296"/>
      <c r="C468" s="296"/>
      <c r="D468" s="297"/>
      <c r="E468" s="298"/>
      <c r="F468" s="296"/>
      <c r="G468" s="296"/>
      <c r="H468" s="296"/>
      <c r="I468" s="296"/>
      <c r="J468" s="296"/>
      <c r="K468" s="296"/>
      <c r="L468" s="296"/>
      <c r="M468" s="299"/>
      <c r="N468" s="299"/>
      <c r="O468" s="299"/>
      <c r="P468" s="299"/>
      <c r="Q468" s="299"/>
      <c r="R468" s="299"/>
      <c r="S468" s="299"/>
      <c r="T468" s="299"/>
      <c r="U468" s="299"/>
      <c r="V468" s="299"/>
      <c r="W468" s="299"/>
      <c r="X468" s="299"/>
      <c r="Y468" s="299"/>
      <c r="Z468" s="299"/>
      <c r="AA468" s="299"/>
      <c r="AB468" s="299"/>
      <c r="AC468" s="300"/>
      <c r="AD468" s="300"/>
    </row>
    <row r="469" spans="1:30" ht="12.75" customHeight="1" x14ac:dyDescent="0.2">
      <c r="A469" s="296"/>
      <c r="B469" s="296"/>
      <c r="C469" s="296"/>
      <c r="D469" s="297"/>
      <c r="E469" s="298"/>
      <c r="F469" s="296"/>
      <c r="G469" s="296"/>
      <c r="H469" s="296"/>
      <c r="I469" s="296"/>
      <c r="J469" s="296"/>
      <c r="K469" s="296"/>
      <c r="L469" s="296"/>
      <c r="M469" s="299"/>
      <c r="N469" s="299"/>
      <c r="O469" s="299"/>
      <c r="P469" s="299"/>
      <c r="Q469" s="299"/>
      <c r="R469" s="299"/>
      <c r="S469" s="299"/>
      <c r="T469" s="299"/>
      <c r="U469" s="299"/>
      <c r="V469" s="299"/>
      <c r="W469" s="299"/>
      <c r="X469" s="299"/>
      <c r="Y469" s="299"/>
      <c r="Z469" s="299"/>
      <c r="AA469" s="299"/>
      <c r="AB469" s="299"/>
      <c r="AC469" s="300"/>
      <c r="AD469" s="300"/>
    </row>
    <row r="470" spans="1:30" ht="12.75" customHeight="1" x14ac:dyDescent="0.2">
      <c r="A470" s="296"/>
      <c r="B470" s="296"/>
      <c r="C470" s="296"/>
      <c r="D470" s="297"/>
      <c r="E470" s="298"/>
      <c r="F470" s="296"/>
      <c r="G470" s="296"/>
      <c r="H470" s="296"/>
      <c r="I470" s="296"/>
      <c r="J470" s="296"/>
      <c r="K470" s="296"/>
      <c r="L470" s="296"/>
      <c r="M470" s="299"/>
      <c r="N470" s="299"/>
      <c r="O470" s="299"/>
      <c r="P470" s="299"/>
      <c r="Q470" s="299"/>
      <c r="R470" s="299"/>
      <c r="S470" s="299"/>
      <c r="T470" s="299"/>
      <c r="U470" s="299"/>
      <c r="V470" s="299"/>
      <c r="W470" s="299"/>
      <c r="X470" s="299"/>
      <c r="Y470" s="299"/>
      <c r="Z470" s="299"/>
      <c r="AA470" s="299"/>
      <c r="AB470" s="299"/>
      <c r="AC470" s="300"/>
      <c r="AD470" s="300"/>
    </row>
    <row r="471" spans="1:30" ht="12.75" customHeight="1" x14ac:dyDescent="0.2">
      <c r="A471" s="296"/>
      <c r="B471" s="296"/>
      <c r="C471" s="296"/>
      <c r="D471" s="297"/>
      <c r="E471" s="298"/>
      <c r="F471" s="296"/>
      <c r="G471" s="296"/>
      <c r="H471" s="296"/>
      <c r="I471" s="296"/>
      <c r="J471" s="296"/>
      <c r="K471" s="296"/>
      <c r="L471" s="296"/>
      <c r="M471" s="299"/>
      <c r="N471" s="299"/>
      <c r="O471" s="299"/>
      <c r="P471" s="299"/>
      <c r="Q471" s="299"/>
      <c r="R471" s="299"/>
      <c r="S471" s="299"/>
      <c r="T471" s="299"/>
      <c r="U471" s="299"/>
      <c r="V471" s="299"/>
      <c r="W471" s="299"/>
      <c r="X471" s="299"/>
      <c r="Y471" s="299"/>
      <c r="Z471" s="299"/>
      <c r="AA471" s="299"/>
      <c r="AB471" s="299"/>
      <c r="AC471" s="300"/>
      <c r="AD471" s="300"/>
    </row>
    <row r="472" spans="1:30" ht="12.75" customHeight="1" x14ac:dyDescent="0.2">
      <c r="A472" s="296"/>
      <c r="B472" s="296"/>
      <c r="C472" s="296"/>
      <c r="D472" s="297"/>
      <c r="E472" s="298"/>
      <c r="F472" s="296"/>
      <c r="G472" s="296"/>
      <c r="H472" s="296"/>
      <c r="I472" s="296"/>
      <c r="J472" s="296"/>
      <c r="K472" s="296"/>
      <c r="L472" s="296"/>
      <c r="M472" s="299"/>
      <c r="N472" s="299"/>
      <c r="O472" s="299"/>
      <c r="P472" s="299"/>
      <c r="Q472" s="299"/>
      <c r="R472" s="299"/>
      <c r="S472" s="299"/>
      <c r="T472" s="299"/>
      <c r="U472" s="299"/>
      <c r="V472" s="299"/>
      <c r="W472" s="299"/>
      <c r="X472" s="299"/>
      <c r="Y472" s="299"/>
      <c r="Z472" s="299"/>
      <c r="AA472" s="299"/>
      <c r="AB472" s="299"/>
      <c r="AC472" s="300"/>
      <c r="AD472" s="300"/>
    </row>
    <row r="473" spans="1:30" ht="12.75" customHeight="1" x14ac:dyDescent="0.2">
      <c r="A473" s="296"/>
      <c r="B473" s="296"/>
      <c r="C473" s="296"/>
      <c r="D473" s="297"/>
      <c r="E473" s="298"/>
      <c r="F473" s="296"/>
      <c r="G473" s="296"/>
      <c r="H473" s="296"/>
      <c r="I473" s="296"/>
      <c r="J473" s="296"/>
      <c r="K473" s="296"/>
      <c r="L473" s="296"/>
      <c r="M473" s="299"/>
      <c r="N473" s="299"/>
      <c r="O473" s="299"/>
      <c r="P473" s="299"/>
      <c r="Q473" s="299"/>
      <c r="R473" s="299"/>
      <c r="S473" s="299"/>
      <c r="T473" s="299"/>
      <c r="U473" s="299"/>
      <c r="V473" s="299"/>
      <c r="W473" s="299"/>
      <c r="X473" s="299"/>
      <c r="Y473" s="299"/>
      <c r="Z473" s="299"/>
      <c r="AA473" s="299"/>
      <c r="AB473" s="299"/>
      <c r="AC473" s="300"/>
      <c r="AD473" s="300"/>
    </row>
    <row r="474" spans="1:30" ht="12.75" customHeight="1" x14ac:dyDescent="0.2">
      <c r="A474" s="296"/>
      <c r="B474" s="296"/>
      <c r="C474" s="296"/>
      <c r="D474" s="297"/>
      <c r="E474" s="298"/>
      <c r="F474" s="296"/>
      <c r="G474" s="296"/>
      <c r="H474" s="296"/>
      <c r="I474" s="296"/>
      <c r="J474" s="296"/>
      <c r="K474" s="296"/>
      <c r="L474" s="296"/>
      <c r="M474" s="299"/>
      <c r="N474" s="299"/>
      <c r="O474" s="299"/>
      <c r="P474" s="299"/>
      <c r="Q474" s="299"/>
      <c r="R474" s="299"/>
      <c r="S474" s="299"/>
      <c r="T474" s="299"/>
      <c r="U474" s="299"/>
      <c r="V474" s="299"/>
      <c r="W474" s="299"/>
      <c r="X474" s="299"/>
      <c r="Y474" s="299"/>
      <c r="Z474" s="299"/>
      <c r="AA474" s="299"/>
      <c r="AB474" s="299"/>
      <c r="AC474" s="300"/>
      <c r="AD474" s="300"/>
    </row>
    <row r="475" spans="1:30" ht="12.75" customHeight="1" x14ac:dyDescent="0.2">
      <c r="A475" s="296"/>
      <c r="B475" s="296"/>
      <c r="C475" s="296"/>
      <c r="D475" s="297"/>
      <c r="E475" s="298"/>
      <c r="F475" s="296"/>
      <c r="G475" s="296"/>
      <c r="H475" s="296"/>
      <c r="I475" s="296"/>
      <c r="J475" s="296"/>
      <c r="K475" s="296"/>
      <c r="L475" s="296"/>
      <c r="M475" s="299"/>
      <c r="N475" s="299"/>
      <c r="O475" s="299"/>
      <c r="P475" s="299"/>
      <c r="Q475" s="299"/>
      <c r="R475" s="299"/>
      <c r="S475" s="299"/>
      <c r="T475" s="299"/>
      <c r="U475" s="299"/>
      <c r="V475" s="299"/>
      <c r="W475" s="299"/>
      <c r="X475" s="299"/>
      <c r="Y475" s="299"/>
      <c r="Z475" s="299"/>
      <c r="AA475" s="299"/>
      <c r="AB475" s="299"/>
      <c r="AC475" s="300"/>
      <c r="AD475" s="300"/>
    </row>
    <row r="476" spans="1:30" ht="12.75" customHeight="1" x14ac:dyDescent="0.2">
      <c r="A476" s="296"/>
      <c r="B476" s="296"/>
      <c r="C476" s="296"/>
      <c r="D476" s="297"/>
      <c r="E476" s="298"/>
      <c r="F476" s="296"/>
      <c r="G476" s="296"/>
      <c r="H476" s="296"/>
      <c r="I476" s="296"/>
      <c r="J476" s="296"/>
      <c r="K476" s="296"/>
      <c r="L476" s="296"/>
      <c r="M476" s="299"/>
      <c r="N476" s="299"/>
      <c r="O476" s="299"/>
      <c r="P476" s="299"/>
      <c r="Q476" s="299"/>
      <c r="R476" s="299"/>
      <c r="S476" s="299"/>
      <c r="T476" s="299"/>
      <c r="U476" s="299"/>
      <c r="V476" s="299"/>
      <c r="W476" s="299"/>
      <c r="X476" s="299"/>
      <c r="Y476" s="299"/>
      <c r="Z476" s="299"/>
      <c r="AA476" s="299"/>
      <c r="AB476" s="299"/>
      <c r="AC476" s="300"/>
      <c r="AD476" s="300"/>
    </row>
    <row r="477" spans="1:30" ht="12.75" customHeight="1" x14ac:dyDescent="0.2">
      <c r="A477" s="296"/>
      <c r="B477" s="296"/>
      <c r="C477" s="296"/>
      <c r="D477" s="297"/>
      <c r="E477" s="298"/>
      <c r="F477" s="296"/>
      <c r="G477" s="296"/>
      <c r="H477" s="296"/>
      <c r="I477" s="296"/>
      <c r="J477" s="296"/>
      <c r="K477" s="296"/>
      <c r="L477" s="296"/>
      <c r="M477" s="299"/>
      <c r="N477" s="299"/>
      <c r="O477" s="299"/>
      <c r="P477" s="299"/>
      <c r="Q477" s="299"/>
      <c r="R477" s="299"/>
      <c r="S477" s="299"/>
      <c r="T477" s="299"/>
      <c r="U477" s="299"/>
      <c r="V477" s="299"/>
      <c r="W477" s="299"/>
      <c r="X477" s="299"/>
      <c r="Y477" s="299"/>
      <c r="Z477" s="299"/>
      <c r="AA477" s="299"/>
      <c r="AB477" s="299"/>
      <c r="AC477" s="300"/>
      <c r="AD477" s="300"/>
    </row>
    <row r="478" spans="1:30" ht="12.75" customHeight="1" x14ac:dyDescent="0.2">
      <c r="A478" s="296"/>
      <c r="B478" s="296"/>
      <c r="C478" s="296"/>
      <c r="D478" s="297"/>
      <c r="E478" s="298"/>
      <c r="F478" s="296"/>
      <c r="G478" s="296"/>
      <c r="H478" s="296"/>
      <c r="I478" s="296"/>
      <c r="J478" s="296"/>
      <c r="K478" s="296"/>
      <c r="L478" s="296"/>
      <c r="M478" s="299"/>
      <c r="N478" s="299"/>
      <c r="O478" s="299"/>
      <c r="P478" s="299"/>
      <c r="Q478" s="299"/>
      <c r="R478" s="299"/>
      <c r="S478" s="299"/>
      <c r="T478" s="299"/>
      <c r="U478" s="299"/>
      <c r="V478" s="299"/>
      <c r="W478" s="299"/>
      <c r="X478" s="299"/>
      <c r="Y478" s="299"/>
      <c r="Z478" s="299"/>
      <c r="AA478" s="299"/>
      <c r="AB478" s="299"/>
      <c r="AC478" s="300"/>
      <c r="AD478" s="300"/>
    </row>
    <row r="479" spans="1:30" ht="12.75" customHeight="1" x14ac:dyDescent="0.2">
      <c r="A479" s="296"/>
      <c r="B479" s="296"/>
      <c r="C479" s="296"/>
      <c r="D479" s="297"/>
      <c r="E479" s="298"/>
      <c r="F479" s="296"/>
      <c r="G479" s="296"/>
      <c r="H479" s="296"/>
      <c r="I479" s="296"/>
      <c r="J479" s="296"/>
      <c r="K479" s="296"/>
      <c r="L479" s="296"/>
      <c r="M479" s="299"/>
      <c r="N479" s="299"/>
      <c r="O479" s="299"/>
      <c r="P479" s="299"/>
      <c r="Q479" s="299"/>
      <c r="R479" s="299"/>
      <c r="S479" s="299"/>
      <c r="T479" s="299"/>
      <c r="U479" s="299"/>
      <c r="V479" s="299"/>
      <c r="W479" s="299"/>
      <c r="X479" s="299"/>
      <c r="Y479" s="299"/>
      <c r="Z479" s="299"/>
      <c r="AA479" s="299"/>
      <c r="AB479" s="299"/>
      <c r="AC479" s="300"/>
      <c r="AD479" s="300"/>
    </row>
    <row r="480" spans="1:30" ht="12.75" customHeight="1" x14ac:dyDescent="0.2">
      <c r="A480" s="296"/>
      <c r="B480" s="296"/>
      <c r="C480" s="296"/>
      <c r="D480" s="297"/>
      <c r="E480" s="298"/>
      <c r="F480" s="296"/>
      <c r="G480" s="296"/>
      <c r="H480" s="296"/>
      <c r="I480" s="296"/>
      <c r="J480" s="296"/>
      <c r="K480" s="296"/>
      <c r="L480" s="296"/>
      <c r="M480" s="299"/>
      <c r="N480" s="299"/>
      <c r="O480" s="299"/>
      <c r="P480" s="299"/>
      <c r="Q480" s="299"/>
      <c r="R480" s="299"/>
      <c r="S480" s="299"/>
      <c r="T480" s="299"/>
      <c r="U480" s="299"/>
      <c r="V480" s="299"/>
      <c r="W480" s="299"/>
      <c r="X480" s="299"/>
      <c r="Y480" s="299"/>
      <c r="Z480" s="299"/>
      <c r="AA480" s="299"/>
      <c r="AB480" s="299"/>
      <c r="AC480" s="300"/>
      <c r="AD480" s="300"/>
    </row>
    <row r="481" spans="1:30" ht="12.75" customHeight="1" x14ac:dyDescent="0.2">
      <c r="A481" s="296"/>
      <c r="B481" s="296"/>
      <c r="C481" s="296"/>
      <c r="D481" s="297"/>
      <c r="E481" s="298"/>
      <c r="F481" s="296"/>
      <c r="G481" s="296"/>
      <c r="H481" s="296"/>
      <c r="I481" s="296"/>
      <c r="J481" s="296"/>
      <c r="K481" s="296"/>
      <c r="L481" s="296"/>
      <c r="M481" s="299"/>
      <c r="N481" s="299"/>
      <c r="O481" s="299"/>
      <c r="P481" s="299"/>
      <c r="Q481" s="299"/>
      <c r="R481" s="299"/>
      <c r="S481" s="299"/>
      <c r="T481" s="299"/>
      <c r="U481" s="299"/>
      <c r="V481" s="299"/>
      <c r="W481" s="299"/>
      <c r="X481" s="299"/>
      <c r="Y481" s="299"/>
      <c r="Z481" s="299"/>
      <c r="AA481" s="299"/>
      <c r="AB481" s="299"/>
      <c r="AC481" s="300"/>
      <c r="AD481" s="300"/>
    </row>
    <row r="482" spans="1:30" ht="12.75" customHeight="1" x14ac:dyDescent="0.2">
      <c r="A482" s="296"/>
      <c r="B482" s="296"/>
      <c r="C482" s="296"/>
      <c r="D482" s="297"/>
      <c r="E482" s="298"/>
      <c r="F482" s="296"/>
      <c r="G482" s="296"/>
      <c r="H482" s="296"/>
      <c r="I482" s="296"/>
      <c r="J482" s="296"/>
      <c r="K482" s="296"/>
      <c r="L482" s="296"/>
      <c r="M482" s="299"/>
      <c r="N482" s="299"/>
      <c r="O482" s="299"/>
      <c r="P482" s="299"/>
      <c r="Q482" s="299"/>
      <c r="R482" s="299"/>
      <c r="S482" s="299"/>
      <c r="T482" s="299"/>
      <c r="U482" s="299"/>
      <c r="V482" s="299"/>
      <c r="W482" s="299"/>
      <c r="X482" s="299"/>
      <c r="Y482" s="299"/>
      <c r="Z482" s="299"/>
      <c r="AA482" s="299"/>
      <c r="AB482" s="299"/>
      <c r="AC482" s="300"/>
      <c r="AD482" s="300"/>
    </row>
    <row r="483" spans="1:30" ht="12.75" customHeight="1" x14ac:dyDescent="0.2">
      <c r="A483" s="296"/>
      <c r="B483" s="296"/>
      <c r="C483" s="296"/>
      <c r="D483" s="297"/>
      <c r="E483" s="298"/>
      <c r="F483" s="296"/>
      <c r="G483" s="296"/>
      <c r="H483" s="296"/>
      <c r="I483" s="296"/>
      <c r="J483" s="296"/>
      <c r="K483" s="296"/>
      <c r="L483" s="296"/>
      <c r="M483" s="299"/>
      <c r="N483" s="299"/>
      <c r="O483" s="299"/>
      <c r="P483" s="299"/>
      <c r="Q483" s="299"/>
      <c r="R483" s="299"/>
      <c r="S483" s="299"/>
      <c r="T483" s="299"/>
      <c r="U483" s="299"/>
      <c r="V483" s="299"/>
      <c r="W483" s="299"/>
      <c r="X483" s="299"/>
      <c r="Y483" s="299"/>
      <c r="Z483" s="299"/>
      <c r="AA483" s="299"/>
      <c r="AB483" s="299"/>
      <c r="AC483" s="300"/>
      <c r="AD483" s="300"/>
    </row>
    <row r="484" spans="1:30" ht="12.75" customHeight="1" x14ac:dyDescent="0.2">
      <c r="A484" s="296"/>
      <c r="B484" s="296"/>
      <c r="C484" s="296"/>
      <c r="D484" s="297"/>
      <c r="E484" s="298"/>
      <c r="F484" s="296"/>
      <c r="G484" s="296"/>
      <c r="H484" s="296"/>
      <c r="I484" s="296"/>
      <c r="J484" s="296"/>
      <c r="K484" s="296"/>
      <c r="L484" s="296"/>
      <c r="M484" s="299"/>
      <c r="N484" s="299"/>
      <c r="O484" s="299"/>
      <c r="P484" s="299"/>
      <c r="Q484" s="299"/>
      <c r="R484" s="299"/>
      <c r="S484" s="299"/>
      <c r="T484" s="299"/>
      <c r="U484" s="299"/>
      <c r="V484" s="299"/>
      <c r="W484" s="299"/>
      <c r="X484" s="299"/>
      <c r="Y484" s="299"/>
      <c r="Z484" s="299"/>
      <c r="AA484" s="299"/>
      <c r="AB484" s="299"/>
      <c r="AC484" s="300"/>
      <c r="AD484" s="300"/>
    </row>
    <row r="485" spans="1:30" ht="12.75" customHeight="1" x14ac:dyDescent="0.2">
      <c r="A485" s="296"/>
      <c r="B485" s="296"/>
      <c r="C485" s="296"/>
      <c r="D485" s="297"/>
      <c r="E485" s="298"/>
      <c r="F485" s="296"/>
      <c r="G485" s="296"/>
      <c r="H485" s="296"/>
      <c r="I485" s="296"/>
      <c r="J485" s="296"/>
      <c r="K485" s="296"/>
      <c r="L485" s="296"/>
      <c r="M485" s="299"/>
      <c r="N485" s="299"/>
      <c r="O485" s="299"/>
      <c r="P485" s="299"/>
      <c r="Q485" s="299"/>
      <c r="R485" s="299"/>
      <c r="S485" s="299"/>
      <c r="T485" s="299"/>
      <c r="U485" s="299"/>
      <c r="V485" s="299"/>
      <c r="W485" s="299"/>
      <c r="X485" s="299"/>
      <c r="Y485" s="299"/>
      <c r="Z485" s="299"/>
      <c r="AA485" s="299"/>
      <c r="AB485" s="299"/>
      <c r="AC485" s="300"/>
      <c r="AD485" s="300"/>
    </row>
    <row r="486" spans="1:30" ht="12.75" customHeight="1" x14ac:dyDescent="0.2">
      <c r="A486" s="296"/>
      <c r="B486" s="296"/>
      <c r="C486" s="296"/>
      <c r="D486" s="297"/>
      <c r="E486" s="298"/>
      <c r="F486" s="296"/>
      <c r="G486" s="296"/>
      <c r="H486" s="296"/>
      <c r="I486" s="296"/>
      <c r="J486" s="296"/>
      <c r="K486" s="296"/>
      <c r="L486" s="296"/>
      <c r="M486" s="299"/>
      <c r="N486" s="299"/>
      <c r="O486" s="299"/>
      <c r="P486" s="299"/>
      <c r="Q486" s="299"/>
      <c r="R486" s="299"/>
      <c r="S486" s="299"/>
      <c r="T486" s="299"/>
      <c r="U486" s="299"/>
      <c r="V486" s="299"/>
      <c r="W486" s="299"/>
      <c r="X486" s="299"/>
      <c r="Y486" s="299"/>
      <c r="Z486" s="299"/>
      <c r="AA486" s="299"/>
      <c r="AB486" s="299"/>
      <c r="AC486" s="300"/>
      <c r="AD486" s="300"/>
    </row>
    <row r="487" spans="1:30" ht="12.75" customHeight="1" x14ac:dyDescent="0.2">
      <c r="A487" s="296"/>
      <c r="B487" s="296"/>
      <c r="C487" s="296"/>
      <c r="D487" s="297"/>
      <c r="E487" s="298"/>
      <c r="F487" s="296"/>
      <c r="G487" s="296"/>
      <c r="H487" s="296"/>
      <c r="I487" s="296"/>
      <c r="J487" s="296"/>
      <c r="K487" s="296"/>
      <c r="L487" s="296"/>
      <c r="M487" s="299"/>
      <c r="N487" s="299"/>
      <c r="O487" s="299"/>
      <c r="P487" s="299"/>
      <c r="Q487" s="299"/>
      <c r="R487" s="299"/>
      <c r="S487" s="299"/>
      <c r="T487" s="299"/>
      <c r="U487" s="299"/>
      <c r="V487" s="299"/>
      <c r="W487" s="299"/>
      <c r="X487" s="299"/>
      <c r="Y487" s="299"/>
      <c r="Z487" s="299"/>
      <c r="AA487" s="299"/>
      <c r="AB487" s="299"/>
      <c r="AC487" s="300"/>
      <c r="AD487" s="300"/>
    </row>
    <row r="488" spans="1:30" ht="12.75" customHeight="1" x14ac:dyDescent="0.2">
      <c r="A488" s="296"/>
      <c r="B488" s="296"/>
      <c r="C488" s="296"/>
      <c r="D488" s="297"/>
      <c r="E488" s="298"/>
      <c r="F488" s="296"/>
      <c r="G488" s="296"/>
      <c r="H488" s="296"/>
      <c r="I488" s="296"/>
      <c r="J488" s="296"/>
      <c r="K488" s="296"/>
      <c r="L488" s="296"/>
      <c r="M488" s="299"/>
      <c r="N488" s="299"/>
      <c r="O488" s="299"/>
      <c r="P488" s="299"/>
      <c r="Q488" s="299"/>
      <c r="R488" s="299"/>
      <c r="S488" s="299"/>
      <c r="T488" s="299"/>
      <c r="U488" s="299"/>
      <c r="V488" s="299"/>
      <c r="W488" s="299"/>
      <c r="X488" s="299"/>
      <c r="Y488" s="299"/>
      <c r="Z488" s="299"/>
      <c r="AA488" s="299"/>
      <c r="AB488" s="299"/>
      <c r="AC488" s="300"/>
      <c r="AD488" s="300"/>
    </row>
    <row r="489" spans="1:30" ht="12.75" customHeight="1" x14ac:dyDescent="0.2">
      <c r="A489" s="296"/>
      <c r="B489" s="296"/>
      <c r="C489" s="296"/>
      <c r="D489" s="297"/>
      <c r="E489" s="298"/>
      <c r="F489" s="296"/>
      <c r="G489" s="296"/>
      <c r="H489" s="296"/>
      <c r="I489" s="296"/>
      <c r="J489" s="296"/>
      <c r="K489" s="296"/>
      <c r="L489" s="296"/>
      <c r="M489" s="299"/>
      <c r="N489" s="299"/>
      <c r="O489" s="299"/>
      <c r="P489" s="299"/>
      <c r="Q489" s="299"/>
      <c r="R489" s="299"/>
      <c r="S489" s="299"/>
      <c r="T489" s="299"/>
      <c r="U489" s="299"/>
      <c r="V489" s="299"/>
      <c r="W489" s="299"/>
      <c r="X489" s="299"/>
      <c r="Y489" s="299"/>
      <c r="Z489" s="299"/>
      <c r="AA489" s="299"/>
      <c r="AB489" s="299"/>
      <c r="AC489" s="300"/>
      <c r="AD489" s="300"/>
    </row>
    <row r="490" spans="1:30" ht="12.75" customHeight="1" x14ac:dyDescent="0.2">
      <c r="A490" s="296"/>
      <c r="B490" s="296"/>
      <c r="C490" s="296"/>
      <c r="D490" s="297"/>
      <c r="E490" s="298"/>
      <c r="F490" s="296"/>
      <c r="G490" s="296"/>
      <c r="H490" s="296"/>
      <c r="I490" s="296"/>
      <c r="J490" s="296"/>
      <c r="K490" s="296"/>
      <c r="L490" s="296"/>
      <c r="M490" s="299"/>
      <c r="N490" s="299"/>
      <c r="O490" s="299"/>
      <c r="P490" s="299"/>
      <c r="Q490" s="299"/>
      <c r="R490" s="299"/>
      <c r="S490" s="299"/>
      <c r="T490" s="299"/>
      <c r="U490" s="299"/>
      <c r="V490" s="299"/>
      <c r="W490" s="299"/>
      <c r="X490" s="299"/>
      <c r="Y490" s="299"/>
      <c r="Z490" s="299"/>
      <c r="AA490" s="299"/>
      <c r="AB490" s="299"/>
      <c r="AC490" s="300"/>
      <c r="AD490" s="300"/>
    </row>
    <row r="491" spans="1:30" ht="12.75" customHeight="1" x14ac:dyDescent="0.2">
      <c r="A491" s="296"/>
      <c r="B491" s="296"/>
      <c r="C491" s="296"/>
      <c r="D491" s="297"/>
      <c r="E491" s="298"/>
      <c r="F491" s="296"/>
      <c r="G491" s="296"/>
      <c r="H491" s="296"/>
      <c r="I491" s="296"/>
      <c r="J491" s="296"/>
      <c r="K491" s="296"/>
      <c r="L491" s="296"/>
      <c r="M491" s="299"/>
      <c r="N491" s="299"/>
      <c r="O491" s="299"/>
      <c r="P491" s="299"/>
      <c r="Q491" s="299"/>
      <c r="R491" s="299"/>
      <c r="S491" s="299"/>
      <c r="T491" s="299"/>
      <c r="U491" s="299"/>
      <c r="V491" s="299"/>
      <c r="W491" s="299"/>
      <c r="X491" s="299"/>
      <c r="Y491" s="299"/>
      <c r="Z491" s="299"/>
      <c r="AA491" s="299"/>
      <c r="AB491" s="299"/>
      <c r="AC491" s="300"/>
      <c r="AD491" s="300"/>
    </row>
    <row r="492" spans="1:30" ht="12.75" customHeight="1" x14ac:dyDescent="0.2">
      <c r="A492" s="296"/>
      <c r="B492" s="296"/>
      <c r="C492" s="296"/>
      <c r="D492" s="297"/>
      <c r="E492" s="298"/>
      <c r="F492" s="296"/>
      <c r="G492" s="296"/>
      <c r="H492" s="296"/>
      <c r="I492" s="296"/>
      <c r="J492" s="296"/>
      <c r="K492" s="296"/>
      <c r="L492" s="296"/>
      <c r="M492" s="299"/>
      <c r="N492" s="299"/>
      <c r="O492" s="299"/>
      <c r="P492" s="299"/>
      <c r="Q492" s="299"/>
      <c r="R492" s="299"/>
      <c r="S492" s="299"/>
      <c r="T492" s="299"/>
      <c r="U492" s="299"/>
      <c r="V492" s="299"/>
      <c r="W492" s="299"/>
      <c r="X492" s="299"/>
      <c r="Y492" s="299"/>
      <c r="Z492" s="299"/>
      <c r="AA492" s="299"/>
      <c r="AB492" s="299"/>
      <c r="AC492" s="300"/>
      <c r="AD492" s="300"/>
    </row>
    <row r="493" spans="1:30" ht="12.75" customHeight="1" x14ac:dyDescent="0.2">
      <c r="A493" s="296"/>
      <c r="B493" s="296"/>
      <c r="C493" s="296"/>
      <c r="D493" s="297"/>
      <c r="E493" s="298"/>
      <c r="F493" s="296"/>
      <c r="G493" s="296"/>
      <c r="H493" s="296"/>
      <c r="I493" s="296"/>
      <c r="J493" s="296"/>
      <c r="K493" s="296"/>
      <c r="L493" s="296"/>
      <c r="M493" s="299"/>
      <c r="N493" s="299"/>
      <c r="O493" s="299"/>
      <c r="P493" s="299"/>
      <c r="Q493" s="299"/>
      <c r="R493" s="299"/>
      <c r="S493" s="299"/>
      <c r="T493" s="299"/>
      <c r="U493" s="299"/>
      <c r="V493" s="299"/>
      <c r="W493" s="299"/>
      <c r="X493" s="299"/>
      <c r="Y493" s="299"/>
      <c r="Z493" s="299"/>
      <c r="AA493" s="299"/>
      <c r="AB493" s="299"/>
      <c r="AC493" s="300"/>
      <c r="AD493" s="300"/>
    </row>
    <row r="494" spans="1:30" ht="12.75" customHeight="1" x14ac:dyDescent="0.2">
      <c r="A494" s="296"/>
      <c r="B494" s="296"/>
      <c r="C494" s="296"/>
      <c r="D494" s="297"/>
      <c r="E494" s="298"/>
      <c r="F494" s="296"/>
      <c r="G494" s="296"/>
      <c r="H494" s="296"/>
      <c r="I494" s="296"/>
      <c r="J494" s="296"/>
      <c r="K494" s="296"/>
      <c r="L494" s="296"/>
      <c r="M494" s="299"/>
      <c r="N494" s="299"/>
      <c r="O494" s="299"/>
      <c r="P494" s="299"/>
      <c r="Q494" s="299"/>
      <c r="R494" s="299"/>
      <c r="S494" s="299"/>
      <c r="T494" s="299"/>
      <c r="U494" s="299"/>
      <c r="V494" s="299"/>
      <c r="W494" s="299"/>
      <c r="X494" s="299"/>
      <c r="Y494" s="299"/>
      <c r="Z494" s="299"/>
      <c r="AA494" s="299"/>
      <c r="AB494" s="299"/>
      <c r="AC494" s="300"/>
      <c r="AD494" s="300"/>
    </row>
    <row r="495" spans="1:30" ht="12.75" customHeight="1" x14ac:dyDescent="0.2">
      <c r="A495" s="296"/>
      <c r="B495" s="296"/>
      <c r="C495" s="296"/>
      <c r="D495" s="297"/>
      <c r="E495" s="298"/>
      <c r="F495" s="296"/>
      <c r="G495" s="296"/>
      <c r="H495" s="296"/>
      <c r="I495" s="296"/>
      <c r="J495" s="296"/>
      <c r="K495" s="296"/>
      <c r="L495" s="296"/>
      <c r="M495" s="299"/>
      <c r="N495" s="299"/>
      <c r="O495" s="299"/>
      <c r="P495" s="299"/>
      <c r="Q495" s="299"/>
      <c r="R495" s="299"/>
      <c r="S495" s="299"/>
      <c r="T495" s="299"/>
      <c r="U495" s="299"/>
      <c r="V495" s="299"/>
      <c r="W495" s="299"/>
      <c r="X495" s="299"/>
      <c r="Y495" s="299"/>
      <c r="Z495" s="299"/>
      <c r="AA495" s="299"/>
      <c r="AB495" s="299"/>
      <c r="AC495" s="300"/>
      <c r="AD495" s="300"/>
    </row>
    <row r="496" spans="1:30" ht="12.75" customHeight="1" x14ac:dyDescent="0.2">
      <c r="A496" s="296"/>
      <c r="B496" s="296"/>
      <c r="C496" s="296"/>
      <c r="D496" s="297"/>
      <c r="E496" s="298"/>
      <c r="F496" s="296"/>
      <c r="G496" s="296"/>
      <c r="H496" s="296"/>
      <c r="I496" s="296"/>
      <c r="J496" s="296"/>
      <c r="K496" s="296"/>
      <c r="L496" s="296"/>
      <c r="M496" s="299"/>
      <c r="N496" s="299"/>
      <c r="O496" s="299"/>
      <c r="P496" s="299"/>
      <c r="Q496" s="299"/>
      <c r="R496" s="299"/>
      <c r="S496" s="299"/>
      <c r="T496" s="299"/>
      <c r="U496" s="299"/>
      <c r="V496" s="299"/>
      <c r="W496" s="299"/>
      <c r="X496" s="299"/>
      <c r="Y496" s="299"/>
      <c r="Z496" s="299"/>
      <c r="AA496" s="299"/>
      <c r="AB496" s="299"/>
      <c r="AC496" s="300"/>
      <c r="AD496" s="300"/>
    </row>
    <row r="497" spans="1:30" ht="12.75" customHeight="1" x14ac:dyDescent="0.2">
      <c r="A497" s="296"/>
      <c r="B497" s="296"/>
      <c r="C497" s="296"/>
      <c r="D497" s="297"/>
      <c r="E497" s="298"/>
      <c r="F497" s="296"/>
      <c r="G497" s="296"/>
      <c r="H497" s="296"/>
      <c r="I497" s="296"/>
      <c r="J497" s="296"/>
      <c r="K497" s="296"/>
      <c r="L497" s="296"/>
      <c r="M497" s="299"/>
      <c r="N497" s="299"/>
      <c r="O497" s="299"/>
      <c r="P497" s="299"/>
      <c r="Q497" s="299"/>
      <c r="R497" s="299"/>
      <c r="S497" s="299"/>
      <c r="T497" s="299"/>
      <c r="U497" s="299"/>
      <c r="V497" s="299"/>
      <c r="W497" s="299"/>
      <c r="X497" s="299"/>
      <c r="Y497" s="299"/>
      <c r="Z497" s="299"/>
      <c r="AA497" s="299"/>
      <c r="AB497" s="299"/>
      <c r="AC497" s="300"/>
      <c r="AD497" s="300"/>
    </row>
    <row r="498" spans="1:30" ht="12.75" customHeight="1" x14ac:dyDescent="0.2">
      <c r="A498" s="296"/>
      <c r="B498" s="296"/>
      <c r="C498" s="296"/>
      <c r="D498" s="297"/>
      <c r="E498" s="298"/>
      <c r="F498" s="296"/>
      <c r="G498" s="296"/>
      <c r="H498" s="296"/>
      <c r="I498" s="296"/>
      <c r="J498" s="296"/>
      <c r="K498" s="296"/>
      <c r="L498" s="296"/>
      <c r="M498" s="299"/>
      <c r="N498" s="299"/>
      <c r="O498" s="299"/>
      <c r="P498" s="299"/>
      <c r="Q498" s="299"/>
      <c r="R498" s="299"/>
      <c r="S498" s="299"/>
      <c r="T498" s="299"/>
      <c r="U498" s="299"/>
      <c r="V498" s="299"/>
      <c r="W498" s="299"/>
      <c r="X498" s="299"/>
      <c r="Y498" s="299"/>
      <c r="Z498" s="299"/>
      <c r="AA498" s="299"/>
      <c r="AB498" s="299"/>
      <c r="AC498" s="300"/>
      <c r="AD498" s="300"/>
    </row>
    <row r="499" spans="1:30" ht="12.75" customHeight="1" x14ac:dyDescent="0.2">
      <c r="A499" s="296"/>
      <c r="B499" s="296"/>
      <c r="C499" s="296"/>
      <c r="D499" s="297"/>
      <c r="E499" s="298"/>
      <c r="F499" s="296"/>
      <c r="G499" s="296"/>
      <c r="H499" s="296"/>
      <c r="I499" s="296"/>
      <c r="J499" s="296"/>
      <c r="K499" s="296"/>
      <c r="L499" s="296"/>
      <c r="M499" s="299"/>
      <c r="N499" s="299"/>
      <c r="O499" s="299"/>
      <c r="P499" s="299"/>
      <c r="Q499" s="299"/>
      <c r="R499" s="299"/>
      <c r="S499" s="299"/>
      <c r="T499" s="299"/>
      <c r="U499" s="299"/>
      <c r="V499" s="299"/>
      <c r="W499" s="299"/>
      <c r="X499" s="299"/>
      <c r="Y499" s="299"/>
      <c r="Z499" s="299"/>
      <c r="AA499" s="299"/>
      <c r="AB499" s="299"/>
      <c r="AC499" s="300"/>
      <c r="AD499" s="300"/>
    </row>
    <row r="500" spans="1:30" ht="12.75" customHeight="1" x14ac:dyDescent="0.2">
      <c r="A500" s="296"/>
      <c r="B500" s="296"/>
      <c r="C500" s="296"/>
      <c r="D500" s="297"/>
      <c r="E500" s="298"/>
      <c r="F500" s="296"/>
      <c r="G500" s="296"/>
      <c r="H500" s="296"/>
      <c r="I500" s="296"/>
      <c r="J500" s="296"/>
      <c r="K500" s="296"/>
      <c r="L500" s="296"/>
      <c r="M500" s="299"/>
      <c r="N500" s="299"/>
      <c r="O500" s="299"/>
      <c r="P500" s="299"/>
      <c r="Q500" s="299"/>
      <c r="R500" s="299"/>
      <c r="S500" s="299"/>
      <c r="T500" s="299"/>
      <c r="U500" s="299"/>
      <c r="V500" s="299"/>
      <c r="W500" s="299"/>
      <c r="X500" s="299"/>
      <c r="Y500" s="299"/>
      <c r="Z500" s="299"/>
      <c r="AA500" s="299"/>
      <c r="AB500" s="299"/>
      <c r="AC500" s="300"/>
      <c r="AD500" s="300"/>
    </row>
    <row r="501" spans="1:30" ht="12.75" customHeight="1" x14ac:dyDescent="0.2">
      <c r="A501" s="296"/>
      <c r="B501" s="296"/>
      <c r="C501" s="296"/>
      <c r="D501" s="297"/>
      <c r="E501" s="298"/>
      <c r="F501" s="296"/>
      <c r="G501" s="296"/>
      <c r="H501" s="296"/>
      <c r="I501" s="296"/>
      <c r="J501" s="296"/>
      <c r="K501" s="296"/>
      <c r="L501" s="296"/>
      <c r="M501" s="299"/>
      <c r="N501" s="299"/>
      <c r="O501" s="299"/>
      <c r="P501" s="299"/>
      <c r="Q501" s="299"/>
      <c r="R501" s="299"/>
      <c r="S501" s="299"/>
      <c r="T501" s="299"/>
      <c r="U501" s="299"/>
      <c r="V501" s="299"/>
      <c r="W501" s="299"/>
      <c r="X501" s="299"/>
      <c r="Y501" s="299"/>
      <c r="Z501" s="299"/>
      <c r="AA501" s="299"/>
      <c r="AB501" s="299"/>
      <c r="AC501" s="300"/>
      <c r="AD501" s="300"/>
    </row>
    <row r="502" spans="1:30" ht="12.75" customHeight="1" x14ac:dyDescent="0.2">
      <c r="A502" s="296"/>
      <c r="B502" s="296"/>
      <c r="C502" s="296"/>
      <c r="D502" s="297"/>
      <c r="E502" s="298"/>
      <c r="F502" s="296"/>
      <c r="G502" s="296"/>
      <c r="H502" s="296"/>
      <c r="I502" s="296"/>
      <c r="J502" s="296"/>
      <c r="K502" s="296"/>
      <c r="L502" s="296"/>
      <c r="M502" s="299"/>
      <c r="N502" s="299"/>
      <c r="O502" s="299"/>
      <c r="P502" s="299"/>
      <c r="Q502" s="299"/>
      <c r="R502" s="299"/>
      <c r="S502" s="299"/>
      <c r="T502" s="299"/>
      <c r="U502" s="299"/>
      <c r="V502" s="299"/>
      <c r="W502" s="299"/>
      <c r="X502" s="299"/>
      <c r="Y502" s="299"/>
      <c r="Z502" s="299"/>
      <c r="AA502" s="299"/>
      <c r="AB502" s="299"/>
      <c r="AC502" s="300"/>
      <c r="AD502" s="300"/>
    </row>
    <row r="503" spans="1:30" ht="12.75" customHeight="1" x14ac:dyDescent="0.2">
      <c r="A503" s="296"/>
      <c r="B503" s="296"/>
      <c r="C503" s="296"/>
      <c r="D503" s="297"/>
      <c r="E503" s="298"/>
      <c r="F503" s="296"/>
      <c r="G503" s="296"/>
      <c r="H503" s="296"/>
      <c r="I503" s="296"/>
      <c r="J503" s="296"/>
      <c r="K503" s="296"/>
      <c r="L503" s="296"/>
      <c r="M503" s="299"/>
      <c r="N503" s="299"/>
      <c r="O503" s="299"/>
      <c r="P503" s="299"/>
      <c r="Q503" s="299"/>
      <c r="R503" s="299"/>
      <c r="S503" s="299"/>
      <c r="T503" s="299"/>
      <c r="U503" s="299"/>
      <c r="V503" s="299"/>
      <c r="W503" s="299"/>
      <c r="X503" s="299"/>
      <c r="Y503" s="299"/>
      <c r="Z503" s="299"/>
      <c r="AA503" s="299"/>
      <c r="AB503" s="299"/>
      <c r="AC503" s="300"/>
      <c r="AD503" s="300"/>
    </row>
    <row r="504" spans="1:30" ht="12.75" customHeight="1" x14ac:dyDescent="0.2">
      <c r="A504" s="296"/>
      <c r="B504" s="296"/>
      <c r="C504" s="296"/>
      <c r="D504" s="297"/>
      <c r="E504" s="298"/>
      <c r="F504" s="296"/>
      <c r="G504" s="296"/>
      <c r="H504" s="296"/>
      <c r="I504" s="296"/>
      <c r="J504" s="296"/>
      <c r="K504" s="296"/>
      <c r="L504" s="296"/>
      <c r="M504" s="299"/>
      <c r="N504" s="299"/>
      <c r="O504" s="299"/>
      <c r="P504" s="299"/>
      <c r="Q504" s="299"/>
      <c r="R504" s="299"/>
      <c r="S504" s="299"/>
      <c r="T504" s="299"/>
      <c r="U504" s="299"/>
      <c r="V504" s="299"/>
      <c r="W504" s="299"/>
      <c r="X504" s="299"/>
      <c r="Y504" s="299"/>
      <c r="Z504" s="299"/>
      <c r="AA504" s="299"/>
      <c r="AB504" s="299"/>
      <c r="AC504" s="300"/>
      <c r="AD504" s="300"/>
    </row>
    <row r="505" spans="1:30" ht="12.75" customHeight="1" x14ac:dyDescent="0.2">
      <c r="A505" s="296"/>
      <c r="B505" s="296"/>
      <c r="C505" s="296"/>
      <c r="D505" s="297"/>
      <c r="E505" s="298"/>
      <c r="F505" s="296"/>
      <c r="G505" s="296"/>
      <c r="H505" s="296"/>
      <c r="I505" s="296"/>
      <c r="J505" s="296"/>
      <c r="K505" s="296"/>
      <c r="L505" s="296"/>
      <c r="M505" s="299"/>
      <c r="N505" s="299"/>
      <c r="O505" s="299"/>
      <c r="P505" s="299"/>
      <c r="Q505" s="299"/>
      <c r="R505" s="299"/>
      <c r="S505" s="299"/>
      <c r="T505" s="299"/>
      <c r="U505" s="299"/>
      <c r="V505" s="299"/>
      <c r="W505" s="299"/>
      <c r="X505" s="299"/>
      <c r="Y505" s="299"/>
      <c r="Z505" s="299"/>
      <c r="AA505" s="299"/>
      <c r="AB505" s="299"/>
      <c r="AC505" s="300"/>
      <c r="AD505" s="300"/>
    </row>
    <row r="506" spans="1:30" ht="12.75" customHeight="1" x14ac:dyDescent="0.2">
      <c r="A506" s="296"/>
      <c r="B506" s="296"/>
      <c r="C506" s="296"/>
      <c r="D506" s="297"/>
      <c r="E506" s="298"/>
      <c r="F506" s="296"/>
      <c r="G506" s="296"/>
      <c r="H506" s="296"/>
      <c r="I506" s="296"/>
      <c r="J506" s="296"/>
      <c r="K506" s="296"/>
      <c r="L506" s="296"/>
      <c r="M506" s="299"/>
      <c r="N506" s="299"/>
      <c r="O506" s="299"/>
      <c r="P506" s="299"/>
      <c r="Q506" s="299"/>
      <c r="R506" s="299"/>
      <c r="S506" s="299"/>
      <c r="T506" s="299"/>
      <c r="U506" s="299"/>
      <c r="V506" s="299"/>
      <c r="W506" s="299"/>
      <c r="X506" s="299"/>
      <c r="Y506" s="299"/>
      <c r="Z506" s="299"/>
      <c r="AA506" s="299"/>
      <c r="AB506" s="299"/>
      <c r="AC506" s="300"/>
      <c r="AD506" s="300"/>
    </row>
    <row r="507" spans="1:30" ht="12.75" customHeight="1" x14ac:dyDescent="0.2">
      <c r="A507" s="296"/>
      <c r="B507" s="296"/>
      <c r="C507" s="296"/>
      <c r="D507" s="297"/>
      <c r="E507" s="298"/>
      <c r="F507" s="296"/>
      <c r="G507" s="296"/>
      <c r="H507" s="296"/>
      <c r="I507" s="296"/>
      <c r="J507" s="296"/>
      <c r="K507" s="296"/>
      <c r="L507" s="296"/>
      <c r="M507" s="299"/>
      <c r="N507" s="299"/>
      <c r="O507" s="299"/>
      <c r="P507" s="299"/>
      <c r="Q507" s="299"/>
      <c r="R507" s="299"/>
      <c r="S507" s="299"/>
      <c r="T507" s="299"/>
      <c r="U507" s="299"/>
      <c r="V507" s="299"/>
      <c r="W507" s="299"/>
      <c r="X507" s="299"/>
      <c r="Y507" s="299"/>
      <c r="Z507" s="299"/>
      <c r="AA507" s="299"/>
      <c r="AB507" s="299"/>
      <c r="AC507" s="300"/>
      <c r="AD507" s="300"/>
    </row>
    <row r="508" spans="1:30" ht="12.75" customHeight="1" x14ac:dyDescent="0.2">
      <c r="A508" s="296"/>
      <c r="B508" s="296"/>
      <c r="C508" s="296"/>
      <c r="D508" s="297"/>
      <c r="E508" s="298"/>
      <c r="F508" s="296"/>
      <c r="G508" s="296"/>
      <c r="H508" s="296"/>
      <c r="I508" s="296"/>
      <c r="J508" s="296"/>
      <c r="K508" s="296"/>
      <c r="L508" s="296"/>
      <c r="M508" s="299"/>
      <c r="N508" s="299"/>
      <c r="O508" s="299"/>
      <c r="P508" s="299"/>
      <c r="Q508" s="299"/>
      <c r="R508" s="299"/>
      <c r="S508" s="299"/>
      <c r="T508" s="299"/>
      <c r="U508" s="299"/>
      <c r="V508" s="299"/>
      <c r="W508" s="299"/>
      <c r="X508" s="299"/>
      <c r="Y508" s="299"/>
      <c r="Z508" s="299"/>
      <c r="AA508" s="299"/>
      <c r="AB508" s="299"/>
      <c r="AC508" s="300"/>
      <c r="AD508" s="300"/>
    </row>
    <row r="509" spans="1:30" ht="12.75" customHeight="1" x14ac:dyDescent="0.2">
      <c r="A509" s="296"/>
      <c r="B509" s="296"/>
      <c r="C509" s="296"/>
      <c r="D509" s="297"/>
      <c r="E509" s="298"/>
      <c r="F509" s="296"/>
      <c r="G509" s="296"/>
      <c r="H509" s="296"/>
      <c r="I509" s="296"/>
      <c r="J509" s="296"/>
      <c r="K509" s="296"/>
      <c r="L509" s="296"/>
      <c r="M509" s="299"/>
      <c r="N509" s="299"/>
      <c r="O509" s="299"/>
      <c r="P509" s="299"/>
      <c r="Q509" s="299"/>
      <c r="R509" s="299"/>
      <c r="S509" s="299"/>
      <c r="T509" s="299"/>
      <c r="U509" s="299"/>
      <c r="V509" s="299"/>
      <c r="W509" s="299"/>
      <c r="X509" s="299"/>
      <c r="Y509" s="299"/>
      <c r="Z509" s="299"/>
      <c r="AA509" s="299"/>
      <c r="AB509" s="299"/>
      <c r="AC509" s="300"/>
      <c r="AD509" s="300"/>
    </row>
    <row r="510" spans="1:30" ht="12.75" customHeight="1" x14ac:dyDescent="0.2">
      <c r="A510" s="296"/>
      <c r="B510" s="296"/>
      <c r="C510" s="296"/>
      <c r="D510" s="297"/>
      <c r="E510" s="298"/>
      <c r="F510" s="296"/>
      <c r="G510" s="296"/>
      <c r="H510" s="296"/>
      <c r="I510" s="296"/>
      <c r="J510" s="296"/>
      <c r="K510" s="296"/>
      <c r="L510" s="296"/>
      <c r="M510" s="299"/>
      <c r="N510" s="299"/>
      <c r="O510" s="299"/>
      <c r="P510" s="299"/>
      <c r="Q510" s="299"/>
      <c r="R510" s="299"/>
      <c r="S510" s="299"/>
      <c r="T510" s="299"/>
      <c r="U510" s="299"/>
      <c r="V510" s="299"/>
      <c r="W510" s="299"/>
      <c r="X510" s="299"/>
      <c r="Y510" s="299"/>
      <c r="Z510" s="299"/>
      <c r="AA510" s="299"/>
      <c r="AB510" s="299"/>
      <c r="AC510" s="300"/>
      <c r="AD510" s="300"/>
    </row>
    <row r="511" spans="1:30" ht="12.75" customHeight="1" x14ac:dyDescent="0.2">
      <c r="A511" s="296"/>
      <c r="B511" s="296"/>
      <c r="C511" s="296"/>
      <c r="D511" s="297"/>
      <c r="E511" s="298"/>
      <c r="F511" s="296"/>
      <c r="G511" s="296"/>
      <c r="H511" s="296"/>
      <c r="I511" s="296"/>
      <c r="J511" s="296"/>
      <c r="K511" s="296"/>
      <c r="L511" s="296"/>
      <c r="M511" s="299"/>
      <c r="N511" s="299"/>
      <c r="O511" s="299"/>
      <c r="P511" s="299"/>
      <c r="Q511" s="299"/>
      <c r="R511" s="299"/>
      <c r="S511" s="299"/>
      <c r="T511" s="299"/>
      <c r="U511" s="299"/>
      <c r="V511" s="299"/>
      <c r="W511" s="299"/>
      <c r="X511" s="299"/>
      <c r="Y511" s="299"/>
      <c r="Z511" s="299"/>
      <c r="AA511" s="299"/>
      <c r="AB511" s="299"/>
      <c r="AC511" s="300"/>
      <c r="AD511" s="300"/>
    </row>
    <row r="512" spans="1:30" ht="12.75" customHeight="1" x14ac:dyDescent="0.2">
      <c r="A512" s="296"/>
      <c r="B512" s="296"/>
      <c r="C512" s="296"/>
      <c r="D512" s="297"/>
      <c r="E512" s="298"/>
      <c r="F512" s="296"/>
      <c r="G512" s="296"/>
      <c r="H512" s="296"/>
      <c r="I512" s="296"/>
      <c r="J512" s="296"/>
      <c r="K512" s="296"/>
      <c r="L512" s="296"/>
      <c r="M512" s="299"/>
      <c r="N512" s="299"/>
      <c r="O512" s="299"/>
      <c r="P512" s="299"/>
      <c r="Q512" s="299"/>
      <c r="R512" s="299"/>
      <c r="S512" s="299"/>
      <c r="T512" s="299"/>
      <c r="U512" s="299"/>
      <c r="V512" s="299"/>
      <c r="W512" s="299"/>
      <c r="X512" s="299"/>
      <c r="Y512" s="299"/>
      <c r="Z512" s="299"/>
      <c r="AA512" s="299"/>
      <c r="AB512" s="299"/>
      <c r="AC512" s="300"/>
      <c r="AD512" s="300"/>
    </row>
    <row r="513" spans="1:30" ht="12.75" customHeight="1" x14ac:dyDescent="0.2">
      <c r="A513" s="296"/>
      <c r="B513" s="296"/>
      <c r="C513" s="296"/>
      <c r="D513" s="297"/>
      <c r="E513" s="298"/>
      <c r="F513" s="296"/>
      <c r="G513" s="296"/>
      <c r="H513" s="296"/>
      <c r="I513" s="296"/>
      <c r="J513" s="296"/>
      <c r="K513" s="296"/>
      <c r="L513" s="296"/>
      <c r="M513" s="299"/>
      <c r="N513" s="299"/>
      <c r="O513" s="299"/>
      <c r="P513" s="299"/>
      <c r="Q513" s="299"/>
      <c r="R513" s="299"/>
      <c r="S513" s="299"/>
      <c r="T513" s="299"/>
      <c r="U513" s="299"/>
      <c r="V513" s="299"/>
      <c r="W513" s="299"/>
      <c r="X513" s="299"/>
      <c r="Y513" s="299"/>
      <c r="Z513" s="299"/>
      <c r="AA513" s="299"/>
      <c r="AB513" s="299"/>
      <c r="AC513" s="300"/>
      <c r="AD513" s="300"/>
    </row>
    <row r="514" spans="1:30" ht="12.75" customHeight="1" x14ac:dyDescent="0.2">
      <c r="A514" s="296"/>
      <c r="B514" s="296"/>
      <c r="C514" s="296"/>
      <c r="D514" s="297"/>
      <c r="E514" s="298"/>
      <c r="F514" s="296"/>
      <c r="G514" s="296"/>
      <c r="H514" s="296"/>
      <c r="I514" s="296"/>
      <c r="J514" s="296"/>
      <c r="K514" s="296"/>
      <c r="L514" s="296"/>
      <c r="M514" s="299"/>
      <c r="N514" s="299"/>
      <c r="O514" s="299"/>
      <c r="P514" s="299"/>
      <c r="Q514" s="299"/>
      <c r="R514" s="299"/>
      <c r="S514" s="299"/>
      <c r="T514" s="299"/>
      <c r="U514" s="299"/>
      <c r="V514" s="299"/>
      <c r="W514" s="299"/>
      <c r="X514" s="299"/>
      <c r="Y514" s="299"/>
      <c r="Z514" s="299"/>
      <c r="AA514" s="299"/>
      <c r="AB514" s="299"/>
      <c r="AC514" s="300"/>
      <c r="AD514" s="300"/>
    </row>
    <row r="515" spans="1:30" ht="12.75" customHeight="1" x14ac:dyDescent="0.2">
      <c r="A515" s="296"/>
      <c r="B515" s="296"/>
      <c r="C515" s="296"/>
      <c r="D515" s="297"/>
      <c r="E515" s="298"/>
      <c r="F515" s="296"/>
      <c r="G515" s="296"/>
      <c r="H515" s="296"/>
      <c r="I515" s="296"/>
      <c r="J515" s="296"/>
      <c r="K515" s="296"/>
      <c r="L515" s="296"/>
      <c r="M515" s="299"/>
      <c r="N515" s="299"/>
      <c r="O515" s="299"/>
      <c r="P515" s="299"/>
      <c r="Q515" s="299"/>
      <c r="R515" s="299"/>
      <c r="S515" s="299"/>
      <c r="T515" s="299"/>
      <c r="U515" s="299"/>
      <c r="V515" s="299"/>
      <c r="W515" s="299"/>
      <c r="X515" s="299"/>
      <c r="Y515" s="299"/>
      <c r="Z515" s="299"/>
      <c r="AA515" s="299"/>
      <c r="AB515" s="299"/>
      <c r="AC515" s="300"/>
      <c r="AD515" s="300"/>
    </row>
    <row r="516" spans="1:30" ht="12.75" customHeight="1" x14ac:dyDescent="0.2">
      <c r="A516" s="296"/>
      <c r="B516" s="296"/>
      <c r="C516" s="296"/>
      <c r="D516" s="297"/>
      <c r="E516" s="298"/>
      <c r="F516" s="296"/>
      <c r="G516" s="296"/>
      <c r="H516" s="296"/>
      <c r="I516" s="296"/>
      <c r="J516" s="296"/>
      <c r="K516" s="296"/>
      <c r="L516" s="296"/>
      <c r="M516" s="299"/>
      <c r="N516" s="299"/>
      <c r="O516" s="299"/>
      <c r="P516" s="299"/>
      <c r="Q516" s="299"/>
      <c r="R516" s="299"/>
      <c r="S516" s="299"/>
      <c r="T516" s="299"/>
      <c r="U516" s="299"/>
      <c r="V516" s="299"/>
      <c r="W516" s="299"/>
      <c r="X516" s="299"/>
      <c r="Y516" s="299"/>
      <c r="Z516" s="299"/>
      <c r="AA516" s="299"/>
      <c r="AB516" s="299"/>
      <c r="AC516" s="300"/>
      <c r="AD516" s="300"/>
    </row>
    <row r="517" spans="1:30" ht="12.75" customHeight="1" x14ac:dyDescent="0.2">
      <c r="A517" s="296"/>
      <c r="B517" s="296"/>
      <c r="C517" s="296"/>
      <c r="D517" s="297"/>
      <c r="E517" s="298"/>
      <c r="F517" s="296"/>
      <c r="G517" s="296"/>
      <c r="H517" s="296"/>
      <c r="I517" s="296"/>
      <c r="J517" s="296"/>
      <c r="K517" s="296"/>
      <c r="L517" s="296"/>
      <c r="M517" s="299"/>
      <c r="N517" s="299"/>
      <c r="O517" s="299"/>
      <c r="P517" s="299"/>
      <c r="Q517" s="299"/>
      <c r="R517" s="299"/>
      <c r="S517" s="299"/>
      <c r="T517" s="299"/>
      <c r="U517" s="299"/>
      <c r="V517" s="299"/>
      <c r="W517" s="299"/>
      <c r="X517" s="299"/>
      <c r="Y517" s="299"/>
      <c r="Z517" s="299"/>
      <c r="AA517" s="299"/>
      <c r="AB517" s="299"/>
      <c r="AC517" s="300"/>
      <c r="AD517" s="300"/>
    </row>
    <row r="518" spans="1:30" ht="12.75" customHeight="1" x14ac:dyDescent="0.2">
      <c r="A518" s="296"/>
      <c r="B518" s="296"/>
      <c r="C518" s="296"/>
      <c r="D518" s="297"/>
      <c r="E518" s="298"/>
      <c r="F518" s="296"/>
      <c r="G518" s="296"/>
      <c r="H518" s="296"/>
      <c r="I518" s="296"/>
      <c r="J518" s="296"/>
      <c r="K518" s="296"/>
      <c r="L518" s="296"/>
      <c r="M518" s="299"/>
      <c r="N518" s="299"/>
      <c r="O518" s="299"/>
      <c r="P518" s="299"/>
      <c r="Q518" s="299"/>
      <c r="R518" s="299"/>
      <c r="S518" s="299"/>
      <c r="T518" s="299"/>
      <c r="U518" s="299"/>
      <c r="V518" s="299"/>
      <c r="W518" s="299"/>
      <c r="X518" s="299"/>
      <c r="Y518" s="299"/>
      <c r="Z518" s="299"/>
      <c r="AA518" s="299"/>
      <c r="AB518" s="299"/>
      <c r="AC518" s="300"/>
      <c r="AD518" s="300"/>
    </row>
    <row r="519" spans="1:30" ht="12.75" customHeight="1" x14ac:dyDescent="0.2">
      <c r="A519" s="296"/>
      <c r="B519" s="296"/>
      <c r="C519" s="296"/>
      <c r="D519" s="297"/>
      <c r="E519" s="298"/>
      <c r="F519" s="296"/>
      <c r="G519" s="296"/>
      <c r="H519" s="296"/>
      <c r="I519" s="296"/>
      <c r="J519" s="296"/>
      <c r="K519" s="296"/>
      <c r="L519" s="296"/>
      <c r="M519" s="299"/>
      <c r="N519" s="299"/>
      <c r="O519" s="299"/>
      <c r="P519" s="299"/>
      <c r="Q519" s="299"/>
      <c r="R519" s="299"/>
      <c r="S519" s="299"/>
      <c r="T519" s="299"/>
      <c r="U519" s="299"/>
      <c r="V519" s="299"/>
      <c r="W519" s="299"/>
      <c r="X519" s="299"/>
      <c r="Y519" s="299"/>
      <c r="Z519" s="299"/>
      <c r="AA519" s="299"/>
      <c r="AB519" s="299"/>
      <c r="AC519" s="300"/>
      <c r="AD519" s="300"/>
    </row>
    <row r="520" spans="1:30" ht="12.75" customHeight="1" x14ac:dyDescent="0.2">
      <c r="A520" s="296"/>
      <c r="B520" s="296"/>
      <c r="C520" s="296"/>
      <c r="D520" s="297"/>
      <c r="E520" s="298"/>
      <c r="F520" s="296"/>
      <c r="G520" s="296"/>
      <c r="H520" s="296"/>
      <c r="I520" s="296"/>
      <c r="J520" s="296"/>
      <c r="K520" s="296"/>
      <c r="L520" s="296"/>
      <c r="M520" s="299"/>
      <c r="N520" s="299"/>
      <c r="O520" s="299"/>
      <c r="P520" s="299"/>
      <c r="Q520" s="299"/>
      <c r="R520" s="299"/>
      <c r="S520" s="299"/>
      <c r="T520" s="299"/>
      <c r="U520" s="299"/>
      <c r="V520" s="299"/>
      <c r="W520" s="299"/>
      <c r="X520" s="299"/>
      <c r="Y520" s="299"/>
      <c r="Z520" s="299"/>
      <c r="AA520" s="299"/>
      <c r="AB520" s="299"/>
      <c r="AC520" s="300"/>
      <c r="AD520" s="300"/>
    </row>
    <row r="521" spans="1:30" ht="12.75" customHeight="1" x14ac:dyDescent="0.2">
      <c r="A521" s="296"/>
      <c r="B521" s="296"/>
      <c r="C521" s="296"/>
      <c r="D521" s="297"/>
      <c r="E521" s="298"/>
      <c r="F521" s="296"/>
      <c r="G521" s="296"/>
      <c r="H521" s="296"/>
      <c r="I521" s="296"/>
      <c r="J521" s="296"/>
      <c r="K521" s="296"/>
      <c r="L521" s="296"/>
      <c r="M521" s="299"/>
      <c r="N521" s="299"/>
      <c r="O521" s="299"/>
      <c r="P521" s="299"/>
      <c r="Q521" s="299"/>
      <c r="R521" s="299"/>
      <c r="S521" s="299"/>
      <c r="T521" s="299"/>
      <c r="U521" s="299"/>
      <c r="V521" s="299"/>
      <c r="W521" s="299"/>
      <c r="X521" s="299"/>
      <c r="Y521" s="299"/>
      <c r="Z521" s="299"/>
      <c r="AA521" s="299"/>
      <c r="AB521" s="299"/>
      <c r="AC521" s="300"/>
      <c r="AD521" s="300"/>
    </row>
    <row r="522" spans="1:30" ht="12.75" customHeight="1" x14ac:dyDescent="0.2">
      <c r="A522" s="296"/>
      <c r="B522" s="296"/>
      <c r="C522" s="296"/>
      <c r="D522" s="297"/>
      <c r="E522" s="298"/>
      <c r="F522" s="296"/>
      <c r="G522" s="296"/>
      <c r="H522" s="296"/>
      <c r="I522" s="296"/>
      <c r="J522" s="296"/>
      <c r="K522" s="296"/>
      <c r="L522" s="296"/>
      <c r="M522" s="299"/>
      <c r="N522" s="299"/>
      <c r="O522" s="299"/>
      <c r="P522" s="299"/>
      <c r="Q522" s="299"/>
      <c r="R522" s="299"/>
      <c r="S522" s="299"/>
      <c r="T522" s="299"/>
      <c r="U522" s="299"/>
      <c r="V522" s="299"/>
      <c r="W522" s="299"/>
      <c r="X522" s="299"/>
      <c r="Y522" s="299"/>
      <c r="Z522" s="299"/>
      <c r="AA522" s="299"/>
      <c r="AB522" s="299"/>
      <c r="AC522" s="300"/>
      <c r="AD522" s="300"/>
    </row>
    <row r="523" spans="1:30" ht="12.75" customHeight="1" x14ac:dyDescent="0.2">
      <c r="A523" s="296"/>
      <c r="B523" s="296"/>
      <c r="C523" s="296"/>
      <c r="D523" s="297"/>
      <c r="E523" s="298"/>
      <c r="F523" s="296"/>
      <c r="G523" s="296"/>
      <c r="H523" s="296"/>
      <c r="I523" s="296"/>
      <c r="J523" s="296"/>
      <c r="K523" s="296"/>
      <c r="L523" s="296"/>
      <c r="M523" s="299"/>
      <c r="N523" s="299"/>
      <c r="O523" s="299"/>
      <c r="P523" s="299"/>
      <c r="Q523" s="299"/>
      <c r="R523" s="299"/>
      <c r="S523" s="299"/>
      <c r="T523" s="299"/>
      <c r="U523" s="299"/>
      <c r="V523" s="299"/>
      <c r="W523" s="299"/>
      <c r="X523" s="299"/>
      <c r="Y523" s="299"/>
      <c r="Z523" s="299"/>
      <c r="AA523" s="299"/>
      <c r="AB523" s="299"/>
      <c r="AC523" s="300"/>
      <c r="AD523" s="300"/>
    </row>
    <row r="524" spans="1:30" ht="12.75" customHeight="1" x14ac:dyDescent="0.2">
      <c r="A524" s="296"/>
      <c r="B524" s="296"/>
      <c r="C524" s="296"/>
      <c r="D524" s="297"/>
      <c r="E524" s="298"/>
      <c r="F524" s="296"/>
      <c r="G524" s="296"/>
      <c r="H524" s="296"/>
      <c r="I524" s="296"/>
      <c r="J524" s="296"/>
      <c r="K524" s="296"/>
      <c r="L524" s="296"/>
      <c r="M524" s="299"/>
      <c r="N524" s="299"/>
      <c r="O524" s="299"/>
      <c r="P524" s="299"/>
      <c r="Q524" s="299"/>
      <c r="R524" s="299"/>
      <c r="S524" s="299"/>
      <c r="T524" s="299"/>
      <c r="U524" s="299"/>
      <c r="V524" s="299"/>
      <c r="W524" s="299"/>
      <c r="X524" s="299"/>
      <c r="Y524" s="299"/>
      <c r="Z524" s="299"/>
      <c r="AA524" s="299"/>
      <c r="AB524" s="299"/>
      <c r="AC524" s="300"/>
      <c r="AD524" s="300"/>
    </row>
    <row r="525" spans="1:30" ht="12.75" customHeight="1" x14ac:dyDescent="0.2">
      <c r="A525" s="296"/>
      <c r="B525" s="296"/>
      <c r="C525" s="296"/>
      <c r="D525" s="297"/>
      <c r="E525" s="298"/>
      <c r="F525" s="296"/>
      <c r="G525" s="296"/>
      <c r="H525" s="296"/>
      <c r="I525" s="296"/>
      <c r="J525" s="296"/>
      <c r="K525" s="296"/>
      <c r="L525" s="296"/>
      <c r="M525" s="299"/>
      <c r="N525" s="299"/>
      <c r="O525" s="299"/>
      <c r="P525" s="299"/>
      <c r="Q525" s="299"/>
      <c r="R525" s="299"/>
      <c r="S525" s="299"/>
      <c r="T525" s="299"/>
      <c r="U525" s="299"/>
      <c r="V525" s="299"/>
      <c r="W525" s="299"/>
      <c r="X525" s="299"/>
      <c r="Y525" s="299"/>
      <c r="Z525" s="299"/>
      <c r="AA525" s="299"/>
      <c r="AB525" s="299"/>
      <c r="AC525" s="300"/>
      <c r="AD525" s="300"/>
    </row>
    <row r="526" spans="1:30" ht="12.75" customHeight="1" x14ac:dyDescent="0.2">
      <c r="A526" s="296"/>
      <c r="B526" s="296"/>
      <c r="C526" s="296"/>
      <c r="D526" s="297"/>
      <c r="E526" s="298"/>
      <c r="F526" s="296"/>
      <c r="G526" s="296"/>
      <c r="H526" s="296"/>
      <c r="I526" s="296"/>
      <c r="J526" s="296"/>
      <c r="K526" s="296"/>
      <c r="L526" s="296"/>
      <c r="M526" s="299"/>
      <c r="N526" s="299"/>
      <c r="O526" s="299"/>
      <c r="P526" s="299"/>
      <c r="Q526" s="299"/>
      <c r="R526" s="299"/>
      <c r="S526" s="299"/>
      <c r="T526" s="299"/>
      <c r="U526" s="299"/>
      <c r="V526" s="299"/>
      <c r="W526" s="299"/>
      <c r="X526" s="299"/>
      <c r="Y526" s="299"/>
      <c r="Z526" s="299"/>
      <c r="AA526" s="299"/>
      <c r="AB526" s="299"/>
      <c r="AC526" s="300"/>
      <c r="AD526" s="300"/>
    </row>
    <row r="527" spans="1:30" ht="12.75" customHeight="1" x14ac:dyDescent="0.2">
      <c r="A527" s="296"/>
      <c r="B527" s="296"/>
      <c r="C527" s="296"/>
      <c r="D527" s="297"/>
      <c r="E527" s="298"/>
      <c r="F527" s="296"/>
      <c r="G527" s="296"/>
      <c r="H527" s="296"/>
      <c r="I527" s="296"/>
      <c r="J527" s="296"/>
      <c r="K527" s="296"/>
      <c r="L527" s="296"/>
      <c r="M527" s="299"/>
      <c r="N527" s="299"/>
      <c r="O527" s="299"/>
      <c r="P527" s="299"/>
      <c r="Q527" s="299"/>
      <c r="R527" s="299"/>
      <c r="S527" s="299"/>
      <c r="T527" s="299"/>
      <c r="U527" s="299"/>
      <c r="V527" s="299"/>
      <c r="W527" s="299"/>
      <c r="X527" s="299"/>
      <c r="Y527" s="299"/>
      <c r="Z527" s="299"/>
      <c r="AA527" s="299"/>
      <c r="AB527" s="299"/>
      <c r="AC527" s="300"/>
      <c r="AD527" s="300"/>
    </row>
    <row r="528" spans="1:30" ht="12.75" customHeight="1" x14ac:dyDescent="0.2">
      <c r="A528" s="296"/>
      <c r="B528" s="296"/>
      <c r="C528" s="296"/>
      <c r="D528" s="297"/>
      <c r="E528" s="298"/>
      <c r="F528" s="296"/>
      <c r="G528" s="296"/>
      <c r="H528" s="296"/>
      <c r="I528" s="296"/>
      <c r="J528" s="296"/>
      <c r="K528" s="296"/>
      <c r="L528" s="296"/>
      <c r="M528" s="299"/>
      <c r="N528" s="299"/>
      <c r="O528" s="299"/>
      <c r="P528" s="299"/>
      <c r="Q528" s="299"/>
      <c r="R528" s="299"/>
      <c r="S528" s="299"/>
      <c r="T528" s="299"/>
      <c r="U528" s="299"/>
      <c r="V528" s="299"/>
      <c r="W528" s="299"/>
      <c r="X528" s="299"/>
      <c r="Y528" s="299"/>
      <c r="Z528" s="299"/>
      <c r="AA528" s="299"/>
      <c r="AB528" s="299"/>
      <c r="AC528" s="300"/>
      <c r="AD528" s="300"/>
    </row>
    <row r="529" spans="1:30" ht="12.75" customHeight="1" x14ac:dyDescent="0.2">
      <c r="A529" s="296"/>
      <c r="B529" s="296"/>
      <c r="C529" s="296"/>
      <c r="D529" s="297"/>
      <c r="E529" s="298"/>
      <c r="F529" s="296"/>
      <c r="G529" s="296"/>
      <c r="H529" s="296"/>
      <c r="I529" s="296"/>
      <c r="J529" s="296"/>
      <c r="K529" s="296"/>
      <c r="L529" s="296"/>
      <c r="M529" s="299"/>
      <c r="N529" s="299"/>
      <c r="O529" s="299"/>
      <c r="P529" s="299"/>
      <c r="Q529" s="299"/>
      <c r="R529" s="299"/>
      <c r="S529" s="299"/>
      <c r="T529" s="299"/>
      <c r="U529" s="299"/>
      <c r="V529" s="299"/>
      <c r="W529" s="299"/>
      <c r="X529" s="299"/>
      <c r="Y529" s="299"/>
      <c r="Z529" s="299"/>
      <c r="AA529" s="299"/>
      <c r="AB529" s="299"/>
      <c r="AC529" s="300"/>
      <c r="AD529" s="300"/>
    </row>
    <row r="530" spans="1:30" ht="12.75" customHeight="1" x14ac:dyDescent="0.2">
      <c r="A530" s="296"/>
      <c r="B530" s="296"/>
      <c r="C530" s="296"/>
      <c r="D530" s="297"/>
      <c r="E530" s="298"/>
      <c r="F530" s="296"/>
      <c r="G530" s="296"/>
      <c r="H530" s="296"/>
      <c r="I530" s="296"/>
      <c r="J530" s="296"/>
      <c r="K530" s="296"/>
      <c r="L530" s="296"/>
      <c r="M530" s="299"/>
      <c r="N530" s="299"/>
      <c r="O530" s="299"/>
      <c r="P530" s="299"/>
      <c r="Q530" s="299"/>
      <c r="R530" s="299"/>
      <c r="S530" s="299"/>
      <c r="T530" s="299"/>
      <c r="U530" s="299"/>
      <c r="V530" s="299"/>
      <c r="W530" s="299"/>
      <c r="X530" s="299"/>
      <c r="Y530" s="299"/>
      <c r="Z530" s="299"/>
      <c r="AA530" s="299"/>
      <c r="AB530" s="299"/>
      <c r="AC530" s="300"/>
      <c r="AD530" s="300"/>
    </row>
    <row r="531" spans="1:30" ht="12.75" customHeight="1" x14ac:dyDescent="0.2">
      <c r="A531" s="296"/>
      <c r="B531" s="296"/>
      <c r="C531" s="296"/>
      <c r="D531" s="297"/>
      <c r="E531" s="298"/>
      <c r="F531" s="296"/>
      <c r="G531" s="296"/>
      <c r="H531" s="296"/>
      <c r="I531" s="296"/>
      <c r="J531" s="296"/>
      <c r="K531" s="296"/>
      <c r="L531" s="296"/>
      <c r="M531" s="299"/>
      <c r="N531" s="299"/>
      <c r="O531" s="299"/>
      <c r="P531" s="299"/>
      <c r="Q531" s="299"/>
      <c r="R531" s="299"/>
      <c r="S531" s="299"/>
      <c r="T531" s="299"/>
      <c r="U531" s="299"/>
      <c r="V531" s="299"/>
      <c r="W531" s="299"/>
      <c r="X531" s="299"/>
      <c r="Y531" s="299"/>
      <c r="Z531" s="299"/>
      <c r="AA531" s="299"/>
      <c r="AB531" s="299"/>
      <c r="AC531" s="300"/>
      <c r="AD531" s="300"/>
    </row>
    <row r="532" spans="1:30" ht="12.75" customHeight="1" x14ac:dyDescent="0.2">
      <c r="A532" s="296"/>
      <c r="B532" s="296"/>
      <c r="C532" s="296"/>
      <c r="D532" s="297"/>
      <c r="E532" s="298"/>
      <c r="F532" s="296"/>
      <c r="G532" s="296"/>
      <c r="H532" s="296"/>
      <c r="I532" s="296"/>
      <c r="J532" s="296"/>
      <c r="K532" s="296"/>
      <c r="L532" s="296"/>
      <c r="M532" s="299"/>
      <c r="N532" s="299"/>
      <c r="O532" s="299"/>
      <c r="P532" s="299"/>
      <c r="Q532" s="299"/>
      <c r="R532" s="299"/>
      <c r="S532" s="299"/>
      <c r="T532" s="299"/>
      <c r="U532" s="299"/>
      <c r="V532" s="299"/>
      <c r="W532" s="299"/>
      <c r="X532" s="299"/>
      <c r="Y532" s="299"/>
      <c r="Z532" s="299"/>
      <c r="AA532" s="299"/>
      <c r="AB532" s="299"/>
      <c r="AC532" s="300"/>
      <c r="AD532" s="300"/>
    </row>
    <row r="533" spans="1:30" ht="12.75" customHeight="1" x14ac:dyDescent="0.2">
      <c r="A533" s="296"/>
      <c r="B533" s="296"/>
      <c r="C533" s="296"/>
      <c r="D533" s="297"/>
      <c r="E533" s="298"/>
      <c r="F533" s="296"/>
      <c r="G533" s="296"/>
      <c r="H533" s="296"/>
      <c r="I533" s="296"/>
      <c r="J533" s="296"/>
      <c r="K533" s="296"/>
      <c r="L533" s="296"/>
      <c r="M533" s="299"/>
      <c r="N533" s="299"/>
      <c r="O533" s="299"/>
      <c r="P533" s="299"/>
      <c r="Q533" s="299"/>
      <c r="R533" s="299"/>
      <c r="S533" s="299"/>
      <c r="T533" s="299"/>
      <c r="U533" s="299"/>
      <c r="V533" s="299"/>
      <c r="W533" s="299"/>
      <c r="X533" s="299"/>
      <c r="Y533" s="299"/>
      <c r="Z533" s="299"/>
      <c r="AA533" s="299"/>
      <c r="AB533" s="299"/>
      <c r="AC533" s="300"/>
      <c r="AD533" s="300"/>
    </row>
    <row r="534" spans="1:30" ht="12.75" customHeight="1" x14ac:dyDescent="0.2">
      <c r="A534" s="296"/>
      <c r="B534" s="296"/>
      <c r="C534" s="296"/>
      <c r="D534" s="297"/>
      <c r="E534" s="298"/>
      <c r="F534" s="296"/>
      <c r="G534" s="296"/>
      <c r="H534" s="296"/>
      <c r="I534" s="296"/>
      <c r="J534" s="296"/>
      <c r="K534" s="296"/>
      <c r="L534" s="296"/>
      <c r="M534" s="299"/>
      <c r="N534" s="299"/>
      <c r="O534" s="299"/>
      <c r="P534" s="299"/>
      <c r="Q534" s="299"/>
      <c r="R534" s="299"/>
      <c r="S534" s="299"/>
      <c r="T534" s="299"/>
      <c r="U534" s="299"/>
      <c r="V534" s="299"/>
      <c r="W534" s="299"/>
      <c r="X534" s="299"/>
      <c r="Y534" s="299"/>
      <c r="Z534" s="299"/>
      <c r="AA534" s="299"/>
      <c r="AB534" s="299"/>
      <c r="AC534" s="300"/>
      <c r="AD534" s="300"/>
    </row>
    <row r="535" spans="1:30" ht="12.75" customHeight="1" x14ac:dyDescent="0.2">
      <c r="A535" s="296"/>
      <c r="B535" s="296"/>
      <c r="C535" s="296"/>
      <c r="D535" s="297"/>
      <c r="E535" s="298"/>
      <c r="F535" s="296"/>
      <c r="G535" s="296"/>
      <c r="H535" s="296"/>
      <c r="I535" s="296"/>
      <c r="J535" s="296"/>
      <c r="K535" s="296"/>
      <c r="L535" s="296"/>
      <c r="M535" s="299"/>
      <c r="N535" s="299"/>
      <c r="O535" s="299"/>
      <c r="P535" s="299"/>
      <c r="Q535" s="299"/>
      <c r="R535" s="299"/>
      <c r="S535" s="299"/>
      <c r="T535" s="299"/>
      <c r="U535" s="299"/>
      <c r="V535" s="299"/>
      <c r="W535" s="299"/>
      <c r="X535" s="299"/>
      <c r="Y535" s="299"/>
      <c r="Z535" s="299"/>
      <c r="AA535" s="299"/>
      <c r="AB535" s="299"/>
      <c r="AC535" s="300"/>
      <c r="AD535" s="300"/>
    </row>
    <row r="536" spans="1:30" ht="12.75" customHeight="1" x14ac:dyDescent="0.2">
      <c r="A536" s="296"/>
      <c r="B536" s="296"/>
      <c r="C536" s="296"/>
      <c r="D536" s="297"/>
      <c r="E536" s="298"/>
      <c r="F536" s="296"/>
      <c r="G536" s="296"/>
      <c r="H536" s="296"/>
      <c r="I536" s="296"/>
      <c r="J536" s="296"/>
      <c r="K536" s="296"/>
      <c r="L536" s="296"/>
      <c r="M536" s="299"/>
      <c r="N536" s="299"/>
      <c r="O536" s="299"/>
      <c r="P536" s="299"/>
      <c r="Q536" s="299"/>
      <c r="R536" s="299"/>
      <c r="S536" s="299"/>
      <c r="T536" s="299"/>
      <c r="U536" s="299"/>
      <c r="V536" s="299"/>
      <c r="W536" s="299"/>
      <c r="X536" s="299"/>
      <c r="Y536" s="299"/>
      <c r="Z536" s="299"/>
      <c r="AA536" s="299"/>
      <c r="AB536" s="299"/>
      <c r="AC536" s="300"/>
      <c r="AD536" s="300"/>
    </row>
    <row r="537" spans="1:30" ht="12.75" customHeight="1" x14ac:dyDescent="0.2">
      <c r="A537" s="296"/>
      <c r="B537" s="296"/>
      <c r="C537" s="296"/>
      <c r="D537" s="297"/>
      <c r="E537" s="298"/>
      <c r="F537" s="296"/>
      <c r="G537" s="296"/>
      <c r="H537" s="296"/>
      <c r="I537" s="296"/>
      <c r="J537" s="296"/>
      <c r="K537" s="296"/>
      <c r="L537" s="296"/>
      <c r="M537" s="299"/>
      <c r="N537" s="299"/>
      <c r="O537" s="299"/>
      <c r="P537" s="299"/>
      <c r="Q537" s="299"/>
      <c r="R537" s="299"/>
      <c r="S537" s="299"/>
      <c r="T537" s="299"/>
      <c r="U537" s="299"/>
      <c r="V537" s="299"/>
      <c r="W537" s="299"/>
      <c r="X537" s="299"/>
      <c r="Y537" s="299"/>
      <c r="Z537" s="299"/>
      <c r="AA537" s="299"/>
      <c r="AB537" s="299"/>
      <c r="AC537" s="300"/>
      <c r="AD537" s="300"/>
    </row>
    <row r="538" spans="1:30" ht="12.75" customHeight="1" x14ac:dyDescent="0.2">
      <c r="A538" s="296"/>
      <c r="B538" s="296"/>
      <c r="C538" s="296"/>
      <c r="D538" s="297"/>
      <c r="E538" s="298"/>
      <c r="F538" s="296"/>
      <c r="G538" s="296"/>
      <c r="H538" s="296"/>
      <c r="I538" s="296"/>
      <c r="J538" s="296"/>
      <c r="K538" s="296"/>
      <c r="L538" s="296"/>
      <c r="M538" s="299"/>
      <c r="N538" s="299"/>
      <c r="O538" s="299"/>
      <c r="P538" s="299"/>
      <c r="Q538" s="299"/>
      <c r="R538" s="299"/>
      <c r="S538" s="299"/>
      <c r="T538" s="299"/>
      <c r="U538" s="299"/>
      <c r="V538" s="299"/>
      <c r="W538" s="299"/>
      <c r="X538" s="299"/>
      <c r="Y538" s="299"/>
      <c r="Z538" s="299"/>
      <c r="AA538" s="299"/>
      <c r="AB538" s="299"/>
      <c r="AC538" s="300"/>
      <c r="AD538" s="300"/>
    </row>
    <row r="539" spans="1:30" ht="12.75" customHeight="1" x14ac:dyDescent="0.2">
      <c r="A539" s="296"/>
      <c r="B539" s="296"/>
      <c r="C539" s="296"/>
      <c r="D539" s="297"/>
      <c r="E539" s="298"/>
      <c r="F539" s="296"/>
      <c r="G539" s="296"/>
      <c r="H539" s="296"/>
      <c r="I539" s="296"/>
      <c r="J539" s="296"/>
      <c r="K539" s="296"/>
      <c r="L539" s="296"/>
      <c r="M539" s="299"/>
      <c r="N539" s="299"/>
      <c r="O539" s="299"/>
      <c r="P539" s="299"/>
      <c r="Q539" s="299"/>
      <c r="R539" s="299"/>
      <c r="S539" s="299"/>
      <c r="T539" s="299"/>
      <c r="U539" s="299"/>
      <c r="V539" s="299"/>
      <c r="W539" s="299"/>
      <c r="X539" s="299"/>
      <c r="Y539" s="299"/>
      <c r="Z539" s="299"/>
      <c r="AA539" s="299"/>
      <c r="AB539" s="299"/>
      <c r="AC539" s="300"/>
      <c r="AD539" s="300"/>
    </row>
    <row r="540" spans="1:30" ht="12.75" customHeight="1" x14ac:dyDescent="0.2">
      <c r="A540" s="296"/>
      <c r="B540" s="296"/>
      <c r="C540" s="296"/>
      <c r="D540" s="297"/>
      <c r="E540" s="298"/>
      <c r="F540" s="296"/>
      <c r="G540" s="296"/>
      <c r="H540" s="296"/>
      <c r="I540" s="296"/>
      <c r="J540" s="296"/>
      <c r="K540" s="296"/>
      <c r="L540" s="296"/>
      <c r="M540" s="299"/>
      <c r="N540" s="299"/>
      <c r="O540" s="299"/>
      <c r="P540" s="299"/>
      <c r="Q540" s="299"/>
      <c r="R540" s="299"/>
      <c r="S540" s="299"/>
      <c r="T540" s="299"/>
      <c r="U540" s="299"/>
      <c r="V540" s="299"/>
      <c r="W540" s="299"/>
      <c r="X540" s="299"/>
      <c r="Y540" s="299"/>
      <c r="Z540" s="299"/>
      <c r="AA540" s="299"/>
      <c r="AB540" s="299"/>
      <c r="AC540" s="300"/>
      <c r="AD540" s="300"/>
    </row>
    <row r="541" spans="1:30" ht="12.75" customHeight="1" x14ac:dyDescent="0.2">
      <c r="A541" s="296"/>
      <c r="B541" s="296"/>
      <c r="C541" s="296"/>
      <c r="D541" s="297"/>
      <c r="E541" s="298"/>
      <c r="F541" s="296"/>
      <c r="G541" s="296"/>
      <c r="H541" s="296"/>
      <c r="I541" s="296"/>
      <c r="J541" s="296"/>
      <c r="K541" s="296"/>
      <c r="L541" s="296"/>
      <c r="M541" s="299"/>
      <c r="N541" s="299"/>
      <c r="O541" s="299"/>
      <c r="P541" s="299"/>
      <c r="Q541" s="299"/>
      <c r="R541" s="299"/>
      <c r="S541" s="299"/>
      <c r="T541" s="299"/>
      <c r="U541" s="299"/>
      <c r="V541" s="299"/>
      <c r="W541" s="299"/>
      <c r="X541" s="299"/>
      <c r="Y541" s="299"/>
      <c r="Z541" s="299"/>
      <c r="AA541" s="299"/>
      <c r="AB541" s="299"/>
      <c r="AC541" s="300"/>
      <c r="AD541" s="300"/>
    </row>
    <row r="542" spans="1:30" ht="12.75" customHeight="1" x14ac:dyDescent="0.2">
      <c r="A542" s="296"/>
      <c r="B542" s="296"/>
      <c r="C542" s="296"/>
      <c r="D542" s="297"/>
      <c r="E542" s="298"/>
      <c r="F542" s="296"/>
      <c r="G542" s="296"/>
      <c r="H542" s="296"/>
      <c r="I542" s="296"/>
      <c r="J542" s="296"/>
      <c r="K542" s="296"/>
      <c r="L542" s="296"/>
      <c r="M542" s="299"/>
      <c r="N542" s="299"/>
      <c r="O542" s="299"/>
      <c r="P542" s="299"/>
      <c r="Q542" s="299"/>
      <c r="R542" s="299"/>
      <c r="S542" s="299"/>
      <c r="T542" s="299"/>
      <c r="U542" s="299"/>
      <c r="V542" s="299"/>
      <c r="W542" s="299"/>
      <c r="X542" s="299"/>
      <c r="Y542" s="299"/>
      <c r="Z542" s="299"/>
      <c r="AA542" s="299"/>
      <c r="AB542" s="299"/>
      <c r="AC542" s="300"/>
      <c r="AD542" s="300"/>
    </row>
    <row r="543" spans="1:30" ht="12.75" customHeight="1" x14ac:dyDescent="0.2">
      <c r="A543" s="296"/>
      <c r="B543" s="296"/>
      <c r="C543" s="296"/>
      <c r="D543" s="297"/>
      <c r="E543" s="298"/>
      <c r="F543" s="296"/>
      <c r="G543" s="296"/>
      <c r="H543" s="296"/>
      <c r="I543" s="296"/>
      <c r="J543" s="296"/>
      <c r="K543" s="296"/>
      <c r="L543" s="296"/>
      <c r="M543" s="299"/>
      <c r="N543" s="299"/>
      <c r="O543" s="299"/>
      <c r="P543" s="299"/>
      <c r="Q543" s="299"/>
      <c r="R543" s="299"/>
      <c r="S543" s="299"/>
      <c r="T543" s="299"/>
      <c r="U543" s="299"/>
      <c r="V543" s="299"/>
      <c r="W543" s="299"/>
      <c r="X543" s="299"/>
      <c r="Y543" s="299"/>
      <c r="Z543" s="299"/>
      <c r="AA543" s="299"/>
      <c r="AB543" s="299"/>
      <c r="AC543" s="300"/>
      <c r="AD543" s="300"/>
    </row>
    <row r="544" spans="1:30" ht="12.75" customHeight="1" x14ac:dyDescent="0.2">
      <c r="A544" s="296"/>
      <c r="B544" s="296"/>
      <c r="C544" s="296"/>
      <c r="D544" s="297"/>
      <c r="E544" s="298"/>
      <c r="F544" s="296"/>
      <c r="G544" s="296"/>
      <c r="H544" s="296"/>
      <c r="I544" s="296"/>
      <c r="J544" s="296"/>
      <c r="K544" s="296"/>
      <c r="L544" s="296"/>
      <c r="M544" s="299"/>
      <c r="N544" s="299"/>
      <c r="O544" s="299"/>
      <c r="P544" s="299"/>
      <c r="Q544" s="299"/>
      <c r="R544" s="299"/>
      <c r="S544" s="299"/>
      <c r="T544" s="299"/>
      <c r="U544" s="299"/>
      <c r="V544" s="299"/>
      <c r="W544" s="299"/>
      <c r="X544" s="299"/>
      <c r="Y544" s="299"/>
      <c r="Z544" s="299"/>
      <c r="AA544" s="299"/>
      <c r="AB544" s="299"/>
      <c r="AC544" s="300"/>
      <c r="AD544" s="300"/>
    </row>
    <row r="545" spans="1:30" ht="12.75" customHeight="1" x14ac:dyDescent="0.2">
      <c r="A545" s="296"/>
      <c r="B545" s="296"/>
      <c r="C545" s="296"/>
      <c r="D545" s="297"/>
      <c r="E545" s="298"/>
      <c r="F545" s="296"/>
      <c r="G545" s="296"/>
      <c r="H545" s="296"/>
      <c r="I545" s="296"/>
      <c r="J545" s="296"/>
      <c r="K545" s="296"/>
      <c r="L545" s="296"/>
      <c r="M545" s="299"/>
      <c r="N545" s="299"/>
      <c r="O545" s="299"/>
      <c r="P545" s="299"/>
      <c r="Q545" s="299"/>
      <c r="R545" s="299"/>
      <c r="S545" s="299"/>
      <c r="T545" s="299"/>
      <c r="U545" s="299"/>
      <c r="V545" s="299"/>
      <c r="W545" s="299"/>
      <c r="X545" s="299"/>
      <c r="Y545" s="299"/>
      <c r="Z545" s="299"/>
      <c r="AA545" s="299"/>
      <c r="AB545" s="299"/>
      <c r="AC545" s="300"/>
      <c r="AD545" s="300"/>
    </row>
    <row r="546" spans="1:30" ht="12.75" customHeight="1" x14ac:dyDescent="0.2">
      <c r="A546" s="296"/>
      <c r="B546" s="296"/>
      <c r="C546" s="296"/>
      <c r="D546" s="297"/>
      <c r="E546" s="298"/>
      <c r="F546" s="296"/>
      <c r="G546" s="296"/>
      <c r="H546" s="296"/>
      <c r="I546" s="296"/>
      <c r="J546" s="296"/>
      <c r="K546" s="296"/>
      <c r="L546" s="296"/>
      <c r="M546" s="299"/>
      <c r="N546" s="299"/>
      <c r="O546" s="299"/>
      <c r="P546" s="299"/>
      <c r="Q546" s="299"/>
      <c r="R546" s="299"/>
      <c r="S546" s="299"/>
      <c r="T546" s="299"/>
      <c r="U546" s="299"/>
      <c r="V546" s="299"/>
      <c r="W546" s="299"/>
      <c r="X546" s="299"/>
      <c r="Y546" s="299"/>
      <c r="Z546" s="299"/>
      <c r="AA546" s="299"/>
      <c r="AB546" s="299"/>
      <c r="AC546" s="300"/>
      <c r="AD546" s="300"/>
    </row>
    <row r="547" spans="1:30" ht="12.75" customHeight="1" x14ac:dyDescent="0.2">
      <c r="A547" s="296"/>
      <c r="B547" s="296"/>
      <c r="C547" s="296"/>
      <c r="D547" s="297"/>
      <c r="E547" s="298"/>
      <c r="F547" s="296"/>
      <c r="G547" s="296"/>
      <c r="H547" s="296"/>
      <c r="I547" s="296"/>
      <c r="J547" s="296"/>
      <c r="K547" s="296"/>
      <c r="L547" s="296"/>
      <c r="M547" s="299"/>
      <c r="N547" s="299"/>
      <c r="O547" s="299"/>
      <c r="P547" s="299"/>
      <c r="Q547" s="299"/>
      <c r="R547" s="299"/>
      <c r="S547" s="299"/>
      <c r="T547" s="299"/>
      <c r="U547" s="299"/>
      <c r="V547" s="299"/>
      <c r="W547" s="299"/>
      <c r="X547" s="299"/>
      <c r="Y547" s="299"/>
      <c r="Z547" s="299"/>
      <c r="AA547" s="299"/>
      <c r="AB547" s="299"/>
      <c r="AC547" s="300"/>
      <c r="AD547" s="300"/>
    </row>
    <row r="548" spans="1:30" ht="12.75" customHeight="1" x14ac:dyDescent="0.2">
      <c r="A548" s="296"/>
      <c r="B548" s="296"/>
      <c r="C548" s="296"/>
      <c r="D548" s="297"/>
      <c r="E548" s="298"/>
      <c r="F548" s="296"/>
      <c r="G548" s="296"/>
      <c r="H548" s="296"/>
      <c r="I548" s="296"/>
      <c r="J548" s="296"/>
      <c r="K548" s="296"/>
      <c r="L548" s="296"/>
      <c r="M548" s="299"/>
      <c r="N548" s="299"/>
      <c r="O548" s="299"/>
      <c r="P548" s="299"/>
      <c r="Q548" s="299"/>
      <c r="R548" s="299"/>
      <c r="S548" s="299"/>
      <c r="T548" s="299"/>
      <c r="U548" s="299"/>
      <c r="V548" s="299"/>
      <c r="W548" s="299"/>
      <c r="X548" s="299"/>
      <c r="Y548" s="299"/>
      <c r="Z548" s="299"/>
      <c r="AA548" s="299"/>
      <c r="AB548" s="299"/>
      <c r="AC548" s="300"/>
      <c r="AD548" s="300"/>
    </row>
    <row r="549" spans="1:30" ht="12.75" customHeight="1" x14ac:dyDescent="0.2">
      <c r="A549" s="296"/>
      <c r="B549" s="296"/>
      <c r="C549" s="296"/>
      <c r="D549" s="297"/>
      <c r="E549" s="298"/>
      <c r="F549" s="296"/>
      <c r="G549" s="296"/>
      <c r="H549" s="296"/>
      <c r="I549" s="296"/>
      <c r="J549" s="296"/>
      <c r="K549" s="296"/>
      <c r="L549" s="296"/>
      <c r="M549" s="299"/>
      <c r="N549" s="299"/>
      <c r="O549" s="299"/>
      <c r="P549" s="299"/>
      <c r="Q549" s="299"/>
      <c r="R549" s="299"/>
      <c r="S549" s="299"/>
      <c r="T549" s="299"/>
      <c r="U549" s="299"/>
      <c r="V549" s="299"/>
      <c r="W549" s="299"/>
      <c r="X549" s="299"/>
      <c r="Y549" s="299"/>
      <c r="Z549" s="299"/>
      <c r="AA549" s="299"/>
      <c r="AB549" s="299"/>
      <c r="AC549" s="300"/>
      <c r="AD549" s="300"/>
    </row>
    <row r="550" spans="1:30" ht="12.75" customHeight="1" x14ac:dyDescent="0.2">
      <c r="A550" s="296"/>
      <c r="B550" s="296"/>
      <c r="C550" s="296"/>
      <c r="D550" s="297"/>
      <c r="E550" s="298"/>
      <c r="F550" s="296"/>
      <c r="G550" s="296"/>
      <c r="H550" s="296"/>
      <c r="I550" s="296"/>
      <c r="J550" s="296"/>
      <c r="K550" s="296"/>
      <c r="L550" s="296"/>
      <c r="M550" s="299"/>
      <c r="N550" s="299"/>
      <c r="O550" s="299"/>
      <c r="P550" s="299"/>
      <c r="Q550" s="299"/>
      <c r="R550" s="299"/>
      <c r="S550" s="299"/>
      <c r="T550" s="299"/>
      <c r="U550" s="299"/>
      <c r="V550" s="299"/>
      <c r="W550" s="299"/>
      <c r="X550" s="299"/>
      <c r="Y550" s="299"/>
      <c r="Z550" s="299"/>
      <c r="AA550" s="299"/>
      <c r="AB550" s="299"/>
      <c r="AC550" s="300"/>
      <c r="AD550" s="300"/>
    </row>
    <row r="551" spans="1:30" ht="12.75" customHeight="1" x14ac:dyDescent="0.2">
      <c r="A551" s="296"/>
      <c r="B551" s="296"/>
      <c r="C551" s="296"/>
      <c r="D551" s="297"/>
      <c r="E551" s="298"/>
      <c r="F551" s="296"/>
      <c r="G551" s="296"/>
      <c r="H551" s="296"/>
      <c r="I551" s="296"/>
      <c r="J551" s="296"/>
      <c r="K551" s="296"/>
      <c r="L551" s="296"/>
      <c r="M551" s="299"/>
      <c r="N551" s="299"/>
      <c r="O551" s="299"/>
      <c r="P551" s="299"/>
      <c r="Q551" s="299"/>
      <c r="R551" s="299"/>
      <c r="S551" s="299"/>
      <c r="T551" s="299"/>
      <c r="U551" s="299"/>
      <c r="V551" s="299"/>
      <c r="W551" s="299"/>
      <c r="X551" s="299"/>
      <c r="Y551" s="299"/>
      <c r="Z551" s="299"/>
      <c r="AA551" s="299"/>
      <c r="AB551" s="299"/>
      <c r="AC551" s="300"/>
      <c r="AD551" s="300"/>
    </row>
    <row r="552" spans="1:30" ht="12.75" customHeight="1" x14ac:dyDescent="0.2">
      <c r="A552" s="296"/>
      <c r="B552" s="296"/>
      <c r="C552" s="296"/>
      <c r="D552" s="297"/>
      <c r="E552" s="298"/>
      <c r="F552" s="296"/>
      <c r="G552" s="296"/>
      <c r="H552" s="296"/>
      <c r="I552" s="296"/>
      <c r="J552" s="296"/>
      <c r="K552" s="296"/>
      <c r="L552" s="296"/>
      <c r="M552" s="299"/>
      <c r="N552" s="299"/>
      <c r="O552" s="299"/>
      <c r="P552" s="299"/>
      <c r="Q552" s="299"/>
      <c r="R552" s="299"/>
      <c r="S552" s="299"/>
      <c r="T552" s="299"/>
      <c r="U552" s="299"/>
      <c r="V552" s="299"/>
      <c r="W552" s="299"/>
      <c r="X552" s="299"/>
      <c r="Y552" s="299"/>
      <c r="Z552" s="299"/>
      <c r="AA552" s="299"/>
      <c r="AB552" s="299"/>
      <c r="AC552" s="300"/>
      <c r="AD552" s="300"/>
    </row>
    <row r="553" spans="1:30" ht="12.75" customHeight="1" x14ac:dyDescent="0.2">
      <c r="A553" s="296"/>
      <c r="B553" s="296"/>
      <c r="C553" s="296"/>
      <c r="D553" s="297"/>
      <c r="E553" s="298"/>
      <c r="F553" s="296"/>
      <c r="G553" s="296"/>
      <c r="H553" s="296"/>
      <c r="I553" s="296"/>
      <c r="J553" s="296"/>
      <c r="K553" s="296"/>
      <c r="L553" s="296"/>
      <c r="M553" s="299"/>
      <c r="N553" s="299"/>
      <c r="O553" s="299"/>
      <c r="P553" s="299"/>
      <c r="Q553" s="299"/>
      <c r="R553" s="299"/>
      <c r="S553" s="299"/>
      <c r="T553" s="299"/>
      <c r="U553" s="299"/>
      <c r="V553" s="299"/>
      <c r="W553" s="299"/>
      <c r="X553" s="299"/>
      <c r="Y553" s="299"/>
      <c r="Z553" s="299"/>
      <c r="AA553" s="299"/>
      <c r="AB553" s="299"/>
      <c r="AC553" s="300"/>
      <c r="AD553" s="300"/>
    </row>
    <row r="554" spans="1:30" ht="12.75" customHeight="1" x14ac:dyDescent="0.2">
      <c r="A554" s="296"/>
      <c r="B554" s="296"/>
      <c r="C554" s="296"/>
      <c r="D554" s="297"/>
      <c r="E554" s="298"/>
      <c r="F554" s="296"/>
      <c r="G554" s="296"/>
      <c r="H554" s="296"/>
      <c r="I554" s="296"/>
      <c r="J554" s="296"/>
      <c r="K554" s="296"/>
      <c r="L554" s="296"/>
      <c r="M554" s="299"/>
      <c r="N554" s="299"/>
      <c r="O554" s="299"/>
      <c r="P554" s="299"/>
      <c r="Q554" s="299"/>
      <c r="R554" s="299"/>
      <c r="S554" s="299"/>
      <c r="T554" s="299"/>
      <c r="U554" s="299"/>
      <c r="V554" s="299"/>
      <c r="W554" s="299"/>
      <c r="X554" s="299"/>
      <c r="Y554" s="299"/>
      <c r="Z554" s="299"/>
      <c r="AA554" s="299"/>
      <c r="AB554" s="299"/>
      <c r="AC554" s="300"/>
      <c r="AD554" s="300"/>
    </row>
    <row r="555" spans="1:30" ht="12.75" customHeight="1" x14ac:dyDescent="0.2">
      <c r="A555" s="296"/>
      <c r="B555" s="296"/>
      <c r="C555" s="296"/>
      <c r="D555" s="297"/>
      <c r="E555" s="298"/>
      <c r="F555" s="296"/>
      <c r="G555" s="296"/>
      <c r="H555" s="296"/>
      <c r="I555" s="296"/>
      <c r="J555" s="296"/>
      <c r="K555" s="296"/>
      <c r="L555" s="296"/>
      <c r="M555" s="299"/>
      <c r="N555" s="299"/>
      <c r="O555" s="299"/>
      <c r="P555" s="299"/>
      <c r="Q555" s="299"/>
      <c r="R555" s="299"/>
      <c r="S555" s="299"/>
      <c r="T555" s="299"/>
      <c r="U555" s="299"/>
      <c r="V555" s="299"/>
      <c r="W555" s="299"/>
      <c r="X555" s="299"/>
      <c r="Y555" s="299"/>
      <c r="Z555" s="299"/>
      <c r="AA555" s="299"/>
      <c r="AB555" s="299"/>
      <c r="AC555" s="300"/>
      <c r="AD555" s="300"/>
    </row>
    <row r="556" spans="1:30" ht="12.75" customHeight="1" x14ac:dyDescent="0.2">
      <c r="A556" s="296"/>
      <c r="B556" s="296"/>
      <c r="C556" s="296"/>
      <c r="D556" s="297"/>
      <c r="E556" s="298"/>
      <c r="F556" s="296"/>
      <c r="G556" s="296"/>
      <c r="H556" s="296"/>
      <c r="I556" s="296"/>
      <c r="J556" s="296"/>
      <c r="K556" s="296"/>
      <c r="L556" s="296"/>
      <c r="M556" s="299"/>
      <c r="N556" s="299"/>
      <c r="O556" s="299"/>
      <c r="P556" s="299"/>
      <c r="Q556" s="299"/>
      <c r="R556" s="299"/>
      <c r="S556" s="299"/>
      <c r="T556" s="299"/>
      <c r="U556" s="299"/>
      <c r="V556" s="299"/>
      <c r="W556" s="299"/>
      <c r="X556" s="299"/>
      <c r="Y556" s="299"/>
      <c r="Z556" s="299"/>
      <c r="AA556" s="299"/>
      <c r="AB556" s="299"/>
      <c r="AC556" s="300"/>
      <c r="AD556" s="300"/>
    </row>
    <row r="557" spans="1:30" ht="12.75" customHeight="1" x14ac:dyDescent="0.2">
      <c r="A557" s="296"/>
      <c r="B557" s="296"/>
      <c r="C557" s="296"/>
      <c r="D557" s="297"/>
      <c r="E557" s="298"/>
      <c r="F557" s="296"/>
      <c r="G557" s="296"/>
      <c r="H557" s="296"/>
      <c r="I557" s="296"/>
      <c r="J557" s="296"/>
      <c r="K557" s="296"/>
      <c r="L557" s="296"/>
      <c r="M557" s="299"/>
      <c r="N557" s="299"/>
      <c r="O557" s="299"/>
      <c r="P557" s="299"/>
      <c r="Q557" s="299"/>
      <c r="R557" s="299"/>
      <c r="S557" s="299"/>
      <c r="T557" s="299"/>
      <c r="U557" s="299"/>
      <c r="V557" s="299"/>
      <c r="W557" s="299"/>
      <c r="X557" s="299"/>
      <c r="Y557" s="299"/>
      <c r="Z557" s="299"/>
      <c r="AA557" s="299"/>
      <c r="AB557" s="299"/>
      <c r="AC557" s="300"/>
      <c r="AD557" s="300"/>
    </row>
    <row r="558" spans="1:30" ht="12.75" customHeight="1" x14ac:dyDescent="0.2">
      <c r="A558" s="296"/>
      <c r="B558" s="296"/>
      <c r="C558" s="296"/>
      <c r="D558" s="297"/>
      <c r="E558" s="298"/>
      <c r="F558" s="296"/>
      <c r="G558" s="296"/>
      <c r="H558" s="296"/>
      <c r="I558" s="296"/>
      <c r="J558" s="296"/>
      <c r="K558" s="296"/>
      <c r="L558" s="296"/>
      <c r="M558" s="299"/>
      <c r="N558" s="299"/>
      <c r="O558" s="299"/>
      <c r="P558" s="299"/>
      <c r="Q558" s="299"/>
      <c r="R558" s="299"/>
      <c r="S558" s="299"/>
      <c r="T558" s="299"/>
      <c r="U558" s="299"/>
      <c r="V558" s="299"/>
      <c r="W558" s="299"/>
      <c r="X558" s="299"/>
      <c r="Y558" s="299"/>
      <c r="Z558" s="299"/>
      <c r="AA558" s="299"/>
      <c r="AB558" s="299"/>
      <c r="AC558" s="300"/>
      <c r="AD558" s="300"/>
    </row>
    <row r="559" spans="1:30" ht="12.75" customHeight="1" x14ac:dyDescent="0.2">
      <c r="A559" s="296"/>
      <c r="B559" s="296"/>
      <c r="C559" s="296"/>
      <c r="D559" s="297"/>
      <c r="E559" s="298"/>
      <c r="F559" s="296"/>
      <c r="G559" s="296"/>
      <c r="H559" s="296"/>
      <c r="I559" s="296"/>
      <c r="J559" s="296"/>
      <c r="K559" s="296"/>
      <c r="L559" s="296"/>
      <c r="M559" s="299"/>
      <c r="N559" s="299"/>
      <c r="O559" s="299"/>
      <c r="P559" s="299"/>
      <c r="Q559" s="299"/>
      <c r="R559" s="299"/>
      <c r="S559" s="299"/>
      <c r="T559" s="299"/>
      <c r="U559" s="299"/>
      <c r="V559" s="299"/>
      <c r="W559" s="299"/>
      <c r="X559" s="299"/>
      <c r="Y559" s="299"/>
      <c r="Z559" s="299"/>
      <c r="AA559" s="299"/>
      <c r="AB559" s="299"/>
      <c r="AC559" s="300"/>
      <c r="AD559" s="300"/>
    </row>
    <row r="560" spans="1:30" ht="12.75" customHeight="1" x14ac:dyDescent="0.2">
      <c r="A560" s="296"/>
      <c r="B560" s="296"/>
      <c r="C560" s="296"/>
      <c r="D560" s="297"/>
      <c r="E560" s="298"/>
      <c r="F560" s="296"/>
      <c r="G560" s="296"/>
      <c r="H560" s="296"/>
      <c r="I560" s="296"/>
      <c r="J560" s="296"/>
      <c r="K560" s="296"/>
      <c r="L560" s="296"/>
      <c r="M560" s="299"/>
      <c r="N560" s="299"/>
      <c r="O560" s="299"/>
      <c r="P560" s="299"/>
      <c r="Q560" s="299"/>
      <c r="R560" s="299"/>
      <c r="S560" s="299"/>
      <c r="T560" s="299"/>
      <c r="U560" s="299"/>
      <c r="V560" s="299"/>
      <c r="W560" s="299"/>
      <c r="X560" s="299"/>
      <c r="Y560" s="299"/>
      <c r="Z560" s="299"/>
      <c r="AA560" s="299"/>
      <c r="AB560" s="299"/>
      <c r="AC560" s="300"/>
      <c r="AD560" s="300"/>
    </row>
    <row r="561" spans="1:30" ht="12.75" customHeight="1" x14ac:dyDescent="0.2">
      <c r="A561" s="296"/>
      <c r="B561" s="296"/>
      <c r="C561" s="296"/>
      <c r="D561" s="297"/>
      <c r="E561" s="298"/>
      <c r="F561" s="296"/>
      <c r="G561" s="296"/>
      <c r="H561" s="296"/>
      <c r="I561" s="296"/>
      <c r="J561" s="296"/>
      <c r="K561" s="296"/>
      <c r="L561" s="296"/>
      <c r="M561" s="299"/>
      <c r="N561" s="299"/>
      <c r="O561" s="299"/>
      <c r="P561" s="299"/>
      <c r="Q561" s="299"/>
      <c r="R561" s="299"/>
      <c r="S561" s="299"/>
      <c r="T561" s="299"/>
      <c r="U561" s="299"/>
      <c r="V561" s="299"/>
      <c r="W561" s="299"/>
      <c r="X561" s="299"/>
      <c r="Y561" s="299"/>
      <c r="Z561" s="299"/>
      <c r="AA561" s="299"/>
      <c r="AB561" s="299"/>
      <c r="AC561" s="300"/>
      <c r="AD561" s="300"/>
    </row>
    <row r="562" spans="1:30" ht="12.75" customHeight="1" x14ac:dyDescent="0.2">
      <c r="A562" s="296"/>
      <c r="B562" s="296"/>
      <c r="C562" s="296"/>
      <c r="D562" s="297"/>
      <c r="E562" s="298"/>
      <c r="F562" s="296"/>
      <c r="G562" s="296"/>
      <c r="H562" s="296"/>
      <c r="I562" s="296"/>
      <c r="J562" s="296"/>
      <c r="K562" s="296"/>
      <c r="L562" s="296"/>
      <c r="M562" s="299"/>
      <c r="N562" s="299"/>
      <c r="O562" s="299"/>
      <c r="P562" s="299"/>
      <c r="Q562" s="299"/>
      <c r="R562" s="299"/>
      <c r="S562" s="299"/>
      <c r="T562" s="299"/>
      <c r="U562" s="299"/>
      <c r="V562" s="299"/>
      <c r="W562" s="299"/>
      <c r="X562" s="299"/>
      <c r="Y562" s="299"/>
      <c r="Z562" s="299"/>
      <c r="AA562" s="299"/>
      <c r="AB562" s="299"/>
      <c r="AC562" s="300"/>
      <c r="AD562" s="300"/>
    </row>
    <row r="563" spans="1:30" ht="12.75" customHeight="1" x14ac:dyDescent="0.2">
      <c r="A563" s="296"/>
      <c r="B563" s="296"/>
      <c r="C563" s="296"/>
      <c r="D563" s="297"/>
      <c r="E563" s="298"/>
      <c r="F563" s="296"/>
      <c r="G563" s="296"/>
      <c r="H563" s="296"/>
      <c r="I563" s="296"/>
      <c r="J563" s="296"/>
      <c r="K563" s="296"/>
      <c r="L563" s="296"/>
      <c r="M563" s="299"/>
      <c r="N563" s="299"/>
      <c r="O563" s="299"/>
      <c r="P563" s="299"/>
      <c r="Q563" s="299"/>
      <c r="R563" s="299"/>
      <c r="S563" s="299"/>
      <c r="T563" s="299"/>
      <c r="U563" s="299"/>
      <c r="V563" s="299"/>
      <c r="W563" s="299"/>
      <c r="X563" s="299"/>
      <c r="Y563" s="299"/>
      <c r="Z563" s="299"/>
      <c r="AA563" s="299"/>
      <c r="AB563" s="299"/>
      <c r="AC563" s="300"/>
      <c r="AD563" s="300"/>
    </row>
    <row r="564" spans="1:30" ht="12.75" customHeight="1" x14ac:dyDescent="0.2">
      <c r="A564" s="296"/>
      <c r="B564" s="296"/>
      <c r="C564" s="296"/>
      <c r="D564" s="297"/>
      <c r="E564" s="298"/>
      <c r="F564" s="296"/>
      <c r="G564" s="296"/>
      <c r="H564" s="296"/>
      <c r="I564" s="296"/>
      <c r="J564" s="296"/>
      <c r="K564" s="296"/>
      <c r="L564" s="296"/>
      <c r="M564" s="299"/>
      <c r="N564" s="299"/>
      <c r="O564" s="299"/>
      <c r="P564" s="299"/>
      <c r="Q564" s="299"/>
      <c r="R564" s="299"/>
      <c r="S564" s="299"/>
      <c r="T564" s="299"/>
      <c r="U564" s="299"/>
      <c r="V564" s="299"/>
      <c r="W564" s="299"/>
      <c r="X564" s="299"/>
      <c r="Y564" s="299"/>
      <c r="Z564" s="299"/>
      <c r="AA564" s="299"/>
      <c r="AB564" s="299"/>
      <c r="AC564" s="300"/>
      <c r="AD564" s="300"/>
    </row>
    <row r="565" spans="1:30" ht="12.75" customHeight="1" x14ac:dyDescent="0.2">
      <c r="A565" s="296"/>
      <c r="B565" s="296"/>
      <c r="C565" s="296"/>
      <c r="D565" s="297"/>
      <c r="E565" s="298"/>
      <c r="F565" s="296"/>
      <c r="G565" s="296"/>
      <c r="H565" s="296"/>
      <c r="I565" s="296"/>
      <c r="J565" s="296"/>
      <c r="K565" s="296"/>
      <c r="L565" s="296"/>
      <c r="M565" s="299"/>
      <c r="N565" s="299"/>
      <c r="O565" s="299"/>
      <c r="P565" s="299"/>
      <c r="Q565" s="299"/>
      <c r="R565" s="299"/>
      <c r="S565" s="299"/>
      <c r="T565" s="299"/>
      <c r="U565" s="299"/>
      <c r="V565" s="299"/>
      <c r="W565" s="299"/>
      <c r="X565" s="299"/>
      <c r="Y565" s="299"/>
      <c r="Z565" s="299"/>
      <c r="AA565" s="299"/>
      <c r="AB565" s="299"/>
      <c r="AC565" s="300"/>
      <c r="AD565" s="300"/>
    </row>
    <row r="566" spans="1:30" ht="12.75" customHeight="1" x14ac:dyDescent="0.2">
      <c r="A566" s="296"/>
      <c r="B566" s="296"/>
      <c r="C566" s="296"/>
      <c r="D566" s="297"/>
      <c r="E566" s="298"/>
      <c r="F566" s="296"/>
      <c r="G566" s="296"/>
      <c r="H566" s="296"/>
      <c r="I566" s="296"/>
      <c r="J566" s="296"/>
      <c r="K566" s="296"/>
      <c r="L566" s="296"/>
      <c r="M566" s="299"/>
      <c r="N566" s="299"/>
      <c r="O566" s="299"/>
      <c r="P566" s="299"/>
      <c r="Q566" s="299"/>
      <c r="R566" s="299"/>
      <c r="S566" s="299"/>
      <c r="T566" s="299"/>
      <c r="U566" s="299"/>
      <c r="V566" s="299"/>
      <c r="W566" s="299"/>
      <c r="X566" s="299"/>
      <c r="Y566" s="299"/>
      <c r="Z566" s="299"/>
      <c r="AA566" s="299"/>
      <c r="AB566" s="299"/>
      <c r="AC566" s="300"/>
      <c r="AD566" s="300"/>
    </row>
    <row r="567" spans="1:30" ht="12.75" customHeight="1" x14ac:dyDescent="0.2">
      <c r="A567" s="296"/>
      <c r="B567" s="296"/>
      <c r="C567" s="296"/>
      <c r="D567" s="297"/>
      <c r="E567" s="298"/>
      <c r="F567" s="296"/>
      <c r="G567" s="296"/>
      <c r="H567" s="296"/>
      <c r="I567" s="296"/>
      <c r="J567" s="296"/>
      <c r="K567" s="296"/>
      <c r="L567" s="296"/>
      <c r="M567" s="299"/>
      <c r="N567" s="299"/>
      <c r="O567" s="299"/>
      <c r="P567" s="299"/>
      <c r="Q567" s="299"/>
      <c r="R567" s="299"/>
      <c r="S567" s="299"/>
      <c r="T567" s="299"/>
      <c r="U567" s="299"/>
      <c r="V567" s="299"/>
      <c r="W567" s="299"/>
      <c r="X567" s="299"/>
      <c r="Y567" s="299"/>
      <c r="Z567" s="299"/>
      <c r="AA567" s="299"/>
      <c r="AB567" s="299"/>
      <c r="AC567" s="300"/>
      <c r="AD567" s="300"/>
    </row>
    <row r="568" spans="1:30" ht="12.75" customHeight="1" x14ac:dyDescent="0.2">
      <c r="A568" s="296"/>
      <c r="B568" s="296"/>
      <c r="C568" s="296"/>
      <c r="D568" s="297"/>
      <c r="E568" s="298"/>
      <c r="F568" s="296"/>
      <c r="G568" s="296"/>
      <c r="H568" s="296"/>
      <c r="I568" s="296"/>
      <c r="J568" s="296"/>
      <c r="K568" s="296"/>
      <c r="L568" s="296"/>
      <c r="M568" s="299"/>
      <c r="N568" s="299"/>
      <c r="O568" s="299"/>
      <c r="P568" s="299"/>
      <c r="Q568" s="299"/>
      <c r="R568" s="299"/>
      <c r="S568" s="299"/>
      <c r="T568" s="299"/>
      <c r="U568" s="299"/>
      <c r="V568" s="299"/>
      <c r="W568" s="299"/>
      <c r="X568" s="299"/>
      <c r="Y568" s="299"/>
      <c r="Z568" s="299"/>
      <c r="AA568" s="299"/>
      <c r="AB568" s="299"/>
      <c r="AC568" s="300"/>
      <c r="AD568" s="300"/>
    </row>
    <row r="569" spans="1:30" ht="12.75" customHeight="1" x14ac:dyDescent="0.2">
      <c r="A569" s="296"/>
      <c r="B569" s="296"/>
      <c r="C569" s="296"/>
      <c r="D569" s="297"/>
      <c r="E569" s="298"/>
      <c r="F569" s="296"/>
      <c r="G569" s="296"/>
      <c r="H569" s="296"/>
      <c r="I569" s="296"/>
      <c r="J569" s="296"/>
      <c r="K569" s="296"/>
      <c r="L569" s="296"/>
      <c r="M569" s="299"/>
      <c r="N569" s="299"/>
      <c r="O569" s="299"/>
      <c r="P569" s="299"/>
      <c r="Q569" s="299"/>
      <c r="R569" s="299"/>
      <c r="S569" s="299"/>
      <c r="T569" s="299"/>
      <c r="U569" s="299"/>
      <c r="V569" s="299"/>
      <c r="W569" s="299"/>
      <c r="X569" s="299"/>
      <c r="Y569" s="299"/>
      <c r="Z569" s="299"/>
      <c r="AA569" s="299"/>
      <c r="AB569" s="299"/>
      <c r="AC569" s="300"/>
      <c r="AD569" s="300"/>
    </row>
    <row r="570" spans="1:30" ht="12.75" customHeight="1" x14ac:dyDescent="0.2">
      <c r="A570" s="296"/>
      <c r="B570" s="296"/>
      <c r="C570" s="296"/>
      <c r="D570" s="297"/>
      <c r="E570" s="298"/>
      <c r="F570" s="296"/>
      <c r="G570" s="296"/>
      <c r="H570" s="296"/>
      <c r="I570" s="296"/>
      <c r="J570" s="296"/>
      <c r="K570" s="296"/>
      <c r="L570" s="296"/>
      <c r="M570" s="299"/>
      <c r="N570" s="299"/>
      <c r="O570" s="299"/>
      <c r="P570" s="299"/>
      <c r="Q570" s="299"/>
      <c r="R570" s="299"/>
      <c r="S570" s="299"/>
      <c r="T570" s="299"/>
      <c r="U570" s="299"/>
      <c r="V570" s="299"/>
      <c r="W570" s="299"/>
      <c r="X570" s="299"/>
      <c r="Y570" s="299"/>
      <c r="Z570" s="299"/>
      <c r="AA570" s="299"/>
      <c r="AB570" s="299"/>
      <c r="AC570" s="300"/>
      <c r="AD570" s="300"/>
    </row>
    <row r="571" spans="1:30" ht="12.75" customHeight="1" x14ac:dyDescent="0.2">
      <c r="A571" s="296"/>
      <c r="B571" s="296"/>
      <c r="C571" s="296"/>
      <c r="D571" s="297"/>
      <c r="E571" s="298"/>
      <c r="F571" s="296"/>
      <c r="G571" s="296"/>
      <c r="H571" s="296"/>
      <c r="I571" s="296"/>
      <c r="J571" s="296"/>
      <c r="K571" s="296"/>
      <c r="L571" s="296"/>
      <c r="M571" s="299"/>
      <c r="N571" s="299"/>
      <c r="O571" s="299"/>
      <c r="P571" s="299"/>
      <c r="Q571" s="299"/>
      <c r="R571" s="299"/>
      <c r="S571" s="299"/>
      <c r="T571" s="299"/>
      <c r="U571" s="299"/>
      <c r="V571" s="299"/>
      <c r="W571" s="299"/>
      <c r="X571" s="299"/>
      <c r="Y571" s="299"/>
      <c r="Z571" s="299"/>
      <c r="AA571" s="299"/>
      <c r="AB571" s="299"/>
      <c r="AC571" s="300"/>
      <c r="AD571" s="300"/>
    </row>
    <row r="572" spans="1:30" ht="12.75" customHeight="1" x14ac:dyDescent="0.2">
      <c r="A572" s="296"/>
      <c r="B572" s="296"/>
      <c r="C572" s="296"/>
      <c r="D572" s="297"/>
      <c r="E572" s="298"/>
      <c r="F572" s="296"/>
      <c r="G572" s="296"/>
      <c r="H572" s="296"/>
      <c r="I572" s="296"/>
      <c r="J572" s="296"/>
      <c r="K572" s="296"/>
      <c r="L572" s="296"/>
      <c r="M572" s="299"/>
      <c r="N572" s="299"/>
      <c r="O572" s="299"/>
      <c r="P572" s="299"/>
      <c r="Q572" s="299"/>
      <c r="R572" s="299"/>
      <c r="S572" s="299"/>
      <c r="T572" s="299"/>
      <c r="U572" s="299"/>
      <c r="V572" s="299"/>
      <c r="W572" s="299"/>
      <c r="X572" s="299"/>
      <c r="Y572" s="299"/>
      <c r="Z572" s="299"/>
      <c r="AA572" s="299"/>
      <c r="AB572" s="299"/>
      <c r="AC572" s="300"/>
      <c r="AD572" s="300"/>
    </row>
    <row r="573" spans="1:30" ht="12.75" customHeight="1" x14ac:dyDescent="0.2">
      <c r="A573" s="296"/>
      <c r="B573" s="296"/>
      <c r="C573" s="296"/>
      <c r="D573" s="297"/>
      <c r="E573" s="298"/>
      <c r="F573" s="296"/>
      <c r="G573" s="296"/>
      <c r="H573" s="296"/>
      <c r="I573" s="296"/>
      <c r="J573" s="296"/>
      <c r="K573" s="296"/>
      <c r="L573" s="296"/>
      <c r="M573" s="299"/>
      <c r="N573" s="299"/>
      <c r="O573" s="299"/>
      <c r="P573" s="299"/>
      <c r="Q573" s="299"/>
      <c r="R573" s="299"/>
      <c r="S573" s="299"/>
      <c r="T573" s="299"/>
      <c r="U573" s="299"/>
      <c r="V573" s="299"/>
      <c r="W573" s="299"/>
      <c r="X573" s="299"/>
      <c r="Y573" s="299"/>
      <c r="Z573" s="299"/>
      <c r="AA573" s="299"/>
      <c r="AB573" s="299"/>
      <c r="AC573" s="300"/>
      <c r="AD573" s="300"/>
    </row>
    <row r="574" spans="1:30" ht="12.75" customHeight="1" x14ac:dyDescent="0.2">
      <c r="A574" s="296"/>
      <c r="B574" s="296"/>
      <c r="C574" s="296"/>
      <c r="D574" s="297"/>
      <c r="E574" s="298"/>
      <c r="F574" s="296"/>
      <c r="G574" s="296"/>
      <c r="H574" s="296"/>
      <c r="I574" s="296"/>
      <c r="J574" s="296"/>
      <c r="K574" s="296"/>
      <c r="L574" s="296"/>
      <c r="M574" s="299"/>
      <c r="N574" s="299"/>
      <c r="O574" s="299"/>
      <c r="P574" s="299"/>
      <c r="Q574" s="299"/>
      <c r="R574" s="299"/>
      <c r="S574" s="299"/>
      <c r="T574" s="299"/>
      <c r="U574" s="299"/>
      <c r="V574" s="299"/>
      <c r="W574" s="299"/>
      <c r="X574" s="299"/>
      <c r="Y574" s="299"/>
      <c r="Z574" s="299"/>
      <c r="AA574" s="299"/>
      <c r="AB574" s="299"/>
      <c r="AC574" s="300"/>
      <c r="AD574" s="300"/>
    </row>
    <row r="575" spans="1:30" ht="12.75" customHeight="1" x14ac:dyDescent="0.2">
      <c r="A575" s="296"/>
      <c r="B575" s="296"/>
      <c r="C575" s="296"/>
      <c r="D575" s="297"/>
      <c r="E575" s="298"/>
      <c r="F575" s="296"/>
      <c r="G575" s="296"/>
      <c r="H575" s="296"/>
      <c r="I575" s="296"/>
      <c r="J575" s="296"/>
      <c r="K575" s="296"/>
      <c r="L575" s="296"/>
      <c r="M575" s="299"/>
      <c r="N575" s="299"/>
      <c r="O575" s="299"/>
      <c r="P575" s="299"/>
      <c r="Q575" s="299"/>
      <c r="R575" s="299"/>
      <c r="S575" s="299"/>
      <c r="T575" s="299"/>
      <c r="U575" s="299"/>
      <c r="V575" s="299"/>
      <c r="W575" s="299"/>
      <c r="X575" s="299"/>
      <c r="Y575" s="299"/>
      <c r="Z575" s="299"/>
      <c r="AA575" s="299"/>
      <c r="AB575" s="299"/>
      <c r="AC575" s="300"/>
      <c r="AD575" s="300"/>
    </row>
    <row r="576" spans="1:30" ht="12.75" customHeight="1" x14ac:dyDescent="0.2">
      <c r="A576" s="296"/>
      <c r="B576" s="296"/>
      <c r="C576" s="296"/>
      <c r="D576" s="297"/>
      <c r="E576" s="298"/>
      <c r="F576" s="296"/>
      <c r="G576" s="296"/>
      <c r="H576" s="296"/>
      <c r="I576" s="296"/>
      <c r="J576" s="296"/>
      <c r="K576" s="296"/>
      <c r="L576" s="296"/>
      <c r="M576" s="299"/>
      <c r="N576" s="299"/>
      <c r="O576" s="299"/>
      <c r="P576" s="299"/>
      <c r="Q576" s="299"/>
      <c r="R576" s="299"/>
      <c r="S576" s="299"/>
      <c r="T576" s="299"/>
      <c r="U576" s="299"/>
      <c r="V576" s="299"/>
      <c r="W576" s="299"/>
      <c r="X576" s="299"/>
      <c r="Y576" s="299"/>
      <c r="Z576" s="299"/>
      <c r="AA576" s="299"/>
      <c r="AB576" s="299"/>
      <c r="AC576" s="300"/>
      <c r="AD576" s="300"/>
    </row>
    <row r="577" spans="1:30" ht="12.75" customHeight="1" x14ac:dyDescent="0.2">
      <c r="A577" s="296"/>
      <c r="B577" s="296"/>
      <c r="C577" s="296"/>
      <c r="D577" s="297"/>
      <c r="E577" s="298"/>
      <c r="F577" s="296"/>
      <c r="G577" s="296"/>
      <c r="H577" s="296"/>
      <c r="I577" s="296"/>
      <c r="J577" s="296"/>
      <c r="K577" s="296"/>
      <c r="L577" s="296"/>
      <c r="M577" s="299"/>
      <c r="N577" s="299"/>
      <c r="O577" s="299"/>
      <c r="P577" s="299"/>
      <c r="Q577" s="299"/>
      <c r="R577" s="299"/>
      <c r="S577" s="299"/>
      <c r="T577" s="299"/>
      <c r="U577" s="299"/>
      <c r="V577" s="299"/>
      <c r="W577" s="299"/>
      <c r="X577" s="299"/>
      <c r="Y577" s="299"/>
      <c r="Z577" s="299"/>
      <c r="AA577" s="299"/>
      <c r="AB577" s="299"/>
      <c r="AC577" s="300"/>
      <c r="AD577" s="300"/>
    </row>
    <row r="578" spans="1:30" ht="12.75" customHeight="1" x14ac:dyDescent="0.2">
      <c r="A578" s="296"/>
      <c r="B578" s="296"/>
      <c r="C578" s="296"/>
      <c r="D578" s="297"/>
      <c r="E578" s="298"/>
      <c r="F578" s="296"/>
      <c r="G578" s="296"/>
      <c r="H578" s="296"/>
      <c r="I578" s="296"/>
      <c r="J578" s="296"/>
      <c r="K578" s="296"/>
      <c r="L578" s="296"/>
      <c r="M578" s="299"/>
      <c r="N578" s="299"/>
      <c r="O578" s="299"/>
      <c r="P578" s="299"/>
      <c r="Q578" s="299"/>
      <c r="R578" s="299"/>
      <c r="S578" s="299"/>
      <c r="T578" s="299"/>
      <c r="U578" s="299"/>
      <c r="V578" s="299"/>
      <c r="W578" s="299"/>
      <c r="X578" s="299"/>
      <c r="Y578" s="299"/>
      <c r="Z578" s="299"/>
      <c r="AA578" s="299"/>
      <c r="AB578" s="299"/>
      <c r="AC578" s="300"/>
      <c r="AD578" s="300"/>
    </row>
    <row r="579" spans="1:30" ht="12.75" customHeight="1" x14ac:dyDescent="0.2">
      <c r="A579" s="296"/>
      <c r="B579" s="296"/>
      <c r="C579" s="296"/>
      <c r="D579" s="297"/>
      <c r="E579" s="298"/>
      <c r="F579" s="296"/>
      <c r="G579" s="296"/>
      <c r="H579" s="296"/>
      <c r="I579" s="296"/>
      <c r="J579" s="296"/>
      <c r="K579" s="296"/>
      <c r="L579" s="296"/>
      <c r="M579" s="299"/>
      <c r="N579" s="299"/>
      <c r="O579" s="299"/>
      <c r="P579" s="299"/>
      <c r="Q579" s="299"/>
      <c r="R579" s="299"/>
      <c r="S579" s="299"/>
      <c r="T579" s="299"/>
      <c r="U579" s="299"/>
      <c r="V579" s="299"/>
      <c r="W579" s="299"/>
      <c r="X579" s="299"/>
      <c r="Y579" s="299"/>
      <c r="Z579" s="299"/>
      <c r="AA579" s="299"/>
      <c r="AB579" s="299"/>
      <c r="AC579" s="300"/>
      <c r="AD579" s="300"/>
    </row>
    <row r="580" spans="1:30" ht="12.75" customHeight="1" x14ac:dyDescent="0.2">
      <c r="A580" s="296"/>
      <c r="B580" s="296"/>
      <c r="C580" s="296"/>
      <c r="D580" s="297"/>
      <c r="E580" s="298"/>
      <c r="F580" s="296"/>
      <c r="G580" s="296"/>
      <c r="H580" s="296"/>
      <c r="I580" s="296"/>
      <c r="J580" s="296"/>
      <c r="K580" s="296"/>
      <c r="L580" s="296"/>
      <c r="M580" s="299"/>
      <c r="N580" s="299"/>
      <c r="O580" s="299"/>
      <c r="P580" s="299"/>
      <c r="Q580" s="299"/>
      <c r="R580" s="299"/>
      <c r="S580" s="299"/>
      <c r="T580" s="299"/>
      <c r="U580" s="299"/>
      <c r="V580" s="299"/>
      <c r="W580" s="299"/>
      <c r="X580" s="299"/>
      <c r="Y580" s="299"/>
      <c r="Z580" s="299"/>
      <c r="AA580" s="299"/>
      <c r="AB580" s="299"/>
      <c r="AC580" s="300"/>
      <c r="AD580" s="300"/>
    </row>
    <row r="581" spans="1:30" ht="12.75" customHeight="1" x14ac:dyDescent="0.2">
      <c r="A581" s="296"/>
      <c r="B581" s="296"/>
      <c r="C581" s="296"/>
      <c r="D581" s="297"/>
      <c r="E581" s="298"/>
      <c r="F581" s="296"/>
      <c r="G581" s="296"/>
      <c r="H581" s="296"/>
      <c r="I581" s="296"/>
      <c r="J581" s="296"/>
      <c r="K581" s="296"/>
      <c r="L581" s="296"/>
      <c r="M581" s="299"/>
      <c r="N581" s="299"/>
      <c r="O581" s="299"/>
      <c r="P581" s="299"/>
      <c r="Q581" s="299"/>
      <c r="R581" s="299"/>
      <c r="S581" s="299"/>
      <c r="T581" s="299"/>
      <c r="U581" s="299"/>
      <c r="V581" s="299"/>
      <c r="W581" s="299"/>
      <c r="X581" s="299"/>
      <c r="Y581" s="299"/>
      <c r="Z581" s="299"/>
      <c r="AA581" s="299"/>
      <c r="AB581" s="299"/>
      <c r="AC581" s="300"/>
      <c r="AD581" s="300"/>
    </row>
    <row r="582" spans="1:30" ht="12.75" customHeight="1" x14ac:dyDescent="0.2">
      <c r="A582" s="296"/>
      <c r="B582" s="296"/>
      <c r="C582" s="296"/>
      <c r="D582" s="297"/>
      <c r="E582" s="298"/>
      <c r="F582" s="296"/>
      <c r="G582" s="296"/>
      <c r="H582" s="296"/>
      <c r="I582" s="296"/>
      <c r="J582" s="296"/>
      <c r="K582" s="296"/>
      <c r="L582" s="296"/>
      <c r="M582" s="299"/>
      <c r="N582" s="299"/>
      <c r="O582" s="299"/>
      <c r="P582" s="299"/>
      <c r="Q582" s="299"/>
      <c r="R582" s="299"/>
      <c r="S582" s="299"/>
      <c r="T582" s="299"/>
      <c r="U582" s="299"/>
      <c r="V582" s="299"/>
      <c r="W582" s="299"/>
      <c r="X582" s="299"/>
      <c r="Y582" s="299"/>
      <c r="Z582" s="299"/>
      <c r="AA582" s="299"/>
      <c r="AB582" s="299"/>
      <c r="AC582" s="300"/>
      <c r="AD582" s="300"/>
    </row>
    <row r="583" spans="1:30" ht="12.75" customHeight="1" x14ac:dyDescent="0.2">
      <c r="A583" s="296"/>
      <c r="B583" s="296"/>
      <c r="C583" s="296"/>
      <c r="D583" s="297"/>
      <c r="E583" s="298"/>
      <c r="F583" s="296"/>
      <c r="G583" s="296"/>
      <c r="H583" s="296"/>
      <c r="I583" s="296"/>
      <c r="J583" s="296"/>
      <c r="K583" s="296"/>
      <c r="L583" s="296"/>
      <c r="M583" s="299"/>
      <c r="N583" s="299"/>
      <c r="O583" s="299"/>
      <c r="P583" s="299"/>
      <c r="Q583" s="299"/>
      <c r="R583" s="299"/>
      <c r="S583" s="299"/>
      <c r="T583" s="299"/>
      <c r="U583" s="299"/>
      <c r="V583" s="299"/>
      <c r="W583" s="299"/>
      <c r="X583" s="299"/>
      <c r="Y583" s="299"/>
      <c r="Z583" s="299"/>
      <c r="AA583" s="299"/>
      <c r="AB583" s="299"/>
      <c r="AC583" s="300"/>
      <c r="AD583" s="300"/>
    </row>
    <row r="584" spans="1:30" ht="12.75" customHeight="1" x14ac:dyDescent="0.2">
      <c r="A584" s="296"/>
      <c r="B584" s="296"/>
      <c r="C584" s="296"/>
      <c r="D584" s="297"/>
      <c r="E584" s="298"/>
      <c r="F584" s="296"/>
      <c r="G584" s="296"/>
      <c r="H584" s="296"/>
      <c r="I584" s="296"/>
      <c r="J584" s="296"/>
      <c r="K584" s="296"/>
      <c r="L584" s="296"/>
      <c r="M584" s="299"/>
      <c r="N584" s="299"/>
      <c r="O584" s="299"/>
      <c r="P584" s="299"/>
      <c r="Q584" s="299"/>
      <c r="R584" s="299"/>
      <c r="S584" s="299"/>
      <c r="T584" s="299"/>
      <c r="U584" s="299"/>
      <c r="V584" s="299"/>
      <c r="W584" s="299"/>
      <c r="X584" s="299"/>
      <c r="Y584" s="299"/>
      <c r="Z584" s="299"/>
      <c r="AA584" s="299"/>
      <c r="AB584" s="299"/>
      <c r="AC584" s="300"/>
      <c r="AD584" s="300"/>
    </row>
    <row r="585" spans="1:30" ht="12.75" customHeight="1" x14ac:dyDescent="0.2">
      <c r="A585" s="296"/>
      <c r="B585" s="296"/>
      <c r="C585" s="296"/>
      <c r="D585" s="297"/>
      <c r="E585" s="298"/>
      <c r="F585" s="296"/>
      <c r="G585" s="296"/>
      <c r="H585" s="296"/>
      <c r="I585" s="296"/>
      <c r="J585" s="296"/>
      <c r="K585" s="296"/>
      <c r="L585" s="296"/>
      <c r="M585" s="299"/>
      <c r="N585" s="299"/>
      <c r="O585" s="299"/>
      <c r="P585" s="299"/>
      <c r="Q585" s="299"/>
      <c r="R585" s="299"/>
      <c r="S585" s="299"/>
      <c r="T585" s="299"/>
      <c r="U585" s="299"/>
      <c r="V585" s="299"/>
      <c r="W585" s="299"/>
      <c r="X585" s="299"/>
      <c r="Y585" s="299"/>
      <c r="Z585" s="299"/>
      <c r="AA585" s="299"/>
      <c r="AB585" s="299"/>
      <c r="AC585" s="300"/>
      <c r="AD585" s="300"/>
    </row>
    <row r="586" spans="1:30" ht="12.75" customHeight="1" x14ac:dyDescent="0.2">
      <c r="A586" s="296"/>
      <c r="B586" s="296"/>
      <c r="C586" s="296"/>
      <c r="D586" s="297"/>
      <c r="E586" s="298"/>
      <c r="F586" s="296"/>
      <c r="G586" s="296"/>
      <c r="H586" s="296"/>
      <c r="I586" s="296"/>
      <c r="J586" s="296"/>
      <c r="K586" s="296"/>
      <c r="L586" s="296"/>
      <c r="M586" s="299"/>
      <c r="N586" s="299"/>
      <c r="O586" s="299"/>
      <c r="P586" s="299"/>
      <c r="Q586" s="299"/>
      <c r="R586" s="299"/>
      <c r="S586" s="299"/>
      <c r="T586" s="299"/>
      <c r="U586" s="299"/>
      <c r="V586" s="299"/>
      <c r="W586" s="299"/>
      <c r="X586" s="299"/>
      <c r="Y586" s="299"/>
      <c r="Z586" s="299"/>
      <c r="AA586" s="299"/>
      <c r="AB586" s="299"/>
      <c r="AC586" s="300"/>
      <c r="AD586" s="300"/>
    </row>
    <row r="587" spans="1:30" ht="12.75" customHeight="1" x14ac:dyDescent="0.2">
      <c r="A587" s="296"/>
      <c r="B587" s="296"/>
      <c r="C587" s="296"/>
      <c r="D587" s="297"/>
      <c r="E587" s="298"/>
      <c r="F587" s="296"/>
      <c r="G587" s="296"/>
      <c r="H587" s="296"/>
      <c r="I587" s="296"/>
      <c r="J587" s="296"/>
      <c r="K587" s="296"/>
      <c r="L587" s="296"/>
      <c r="M587" s="299"/>
      <c r="N587" s="299"/>
      <c r="O587" s="299"/>
      <c r="P587" s="299"/>
      <c r="Q587" s="299"/>
      <c r="R587" s="299"/>
      <c r="S587" s="299"/>
      <c r="T587" s="299"/>
      <c r="U587" s="299"/>
      <c r="V587" s="299"/>
      <c r="W587" s="299"/>
      <c r="X587" s="299"/>
      <c r="Y587" s="299"/>
      <c r="Z587" s="299"/>
      <c r="AA587" s="299"/>
      <c r="AB587" s="299"/>
      <c r="AC587" s="300"/>
      <c r="AD587" s="300"/>
    </row>
    <row r="588" spans="1:30" ht="12.75" customHeight="1" x14ac:dyDescent="0.2">
      <c r="A588" s="296"/>
      <c r="B588" s="296"/>
      <c r="C588" s="296"/>
      <c r="D588" s="297"/>
      <c r="E588" s="298"/>
      <c r="F588" s="296"/>
      <c r="G588" s="296"/>
      <c r="H588" s="296"/>
      <c r="I588" s="296"/>
      <c r="J588" s="296"/>
      <c r="K588" s="296"/>
      <c r="L588" s="296"/>
      <c r="M588" s="299"/>
      <c r="N588" s="299"/>
      <c r="O588" s="299"/>
      <c r="P588" s="299"/>
      <c r="Q588" s="299"/>
      <c r="R588" s="299"/>
      <c r="S588" s="299"/>
      <c r="T588" s="299"/>
      <c r="U588" s="299"/>
      <c r="V588" s="299"/>
      <c r="W588" s="299"/>
      <c r="X588" s="299"/>
      <c r="Y588" s="299"/>
      <c r="Z588" s="299"/>
      <c r="AA588" s="299"/>
      <c r="AB588" s="299"/>
      <c r="AC588" s="300"/>
      <c r="AD588" s="300"/>
    </row>
    <row r="589" spans="1:30" ht="12.75" customHeight="1" x14ac:dyDescent="0.2">
      <c r="A589" s="296"/>
      <c r="B589" s="296"/>
      <c r="C589" s="296"/>
      <c r="D589" s="297"/>
      <c r="E589" s="298"/>
      <c r="F589" s="296"/>
      <c r="G589" s="296"/>
      <c r="H589" s="296"/>
      <c r="I589" s="296"/>
      <c r="J589" s="296"/>
      <c r="K589" s="296"/>
      <c r="L589" s="296"/>
      <c r="M589" s="299"/>
      <c r="N589" s="299"/>
      <c r="O589" s="299"/>
      <c r="P589" s="299"/>
      <c r="Q589" s="299"/>
      <c r="R589" s="299"/>
      <c r="S589" s="299"/>
      <c r="T589" s="299"/>
      <c r="U589" s="299"/>
      <c r="V589" s="299"/>
      <c r="W589" s="299"/>
      <c r="X589" s="299"/>
      <c r="Y589" s="299"/>
      <c r="Z589" s="299"/>
      <c r="AA589" s="299"/>
      <c r="AB589" s="299"/>
      <c r="AC589" s="300"/>
      <c r="AD589" s="300"/>
    </row>
    <row r="590" spans="1:30" ht="12.75" customHeight="1" x14ac:dyDescent="0.2">
      <c r="A590" s="296"/>
      <c r="B590" s="296"/>
      <c r="C590" s="296"/>
      <c r="D590" s="297"/>
      <c r="E590" s="298"/>
      <c r="F590" s="296"/>
      <c r="G590" s="296"/>
      <c r="H590" s="296"/>
      <c r="I590" s="296"/>
      <c r="J590" s="296"/>
      <c r="K590" s="296"/>
      <c r="L590" s="296"/>
      <c r="M590" s="299"/>
      <c r="N590" s="299"/>
      <c r="O590" s="299"/>
      <c r="P590" s="299"/>
      <c r="Q590" s="299"/>
      <c r="R590" s="299"/>
      <c r="S590" s="299"/>
      <c r="T590" s="299"/>
      <c r="U590" s="299"/>
      <c r="V590" s="299"/>
      <c r="W590" s="299"/>
      <c r="X590" s="299"/>
      <c r="Y590" s="299"/>
      <c r="Z590" s="299"/>
      <c r="AA590" s="299"/>
      <c r="AB590" s="299"/>
      <c r="AC590" s="300"/>
      <c r="AD590" s="300"/>
    </row>
    <row r="591" spans="1:30" ht="12.75" customHeight="1" x14ac:dyDescent="0.2">
      <c r="A591" s="296"/>
      <c r="B591" s="296"/>
      <c r="C591" s="296"/>
      <c r="D591" s="297"/>
      <c r="E591" s="298"/>
      <c r="F591" s="296"/>
      <c r="G591" s="296"/>
      <c r="H591" s="296"/>
      <c r="I591" s="296"/>
      <c r="J591" s="296"/>
      <c r="K591" s="296"/>
      <c r="L591" s="296"/>
      <c r="M591" s="299"/>
      <c r="N591" s="299"/>
      <c r="O591" s="299"/>
      <c r="P591" s="299"/>
      <c r="Q591" s="299"/>
      <c r="R591" s="299"/>
      <c r="S591" s="299"/>
      <c r="T591" s="299"/>
      <c r="U591" s="299"/>
      <c r="V591" s="299"/>
      <c r="W591" s="299"/>
      <c r="X591" s="299"/>
      <c r="Y591" s="299"/>
      <c r="Z591" s="299"/>
      <c r="AA591" s="299"/>
      <c r="AB591" s="299"/>
      <c r="AC591" s="300"/>
      <c r="AD591" s="300"/>
    </row>
    <row r="592" spans="1:30" ht="12.75" customHeight="1" x14ac:dyDescent="0.2">
      <c r="A592" s="296"/>
      <c r="B592" s="296"/>
      <c r="C592" s="296"/>
      <c r="D592" s="297"/>
      <c r="E592" s="298"/>
      <c r="F592" s="296"/>
      <c r="G592" s="296"/>
      <c r="H592" s="296"/>
      <c r="I592" s="296"/>
      <c r="J592" s="296"/>
      <c r="K592" s="296"/>
      <c r="L592" s="296"/>
      <c r="M592" s="299"/>
      <c r="N592" s="299"/>
      <c r="O592" s="299"/>
      <c r="P592" s="299"/>
      <c r="Q592" s="299"/>
      <c r="R592" s="299"/>
      <c r="S592" s="299"/>
      <c r="T592" s="299"/>
      <c r="U592" s="299"/>
      <c r="V592" s="299"/>
      <c r="W592" s="299"/>
      <c r="X592" s="299"/>
      <c r="Y592" s="299"/>
      <c r="Z592" s="299"/>
      <c r="AA592" s="299"/>
      <c r="AB592" s="299"/>
      <c r="AC592" s="300"/>
      <c r="AD592" s="300"/>
    </row>
    <row r="593" spans="1:30" ht="12.75" customHeight="1" x14ac:dyDescent="0.2">
      <c r="A593" s="296"/>
      <c r="B593" s="296"/>
      <c r="C593" s="296"/>
      <c r="D593" s="297"/>
      <c r="E593" s="298"/>
      <c r="F593" s="296"/>
      <c r="G593" s="296"/>
      <c r="H593" s="296"/>
      <c r="I593" s="296"/>
      <c r="J593" s="296"/>
      <c r="K593" s="296"/>
      <c r="L593" s="296"/>
      <c r="M593" s="299"/>
      <c r="N593" s="299"/>
      <c r="O593" s="299"/>
      <c r="P593" s="299"/>
      <c r="Q593" s="299"/>
      <c r="R593" s="299"/>
      <c r="S593" s="299"/>
      <c r="T593" s="299"/>
      <c r="U593" s="299"/>
      <c r="V593" s="299"/>
      <c r="W593" s="299"/>
      <c r="X593" s="299"/>
      <c r="Y593" s="299"/>
      <c r="Z593" s="299"/>
      <c r="AA593" s="299"/>
      <c r="AB593" s="299"/>
      <c r="AC593" s="300"/>
      <c r="AD593" s="300"/>
    </row>
    <row r="594" spans="1:30" ht="12.75" customHeight="1" x14ac:dyDescent="0.2">
      <c r="A594" s="296"/>
      <c r="B594" s="296"/>
      <c r="C594" s="296"/>
      <c r="D594" s="297"/>
      <c r="E594" s="298"/>
      <c r="F594" s="296"/>
      <c r="G594" s="296"/>
      <c r="H594" s="296"/>
      <c r="I594" s="296"/>
      <c r="J594" s="296"/>
      <c r="K594" s="296"/>
      <c r="L594" s="296"/>
      <c r="M594" s="299"/>
      <c r="N594" s="299"/>
      <c r="O594" s="299"/>
      <c r="P594" s="299"/>
      <c r="Q594" s="299"/>
      <c r="R594" s="299"/>
      <c r="S594" s="299"/>
      <c r="T594" s="299"/>
      <c r="U594" s="299"/>
      <c r="V594" s="299"/>
      <c r="W594" s="299"/>
      <c r="X594" s="299"/>
      <c r="Y594" s="299"/>
      <c r="Z594" s="299"/>
      <c r="AA594" s="299"/>
      <c r="AB594" s="299"/>
      <c r="AC594" s="300"/>
      <c r="AD594" s="300"/>
    </row>
    <row r="595" spans="1:30" ht="12.75" customHeight="1" x14ac:dyDescent="0.2">
      <c r="A595" s="296"/>
      <c r="B595" s="296"/>
      <c r="C595" s="296"/>
      <c r="D595" s="297"/>
      <c r="E595" s="298"/>
      <c r="F595" s="296"/>
      <c r="G595" s="296"/>
      <c r="H595" s="296"/>
      <c r="I595" s="296"/>
      <c r="J595" s="296"/>
      <c r="K595" s="296"/>
      <c r="L595" s="296"/>
      <c r="M595" s="299"/>
      <c r="N595" s="299"/>
      <c r="O595" s="299"/>
      <c r="P595" s="299"/>
      <c r="Q595" s="299"/>
      <c r="R595" s="299"/>
      <c r="S595" s="299"/>
      <c r="T595" s="299"/>
      <c r="U595" s="299"/>
      <c r="V595" s="299"/>
      <c r="W595" s="299"/>
      <c r="X595" s="299"/>
      <c r="Y595" s="299"/>
      <c r="Z595" s="299"/>
      <c r="AA595" s="299"/>
      <c r="AB595" s="299"/>
      <c r="AC595" s="300"/>
      <c r="AD595" s="300"/>
    </row>
    <row r="596" spans="1:30" ht="12.75" customHeight="1" x14ac:dyDescent="0.2">
      <c r="A596" s="296"/>
      <c r="B596" s="296"/>
      <c r="C596" s="296"/>
      <c r="D596" s="297"/>
      <c r="E596" s="298"/>
      <c r="F596" s="296"/>
      <c r="G596" s="296"/>
      <c r="H596" s="296"/>
      <c r="I596" s="296"/>
      <c r="J596" s="296"/>
      <c r="K596" s="296"/>
      <c r="L596" s="296"/>
      <c r="M596" s="299"/>
      <c r="N596" s="299"/>
      <c r="O596" s="299"/>
      <c r="P596" s="299"/>
      <c r="Q596" s="299"/>
      <c r="R596" s="299"/>
      <c r="S596" s="299"/>
      <c r="T596" s="299"/>
      <c r="U596" s="299"/>
      <c r="V596" s="299"/>
      <c r="W596" s="299"/>
      <c r="X596" s="299"/>
      <c r="Y596" s="299"/>
      <c r="Z596" s="299"/>
      <c r="AA596" s="299"/>
      <c r="AB596" s="299"/>
      <c r="AC596" s="300"/>
      <c r="AD596" s="300"/>
    </row>
    <row r="597" spans="1:30" ht="12.75" customHeight="1" x14ac:dyDescent="0.2">
      <c r="A597" s="296"/>
      <c r="B597" s="296"/>
      <c r="C597" s="296"/>
      <c r="D597" s="297"/>
      <c r="E597" s="298"/>
      <c r="F597" s="296"/>
      <c r="G597" s="296"/>
      <c r="H597" s="296"/>
      <c r="I597" s="296"/>
      <c r="J597" s="296"/>
      <c r="K597" s="296"/>
      <c r="L597" s="296"/>
      <c r="M597" s="299"/>
      <c r="N597" s="299"/>
      <c r="O597" s="299"/>
      <c r="P597" s="299"/>
      <c r="Q597" s="299"/>
      <c r="R597" s="299"/>
      <c r="S597" s="299"/>
      <c r="T597" s="299"/>
      <c r="U597" s="299"/>
      <c r="V597" s="299"/>
      <c r="W597" s="299"/>
      <c r="X597" s="299"/>
      <c r="Y597" s="299"/>
      <c r="Z597" s="299"/>
      <c r="AA597" s="299"/>
      <c r="AB597" s="299"/>
      <c r="AC597" s="300"/>
      <c r="AD597" s="300"/>
    </row>
    <row r="598" spans="1:30" ht="12.75" customHeight="1" x14ac:dyDescent="0.2">
      <c r="A598" s="296"/>
      <c r="B598" s="296"/>
      <c r="C598" s="296"/>
      <c r="D598" s="297"/>
      <c r="E598" s="298"/>
      <c r="F598" s="296"/>
      <c r="G598" s="296"/>
      <c r="H598" s="296"/>
      <c r="I598" s="296"/>
      <c r="J598" s="296"/>
      <c r="K598" s="296"/>
      <c r="L598" s="296"/>
      <c r="M598" s="299"/>
      <c r="N598" s="299"/>
      <c r="O598" s="299"/>
      <c r="P598" s="299"/>
      <c r="Q598" s="299"/>
      <c r="R598" s="299"/>
      <c r="S598" s="299"/>
      <c r="T598" s="299"/>
      <c r="U598" s="299"/>
      <c r="V598" s="299"/>
      <c r="W598" s="299"/>
      <c r="X598" s="299"/>
      <c r="Y598" s="299"/>
      <c r="Z598" s="299"/>
      <c r="AA598" s="299"/>
      <c r="AB598" s="299"/>
      <c r="AC598" s="300"/>
      <c r="AD598" s="300"/>
    </row>
    <row r="599" spans="1:30" ht="12.75" customHeight="1" x14ac:dyDescent="0.2">
      <c r="A599" s="296"/>
      <c r="B599" s="296"/>
      <c r="C599" s="296"/>
      <c r="D599" s="297"/>
      <c r="E599" s="298"/>
      <c r="F599" s="296"/>
      <c r="G599" s="296"/>
      <c r="H599" s="296"/>
      <c r="I599" s="296"/>
      <c r="J599" s="296"/>
      <c r="K599" s="296"/>
      <c r="L599" s="296"/>
      <c r="M599" s="299"/>
      <c r="N599" s="299"/>
      <c r="O599" s="299"/>
      <c r="P599" s="299"/>
      <c r="Q599" s="299"/>
      <c r="R599" s="299"/>
      <c r="S599" s="299"/>
      <c r="T599" s="299"/>
      <c r="U599" s="299"/>
      <c r="V599" s="299"/>
      <c r="W599" s="299"/>
      <c r="X599" s="299"/>
      <c r="Y599" s="299"/>
      <c r="Z599" s="299"/>
      <c r="AA599" s="299"/>
      <c r="AB599" s="299"/>
      <c r="AC599" s="300"/>
      <c r="AD599" s="300"/>
    </row>
    <row r="600" spans="1:30" ht="12.75" customHeight="1" x14ac:dyDescent="0.2">
      <c r="A600" s="296"/>
      <c r="B600" s="296"/>
      <c r="C600" s="296"/>
      <c r="D600" s="297"/>
      <c r="E600" s="298"/>
      <c r="F600" s="296"/>
      <c r="G600" s="296"/>
      <c r="H600" s="296"/>
      <c r="I600" s="296"/>
      <c r="J600" s="296"/>
      <c r="K600" s="296"/>
      <c r="L600" s="296"/>
      <c r="M600" s="299"/>
      <c r="N600" s="299"/>
      <c r="O600" s="299"/>
      <c r="P600" s="299"/>
      <c r="Q600" s="299"/>
      <c r="R600" s="299"/>
      <c r="S600" s="299"/>
      <c r="T600" s="299"/>
      <c r="U600" s="299"/>
      <c r="V600" s="299"/>
      <c r="W600" s="299"/>
      <c r="X600" s="299"/>
      <c r="Y600" s="299"/>
      <c r="Z600" s="299"/>
      <c r="AA600" s="299"/>
      <c r="AB600" s="299"/>
      <c r="AC600" s="300"/>
      <c r="AD600" s="300"/>
    </row>
    <row r="601" spans="1:30" ht="12.75" customHeight="1" x14ac:dyDescent="0.2">
      <c r="A601" s="296"/>
      <c r="B601" s="296"/>
      <c r="C601" s="296"/>
      <c r="D601" s="297"/>
      <c r="E601" s="298"/>
      <c r="F601" s="296"/>
      <c r="G601" s="296"/>
      <c r="H601" s="296"/>
      <c r="I601" s="296"/>
      <c r="J601" s="296"/>
      <c r="K601" s="296"/>
      <c r="L601" s="296"/>
      <c r="M601" s="299"/>
      <c r="N601" s="299"/>
      <c r="O601" s="299"/>
      <c r="P601" s="299"/>
      <c r="Q601" s="299"/>
      <c r="R601" s="299"/>
      <c r="S601" s="299"/>
      <c r="T601" s="299"/>
      <c r="U601" s="299"/>
      <c r="V601" s="299"/>
      <c r="W601" s="299"/>
      <c r="X601" s="299"/>
      <c r="Y601" s="299"/>
      <c r="Z601" s="299"/>
      <c r="AA601" s="299"/>
      <c r="AB601" s="299"/>
      <c r="AC601" s="300"/>
      <c r="AD601" s="300"/>
    </row>
    <row r="602" spans="1:30" ht="12.75" customHeight="1" x14ac:dyDescent="0.2">
      <c r="A602" s="296"/>
      <c r="B602" s="296"/>
      <c r="C602" s="296"/>
      <c r="D602" s="297"/>
      <c r="E602" s="298"/>
      <c r="F602" s="296"/>
      <c r="G602" s="296"/>
      <c r="H602" s="296"/>
      <c r="I602" s="296"/>
      <c r="J602" s="296"/>
      <c r="K602" s="296"/>
      <c r="L602" s="296"/>
      <c r="M602" s="299"/>
      <c r="N602" s="299"/>
      <c r="O602" s="299"/>
      <c r="P602" s="299"/>
      <c r="Q602" s="299"/>
      <c r="R602" s="299"/>
      <c r="S602" s="299"/>
      <c r="T602" s="299"/>
      <c r="U602" s="299"/>
      <c r="V602" s="299"/>
      <c r="W602" s="299"/>
      <c r="X602" s="299"/>
      <c r="Y602" s="299"/>
      <c r="Z602" s="299"/>
      <c r="AA602" s="299"/>
      <c r="AB602" s="299"/>
      <c r="AC602" s="300"/>
      <c r="AD602" s="300"/>
    </row>
    <row r="603" spans="1:30" ht="12.75" customHeight="1" x14ac:dyDescent="0.2">
      <c r="A603" s="296"/>
      <c r="B603" s="296"/>
      <c r="C603" s="296"/>
      <c r="D603" s="297"/>
      <c r="E603" s="298"/>
      <c r="F603" s="296"/>
      <c r="G603" s="296"/>
      <c r="H603" s="296"/>
      <c r="I603" s="296"/>
      <c r="J603" s="296"/>
      <c r="K603" s="296"/>
      <c r="L603" s="296"/>
      <c r="M603" s="299"/>
      <c r="N603" s="299"/>
      <c r="O603" s="299"/>
      <c r="P603" s="299"/>
      <c r="Q603" s="299"/>
      <c r="R603" s="299"/>
      <c r="S603" s="299"/>
      <c r="T603" s="299"/>
      <c r="U603" s="299"/>
      <c r="V603" s="299"/>
      <c r="W603" s="299"/>
      <c r="X603" s="299"/>
      <c r="Y603" s="299"/>
      <c r="Z603" s="299"/>
      <c r="AA603" s="299"/>
      <c r="AB603" s="299"/>
      <c r="AC603" s="300"/>
      <c r="AD603" s="300"/>
    </row>
    <row r="604" spans="1:30" ht="12.75" customHeight="1" x14ac:dyDescent="0.2">
      <c r="A604" s="296"/>
      <c r="B604" s="296"/>
      <c r="C604" s="296"/>
      <c r="D604" s="297"/>
      <c r="E604" s="298"/>
      <c r="F604" s="296"/>
      <c r="G604" s="296"/>
      <c r="H604" s="296"/>
      <c r="I604" s="296"/>
      <c r="J604" s="296"/>
      <c r="K604" s="296"/>
      <c r="L604" s="296"/>
      <c r="M604" s="299"/>
      <c r="N604" s="299"/>
      <c r="O604" s="299"/>
      <c r="P604" s="299"/>
      <c r="Q604" s="299"/>
      <c r="R604" s="299"/>
      <c r="S604" s="299"/>
      <c r="T604" s="299"/>
      <c r="U604" s="299"/>
      <c r="V604" s="299"/>
      <c r="W604" s="299"/>
      <c r="X604" s="299"/>
      <c r="Y604" s="299"/>
      <c r="Z604" s="299"/>
      <c r="AA604" s="299"/>
      <c r="AB604" s="299"/>
      <c r="AC604" s="300"/>
      <c r="AD604" s="300"/>
    </row>
    <row r="605" spans="1:30" ht="12.75" customHeight="1" x14ac:dyDescent="0.2">
      <c r="A605" s="296"/>
      <c r="B605" s="296"/>
      <c r="C605" s="296"/>
      <c r="D605" s="297"/>
      <c r="E605" s="298"/>
      <c r="F605" s="296"/>
      <c r="G605" s="296"/>
      <c r="H605" s="296"/>
      <c r="I605" s="296"/>
      <c r="J605" s="296"/>
      <c r="K605" s="296"/>
      <c r="L605" s="296"/>
      <c r="M605" s="299"/>
      <c r="N605" s="299"/>
      <c r="O605" s="299"/>
      <c r="P605" s="299"/>
      <c r="Q605" s="299"/>
      <c r="R605" s="299"/>
      <c r="S605" s="299"/>
      <c r="T605" s="299"/>
      <c r="U605" s="299"/>
      <c r="V605" s="299"/>
      <c r="W605" s="299"/>
      <c r="X605" s="299"/>
      <c r="Y605" s="299"/>
      <c r="Z605" s="299"/>
      <c r="AA605" s="299"/>
      <c r="AB605" s="299"/>
      <c r="AC605" s="300"/>
      <c r="AD605" s="300"/>
    </row>
    <row r="606" spans="1:30" ht="12.75" customHeight="1" x14ac:dyDescent="0.2">
      <c r="A606" s="296"/>
      <c r="B606" s="296"/>
      <c r="C606" s="296"/>
      <c r="D606" s="297"/>
      <c r="E606" s="298"/>
      <c r="F606" s="296"/>
      <c r="G606" s="296"/>
      <c r="H606" s="296"/>
      <c r="I606" s="296"/>
      <c r="J606" s="296"/>
      <c r="K606" s="296"/>
      <c r="L606" s="296"/>
      <c r="M606" s="299"/>
      <c r="N606" s="299"/>
      <c r="O606" s="299"/>
      <c r="P606" s="299"/>
      <c r="Q606" s="299"/>
      <c r="R606" s="299"/>
      <c r="S606" s="299"/>
      <c r="T606" s="299"/>
      <c r="U606" s="299"/>
      <c r="V606" s="299"/>
      <c r="W606" s="299"/>
      <c r="X606" s="299"/>
      <c r="Y606" s="299"/>
      <c r="Z606" s="299"/>
      <c r="AA606" s="299"/>
      <c r="AB606" s="299"/>
      <c r="AC606" s="300"/>
      <c r="AD606" s="300"/>
    </row>
    <row r="607" spans="1:30" ht="12.75" customHeight="1" x14ac:dyDescent="0.2">
      <c r="A607" s="296"/>
      <c r="B607" s="296"/>
      <c r="C607" s="296"/>
      <c r="D607" s="297"/>
      <c r="E607" s="298"/>
      <c r="F607" s="296"/>
      <c r="G607" s="296"/>
      <c r="H607" s="296"/>
      <c r="I607" s="296"/>
      <c r="J607" s="296"/>
      <c r="K607" s="296"/>
      <c r="L607" s="296"/>
      <c r="M607" s="299"/>
      <c r="N607" s="299"/>
      <c r="O607" s="299"/>
      <c r="P607" s="299"/>
      <c r="Q607" s="299"/>
      <c r="R607" s="299"/>
      <c r="S607" s="299"/>
      <c r="T607" s="299"/>
      <c r="U607" s="299"/>
      <c r="V607" s="299"/>
      <c r="W607" s="299"/>
      <c r="X607" s="299"/>
      <c r="Y607" s="299"/>
      <c r="Z607" s="299"/>
      <c r="AA607" s="299"/>
      <c r="AB607" s="299"/>
      <c r="AC607" s="300"/>
      <c r="AD607" s="300"/>
    </row>
    <row r="608" spans="1:30" ht="12.75" customHeight="1" x14ac:dyDescent="0.2">
      <c r="A608" s="296"/>
      <c r="B608" s="296"/>
      <c r="C608" s="296"/>
      <c r="D608" s="297"/>
      <c r="E608" s="298"/>
      <c r="F608" s="296"/>
      <c r="G608" s="296"/>
      <c r="H608" s="296"/>
      <c r="I608" s="296"/>
      <c r="J608" s="296"/>
      <c r="K608" s="296"/>
      <c r="L608" s="296"/>
      <c r="M608" s="299"/>
      <c r="N608" s="299"/>
      <c r="O608" s="299"/>
      <c r="P608" s="299"/>
      <c r="Q608" s="299"/>
      <c r="R608" s="299"/>
      <c r="S608" s="299"/>
      <c r="T608" s="299"/>
      <c r="U608" s="299"/>
      <c r="V608" s="299"/>
      <c r="W608" s="299"/>
      <c r="X608" s="299"/>
      <c r="Y608" s="299"/>
      <c r="Z608" s="299"/>
      <c r="AA608" s="299"/>
      <c r="AB608" s="299"/>
      <c r="AC608" s="300"/>
      <c r="AD608" s="300"/>
    </row>
    <row r="609" spans="1:30" ht="12.75" customHeight="1" x14ac:dyDescent="0.2">
      <c r="A609" s="296"/>
      <c r="B609" s="296"/>
      <c r="C609" s="296"/>
      <c r="D609" s="297"/>
      <c r="E609" s="298"/>
      <c r="F609" s="296"/>
      <c r="G609" s="296"/>
      <c r="H609" s="296"/>
      <c r="I609" s="296"/>
      <c r="J609" s="296"/>
      <c r="K609" s="296"/>
      <c r="L609" s="296"/>
      <c r="M609" s="299"/>
      <c r="N609" s="299"/>
      <c r="O609" s="299"/>
      <c r="P609" s="299"/>
      <c r="Q609" s="299"/>
      <c r="R609" s="299"/>
      <c r="S609" s="299"/>
      <c r="T609" s="299"/>
      <c r="U609" s="299"/>
      <c r="V609" s="299"/>
      <c r="W609" s="299"/>
      <c r="X609" s="299"/>
      <c r="Y609" s="299"/>
      <c r="Z609" s="299"/>
      <c r="AA609" s="299"/>
      <c r="AB609" s="299"/>
      <c r="AC609" s="300"/>
      <c r="AD609" s="300"/>
    </row>
    <row r="610" spans="1:30" ht="12.75" customHeight="1" x14ac:dyDescent="0.2">
      <c r="A610" s="296"/>
      <c r="B610" s="296"/>
      <c r="C610" s="296"/>
      <c r="D610" s="297"/>
      <c r="E610" s="298"/>
      <c r="F610" s="296"/>
      <c r="G610" s="296"/>
      <c r="H610" s="296"/>
      <c r="I610" s="296"/>
      <c r="J610" s="296"/>
      <c r="K610" s="296"/>
      <c r="L610" s="296"/>
      <c r="M610" s="299"/>
      <c r="N610" s="299"/>
      <c r="O610" s="299"/>
      <c r="P610" s="299"/>
      <c r="Q610" s="299"/>
      <c r="R610" s="299"/>
      <c r="S610" s="299"/>
      <c r="T610" s="299"/>
      <c r="U610" s="299"/>
      <c r="V610" s="299"/>
      <c r="W610" s="299"/>
      <c r="X610" s="299"/>
      <c r="Y610" s="299"/>
      <c r="Z610" s="299"/>
      <c r="AA610" s="299"/>
      <c r="AB610" s="299"/>
      <c r="AC610" s="300"/>
      <c r="AD610" s="300"/>
    </row>
    <row r="611" spans="1:30" ht="12.75" customHeight="1" x14ac:dyDescent="0.2">
      <c r="A611" s="296"/>
      <c r="B611" s="296"/>
      <c r="C611" s="296"/>
      <c r="D611" s="297"/>
      <c r="E611" s="298"/>
      <c r="F611" s="296"/>
      <c r="G611" s="296"/>
      <c r="H611" s="296"/>
      <c r="I611" s="296"/>
      <c r="J611" s="296"/>
      <c r="K611" s="296"/>
      <c r="L611" s="296"/>
      <c r="M611" s="299"/>
      <c r="N611" s="299"/>
      <c r="O611" s="299"/>
      <c r="P611" s="299"/>
      <c r="Q611" s="299"/>
      <c r="R611" s="299"/>
      <c r="S611" s="299"/>
      <c r="T611" s="299"/>
      <c r="U611" s="299"/>
      <c r="V611" s="299"/>
      <c r="W611" s="299"/>
      <c r="X611" s="299"/>
      <c r="Y611" s="299"/>
      <c r="Z611" s="299"/>
      <c r="AA611" s="299"/>
      <c r="AB611" s="299"/>
      <c r="AC611" s="300"/>
      <c r="AD611" s="300"/>
    </row>
    <row r="612" spans="1:30" ht="12.75" customHeight="1" x14ac:dyDescent="0.2">
      <c r="A612" s="296"/>
      <c r="B612" s="296"/>
      <c r="C612" s="296"/>
      <c r="D612" s="297"/>
      <c r="E612" s="298"/>
      <c r="F612" s="296"/>
      <c r="G612" s="296"/>
      <c r="H612" s="296"/>
      <c r="I612" s="296"/>
      <c r="J612" s="296"/>
      <c r="K612" s="296"/>
      <c r="L612" s="296"/>
      <c r="M612" s="299"/>
      <c r="N612" s="299"/>
      <c r="O612" s="299"/>
      <c r="P612" s="299"/>
      <c r="Q612" s="299"/>
      <c r="R612" s="299"/>
      <c r="S612" s="299"/>
      <c r="T612" s="299"/>
      <c r="U612" s="299"/>
      <c r="V612" s="299"/>
      <c r="W612" s="299"/>
      <c r="X612" s="299"/>
      <c r="Y612" s="299"/>
      <c r="Z612" s="299"/>
      <c r="AA612" s="299"/>
      <c r="AB612" s="299"/>
      <c r="AC612" s="300"/>
      <c r="AD612" s="300"/>
    </row>
    <row r="613" spans="1:30" ht="12.75" customHeight="1" x14ac:dyDescent="0.2">
      <c r="A613" s="296"/>
      <c r="B613" s="296"/>
      <c r="C613" s="296"/>
      <c r="D613" s="297"/>
      <c r="E613" s="298"/>
      <c r="F613" s="296"/>
      <c r="G613" s="296"/>
      <c r="H613" s="296"/>
      <c r="I613" s="296"/>
      <c r="J613" s="296"/>
      <c r="K613" s="296"/>
      <c r="L613" s="296"/>
      <c r="M613" s="299"/>
      <c r="N613" s="299"/>
      <c r="O613" s="299"/>
      <c r="P613" s="299"/>
      <c r="Q613" s="299"/>
      <c r="R613" s="299"/>
      <c r="S613" s="299"/>
      <c r="T613" s="299"/>
      <c r="U613" s="299"/>
      <c r="V613" s="299"/>
      <c r="W613" s="299"/>
      <c r="X613" s="299"/>
      <c r="Y613" s="299"/>
      <c r="Z613" s="299"/>
      <c r="AA613" s="299"/>
      <c r="AB613" s="299"/>
      <c r="AC613" s="300"/>
      <c r="AD613" s="300"/>
    </row>
    <row r="614" spans="1:30" ht="12.75" customHeight="1" x14ac:dyDescent="0.2">
      <c r="A614" s="296"/>
      <c r="B614" s="296"/>
      <c r="C614" s="296"/>
      <c r="D614" s="297"/>
      <c r="E614" s="298"/>
      <c r="F614" s="296"/>
      <c r="G614" s="296"/>
      <c r="H614" s="296"/>
      <c r="I614" s="296"/>
      <c r="J614" s="296"/>
      <c r="K614" s="296"/>
      <c r="L614" s="296"/>
      <c r="M614" s="299"/>
      <c r="N614" s="299"/>
      <c r="O614" s="299"/>
      <c r="P614" s="299"/>
      <c r="Q614" s="299"/>
      <c r="R614" s="299"/>
      <c r="S614" s="299"/>
      <c r="T614" s="299"/>
      <c r="U614" s="299"/>
      <c r="V614" s="299"/>
      <c r="W614" s="299"/>
      <c r="X614" s="299"/>
      <c r="Y614" s="299"/>
      <c r="Z614" s="299"/>
      <c r="AA614" s="299"/>
      <c r="AB614" s="299"/>
      <c r="AC614" s="300"/>
      <c r="AD614" s="300"/>
    </row>
    <row r="615" spans="1:30" ht="12.75" customHeight="1" x14ac:dyDescent="0.2">
      <c r="A615" s="296"/>
      <c r="B615" s="296"/>
      <c r="C615" s="296"/>
      <c r="D615" s="297"/>
      <c r="E615" s="298"/>
      <c r="F615" s="296"/>
      <c r="G615" s="296"/>
      <c r="H615" s="296"/>
      <c r="I615" s="296"/>
      <c r="J615" s="296"/>
      <c r="K615" s="296"/>
      <c r="L615" s="296"/>
      <c r="M615" s="299"/>
      <c r="N615" s="299"/>
      <c r="O615" s="299"/>
      <c r="P615" s="299"/>
      <c r="Q615" s="299"/>
      <c r="R615" s="299"/>
      <c r="S615" s="299"/>
      <c r="T615" s="299"/>
      <c r="U615" s="299"/>
      <c r="V615" s="299"/>
      <c r="W615" s="299"/>
      <c r="X615" s="299"/>
      <c r="Y615" s="299"/>
      <c r="Z615" s="299"/>
      <c r="AA615" s="299"/>
      <c r="AB615" s="299"/>
      <c r="AC615" s="300"/>
      <c r="AD615" s="300"/>
    </row>
    <row r="616" spans="1:30" ht="12.75" customHeight="1" x14ac:dyDescent="0.2">
      <c r="A616" s="296"/>
      <c r="B616" s="296"/>
      <c r="C616" s="296"/>
      <c r="D616" s="297"/>
      <c r="E616" s="298"/>
      <c r="F616" s="296"/>
      <c r="G616" s="296"/>
      <c r="H616" s="296"/>
      <c r="I616" s="296"/>
      <c r="J616" s="296"/>
      <c r="K616" s="296"/>
      <c r="L616" s="296"/>
      <c r="M616" s="299"/>
      <c r="N616" s="299"/>
      <c r="O616" s="299"/>
      <c r="P616" s="299"/>
      <c r="Q616" s="299"/>
      <c r="R616" s="299"/>
      <c r="S616" s="299"/>
      <c r="T616" s="299"/>
      <c r="U616" s="299"/>
      <c r="V616" s="299"/>
      <c r="W616" s="299"/>
      <c r="X616" s="299"/>
      <c r="Y616" s="299"/>
      <c r="Z616" s="299"/>
      <c r="AA616" s="299"/>
      <c r="AB616" s="299"/>
      <c r="AC616" s="300"/>
      <c r="AD616" s="300"/>
    </row>
    <row r="617" spans="1:30" ht="12.75" customHeight="1" x14ac:dyDescent="0.2">
      <c r="A617" s="296"/>
      <c r="B617" s="296"/>
      <c r="C617" s="296"/>
      <c r="D617" s="297"/>
      <c r="E617" s="298"/>
      <c r="F617" s="296"/>
      <c r="G617" s="296"/>
      <c r="H617" s="296"/>
      <c r="I617" s="296"/>
      <c r="J617" s="296"/>
      <c r="K617" s="296"/>
      <c r="L617" s="296"/>
      <c r="M617" s="299"/>
      <c r="N617" s="299"/>
      <c r="O617" s="299"/>
      <c r="P617" s="299"/>
      <c r="Q617" s="299"/>
      <c r="R617" s="299"/>
      <c r="S617" s="299"/>
      <c r="T617" s="299"/>
      <c r="U617" s="299"/>
      <c r="V617" s="299"/>
      <c r="W617" s="299"/>
      <c r="X617" s="299"/>
      <c r="Y617" s="299"/>
      <c r="Z617" s="299"/>
      <c r="AA617" s="299"/>
      <c r="AB617" s="299"/>
      <c r="AC617" s="300"/>
      <c r="AD617" s="300"/>
    </row>
    <row r="618" spans="1:30" ht="12.75" customHeight="1" x14ac:dyDescent="0.2">
      <c r="A618" s="296"/>
      <c r="B618" s="296"/>
      <c r="C618" s="296"/>
      <c r="D618" s="297"/>
      <c r="E618" s="298"/>
      <c r="F618" s="296"/>
      <c r="G618" s="296"/>
      <c r="H618" s="296"/>
      <c r="I618" s="296"/>
      <c r="J618" s="296"/>
      <c r="K618" s="296"/>
      <c r="L618" s="296"/>
      <c r="M618" s="299"/>
      <c r="N618" s="299"/>
      <c r="O618" s="299"/>
      <c r="P618" s="299"/>
      <c r="Q618" s="299"/>
      <c r="R618" s="299"/>
      <c r="S618" s="299"/>
      <c r="T618" s="299"/>
      <c r="U618" s="299"/>
      <c r="V618" s="299"/>
      <c r="W618" s="299"/>
      <c r="X618" s="299"/>
      <c r="Y618" s="299"/>
      <c r="Z618" s="299"/>
      <c r="AA618" s="299"/>
      <c r="AB618" s="299"/>
      <c r="AC618" s="300"/>
      <c r="AD618" s="300"/>
    </row>
    <row r="619" spans="1:30" ht="12.75" customHeight="1" x14ac:dyDescent="0.2">
      <c r="A619" s="296"/>
      <c r="B619" s="296"/>
      <c r="C619" s="296"/>
      <c r="D619" s="297"/>
      <c r="E619" s="298"/>
      <c r="F619" s="296"/>
      <c r="G619" s="296"/>
      <c r="H619" s="296"/>
      <c r="I619" s="296"/>
      <c r="J619" s="296"/>
      <c r="K619" s="296"/>
      <c r="L619" s="296"/>
      <c r="M619" s="299"/>
      <c r="N619" s="299"/>
      <c r="O619" s="299"/>
      <c r="P619" s="299"/>
      <c r="Q619" s="299"/>
      <c r="R619" s="299"/>
      <c r="S619" s="299"/>
      <c r="T619" s="299"/>
      <c r="U619" s="299"/>
      <c r="V619" s="299"/>
      <c r="W619" s="299"/>
      <c r="X619" s="299"/>
      <c r="Y619" s="299"/>
      <c r="Z619" s="299"/>
      <c r="AA619" s="299"/>
      <c r="AB619" s="299"/>
      <c r="AC619" s="300"/>
      <c r="AD619" s="300"/>
    </row>
    <row r="620" spans="1:30" ht="12.75" customHeight="1" x14ac:dyDescent="0.2">
      <c r="A620" s="296"/>
      <c r="B620" s="296"/>
      <c r="C620" s="296"/>
      <c r="D620" s="297"/>
      <c r="E620" s="298"/>
      <c r="F620" s="296"/>
      <c r="G620" s="296"/>
      <c r="H620" s="296"/>
      <c r="I620" s="296"/>
      <c r="J620" s="296"/>
      <c r="K620" s="296"/>
      <c r="L620" s="296"/>
      <c r="M620" s="299"/>
      <c r="N620" s="299"/>
      <c r="O620" s="299"/>
      <c r="P620" s="299"/>
      <c r="Q620" s="299"/>
      <c r="R620" s="299"/>
      <c r="S620" s="299"/>
      <c r="T620" s="299"/>
      <c r="U620" s="299"/>
      <c r="V620" s="299"/>
      <c r="W620" s="299"/>
      <c r="X620" s="299"/>
      <c r="Y620" s="299"/>
      <c r="Z620" s="299"/>
      <c r="AA620" s="299"/>
      <c r="AB620" s="299"/>
      <c r="AC620" s="300"/>
      <c r="AD620" s="300"/>
    </row>
    <row r="621" spans="1:30" ht="12.75" customHeight="1" x14ac:dyDescent="0.2">
      <c r="A621" s="296"/>
      <c r="B621" s="296"/>
      <c r="C621" s="296"/>
      <c r="D621" s="297"/>
      <c r="E621" s="298"/>
      <c r="F621" s="296"/>
      <c r="G621" s="296"/>
      <c r="H621" s="296"/>
      <c r="I621" s="296"/>
      <c r="J621" s="296"/>
      <c r="K621" s="296"/>
      <c r="L621" s="296"/>
      <c r="M621" s="299"/>
      <c r="N621" s="299"/>
      <c r="O621" s="299"/>
      <c r="P621" s="299"/>
      <c r="Q621" s="299"/>
      <c r="R621" s="299"/>
      <c r="S621" s="299"/>
      <c r="T621" s="299"/>
      <c r="U621" s="299"/>
      <c r="V621" s="299"/>
      <c r="W621" s="299"/>
      <c r="X621" s="299"/>
      <c r="Y621" s="299"/>
      <c r="Z621" s="299"/>
      <c r="AA621" s="299"/>
      <c r="AB621" s="299"/>
      <c r="AC621" s="300"/>
      <c r="AD621" s="300"/>
    </row>
    <row r="622" spans="1:30" ht="12.75" customHeight="1" x14ac:dyDescent="0.2">
      <c r="A622" s="296"/>
      <c r="B622" s="296"/>
      <c r="C622" s="296"/>
      <c r="D622" s="297"/>
      <c r="E622" s="298"/>
      <c r="F622" s="296"/>
      <c r="G622" s="296"/>
      <c r="H622" s="296"/>
      <c r="I622" s="296"/>
      <c r="J622" s="296"/>
      <c r="K622" s="296"/>
      <c r="L622" s="296"/>
      <c r="M622" s="299"/>
      <c r="N622" s="299"/>
      <c r="O622" s="299"/>
      <c r="P622" s="299"/>
      <c r="Q622" s="299"/>
      <c r="R622" s="299"/>
      <c r="S622" s="299"/>
      <c r="T622" s="299"/>
      <c r="U622" s="299"/>
      <c r="V622" s="299"/>
      <c r="W622" s="299"/>
      <c r="X622" s="299"/>
      <c r="Y622" s="299"/>
      <c r="Z622" s="299"/>
      <c r="AA622" s="299"/>
      <c r="AB622" s="299"/>
      <c r="AC622" s="300"/>
      <c r="AD622" s="300"/>
    </row>
    <row r="623" spans="1:30" ht="12.75" customHeight="1" x14ac:dyDescent="0.2">
      <c r="A623" s="296"/>
      <c r="B623" s="296"/>
      <c r="C623" s="296"/>
      <c r="D623" s="297"/>
      <c r="E623" s="298"/>
      <c r="F623" s="296"/>
      <c r="G623" s="296"/>
      <c r="H623" s="296"/>
      <c r="I623" s="296"/>
      <c r="J623" s="296"/>
      <c r="K623" s="296"/>
      <c r="L623" s="296"/>
      <c r="M623" s="299"/>
      <c r="N623" s="299"/>
      <c r="O623" s="299"/>
      <c r="P623" s="299"/>
      <c r="Q623" s="299"/>
      <c r="R623" s="299"/>
      <c r="S623" s="299"/>
      <c r="T623" s="299"/>
      <c r="U623" s="299"/>
      <c r="V623" s="299"/>
      <c r="W623" s="299"/>
      <c r="X623" s="299"/>
      <c r="Y623" s="299"/>
      <c r="Z623" s="299"/>
      <c r="AA623" s="299"/>
      <c r="AB623" s="299"/>
      <c r="AC623" s="300"/>
      <c r="AD623" s="300"/>
    </row>
    <row r="624" spans="1:30" ht="12.75" customHeight="1" x14ac:dyDescent="0.2">
      <c r="A624" s="296"/>
      <c r="B624" s="296"/>
      <c r="C624" s="296"/>
      <c r="D624" s="297"/>
      <c r="E624" s="298"/>
      <c r="F624" s="296"/>
      <c r="G624" s="296"/>
      <c r="H624" s="296"/>
      <c r="I624" s="296"/>
      <c r="J624" s="296"/>
      <c r="K624" s="296"/>
      <c r="L624" s="296"/>
      <c r="M624" s="299"/>
      <c r="N624" s="299"/>
      <c r="O624" s="299"/>
      <c r="P624" s="299"/>
      <c r="Q624" s="299"/>
      <c r="R624" s="299"/>
      <c r="S624" s="299"/>
      <c r="T624" s="299"/>
      <c r="U624" s="299"/>
      <c r="V624" s="299"/>
      <c r="W624" s="299"/>
      <c r="X624" s="299"/>
      <c r="Y624" s="299"/>
      <c r="Z624" s="299"/>
      <c r="AA624" s="299"/>
      <c r="AB624" s="299"/>
      <c r="AC624" s="300"/>
      <c r="AD624" s="300"/>
    </row>
    <row r="625" spans="1:30" ht="12.75" customHeight="1" x14ac:dyDescent="0.2">
      <c r="A625" s="296"/>
      <c r="B625" s="296"/>
      <c r="C625" s="296"/>
      <c r="D625" s="297"/>
      <c r="E625" s="298"/>
      <c r="F625" s="296"/>
      <c r="G625" s="296"/>
      <c r="H625" s="296"/>
      <c r="I625" s="296"/>
      <c r="J625" s="296"/>
      <c r="K625" s="296"/>
      <c r="L625" s="296"/>
      <c r="M625" s="299"/>
      <c r="N625" s="299"/>
      <c r="O625" s="299"/>
      <c r="P625" s="299"/>
      <c r="Q625" s="299"/>
      <c r="R625" s="299"/>
      <c r="S625" s="299"/>
      <c r="T625" s="299"/>
      <c r="U625" s="299"/>
      <c r="V625" s="299"/>
      <c r="W625" s="299"/>
      <c r="X625" s="299"/>
      <c r="Y625" s="299"/>
      <c r="Z625" s="299"/>
      <c r="AA625" s="299"/>
      <c r="AB625" s="299"/>
      <c r="AC625" s="300"/>
      <c r="AD625" s="300"/>
    </row>
    <row r="626" spans="1:30" ht="12.75" customHeight="1" x14ac:dyDescent="0.2">
      <c r="A626" s="296"/>
      <c r="B626" s="296"/>
      <c r="C626" s="296"/>
      <c r="D626" s="297"/>
      <c r="E626" s="298"/>
      <c r="F626" s="296"/>
      <c r="G626" s="296"/>
      <c r="H626" s="296"/>
      <c r="I626" s="296"/>
      <c r="J626" s="296"/>
      <c r="K626" s="296"/>
      <c r="L626" s="296"/>
      <c r="M626" s="299"/>
      <c r="N626" s="299"/>
      <c r="O626" s="299"/>
      <c r="P626" s="299"/>
      <c r="Q626" s="299"/>
      <c r="R626" s="299"/>
      <c r="S626" s="299"/>
      <c r="T626" s="299"/>
      <c r="U626" s="299"/>
      <c r="V626" s="299"/>
      <c r="W626" s="299"/>
      <c r="X626" s="299"/>
      <c r="Y626" s="299"/>
      <c r="Z626" s="299"/>
      <c r="AA626" s="299"/>
      <c r="AB626" s="299"/>
      <c r="AC626" s="300"/>
      <c r="AD626" s="300"/>
    </row>
    <row r="627" spans="1:30" ht="12.75" customHeight="1" x14ac:dyDescent="0.2">
      <c r="A627" s="296"/>
      <c r="B627" s="296"/>
      <c r="C627" s="296"/>
      <c r="D627" s="297"/>
      <c r="E627" s="298"/>
      <c r="F627" s="296"/>
      <c r="G627" s="296"/>
      <c r="H627" s="296"/>
      <c r="I627" s="296"/>
      <c r="J627" s="296"/>
      <c r="K627" s="296"/>
      <c r="L627" s="296"/>
      <c r="M627" s="299"/>
      <c r="N627" s="299"/>
      <c r="O627" s="299"/>
      <c r="P627" s="299"/>
      <c r="Q627" s="299"/>
      <c r="R627" s="299"/>
      <c r="S627" s="299"/>
      <c r="T627" s="299"/>
      <c r="U627" s="299"/>
      <c r="V627" s="299"/>
      <c r="W627" s="299"/>
      <c r="X627" s="299"/>
      <c r="Y627" s="299"/>
      <c r="Z627" s="299"/>
      <c r="AA627" s="299"/>
      <c r="AB627" s="299"/>
      <c r="AC627" s="300"/>
      <c r="AD627" s="300"/>
    </row>
    <row r="628" spans="1:30" ht="12.75" customHeight="1" x14ac:dyDescent="0.2">
      <c r="A628" s="296"/>
      <c r="B628" s="296"/>
      <c r="C628" s="296"/>
      <c r="D628" s="297"/>
      <c r="E628" s="298"/>
      <c r="F628" s="296"/>
      <c r="G628" s="296"/>
      <c r="H628" s="296"/>
      <c r="I628" s="296"/>
      <c r="J628" s="296"/>
      <c r="K628" s="296"/>
      <c r="L628" s="296"/>
      <c r="M628" s="299"/>
      <c r="N628" s="299"/>
      <c r="O628" s="299"/>
      <c r="P628" s="299"/>
      <c r="Q628" s="299"/>
      <c r="R628" s="299"/>
      <c r="S628" s="299"/>
      <c r="T628" s="299"/>
      <c r="U628" s="299"/>
      <c r="V628" s="299"/>
      <c r="W628" s="299"/>
      <c r="X628" s="299"/>
      <c r="Y628" s="299"/>
      <c r="Z628" s="299"/>
      <c r="AA628" s="299"/>
      <c r="AB628" s="299"/>
      <c r="AC628" s="300"/>
      <c r="AD628" s="300"/>
    </row>
    <row r="629" spans="1:30" ht="12.75" customHeight="1" x14ac:dyDescent="0.2">
      <c r="A629" s="296"/>
      <c r="B629" s="296"/>
      <c r="C629" s="296"/>
      <c r="D629" s="297"/>
      <c r="E629" s="298"/>
      <c r="F629" s="296"/>
      <c r="G629" s="296"/>
      <c r="H629" s="296"/>
      <c r="I629" s="296"/>
      <c r="J629" s="296"/>
      <c r="K629" s="296"/>
      <c r="L629" s="296"/>
      <c r="M629" s="299"/>
      <c r="N629" s="299"/>
      <c r="O629" s="299"/>
      <c r="P629" s="299"/>
      <c r="Q629" s="299"/>
      <c r="R629" s="299"/>
      <c r="S629" s="299"/>
      <c r="T629" s="299"/>
      <c r="U629" s="299"/>
      <c r="V629" s="299"/>
      <c r="W629" s="299"/>
      <c r="X629" s="299"/>
      <c r="Y629" s="299"/>
      <c r="Z629" s="299"/>
      <c r="AA629" s="299"/>
      <c r="AB629" s="299"/>
      <c r="AC629" s="300"/>
      <c r="AD629" s="300"/>
    </row>
    <row r="630" spans="1:30" ht="12.75" customHeight="1" x14ac:dyDescent="0.2">
      <c r="A630" s="296"/>
      <c r="B630" s="296"/>
      <c r="C630" s="296"/>
      <c r="D630" s="297"/>
      <c r="E630" s="298"/>
      <c r="F630" s="296"/>
      <c r="G630" s="296"/>
      <c r="H630" s="296"/>
      <c r="I630" s="296"/>
      <c r="J630" s="296"/>
      <c r="K630" s="296"/>
      <c r="L630" s="296"/>
      <c r="M630" s="299"/>
      <c r="N630" s="299"/>
      <c r="O630" s="299"/>
      <c r="P630" s="299"/>
      <c r="Q630" s="299"/>
      <c r="R630" s="299"/>
      <c r="S630" s="299"/>
      <c r="T630" s="299"/>
      <c r="U630" s="299"/>
      <c r="V630" s="299"/>
      <c r="W630" s="299"/>
      <c r="X630" s="299"/>
      <c r="Y630" s="299"/>
      <c r="Z630" s="299"/>
      <c r="AA630" s="299"/>
      <c r="AB630" s="299"/>
      <c r="AC630" s="300"/>
      <c r="AD630" s="300"/>
    </row>
    <row r="631" spans="1:30" ht="12.75" customHeight="1" x14ac:dyDescent="0.2">
      <c r="A631" s="296"/>
      <c r="B631" s="296"/>
      <c r="C631" s="296"/>
      <c r="D631" s="297"/>
      <c r="E631" s="298"/>
      <c r="F631" s="296"/>
      <c r="G631" s="296"/>
      <c r="H631" s="296"/>
      <c r="I631" s="296"/>
      <c r="J631" s="296"/>
      <c r="K631" s="296"/>
      <c r="L631" s="296"/>
      <c r="M631" s="299"/>
      <c r="N631" s="299"/>
      <c r="O631" s="299"/>
      <c r="P631" s="299"/>
      <c r="Q631" s="299"/>
      <c r="R631" s="299"/>
      <c r="S631" s="299"/>
      <c r="T631" s="299"/>
      <c r="U631" s="299"/>
      <c r="V631" s="299"/>
      <c r="W631" s="299"/>
      <c r="X631" s="299"/>
      <c r="Y631" s="299"/>
      <c r="Z631" s="299"/>
      <c r="AA631" s="299"/>
      <c r="AB631" s="299"/>
      <c r="AC631" s="300"/>
      <c r="AD631" s="300"/>
    </row>
    <row r="632" spans="1:30" ht="12.75" customHeight="1" x14ac:dyDescent="0.2">
      <c r="A632" s="296"/>
      <c r="B632" s="296"/>
      <c r="C632" s="296"/>
      <c r="D632" s="297"/>
      <c r="E632" s="298"/>
      <c r="F632" s="296"/>
      <c r="G632" s="296"/>
      <c r="H632" s="296"/>
      <c r="I632" s="296"/>
      <c r="J632" s="296"/>
      <c r="K632" s="296"/>
      <c r="L632" s="296"/>
      <c r="M632" s="299"/>
      <c r="N632" s="299"/>
      <c r="O632" s="299"/>
      <c r="P632" s="299"/>
      <c r="Q632" s="299"/>
      <c r="R632" s="299"/>
      <c r="S632" s="299"/>
      <c r="T632" s="299"/>
      <c r="U632" s="299"/>
      <c r="V632" s="299"/>
      <c r="W632" s="299"/>
      <c r="X632" s="299"/>
      <c r="Y632" s="299"/>
      <c r="Z632" s="299"/>
      <c r="AA632" s="299"/>
      <c r="AB632" s="299"/>
      <c r="AC632" s="300"/>
      <c r="AD632" s="300"/>
    </row>
    <row r="633" spans="1:30" ht="12.75" customHeight="1" x14ac:dyDescent="0.2">
      <c r="A633" s="296"/>
      <c r="B633" s="296"/>
      <c r="C633" s="296"/>
      <c r="D633" s="297"/>
      <c r="E633" s="298"/>
      <c r="F633" s="296"/>
      <c r="G633" s="296"/>
      <c r="H633" s="296"/>
      <c r="I633" s="296"/>
      <c r="J633" s="296"/>
      <c r="K633" s="296"/>
      <c r="L633" s="296"/>
      <c r="M633" s="299"/>
      <c r="N633" s="299"/>
      <c r="O633" s="299"/>
      <c r="P633" s="299"/>
      <c r="Q633" s="299"/>
      <c r="R633" s="299"/>
      <c r="S633" s="299"/>
      <c r="T633" s="299"/>
      <c r="U633" s="299"/>
      <c r="V633" s="299"/>
      <c r="W633" s="299"/>
      <c r="X633" s="299"/>
      <c r="Y633" s="299"/>
      <c r="Z633" s="299"/>
      <c r="AA633" s="299"/>
      <c r="AB633" s="299"/>
      <c r="AC633" s="300"/>
      <c r="AD633" s="300"/>
    </row>
    <row r="634" spans="1:30" ht="12.75" customHeight="1" x14ac:dyDescent="0.2">
      <c r="A634" s="296"/>
      <c r="B634" s="296"/>
      <c r="C634" s="296"/>
      <c r="D634" s="297"/>
      <c r="E634" s="298"/>
      <c r="F634" s="296"/>
      <c r="G634" s="296"/>
      <c r="H634" s="296"/>
      <c r="I634" s="296"/>
      <c r="J634" s="296"/>
      <c r="K634" s="296"/>
      <c r="L634" s="296"/>
      <c r="M634" s="299"/>
      <c r="N634" s="299"/>
      <c r="O634" s="299"/>
      <c r="P634" s="299"/>
      <c r="Q634" s="299"/>
      <c r="R634" s="299"/>
      <c r="S634" s="299"/>
      <c r="T634" s="299"/>
      <c r="U634" s="299"/>
      <c r="V634" s="299"/>
      <c r="W634" s="299"/>
      <c r="X634" s="299"/>
      <c r="Y634" s="299"/>
      <c r="Z634" s="299"/>
      <c r="AA634" s="299"/>
      <c r="AB634" s="299"/>
      <c r="AC634" s="300"/>
      <c r="AD634" s="300"/>
    </row>
    <row r="635" spans="1:30" ht="12.75" customHeight="1" x14ac:dyDescent="0.2">
      <c r="A635" s="296"/>
      <c r="B635" s="296"/>
      <c r="C635" s="296"/>
      <c r="D635" s="297"/>
      <c r="E635" s="298"/>
      <c r="F635" s="296"/>
      <c r="G635" s="296"/>
      <c r="H635" s="296"/>
      <c r="I635" s="296"/>
      <c r="J635" s="296"/>
      <c r="K635" s="296"/>
      <c r="L635" s="296"/>
      <c r="M635" s="299"/>
      <c r="N635" s="299"/>
      <c r="O635" s="299"/>
      <c r="P635" s="299"/>
      <c r="Q635" s="299"/>
      <c r="R635" s="299"/>
      <c r="S635" s="299"/>
      <c r="T635" s="299"/>
      <c r="U635" s="299"/>
      <c r="V635" s="299"/>
      <c r="W635" s="299"/>
      <c r="X635" s="299"/>
      <c r="Y635" s="299"/>
      <c r="Z635" s="299"/>
      <c r="AA635" s="299"/>
      <c r="AB635" s="299"/>
      <c r="AC635" s="300"/>
      <c r="AD635" s="300"/>
    </row>
    <row r="636" spans="1:30" ht="12.75" customHeight="1" x14ac:dyDescent="0.2">
      <c r="A636" s="296"/>
      <c r="B636" s="296"/>
      <c r="C636" s="296"/>
      <c r="D636" s="297"/>
      <c r="E636" s="298"/>
      <c r="F636" s="296"/>
      <c r="G636" s="296"/>
      <c r="H636" s="296"/>
      <c r="I636" s="296"/>
      <c r="J636" s="296"/>
      <c r="K636" s="296"/>
      <c r="L636" s="296"/>
      <c r="M636" s="299"/>
      <c r="N636" s="299"/>
      <c r="O636" s="299"/>
      <c r="P636" s="299"/>
      <c r="Q636" s="299"/>
      <c r="R636" s="299"/>
      <c r="S636" s="299"/>
      <c r="T636" s="299"/>
      <c r="U636" s="299"/>
      <c r="V636" s="299"/>
      <c r="W636" s="299"/>
      <c r="X636" s="299"/>
      <c r="Y636" s="299"/>
      <c r="Z636" s="299"/>
      <c r="AA636" s="299"/>
      <c r="AB636" s="299"/>
      <c r="AC636" s="300"/>
      <c r="AD636" s="300"/>
    </row>
    <row r="637" spans="1:30" ht="12.75" customHeight="1" x14ac:dyDescent="0.2">
      <c r="A637" s="296"/>
      <c r="B637" s="296"/>
      <c r="C637" s="296"/>
      <c r="D637" s="297"/>
      <c r="E637" s="298"/>
      <c r="F637" s="296"/>
      <c r="G637" s="296"/>
      <c r="H637" s="296"/>
      <c r="I637" s="296"/>
      <c r="J637" s="296"/>
      <c r="K637" s="296"/>
      <c r="L637" s="296"/>
      <c r="M637" s="299"/>
      <c r="N637" s="299"/>
      <c r="O637" s="299"/>
      <c r="P637" s="299"/>
      <c r="Q637" s="299"/>
      <c r="R637" s="299"/>
      <c r="S637" s="299"/>
      <c r="T637" s="299"/>
      <c r="U637" s="299"/>
      <c r="V637" s="299"/>
      <c r="W637" s="299"/>
      <c r="X637" s="299"/>
      <c r="Y637" s="299"/>
      <c r="Z637" s="299"/>
      <c r="AA637" s="299"/>
      <c r="AB637" s="299"/>
      <c r="AC637" s="300"/>
      <c r="AD637" s="300"/>
    </row>
    <row r="638" spans="1:30" ht="12.75" customHeight="1" x14ac:dyDescent="0.2">
      <c r="A638" s="296"/>
      <c r="B638" s="296"/>
      <c r="C638" s="296"/>
      <c r="D638" s="297"/>
      <c r="E638" s="298"/>
      <c r="F638" s="296"/>
      <c r="G638" s="296"/>
      <c r="H638" s="296"/>
      <c r="I638" s="296"/>
      <c r="J638" s="296"/>
      <c r="K638" s="296"/>
      <c r="L638" s="296"/>
      <c r="M638" s="299"/>
      <c r="N638" s="299"/>
      <c r="O638" s="299"/>
      <c r="P638" s="299"/>
      <c r="Q638" s="299"/>
      <c r="R638" s="299"/>
      <c r="S638" s="299"/>
      <c r="T638" s="299"/>
      <c r="U638" s="299"/>
      <c r="V638" s="299"/>
      <c r="W638" s="299"/>
      <c r="X638" s="299"/>
      <c r="Y638" s="299"/>
      <c r="Z638" s="299"/>
      <c r="AA638" s="299"/>
      <c r="AB638" s="299"/>
      <c r="AC638" s="300"/>
      <c r="AD638" s="300"/>
    </row>
    <row r="639" spans="1:30" ht="12.75" customHeight="1" x14ac:dyDescent="0.2">
      <c r="A639" s="296"/>
      <c r="B639" s="296"/>
      <c r="C639" s="296"/>
      <c r="D639" s="297"/>
      <c r="E639" s="298"/>
      <c r="F639" s="296"/>
      <c r="G639" s="296"/>
      <c r="H639" s="296"/>
      <c r="I639" s="296"/>
      <c r="J639" s="296"/>
      <c r="K639" s="296"/>
      <c r="L639" s="296"/>
      <c r="M639" s="299"/>
      <c r="N639" s="299"/>
      <c r="O639" s="299"/>
      <c r="P639" s="299"/>
      <c r="Q639" s="299"/>
      <c r="R639" s="299"/>
      <c r="S639" s="299"/>
      <c r="T639" s="299"/>
      <c r="U639" s="299"/>
      <c r="V639" s="299"/>
      <c r="W639" s="299"/>
      <c r="X639" s="299"/>
      <c r="Y639" s="299"/>
      <c r="Z639" s="299"/>
      <c r="AA639" s="299"/>
      <c r="AB639" s="299"/>
      <c r="AC639" s="300"/>
      <c r="AD639" s="300"/>
    </row>
    <row r="640" spans="1:30" ht="12.75" customHeight="1" x14ac:dyDescent="0.2">
      <c r="A640" s="296"/>
      <c r="B640" s="296"/>
      <c r="C640" s="296"/>
      <c r="D640" s="297"/>
      <c r="E640" s="298"/>
      <c r="F640" s="296"/>
      <c r="G640" s="296"/>
      <c r="H640" s="296"/>
      <c r="I640" s="296"/>
      <c r="J640" s="296"/>
      <c r="K640" s="296"/>
      <c r="L640" s="296"/>
      <c r="M640" s="299"/>
      <c r="N640" s="299"/>
      <c r="O640" s="299"/>
      <c r="P640" s="299"/>
      <c r="Q640" s="299"/>
      <c r="R640" s="299"/>
      <c r="S640" s="299"/>
      <c r="T640" s="299"/>
      <c r="U640" s="299"/>
      <c r="V640" s="299"/>
      <c r="W640" s="299"/>
      <c r="X640" s="299"/>
      <c r="Y640" s="299"/>
      <c r="Z640" s="299"/>
      <c r="AA640" s="299"/>
      <c r="AB640" s="299"/>
      <c r="AC640" s="300"/>
      <c r="AD640" s="300"/>
    </row>
    <row r="641" spans="1:30" ht="12.75" customHeight="1" x14ac:dyDescent="0.2">
      <c r="A641" s="296"/>
      <c r="B641" s="296"/>
      <c r="C641" s="296"/>
      <c r="D641" s="297"/>
      <c r="E641" s="298"/>
      <c r="F641" s="296"/>
      <c r="G641" s="296"/>
      <c r="H641" s="296"/>
      <c r="I641" s="296"/>
      <c r="J641" s="296"/>
      <c r="K641" s="296"/>
      <c r="L641" s="296"/>
      <c r="M641" s="299"/>
      <c r="N641" s="299"/>
      <c r="O641" s="299"/>
      <c r="P641" s="299"/>
      <c r="Q641" s="299"/>
      <c r="R641" s="299"/>
      <c r="S641" s="299"/>
      <c r="T641" s="299"/>
      <c r="U641" s="299"/>
      <c r="V641" s="299"/>
      <c r="W641" s="299"/>
      <c r="X641" s="299"/>
      <c r="Y641" s="299"/>
      <c r="Z641" s="299"/>
      <c r="AA641" s="299"/>
      <c r="AB641" s="299"/>
      <c r="AC641" s="300"/>
      <c r="AD641" s="300"/>
    </row>
    <row r="642" spans="1:30" ht="12.75" customHeight="1" x14ac:dyDescent="0.2">
      <c r="A642" s="296"/>
      <c r="B642" s="296"/>
      <c r="C642" s="296"/>
      <c r="D642" s="297"/>
      <c r="E642" s="298"/>
      <c r="F642" s="296"/>
      <c r="G642" s="296"/>
      <c r="H642" s="296"/>
      <c r="I642" s="296"/>
      <c r="J642" s="296"/>
      <c r="K642" s="296"/>
      <c r="L642" s="296"/>
      <c r="M642" s="299"/>
      <c r="N642" s="299"/>
      <c r="O642" s="299"/>
      <c r="P642" s="299"/>
      <c r="Q642" s="299"/>
      <c r="R642" s="299"/>
      <c r="S642" s="299"/>
      <c r="T642" s="299"/>
      <c r="U642" s="299"/>
      <c r="V642" s="299"/>
      <c r="W642" s="299"/>
      <c r="X642" s="299"/>
      <c r="Y642" s="299"/>
      <c r="Z642" s="299"/>
      <c r="AA642" s="299"/>
      <c r="AB642" s="299"/>
      <c r="AC642" s="300"/>
      <c r="AD642" s="300"/>
    </row>
    <row r="643" spans="1:30" ht="12.75" customHeight="1" x14ac:dyDescent="0.2">
      <c r="A643" s="296"/>
      <c r="B643" s="296"/>
      <c r="C643" s="296"/>
      <c r="D643" s="297"/>
      <c r="E643" s="298"/>
      <c r="F643" s="296"/>
      <c r="G643" s="296"/>
      <c r="H643" s="296"/>
      <c r="I643" s="296"/>
      <c r="J643" s="296"/>
      <c r="K643" s="296"/>
      <c r="L643" s="296"/>
      <c r="M643" s="299"/>
      <c r="N643" s="299"/>
      <c r="O643" s="299"/>
      <c r="P643" s="299"/>
      <c r="Q643" s="299"/>
      <c r="R643" s="299"/>
      <c r="S643" s="299"/>
      <c r="T643" s="299"/>
      <c r="U643" s="299"/>
      <c r="V643" s="299"/>
      <c r="W643" s="299"/>
      <c r="X643" s="299"/>
      <c r="Y643" s="299"/>
      <c r="Z643" s="299"/>
      <c r="AA643" s="299"/>
      <c r="AB643" s="299"/>
      <c r="AC643" s="300"/>
      <c r="AD643" s="300"/>
    </row>
    <row r="644" spans="1:30" ht="12.75" customHeight="1" x14ac:dyDescent="0.2">
      <c r="A644" s="296"/>
      <c r="B644" s="296"/>
      <c r="C644" s="296"/>
      <c r="D644" s="297"/>
      <c r="E644" s="298"/>
      <c r="F644" s="296"/>
      <c r="G644" s="296"/>
      <c r="H644" s="296"/>
      <c r="I644" s="296"/>
      <c r="J644" s="296"/>
      <c r="K644" s="296"/>
      <c r="L644" s="296"/>
      <c r="M644" s="299"/>
      <c r="N644" s="299"/>
      <c r="O644" s="299"/>
      <c r="P644" s="299"/>
      <c r="Q644" s="299"/>
      <c r="R644" s="299"/>
      <c r="S644" s="299"/>
      <c r="T644" s="299"/>
      <c r="U644" s="299"/>
      <c r="V644" s="299"/>
      <c r="W644" s="299"/>
      <c r="X644" s="299"/>
      <c r="Y644" s="299"/>
      <c r="Z644" s="299"/>
      <c r="AA644" s="299"/>
      <c r="AB644" s="299"/>
      <c r="AC644" s="300"/>
      <c r="AD644" s="300"/>
    </row>
    <row r="645" spans="1:30" ht="12.75" customHeight="1" x14ac:dyDescent="0.2">
      <c r="A645" s="296"/>
      <c r="B645" s="296"/>
      <c r="C645" s="296"/>
      <c r="D645" s="297"/>
      <c r="E645" s="298"/>
      <c r="F645" s="296"/>
      <c r="G645" s="296"/>
      <c r="H645" s="296"/>
      <c r="I645" s="296"/>
      <c r="J645" s="296"/>
      <c r="K645" s="296"/>
      <c r="L645" s="296"/>
      <c r="M645" s="299"/>
      <c r="N645" s="299"/>
      <c r="O645" s="299"/>
      <c r="P645" s="299"/>
      <c r="Q645" s="299"/>
      <c r="R645" s="299"/>
      <c r="S645" s="299"/>
      <c r="T645" s="299"/>
      <c r="U645" s="299"/>
      <c r="V645" s="299"/>
      <c r="W645" s="299"/>
      <c r="X645" s="299"/>
      <c r="Y645" s="299"/>
      <c r="Z645" s="299"/>
      <c r="AA645" s="299"/>
      <c r="AB645" s="299"/>
      <c r="AC645" s="300"/>
      <c r="AD645" s="300"/>
    </row>
    <row r="646" spans="1:30" ht="12.75" customHeight="1" x14ac:dyDescent="0.2">
      <c r="A646" s="296"/>
      <c r="B646" s="296"/>
      <c r="C646" s="296"/>
      <c r="D646" s="297"/>
      <c r="E646" s="298"/>
      <c r="F646" s="296"/>
      <c r="G646" s="296"/>
      <c r="H646" s="296"/>
      <c r="I646" s="296"/>
      <c r="J646" s="296"/>
      <c r="K646" s="296"/>
      <c r="L646" s="296"/>
      <c r="M646" s="299"/>
      <c r="N646" s="299"/>
      <c r="O646" s="299"/>
      <c r="P646" s="299"/>
      <c r="Q646" s="299"/>
      <c r="R646" s="299"/>
      <c r="S646" s="299"/>
      <c r="T646" s="299"/>
      <c r="U646" s="299"/>
      <c r="V646" s="299"/>
      <c r="W646" s="299"/>
      <c r="X646" s="299"/>
      <c r="Y646" s="299"/>
      <c r="Z646" s="299"/>
      <c r="AA646" s="299"/>
      <c r="AB646" s="299"/>
      <c r="AC646" s="300"/>
      <c r="AD646" s="300"/>
    </row>
    <row r="647" spans="1:30" ht="12.75" customHeight="1" x14ac:dyDescent="0.2">
      <c r="A647" s="296"/>
      <c r="B647" s="296"/>
      <c r="C647" s="296"/>
      <c r="D647" s="297"/>
      <c r="E647" s="298"/>
      <c r="F647" s="296"/>
      <c r="G647" s="296"/>
      <c r="H647" s="296"/>
      <c r="I647" s="296"/>
      <c r="J647" s="296"/>
      <c r="K647" s="296"/>
      <c r="L647" s="296"/>
      <c r="M647" s="299"/>
      <c r="N647" s="299"/>
      <c r="O647" s="299"/>
      <c r="P647" s="299"/>
      <c r="Q647" s="299"/>
      <c r="R647" s="299"/>
      <c r="S647" s="299"/>
      <c r="T647" s="299"/>
      <c r="U647" s="299"/>
      <c r="V647" s="299"/>
      <c r="W647" s="299"/>
      <c r="X647" s="299"/>
      <c r="Y647" s="299"/>
      <c r="Z647" s="299"/>
      <c r="AA647" s="299"/>
      <c r="AB647" s="299"/>
      <c r="AC647" s="300"/>
      <c r="AD647" s="300"/>
    </row>
    <row r="648" spans="1:30" ht="12.75" customHeight="1" x14ac:dyDescent="0.2">
      <c r="A648" s="296"/>
      <c r="B648" s="296"/>
      <c r="C648" s="296"/>
      <c r="D648" s="297"/>
      <c r="E648" s="298"/>
      <c r="F648" s="296"/>
      <c r="G648" s="296"/>
      <c r="H648" s="296"/>
      <c r="I648" s="296"/>
      <c r="J648" s="296"/>
      <c r="K648" s="296"/>
      <c r="L648" s="296"/>
      <c r="M648" s="299"/>
      <c r="N648" s="299"/>
      <c r="O648" s="299"/>
      <c r="P648" s="299"/>
      <c r="Q648" s="299"/>
      <c r="R648" s="299"/>
      <c r="S648" s="299"/>
      <c r="T648" s="299"/>
      <c r="U648" s="299"/>
      <c r="V648" s="299"/>
      <c r="W648" s="299"/>
      <c r="X648" s="299"/>
      <c r="Y648" s="299"/>
      <c r="Z648" s="299"/>
      <c r="AA648" s="299"/>
      <c r="AB648" s="299"/>
      <c r="AC648" s="300"/>
      <c r="AD648" s="300"/>
    </row>
    <row r="649" spans="1:30" ht="12.75" customHeight="1" x14ac:dyDescent="0.2">
      <c r="A649" s="296"/>
      <c r="B649" s="296"/>
      <c r="C649" s="296"/>
      <c r="D649" s="297"/>
      <c r="E649" s="298"/>
      <c r="F649" s="296"/>
      <c r="G649" s="296"/>
      <c r="H649" s="296"/>
      <c r="I649" s="296"/>
      <c r="J649" s="296"/>
      <c r="K649" s="296"/>
      <c r="L649" s="296"/>
      <c r="M649" s="299"/>
      <c r="N649" s="299"/>
      <c r="O649" s="299"/>
      <c r="P649" s="299"/>
      <c r="Q649" s="299"/>
      <c r="R649" s="299"/>
      <c r="S649" s="299"/>
      <c r="T649" s="299"/>
      <c r="U649" s="299"/>
      <c r="V649" s="299"/>
      <c r="W649" s="299"/>
      <c r="X649" s="299"/>
      <c r="Y649" s="299"/>
      <c r="Z649" s="299"/>
      <c r="AA649" s="299"/>
      <c r="AB649" s="299"/>
      <c r="AC649" s="300"/>
      <c r="AD649" s="300"/>
    </row>
    <row r="650" spans="1:30" ht="12.75" customHeight="1" x14ac:dyDescent="0.2">
      <c r="A650" s="296"/>
      <c r="B650" s="296"/>
      <c r="C650" s="296"/>
      <c r="D650" s="297"/>
      <c r="E650" s="298"/>
      <c r="F650" s="296"/>
      <c r="G650" s="296"/>
      <c r="H650" s="296"/>
      <c r="I650" s="296"/>
      <c r="J650" s="296"/>
      <c r="K650" s="296"/>
      <c r="L650" s="296"/>
      <c r="M650" s="299"/>
      <c r="N650" s="299"/>
      <c r="O650" s="299"/>
      <c r="P650" s="299"/>
      <c r="Q650" s="299"/>
      <c r="R650" s="299"/>
      <c r="S650" s="299"/>
      <c r="T650" s="299"/>
      <c r="U650" s="299"/>
      <c r="V650" s="299"/>
      <c r="W650" s="299"/>
      <c r="X650" s="299"/>
      <c r="Y650" s="299"/>
      <c r="Z650" s="299"/>
      <c r="AA650" s="299"/>
      <c r="AB650" s="299"/>
      <c r="AC650" s="300"/>
      <c r="AD650" s="300"/>
    </row>
    <row r="651" spans="1:30" ht="12.75" customHeight="1" x14ac:dyDescent="0.2">
      <c r="A651" s="296"/>
      <c r="B651" s="296"/>
      <c r="C651" s="296"/>
      <c r="D651" s="297"/>
      <c r="E651" s="298"/>
      <c r="F651" s="296"/>
      <c r="G651" s="296"/>
      <c r="H651" s="296"/>
      <c r="I651" s="296"/>
      <c r="J651" s="296"/>
      <c r="K651" s="296"/>
      <c r="L651" s="296"/>
      <c r="M651" s="299"/>
      <c r="N651" s="299"/>
      <c r="O651" s="299"/>
      <c r="P651" s="299"/>
      <c r="Q651" s="299"/>
      <c r="R651" s="299"/>
      <c r="S651" s="299"/>
      <c r="T651" s="299"/>
      <c r="U651" s="299"/>
      <c r="V651" s="299"/>
      <c r="W651" s="299"/>
      <c r="X651" s="299"/>
      <c r="Y651" s="299"/>
      <c r="Z651" s="299"/>
      <c r="AA651" s="299"/>
      <c r="AB651" s="299"/>
      <c r="AC651" s="300"/>
      <c r="AD651" s="300"/>
    </row>
    <row r="652" spans="1:30" ht="12.75" customHeight="1" x14ac:dyDescent="0.2">
      <c r="A652" s="296"/>
      <c r="B652" s="296"/>
      <c r="C652" s="296"/>
      <c r="D652" s="297"/>
      <c r="E652" s="298"/>
      <c r="F652" s="296"/>
      <c r="G652" s="296"/>
      <c r="H652" s="296"/>
      <c r="I652" s="296"/>
      <c r="J652" s="296"/>
      <c r="K652" s="296"/>
      <c r="L652" s="296"/>
      <c r="M652" s="299"/>
      <c r="N652" s="299"/>
      <c r="O652" s="299"/>
      <c r="P652" s="299"/>
      <c r="Q652" s="299"/>
      <c r="R652" s="299"/>
      <c r="S652" s="299"/>
      <c r="T652" s="299"/>
      <c r="U652" s="299"/>
      <c r="V652" s="299"/>
      <c r="W652" s="299"/>
      <c r="X652" s="299"/>
      <c r="Y652" s="299"/>
      <c r="Z652" s="299"/>
      <c r="AA652" s="299"/>
      <c r="AB652" s="299"/>
      <c r="AC652" s="300"/>
      <c r="AD652" s="300"/>
    </row>
    <row r="653" spans="1:30" ht="12.75" customHeight="1" x14ac:dyDescent="0.2">
      <c r="A653" s="296"/>
      <c r="B653" s="296"/>
      <c r="C653" s="296"/>
      <c r="D653" s="297"/>
      <c r="E653" s="298"/>
      <c r="F653" s="296"/>
      <c r="G653" s="296"/>
      <c r="H653" s="296"/>
      <c r="I653" s="296"/>
      <c r="J653" s="296"/>
      <c r="K653" s="296"/>
      <c r="L653" s="296"/>
      <c r="M653" s="299"/>
      <c r="N653" s="299"/>
      <c r="O653" s="299"/>
      <c r="P653" s="299"/>
      <c r="Q653" s="299"/>
      <c r="R653" s="299"/>
      <c r="S653" s="299"/>
      <c r="T653" s="299"/>
      <c r="U653" s="299"/>
      <c r="V653" s="299"/>
      <c r="W653" s="299"/>
      <c r="X653" s="299"/>
      <c r="Y653" s="299"/>
      <c r="Z653" s="299"/>
      <c r="AA653" s="299"/>
      <c r="AB653" s="299"/>
      <c r="AC653" s="300"/>
      <c r="AD653" s="300"/>
    </row>
    <row r="654" spans="1:30" ht="12.75" customHeight="1" x14ac:dyDescent="0.2">
      <c r="A654" s="296"/>
      <c r="B654" s="296"/>
      <c r="C654" s="296"/>
      <c r="D654" s="297"/>
      <c r="E654" s="298"/>
      <c r="F654" s="296"/>
      <c r="G654" s="296"/>
      <c r="H654" s="296"/>
      <c r="I654" s="296"/>
      <c r="J654" s="296"/>
      <c r="K654" s="296"/>
      <c r="L654" s="296"/>
      <c r="M654" s="299"/>
      <c r="N654" s="299"/>
      <c r="O654" s="299"/>
      <c r="P654" s="299"/>
      <c r="Q654" s="299"/>
      <c r="R654" s="299"/>
      <c r="S654" s="299"/>
      <c r="T654" s="299"/>
      <c r="U654" s="299"/>
      <c r="V654" s="299"/>
      <c r="W654" s="299"/>
      <c r="X654" s="299"/>
      <c r="Y654" s="299"/>
      <c r="Z654" s="299"/>
      <c r="AA654" s="299"/>
      <c r="AB654" s="299"/>
      <c r="AC654" s="300"/>
      <c r="AD654" s="300"/>
    </row>
    <row r="655" spans="1:30" ht="12.75" customHeight="1" x14ac:dyDescent="0.2">
      <c r="A655" s="296"/>
      <c r="B655" s="296"/>
      <c r="C655" s="296"/>
      <c r="D655" s="297"/>
      <c r="E655" s="298"/>
      <c r="F655" s="296"/>
      <c r="G655" s="296"/>
      <c r="H655" s="296"/>
      <c r="I655" s="296"/>
      <c r="J655" s="296"/>
      <c r="K655" s="296"/>
      <c r="L655" s="296"/>
      <c r="M655" s="299"/>
      <c r="N655" s="299"/>
      <c r="O655" s="299"/>
      <c r="P655" s="299"/>
      <c r="Q655" s="299"/>
      <c r="R655" s="299"/>
      <c r="S655" s="299"/>
      <c r="T655" s="299"/>
      <c r="U655" s="299"/>
      <c r="V655" s="299"/>
      <c r="W655" s="299"/>
      <c r="X655" s="299"/>
      <c r="Y655" s="299"/>
      <c r="Z655" s="299"/>
      <c r="AA655" s="299"/>
      <c r="AB655" s="299"/>
      <c r="AC655" s="300"/>
      <c r="AD655" s="300"/>
    </row>
    <row r="656" spans="1:30" ht="12.75" customHeight="1" x14ac:dyDescent="0.2">
      <c r="A656" s="296"/>
      <c r="B656" s="296"/>
      <c r="C656" s="296"/>
      <c r="D656" s="297"/>
      <c r="E656" s="298"/>
      <c r="F656" s="296"/>
      <c r="G656" s="296"/>
      <c r="H656" s="296"/>
      <c r="I656" s="296"/>
      <c r="J656" s="296"/>
      <c r="K656" s="296"/>
      <c r="L656" s="296"/>
      <c r="M656" s="299"/>
      <c r="N656" s="299"/>
      <c r="O656" s="299"/>
      <c r="P656" s="299"/>
      <c r="Q656" s="299"/>
      <c r="R656" s="299"/>
      <c r="S656" s="299"/>
      <c r="T656" s="299"/>
      <c r="U656" s="299"/>
      <c r="V656" s="299"/>
      <c r="W656" s="299"/>
      <c r="X656" s="299"/>
      <c r="Y656" s="299"/>
      <c r="Z656" s="299"/>
      <c r="AA656" s="299"/>
      <c r="AB656" s="299"/>
      <c r="AC656" s="300"/>
      <c r="AD656" s="300"/>
    </row>
    <row r="657" spans="1:30" ht="12.75" customHeight="1" x14ac:dyDescent="0.2">
      <c r="A657" s="296"/>
      <c r="B657" s="296"/>
      <c r="C657" s="296"/>
      <c r="D657" s="297"/>
      <c r="E657" s="298"/>
      <c r="F657" s="296"/>
      <c r="G657" s="296"/>
      <c r="H657" s="296"/>
      <c r="I657" s="296"/>
      <c r="J657" s="296"/>
      <c r="K657" s="296"/>
      <c r="L657" s="296"/>
      <c r="M657" s="299"/>
      <c r="N657" s="299"/>
      <c r="O657" s="299"/>
      <c r="P657" s="299"/>
      <c r="Q657" s="299"/>
      <c r="R657" s="299"/>
      <c r="S657" s="299"/>
      <c r="T657" s="299"/>
      <c r="U657" s="299"/>
      <c r="V657" s="299"/>
      <c r="W657" s="299"/>
      <c r="X657" s="299"/>
      <c r="Y657" s="299"/>
      <c r="Z657" s="299"/>
      <c r="AA657" s="299"/>
      <c r="AB657" s="299"/>
      <c r="AC657" s="300"/>
      <c r="AD657" s="300"/>
    </row>
    <row r="658" spans="1:30" ht="12.75" customHeight="1" x14ac:dyDescent="0.2">
      <c r="A658" s="296"/>
      <c r="B658" s="296"/>
      <c r="C658" s="296"/>
      <c r="D658" s="297"/>
      <c r="E658" s="298"/>
      <c r="F658" s="296"/>
      <c r="G658" s="296"/>
      <c r="H658" s="296"/>
      <c r="I658" s="296"/>
      <c r="J658" s="296"/>
      <c r="K658" s="296"/>
      <c r="L658" s="296"/>
      <c r="M658" s="299"/>
      <c r="N658" s="299"/>
      <c r="O658" s="299"/>
      <c r="P658" s="299"/>
      <c r="Q658" s="299"/>
      <c r="R658" s="299"/>
      <c r="S658" s="299"/>
      <c r="T658" s="299"/>
      <c r="U658" s="299"/>
      <c r="V658" s="299"/>
      <c r="W658" s="299"/>
      <c r="X658" s="299"/>
      <c r="Y658" s="299"/>
      <c r="Z658" s="299"/>
      <c r="AA658" s="299"/>
      <c r="AB658" s="299"/>
      <c r="AC658" s="300"/>
      <c r="AD658" s="300"/>
    </row>
    <row r="659" spans="1:30" ht="12.75" customHeight="1" x14ac:dyDescent="0.2">
      <c r="A659" s="296"/>
      <c r="B659" s="296"/>
      <c r="C659" s="296"/>
      <c r="D659" s="297"/>
      <c r="E659" s="298"/>
      <c r="F659" s="296"/>
      <c r="G659" s="296"/>
      <c r="H659" s="296"/>
      <c r="I659" s="296"/>
      <c r="J659" s="296"/>
      <c r="K659" s="296"/>
      <c r="L659" s="296"/>
      <c r="M659" s="299"/>
      <c r="N659" s="299"/>
      <c r="O659" s="299"/>
      <c r="P659" s="299"/>
      <c r="Q659" s="299"/>
      <c r="R659" s="299"/>
      <c r="S659" s="299"/>
      <c r="T659" s="299"/>
      <c r="U659" s="299"/>
      <c r="V659" s="299"/>
      <c r="W659" s="299"/>
      <c r="X659" s="299"/>
      <c r="Y659" s="299"/>
      <c r="Z659" s="299"/>
      <c r="AA659" s="299"/>
      <c r="AB659" s="299"/>
      <c r="AC659" s="300"/>
      <c r="AD659" s="300"/>
    </row>
    <row r="660" spans="1:30" ht="12.75" customHeight="1" x14ac:dyDescent="0.2">
      <c r="A660" s="296"/>
      <c r="B660" s="296"/>
      <c r="C660" s="296"/>
      <c r="D660" s="297"/>
      <c r="E660" s="298"/>
      <c r="F660" s="296"/>
      <c r="G660" s="296"/>
      <c r="H660" s="296"/>
      <c r="I660" s="296"/>
      <c r="J660" s="296"/>
      <c r="K660" s="296"/>
      <c r="L660" s="296"/>
      <c r="M660" s="299"/>
      <c r="N660" s="299"/>
      <c r="O660" s="299"/>
      <c r="P660" s="299"/>
      <c r="Q660" s="299"/>
      <c r="R660" s="299"/>
      <c r="S660" s="299"/>
      <c r="T660" s="299"/>
      <c r="U660" s="299"/>
      <c r="V660" s="299"/>
      <c r="W660" s="299"/>
      <c r="X660" s="299"/>
      <c r="Y660" s="299"/>
      <c r="Z660" s="299"/>
      <c r="AA660" s="299"/>
      <c r="AB660" s="299"/>
      <c r="AC660" s="300"/>
      <c r="AD660" s="300"/>
    </row>
    <row r="661" spans="1:30" ht="12.75" customHeight="1" x14ac:dyDescent="0.2">
      <c r="A661" s="296"/>
      <c r="B661" s="296"/>
      <c r="C661" s="296"/>
      <c r="D661" s="297"/>
      <c r="E661" s="298"/>
      <c r="F661" s="296"/>
      <c r="G661" s="296"/>
      <c r="H661" s="296"/>
      <c r="I661" s="296"/>
      <c r="J661" s="296"/>
      <c r="K661" s="296"/>
      <c r="L661" s="296"/>
      <c r="M661" s="299"/>
      <c r="N661" s="299"/>
      <c r="O661" s="299"/>
      <c r="P661" s="299"/>
      <c r="Q661" s="299"/>
      <c r="R661" s="299"/>
      <c r="S661" s="299"/>
      <c r="T661" s="299"/>
      <c r="U661" s="299"/>
      <c r="V661" s="299"/>
      <c r="W661" s="299"/>
      <c r="X661" s="299"/>
      <c r="Y661" s="299"/>
      <c r="Z661" s="299"/>
      <c r="AA661" s="299"/>
      <c r="AB661" s="299"/>
      <c r="AC661" s="300"/>
      <c r="AD661" s="300"/>
    </row>
    <row r="662" spans="1:30" ht="12.75" customHeight="1" x14ac:dyDescent="0.2">
      <c r="A662" s="296"/>
      <c r="B662" s="296"/>
      <c r="C662" s="296"/>
      <c r="D662" s="297"/>
      <c r="E662" s="298"/>
      <c r="F662" s="296"/>
      <c r="G662" s="296"/>
      <c r="H662" s="296"/>
      <c r="I662" s="296"/>
      <c r="J662" s="296"/>
      <c r="K662" s="296"/>
      <c r="L662" s="296"/>
      <c r="M662" s="299"/>
      <c r="N662" s="299"/>
      <c r="O662" s="299"/>
      <c r="P662" s="299"/>
      <c r="Q662" s="299"/>
      <c r="R662" s="299"/>
      <c r="S662" s="299"/>
      <c r="T662" s="299"/>
      <c r="U662" s="299"/>
      <c r="V662" s="299"/>
      <c r="W662" s="299"/>
      <c r="X662" s="299"/>
      <c r="Y662" s="299"/>
      <c r="Z662" s="299"/>
      <c r="AA662" s="299"/>
      <c r="AB662" s="299"/>
      <c r="AC662" s="300"/>
      <c r="AD662" s="300"/>
    </row>
    <row r="663" spans="1:30" ht="12.75" customHeight="1" x14ac:dyDescent="0.2">
      <c r="A663" s="296"/>
      <c r="B663" s="296"/>
      <c r="C663" s="296"/>
      <c r="D663" s="297"/>
      <c r="E663" s="298"/>
      <c r="F663" s="296"/>
      <c r="G663" s="296"/>
      <c r="H663" s="296"/>
      <c r="I663" s="296"/>
      <c r="J663" s="296"/>
      <c r="K663" s="296"/>
      <c r="L663" s="296"/>
      <c r="M663" s="299"/>
      <c r="N663" s="299"/>
      <c r="O663" s="299"/>
      <c r="P663" s="299"/>
      <c r="Q663" s="299"/>
      <c r="R663" s="299"/>
      <c r="S663" s="299"/>
      <c r="T663" s="299"/>
      <c r="U663" s="299"/>
      <c r="V663" s="299"/>
      <c r="W663" s="299"/>
      <c r="X663" s="299"/>
      <c r="Y663" s="299"/>
      <c r="Z663" s="299"/>
      <c r="AA663" s="299"/>
      <c r="AB663" s="299"/>
      <c r="AC663" s="300"/>
      <c r="AD663" s="300"/>
    </row>
    <row r="664" spans="1:30" ht="12.75" customHeight="1" x14ac:dyDescent="0.2">
      <c r="A664" s="296"/>
      <c r="B664" s="296"/>
      <c r="C664" s="296"/>
      <c r="D664" s="297"/>
      <c r="E664" s="298"/>
      <c r="F664" s="296"/>
      <c r="G664" s="296"/>
      <c r="H664" s="296"/>
      <c r="I664" s="296"/>
      <c r="J664" s="296"/>
      <c r="K664" s="296"/>
      <c r="L664" s="296"/>
      <c r="M664" s="299"/>
      <c r="N664" s="299"/>
      <c r="O664" s="299"/>
      <c r="P664" s="299"/>
      <c r="Q664" s="299"/>
      <c r="R664" s="299"/>
      <c r="S664" s="299"/>
      <c r="T664" s="299"/>
      <c r="U664" s="299"/>
      <c r="V664" s="299"/>
      <c r="W664" s="299"/>
      <c r="X664" s="299"/>
      <c r="Y664" s="299"/>
      <c r="Z664" s="299"/>
      <c r="AA664" s="299"/>
      <c r="AB664" s="299"/>
      <c r="AC664" s="300"/>
      <c r="AD664" s="300"/>
    </row>
    <row r="665" spans="1:30" ht="12.75" customHeight="1" x14ac:dyDescent="0.2">
      <c r="A665" s="296"/>
      <c r="B665" s="296"/>
      <c r="C665" s="296"/>
      <c r="D665" s="297"/>
      <c r="E665" s="298"/>
      <c r="F665" s="296"/>
      <c r="G665" s="296"/>
      <c r="H665" s="296"/>
      <c r="I665" s="296"/>
      <c r="J665" s="296"/>
      <c r="K665" s="296"/>
      <c r="L665" s="296"/>
      <c r="M665" s="299"/>
      <c r="N665" s="299"/>
      <c r="O665" s="299"/>
      <c r="P665" s="299"/>
      <c r="Q665" s="299"/>
      <c r="R665" s="299"/>
      <c r="S665" s="299"/>
      <c r="T665" s="299"/>
      <c r="U665" s="299"/>
      <c r="V665" s="299"/>
      <c r="W665" s="299"/>
      <c r="X665" s="299"/>
      <c r="Y665" s="299"/>
      <c r="Z665" s="299"/>
      <c r="AA665" s="299"/>
      <c r="AB665" s="299"/>
      <c r="AC665" s="300"/>
      <c r="AD665" s="300"/>
    </row>
    <row r="666" spans="1:30" ht="12.75" customHeight="1" x14ac:dyDescent="0.2">
      <c r="A666" s="296"/>
      <c r="B666" s="296"/>
      <c r="C666" s="296"/>
      <c r="D666" s="297"/>
      <c r="E666" s="298"/>
      <c r="F666" s="296"/>
      <c r="G666" s="296"/>
      <c r="H666" s="296"/>
      <c r="I666" s="296"/>
      <c r="J666" s="296"/>
      <c r="K666" s="296"/>
      <c r="L666" s="296"/>
      <c r="M666" s="299"/>
      <c r="N666" s="299"/>
      <c r="O666" s="299"/>
      <c r="P666" s="299"/>
      <c r="Q666" s="299"/>
      <c r="R666" s="299"/>
      <c r="S666" s="299"/>
      <c r="T666" s="299"/>
      <c r="U666" s="299"/>
      <c r="V666" s="299"/>
      <c r="W666" s="299"/>
      <c r="X666" s="299"/>
      <c r="Y666" s="299"/>
      <c r="Z666" s="299"/>
      <c r="AA666" s="299"/>
      <c r="AB666" s="299"/>
      <c r="AC666" s="300"/>
      <c r="AD666" s="300"/>
    </row>
    <row r="667" spans="1:30" ht="12.75" customHeight="1" x14ac:dyDescent="0.2">
      <c r="A667" s="296"/>
      <c r="B667" s="296"/>
      <c r="C667" s="296"/>
      <c r="D667" s="297"/>
      <c r="E667" s="298"/>
      <c r="F667" s="296"/>
      <c r="G667" s="296"/>
      <c r="H667" s="296"/>
      <c r="I667" s="296"/>
      <c r="J667" s="296"/>
      <c r="K667" s="296"/>
      <c r="L667" s="296"/>
      <c r="M667" s="299"/>
      <c r="N667" s="299"/>
      <c r="O667" s="299"/>
      <c r="P667" s="299"/>
      <c r="Q667" s="299"/>
      <c r="R667" s="299"/>
      <c r="S667" s="299"/>
      <c r="T667" s="299"/>
      <c r="U667" s="299"/>
      <c r="V667" s="299"/>
      <c r="W667" s="299"/>
      <c r="X667" s="299"/>
      <c r="Y667" s="299"/>
      <c r="Z667" s="299"/>
      <c r="AA667" s="299"/>
      <c r="AB667" s="299"/>
      <c r="AC667" s="300"/>
      <c r="AD667" s="300"/>
    </row>
    <row r="668" spans="1:30" ht="12.75" customHeight="1" x14ac:dyDescent="0.2">
      <c r="A668" s="296"/>
      <c r="B668" s="296"/>
      <c r="C668" s="296"/>
      <c r="D668" s="297"/>
      <c r="E668" s="298"/>
      <c r="F668" s="296"/>
      <c r="G668" s="296"/>
      <c r="H668" s="296"/>
      <c r="I668" s="296"/>
      <c r="J668" s="296"/>
      <c r="K668" s="296"/>
      <c r="L668" s="296"/>
      <c r="M668" s="299"/>
      <c r="N668" s="299"/>
      <c r="O668" s="299"/>
      <c r="P668" s="299"/>
      <c r="Q668" s="299"/>
      <c r="R668" s="299"/>
      <c r="S668" s="299"/>
      <c r="T668" s="299"/>
      <c r="U668" s="299"/>
      <c r="V668" s="299"/>
      <c r="W668" s="299"/>
      <c r="X668" s="299"/>
      <c r="Y668" s="299"/>
      <c r="Z668" s="299"/>
      <c r="AA668" s="299"/>
      <c r="AB668" s="299"/>
      <c r="AC668" s="300"/>
      <c r="AD668" s="300"/>
    </row>
    <row r="669" spans="1:30" ht="12.75" customHeight="1" x14ac:dyDescent="0.2">
      <c r="A669" s="296"/>
      <c r="B669" s="296"/>
      <c r="C669" s="296"/>
      <c r="D669" s="297"/>
      <c r="E669" s="298"/>
      <c r="F669" s="296"/>
      <c r="G669" s="296"/>
      <c r="H669" s="296"/>
      <c r="I669" s="296"/>
      <c r="J669" s="296"/>
      <c r="K669" s="296"/>
      <c r="L669" s="296"/>
      <c r="M669" s="299"/>
      <c r="N669" s="299"/>
      <c r="O669" s="299"/>
      <c r="P669" s="299"/>
      <c r="Q669" s="299"/>
      <c r="R669" s="299"/>
      <c r="S669" s="299"/>
      <c r="T669" s="299"/>
      <c r="U669" s="299"/>
      <c r="V669" s="299"/>
      <c r="W669" s="299"/>
      <c r="X669" s="299"/>
      <c r="Y669" s="299"/>
      <c r="Z669" s="299"/>
      <c r="AA669" s="299"/>
      <c r="AB669" s="299"/>
      <c r="AC669" s="300"/>
      <c r="AD669" s="300"/>
    </row>
    <row r="670" spans="1:30" ht="12.75" customHeight="1" x14ac:dyDescent="0.2">
      <c r="A670" s="296"/>
      <c r="B670" s="296"/>
      <c r="C670" s="296"/>
      <c r="D670" s="297"/>
      <c r="E670" s="298"/>
      <c r="F670" s="296"/>
      <c r="G670" s="296"/>
      <c r="H670" s="296"/>
      <c r="I670" s="296"/>
      <c r="J670" s="296"/>
      <c r="K670" s="296"/>
      <c r="L670" s="296"/>
      <c r="M670" s="299"/>
      <c r="N670" s="299"/>
      <c r="O670" s="299"/>
      <c r="P670" s="299"/>
      <c r="Q670" s="299"/>
      <c r="R670" s="299"/>
      <c r="S670" s="299"/>
      <c r="T670" s="299"/>
      <c r="U670" s="299"/>
      <c r="V670" s="299"/>
      <c r="W670" s="299"/>
      <c r="X670" s="299"/>
      <c r="Y670" s="299"/>
      <c r="Z670" s="299"/>
      <c r="AA670" s="299"/>
      <c r="AB670" s="299"/>
      <c r="AC670" s="300"/>
      <c r="AD670" s="300"/>
    </row>
    <row r="671" spans="1:30" ht="12.75" customHeight="1" x14ac:dyDescent="0.2">
      <c r="A671" s="296"/>
      <c r="B671" s="296"/>
      <c r="C671" s="296"/>
      <c r="D671" s="297"/>
      <c r="E671" s="298"/>
      <c r="F671" s="296"/>
      <c r="G671" s="296"/>
      <c r="H671" s="296"/>
      <c r="I671" s="296"/>
      <c r="J671" s="296"/>
      <c r="K671" s="296"/>
      <c r="L671" s="296"/>
      <c r="M671" s="299"/>
      <c r="N671" s="299"/>
      <c r="O671" s="299"/>
      <c r="P671" s="299"/>
      <c r="Q671" s="299"/>
      <c r="R671" s="299"/>
      <c r="S671" s="299"/>
      <c r="T671" s="299"/>
      <c r="U671" s="299"/>
      <c r="V671" s="299"/>
      <c r="W671" s="299"/>
      <c r="X671" s="299"/>
      <c r="Y671" s="299"/>
      <c r="Z671" s="299"/>
      <c r="AA671" s="299"/>
      <c r="AB671" s="299"/>
      <c r="AC671" s="300"/>
      <c r="AD671" s="300"/>
    </row>
    <row r="672" spans="1:30" ht="12.75" customHeight="1" x14ac:dyDescent="0.2">
      <c r="A672" s="296"/>
      <c r="B672" s="296"/>
      <c r="C672" s="296"/>
      <c r="D672" s="297"/>
      <c r="E672" s="298"/>
      <c r="F672" s="296"/>
      <c r="G672" s="296"/>
      <c r="H672" s="296"/>
      <c r="I672" s="296"/>
      <c r="J672" s="296"/>
      <c r="K672" s="296"/>
      <c r="L672" s="296"/>
      <c r="M672" s="299"/>
      <c r="N672" s="299"/>
      <c r="O672" s="299"/>
      <c r="P672" s="299"/>
      <c r="Q672" s="299"/>
      <c r="R672" s="299"/>
      <c r="S672" s="299"/>
      <c r="T672" s="299"/>
      <c r="U672" s="299"/>
      <c r="V672" s="299"/>
      <c r="W672" s="299"/>
      <c r="X672" s="299"/>
      <c r="Y672" s="299"/>
      <c r="Z672" s="299"/>
      <c r="AA672" s="299"/>
      <c r="AB672" s="299"/>
      <c r="AC672" s="300"/>
      <c r="AD672" s="300"/>
    </row>
    <row r="673" spans="1:30" ht="12.75" customHeight="1" x14ac:dyDescent="0.2">
      <c r="A673" s="296"/>
      <c r="B673" s="296"/>
      <c r="C673" s="296"/>
      <c r="D673" s="297"/>
      <c r="E673" s="298"/>
      <c r="F673" s="296"/>
      <c r="G673" s="296"/>
      <c r="H673" s="296"/>
      <c r="I673" s="296"/>
      <c r="J673" s="296"/>
      <c r="K673" s="296"/>
      <c r="L673" s="296"/>
      <c r="M673" s="299"/>
      <c r="N673" s="299"/>
      <c r="O673" s="299"/>
      <c r="P673" s="299"/>
      <c r="Q673" s="299"/>
      <c r="R673" s="299"/>
      <c r="S673" s="299"/>
      <c r="T673" s="299"/>
      <c r="U673" s="299"/>
      <c r="V673" s="299"/>
      <c r="W673" s="299"/>
      <c r="X673" s="299"/>
      <c r="Y673" s="299"/>
      <c r="Z673" s="299"/>
      <c r="AA673" s="299"/>
      <c r="AB673" s="299"/>
      <c r="AC673" s="300"/>
      <c r="AD673" s="300"/>
    </row>
    <row r="674" spans="1:30" ht="12.75" customHeight="1" x14ac:dyDescent="0.2">
      <c r="A674" s="296"/>
      <c r="B674" s="296"/>
      <c r="C674" s="296"/>
      <c r="D674" s="297"/>
      <c r="E674" s="298"/>
      <c r="F674" s="296"/>
      <c r="G674" s="296"/>
      <c r="H674" s="296"/>
      <c r="I674" s="296"/>
      <c r="J674" s="296"/>
      <c r="K674" s="296"/>
      <c r="L674" s="296"/>
      <c r="M674" s="299"/>
      <c r="N674" s="299"/>
      <c r="O674" s="299"/>
      <c r="P674" s="299"/>
      <c r="Q674" s="299"/>
      <c r="R674" s="299"/>
      <c r="S674" s="299"/>
      <c r="T674" s="299"/>
      <c r="U674" s="299"/>
      <c r="V674" s="299"/>
      <c r="W674" s="299"/>
      <c r="X674" s="299"/>
      <c r="Y674" s="299"/>
      <c r="Z674" s="299"/>
      <c r="AA674" s="299"/>
      <c r="AB674" s="299"/>
      <c r="AC674" s="300"/>
      <c r="AD674" s="300"/>
    </row>
    <row r="675" spans="1:30" ht="12.75" customHeight="1" x14ac:dyDescent="0.2">
      <c r="A675" s="296"/>
      <c r="B675" s="296"/>
      <c r="C675" s="296"/>
      <c r="D675" s="297"/>
      <c r="E675" s="298"/>
      <c r="F675" s="296"/>
      <c r="G675" s="296"/>
      <c r="H675" s="296"/>
      <c r="I675" s="296"/>
      <c r="J675" s="296"/>
      <c r="K675" s="296"/>
      <c r="L675" s="296"/>
      <c r="M675" s="299"/>
      <c r="N675" s="299"/>
      <c r="O675" s="299"/>
      <c r="P675" s="299"/>
      <c r="Q675" s="299"/>
      <c r="R675" s="299"/>
      <c r="S675" s="299"/>
      <c r="T675" s="299"/>
      <c r="U675" s="299"/>
      <c r="V675" s="299"/>
      <c r="W675" s="299"/>
      <c r="X675" s="299"/>
      <c r="Y675" s="299"/>
      <c r="Z675" s="299"/>
      <c r="AA675" s="299"/>
      <c r="AB675" s="299"/>
      <c r="AC675" s="300"/>
      <c r="AD675" s="300"/>
    </row>
    <row r="676" spans="1:30" ht="12.75" customHeight="1" x14ac:dyDescent="0.2">
      <c r="A676" s="296"/>
      <c r="B676" s="296"/>
      <c r="C676" s="296"/>
      <c r="D676" s="297"/>
      <c r="E676" s="298"/>
      <c r="F676" s="296"/>
      <c r="G676" s="296"/>
      <c r="H676" s="296"/>
      <c r="I676" s="296"/>
      <c r="J676" s="296"/>
      <c r="K676" s="296"/>
      <c r="L676" s="296"/>
      <c r="M676" s="299"/>
      <c r="N676" s="299"/>
      <c r="O676" s="299"/>
      <c r="P676" s="299"/>
      <c r="Q676" s="299"/>
      <c r="R676" s="299"/>
      <c r="S676" s="299"/>
      <c r="T676" s="299"/>
      <c r="U676" s="299"/>
      <c r="V676" s="299"/>
      <c r="W676" s="299"/>
      <c r="X676" s="299"/>
      <c r="Y676" s="299"/>
      <c r="Z676" s="299"/>
      <c r="AA676" s="299"/>
      <c r="AB676" s="299"/>
      <c r="AC676" s="300"/>
      <c r="AD676" s="300"/>
    </row>
    <row r="677" spans="1:30" ht="12.75" customHeight="1" x14ac:dyDescent="0.2">
      <c r="A677" s="296"/>
      <c r="B677" s="296"/>
      <c r="C677" s="296"/>
      <c r="D677" s="297"/>
      <c r="E677" s="298"/>
      <c r="F677" s="296"/>
      <c r="G677" s="296"/>
      <c r="H677" s="296"/>
      <c r="I677" s="296"/>
      <c r="J677" s="296"/>
      <c r="K677" s="296"/>
      <c r="L677" s="296"/>
      <c r="M677" s="299"/>
      <c r="N677" s="299"/>
      <c r="O677" s="299"/>
      <c r="P677" s="299"/>
      <c r="Q677" s="299"/>
      <c r="R677" s="299"/>
      <c r="S677" s="299"/>
      <c r="T677" s="299"/>
      <c r="U677" s="299"/>
      <c r="V677" s="299"/>
      <c r="W677" s="299"/>
      <c r="X677" s="299"/>
      <c r="Y677" s="299"/>
      <c r="Z677" s="299"/>
      <c r="AA677" s="299"/>
      <c r="AB677" s="299"/>
      <c r="AC677" s="300"/>
      <c r="AD677" s="300"/>
    </row>
    <row r="678" spans="1:30" ht="12.75" customHeight="1" x14ac:dyDescent="0.2">
      <c r="A678" s="296"/>
      <c r="B678" s="296"/>
      <c r="C678" s="296"/>
      <c r="D678" s="297"/>
      <c r="E678" s="298"/>
      <c r="F678" s="296"/>
      <c r="G678" s="296"/>
      <c r="H678" s="296"/>
      <c r="I678" s="296"/>
      <c r="J678" s="296"/>
      <c r="K678" s="296"/>
      <c r="L678" s="296"/>
      <c r="M678" s="299"/>
      <c r="N678" s="299"/>
      <c r="O678" s="299"/>
      <c r="P678" s="299"/>
      <c r="Q678" s="299"/>
      <c r="R678" s="299"/>
      <c r="S678" s="299"/>
      <c r="T678" s="299"/>
      <c r="U678" s="299"/>
      <c r="V678" s="299"/>
      <c r="W678" s="299"/>
      <c r="X678" s="299"/>
      <c r="Y678" s="299"/>
      <c r="Z678" s="299"/>
      <c r="AA678" s="299"/>
      <c r="AB678" s="299"/>
      <c r="AC678" s="300"/>
      <c r="AD678" s="300"/>
    </row>
    <row r="679" spans="1:30" ht="12.75" customHeight="1" x14ac:dyDescent="0.2">
      <c r="A679" s="296"/>
      <c r="B679" s="296"/>
      <c r="C679" s="296"/>
      <c r="D679" s="297"/>
      <c r="E679" s="298"/>
      <c r="F679" s="296"/>
      <c r="G679" s="296"/>
      <c r="H679" s="296"/>
      <c r="I679" s="296"/>
      <c r="J679" s="296"/>
      <c r="K679" s="296"/>
      <c r="L679" s="296"/>
      <c r="M679" s="299"/>
      <c r="N679" s="299"/>
      <c r="O679" s="299"/>
      <c r="P679" s="299"/>
      <c r="Q679" s="299"/>
      <c r="R679" s="299"/>
      <c r="S679" s="299"/>
      <c r="T679" s="299"/>
      <c r="U679" s="299"/>
      <c r="V679" s="299"/>
      <c r="W679" s="299"/>
      <c r="X679" s="299"/>
      <c r="Y679" s="299"/>
      <c r="Z679" s="299"/>
      <c r="AA679" s="299"/>
      <c r="AB679" s="299"/>
      <c r="AC679" s="300"/>
      <c r="AD679" s="300"/>
    </row>
    <row r="680" spans="1:30" ht="12.75" customHeight="1" x14ac:dyDescent="0.2">
      <c r="A680" s="296"/>
      <c r="B680" s="296"/>
      <c r="C680" s="296"/>
      <c r="D680" s="297"/>
      <c r="E680" s="298"/>
      <c r="F680" s="296"/>
      <c r="G680" s="296"/>
      <c r="H680" s="296"/>
      <c r="I680" s="296"/>
      <c r="J680" s="296"/>
      <c r="K680" s="296"/>
      <c r="L680" s="296"/>
      <c r="M680" s="299"/>
      <c r="N680" s="299"/>
      <c r="O680" s="299"/>
      <c r="P680" s="299"/>
      <c r="Q680" s="299"/>
      <c r="R680" s="299"/>
      <c r="S680" s="299"/>
      <c r="T680" s="299"/>
      <c r="U680" s="299"/>
      <c r="V680" s="299"/>
      <c r="W680" s="299"/>
      <c r="X680" s="299"/>
      <c r="Y680" s="299"/>
      <c r="Z680" s="299"/>
      <c r="AA680" s="299"/>
      <c r="AB680" s="299"/>
      <c r="AC680" s="300"/>
      <c r="AD680" s="300"/>
    </row>
    <row r="681" spans="1:30" ht="12.75" customHeight="1" x14ac:dyDescent="0.2">
      <c r="A681" s="296"/>
      <c r="B681" s="296"/>
      <c r="C681" s="296"/>
      <c r="D681" s="297"/>
      <c r="E681" s="298"/>
      <c r="F681" s="296"/>
      <c r="G681" s="296"/>
      <c r="H681" s="296"/>
      <c r="I681" s="296"/>
      <c r="J681" s="296"/>
      <c r="K681" s="296"/>
      <c r="L681" s="296"/>
      <c r="M681" s="299"/>
      <c r="N681" s="299"/>
      <c r="O681" s="299"/>
      <c r="P681" s="299"/>
      <c r="Q681" s="299"/>
      <c r="R681" s="299"/>
      <c r="S681" s="299"/>
      <c r="T681" s="299"/>
      <c r="U681" s="299"/>
      <c r="V681" s="299"/>
      <c r="W681" s="299"/>
      <c r="X681" s="299"/>
      <c r="Y681" s="299"/>
      <c r="Z681" s="299"/>
      <c r="AA681" s="299"/>
      <c r="AB681" s="299"/>
      <c r="AC681" s="300"/>
      <c r="AD681" s="300"/>
    </row>
    <row r="682" spans="1:30" ht="12.75" customHeight="1" x14ac:dyDescent="0.2">
      <c r="A682" s="296"/>
      <c r="B682" s="296"/>
      <c r="C682" s="296"/>
      <c r="D682" s="297"/>
      <c r="E682" s="298"/>
      <c r="F682" s="296"/>
      <c r="G682" s="296"/>
      <c r="H682" s="296"/>
      <c r="I682" s="296"/>
      <c r="J682" s="296"/>
      <c r="K682" s="296"/>
      <c r="L682" s="296"/>
      <c r="M682" s="299"/>
      <c r="N682" s="299"/>
      <c r="O682" s="299"/>
      <c r="P682" s="299"/>
      <c r="Q682" s="299"/>
      <c r="R682" s="299"/>
      <c r="S682" s="299"/>
      <c r="T682" s="299"/>
      <c r="U682" s="299"/>
      <c r="V682" s="299"/>
      <c r="W682" s="299"/>
      <c r="X682" s="299"/>
      <c r="Y682" s="299"/>
      <c r="Z682" s="299"/>
      <c r="AA682" s="299"/>
      <c r="AB682" s="299"/>
      <c r="AC682" s="300"/>
      <c r="AD682" s="300"/>
    </row>
    <row r="683" spans="1:30" ht="12.75" customHeight="1" x14ac:dyDescent="0.2">
      <c r="A683" s="296"/>
      <c r="B683" s="296"/>
      <c r="C683" s="296"/>
      <c r="D683" s="297"/>
      <c r="E683" s="298"/>
      <c r="F683" s="296"/>
      <c r="G683" s="296"/>
      <c r="H683" s="296"/>
      <c r="I683" s="296"/>
      <c r="J683" s="296"/>
      <c r="K683" s="296"/>
      <c r="L683" s="296"/>
      <c r="M683" s="299"/>
      <c r="N683" s="299"/>
      <c r="O683" s="299"/>
      <c r="P683" s="299"/>
      <c r="Q683" s="299"/>
      <c r="R683" s="299"/>
      <c r="S683" s="299"/>
      <c r="T683" s="299"/>
      <c r="U683" s="299"/>
      <c r="V683" s="299"/>
      <c r="W683" s="299"/>
      <c r="X683" s="299"/>
      <c r="Y683" s="299"/>
      <c r="Z683" s="299"/>
      <c r="AA683" s="299"/>
      <c r="AB683" s="299"/>
      <c r="AC683" s="300"/>
      <c r="AD683" s="300"/>
    </row>
    <row r="684" spans="1:30" ht="12.75" customHeight="1" x14ac:dyDescent="0.2">
      <c r="A684" s="296"/>
      <c r="B684" s="296"/>
      <c r="C684" s="296"/>
      <c r="D684" s="297"/>
      <c r="E684" s="298"/>
      <c r="F684" s="296"/>
      <c r="G684" s="296"/>
      <c r="H684" s="296"/>
      <c r="I684" s="296"/>
      <c r="J684" s="296"/>
      <c r="K684" s="296"/>
      <c r="L684" s="296"/>
      <c r="M684" s="299"/>
      <c r="N684" s="299"/>
      <c r="O684" s="299"/>
      <c r="P684" s="299"/>
      <c r="Q684" s="299"/>
      <c r="R684" s="299"/>
      <c r="S684" s="299"/>
      <c r="T684" s="299"/>
      <c r="U684" s="299"/>
      <c r="V684" s="299"/>
      <c r="W684" s="299"/>
      <c r="X684" s="299"/>
      <c r="Y684" s="299"/>
      <c r="Z684" s="299"/>
      <c r="AA684" s="299"/>
      <c r="AB684" s="299"/>
      <c r="AC684" s="300"/>
      <c r="AD684" s="300"/>
    </row>
    <row r="685" spans="1:30" ht="12.75" customHeight="1" x14ac:dyDescent="0.2">
      <c r="A685" s="296"/>
      <c r="B685" s="296"/>
      <c r="C685" s="296"/>
      <c r="D685" s="297"/>
      <c r="E685" s="298"/>
      <c r="F685" s="296"/>
      <c r="G685" s="296"/>
      <c r="H685" s="296"/>
      <c r="I685" s="296"/>
      <c r="J685" s="296"/>
      <c r="K685" s="296"/>
      <c r="L685" s="296"/>
      <c r="M685" s="299"/>
      <c r="N685" s="299"/>
      <c r="O685" s="299"/>
      <c r="P685" s="299"/>
      <c r="Q685" s="299"/>
      <c r="R685" s="299"/>
      <c r="S685" s="299"/>
      <c r="T685" s="299"/>
      <c r="U685" s="299"/>
      <c r="V685" s="299"/>
      <c r="W685" s="299"/>
      <c r="X685" s="299"/>
      <c r="Y685" s="299"/>
      <c r="Z685" s="299"/>
      <c r="AA685" s="299"/>
      <c r="AB685" s="299"/>
      <c r="AC685" s="300"/>
      <c r="AD685" s="300"/>
    </row>
    <row r="686" spans="1:30" ht="12.75" customHeight="1" x14ac:dyDescent="0.2">
      <c r="A686" s="296"/>
      <c r="B686" s="296"/>
      <c r="C686" s="296"/>
      <c r="D686" s="297"/>
      <c r="E686" s="298"/>
      <c r="F686" s="296"/>
      <c r="G686" s="296"/>
      <c r="H686" s="296"/>
      <c r="I686" s="296"/>
      <c r="J686" s="296"/>
      <c r="K686" s="296"/>
      <c r="L686" s="296"/>
      <c r="M686" s="299"/>
      <c r="N686" s="299"/>
      <c r="O686" s="299"/>
      <c r="P686" s="299"/>
      <c r="Q686" s="299"/>
      <c r="R686" s="299"/>
      <c r="S686" s="299"/>
      <c r="T686" s="299"/>
      <c r="U686" s="299"/>
      <c r="V686" s="299"/>
      <c r="W686" s="299"/>
      <c r="X686" s="299"/>
      <c r="Y686" s="299"/>
      <c r="Z686" s="299"/>
      <c r="AA686" s="299"/>
      <c r="AB686" s="299"/>
      <c r="AC686" s="300"/>
      <c r="AD686" s="300"/>
    </row>
    <row r="687" spans="1:30" ht="12.75" customHeight="1" x14ac:dyDescent="0.2">
      <c r="A687" s="296"/>
      <c r="B687" s="296"/>
      <c r="C687" s="296"/>
      <c r="D687" s="297"/>
      <c r="E687" s="298"/>
      <c r="F687" s="296"/>
      <c r="G687" s="296"/>
      <c r="H687" s="296"/>
      <c r="I687" s="296"/>
      <c r="J687" s="296"/>
      <c r="K687" s="296"/>
      <c r="L687" s="296"/>
      <c r="M687" s="299"/>
      <c r="N687" s="299"/>
      <c r="O687" s="299"/>
      <c r="P687" s="299"/>
      <c r="Q687" s="299"/>
      <c r="R687" s="299"/>
      <c r="S687" s="299"/>
      <c r="T687" s="299"/>
      <c r="U687" s="299"/>
      <c r="V687" s="299"/>
      <c r="W687" s="299"/>
      <c r="X687" s="299"/>
      <c r="Y687" s="299"/>
      <c r="Z687" s="299"/>
      <c r="AA687" s="299"/>
      <c r="AB687" s="299"/>
      <c r="AC687" s="300"/>
      <c r="AD687" s="300"/>
    </row>
    <row r="688" spans="1:30" ht="12.75" customHeight="1" x14ac:dyDescent="0.2">
      <c r="A688" s="296"/>
      <c r="B688" s="296"/>
      <c r="C688" s="296"/>
      <c r="D688" s="297"/>
      <c r="E688" s="298"/>
      <c r="F688" s="296"/>
      <c r="G688" s="296"/>
      <c r="H688" s="296"/>
      <c r="I688" s="296"/>
      <c r="J688" s="296"/>
      <c r="K688" s="296"/>
      <c r="L688" s="296"/>
      <c r="M688" s="299"/>
      <c r="N688" s="299"/>
      <c r="O688" s="299"/>
      <c r="P688" s="299"/>
      <c r="Q688" s="299"/>
      <c r="R688" s="299"/>
      <c r="S688" s="299"/>
      <c r="T688" s="299"/>
      <c r="U688" s="299"/>
      <c r="V688" s="299"/>
      <c r="W688" s="299"/>
      <c r="X688" s="299"/>
      <c r="Y688" s="299"/>
      <c r="Z688" s="299"/>
      <c r="AA688" s="299"/>
      <c r="AB688" s="299"/>
      <c r="AC688" s="300"/>
      <c r="AD688" s="300"/>
    </row>
    <row r="689" spans="1:30" ht="12.75" customHeight="1" x14ac:dyDescent="0.2">
      <c r="A689" s="296"/>
      <c r="B689" s="296"/>
      <c r="C689" s="296"/>
      <c r="D689" s="297"/>
      <c r="E689" s="298"/>
      <c r="F689" s="296"/>
      <c r="G689" s="296"/>
      <c r="H689" s="296"/>
      <c r="I689" s="296"/>
      <c r="J689" s="296"/>
      <c r="K689" s="296"/>
      <c r="L689" s="296"/>
      <c r="M689" s="299"/>
      <c r="N689" s="299"/>
      <c r="O689" s="299"/>
      <c r="P689" s="299"/>
      <c r="Q689" s="299"/>
      <c r="R689" s="299"/>
      <c r="S689" s="299"/>
      <c r="T689" s="299"/>
      <c r="U689" s="299"/>
      <c r="V689" s="299"/>
      <c r="W689" s="299"/>
      <c r="X689" s="299"/>
      <c r="Y689" s="299"/>
      <c r="Z689" s="299"/>
      <c r="AA689" s="299"/>
      <c r="AB689" s="299"/>
      <c r="AC689" s="300"/>
      <c r="AD689" s="300"/>
    </row>
    <row r="690" spans="1:30" ht="12.75" customHeight="1" x14ac:dyDescent="0.2">
      <c r="A690" s="296"/>
      <c r="B690" s="296"/>
      <c r="C690" s="296"/>
      <c r="D690" s="297"/>
      <c r="E690" s="298"/>
      <c r="F690" s="296"/>
      <c r="G690" s="296"/>
      <c r="H690" s="296"/>
      <c r="I690" s="296"/>
      <c r="J690" s="296"/>
      <c r="K690" s="296"/>
      <c r="L690" s="296"/>
      <c r="M690" s="299"/>
      <c r="N690" s="299"/>
      <c r="O690" s="299"/>
      <c r="P690" s="299"/>
      <c r="Q690" s="299"/>
      <c r="R690" s="299"/>
      <c r="S690" s="299"/>
      <c r="T690" s="299"/>
      <c r="U690" s="299"/>
      <c r="V690" s="299"/>
      <c r="W690" s="299"/>
      <c r="X690" s="299"/>
      <c r="Y690" s="299"/>
      <c r="Z690" s="299"/>
      <c r="AA690" s="299"/>
      <c r="AB690" s="299"/>
      <c r="AC690" s="300"/>
      <c r="AD690" s="300"/>
    </row>
    <row r="691" spans="1:30" ht="12.75" customHeight="1" x14ac:dyDescent="0.2">
      <c r="A691" s="296"/>
      <c r="B691" s="296"/>
      <c r="C691" s="296"/>
      <c r="D691" s="297"/>
      <c r="E691" s="298"/>
      <c r="F691" s="296"/>
      <c r="G691" s="296"/>
      <c r="H691" s="296"/>
      <c r="I691" s="296"/>
      <c r="J691" s="296"/>
      <c r="K691" s="296"/>
      <c r="L691" s="296"/>
      <c r="M691" s="299"/>
      <c r="N691" s="299"/>
      <c r="O691" s="299"/>
      <c r="P691" s="299"/>
      <c r="Q691" s="299"/>
      <c r="R691" s="299"/>
      <c r="S691" s="299"/>
      <c r="T691" s="299"/>
      <c r="U691" s="299"/>
      <c r="V691" s="299"/>
      <c r="W691" s="299"/>
      <c r="X691" s="299"/>
      <c r="Y691" s="299"/>
      <c r="Z691" s="299"/>
      <c r="AA691" s="299"/>
      <c r="AB691" s="299"/>
      <c r="AC691" s="300"/>
      <c r="AD691" s="300"/>
    </row>
    <row r="692" spans="1:30" ht="12.75" customHeight="1" x14ac:dyDescent="0.2">
      <c r="A692" s="296"/>
      <c r="B692" s="296"/>
      <c r="C692" s="296"/>
      <c r="D692" s="297"/>
      <c r="E692" s="298"/>
      <c r="F692" s="296"/>
      <c r="G692" s="296"/>
      <c r="H692" s="296"/>
      <c r="I692" s="296"/>
      <c r="J692" s="296"/>
      <c r="K692" s="296"/>
      <c r="L692" s="296"/>
      <c r="M692" s="299"/>
      <c r="N692" s="299"/>
      <c r="O692" s="299"/>
      <c r="P692" s="299"/>
      <c r="Q692" s="299"/>
      <c r="R692" s="299"/>
      <c r="S692" s="299"/>
      <c r="T692" s="299"/>
      <c r="U692" s="299"/>
      <c r="V692" s="299"/>
      <c r="W692" s="299"/>
      <c r="X692" s="299"/>
      <c r="Y692" s="299"/>
      <c r="Z692" s="299"/>
      <c r="AA692" s="299"/>
      <c r="AB692" s="299"/>
      <c r="AC692" s="300"/>
      <c r="AD692" s="300"/>
    </row>
    <row r="693" spans="1:30" ht="12.75" customHeight="1" x14ac:dyDescent="0.2">
      <c r="A693" s="296"/>
      <c r="B693" s="296"/>
      <c r="C693" s="296"/>
      <c r="D693" s="297"/>
      <c r="E693" s="298"/>
      <c r="F693" s="296"/>
      <c r="G693" s="296"/>
      <c r="H693" s="296"/>
      <c r="I693" s="296"/>
      <c r="J693" s="296"/>
      <c r="K693" s="296"/>
      <c r="L693" s="296"/>
      <c r="M693" s="299"/>
      <c r="N693" s="299"/>
      <c r="O693" s="299"/>
      <c r="P693" s="299"/>
      <c r="Q693" s="299"/>
      <c r="R693" s="299"/>
      <c r="S693" s="299"/>
      <c r="T693" s="299"/>
      <c r="U693" s="299"/>
      <c r="V693" s="299"/>
      <c r="W693" s="299"/>
      <c r="X693" s="299"/>
      <c r="Y693" s="299"/>
      <c r="Z693" s="299"/>
      <c r="AA693" s="299"/>
      <c r="AB693" s="299"/>
      <c r="AC693" s="300"/>
      <c r="AD693" s="300"/>
    </row>
    <row r="694" spans="1:30" ht="12.75" customHeight="1" x14ac:dyDescent="0.2">
      <c r="A694" s="296"/>
      <c r="B694" s="296"/>
      <c r="C694" s="296"/>
      <c r="D694" s="297"/>
      <c r="E694" s="298"/>
      <c r="F694" s="296"/>
      <c r="G694" s="296"/>
      <c r="H694" s="296"/>
      <c r="I694" s="296"/>
      <c r="J694" s="296"/>
      <c r="K694" s="296"/>
      <c r="L694" s="296"/>
      <c r="M694" s="299"/>
      <c r="N694" s="299"/>
      <c r="O694" s="299"/>
      <c r="P694" s="299"/>
      <c r="Q694" s="299"/>
      <c r="R694" s="299"/>
      <c r="S694" s="299"/>
      <c r="T694" s="299"/>
      <c r="U694" s="299"/>
      <c r="V694" s="299"/>
      <c r="W694" s="299"/>
      <c r="X694" s="299"/>
      <c r="Y694" s="299"/>
      <c r="Z694" s="299"/>
      <c r="AA694" s="299"/>
      <c r="AB694" s="299"/>
      <c r="AC694" s="300"/>
      <c r="AD694" s="300"/>
    </row>
    <row r="695" spans="1:30" ht="12.75" customHeight="1" x14ac:dyDescent="0.2">
      <c r="A695" s="296"/>
      <c r="B695" s="296"/>
      <c r="C695" s="296"/>
      <c r="D695" s="297"/>
      <c r="E695" s="298"/>
      <c r="F695" s="296"/>
      <c r="G695" s="296"/>
      <c r="H695" s="296"/>
      <c r="I695" s="296"/>
      <c r="J695" s="296"/>
      <c r="K695" s="296"/>
      <c r="L695" s="296"/>
      <c r="M695" s="299"/>
      <c r="N695" s="299"/>
      <c r="O695" s="299"/>
      <c r="P695" s="299"/>
      <c r="Q695" s="299"/>
      <c r="R695" s="299"/>
      <c r="S695" s="299"/>
      <c r="T695" s="299"/>
      <c r="U695" s="299"/>
      <c r="V695" s="299"/>
      <c r="W695" s="299"/>
      <c r="X695" s="299"/>
      <c r="Y695" s="299"/>
      <c r="Z695" s="299"/>
      <c r="AA695" s="299"/>
      <c r="AB695" s="299"/>
      <c r="AC695" s="300"/>
      <c r="AD695" s="300"/>
    </row>
    <row r="696" spans="1:30" ht="12.75" customHeight="1" x14ac:dyDescent="0.2">
      <c r="A696" s="296"/>
      <c r="B696" s="296"/>
      <c r="C696" s="296"/>
      <c r="D696" s="297"/>
      <c r="E696" s="298"/>
      <c r="F696" s="296"/>
      <c r="G696" s="296"/>
      <c r="H696" s="296"/>
      <c r="I696" s="296"/>
      <c r="J696" s="296"/>
      <c r="K696" s="296"/>
      <c r="L696" s="296"/>
      <c r="M696" s="299"/>
      <c r="N696" s="299"/>
      <c r="O696" s="299"/>
      <c r="P696" s="299"/>
      <c r="Q696" s="299"/>
      <c r="R696" s="299"/>
      <c r="S696" s="299"/>
      <c r="T696" s="299"/>
      <c r="U696" s="299"/>
      <c r="V696" s="299"/>
      <c r="W696" s="299"/>
      <c r="X696" s="299"/>
      <c r="Y696" s="299"/>
      <c r="Z696" s="299"/>
      <c r="AA696" s="299"/>
      <c r="AB696" s="299"/>
      <c r="AC696" s="300"/>
      <c r="AD696" s="300"/>
    </row>
    <row r="697" spans="1:30" ht="12.75" customHeight="1" x14ac:dyDescent="0.2">
      <c r="A697" s="296"/>
      <c r="B697" s="296"/>
      <c r="C697" s="296"/>
      <c r="D697" s="297"/>
      <c r="E697" s="298"/>
      <c r="F697" s="296"/>
      <c r="G697" s="296"/>
      <c r="H697" s="296"/>
      <c r="I697" s="296"/>
      <c r="J697" s="296"/>
      <c r="K697" s="296"/>
      <c r="L697" s="296"/>
      <c r="M697" s="299"/>
      <c r="N697" s="299"/>
      <c r="O697" s="299"/>
      <c r="P697" s="299"/>
      <c r="Q697" s="299"/>
      <c r="R697" s="299"/>
      <c r="S697" s="299"/>
      <c r="T697" s="299"/>
      <c r="U697" s="299"/>
      <c r="V697" s="299"/>
      <c r="W697" s="299"/>
      <c r="X697" s="299"/>
      <c r="Y697" s="299"/>
      <c r="Z697" s="299"/>
      <c r="AA697" s="299"/>
      <c r="AB697" s="299"/>
      <c r="AC697" s="300"/>
      <c r="AD697" s="300"/>
    </row>
    <row r="698" spans="1:30" ht="12.75" customHeight="1" x14ac:dyDescent="0.2">
      <c r="A698" s="296"/>
      <c r="B698" s="296"/>
      <c r="C698" s="296"/>
      <c r="D698" s="297"/>
      <c r="E698" s="298"/>
      <c r="F698" s="296"/>
      <c r="G698" s="296"/>
      <c r="H698" s="296"/>
      <c r="I698" s="296"/>
      <c r="J698" s="296"/>
      <c r="K698" s="296"/>
      <c r="L698" s="296"/>
      <c r="M698" s="299"/>
      <c r="N698" s="299"/>
      <c r="O698" s="299"/>
      <c r="P698" s="299"/>
      <c r="Q698" s="299"/>
      <c r="R698" s="299"/>
      <c r="S698" s="299"/>
      <c r="T698" s="299"/>
      <c r="U698" s="299"/>
      <c r="V698" s="299"/>
      <c r="W698" s="299"/>
      <c r="X698" s="299"/>
      <c r="Y698" s="299"/>
      <c r="Z698" s="299"/>
      <c r="AA698" s="299"/>
      <c r="AB698" s="299"/>
      <c r="AC698" s="300"/>
      <c r="AD698" s="300"/>
    </row>
    <row r="699" spans="1:30" ht="12.75" customHeight="1" x14ac:dyDescent="0.2">
      <c r="A699" s="296"/>
      <c r="B699" s="296"/>
      <c r="C699" s="296"/>
      <c r="D699" s="297"/>
      <c r="E699" s="298"/>
      <c r="F699" s="296"/>
      <c r="G699" s="296"/>
      <c r="H699" s="296"/>
      <c r="I699" s="296"/>
      <c r="J699" s="296"/>
      <c r="K699" s="296"/>
      <c r="L699" s="296"/>
      <c r="M699" s="299"/>
      <c r="N699" s="299"/>
      <c r="O699" s="299"/>
      <c r="P699" s="299"/>
      <c r="Q699" s="299"/>
      <c r="R699" s="299"/>
      <c r="S699" s="299"/>
      <c r="T699" s="299"/>
      <c r="U699" s="299"/>
      <c r="V699" s="299"/>
      <c r="W699" s="299"/>
      <c r="X699" s="299"/>
      <c r="Y699" s="299"/>
      <c r="Z699" s="299"/>
      <c r="AA699" s="299"/>
      <c r="AB699" s="299"/>
      <c r="AC699" s="300"/>
      <c r="AD699" s="300"/>
    </row>
    <row r="700" spans="1:30" ht="12.75" customHeight="1" x14ac:dyDescent="0.2">
      <c r="A700" s="296"/>
      <c r="B700" s="296"/>
      <c r="C700" s="296"/>
      <c r="D700" s="297"/>
      <c r="E700" s="298"/>
      <c r="F700" s="296"/>
      <c r="G700" s="296"/>
      <c r="H700" s="296"/>
      <c r="I700" s="296"/>
      <c r="J700" s="296"/>
      <c r="K700" s="296"/>
      <c r="L700" s="296"/>
      <c r="M700" s="299"/>
      <c r="N700" s="299"/>
      <c r="O700" s="299"/>
      <c r="P700" s="299"/>
      <c r="Q700" s="299"/>
      <c r="R700" s="299"/>
      <c r="S700" s="299"/>
      <c r="T700" s="299"/>
      <c r="U700" s="299"/>
      <c r="V700" s="299"/>
      <c r="W700" s="299"/>
      <c r="X700" s="299"/>
      <c r="Y700" s="299"/>
      <c r="Z700" s="299"/>
      <c r="AA700" s="299"/>
      <c r="AB700" s="299"/>
      <c r="AC700" s="300"/>
      <c r="AD700" s="300"/>
    </row>
    <row r="701" spans="1:30" ht="12.75" customHeight="1" x14ac:dyDescent="0.2">
      <c r="A701" s="296"/>
      <c r="B701" s="296"/>
      <c r="C701" s="296"/>
      <c r="D701" s="297"/>
      <c r="E701" s="298"/>
      <c r="F701" s="296"/>
      <c r="G701" s="296"/>
      <c r="H701" s="296"/>
      <c r="I701" s="296"/>
      <c r="J701" s="296"/>
      <c r="K701" s="296"/>
      <c r="L701" s="296"/>
      <c r="M701" s="299"/>
      <c r="N701" s="299"/>
      <c r="O701" s="299"/>
      <c r="P701" s="299"/>
      <c r="Q701" s="299"/>
      <c r="R701" s="299"/>
      <c r="S701" s="299"/>
      <c r="T701" s="299"/>
      <c r="U701" s="299"/>
      <c r="V701" s="299"/>
      <c r="W701" s="299"/>
      <c r="X701" s="299"/>
      <c r="Y701" s="299"/>
      <c r="Z701" s="299"/>
      <c r="AA701" s="299"/>
      <c r="AB701" s="299"/>
      <c r="AC701" s="300"/>
      <c r="AD701" s="300"/>
    </row>
    <row r="702" spans="1:30" ht="12.75" customHeight="1" x14ac:dyDescent="0.2">
      <c r="A702" s="296"/>
      <c r="B702" s="296"/>
      <c r="C702" s="296"/>
      <c r="D702" s="297"/>
      <c r="E702" s="298"/>
      <c r="F702" s="296"/>
      <c r="G702" s="296"/>
      <c r="H702" s="296"/>
      <c r="I702" s="296"/>
      <c r="J702" s="296"/>
      <c r="K702" s="296"/>
      <c r="L702" s="296"/>
      <c r="M702" s="299"/>
      <c r="N702" s="299"/>
      <c r="O702" s="299"/>
      <c r="P702" s="299"/>
      <c r="Q702" s="299"/>
      <c r="R702" s="299"/>
      <c r="S702" s="299"/>
      <c r="T702" s="299"/>
      <c r="U702" s="299"/>
      <c r="V702" s="299"/>
      <c r="W702" s="299"/>
      <c r="X702" s="299"/>
      <c r="Y702" s="299"/>
      <c r="Z702" s="299"/>
      <c r="AA702" s="299"/>
      <c r="AB702" s="299"/>
      <c r="AC702" s="300"/>
      <c r="AD702" s="300"/>
    </row>
    <row r="703" spans="1:30" ht="12.75" customHeight="1" x14ac:dyDescent="0.2">
      <c r="A703" s="296"/>
      <c r="B703" s="296"/>
      <c r="C703" s="296"/>
      <c r="D703" s="297"/>
      <c r="E703" s="298"/>
      <c r="F703" s="296"/>
      <c r="G703" s="296"/>
      <c r="H703" s="296"/>
      <c r="I703" s="296"/>
      <c r="J703" s="296"/>
      <c r="K703" s="296"/>
      <c r="L703" s="296"/>
      <c r="M703" s="299"/>
      <c r="N703" s="299"/>
      <c r="O703" s="299"/>
      <c r="P703" s="299"/>
      <c r="Q703" s="299"/>
      <c r="R703" s="299"/>
      <c r="S703" s="299"/>
      <c r="T703" s="299"/>
      <c r="U703" s="299"/>
      <c r="V703" s="299"/>
      <c r="W703" s="299"/>
      <c r="X703" s="299"/>
      <c r="Y703" s="299"/>
      <c r="Z703" s="299"/>
      <c r="AA703" s="299"/>
      <c r="AB703" s="299"/>
      <c r="AC703" s="300"/>
      <c r="AD703" s="300"/>
    </row>
    <row r="704" spans="1:30" ht="12.75" customHeight="1" x14ac:dyDescent="0.2">
      <c r="A704" s="296"/>
      <c r="B704" s="296"/>
      <c r="C704" s="296"/>
      <c r="D704" s="297"/>
      <c r="E704" s="298"/>
      <c r="F704" s="296"/>
      <c r="G704" s="296"/>
      <c r="H704" s="296"/>
      <c r="I704" s="296"/>
      <c r="J704" s="296"/>
      <c r="K704" s="296"/>
      <c r="L704" s="296"/>
      <c r="M704" s="299"/>
      <c r="N704" s="299"/>
      <c r="O704" s="299"/>
      <c r="P704" s="299"/>
      <c r="Q704" s="299"/>
      <c r="R704" s="299"/>
      <c r="S704" s="299"/>
      <c r="T704" s="299"/>
      <c r="U704" s="299"/>
      <c r="V704" s="299"/>
      <c r="W704" s="299"/>
      <c r="X704" s="299"/>
      <c r="Y704" s="299"/>
      <c r="Z704" s="299"/>
      <c r="AA704" s="299"/>
      <c r="AB704" s="299"/>
      <c r="AC704" s="300"/>
      <c r="AD704" s="300"/>
    </row>
    <row r="705" spans="1:30" ht="12.75" customHeight="1" x14ac:dyDescent="0.2">
      <c r="A705" s="296"/>
      <c r="B705" s="296"/>
      <c r="C705" s="296"/>
      <c r="D705" s="297"/>
      <c r="E705" s="298"/>
      <c r="F705" s="296"/>
      <c r="G705" s="296"/>
      <c r="H705" s="296"/>
      <c r="I705" s="296"/>
      <c r="J705" s="296"/>
      <c r="K705" s="296"/>
      <c r="L705" s="296"/>
      <c r="M705" s="299"/>
      <c r="N705" s="299"/>
      <c r="O705" s="299"/>
      <c r="P705" s="299"/>
      <c r="Q705" s="299"/>
      <c r="R705" s="299"/>
      <c r="S705" s="299"/>
      <c r="T705" s="299"/>
      <c r="U705" s="299"/>
      <c r="V705" s="299"/>
      <c r="W705" s="299"/>
      <c r="X705" s="299"/>
      <c r="Y705" s="299"/>
      <c r="Z705" s="299"/>
      <c r="AA705" s="299"/>
      <c r="AB705" s="299"/>
      <c r="AC705" s="300"/>
      <c r="AD705" s="300"/>
    </row>
    <row r="706" spans="1:30" ht="12.75" customHeight="1" x14ac:dyDescent="0.2">
      <c r="A706" s="296"/>
      <c r="B706" s="296"/>
      <c r="C706" s="296"/>
      <c r="D706" s="297"/>
      <c r="E706" s="298"/>
      <c r="F706" s="296"/>
      <c r="G706" s="296"/>
      <c r="H706" s="296"/>
      <c r="I706" s="296"/>
      <c r="J706" s="296"/>
      <c r="K706" s="296"/>
      <c r="L706" s="296"/>
      <c r="M706" s="299"/>
      <c r="N706" s="299"/>
      <c r="O706" s="299"/>
      <c r="P706" s="299"/>
      <c r="Q706" s="299"/>
      <c r="R706" s="299"/>
      <c r="S706" s="299"/>
      <c r="T706" s="299"/>
      <c r="U706" s="299"/>
      <c r="V706" s="299"/>
      <c r="W706" s="299"/>
      <c r="X706" s="299"/>
      <c r="Y706" s="299"/>
      <c r="Z706" s="299"/>
      <c r="AA706" s="299"/>
      <c r="AB706" s="299"/>
      <c r="AC706" s="300"/>
      <c r="AD706" s="300"/>
    </row>
    <row r="707" spans="1:30" ht="12.75" customHeight="1" x14ac:dyDescent="0.2">
      <c r="A707" s="296"/>
      <c r="B707" s="296"/>
      <c r="C707" s="296"/>
      <c r="D707" s="297"/>
      <c r="E707" s="298"/>
      <c r="F707" s="296"/>
      <c r="G707" s="296"/>
      <c r="H707" s="296"/>
      <c r="I707" s="296"/>
      <c r="J707" s="296"/>
      <c r="K707" s="296"/>
      <c r="L707" s="296"/>
      <c r="M707" s="299"/>
      <c r="N707" s="299"/>
      <c r="O707" s="299"/>
      <c r="P707" s="299"/>
      <c r="Q707" s="299"/>
      <c r="R707" s="299"/>
      <c r="S707" s="299"/>
      <c r="T707" s="299"/>
      <c r="U707" s="299"/>
      <c r="V707" s="299"/>
      <c r="W707" s="299"/>
      <c r="X707" s="299"/>
      <c r="Y707" s="299"/>
      <c r="Z707" s="299"/>
      <c r="AA707" s="299"/>
      <c r="AB707" s="299"/>
      <c r="AC707" s="300"/>
      <c r="AD707" s="300"/>
    </row>
    <row r="708" spans="1:30" ht="12.75" customHeight="1" x14ac:dyDescent="0.2">
      <c r="A708" s="296"/>
      <c r="B708" s="296"/>
      <c r="C708" s="296"/>
      <c r="D708" s="297"/>
      <c r="E708" s="298"/>
      <c r="F708" s="296"/>
      <c r="G708" s="296"/>
      <c r="H708" s="296"/>
      <c r="I708" s="296"/>
      <c r="J708" s="296"/>
      <c r="K708" s="296"/>
      <c r="L708" s="296"/>
      <c r="M708" s="299"/>
      <c r="N708" s="299"/>
      <c r="O708" s="299"/>
      <c r="P708" s="299"/>
      <c r="Q708" s="299"/>
      <c r="R708" s="299"/>
      <c r="S708" s="299"/>
      <c r="T708" s="299"/>
      <c r="U708" s="299"/>
      <c r="V708" s="299"/>
      <c r="W708" s="299"/>
      <c r="X708" s="299"/>
      <c r="Y708" s="299"/>
      <c r="Z708" s="299"/>
      <c r="AA708" s="299"/>
      <c r="AB708" s="299"/>
      <c r="AC708" s="300"/>
      <c r="AD708" s="300"/>
    </row>
    <row r="709" spans="1:30" ht="12.75" customHeight="1" x14ac:dyDescent="0.2">
      <c r="A709" s="296"/>
      <c r="B709" s="296"/>
      <c r="C709" s="296"/>
      <c r="D709" s="297"/>
      <c r="E709" s="298"/>
      <c r="F709" s="296"/>
      <c r="G709" s="296"/>
      <c r="H709" s="296"/>
      <c r="I709" s="296"/>
      <c r="J709" s="296"/>
      <c r="K709" s="296"/>
      <c r="L709" s="296"/>
      <c r="M709" s="299"/>
      <c r="N709" s="299"/>
      <c r="O709" s="299"/>
      <c r="P709" s="299"/>
      <c r="Q709" s="299"/>
      <c r="R709" s="299"/>
      <c r="S709" s="299"/>
      <c r="T709" s="299"/>
      <c r="U709" s="299"/>
      <c r="V709" s="299"/>
      <c r="W709" s="299"/>
      <c r="X709" s="299"/>
      <c r="Y709" s="299"/>
      <c r="Z709" s="299"/>
      <c r="AA709" s="299"/>
      <c r="AB709" s="299"/>
      <c r="AC709" s="300"/>
      <c r="AD709" s="300"/>
    </row>
    <row r="710" spans="1:30" ht="12.75" customHeight="1" x14ac:dyDescent="0.2">
      <c r="A710" s="296"/>
      <c r="B710" s="296"/>
      <c r="C710" s="296"/>
      <c r="D710" s="297"/>
      <c r="E710" s="298"/>
      <c r="F710" s="296"/>
      <c r="G710" s="296"/>
      <c r="H710" s="296"/>
      <c r="I710" s="296"/>
      <c r="J710" s="296"/>
      <c r="K710" s="296"/>
      <c r="L710" s="296"/>
      <c r="M710" s="299"/>
      <c r="N710" s="299"/>
      <c r="O710" s="299"/>
      <c r="P710" s="299"/>
      <c r="Q710" s="299"/>
      <c r="R710" s="299"/>
      <c r="S710" s="299"/>
      <c r="T710" s="299"/>
      <c r="U710" s="299"/>
      <c r="V710" s="299"/>
      <c r="W710" s="299"/>
      <c r="X710" s="299"/>
      <c r="Y710" s="299"/>
      <c r="Z710" s="299"/>
      <c r="AA710" s="299"/>
      <c r="AB710" s="299"/>
      <c r="AC710" s="300"/>
      <c r="AD710" s="300"/>
    </row>
    <row r="711" spans="1:30" ht="12.75" customHeight="1" x14ac:dyDescent="0.2">
      <c r="A711" s="296"/>
      <c r="B711" s="296"/>
      <c r="C711" s="296"/>
      <c r="D711" s="297"/>
      <c r="E711" s="298"/>
      <c r="F711" s="296"/>
      <c r="G711" s="296"/>
      <c r="H711" s="296"/>
      <c r="I711" s="296"/>
      <c r="J711" s="296"/>
      <c r="K711" s="296"/>
      <c r="L711" s="296"/>
      <c r="M711" s="299"/>
      <c r="N711" s="299"/>
      <c r="O711" s="299"/>
      <c r="P711" s="299"/>
      <c r="Q711" s="299"/>
      <c r="R711" s="299"/>
      <c r="S711" s="299"/>
      <c r="T711" s="299"/>
      <c r="U711" s="299"/>
      <c r="V711" s="299"/>
      <c r="W711" s="299"/>
      <c r="X711" s="299"/>
      <c r="Y711" s="299"/>
      <c r="Z711" s="299"/>
      <c r="AA711" s="299"/>
      <c r="AB711" s="299"/>
      <c r="AC711" s="300"/>
      <c r="AD711" s="300"/>
    </row>
    <row r="712" spans="1:30" ht="12.75" customHeight="1" x14ac:dyDescent="0.2">
      <c r="A712" s="296"/>
      <c r="B712" s="296"/>
      <c r="C712" s="296"/>
      <c r="D712" s="297"/>
      <c r="E712" s="298"/>
      <c r="F712" s="296"/>
      <c r="G712" s="296"/>
      <c r="H712" s="296"/>
      <c r="I712" s="296"/>
      <c r="J712" s="296"/>
      <c r="K712" s="296"/>
      <c r="L712" s="296"/>
      <c r="M712" s="299"/>
      <c r="N712" s="299"/>
      <c r="O712" s="299"/>
      <c r="P712" s="299"/>
      <c r="Q712" s="299"/>
      <c r="R712" s="299"/>
      <c r="S712" s="299"/>
      <c r="T712" s="299"/>
      <c r="U712" s="299"/>
      <c r="V712" s="299"/>
      <c r="W712" s="299"/>
      <c r="X712" s="299"/>
      <c r="Y712" s="299"/>
      <c r="Z712" s="299"/>
      <c r="AA712" s="299"/>
      <c r="AB712" s="299"/>
      <c r="AC712" s="300"/>
      <c r="AD712" s="300"/>
    </row>
    <row r="713" spans="1:30" ht="12.75" customHeight="1" x14ac:dyDescent="0.2">
      <c r="A713" s="296"/>
      <c r="B713" s="296"/>
      <c r="C713" s="296"/>
      <c r="D713" s="297"/>
      <c r="E713" s="298"/>
      <c r="F713" s="296"/>
      <c r="G713" s="296"/>
      <c r="H713" s="296"/>
      <c r="I713" s="296"/>
      <c r="J713" s="296"/>
      <c r="K713" s="296"/>
      <c r="L713" s="296"/>
      <c r="M713" s="299"/>
      <c r="N713" s="299"/>
      <c r="O713" s="299"/>
      <c r="P713" s="299"/>
      <c r="Q713" s="299"/>
      <c r="R713" s="299"/>
      <c r="S713" s="299"/>
      <c r="T713" s="299"/>
      <c r="U713" s="299"/>
      <c r="V713" s="299"/>
      <c r="W713" s="299"/>
      <c r="X713" s="299"/>
      <c r="Y713" s="299"/>
      <c r="Z713" s="299"/>
      <c r="AA713" s="299"/>
      <c r="AB713" s="299"/>
      <c r="AC713" s="300"/>
      <c r="AD713" s="300"/>
    </row>
    <row r="714" spans="1:30" ht="12.75" customHeight="1" x14ac:dyDescent="0.2">
      <c r="A714" s="296"/>
      <c r="B714" s="296"/>
      <c r="C714" s="296"/>
      <c r="D714" s="297"/>
      <c r="E714" s="298"/>
      <c r="F714" s="296"/>
      <c r="G714" s="296"/>
      <c r="H714" s="296"/>
      <c r="I714" s="296"/>
      <c r="J714" s="296"/>
      <c r="K714" s="296"/>
      <c r="L714" s="296"/>
      <c r="M714" s="299"/>
      <c r="N714" s="299"/>
      <c r="O714" s="299"/>
      <c r="P714" s="299"/>
      <c r="Q714" s="299"/>
      <c r="R714" s="299"/>
      <c r="S714" s="299"/>
      <c r="T714" s="299"/>
      <c r="U714" s="299"/>
      <c r="V714" s="299"/>
      <c r="W714" s="299"/>
      <c r="X714" s="299"/>
      <c r="Y714" s="299"/>
      <c r="Z714" s="299"/>
      <c r="AA714" s="299"/>
      <c r="AB714" s="299"/>
      <c r="AC714" s="300"/>
      <c r="AD714" s="300"/>
    </row>
    <row r="715" spans="1:30" ht="12.75" customHeight="1" x14ac:dyDescent="0.2">
      <c r="A715" s="296"/>
      <c r="B715" s="296"/>
      <c r="C715" s="296"/>
      <c r="D715" s="297"/>
      <c r="E715" s="298"/>
      <c r="F715" s="296"/>
      <c r="G715" s="296"/>
      <c r="H715" s="296"/>
      <c r="I715" s="296"/>
      <c r="J715" s="296"/>
      <c r="K715" s="296"/>
      <c r="L715" s="296"/>
      <c r="M715" s="299"/>
      <c r="N715" s="299"/>
      <c r="O715" s="299"/>
      <c r="P715" s="299"/>
      <c r="Q715" s="299"/>
      <c r="R715" s="299"/>
      <c r="S715" s="299"/>
      <c r="T715" s="299"/>
      <c r="U715" s="299"/>
      <c r="V715" s="299"/>
      <c r="W715" s="299"/>
      <c r="X715" s="299"/>
      <c r="Y715" s="299"/>
      <c r="Z715" s="299"/>
      <c r="AA715" s="299"/>
      <c r="AB715" s="299"/>
      <c r="AC715" s="300"/>
      <c r="AD715" s="300"/>
    </row>
    <row r="716" spans="1:30" ht="12.75" customHeight="1" x14ac:dyDescent="0.2">
      <c r="A716" s="296"/>
      <c r="B716" s="296"/>
      <c r="C716" s="296"/>
      <c r="D716" s="297"/>
      <c r="E716" s="298"/>
      <c r="F716" s="296"/>
      <c r="G716" s="296"/>
      <c r="H716" s="296"/>
      <c r="I716" s="296"/>
      <c r="J716" s="296"/>
      <c r="K716" s="296"/>
      <c r="L716" s="296"/>
      <c r="M716" s="299"/>
      <c r="N716" s="299"/>
      <c r="O716" s="299"/>
      <c r="P716" s="299"/>
      <c r="Q716" s="299"/>
      <c r="R716" s="299"/>
      <c r="S716" s="299"/>
      <c r="T716" s="299"/>
      <c r="U716" s="299"/>
      <c r="V716" s="299"/>
      <c r="W716" s="299"/>
      <c r="X716" s="299"/>
      <c r="Y716" s="299"/>
      <c r="Z716" s="299"/>
      <c r="AA716" s="299"/>
      <c r="AB716" s="299"/>
      <c r="AC716" s="300"/>
      <c r="AD716" s="300"/>
    </row>
    <row r="717" spans="1:30" ht="12.75" customHeight="1" x14ac:dyDescent="0.2">
      <c r="A717" s="296"/>
      <c r="B717" s="296"/>
      <c r="C717" s="296"/>
      <c r="D717" s="297"/>
      <c r="E717" s="298"/>
      <c r="F717" s="296"/>
      <c r="G717" s="296"/>
      <c r="H717" s="296"/>
      <c r="I717" s="296"/>
      <c r="J717" s="296"/>
      <c r="K717" s="296"/>
      <c r="L717" s="296"/>
      <c r="M717" s="299"/>
      <c r="N717" s="299"/>
      <c r="O717" s="299"/>
      <c r="P717" s="299"/>
      <c r="Q717" s="299"/>
      <c r="R717" s="299"/>
      <c r="S717" s="299"/>
      <c r="T717" s="299"/>
      <c r="U717" s="299"/>
      <c r="V717" s="299"/>
      <c r="W717" s="299"/>
      <c r="X717" s="299"/>
      <c r="Y717" s="299"/>
      <c r="Z717" s="299"/>
      <c r="AA717" s="299"/>
      <c r="AB717" s="299"/>
      <c r="AC717" s="300"/>
      <c r="AD717" s="300"/>
    </row>
    <row r="718" spans="1:30" ht="12.75" customHeight="1" x14ac:dyDescent="0.2">
      <c r="A718" s="296"/>
      <c r="B718" s="296"/>
      <c r="C718" s="296"/>
      <c r="D718" s="297"/>
      <c r="E718" s="298"/>
      <c r="F718" s="296"/>
      <c r="G718" s="296"/>
      <c r="H718" s="296"/>
      <c r="I718" s="296"/>
      <c r="J718" s="296"/>
      <c r="K718" s="296"/>
      <c r="L718" s="296"/>
      <c r="M718" s="299"/>
      <c r="N718" s="299"/>
      <c r="O718" s="299"/>
      <c r="P718" s="299"/>
      <c r="Q718" s="299"/>
      <c r="R718" s="299"/>
      <c r="S718" s="299"/>
      <c r="T718" s="299"/>
      <c r="U718" s="299"/>
      <c r="V718" s="299"/>
      <c r="W718" s="299"/>
      <c r="X718" s="299"/>
      <c r="Y718" s="299"/>
      <c r="Z718" s="299"/>
      <c r="AA718" s="299"/>
      <c r="AB718" s="299"/>
      <c r="AC718" s="300"/>
      <c r="AD718" s="300"/>
    </row>
    <row r="719" spans="1:30" ht="12.75" customHeight="1" x14ac:dyDescent="0.2">
      <c r="A719" s="296"/>
      <c r="B719" s="296"/>
      <c r="C719" s="296"/>
      <c r="D719" s="297"/>
      <c r="E719" s="298"/>
      <c r="F719" s="296"/>
      <c r="G719" s="296"/>
      <c r="H719" s="296"/>
      <c r="I719" s="296"/>
      <c r="J719" s="296"/>
      <c r="K719" s="296"/>
      <c r="L719" s="296"/>
      <c r="M719" s="299"/>
      <c r="N719" s="299"/>
      <c r="O719" s="299"/>
      <c r="P719" s="299"/>
      <c r="Q719" s="299"/>
      <c r="R719" s="299"/>
      <c r="S719" s="299"/>
      <c r="T719" s="299"/>
      <c r="U719" s="299"/>
      <c r="V719" s="299"/>
      <c r="W719" s="299"/>
      <c r="X719" s="299"/>
      <c r="Y719" s="299"/>
      <c r="Z719" s="299"/>
      <c r="AA719" s="299"/>
      <c r="AB719" s="299"/>
      <c r="AC719" s="300"/>
      <c r="AD719" s="300"/>
    </row>
    <row r="720" spans="1:30" ht="12.75" customHeight="1" x14ac:dyDescent="0.2">
      <c r="A720" s="296"/>
      <c r="B720" s="296"/>
      <c r="C720" s="296"/>
      <c r="D720" s="297"/>
      <c r="E720" s="298"/>
      <c r="F720" s="296"/>
      <c r="G720" s="296"/>
      <c r="H720" s="296"/>
      <c r="I720" s="296"/>
      <c r="J720" s="296"/>
      <c r="K720" s="296"/>
      <c r="L720" s="296"/>
      <c r="M720" s="299"/>
      <c r="N720" s="299"/>
      <c r="O720" s="299"/>
      <c r="P720" s="299"/>
      <c r="Q720" s="299"/>
      <c r="R720" s="299"/>
      <c r="S720" s="299"/>
      <c r="T720" s="299"/>
      <c r="U720" s="299"/>
      <c r="V720" s="299"/>
      <c r="W720" s="299"/>
      <c r="X720" s="299"/>
      <c r="Y720" s="299"/>
      <c r="Z720" s="299"/>
      <c r="AA720" s="299"/>
      <c r="AB720" s="299"/>
      <c r="AC720" s="300"/>
      <c r="AD720" s="300"/>
    </row>
    <row r="721" spans="1:30" ht="12.75" customHeight="1" x14ac:dyDescent="0.2">
      <c r="A721" s="296"/>
      <c r="B721" s="296"/>
      <c r="C721" s="296"/>
      <c r="D721" s="297"/>
      <c r="E721" s="298"/>
      <c r="F721" s="296"/>
      <c r="G721" s="296"/>
      <c r="H721" s="296"/>
      <c r="I721" s="296"/>
      <c r="J721" s="296"/>
      <c r="K721" s="296"/>
      <c r="L721" s="296"/>
      <c r="M721" s="299"/>
      <c r="N721" s="299"/>
      <c r="O721" s="299"/>
      <c r="P721" s="299"/>
      <c r="Q721" s="299"/>
      <c r="R721" s="299"/>
      <c r="S721" s="299"/>
      <c r="T721" s="299"/>
      <c r="U721" s="299"/>
      <c r="V721" s="299"/>
      <c r="W721" s="299"/>
      <c r="X721" s="299"/>
      <c r="Y721" s="299"/>
      <c r="Z721" s="299"/>
      <c r="AA721" s="299"/>
      <c r="AB721" s="299"/>
      <c r="AC721" s="300"/>
      <c r="AD721" s="300"/>
    </row>
    <row r="722" spans="1:30" ht="12.75" customHeight="1" x14ac:dyDescent="0.2">
      <c r="A722" s="296"/>
      <c r="B722" s="296"/>
      <c r="C722" s="296"/>
      <c r="D722" s="297"/>
      <c r="E722" s="298"/>
      <c r="F722" s="296"/>
      <c r="G722" s="296"/>
      <c r="H722" s="296"/>
      <c r="I722" s="296"/>
      <c r="J722" s="296"/>
      <c r="K722" s="296"/>
      <c r="L722" s="296"/>
      <c r="M722" s="299"/>
      <c r="N722" s="299"/>
      <c r="O722" s="299"/>
      <c r="P722" s="299"/>
      <c r="Q722" s="299"/>
      <c r="R722" s="299"/>
      <c r="S722" s="299"/>
      <c r="T722" s="299"/>
      <c r="U722" s="299"/>
      <c r="V722" s="299"/>
      <c r="W722" s="299"/>
      <c r="X722" s="299"/>
      <c r="Y722" s="299"/>
      <c r="Z722" s="299"/>
      <c r="AA722" s="299"/>
      <c r="AB722" s="299"/>
      <c r="AC722" s="300"/>
      <c r="AD722" s="300"/>
    </row>
    <row r="723" spans="1:30" ht="12.75" customHeight="1" x14ac:dyDescent="0.2">
      <c r="A723" s="296"/>
      <c r="B723" s="296"/>
      <c r="C723" s="296"/>
      <c r="D723" s="297"/>
      <c r="E723" s="298"/>
      <c r="F723" s="296"/>
      <c r="G723" s="296"/>
      <c r="H723" s="296"/>
      <c r="I723" s="296"/>
      <c r="J723" s="296"/>
      <c r="K723" s="296"/>
      <c r="L723" s="296"/>
      <c r="M723" s="299"/>
      <c r="N723" s="299"/>
      <c r="O723" s="299"/>
      <c r="P723" s="299"/>
      <c r="Q723" s="299"/>
      <c r="R723" s="299"/>
      <c r="S723" s="299"/>
      <c r="T723" s="299"/>
      <c r="U723" s="299"/>
      <c r="V723" s="299"/>
      <c r="W723" s="299"/>
      <c r="X723" s="299"/>
      <c r="Y723" s="299"/>
      <c r="Z723" s="299"/>
      <c r="AA723" s="299"/>
      <c r="AB723" s="299"/>
      <c r="AC723" s="300"/>
      <c r="AD723" s="300"/>
    </row>
    <row r="724" spans="1:30" ht="12.75" customHeight="1" x14ac:dyDescent="0.2">
      <c r="A724" s="296"/>
      <c r="B724" s="296"/>
      <c r="C724" s="296"/>
      <c r="D724" s="297"/>
      <c r="E724" s="298"/>
      <c r="F724" s="296"/>
      <c r="G724" s="296"/>
      <c r="H724" s="296"/>
      <c r="I724" s="296"/>
      <c r="J724" s="296"/>
      <c r="K724" s="296"/>
      <c r="L724" s="296"/>
      <c r="M724" s="299"/>
      <c r="N724" s="299"/>
      <c r="O724" s="299"/>
      <c r="P724" s="299"/>
      <c r="Q724" s="299"/>
      <c r="R724" s="299"/>
      <c r="S724" s="299"/>
      <c r="T724" s="299"/>
      <c r="U724" s="299"/>
      <c r="V724" s="299"/>
      <c r="W724" s="299"/>
      <c r="X724" s="299"/>
      <c r="Y724" s="299"/>
      <c r="Z724" s="299"/>
      <c r="AA724" s="299"/>
      <c r="AB724" s="299"/>
      <c r="AC724" s="300"/>
      <c r="AD724" s="300"/>
    </row>
    <row r="725" spans="1:30" ht="12.75" customHeight="1" x14ac:dyDescent="0.2">
      <c r="A725" s="296"/>
      <c r="B725" s="296"/>
      <c r="C725" s="296"/>
      <c r="D725" s="297"/>
      <c r="E725" s="298"/>
      <c r="F725" s="296"/>
      <c r="G725" s="296"/>
      <c r="H725" s="296"/>
      <c r="I725" s="296"/>
      <c r="J725" s="296"/>
      <c r="K725" s="296"/>
      <c r="L725" s="296"/>
      <c r="M725" s="299"/>
      <c r="N725" s="299"/>
      <c r="O725" s="299"/>
      <c r="P725" s="299"/>
      <c r="Q725" s="299"/>
      <c r="R725" s="299"/>
      <c r="S725" s="299"/>
      <c r="T725" s="299"/>
      <c r="U725" s="299"/>
      <c r="V725" s="299"/>
      <c r="W725" s="299"/>
      <c r="X725" s="299"/>
      <c r="Y725" s="299"/>
      <c r="Z725" s="299"/>
      <c r="AA725" s="299"/>
      <c r="AB725" s="299"/>
      <c r="AC725" s="300"/>
      <c r="AD725" s="300"/>
    </row>
    <row r="726" spans="1:30" ht="12.75" customHeight="1" x14ac:dyDescent="0.2">
      <c r="A726" s="296"/>
      <c r="B726" s="296"/>
      <c r="C726" s="296"/>
      <c r="D726" s="297"/>
      <c r="E726" s="298"/>
      <c r="F726" s="296"/>
      <c r="G726" s="296"/>
      <c r="H726" s="296"/>
      <c r="I726" s="296"/>
      <c r="J726" s="296"/>
      <c r="K726" s="296"/>
      <c r="L726" s="296"/>
      <c r="M726" s="299"/>
      <c r="N726" s="299"/>
      <c r="O726" s="299"/>
      <c r="P726" s="299"/>
      <c r="Q726" s="299"/>
      <c r="R726" s="299"/>
      <c r="S726" s="299"/>
      <c r="T726" s="299"/>
      <c r="U726" s="299"/>
      <c r="V726" s="299"/>
      <c r="W726" s="299"/>
      <c r="X726" s="299"/>
      <c r="Y726" s="299"/>
      <c r="Z726" s="299"/>
      <c r="AA726" s="299"/>
      <c r="AB726" s="299"/>
      <c r="AC726" s="300"/>
      <c r="AD726" s="300"/>
    </row>
    <row r="727" spans="1:30" ht="12.75" customHeight="1" x14ac:dyDescent="0.2">
      <c r="A727" s="296"/>
      <c r="B727" s="296"/>
      <c r="C727" s="296"/>
      <c r="D727" s="297"/>
      <c r="E727" s="298"/>
      <c r="F727" s="296"/>
      <c r="G727" s="296"/>
      <c r="H727" s="296"/>
      <c r="I727" s="296"/>
      <c r="J727" s="296"/>
      <c r="K727" s="296"/>
      <c r="L727" s="296"/>
      <c r="M727" s="299"/>
      <c r="N727" s="299"/>
      <c r="O727" s="299"/>
      <c r="P727" s="299"/>
      <c r="Q727" s="299"/>
      <c r="R727" s="299"/>
      <c r="S727" s="299"/>
      <c r="T727" s="299"/>
      <c r="U727" s="299"/>
      <c r="V727" s="299"/>
      <c r="W727" s="299"/>
      <c r="X727" s="299"/>
      <c r="Y727" s="299"/>
      <c r="Z727" s="299"/>
      <c r="AA727" s="299"/>
      <c r="AB727" s="299"/>
      <c r="AC727" s="300"/>
      <c r="AD727" s="300"/>
    </row>
    <row r="728" spans="1:30" ht="12.75" customHeight="1" x14ac:dyDescent="0.2">
      <c r="A728" s="296"/>
      <c r="B728" s="296"/>
      <c r="C728" s="296"/>
      <c r="D728" s="297"/>
      <c r="E728" s="298"/>
      <c r="F728" s="296"/>
      <c r="G728" s="296"/>
      <c r="H728" s="296"/>
      <c r="I728" s="296"/>
      <c r="J728" s="296"/>
      <c r="K728" s="296"/>
      <c r="L728" s="296"/>
      <c r="M728" s="299"/>
      <c r="N728" s="299"/>
      <c r="O728" s="299"/>
      <c r="P728" s="299"/>
      <c r="Q728" s="299"/>
      <c r="R728" s="299"/>
      <c r="S728" s="299"/>
      <c r="T728" s="299"/>
      <c r="U728" s="299"/>
      <c r="V728" s="299"/>
      <c r="W728" s="299"/>
      <c r="X728" s="299"/>
      <c r="Y728" s="299"/>
      <c r="Z728" s="299"/>
      <c r="AA728" s="299"/>
      <c r="AB728" s="299"/>
      <c r="AC728" s="300"/>
      <c r="AD728" s="300"/>
    </row>
    <row r="729" spans="1:30" ht="12.75" customHeight="1" x14ac:dyDescent="0.2">
      <c r="A729" s="296"/>
      <c r="B729" s="296"/>
      <c r="C729" s="296"/>
      <c r="D729" s="297"/>
      <c r="E729" s="298"/>
      <c r="F729" s="296"/>
      <c r="G729" s="296"/>
      <c r="H729" s="296"/>
      <c r="I729" s="296"/>
      <c r="J729" s="296"/>
      <c r="K729" s="296"/>
      <c r="L729" s="296"/>
      <c r="M729" s="299"/>
      <c r="N729" s="299"/>
      <c r="O729" s="299"/>
      <c r="P729" s="299"/>
      <c r="Q729" s="299"/>
      <c r="R729" s="299"/>
      <c r="S729" s="299"/>
      <c r="T729" s="299"/>
      <c r="U729" s="299"/>
      <c r="V729" s="299"/>
      <c r="W729" s="299"/>
      <c r="X729" s="299"/>
      <c r="Y729" s="299"/>
      <c r="Z729" s="299"/>
      <c r="AA729" s="299"/>
      <c r="AB729" s="299"/>
      <c r="AC729" s="300"/>
      <c r="AD729" s="300"/>
    </row>
    <row r="730" spans="1:30" ht="12.75" customHeight="1" x14ac:dyDescent="0.2">
      <c r="A730" s="296"/>
      <c r="B730" s="296"/>
      <c r="C730" s="296"/>
      <c r="D730" s="297"/>
      <c r="E730" s="298"/>
      <c r="F730" s="296"/>
      <c r="G730" s="296"/>
      <c r="H730" s="296"/>
      <c r="I730" s="296"/>
      <c r="J730" s="296"/>
      <c r="K730" s="296"/>
      <c r="L730" s="296"/>
      <c r="M730" s="299"/>
      <c r="N730" s="299"/>
      <c r="O730" s="299"/>
      <c r="P730" s="299"/>
      <c r="Q730" s="299"/>
      <c r="R730" s="299"/>
      <c r="S730" s="299"/>
      <c r="T730" s="299"/>
      <c r="U730" s="299"/>
      <c r="V730" s="299"/>
      <c r="W730" s="299"/>
      <c r="X730" s="299"/>
      <c r="Y730" s="299"/>
      <c r="Z730" s="299"/>
      <c r="AA730" s="299"/>
      <c r="AB730" s="299"/>
      <c r="AC730" s="300"/>
      <c r="AD730" s="300"/>
    </row>
    <row r="731" spans="1:30" ht="12.75" customHeight="1" x14ac:dyDescent="0.2">
      <c r="A731" s="296"/>
      <c r="B731" s="296"/>
      <c r="C731" s="296"/>
      <c r="D731" s="297"/>
      <c r="E731" s="298"/>
      <c r="F731" s="296"/>
      <c r="G731" s="296"/>
      <c r="H731" s="296"/>
      <c r="I731" s="296"/>
      <c r="J731" s="296"/>
      <c r="K731" s="296"/>
      <c r="L731" s="296"/>
      <c r="M731" s="299"/>
      <c r="N731" s="299"/>
      <c r="O731" s="299"/>
      <c r="P731" s="299"/>
      <c r="Q731" s="299"/>
      <c r="R731" s="299"/>
      <c r="S731" s="299"/>
      <c r="T731" s="299"/>
      <c r="U731" s="299"/>
      <c r="V731" s="299"/>
      <c r="W731" s="299"/>
      <c r="X731" s="299"/>
      <c r="Y731" s="299"/>
      <c r="Z731" s="299"/>
      <c r="AA731" s="299"/>
      <c r="AB731" s="299"/>
      <c r="AC731" s="300"/>
      <c r="AD731" s="300"/>
    </row>
    <row r="732" spans="1:30" ht="12.75" customHeight="1" x14ac:dyDescent="0.2">
      <c r="A732" s="296"/>
      <c r="B732" s="296"/>
      <c r="C732" s="296"/>
      <c r="D732" s="297"/>
      <c r="E732" s="298"/>
      <c r="F732" s="296"/>
      <c r="G732" s="296"/>
      <c r="H732" s="296"/>
      <c r="I732" s="296"/>
      <c r="J732" s="296"/>
      <c r="K732" s="296"/>
      <c r="L732" s="296"/>
      <c r="M732" s="299"/>
      <c r="N732" s="299"/>
      <c r="O732" s="299"/>
      <c r="P732" s="299"/>
      <c r="Q732" s="299"/>
      <c r="R732" s="299"/>
      <c r="S732" s="299"/>
      <c r="T732" s="299"/>
      <c r="U732" s="299"/>
      <c r="V732" s="299"/>
      <c r="W732" s="299"/>
      <c r="X732" s="299"/>
      <c r="Y732" s="299"/>
      <c r="Z732" s="299"/>
      <c r="AA732" s="299"/>
      <c r="AB732" s="299"/>
      <c r="AC732" s="300"/>
      <c r="AD732" s="300"/>
    </row>
    <row r="733" spans="1:30" ht="12.75" customHeight="1" x14ac:dyDescent="0.2">
      <c r="A733" s="296"/>
      <c r="B733" s="296"/>
      <c r="C733" s="296"/>
      <c r="D733" s="297"/>
      <c r="E733" s="298"/>
      <c r="F733" s="296"/>
      <c r="G733" s="296"/>
      <c r="H733" s="296"/>
      <c r="I733" s="296"/>
      <c r="J733" s="296"/>
      <c r="K733" s="296"/>
      <c r="L733" s="296"/>
      <c r="M733" s="299"/>
      <c r="N733" s="299"/>
      <c r="O733" s="299"/>
      <c r="P733" s="299"/>
      <c r="Q733" s="299"/>
      <c r="R733" s="299"/>
      <c r="S733" s="299"/>
      <c r="T733" s="299"/>
      <c r="U733" s="299"/>
      <c r="V733" s="299"/>
      <c r="W733" s="299"/>
      <c r="X733" s="299"/>
      <c r="Y733" s="299"/>
      <c r="Z733" s="299"/>
      <c r="AA733" s="299"/>
      <c r="AB733" s="299"/>
      <c r="AC733" s="300"/>
      <c r="AD733" s="300"/>
    </row>
    <row r="734" spans="1:30" ht="12.75" customHeight="1" x14ac:dyDescent="0.2">
      <c r="A734" s="296"/>
      <c r="B734" s="296"/>
      <c r="C734" s="296"/>
      <c r="D734" s="297"/>
      <c r="E734" s="298"/>
      <c r="F734" s="296"/>
      <c r="G734" s="296"/>
      <c r="H734" s="296"/>
      <c r="I734" s="296"/>
      <c r="J734" s="296"/>
      <c r="K734" s="296"/>
      <c r="L734" s="296"/>
      <c r="M734" s="299"/>
      <c r="N734" s="299"/>
      <c r="O734" s="299"/>
      <c r="P734" s="299"/>
      <c r="Q734" s="299"/>
      <c r="R734" s="299"/>
      <c r="S734" s="299"/>
      <c r="T734" s="299"/>
      <c r="U734" s="299"/>
      <c r="V734" s="299"/>
      <c r="W734" s="299"/>
      <c r="X734" s="299"/>
      <c r="Y734" s="299"/>
      <c r="Z734" s="299"/>
      <c r="AA734" s="299"/>
      <c r="AB734" s="299"/>
      <c r="AC734" s="300"/>
      <c r="AD734" s="300"/>
    </row>
    <row r="735" spans="1:30" ht="12.75" customHeight="1" x14ac:dyDescent="0.2">
      <c r="A735" s="296"/>
      <c r="B735" s="296"/>
      <c r="C735" s="296"/>
      <c r="D735" s="297"/>
      <c r="E735" s="298"/>
      <c r="F735" s="296"/>
      <c r="G735" s="296"/>
      <c r="H735" s="296"/>
      <c r="I735" s="296"/>
      <c r="J735" s="296"/>
      <c r="K735" s="296"/>
      <c r="L735" s="296"/>
      <c r="M735" s="299"/>
      <c r="N735" s="299"/>
      <c r="O735" s="299"/>
      <c r="P735" s="299"/>
      <c r="Q735" s="299"/>
      <c r="R735" s="299"/>
      <c r="S735" s="299"/>
      <c r="T735" s="299"/>
      <c r="U735" s="299"/>
      <c r="V735" s="299"/>
      <c r="W735" s="299"/>
      <c r="X735" s="299"/>
      <c r="Y735" s="299"/>
      <c r="Z735" s="299"/>
      <c r="AA735" s="299"/>
      <c r="AB735" s="299"/>
      <c r="AC735" s="300"/>
      <c r="AD735" s="300"/>
    </row>
    <row r="736" spans="1:30" ht="12.75" customHeight="1" x14ac:dyDescent="0.2">
      <c r="A736" s="296"/>
      <c r="B736" s="296"/>
      <c r="C736" s="296"/>
      <c r="D736" s="297"/>
      <c r="E736" s="298"/>
      <c r="F736" s="296"/>
      <c r="G736" s="296"/>
      <c r="H736" s="296"/>
      <c r="I736" s="296"/>
      <c r="J736" s="296"/>
      <c r="K736" s="296"/>
      <c r="L736" s="296"/>
      <c r="M736" s="299"/>
      <c r="N736" s="299"/>
      <c r="O736" s="299"/>
      <c r="P736" s="299"/>
      <c r="Q736" s="299"/>
      <c r="R736" s="299"/>
      <c r="S736" s="299"/>
      <c r="T736" s="299"/>
      <c r="U736" s="299"/>
      <c r="V736" s="299"/>
      <c r="W736" s="299"/>
      <c r="X736" s="299"/>
      <c r="Y736" s="299"/>
      <c r="Z736" s="299"/>
      <c r="AA736" s="299"/>
      <c r="AB736" s="299"/>
      <c r="AC736" s="300"/>
      <c r="AD736" s="300"/>
    </row>
    <row r="737" spans="1:30" ht="12.75" customHeight="1" x14ac:dyDescent="0.2">
      <c r="A737" s="296"/>
      <c r="B737" s="296"/>
      <c r="C737" s="296"/>
      <c r="D737" s="297"/>
      <c r="E737" s="298"/>
      <c r="F737" s="296"/>
      <c r="G737" s="296"/>
      <c r="H737" s="296"/>
      <c r="I737" s="296"/>
      <c r="J737" s="296"/>
      <c r="K737" s="296"/>
      <c r="L737" s="296"/>
      <c r="M737" s="299"/>
      <c r="N737" s="299"/>
      <c r="O737" s="299"/>
      <c r="P737" s="299"/>
      <c r="Q737" s="299"/>
      <c r="R737" s="299"/>
      <c r="S737" s="299"/>
      <c r="T737" s="299"/>
      <c r="U737" s="299"/>
      <c r="V737" s="299"/>
      <c r="W737" s="299"/>
      <c r="X737" s="299"/>
      <c r="Y737" s="299"/>
      <c r="Z737" s="299"/>
      <c r="AA737" s="299"/>
      <c r="AB737" s="299"/>
      <c r="AC737" s="300"/>
      <c r="AD737" s="300"/>
    </row>
    <row r="738" spans="1:30" ht="12.75" customHeight="1" x14ac:dyDescent="0.2">
      <c r="A738" s="296"/>
      <c r="B738" s="296"/>
      <c r="C738" s="296"/>
      <c r="D738" s="297"/>
      <c r="E738" s="298"/>
      <c r="F738" s="296"/>
      <c r="G738" s="296"/>
      <c r="H738" s="296"/>
      <c r="I738" s="296"/>
      <c r="J738" s="296"/>
      <c r="K738" s="296"/>
      <c r="L738" s="296"/>
      <c r="M738" s="299"/>
      <c r="N738" s="299"/>
      <c r="O738" s="299"/>
      <c r="P738" s="299"/>
      <c r="Q738" s="299"/>
      <c r="R738" s="299"/>
      <c r="S738" s="299"/>
      <c r="T738" s="299"/>
      <c r="U738" s="299"/>
      <c r="V738" s="299"/>
      <c r="W738" s="299"/>
      <c r="X738" s="299"/>
      <c r="Y738" s="299"/>
      <c r="Z738" s="299"/>
      <c r="AA738" s="299"/>
      <c r="AB738" s="299"/>
      <c r="AC738" s="300"/>
      <c r="AD738" s="300"/>
    </row>
    <row r="739" spans="1:30" ht="12.75" customHeight="1" x14ac:dyDescent="0.2">
      <c r="A739" s="296"/>
      <c r="B739" s="296"/>
      <c r="C739" s="296"/>
      <c r="D739" s="297"/>
      <c r="E739" s="298"/>
      <c r="F739" s="296"/>
      <c r="G739" s="296"/>
      <c r="H739" s="296"/>
      <c r="I739" s="296"/>
      <c r="J739" s="296"/>
      <c r="K739" s="296"/>
      <c r="L739" s="296"/>
      <c r="M739" s="299"/>
      <c r="N739" s="299"/>
      <c r="O739" s="299"/>
      <c r="P739" s="299"/>
      <c r="Q739" s="299"/>
      <c r="R739" s="299"/>
      <c r="S739" s="299"/>
      <c r="T739" s="299"/>
      <c r="U739" s="299"/>
      <c r="V739" s="299"/>
      <c r="W739" s="299"/>
      <c r="X739" s="299"/>
      <c r="Y739" s="299"/>
      <c r="Z739" s="299"/>
      <c r="AA739" s="299"/>
      <c r="AB739" s="299"/>
      <c r="AC739" s="300"/>
      <c r="AD739" s="300"/>
    </row>
    <row r="740" spans="1:30" ht="12.75" customHeight="1" x14ac:dyDescent="0.2">
      <c r="A740" s="296"/>
      <c r="B740" s="296"/>
      <c r="C740" s="296"/>
      <c r="D740" s="297"/>
      <c r="E740" s="298"/>
      <c r="F740" s="296"/>
      <c r="G740" s="296"/>
      <c r="H740" s="296"/>
      <c r="I740" s="296"/>
      <c r="J740" s="296"/>
      <c r="K740" s="296"/>
      <c r="L740" s="296"/>
      <c r="M740" s="299"/>
      <c r="N740" s="299"/>
      <c r="O740" s="299"/>
      <c r="P740" s="299"/>
      <c r="Q740" s="299"/>
      <c r="R740" s="299"/>
      <c r="S740" s="299"/>
      <c r="T740" s="299"/>
      <c r="U740" s="299"/>
      <c r="V740" s="299"/>
      <c r="W740" s="299"/>
      <c r="X740" s="299"/>
      <c r="Y740" s="299"/>
      <c r="Z740" s="299"/>
      <c r="AA740" s="299"/>
      <c r="AB740" s="299"/>
      <c r="AC740" s="300"/>
      <c r="AD740" s="300"/>
    </row>
    <row r="741" spans="1:30" ht="12.75" customHeight="1" x14ac:dyDescent="0.2">
      <c r="A741" s="296"/>
      <c r="B741" s="296"/>
      <c r="C741" s="296"/>
      <c r="D741" s="297"/>
      <c r="E741" s="298"/>
      <c r="F741" s="296"/>
      <c r="G741" s="296"/>
      <c r="H741" s="296"/>
      <c r="I741" s="296"/>
      <c r="J741" s="296"/>
      <c r="K741" s="296"/>
      <c r="L741" s="296"/>
      <c r="M741" s="299"/>
      <c r="N741" s="299"/>
      <c r="O741" s="299"/>
      <c r="P741" s="299"/>
      <c r="Q741" s="299"/>
      <c r="R741" s="299"/>
      <c r="S741" s="299"/>
      <c r="T741" s="299"/>
      <c r="U741" s="299"/>
      <c r="V741" s="299"/>
      <c r="W741" s="299"/>
      <c r="X741" s="299"/>
      <c r="Y741" s="299"/>
      <c r="Z741" s="299"/>
      <c r="AA741" s="299"/>
      <c r="AB741" s="299"/>
      <c r="AC741" s="300"/>
      <c r="AD741" s="300"/>
    </row>
    <row r="742" spans="1:30" ht="12.75" customHeight="1" x14ac:dyDescent="0.2">
      <c r="A742" s="296"/>
      <c r="B742" s="296"/>
      <c r="C742" s="296"/>
      <c r="D742" s="297"/>
      <c r="E742" s="298"/>
      <c r="F742" s="296"/>
      <c r="G742" s="296"/>
      <c r="H742" s="296"/>
      <c r="I742" s="296"/>
      <c r="J742" s="296"/>
      <c r="K742" s="296"/>
      <c r="L742" s="296"/>
      <c r="M742" s="299"/>
      <c r="N742" s="299"/>
      <c r="O742" s="299"/>
      <c r="P742" s="299"/>
      <c r="Q742" s="299"/>
      <c r="R742" s="299"/>
      <c r="S742" s="299"/>
      <c r="T742" s="299"/>
      <c r="U742" s="299"/>
      <c r="V742" s="299"/>
      <c r="W742" s="299"/>
      <c r="X742" s="299"/>
      <c r="Y742" s="299"/>
      <c r="Z742" s="299"/>
      <c r="AA742" s="299"/>
      <c r="AB742" s="299"/>
      <c r="AC742" s="300"/>
      <c r="AD742" s="300"/>
    </row>
    <row r="743" spans="1:30" ht="12.75" customHeight="1" x14ac:dyDescent="0.2">
      <c r="A743" s="296"/>
      <c r="B743" s="296"/>
      <c r="C743" s="296"/>
      <c r="D743" s="297"/>
      <c r="E743" s="298"/>
      <c r="F743" s="296"/>
      <c r="G743" s="296"/>
      <c r="H743" s="296"/>
      <c r="I743" s="296"/>
      <c r="J743" s="296"/>
      <c r="K743" s="296"/>
      <c r="L743" s="296"/>
      <c r="M743" s="299"/>
      <c r="N743" s="299"/>
      <c r="O743" s="299"/>
      <c r="P743" s="299"/>
      <c r="Q743" s="299"/>
      <c r="R743" s="299"/>
      <c r="S743" s="299"/>
      <c r="T743" s="299"/>
      <c r="U743" s="299"/>
      <c r="V743" s="299"/>
      <c r="W743" s="299"/>
      <c r="X743" s="299"/>
      <c r="Y743" s="299"/>
      <c r="Z743" s="299"/>
      <c r="AA743" s="299"/>
      <c r="AB743" s="299"/>
      <c r="AC743" s="300"/>
      <c r="AD743" s="300"/>
    </row>
    <row r="744" spans="1:30" ht="12.75" customHeight="1" x14ac:dyDescent="0.2">
      <c r="A744" s="296"/>
      <c r="B744" s="296"/>
      <c r="C744" s="296"/>
      <c r="D744" s="297"/>
      <c r="E744" s="298"/>
      <c r="F744" s="296"/>
      <c r="G744" s="296"/>
      <c r="H744" s="296"/>
      <c r="I744" s="296"/>
      <c r="J744" s="296"/>
      <c r="K744" s="296"/>
      <c r="L744" s="296"/>
      <c r="M744" s="299"/>
      <c r="N744" s="299"/>
      <c r="O744" s="299"/>
      <c r="P744" s="299"/>
      <c r="Q744" s="299"/>
      <c r="R744" s="299"/>
      <c r="S744" s="299"/>
      <c r="T744" s="299"/>
      <c r="U744" s="299"/>
      <c r="V744" s="299"/>
      <c r="W744" s="299"/>
      <c r="X744" s="299"/>
      <c r="Y744" s="299"/>
      <c r="Z744" s="299"/>
      <c r="AA744" s="299"/>
      <c r="AB744" s="299"/>
      <c r="AC744" s="300"/>
      <c r="AD744" s="300"/>
    </row>
    <row r="745" spans="1:30" ht="12.75" customHeight="1" x14ac:dyDescent="0.2">
      <c r="A745" s="296"/>
      <c r="B745" s="296"/>
      <c r="C745" s="296"/>
      <c r="D745" s="297"/>
      <c r="E745" s="298"/>
      <c r="F745" s="296"/>
      <c r="G745" s="296"/>
      <c r="H745" s="296"/>
      <c r="I745" s="296"/>
      <c r="J745" s="296"/>
      <c r="K745" s="296"/>
      <c r="L745" s="296"/>
      <c r="M745" s="299"/>
      <c r="N745" s="299"/>
      <c r="O745" s="299"/>
      <c r="P745" s="299"/>
      <c r="Q745" s="299"/>
      <c r="R745" s="299"/>
      <c r="S745" s="299"/>
      <c r="T745" s="299"/>
      <c r="U745" s="299"/>
      <c r="V745" s="299"/>
      <c r="W745" s="299"/>
      <c r="X745" s="299"/>
      <c r="Y745" s="299"/>
      <c r="Z745" s="299"/>
      <c r="AA745" s="299"/>
      <c r="AB745" s="299"/>
      <c r="AC745" s="300"/>
      <c r="AD745" s="300"/>
    </row>
    <row r="746" spans="1:30" ht="12.75" customHeight="1" x14ac:dyDescent="0.2">
      <c r="A746" s="296"/>
      <c r="B746" s="296"/>
      <c r="C746" s="296"/>
      <c r="D746" s="297"/>
      <c r="E746" s="298"/>
      <c r="F746" s="296"/>
      <c r="G746" s="296"/>
      <c r="H746" s="296"/>
      <c r="I746" s="296"/>
      <c r="J746" s="296"/>
      <c r="K746" s="296"/>
      <c r="L746" s="296"/>
      <c r="M746" s="299"/>
      <c r="N746" s="299"/>
      <c r="O746" s="299"/>
      <c r="P746" s="299"/>
      <c r="Q746" s="299"/>
      <c r="R746" s="299"/>
      <c r="S746" s="299"/>
      <c r="T746" s="299"/>
      <c r="U746" s="299"/>
      <c r="V746" s="299"/>
      <c r="W746" s="299"/>
      <c r="X746" s="299"/>
      <c r="Y746" s="299"/>
      <c r="Z746" s="299"/>
      <c r="AA746" s="299"/>
      <c r="AB746" s="299"/>
      <c r="AC746" s="300"/>
      <c r="AD746" s="300"/>
    </row>
    <row r="747" spans="1:30" ht="12.75" customHeight="1" x14ac:dyDescent="0.2">
      <c r="A747" s="296"/>
      <c r="B747" s="296"/>
      <c r="C747" s="296"/>
      <c r="D747" s="297"/>
      <c r="E747" s="298"/>
      <c r="F747" s="296"/>
      <c r="G747" s="296"/>
      <c r="H747" s="296"/>
      <c r="I747" s="296"/>
      <c r="J747" s="296"/>
      <c r="K747" s="296"/>
      <c r="L747" s="296"/>
      <c r="M747" s="299"/>
      <c r="N747" s="299"/>
      <c r="O747" s="299"/>
      <c r="P747" s="299"/>
      <c r="Q747" s="299"/>
      <c r="R747" s="299"/>
      <c r="S747" s="299"/>
      <c r="T747" s="299"/>
      <c r="U747" s="299"/>
      <c r="V747" s="299"/>
      <c r="W747" s="299"/>
      <c r="X747" s="299"/>
      <c r="Y747" s="299"/>
      <c r="Z747" s="299"/>
      <c r="AA747" s="299"/>
      <c r="AB747" s="299"/>
      <c r="AC747" s="300"/>
      <c r="AD747" s="300"/>
    </row>
    <row r="748" spans="1:30" ht="12.75" customHeight="1" x14ac:dyDescent="0.2">
      <c r="A748" s="296"/>
      <c r="B748" s="296"/>
      <c r="C748" s="296"/>
      <c r="D748" s="297"/>
      <c r="E748" s="298"/>
      <c r="F748" s="296"/>
      <c r="G748" s="296"/>
      <c r="H748" s="296"/>
      <c r="I748" s="296"/>
      <c r="J748" s="296"/>
      <c r="K748" s="296"/>
      <c r="L748" s="296"/>
      <c r="M748" s="299"/>
      <c r="N748" s="299"/>
      <c r="O748" s="299"/>
      <c r="P748" s="299"/>
      <c r="Q748" s="299"/>
      <c r="R748" s="299"/>
      <c r="S748" s="299"/>
      <c r="T748" s="299"/>
      <c r="U748" s="299"/>
      <c r="V748" s="299"/>
      <c r="W748" s="299"/>
      <c r="X748" s="299"/>
      <c r="Y748" s="299"/>
      <c r="Z748" s="299"/>
      <c r="AA748" s="299"/>
      <c r="AB748" s="299"/>
      <c r="AC748" s="300"/>
      <c r="AD748" s="300"/>
    </row>
    <row r="749" spans="1:30" ht="12.75" customHeight="1" x14ac:dyDescent="0.2">
      <c r="A749" s="296"/>
      <c r="B749" s="296"/>
      <c r="C749" s="296"/>
      <c r="D749" s="297"/>
      <c r="E749" s="298"/>
      <c r="F749" s="296"/>
      <c r="G749" s="296"/>
      <c r="H749" s="296"/>
      <c r="I749" s="296"/>
      <c r="J749" s="296"/>
      <c r="K749" s="296"/>
      <c r="L749" s="296"/>
      <c r="M749" s="299"/>
      <c r="N749" s="299"/>
      <c r="O749" s="299"/>
      <c r="P749" s="299"/>
      <c r="Q749" s="299"/>
      <c r="R749" s="299"/>
      <c r="S749" s="299"/>
      <c r="T749" s="299"/>
      <c r="U749" s="299"/>
      <c r="V749" s="299"/>
      <c r="W749" s="299"/>
      <c r="X749" s="299"/>
      <c r="Y749" s="299"/>
      <c r="Z749" s="299"/>
      <c r="AA749" s="299"/>
      <c r="AB749" s="299"/>
      <c r="AC749" s="300"/>
      <c r="AD749" s="300"/>
    </row>
    <row r="750" spans="1:30" ht="12.75" customHeight="1" x14ac:dyDescent="0.2">
      <c r="A750" s="296"/>
      <c r="B750" s="296"/>
      <c r="C750" s="296"/>
      <c r="D750" s="297"/>
      <c r="E750" s="298"/>
      <c r="F750" s="296"/>
      <c r="G750" s="296"/>
      <c r="H750" s="296"/>
      <c r="I750" s="296"/>
      <c r="J750" s="296"/>
      <c r="K750" s="296"/>
      <c r="L750" s="296"/>
      <c r="M750" s="299"/>
      <c r="N750" s="299"/>
      <c r="O750" s="299"/>
      <c r="P750" s="299"/>
      <c r="Q750" s="299"/>
      <c r="R750" s="299"/>
      <c r="S750" s="299"/>
      <c r="T750" s="299"/>
      <c r="U750" s="299"/>
      <c r="V750" s="299"/>
      <c r="W750" s="299"/>
      <c r="X750" s="299"/>
      <c r="Y750" s="299"/>
      <c r="Z750" s="299"/>
      <c r="AA750" s="299"/>
      <c r="AB750" s="299"/>
      <c r="AC750" s="300"/>
      <c r="AD750" s="300"/>
    </row>
    <row r="751" spans="1:30" ht="12.75" customHeight="1" x14ac:dyDescent="0.2">
      <c r="A751" s="296"/>
      <c r="B751" s="296"/>
      <c r="C751" s="296"/>
      <c r="D751" s="297"/>
      <c r="E751" s="298"/>
      <c r="F751" s="296"/>
      <c r="G751" s="296"/>
      <c r="H751" s="296"/>
      <c r="I751" s="296"/>
      <c r="J751" s="296"/>
      <c r="K751" s="296"/>
      <c r="L751" s="296"/>
      <c r="M751" s="299"/>
      <c r="N751" s="299"/>
      <c r="O751" s="299"/>
      <c r="P751" s="299"/>
      <c r="Q751" s="299"/>
      <c r="R751" s="299"/>
      <c r="S751" s="299"/>
      <c r="T751" s="299"/>
      <c r="U751" s="299"/>
      <c r="V751" s="299"/>
      <c r="W751" s="299"/>
      <c r="X751" s="299"/>
      <c r="Y751" s="299"/>
      <c r="Z751" s="299"/>
      <c r="AA751" s="299"/>
      <c r="AB751" s="299"/>
      <c r="AC751" s="300"/>
      <c r="AD751" s="300"/>
    </row>
    <row r="752" spans="1:30" ht="12.75" customHeight="1" x14ac:dyDescent="0.2">
      <c r="A752" s="296"/>
      <c r="B752" s="296"/>
      <c r="C752" s="296"/>
      <c r="D752" s="297"/>
      <c r="E752" s="298"/>
      <c r="F752" s="296"/>
      <c r="G752" s="296"/>
      <c r="H752" s="296"/>
      <c r="I752" s="296"/>
      <c r="J752" s="296"/>
      <c r="K752" s="296"/>
      <c r="L752" s="296"/>
      <c r="M752" s="299"/>
      <c r="N752" s="299"/>
      <c r="O752" s="299"/>
      <c r="P752" s="299"/>
      <c r="Q752" s="299"/>
      <c r="R752" s="299"/>
      <c r="S752" s="299"/>
      <c r="T752" s="299"/>
      <c r="U752" s="299"/>
      <c r="V752" s="299"/>
      <c r="W752" s="299"/>
      <c r="X752" s="299"/>
      <c r="Y752" s="299"/>
      <c r="Z752" s="299"/>
      <c r="AA752" s="299"/>
      <c r="AB752" s="299"/>
      <c r="AC752" s="300"/>
      <c r="AD752" s="300"/>
    </row>
    <row r="753" spans="1:30" ht="12.75" customHeight="1" x14ac:dyDescent="0.2">
      <c r="A753" s="296"/>
      <c r="B753" s="296"/>
      <c r="C753" s="296"/>
      <c r="D753" s="297"/>
      <c r="E753" s="298"/>
      <c r="F753" s="296"/>
      <c r="G753" s="296"/>
      <c r="H753" s="296"/>
      <c r="I753" s="296"/>
      <c r="J753" s="296"/>
      <c r="K753" s="296"/>
      <c r="L753" s="296"/>
      <c r="M753" s="299"/>
      <c r="N753" s="299"/>
      <c r="O753" s="299"/>
      <c r="P753" s="299"/>
      <c r="Q753" s="299"/>
      <c r="R753" s="299"/>
      <c r="S753" s="299"/>
      <c r="T753" s="299"/>
      <c r="U753" s="299"/>
      <c r="V753" s="299"/>
      <c r="W753" s="299"/>
      <c r="X753" s="299"/>
      <c r="Y753" s="299"/>
      <c r="Z753" s="299"/>
      <c r="AA753" s="299"/>
      <c r="AB753" s="299"/>
      <c r="AC753" s="300"/>
      <c r="AD753" s="300"/>
    </row>
    <row r="754" spans="1:30" ht="12.75" customHeight="1" x14ac:dyDescent="0.2">
      <c r="A754" s="296"/>
      <c r="B754" s="296"/>
      <c r="C754" s="296"/>
      <c r="D754" s="297"/>
      <c r="E754" s="298"/>
      <c r="F754" s="296"/>
      <c r="G754" s="296"/>
      <c r="H754" s="296"/>
      <c r="I754" s="296"/>
      <c r="J754" s="296"/>
      <c r="K754" s="296"/>
      <c r="L754" s="296"/>
      <c r="M754" s="299"/>
      <c r="N754" s="299"/>
      <c r="O754" s="299"/>
      <c r="P754" s="299"/>
      <c r="Q754" s="299"/>
      <c r="R754" s="299"/>
      <c r="S754" s="299"/>
      <c r="T754" s="299"/>
      <c r="U754" s="299"/>
      <c r="V754" s="299"/>
      <c r="W754" s="299"/>
      <c r="X754" s="299"/>
      <c r="Y754" s="299"/>
      <c r="Z754" s="299"/>
      <c r="AA754" s="299"/>
      <c r="AB754" s="299"/>
      <c r="AC754" s="300"/>
      <c r="AD754" s="300"/>
    </row>
    <row r="755" spans="1:30" ht="12.75" customHeight="1" x14ac:dyDescent="0.2">
      <c r="A755" s="296"/>
      <c r="B755" s="296"/>
      <c r="C755" s="296"/>
      <c r="D755" s="297"/>
      <c r="E755" s="298"/>
      <c r="F755" s="296"/>
      <c r="G755" s="296"/>
      <c r="H755" s="296"/>
      <c r="I755" s="296"/>
      <c r="J755" s="296"/>
      <c r="K755" s="296"/>
      <c r="L755" s="296"/>
      <c r="M755" s="299"/>
      <c r="N755" s="299"/>
      <c r="O755" s="299"/>
      <c r="P755" s="299"/>
      <c r="Q755" s="299"/>
      <c r="R755" s="299"/>
      <c r="S755" s="299"/>
      <c r="T755" s="299"/>
      <c r="U755" s="299"/>
      <c r="V755" s="299"/>
      <c r="W755" s="299"/>
      <c r="X755" s="299"/>
      <c r="Y755" s="299"/>
      <c r="Z755" s="299"/>
      <c r="AA755" s="299"/>
      <c r="AB755" s="299"/>
      <c r="AC755" s="300"/>
      <c r="AD755" s="300"/>
    </row>
    <row r="756" spans="1:30" ht="12.75" customHeight="1" x14ac:dyDescent="0.2">
      <c r="A756" s="296"/>
      <c r="B756" s="296"/>
      <c r="C756" s="296"/>
      <c r="D756" s="297"/>
      <c r="E756" s="298"/>
      <c r="F756" s="296"/>
      <c r="G756" s="296"/>
      <c r="H756" s="296"/>
      <c r="I756" s="296"/>
      <c r="J756" s="296"/>
      <c r="K756" s="296"/>
      <c r="L756" s="296"/>
      <c r="M756" s="299"/>
      <c r="N756" s="299"/>
      <c r="O756" s="299"/>
      <c r="P756" s="299"/>
      <c r="Q756" s="299"/>
      <c r="R756" s="299"/>
      <c r="S756" s="299"/>
      <c r="T756" s="299"/>
      <c r="U756" s="299"/>
      <c r="V756" s="299"/>
      <c r="W756" s="299"/>
      <c r="X756" s="299"/>
      <c r="Y756" s="299"/>
      <c r="Z756" s="299"/>
      <c r="AA756" s="299"/>
      <c r="AB756" s="299"/>
      <c r="AC756" s="300"/>
      <c r="AD756" s="300"/>
    </row>
    <row r="757" spans="1:30" ht="12.75" customHeight="1" x14ac:dyDescent="0.2">
      <c r="A757" s="296"/>
      <c r="B757" s="296"/>
      <c r="C757" s="296"/>
      <c r="D757" s="297"/>
      <c r="E757" s="298"/>
      <c r="F757" s="296"/>
      <c r="G757" s="296"/>
      <c r="H757" s="296"/>
      <c r="I757" s="296"/>
      <c r="J757" s="296"/>
      <c r="K757" s="296"/>
      <c r="L757" s="296"/>
      <c r="M757" s="299"/>
      <c r="N757" s="299"/>
      <c r="O757" s="299"/>
      <c r="P757" s="299"/>
      <c r="Q757" s="299"/>
      <c r="R757" s="299"/>
      <c r="S757" s="299"/>
      <c r="T757" s="299"/>
      <c r="U757" s="299"/>
      <c r="V757" s="299"/>
      <c r="W757" s="299"/>
      <c r="X757" s="299"/>
      <c r="Y757" s="299"/>
      <c r="Z757" s="299"/>
      <c r="AA757" s="299"/>
      <c r="AB757" s="299"/>
      <c r="AC757" s="300"/>
      <c r="AD757" s="300"/>
    </row>
    <row r="758" spans="1:30" ht="12.75" customHeight="1" x14ac:dyDescent="0.2">
      <c r="A758" s="296"/>
      <c r="B758" s="296"/>
      <c r="C758" s="296"/>
      <c r="D758" s="297"/>
      <c r="E758" s="298"/>
      <c r="F758" s="296"/>
      <c r="G758" s="296"/>
      <c r="H758" s="296"/>
      <c r="I758" s="296"/>
      <c r="J758" s="296"/>
      <c r="K758" s="296"/>
      <c r="L758" s="296"/>
      <c r="M758" s="299"/>
      <c r="N758" s="299"/>
      <c r="O758" s="299"/>
      <c r="P758" s="299"/>
      <c r="Q758" s="299"/>
      <c r="R758" s="299"/>
      <c r="S758" s="299"/>
      <c r="T758" s="299"/>
      <c r="U758" s="299"/>
      <c r="V758" s="299"/>
      <c r="W758" s="299"/>
      <c r="X758" s="299"/>
      <c r="Y758" s="299"/>
      <c r="Z758" s="299"/>
      <c r="AA758" s="299"/>
      <c r="AB758" s="299"/>
      <c r="AC758" s="300"/>
      <c r="AD758" s="300"/>
    </row>
    <row r="759" spans="1:30" ht="12.75" customHeight="1" x14ac:dyDescent="0.2">
      <c r="A759" s="296"/>
      <c r="B759" s="296"/>
      <c r="C759" s="296"/>
      <c r="D759" s="297"/>
      <c r="E759" s="298"/>
      <c r="F759" s="296"/>
      <c r="G759" s="296"/>
      <c r="H759" s="296"/>
      <c r="I759" s="296"/>
      <c r="J759" s="296"/>
      <c r="K759" s="296"/>
      <c r="L759" s="296"/>
      <c r="M759" s="299"/>
      <c r="N759" s="299"/>
      <c r="O759" s="299"/>
      <c r="P759" s="299"/>
      <c r="Q759" s="299"/>
      <c r="R759" s="299"/>
      <c r="S759" s="299"/>
      <c r="T759" s="299"/>
      <c r="U759" s="299"/>
      <c r="V759" s="299"/>
      <c r="W759" s="299"/>
      <c r="X759" s="299"/>
      <c r="Y759" s="299"/>
      <c r="Z759" s="299"/>
      <c r="AA759" s="299"/>
      <c r="AB759" s="299"/>
      <c r="AC759" s="300"/>
      <c r="AD759" s="300"/>
    </row>
    <row r="760" spans="1:30" ht="12.75" customHeight="1" x14ac:dyDescent="0.2">
      <c r="A760" s="296"/>
      <c r="B760" s="296"/>
      <c r="C760" s="296"/>
      <c r="D760" s="297"/>
      <c r="E760" s="298"/>
      <c r="F760" s="296"/>
      <c r="G760" s="296"/>
      <c r="H760" s="296"/>
      <c r="I760" s="296"/>
      <c r="J760" s="296"/>
      <c r="K760" s="296"/>
      <c r="L760" s="296"/>
      <c r="M760" s="299"/>
      <c r="N760" s="299"/>
      <c r="O760" s="299"/>
      <c r="P760" s="299"/>
      <c r="Q760" s="299"/>
      <c r="R760" s="299"/>
      <c r="S760" s="299"/>
      <c r="T760" s="299"/>
      <c r="U760" s="299"/>
      <c r="V760" s="299"/>
      <c r="W760" s="299"/>
      <c r="X760" s="299"/>
      <c r="Y760" s="299"/>
      <c r="Z760" s="299"/>
      <c r="AA760" s="299"/>
      <c r="AB760" s="299"/>
      <c r="AC760" s="300"/>
      <c r="AD760" s="300"/>
    </row>
    <row r="761" spans="1:30" ht="12.75" customHeight="1" x14ac:dyDescent="0.2">
      <c r="A761" s="296"/>
      <c r="B761" s="296"/>
      <c r="C761" s="296"/>
      <c r="D761" s="297"/>
      <c r="E761" s="298"/>
      <c r="F761" s="296"/>
      <c r="G761" s="296"/>
      <c r="H761" s="296"/>
      <c r="I761" s="296"/>
      <c r="J761" s="296"/>
      <c r="K761" s="296"/>
      <c r="L761" s="296"/>
      <c r="M761" s="299"/>
      <c r="N761" s="299"/>
      <c r="O761" s="299"/>
      <c r="P761" s="299"/>
      <c r="Q761" s="299"/>
      <c r="R761" s="299"/>
      <c r="S761" s="299"/>
      <c r="T761" s="299"/>
      <c r="U761" s="299"/>
      <c r="V761" s="299"/>
      <c r="W761" s="299"/>
      <c r="X761" s="299"/>
      <c r="Y761" s="299"/>
      <c r="Z761" s="299"/>
      <c r="AA761" s="299"/>
      <c r="AB761" s="299"/>
      <c r="AC761" s="300"/>
      <c r="AD761" s="300"/>
    </row>
    <row r="762" spans="1:30" ht="12.75" customHeight="1" x14ac:dyDescent="0.2">
      <c r="A762" s="296"/>
      <c r="B762" s="296"/>
      <c r="C762" s="296"/>
      <c r="D762" s="297"/>
      <c r="E762" s="298"/>
      <c r="F762" s="296"/>
      <c r="G762" s="296"/>
      <c r="H762" s="296"/>
      <c r="I762" s="296"/>
      <c r="J762" s="296"/>
      <c r="K762" s="296"/>
      <c r="L762" s="296"/>
      <c r="M762" s="299"/>
      <c r="N762" s="299"/>
      <c r="O762" s="299"/>
      <c r="P762" s="299"/>
      <c r="Q762" s="299"/>
      <c r="R762" s="299"/>
      <c r="S762" s="299"/>
      <c r="T762" s="299"/>
      <c r="U762" s="299"/>
      <c r="V762" s="299"/>
      <c r="W762" s="299"/>
      <c r="X762" s="299"/>
      <c r="Y762" s="299"/>
      <c r="Z762" s="299"/>
      <c r="AA762" s="299"/>
      <c r="AB762" s="299"/>
      <c r="AC762" s="300"/>
      <c r="AD762" s="300"/>
    </row>
    <row r="763" spans="1:30" ht="12.75" customHeight="1" x14ac:dyDescent="0.2">
      <c r="A763" s="296"/>
      <c r="B763" s="296"/>
      <c r="C763" s="296"/>
      <c r="D763" s="297"/>
      <c r="E763" s="298"/>
      <c r="F763" s="296"/>
      <c r="G763" s="296"/>
      <c r="H763" s="296"/>
      <c r="I763" s="296"/>
      <c r="J763" s="296"/>
      <c r="K763" s="296"/>
      <c r="L763" s="296"/>
      <c r="M763" s="299"/>
      <c r="N763" s="299"/>
      <c r="O763" s="299"/>
      <c r="P763" s="299"/>
      <c r="Q763" s="299"/>
      <c r="R763" s="299"/>
      <c r="S763" s="299"/>
      <c r="T763" s="299"/>
      <c r="U763" s="299"/>
      <c r="V763" s="299"/>
      <c r="W763" s="299"/>
      <c r="X763" s="299"/>
      <c r="Y763" s="299"/>
      <c r="Z763" s="299"/>
      <c r="AA763" s="299"/>
      <c r="AB763" s="299"/>
      <c r="AC763" s="300"/>
      <c r="AD763" s="300"/>
    </row>
    <row r="764" spans="1:30" ht="12.75" customHeight="1" x14ac:dyDescent="0.2">
      <c r="A764" s="296"/>
      <c r="B764" s="296"/>
      <c r="C764" s="296"/>
      <c r="D764" s="297"/>
      <c r="E764" s="298"/>
      <c r="F764" s="296"/>
      <c r="G764" s="296"/>
      <c r="H764" s="296"/>
      <c r="I764" s="296"/>
      <c r="J764" s="296"/>
      <c r="K764" s="296"/>
      <c r="L764" s="296"/>
      <c r="M764" s="299"/>
      <c r="N764" s="299"/>
      <c r="O764" s="299"/>
      <c r="P764" s="299"/>
      <c r="Q764" s="299"/>
      <c r="R764" s="299"/>
      <c r="S764" s="299"/>
      <c r="T764" s="299"/>
      <c r="U764" s="299"/>
      <c r="V764" s="299"/>
      <c r="W764" s="299"/>
      <c r="X764" s="299"/>
      <c r="Y764" s="299"/>
      <c r="Z764" s="299"/>
      <c r="AA764" s="299"/>
      <c r="AB764" s="299"/>
      <c r="AC764" s="300"/>
      <c r="AD764" s="300"/>
    </row>
    <row r="765" spans="1:30" ht="12.75" customHeight="1" x14ac:dyDescent="0.2">
      <c r="A765" s="296"/>
      <c r="B765" s="296"/>
      <c r="C765" s="296"/>
      <c r="D765" s="297"/>
      <c r="E765" s="298"/>
      <c r="F765" s="296"/>
      <c r="G765" s="296"/>
      <c r="H765" s="296"/>
      <c r="I765" s="296"/>
      <c r="J765" s="296"/>
      <c r="K765" s="296"/>
      <c r="L765" s="296"/>
      <c r="M765" s="299"/>
      <c r="N765" s="299"/>
      <c r="O765" s="299"/>
      <c r="P765" s="299"/>
      <c r="Q765" s="299"/>
      <c r="R765" s="299"/>
      <c r="S765" s="299"/>
      <c r="T765" s="299"/>
      <c r="U765" s="299"/>
      <c r="V765" s="299"/>
      <c r="W765" s="299"/>
      <c r="X765" s="299"/>
      <c r="Y765" s="299"/>
      <c r="Z765" s="299"/>
      <c r="AA765" s="299"/>
      <c r="AB765" s="299"/>
      <c r="AC765" s="300"/>
      <c r="AD765" s="300"/>
    </row>
    <row r="766" spans="1:30" ht="12.75" customHeight="1" x14ac:dyDescent="0.2">
      <c r="A766" s="296"/>
      <c r="B766" s="296"/>
      <c r="C766" s="296"/>
      <c r="D766" s="297"/>
      <c r="E766" s="298"/>
      <c r="F766" s="296"/>
      <c r="G766" s="296"/>
      <c r="H766" s="296"/>
      <c r="I766" s="296"/>
      <c r="J766" s="296"/>
      <c r="K766" s="296"/>
      <c r="L766" s="296"/>
      <c r="M766" s="299"/>
      <c r="N766" s="299"/>
      <c r="O766" s="299"/>
      <c r="P766" s="299"/>
      <c r="Q766" s="299"/>
      <c r="R766" s="299"/>
      <c r="S766" s="299"/>
      <c r="T766" s="299"/>
      <c r="U766" s="299"/>
      <c r="V766" s="299"/>
      <c r="W766" s="299"/>
      <c r="X766" s="299"/>
      <c r="Y766" s="299"/>
      <c r="Z766" s="299"/>
      <c r="AA766" s="299"/>
      <c r="AB766" s="299"/>
      <c r="AC766" s="300"/>
      <c r="AD766" s="300"/>
    </row>
    <row r="767" spans="1:30" ht="12.75" customHeight="1" x14ac:dyDescent="0.2">
      <c r="A767" s="296"/>
      <c r="B767" s="296"/>
      <c r="C767" s="296"/>
      <c r="D767" s="297"/>
      <c r="E767" s="298"/>
      <c r="F767" s="296"/>
      <c r="G767" s="296"/>
      <c r="H767" s="296"/>
      <c r="I767" s="296"/>
      <c r="J767" s="296"/>
      <c r="K767" s="296"/>
      <c r="L767" s="296"/>
      <c r="M767" s="299"/>
      <c r="N767" s="299"/>
      <c r="O767" s="299"/>
      <c r="P767" s="299"/>
      <c r="Q767" s="299"/>
      <c r="R767" s="299"/>
      <c r="S767" s="299"/>
      <c r="T767" s="299"/>
      <c r="U767" s="299"/>
      <c r="V767" s="299"/>
      <c r="W767" s="299"/>
      <c r="X767" s="299"/>
      <c r="Y767" s="299"/>
      <c r="Z767" s="299"/>
      <c r="AA767" s="299"/>
      <c r="AB767" s="299"/>
      <c r="AC767" s="300"/>
      <c r="AD767" s="300"/>
    </row>
    <row r="768" spans="1:30" ht="12.75" customHeight="1" x14ac:dyDescent="0.2">
      <c r="A768" s="296"/>
      <c r="B768" s="296"/>
      <c r="C768" s="296"/>
      <c r="D768" s="297"/>
      <c r="E768" s="298"/>
      <c r="F768" s="296"/>
      <c r="G768" s="296"/>
      <c r="H768" s="296"/>
      <c r="I768" s="296"/>
      <c r="J768" s="296"/>
      <c r="K768" s="296"/>
      <c r="L768" s="296"/>
      <c r="M768" s="299"/>
      <c r="N768" s="299"/>
      <c r="O768" s="299"/>
      <c r="P768" s="299"/>
      <c r="Q768" s="299"/>
      <c r="R768" s="299"/>
      <c r="S768" s="299"/>
      <c r="T768" s="299"/>
      <c r="U768" s="299"/>
      <c r="V768" s="299"/>
      <c r="W768" s="299"/>
      <c r="X768" s="299"/>
      <c r="Y768" s="299"/>
      <c r="Z768" s="299"/>
      <c r="AA768" s="299"/>
      <c r="AB768" s="299"/>
      <c r="AC768" s="300"/>
      <c r="AD768" s="300"/>
    </row>
    <row r="769" spans="1:30" ht="12.75" customHeight="1" x14ac:dyDescent="0.2">
      <c r="A769" s="296"/>
      <c r="B769" s="296"/>
      <c r="C769" s="296"/>
      <c r="D769" s="297"/>
      <c r="E769" s="298"/>
      <c r="F769" s="296"/>
      <c r="G769" s="296"/>
      <c r="H769" s="296"/>
      <c r="I769" s="296"/>
      <c r="J769" s="296"/>
      <c r="K769" s="296"/>
      <c r="L769" s="296"/>
      <c r="M769" s="299"/>
      <c r="N769" s="299"/>
      <c r="O769" s="299"/>
      <c r="P769" s="299"/>
      <c r="Q769" s="299"/>
      <c r="R769" s="299"/>
      <c r="S769" s="299"/>
      <c r="T769" s="299"/>
      <c r="U769" s="299"/>
      <c r="V769" s="299"/>
      <c r="W769" s="299"/>
      <c r="X769" s="299"/>
      <c r="Y769" s="299"/>
      <c r="Z769" s="299"/>
      <c r="AA769" s="299"/>
      <c r="AB769" s="299"/>
      <c r="AC769" s="300"/>
      <c r="AD769" s="300"/>
    </row>
    <row r="770" spans="1:30" ht="12.75" customHeight="1" x14ac:dyDescent="0.2">
      <c r="A770" s="296"/>
      <c r="B770" s="296"/>
      <c r="C770" s="296"/>
      <c r="D770" s="297"/>
      <c r="E770" s="298"/>
      <c r="F770" s="296"/>
      <c r="G770" s="296"/>
      <c r="H770" s="296"/>
      <c r="I770" s="296"/>
      <c r="J770" s="296"/>
      <c r="K770" s="296"/>
      <c r="L770" s="296"/>
      <c r="M770" s="299"/>
      <c r="N770" s="299"/>
      <c r="O770" s="299"/>
      <c r="P770" s="299"/>
      <c r="Q770" s="299"/>
      <c r="R770" s="299"/>
      <c r="S770" s="299"/>
      <c r="T770" s="299"/>
      <c r="U770" s="299"/>
      <c r="V770" s="299"/>
      <c r="W770" s="299"/>
      <c r="X770" s="299"/>
      <c r="Y770" s="299"/>
      <c r="Z770" s="299"/>
      <c r="AA770" s="299"/>
      <c r="AB770" s="299"/>
      <c r="AC770" s="300"/>
      <c r="AD770" s="300"/>
    </row>
    <row r="771" spans="1:30" ht="12.75" customHeight="1" x14ac:dyDescent="0.2">
      <c r="A771" s="296"/>
      <c r="B771" s="296"/>
      <c r="C771" s="296"/>
      <c r="D771" s="297"/>
      <c r="E771" s="298"/>
      <c r="F771" s="296"/>
      <c r="G771" s="296"/>
      <c r="H771" s="296"/>
      <c r="I771" s="296"/>
      <c r="J771" s="296"/>
      <c r="K771" s="296"/>
      <c r="L771" s="296"/>
      <c r="M771" s="299"/>
      <c r="N771" s="299"/>
      <c r="O771" s="299"/>
      <c r="P771" s="299"/>
      <c r="Q771" s="299"/>
      <c r="R771" s="299"/>
      <c r="S771" s="299"/>
      <c r="T771" s="299"/>
      <c r="U771" s="299"/>
      <c r="V771" s="299"/>
      <c r="W771" s="299"/>
      <c r="X771" s="299"/>
      <c r="Y771" s="299"/>
      <c r="Z771" s="299"/>
      <c r="AA771" s="299"/>
      <c r="AB771" s="299"/>
      <c r="AC771" s="300"/>
      <c r="AD771" s="300"/>
    </row>
    <row r="772" spans="1:30" ht="12.75" customHeight="1" x14ac:dyDescent="0.2">
      <c r="A772" s="296"/>
      <c r="B772" s="296"/>
      <c r="C772" s="296"/>
      <c r="D772" s="297"/>
      <c r="E772" s="298"/>
      <c r="F772" s="296"/>
      <c r="G772" s="296"/>
      <c r="H772" s="296"/>
      <c r="I772" s="296"/>
      <c r="J772" s="296"/>
      <c r="K772" s="296"/>
      <c r="L772" s="296"/>
      <c r="M772" s="299"/>
      <c r="N772" s="299"/>
      <c r="O772" s="299"/>
      <c r="P772" s="299"/>
      <c r="Q772" s="299"/>
      <c r="R772" s="299"/>
      <c r="S772" s="299"/>
      <c r="T772" s="299"/>
      <c r="U772" s="299"/>
      <c r="V772" s="299"/>
      <c r="W772" s="299"/>
      <c r="X772" s="299"/>
      <c r="Y772" s="299"/>
      <c r="Z772" s="299"/>
      <c r="AA772" s="299"/>
      <c r="AB772" s="299"/>
      <c r="AC772" s="300"/>
      <c r="AD772" s="300"/>
    </row>
    <row r="773" spans="1:30" ht="12.75" customHeight="1" x14ac:dyDescent="0.2">
      <c r="A773" s="296"/>
      <c r="B773" s="296"/>
      <c r="C773" s="296"/>
      <c r="D773" s="297"/>
      <c r="E773" s="298"/>
      <c r="F773" s="296"/>
      <c r="G773" s="296"/>
      <c r="H773" s="296"/>
      <c r="I773" s="296"/>
      <c r="J773" s="296"/>
      <c r="K773" s="296"/>
      <c r="L773" s="296"/>
      <c r="M773" s="299"/>
      <c r="N773" s="299"/>
      <c r="O773" s="299"/>
      <c r="P773" s="299"/>
      <c r="Q773" s="299"/>
      <c r="R773" s="299"/>
      <c r="S773" s="299"/>
      <c r="T773" s="299"/>
      <c r="U773" s="299"/>
      <c r="V773" s="299"/>
      <c r="W773" s="299"/>
      <c r="X773" s="299"/>
      <c r="Y773" s="299"/>
      <c r="Z773" s="299"/>
      <c r="AA773" s="299"/>
      <c r="AB773" s="299"/>
      <c r="AC773" s="300"/>
      <c r="AD773" s="300"/>
    </row>
    <row r="774" spans="1:30" ht="12.75" customHeight="1" x14ac:dyDescent="0.2">
      <c r="A774" s="296"/>
      <c r="B774" s="296"/>
      <c r="C774" s="296"/>
      <c r="D774" s="297"/>
      <c r="E774" s="298"/>
      <c r="F774" s="296"/>
      <c r="G774" s="296"/>
      <c r="H774" s="296"/>
      <c r="I774" s="296"/>
      <c r="J774" s="296"/>
      <c r="K774" s="296"/>
      <c r="L774" s="296"/>
      <c r="M774" s="299"/>
      <c r="N774" s="299"/>
      <c r="O774" s="299"/>
      <c r="P774" s="299"/>
      <c r="Q774" s="299"/>
      <c r="R774" s="299"/>
      <c r="S774" s="299"/>
      <c r="T774" s="299"/>
      <c r="U774" s="299"/>
      <c r="V774" s="299"/>
      <c r="W774" s="299"/>
      <c r="X774" s="299"/>
      <c r="Y774" s="299"/>
      <c r="Z774" s="299"/>
      <c r="AA774" s="299"/>
      <c r="AB774" s="299"/>
      <c r="AC774" s="300"/>
      <c r="AD774" s="300"/>
    </row>
    <row r="775" spans="1:30" ht="12.75" customHeight="1" x14ac:dyDescent="0.2">
      <c r="A775" s="296"/>
      <c r="B775" s="296"/>
      <c r="C775" s="296"/>
      <c r="D775" s="297"/>
      <c r="E775" s="298"/>
      <c r="F775" s="296"/>
      <c r="G775" s="296"/>
      <c r="H775" s="296"/>
      <c r="I775" s="296"/>
      <c r="J775" s="296"/>
      <c r="K775" s="296"/>
      <c r="L775" s="296"/>
      <c r="M775" s="299"/>
      <c r="N775" s="299"/>
      <c r="O775" s="299"/>
      <c r="P775" s="299"/>
      <c r="Q775" s="299"/>
      <c r="R775" s="299"/>
      <c r="S775" s="299"/>
      <c r="T775" s="299"/>
      <c r="U775" s="299"/>
      <c r="V775" s="299"/>
      <c r="W775" s="299"/>
      <c r="X775" s="299"/>
      <c r="Y775" s="299"/>
      <c r="Z775" s="299"/>
      <c r="AA775" s="299"/>
      <c r="AB775" s="299"/>
      <c r="AC775" s="300"/>
      <c r="AD775" s="300"/>
    </row>
    <row r="776" spans="1:30" ht="12.75" customHeight="1" x14ac:dyDescent="0.2">
      <c r="A776" s="296"/>
      <c r="B776" s="296"/>
      <c r="C776" s="296"/>
      <c r="D776" s="297"/>
      <c r="E776" s="298"/>
      <c r="F776" s="296"/>
      <c r="G776" s="296"/>
      <c r="H776" s="296"/>
      <c r="I776" s="296"/>
      <c r="J776" s="296"/>
      <c r="K776" s="296"/>
      <c r="L776" s="296"/>
      <c r="M776" s="299"/>
      <c r="N776" s="299"/>
      <c r="O776" s="299"/>
      <c r="P776" s="299"/>
      <c r="Q776" s="299"/>
      <c r="R776" s="299"/>
      <c r="S776" s="299"/>
      <c r="T776" s="299"/>
      <c r="U776" s="299"/>
      <c r="V776" s="299"/>
      <c r="W776" s="299"/>
      <c r="X776" s="299"/>
      <c r="Y776" s="299"/>
      <c r="Z776" s="299"/>
      <c r="AA776" s="299"/>
      <c r="AB776" s="299"/>
      <c r="AC776" s="300"/>
      <c r="AD776" s="300"/>
    </row>
    <row r="777" spans="1:30" ht="12.75" customHeight="1" x14ac:dyDescent="0.2">
      <c r="A777" s="296"/>
      <c r="B777" s="296"/>
      <c r="C777" s="296"/>
      <c r="D777" s="297"/>
      <c r="E777" s="298"/>
      <c r="F777" s="296"/>
      <c r="G777" s="296"/>
      <c r="H777" s="296"/>
      <c r="I777" s="296"/>
      <c r="J777" s="296"/>
      <c r="K777" s="296"/>
      <c r="L777" s="296"/>
      <c r="M777" s="299"/>
      <c r="N777" s="299"/>
      <c r="O777" s="299"/>
      <c r="P777" s="299"/>
      <c r="Q777" s="299"/>
      <c r="R777" s="299"/>
      <c r="S777" s="299"/>
      <c r="T777" s="299"/>
      <c r="U777" s="299"/>
      <c r="V777" s="299"/>
      <c r="W777" s="299"/>
      <c r="X777" s="299"/>
      <c r="Y777" s="299"/>
      <c r="Z777" s="299"/>
      <c r="AA777" s="299"/>
      <c r="AB777" s="299"/>
      <c r="AC777" s="300"/>
      <c r="AD777" s="300"/>
    </row>
    <row r="778" spans="1:30" ht="12.75" customHeight="1" x14ac:dyDescent="0.2">
      <c r="A778" s="296"/>
      <c r="B778" s="296"/>
      <c r="C778" s="296"/>
      <c r="D778" s="297"/>
      <c r="E778" s="298"/>
      <c r="F778" s="296"/>
      <c r="G778" s="296"/>
      <c r="H778" s="296"/>
      <c r="I778" s="296"/>
      <c r="J778" s="296"/>
      <c r="K778" s="296"/>
      <c r="L778" s="296"/>
      <c r="M778" s="299"/>
      <c r="N778" s="299"/>
      <c r="O778" s="299"/>
      <c r="P778" s="299"/>
      <c r="Q778" s="299"/>
      <c r="R778" s="299"/>
      <c r="S778" s="299"/>
      <c r="T778" s="299"/>
      <c r="U778" s="299"/>
      <c r="V778" s="299"/>
      <c r="W778" s="299"/>
      <c r="X778" s="299"/>
      <c r="Y778" s="299"/>
      <c r="Z778" s="299"/>
      <c r="AA778" s="299"/>
      <c r="AB778" s="299"/>
      <c r="AC778" s="300"/>
      <c r="AD778" s="300"/>
    </row>
    <row r="779" spans="1:30" ht="12.75" customHeight="1" x14ac:dyDescent="0.2">
      <c r="A779" s="296"/>
      <c r="B779" s="296"/>
      <c r="C779" s="296"/>
      <c r="D779" s="297"/>
      <c r="E779" s="298"/>
      <c r="F779" s="296"/>
      <c r="G779" s="296"/>
      <c r="H779" s="296"/>
      <c r="I779" s="296"/>
      <c r="J779" s="296"/>
      <c r="K779" s="296"/>
      <c r="L779" s="296"/>
      <c r="M779" s="299"/>
      <c r="N779" s="299"/>
      <c r="O779" s="299"/>
      <c r="P779" s="299"/>
      <c r="Q779" s="299"/>
      <c r="R779" s="299"/>
      <c r="S779" s="299"/>
      <c r="T779" s="299"/>
      <c r="U779" s="299"/>
      <c r="V779" s="299"/>
      <c r="W779" s="299"/>
      <c r="X779" s="299"/>
      <c r="Y779" s="299"/>
      <c r="Z779" s="299"/>
      <c r="AA779" s="299"/>
      <c r="AB779" s="299"/>
      <c r="AC779" s="300"/>
      <c r="AD779" s="300"/>
    </row>
    <row r="780" spans="1:30" ht="12.75" customHeight="1" x14ac:dyDescent="0.2">
      <c r="A780" s="296"/>
      <c r="B780" s="296"/>
      <c r="C780" s="296"/>
      <c r="D780" s="297"/>
      <c r="E780" s="298"/>
      <c r="F780" s="296"/>
      <c r="G780" s="296"/>
      <c r="H780" s="296"/>
      <c r="I780" s="296"/>
      <c r="J780" s="296"/>
      <c r="K780" s="296"/>
      <c r="L780" s="296"/>
      <c r="M780" s="299"/>
      <c r="N780" s="299"/>
      <c r="O780" s="299"/>
      <c r="P780" s="299"/>
      <c r="Q780" s="299"/>
      <c r="R780" s="299"/>
      <c r="S780" s="299"/>
      <c r="T780" s="299"/>
      <c r="U780" s="299"/>
      <c r="V780" s="299"/>
      <c r="W780" s="299"/>
      <c r="X780" s="299"/>
      <c r="Y780" s="299"/>
      <c r="Z780" s="299"/>
      <c r="AA780" s="299"/>
      <c r="AB780" s="299"/>
      <c r="AC780" s="300"/>
      <c r="AD780" s="300"/>
    </row>
    <row r="781" spans="1:30" ht="12.75" customHeight="1" x14ac:dyDescent="0.2">
      <c r="A781" s="296"/>
      <c r="B781" s="296"/>
      <c r="C781" s="296"/>
      <c r="D781" s="297"/>
      <c r="E781" s="298"/>
      <c r="F781" s="296"/>
      <c r="G781" s="296"/>
      <c r="H781" s="296"/>
      <c r="I781" s="296"/>
      <c r="J781" s="296"/>
      <c r="K781" s="296"/>
      <c r="L781" s="296"/>
      <c r="M781" s="299"/>
      <c r="N781" s="299"/>
      <c r="O781" s="299"/>
      <c r="P781" s="299"/>
      <c r="Q781" s="299"/>
      <c r="R781" s="299"/>
      <c r="S781" s="299"/>
      <c r="T781" s="299"/>
      <c r="U781" s="299"/>
      <c r="V781" s="299"/>
      <c r="W781" s="299"/>
      <c r="X781" s="299"/>
      <c r="Y781" s="299"/>
      <c r="Z781" s="299"/>
      <c r="AA781" s="299"/>
      <c r="AB781" s="299"/>
      <c r="AC781" s="300"/>
      <c r="AD781" s="300"/>
    </row>
    <row r="782" spans="1:30" ht="12.75" customHeight="1" x14ac:dyDescent="0.2">
      <c r="A782" s="296"/>
      <c r="B782" s="296"/>
      <c r="C782" s="296"/>
      <c r="D782" s="297"/>
      <c r="E782" s="298"/>
      <c r="F782" s="296"/>
      <c r="G782" s="296"/>
      <c r="H782" s="296"/>
      <c r="I782" s="296"/>
      <c r="J782" s="296"/>
      <c r="K782" s="296"/>
      <c r="L782" s="296"/>
      <c r="M782" s="299"/>
      <c r="N782" s="299"/>
      <c r="O782" s="299"/>
      <c r="P782" s="299"/>
      <c r="Q782" s="299"/>
      <c r="R782" s="299"/>
      <c r="S782" s="299"/>
      <c r="T782" s="299"/>
      <c r="U782" s="299"/>
      <c r="V782" s="299"/>
      <c r="W782" s="299"/>
      <c r="X782" s="299"/>
      <c r="Y782" s="299"/>
      <c r="Z782" s="299"/>
      <c r="AA782" s="299"/>
      <c r="AB782" s="299"/>
      <c r="AC782" s="300"/>
      <c r="AD782" s="300"/>
    </row>
    <row r="783" spans="1:30" ht="12.75" customHeight="1" x14ac:dyDescent="0.2">
      <c r="A783" s="296"/>
      <c r="B783" s="296"/>
      <c r="C783" s="296"/>
      <c r="D783" s="297"/>
      <c r="E783" s="298"/>
      <c r="F783" s="296"/>
      <c r="G783" s="296"/>
      <c r="H783" s="296"/>
      <c r="I783" s="296"/>
      <c r="J783" s="296"/>
      <c r="K783" s="296"/>
      <c r="L783" s="296"/>
      <c r="M783" s="299"/>
      <c r="N783" s="299"/>
      <c r="O783" s="299"/>
      <c r="P783" s="299"/>
      <c r="Q783" s="299"/>
      <c r="R783" s="299"/>
      <c r="S783" s="299"/>
      <c r="T783" s="299"/>
      <c r="U783" s="299"/>
      <c r="V783" s="299"/>
      <c r="W783" s="299"/>
      <c r="X783" s="299"/>
      <c r="Y783" s="299"/>
      <c r="Z783" s="299"/>
      <c r="AA783" s="299"/>
      <c r="AB783" s="299"/>
      <c r="AC783" s="300"/>
      <c r="AD783" s="300"/>
    </row>
    <row r="784" spans="1:30" ht="12.75" customHeight="1" x14ac:dyDescent="0.2">
      <c r="A784" s="296"/>
      <c r="B784" s="296"/>
      <c r="C784" s="296"/>
      <c r="D784" s="297"/>
      <c r="E784" s="298"/>
      <c r="F784" s="296"/>
      <c r="G784" s="296"/>
      <c r="H784" s="296"/>
      <c r="I784" s="296"/>
      <c r="J784" s="296"/>
      <c r="K784" s="296"/>
      <c r="L784" s="296"/>
      <c r="M784" s="299"/>
      <c r="N784" s="299"/>
      <c r="O784" s="299"/>
      <c r="P784" s="299"/>
      <c r="Q784" s="299"/>
      <c r="R784" s="299"/>
      <c r="S784" s="299"/>
      <c r="T784" s="299"/>
      <c r="U784" s="299"/>
      <c r="V784" s="299"/>
      <c r="W784" s="299"/>
      <c r="X784" s="299"/>
      <c r="Y784" s="299"/>
      <c r="Z784" s="299"/>
      <c r="AA784" s="299"/>
      <c r="AB784" s="299"/>
      <c r="AC784" s="300"/>
      <c r="AD784" s="300"/>
    </row>
    <row r="785" spans="1:30" ht="12.75" customHeight="1" x14ac:dyDescent="0.2">
      <c r="A785" s="296"/>
      <c r="B785" s="296"/>
      <c r="C785" s="296"/>
      <c r="D785" s="297"/>
      <c r="E785" s="298"/>
      <c r="F785" s="296"/>
      <c r="G785" s="296"/>
      <c r="H785" s="296"/>
      <c r="I785" s="296"/>
      <c r="J785" s="296"/>
      <c r="K785" s="296"/>
      <c r="L785" s="296"/>
      <c r="M785" s="299"/>
      <c r="N785" s="299"/>
      <c r="O785" s="299"/>
      <c r="P785" s="299"/>
      <c r="Q785" s="299"/>
      <c r="R785" s="299"/>
      <c r="S785" s="299"/>
      <c r="T785" s="299"/>
      <c r="U785" s="299"/>
      <c r="V785" s="299"/>
      <c r="W785" s="299"/>
      <c r="X785" s="299"/>
      <c r="Y785" s="299"/>
      <c r="Z785" s="299"/>
      <c r="AA785" s="299"/>
      <c r="AB785" s="299"/>
      <c r="AC785" s="300"/>
      <c r="AD785" s="300"/>
    </row>
    <row r="786" spans="1:30" ht="12.75" customHeight="1" x14ac:dyDescent="0.2">
      <c r="A786" s="296"/>
      <c r="B786" s="296"/>
      <c r="C786" s="296"/>
      <c r="D786" s="297"/>
      <c r="E786" s="298"/>
      <c r="F786" s="296"/>
      <c r="G786" s="296"/>
      <c r="H786" s="296"/>
      <c r="I786" s="296"/>
      <c r="J786" s="296"/>
      <c r="K786" s="296"/>
      <c r="L786" s="296"/>
      <c r="M786" s="299"/>
      <c r="N786" s="299"/>
      <c r="O786" s="299"/>
      <c r="P786" s="299"/>
      <c r="Q786" s="299"/>
      <c r="R786" s="299"/>
      <c r="S786" s="299"/>
      <c r="T786" s="299"/>
      <c r="U786" s="299"/>
      <c r="V786" s="299"/>
      <c r="W786" s="299"/>
      <c r="X786" s="299"/>
      <c r="Y786" s="299"/>
      <c r="Z786" s="299"/>
      <c r="AA786" s="299"/>
      <c r="AB786" s="299"/>
      <c r="AC786" s="300"/>
      <c r="AD786" s="300"/>
    </row>
    <row r="787" spans="1:30" ht="12.75" customHeight="1" x14ac:dyDescent="0.2">
      <c r="A787" s="296"/>
      <c r="B787" s="296"/>
      <c r="C787" s="296"/>
      <c r="D787" s="297"/>
      <c r="E787" s="298"/>
      <c r="F787" s="296"/>
      <c r="G787" s="296"/>
      <c r="H787" s="296"/>
      <c r="I787" s="296"/>
      <c r="J787" s="296"/>
      <c r="K787" s="296"/>
      <c r="L787" s="296"/>
      <c r="M787" s="299"/>
      <c r="N787" s="299"/>
      <c r="O787" s="299"/>
      <c r="P787" s="299"/>
      <c r="Q787" s="299"/>
      <c r="R787" s="299"/>
      <c r="S787" s="299"/>
      <c r="T787" s="299"/>
      <c r="U787" s="299"/>
      <c r="V787" s="299"/>
      <c r="W787" s="299"/>
      <c r="X787" s="299"/>
      <c r="Y787" s="299"/>
      <c r="Z787" s="299"/>
      <c r="AA787" s="299"/>
      <c r="AB787" s="299"/>
      <c r="AC787" s="300"/>
      <c r="AD787" s="300"/>
    </row>
    <row r="788" spans="1:30" ht="12.75" customHeight="1" x14ac:dyDescent="0.2">
      <c r="A788" s="296"/>
      <c r="B788" s="296"/>
      <c r="C788" s="296"/>
      <c r="D788" s="297"/>
      <c r="E788" s="298"/>
      <c r="F788" s="296"/>
      <c r="G788" s="296"/>
      <c r="H788" s="296"/>
      <c r="I788" s="296"/>
      <c r="J788" s="296"/>
      <c r="K788" s="296"/>
      <c r="L788" s="296"/>
      <c r="M788" s="299"/>
      <c r="N788" s="299"/>
      <c r="O788" s="299"/>
      <c r="P788" s="299"/>
      <c r="Q788" s="299"/>
      <c r="R788" s="299"/>
      <c r="S788" s="299"/>
      <c r="T788" s="299"/>
      <c r="U788" s="299"/>
      <c r="V788" s="299"/>
      <c r="W788" s="299"/>
      <c r="X788" s="299"/>
      <c r="Y788" s="299"/>
      <c r="Z788" s="299"/>
      <c r="AA788" s="299"/>
      <c r="AB788" s="299"/>
      <c r="AC788" s="300"/>
      <c r="AD788" s="300"/>
    </row>
    <row r="789" spans="1:30" ht="12.75" customHeight="1" x14ac:dyDescent="0.2">
      <c r="A789" s="296"/>
      <c r="B789" s="296"/>
      <c r="C789" s="296"/>
      <c r="D789" s="297"/>
      <c r="E789" s="298"/>
      <c r="F789" s="296"/>
      <c r="G789" s="296"/>
      <c r="H789" s="296"/>
      <c r="I789" s="296"/>
      <c r="J789" s="296"/>
      <c r="K789" s="296"/>
      <c r="L789" s="296"/>
      <c r="M789" s="299"/>
      <c r="N789" s="299"/>
      <c r="O789" s="299"/>
      <c r="P789" s="299"/>
      <c r="Q789" s="299"/>
      <c r="R789" s="299"/>
      <c r="S789" s="299"/>
      <c r="T789" s="299"/>
      <c r="U789" s="299"/>
      <c r="V789" s="299"/>
      <c r="W789" s="299"/>
      <c r="X789" s="299"/>
      <c r="Y789" s="299"/>
      <c r="Z789" s="299"/>
      <c r="AA789" s="299"/>
      <c r="AB789" s="299"/>
      <c r="AC789" s="300"/>
      <c r="AD789" s="300"/>
    </row>
    <row r="790" spans="1:30" ht="12.75" customHeight="1" x14ac:dyDescent="0.2">
      <c r="A790" s="296"/>
      <c r="B790" s="296"/>
      <c r="C790" s="296"/>
      <c r="D790" s="297"/>
      <c r="E790" s="298"/>
      <c r="F790" s="296"/>
      <c r="G790" s="296"/>
      <c r="H790" s="296"/>
      <c r="I790" s="296"/>
      <c r="J790" s="296"/>
      <c r="K790" s="296"/>
      <c r="L790" s="296"/>
      <c r="M790" s="299"/>
      <c r="N790" s="299"/>
      <c r="O790" s="299"/>
      <c r="P790" s="299"/>
      <c r="Q790" s="299"/>
      <c r="R790" s="299"/>
      <c r="S790" s="299"/>
      <c r="T790" s="299"/>
      <c r="U790" s="299"/>
      <c r="V790" s="299"/>
      <c r="W790" s="299"/>
      <c r="X790" s="299"/>
      <c r="Y790" s="299"/>
      <c r="Z790" s="299"/>
      <c r="AA790" s="299"/>
      <c r="AB790" s="299"/>
      <c r="AC790" s="300"/>
      <c r="AD790" s="300"/>
    </row>
    <row r="791" spans="1:30" ht="12.75" customHeight="1" x14ac:dyDescent="0.2">
      <c r="A791" s="296"/>
      <c r="B791" s="296"/>
      <c r="C791" s="296"/>
      <c r="D791" s="297"/>
      <c r="E791" s="298"/>
      <c r="F791" s="296"/>
      <c r="G791" s="296"/>
      <c r="H791" s="296"/>
      <c r="I791" s="296"/>
      <c r="J791" s="296"/>
      <c r="K791" s="296"/>
      <c r="L791" s="296"/>
      <c r="M791" s="299"/>
      <c r="N791" s="299"/>
      <c r="O791" s="299"/>
      <c r="P791" s="299"/>
      <c r="Q791" s="299"/>
      <c r="R791" s="299"/>
      <c r="S791" s="299"/>
      <c r="T791" s="299"/>
      <c r="U791" s="299"/>
      <c r="V791" s="299"/>
      <c r="W791" s="299"/>
      <c r="X791" s="299"/>
      <c r="Y791" s="299"/>
      <c r="Z791" s="299"/>
      <c r="AA791" s="299"/>
      <c r="AB791" s="299"/>
      <c r="AC791" s="300"/>
      <c r="AD791" s="300"/>
    </row>
    <row r="792" spans="1:30" ht="12.75" customHeight="1" x14ac:dyDescent="0.2">
      <c r="A792" s="296"/>
      <c r="B792" s="296"/>
      <c r="C792" s="296"/>
      <c r="D792" s="297"/>
      <c r="E792" s="298"/>
      <c r="F792" s="296"/>
      <c r="G792" s="296"/>
      <c r="H792" s="296"/>
      <c r="I792" s="296"/>
      <c r="J792" s="296"/>
      <c r="K792" s="296"/>
      <c r="L792" s="296"/>
      <c r="M792" s="299"/>
      <c r="N792" s="299"/>
      <c r="O792" s="299"/>
      <c r="P792" s="299"/>
      <c r="Q792" s="299"/>
      <c r="R792" s="299"/>
      <c r="S792" s="299"/>
      <c r="T792" s="299"/>
      <c r="U792" s="299"/>
      <c r="V792" s="299"/>
      <c r="W792" s="299"/>
      <c r="X792" s="299"/>
      <c r="Y792" s="299"/>
      <c r="Z792" s="299"/>
      <c r="AA792" s="299"/>
      <c r="AB792" s="299"/>
      <c r="AC792" s="300"/>
      <c r="AD792" s="300"/>
    </row>
    <row r="793" spans="1:30" ht="12.75" customHeight="1" x14ac:dyDescent="0.2">
      <c r="A793" s="296"/>
      <c r="B793" s="296"/>
      <c r="C793" s="296"/>
      <c r="D793" s="297"/>
      <c r="E793" s="298"/>
      <c r="F793" s="296"/>
      <c r="G793" s="296"/>
      <c r="H793" s="296"/>
      <c r="I793" s="296"/>
      <c r="J793" s="296"/>
      <c r="K793" s="296"/>
      <c r="L793" s="296"/>
      <c r="M793" s="299"/>
      <c r="N793" s="299"/>
      <c r="O793" s="299"/>
      <c r="P793" s="299"/>
      <c r="Q793" s="299"/>
      <c r="R793" s="299"/>
      <c r="S793" s="299"/>
      <c r="T793" s="299"/>
      <c r="U793" s="299"/>
      <c r="V793" s="299"/>
      <c r="W793" s="299"/>
      <c r="X793" s="299"/>
      <c r="Y793" s="299"/>
      <c r="Z793" s="299"/>
      <c r="AA793" s="299"/>
      <c r="AB793" s="299"/>
      <c r="AC793" s="300"/>
      <c r="AD793" s="300"/>
    </row>
    <row r="794" spans="1:30" ht="12.75" customHeight="1" x14ac:dyDescent="0.2">
      <c r="A794" s="296"/>
      <c r="B794" s="296"/>
      <c r="C794" s="296"/>
      <c r="D794" s="297"/>
      <c r="E794" s="298"/>
      <c r="F794" s="296"/>
      <c r="G794" s="296"/>
      <c r="H794" s="296"/>
      <c r="I794" s="296"/>
      <c r="J794" s="296"/>
      <c r="K794" s="296"/>
      <c r="L794" s="296"/>
      <c r="M794" s="299"/>
      <c r="N794" s="299"/>
      <c r="O794" s="299"/>
      <c r="P794" s="299"/>
      <c r="Q794" s="299"/>
      <c r="R794" s="299"/>
      <c r="S794" s="299"/>
      <c r="T794" s="299"/>
      <c r="U794" s="299"/>
      <c r="V794" s="299"/>
      <c r="W794" s="299"/>
      <c r="X794" s="299"/>
      <c r="Y794" s="299"/>
      <c r="Z794" s="299"/>
      <c r="AA794" s="299"/>
      <c r="AB794" s="299"/>
      <c r="AC794" s="300"/>
      <c r="AD794" s="300"/>
    </row>
    <row r="795" spans="1:30" ht="12.75" customHeight="1" x14ac:dyDescent="0.2">
      <c r="A795" s="296"/>
      <c r="B795" s="296"/>
      <c r="C795" s="296"/>
      <c r="D795" s="297"/>
      <c r="E795" s="298"/>
      <c r="F795" s="296"/>
      <c r="G795" s="296"/>
      <c r="H795" s="296"/>
      <c r="I795" s="296"/>
      <c r="J795" s="296"/>
      <c r="K795" s="296"/>
      <c r="L795" s="296"/>
      <c r="M795" s="299"/>
      <c r="N795" s="299"/>
      <c r="O795" s="299"/>
      <c r="P795" s="299"/>
      <c r="Q795" s="299"/>
      <c r="R795" s="299"/>
      <c r="S795" s="299"/>
      <c r="T795" s="299"/>
      <c r="U795" s="299"/>
      <c r="V795" s="299"/>
      <c r="W795" s="299"/>
      <c r="X795" s="299"/>
      <c r="Y795" s="299"/>
      <c r="Z795" s="299"/>
      <c r="AA795" s="299"/>
      <c r="AB795" s="299"/>
      <c r="AC795" s="300"/>
      <c r="AD795" s="300"/>
    </row>
    <row r="796" spans="1:30" ht="12.75" customHeight="1" x14ac:dyDescent="0.2">
      <c r="A796" s="296"/>
      <c r="B796" s="296"/>
      <c r="C796" s="296"/>
      <c r="D796" s="297"/>
      <c r="E796" s="298"/>
      <c r="F796" s="296"/>
      <c r="G796" s="296"/>
      <c r="H796" s="296"/>
      <c r="I796" s="296"/>
      <c r="J796" s="296"/>
      <c r="K796" s="296"/>
      <c r="L796" s="296"/>
      <c r="M796" s="299"/>
      <c r="N796" s="299"/>
      <c r="O796" s="299"/>
      <c r="P796" s="299"/>
      <c r="Q796" s="299"/>
      <c r="R796" s="299"/>
      <c r="S796" s="299"/>
      <c r="T796" s="299"/>
      <c r="U796" s="299"/>
      <c r="V796" s="299"/>
      <c r="W796" s="299"/>
      <c r="X796" s="299"/>
      <c r="Y796" s="299"/>
      <c r="Z796" s="299"/>
      <c r="AA796" s="299"/>
      <c r="AB796" s="299"/>
      <c r="AC796" s="300"/>
      <c r="AD796" s="300"/>
    </row>
    <row r="797" spans="1:30" ht="12.75" customHeight="1" x14ac:dyDescent="0.2">
      <c r="A797" s="296"/>
      <c r="B797" s="296"/>
      <c r="C797" s="296"/>
      <c r="D797" s="297"/>
      <c r="E797" s="298"/>
      <c r="F797" s="296"/>
      <c r="G797" s="296"/>
      <c r="H797" s="296"/>
      <c r="I797" s="296"/>
      <c r="J797" s="296"/>
      <c r="K797" s="296"/>
      <c r="L797" s="296"/>
      <c r="M797" s="299"/>
      <c r="N797" s="299"/>
      <c r="O797" s="299"/>
      <c r="P797" s="299"/>
      <c r="Q797" s="299"/>
      <c r="R797" s="299"/>
      <c r="S797" s="299"/>
      <c r="T797" s="299"/>
      <c r="U797" s="299"/>
      <c r="V797" s="299"/>
      <c r="W797" s="299"/>
      <c r="X797" s="299"/>
      <c r="Y797" s="299"/>
      <c r="Z797" s="299"/>
      <c r="AA797" s="299"/>
      <c r="AB797" s="299"/>
      <c r="AC797" s="300"/>
      <c r="AD797" s="300"/>
    </row>
    <row r="798" spans="1:30" ht="12.75" customHeight="1" x14ac:dyDescent="0.2">
      <c r="A798" s="296"/>
      <c r="B798" s="296"/>
      <c r="C798" s="296"/>
      <c r="D798" s="297"/>
      <c r="E798" s="298"/>
      <c r="F798" s="296"/>
      <c r="G798" s="296"/>
      <c r="H798" s="296"/>
      <c r="I798" s="296"/>
      <c r="J798" s="296"/>
      <c r="K798" s="296"/>
      <c r="L798" s="296"/>
      <c r="M798" s="299"/>
      <c r="N798" s="299"/>
      <c r="O798" s="299"/>
      <c r="P798" s="299"/>
      <c r="Q798" s="299"/>
      <c r="R798" s="299"/>
      <c r="S798" s="299"/>
      <c r="T798" s="299"/>
      <c r="U798" s="299"/>
      <c r="V798" s="299"/>
      <c r="W798" s="299"/>
      <c r="X798" s="299"/>
      <c r="Y798" s="299"/>
      <c r="Z798" s="299"/>
      <c r="AA798" s="299"/>
      <c r="AB798" s="299"/>
      <c r="AC798" s="300"/>
      <c r="AD798" s="300"/>
    </row>
    <row r="799" spans="1:30" ht="12.75" customHeight="1" x14ac:dyDescent="0.2">
      <c r="A799" s="296"/>
      <c r="B799" s="296"/>
      <c r="C799" s="296"/>
      <c r="D799" s="297"/>
      <c r="E799" s="298"/>
      <c r="F799" s="296"/>
      <c r="G799" s="296"/>
      <c r="H799" s="296"/>
      <c r="I799" s="296"/>
      <c r="J799" s="296"/>
      <c r="K799" s="296"/>
      <c r="L799" s="296"/>
      <c r="M799" s="299"/>
      <c r="N799" s="299"/>
      <c r="O799" s="299"/>
      <c r="P799" s="299"/>
      <c r="Q799" s="299"/>
      <c r="R799" s="299"/>
      <c r="S799" s="299"/>
      <c r="T799" s="299"/>
      <c r="U799" s="299"/>
      <c r="V799" s="299"/>
      <c r="W799" s="299"/>
      <c r="X799" s="299"/>
      <c r="Y799" s="299"/>
      <c r="Z799" s="299"/>
      <c r="AA799" s="299"/>
      <c r="AB799" s="299"/>
      <c r="AC799" s="300"/>
      <c r="AD799" s="300"/>
    </row>
    <row r="800" spans="1:30" ht="12.75" customHeight="1" x14ac:dyDescent="0.2">
      <c r="A800" s="296"/>
      <c r="B800" s="296"/>
      <c r="C800" s="296"/>
      <c r="D800" s="297"/>
      <c r="E800" s="298"/>
      <c r="F800" s="296"/>
      <c r="G800" s="296"/>
      <c r="H800" s="296"/>
      <c r="I800" s="296"/>
      <c r="J800" s="296"/>
      <c r="K800" s="296"/>
      <c r="L800" s="296"/>
      <c r="M800" s="299"/>
      <c r="N800" s="299"/>
      <c r="O800" s="299"/>
      <c r="P800" s="299"/>
      <c r="Q800" s="299"/>
      <c r="R800" s="299"/>
      <c r="S800" s="299"/>
      <c r="T800" s="299"/>
      <c r="U800" s="299"/>
      <c r="V800" s="299"/>
      <c r="W800" s="299"/>
      <c r="X800" s="299"/>
      <c r="Y800" s="299"/>
      <c r="Z800" s="299"/>
      <c r="AA800" s="299"/>
      <c r="AB800" s="299"/>
      <c r="AC800" s="300"/>
      <c r="AD800" s="300"/>
    </row>
    <row r="801" spans="1:30" ht="12.75" customHeight="1" x14ac:dyDescent="0.2">
      <c r="A801" s="296"/>
      <c r="B801" s="296"/>
      <c r="C801" s="296"/>
      <c r="D801" s="297"/>
      <c r="E801" s="298"/>
      <c r="F801" s="296"/>
      <c r="G801" s="296"/>
      <c r="H801" s="296"/>
      <c r="I801" s="296"/>
      <c r="J801" s="296"/>
      <c r="K801" s="296"/>
      <c r="L801" s="296"/>
      <c r="M801" s="299"/>
      <c r="N801" s="299"/>
      <c r="O801" s="299"/>
      <c r="P801" s="299"/>
      <c r="Q801" s="299"/>
      <c r="R801" s="299"/>
      <c r="S801" s="299"/>
      <c r="T801" s="299"/>
      <c r="U801" s="299"/>
      <c r="V801" s="299"/>
      <c r="W801" s="299"/>
      <c r="X801" s="299"/>
      <c r="Y801" s="299"/>
      <c r="Z801" s="299"/>
      <c r="AA801" s="299"/>
      <c r="AB801" s="299"/>
      <c r="AC801" s="300"/>
      <c r="AD801" s="300"/>
    </row>
    <row r="802" spans="1:30" ht="12.75" customHeight="1" x14ac:dyDescent="0.2">
      <c r="A802" s="296"/>
      <c r="B802" s="296"/>
      <c r="C802" s="296"/>
      <c r="D802" s="297"/>
      <c r="E802" s="298"/>
      <c r="F802" s="296"/>
      <c r="G802" s="296"/>
      <c r="H802" s="296"/>
      <c r="I802" s="296"/>
      <c r="J802" s="296"/>
      <c r="K802" s="296"/>
      <c r="L802" s="296"/>
      <c r="M802" s="299"/>
      <c r="N802" s="299"/>
      <c r="O802" s="299"/>
      <c r="P802" s="299"/>
      <c r="Q802" s="299"/>
      <c r="R802" s="299"/>
      <c r="S802" s="299"/>
      <c r="T802" s="299"/>
      <c r="U802" s="299"/>
      <c r="V802" s="299"/>
      <c r="W802" s="299"/>
      <c r="X802" s="299"/>
      <c r="Y802" s="299"/>
      <c r="Z802" s="299"/>
      <c r="AA802" s="299"/>
      <c r="AB802" s="299"/>
      <c r="AC802" s="300"/>
      <c r="AD802" s="300"/>
    </row>
    <row r="803" spans="1:30" ht="12.75" customHeight="1" x14ac:dyDescent="0.2">
      <c r="A803" s="296"/>
      <c r="B803" s="296"/>
      <c r="C803" s="296"/>
      <c r="D803" s="297"/>
      <c r="E803" s="298"/>
      <c r="F803" s="296"/>
      <c r="G803" s="296"/>
      <c r="H803" s="296"/>
      <c r="I803" s="296"/>
      <c r="J803" s="296"/>
      <c r="K803" s="296"/>
      <c r="L803" s="296"/>
      <c r="M803" s="299"/>
      <c r="N803" s="299"/>
      <c r="O803" s="299"/>
      <c r="P803" s="299"/>
      <c r="Q803" s="299"/>
      <c r="R803" s="299"/>
      <c r="S803" s="299"/>
      <c r="T803" s="299"/>
      <c r="U803" s="299"/>
      <c r="V803" s="299"/>
      <c r="W803" s="299"/>
      <c r="X803" s="299"/>
      <c r="Y803" s="299"/>
      <c r="Z803" s="299"/>
      <c r="AA803" s="299"/>
      <c r="AB803" s="299"/>
      <c r="AC803" s="300"/>
      <c r="AD803" s="300"/>
    </row>
    <row r="804" spans="1:30" ht="12.75" customHeight="1" x14ac:dyDescent="0.2">
      <c r="A804" s="296"/>
      <c r="B804" s="296"/>
      <c r="C804" s="296"/>
      <c r="D804" s="297"/>
      <c r="E804" s="298"/>
      <c r="F804" s="296"/>
      <c r="G804" s="296"/>
      <c r="H804" s="296"/>
      <c r="I804" s="296"/>
      <c r="J804" s="296"/>
      <c r="K804" s="296"/>
      <c r="L804" s="296"/>
      <c r="M804" s="299"/>
      <c r="N804" s="299"/>
      <c r="O804" s="299"/>
      <c r="P804" s="299"/>
      <c r="Q804" s="299"/>
      <c r="R804" s="299"/>
      <c r="S804" s="299"/>
      <c r="T804" s="299"/>
      <c r="U804" s="299"/>
      <c r="V804" s="299"/>
      <c r="W804" s="299"/>
      <c r="X804" s="299"/>
      <c r="Y804" s="299"/>
      <c r="Z804" s="299"/>
      <c r="AA804" s="299"/>
      <c r="AB804" s="299"/>
      <c r="AC804" s="300"/>
      <c r="AD804" s="300"/>
    </row>
    <row r="805" spans="1:30" ht="12.75" customHeight="1" x14ac:dyDescent="0.2">
      <c r="A805" s="296"/>
      <c r="B805" s="296"/>
      <c r="C805" s="296"/>
      <c r="D805" s="297"/>
      <c r="E805" s="298"/>
      <c r="F805" s="296"/>
      <c r="G805" s="296"/>
      <c r="H805" s="296"/>
      <c r="I805" s="296"/>
      <c r="J805" s="296"/>
      <c r="K805" s="296"/>
      <c r="L805" s="296"/>
      <c r="M805" s="299"/>
      <c r="N805" s="299"/>
      <c r="O805" s="299"/>
      <c r="P805" s="299"/>
      <c r="Q805" s="299"/>
      <c r="R805" s="299"/>
      <c r="S805" s="299"/>
      <c r="T805" s="299"/>
      <c r="U805" s="299"/>
      <c r="V805" s="299"/>
      <c r="W805" s="299"/>
      <c r="X805" s="299"/>
      <c r="Y805" s="299"/>
      <c r="Z805" s="299"/>
      <c r="AA805" s="299"/>
      <c r="AB805" s="299"/>
      <c r="AC805" s="300"/>
      <c r="AD805" s="300"/>
    </row>
    <row r="806" spans="1:30" ht="12.75" customHeight="1" x14ac:dyDescent="0.2">
      <c r="A806" s="296"/>
      <c r="B806" s="296"/>
      <c r="C806" s="296"/>
      <c r="D806" s="297"/>
      <c r="E806" s="298"/>
      <c r="F806" s="296"/>
      <c r="G806" s="296"/>
      <c r="H806" s="296"/>
      <c r="I806" s="296"/>
      <c r="J806" s="296"/>
      <c r="K806" s="296"/>
      <c r="L806" s="296"/>
      <c r="M806" s="299"/>
      <c r="N806" s="299"/>
      <c r="O806" s="299"/>
      <c r="P806" s="299"/>
      <c r="Q806" s="299"/>
      <c r="R806" s="299"/>
      <c r="S806" s="299"/>
      <c r="T806" s="299"/>
      <c r="U806" s="299"/>
      <c r="V806" s="299"/>
      <c r="W806" s="299"/>
      <c r="X806" s="299"/>
      <c r="Y806" s="299"/>
      <c r="Z806" s="299"/>
      <c r="AA806" s="299"/>
      <c r="AB806" s="299"/>
      <c r="AC806" s="300"/>
      <c r="AD806" s="300"/>
    </row>
    <row r="807" spans="1:30" ht="12.75" customHeight="1" x14ac:dyDescent="0.2">
      <c r="A807" s="296"/>
      <c r="B807" s="296"/>
      <c r="C807" s="296"/>
      <c r="D807" s="297"/>
      <c r="E807" s="298"/>
      <c r="F807" s="296"/>
      <c r="G807" s="296"/>
      <c r="H807" s="296"/>
      <c r="I807" s="296"/>
      <c r="J807" s="296"/>
      <c r="K807" s="296"/>
      <c r="L807" s="296"/>
      <c r="M807" s="299"/>
      <c r="N807" s="299"/>
      <c r="O807" s="299"/>
      <c r="P807" s="299"/>
      <c r="Q807" s="299"/>
      <c r="R807" s="299"/>
      <c r="S807" s="299"/>
      <c r="T807" s="299"/>
      <c r="U807" s="299"/>
      <c r="V807" s="299"/>
      <c r="W807" s="299"/>
      <c r="X807" s="299"/>
      <c r="Y807" s="299"/>
      <c r="Z807" s="299"/>
      <c r="AA807" s="299"/>
      <c r="AB807" s="299"/>
      <c r="AC807" s="300"/>
      <c r="AD807" s="300"/>
    </row>
    <row r="808" spans="1:30" ht="12.75" customHeight="1" x14ac:dyDescent="0.2">
      <c r="A808" s="296"/>
      <c r="B808" s="296"/>
      <c r="C808" s="296"/>
      <c r="D808" s="297"/>
      <c r="E808" s="298"/>
      <c r="F808" s="296"/>
      <c r="G808" s="296"/>
      <c r="H808" s="296"/>
      <c r="I808" s="296"/>
      <c r="J808" s="296"/>
      <c r="K808" s="296"/>
      <c r="L808" s="296"/>
      <c r="M808" s="299"/>
      <c r="N808" s="299"/>
      <c r="O808" s="299"/>
      <c r="P808" s="299"/>
      <c r="Q808" s="299"/>
      <c r="R808" s="299"/>
      <c r="S808" s="299"/>
      <c r="T808" s="299"/>
      <c r="U808" s="299"/>
      <c r="V808" s="299"/>
      <c r="W808" s="299"/>
      <c r="X808" s="299"/>
      <c r="Y808" s="299"/>
      <c r="Z808" s="299"/>
      <c r="AA808" s="299"/>
      <c r="AB808" s="299"/>
      <c r="AC808" s="300"/>
      <c r="AD808" s="300"/>
    </row>
    <row r="809" spans="1:30" ht="12.75" customHeight="1" x14ac:dyDescent="0.2">
      <c r="A809" s="296"/>
      <c r="B809" s="296"/>
      <c r="C809" s="296"/>
      <c r="D809" s="297"/>
      <c r="E809" s="298"/>
      <c r="F809" s="296"/>
      <c r="G809" s="296"/>
      <c r="H809" s="296"/>
      <c r="I809" s="296"/>
      <c r="J809" s="296"/>
      <c r="K809" s="296"/>
      <c r="L809" s="296"/>
      <c r="M809" s="299"/>
      <c r="N809" s="299"/>
      <c r="O809" s="299"/>
      <c r="P809" s="299"/>
      <c r="Q809" s="299"/>
      <c r="R809" s="299"/>
      <c r="S809" s="299"/>
      <c r="T809" s="299"/>
      <c r="U809" s="299"/>
      <c r="V809" s="299"/>
      <c r="W809" s="299"/>
      <c r="X809" s="299"/>
      <c r="Y809" s="299"/>
      <c r="Z809" s="299"/>
      <c r="AA809" s="299"/>
      <c r="AB809" s="299"/>
      <c r="AC809" s="300"/>
      <c r="AD809" s="300"/>
    </row>
    <row r="810" spans="1:30" ht="12.75" customHeight="1" x14ac:dyDescent="0.2">
      <c r="A810" s="296"/>
      <c r="B810" s="296"/>
      <c r="C810" s="296"/>
      <c r="D810" s="297"/>
      <c r="E810" s="298"/>
      <c r="F810" s="296"/>
      <c r="G810" s="296"/>
      <c r="H810" s="296"/>
      <c r="I810" s="296"/>
      <c r="J810" s="296"/>
      <c r="K810" s="296"/>
      <c r="L810" s="296"/>
      <c r="M810" s="299"/>
      <c r="N810" s="299"/>
      <c r="O810" s="299"/>
      <c r="P810" s="299"/>
      <c r="Q810" s="299"/>
      <c r="R810" s="299"/>
      <c r="S810" s="299"/>
      <c r="T810" s="299"/>
      <c r="U810" s="299"/>
      <c r="V810" s="299"/>
      <c r="W810" s="299"/>
      <c r="X810" s="299"/>
      <c r="Y810" s="299"/>
      <c r="Z810" s="299"/>
      <c r="AA810" s="299"/>
      <c r="AB810" s="299"/>
      <c r="AC810" s="300"/>
      <c r="AD810" s="300"/>
    </row>
    <row r="811" spans="1:30" ht="12.75" customHeight="1" x14ac:dyDescent="0.2">
      <c r="A811" s="296"/>
      <c r="B811" s="296"/>
      <c r="C811" s="296"/>
      <c r="D811" s="297"/>
      <c r="E811" s="298"/>
      <c r="F811" s="296"/>
      <c r="G811" s="296"/>
      <c r="H811" s="296"/>
      <c r="I811" s="296"/>
      <c r="J811" s="296"/>
      <c r="K811" s="296"/>
      <c r="L811" s="296"/>
      <c r="M811" s="299"/>
      <c r="N811" s="299"/>
      <c r="O811" s="299"/>
      <c r="P811" s="299"/>
      <c r="Q811" s="299"/>
      <c r="R811" s="299"/>
      <c r="S811" s="299"/>
      <c r="T811" s="299"/>
      <c r="U811" s="299"/>
      <c r="V811" s="299"/>
      <c r="W811" s="299"/>
      <c r="X811" s="299"/>
      <c r="Y811" s="299"/>
      <c r="Z811" s="299"/>
      <c r="AA811" s="299"/>
      <c r="AB811" s="299"/>
      <c r="AC811" s="300"/>
      <c r="AD811" s="300"/>
    </row>
    <row r="812" spans="1:30" ht="12.75" customHeight="1" x14ac:dyDescent="0.2">
      <c r="A812" s="296"/>
      <c r="B812" s="296"/>
      <c r="C812" s="296"/>
      <c r="D812" s="297"/>
      <c r="E812" s="298"/>
      <c r="F812" s="296"/>
      <c r="G812" s="296"/>
      <c r="H812" s="296"/>
      <c r="I812" s="296"/>
      <c r="J812" s="296"/>
      <c r="K812" s="296"/>
      <c r="L812" s="296"/>
      <c r="M812" s="299"/>
      <c r="N812" s="299"/>
      <c r="O812" s="299"/>
      <c r="P812" s="299"/>
      <c r="Q812" s="299"/>
      <c r="R812" s="299"/>
      <c r="S812" s="299"/>
      <c r="T812" s="299"/>
      <c r="U812" s="299"/>
      <c r="V812" s="299"/>
      <c r="W812" s="299"/>
      <c r="X812" s="299"/>
      <c r="Y812" s="299"/>
      <c r="Z812" s="299"/>
      <c r="AA812" s="299"/>
      <c r="AB812" s="299"/>
      <c r="AC812" s="300"/>
      <c r="AD812" s="300"/>
    </row>
    <row r="813" spans="1:30" ht="12.75" customHeight="1" x14ac:dyDescent="0.2">
      <c r="A813" s="296"/>
      <c r="B813" s="296"/>
      <c r="C813" s="296"/>
      <c r="D813" s="297"/>
      <c r="E813" s="298"/>
      <c r="F813" s="296"/>
      <c r="G813" s="296"/>
      <c r="H813" s="296"/>
      <c r="I813" s="296"/>
      <c r="J813" s="296"/>
      <c r="K813" s="296"/>
      <c r="L813" s="296"/>
      <c r="M813" s="299"/>
      <c r="N813" s="299"/>
      <c r="O813" s="299"/>
      <c r="P813" s="299"/>
      <c r="Q813" s="299"/>
      <c r="R813" s="299"/>
      <c r="S813" s="299"/>
      <c r="T813" s="299"/>
      <c r="U813" s="299"/>
      <c r="V813" s="299"/>
      <c r="W813" s="299"/>
      <c r="X813" s="299"/>
      <c r="Y813" s="299"/>
      <c r="Z813" s="299"/>
      <c r="AA813" s="299"/>
      <c r="AB813" s="299"/>
      <c r="AC813" s="300"/>
      <c r="AD813" s="300"/>
    </row>
    <row r="814" spans="1:30" ht="12.75" customHeight="1" x14ac:dyDescent="0.2">
      <c r="A814" s="296"/>
      <c r="B814" s="296"/>
      <c r="C814" s="296"/>
      <c r="D814" s="297"/>
      <c r="E814" s="298"/>
      <c r="F814" s="296"/>
      <c r="G814" s="296"/>
      <c r="H814" s="296"/>
      <c r="I814" s="296"/>
      <c r="J814" s="296"/>
      <c r="K814" s="296"/>
      <c r="L814" s="296"/>
      <c r="M814" s="299"/>
      <c r="N814" s="299"/>
      <c r="O814" s="299"/>
      <c r="P814" s="299"/>
      <c r="Q814" s="299"/>
      <c r="R814" s="299"/>
      <c r="S814" s="299"/>
      <c r="T814" s="299"/>
      <c r="U814" s="299"/>
      <c r="V814" s="299"/>
      <c r="W814" s="299"/>
      <c r="X814" s="299"/>
      <c r="Y814" s="299"/>
      <c r="Z814" s="299"/>
      <c r="AA814" s="299"/>
      <c r="AB814" s="299"/>
      <c r="AC814" s="300"/>
      <c r="AD814" s="300"/>
    </row>
    <row r="815" spans="1:30" ht="12.75" customHeight="1" x14ac:dyDescent="0.2">
      <c r="A815" s="296"/>
      <c r="B815" s="296"/>
      <c r="C815" s="296"/>
      <c r="D815" s="297"/>
      <c r="E815" s="298"/>
      <c r="F815" s="296"/>
      <c r="G815" s="296"/>
      <c r="H815" s="296"/>
      <c r="I815" s="296"/>
      <c r="J815" s="296"/>
      <c r="K815" s="296"/>
      <c r="L815" s="296"/>
      <c r="M815" s="299"/>
      <c r="N815" s="299"/>
      <c r="O815" s="299"/>
      <c r="P815" s="299"/>
      <c r="Q815" s="299"/>
      <c r="R815" s="299"/>
      <c r="S815" s="299"/>
      <c r="T815" s="299"/>
      <c r="U815" s="299"/>
      <c r="V815" s="299"/>
      <c r="W815" s="299"/>
      <c r="X815" s="299"/>
      <c r="Y815" s="299"/>
      <c r="Z815" s="299"/>
      <c r="AA815" s="299"/>
      <c r="AB815" s="299"/>
      <c r="AC815" s="300"/>
      <c r="AD815" s="300"/>
    </row>
    <row r="816" spans="1:30" ht="12.75" customHeight="1" x14ac:dyDescent="0.2">
      <c r="A816" s="296"/>
      <c r="B816" s="296"/>
      <c r="C816" s="296"/>
      <c r="D816" s="297"/>
      <c r="E816" s="298"/>
      <c r="F816" s="296"/>
      <c r="G816" s="296"/>
      <c r="H816" s="296"/>
      <c r="I816" s="296"/>
      <c r="J816" s="296"/>
      <c r="K816" s="296"/>
      <c r="L816" s="296"/>
      <c r="M816" s="299"/>
      <c r="N816" s="299"/>
      <c r="O816" s="299"/>
      <c r="P816" s="299"/>
      <c r="Q816" s="299"/>
      <c r="R816" s="299"/>
      <c r="S816" s="299"/>
      <c r="T816" s="299"/>
      <c r="U816" s="299"/>
      <c r="V816" s="299"/>
      <c r="W816" s="299"/>
      <c r="X816" s="299"/>
      <c r="Y816" s="299"/>
      <c r="Z816" s="299"/>
      <c r="AA816" s="299"/>
      <c r="AB816" s="299"/>
      <c r="AC816" s="300"/>
      <c r="AD816" s="300"/>
    </row>
    <row r="817" spans="1:30" ht="12.75" customHeight="1" x14ac:dyDescent="0.2">
      <c r="A817" s="296"/>
      <c r="B817" s="296"/>
      <c r="C817" s="296"/>
      <c r="D817" s="297"/>
      <c r="E817" s="298"/>
      <c r="F817" s="296"/>
      <c r="G817" s="296"/>
      <c r="H817" s="296"/>
      <c r="I817" s="296"/>
      <c r="J817" s="296"/>
      <c r="K817" s="296"/>
      <c r="L817" s="296"/>
      <c r="M817" s="299"/>
      <c r="N817" s="299"/>
      <c r="O817" s="299"/>
      <c r="P817" s="299"/>
      <c r="Q817" s="299"/>
      <c r="R817" s="299"/>
      <c r="S817" s="299"/>
      <c r="T817" s="299"/>
      <c r="U817" s="299"/>
      <c r="V817" s="299"/>
      <c r="W817" s="299"/>
      <c r="X817" s="299"/>
      <c r="Y817" s="299"/>
      <c r="Z817" s="299"/>
      <c r="AA817" s="299"/>
      <c r="AB817" s="299"/>
      <c r="AC817" s="300"/>
      <c r="AD817" s="300"/>
    </row>
    <row r="818" spans="1:30" ht="12.75" customHeight="1" x14ac:dyDescent="0.2">
      <c r="A818" s="296"/>
      <c r="B818" s="296"/>
      <c r="C818" s="296"/>
      <c r="D818" s="297"/>
      <c r="E818" s="298"/>
      <c r="F818" s="296"/>
      <c r="G818" s="296"/>
      <c r="H818" s="296"/>
      <c r="I818" s="296"/>
      <c r="J818" s="296"/>
      <c r="K818" s="296"/>
      <c r="L818" s="296"/>
      <c r="M818" s="299"/>
      <c r="N818" s="299"/>
      <c r="O818" s="299"/>
      <c r="P818" s="299"/>
      <c r="Q818" s="299"/>
      <c r="R818" s="299"/>
      <c r="S818" s="299"/>
      <c r="T818" s="299"/>
      <c r="U818" s="299"/>
      <c r="V818" s="299"/>
      <c r="W818" s="299"/>
      <c r="X818" s="299"/>
      <c r="Y818" s="299"/>
      <c r="Z818" s="299"/>
      <c r="AA818" s="299"/>
      <c r="AB818" s="299"/>
      <c r="AC818" s="300"/>
      <c r="AD818" s="300"/>
    </row>
    <row r="819" spans="1:30" ht="12.75" customHeight="1" x14ac:dyDescent="0.2">
      <c r="A819" s="296"/>
      <c r="B819" s="296"/>
      <c r="C819" s="296"/>
      <c r="D819" s="297"/>
      <c r="E819" s="298"/>
      <c r="F819" s="296"/>
      <c r="G819" s="296"/>
      <c r="H819" s="296"/>
      <c r="I819" s="296"/>
      <c r="J819" s="296"/>
      <c r="K819" s="296"/>
      <c r="L819" s="296"/>
      <c r="M819" s="299"/>
      <c r="N819" s="299"/>
      <c r="O819" s="299"/>
      <c r="P819" s="299"/>
      <c r="Q819" s="299"/>
      <c r="R819" s="299"/>
      <c r="S819" s="299"/>
      <c r="T819" s="299"/>
      <c r="U819" s="299"/>
      <c r="V819" s="299"/>
      <c r="W819" s="299"/>
      <c r="X819" s="299"/>
      <c r="Y819" s="299"/>
      <c r="Z819" s="299"/>
      <c r="AA819" s="299"/>
      <c r="AB819" s="299"/>
      <c r="AC819" s="300"/>
      <c r="AD819" s="300"/>
    </row>
    <row r="820" spans="1:30" ht="12.75" customHeight="1" x14ac:dyDescent="0.2">
      <c r="A820" s="296"/>
      <c r="B820" s="296"/>
      <c r="C820" s="296"/>
      <c r="D820" s="297"/>
      <c r="E820" s="298"/>
      <c r="F820" s="296"/>
      <c r="G820" s="296"/>
      <c r="H820" s="296"/>
      <c r="I820" s="296"/>
      <c r="J820" s="296"/>
      <c r="K820" s="296"/>
      <c r="L820" s="296"/>
      <c r="M820" s="299"/>
      <c r="N820" s="299"/>
      <c r="O820" s="299"/>
      <c r="P820" s="299"/>
      <c r="Q820" s="299"/>
      <c r="R820" s="299"/>
      <c r="S820" s="299"/>
      <c r="T820" s="299"/>
      <c r="U820" s="299"/>
      <c r="V820" s="299"/>
      <c r="W820" s="299"/>
      <c r="X820" s="299"/>
      <c r="Y820" s="299"/>
      <c r="Z820" s="299"/>
      <c r="AA820" s="299"/>
      <c r="AB820" s="299"/>
      <c r="AC820" s="300"/>
      <c r="AD820" s="300"/>
    </row>
    <row r="821" spans="1:30" ht="12.75" customHeight="1" x14ac:dyDescent="0.2">
      <c r="A821" s="296"/>
      <c r="B821" s="296"/>
      <c r="C821" s="296"/>
      <c r="D821" s="297"/>
      <c r="E821" s="298"/>
      <c r="F821" s="296"/>
      <c r="G821" s="296"/>
      <c r="H821" s="296"/>
      <c r="I821" s="296"/>
      <c r="J821" s="296"/>
      <c r="K821" s="296"/>
      <c r="L821" s="296"/>
      <c r="M821" s="299"/>
      <c r="N821" s="299"/>
      <c r="O821" s="299"/>
      <c r="P821" s="299"/>
      <c r="Q821" s="299"/>
      <c r="R821" s="299"/>
      <c r="S821" s="299"/>
      <c r="T821" s="299"/>
      <c r="U821" s="299"/>
      <c r="V821" s="299"/>
      <c r="W821" s="299"/>
      <c r="X821" s="299"/>
      <c r="Y821" s="299"/>
      <c r="Z821" s="299"/>
      <c r="AA821" s="299"/>
      <c r="AB821" s="299"/>
      <c r="AC821" s="300"/>
      <c r="AD821" s="300"/>
    </row>
    <row r="822" spans="1:30" ht="12.75" customHeight="1" x14ac:dyDescent="0.2">
      <c r="A822" s="296"/>
      <c r="B822" s="296"/>
      <c r="C822" s="296"/>
      <c r="D822" s="297"/>
      <c r="E822" s="298"/>
      <c r="F822" s="296"/>
      <c r="G822" s="296"/>
      <c r="H822" s="296"/>
      <c r="I822" s="296"/>
      <c r="J822" s="296"/>
      <c r="K822" s="296"/>
      <c r="L822" s="296"/>
      <c r="M822" s="299"/>
      <c r="N822" s="299"/>
      <c r="O822" s="299"/>
      <c r="P822" s="299"/>
      <c r="Q822" s="299"/>
      <c r="R822" s="299"/>
      <c r="S822" s="299"/>
      <c r="T822" s="299"/>
      <c r="U822" s="299"/>
      <c r="V822" s="299"/>
      <c r="W822" s="299"/>
      <c r="X822" s="299"/>
      <c r="Y822" s="299"/>
      <c r="Z822" s="299"/>
      <c r="AA822" s="299"/>
      <c r="AB822" s="299"/>
      <c r="AC822" s="300"/>
      <c r="AD822" s="300"/>
    </row>
    <row r="823" spans="1:30" ht="12.75" customHeight="1" x14ac:dyDescent="0.2">
      <c r="A823" s="296"/>
      <c r="B823" s="296"/>
      <c r="C823" s="296"/>
      <c r="D823" s="297"/>
      <c r="E823" s="298"/>
      <c r="F823" s="296"/>
      <c r="G823" s="296"/>
      <c r="H823" s="296"/>
      <c r="I823" s="296"/>
      <c r="J823" s="296"/>
      <c r="K823" s="296"/>
      <c r="L823" s="296"/>
      <c r="M823" s="299"/>
      <c r="N823" s="299"/>
      <c r="O823" s="299"/>
      <c r="P823" s="299"/>
      <c r="Q823" s="299"/>
      <c r="R823" s="299"/>
      <c r="S823" s="299"/>
      <c r="T823" s="299"/>
      <c r="U823" s="299"/>
      <c r="V823" s="299"/>
      <c r="W823" s="299"/>
      <c r="X823" s="299"/>
      <c r="Y823" s="299"/>
      <c r="Z823" s="299"/>
      <c r="AA823" s="299"/>
      <c r="AB823" s="299"/>
      <c r="AC823" s="300"/>
      <c r="AD823" s="300"/>
    </row>
    <row r="824" spans="1:30" ht="12.75" customHeight="1" x14ac:dyDescent="0.2">
      <c r="A824" s="296"/>
      <c r="B824" s="296"/>
      <c r="C824" s="296"/>
      <c r="D824" s="297"/>
      <c r="E824" s="298"/>
      <c r="F824" s="296"/>
      <c r="G824" s="296"/>
      <c r="H824" s="296"/>
      <c r="I824" s="296"/>
      <c r="J824" s="296"/>
      <c r="K824" s="296"/>
      <c r="L824" s="296"/>
      <c r="M824" s="299"/>
      <c r="N824" s="299"/>
      <c r="O824" s="299"/>
      <c r="P824" s="299"/>
      <c r="Q824" s="299"/>
      <c r="R824" s="299"/>
      <c r="S824" s="299"/>
      <c r="T824" s="299"/>
      <c r="U824" s="299"/>
      <c r="V824" s="299"/>
      <c r="W824" s="299"/>
      <c r="X824" s="299"/>
      <c r="Y824" s="299"/>
      <c r="Z824" s="299"/>
      <c r="AA824" s="299"/>
      <c r="AB824" s="299"/>
      <c r="AC824" s="300"/>
      <c r="AD824" s="300"/>
    </row>
    <row r="825" spans="1:30" ht="12.75" customHeight="1" x14ac:dyDescent="0.2">
      <c r="A825" s="296"/>
      <c r="B825" s="296"/>
      <c r="C825" s="296"/>
      <c r="D825" s="297"/>
      <c r="E825" s="298"/>
      <c r="F825" s="296"/>
      <c r="G825" s="296"/>
      <c r="H825" s="296"/>
      <c r="I825" s="296"/>
      <c r="J825" s="296"/>
      <c r="K825" s="296"/>
      <c r="L825" s="296"/>
      <c r="M825" s="299"/>
      <c r="N825" s="299"/>
      <c r="O825" s="299"/>
      <c r="P825" s="299"/>
      <c r="Q825" s="299"/>
      <c r="R825" s="299"/>
      <c r="S825" s="299"/>
      <c r="T825" s="299"/>
      <c r="U825" s="299"/>
      <c r="V825" s="299"/>
      <c r="W825" s="299"/>
      <c r="X825" s="299"/>
      <c r="Y825" s="299"/>
      <c r="Z825" s="299"/>
      <c r="AA825" s="299"/>
      <c r="AB825" s="299"/>
      <c r="AC825" s="300"/>
      <c r="AD825" s="300"/>
    </row>
    <row r="826" spans="1:30" ht="12.75" customHeight="1" x14ac:dyDescent="0.2">
      <c r="A826" s="296"/>
      <c r="B826" s="296"/>
      <c r="C826" s="296"/>
      <c r="D826" s="297"/>
      <c r="E826" s="298"/>
      <c r="F826" s="296"/>
      <c r="G826" s="296"/>
      <c r="H826" s="296"/>
      <c r="I826" s="296"/>
      <c r="J826" s="296"/>
      <c r="K826" s="296"/>
      <c r="L826" s="296"/>
      <c r="M826" s="299"/>
      <c r="N826" s="299"/>
      <c r="O826" s="299"/>
      <c r="P826" s="299"/>
      <c r="Q826" s="299"/>
      <c r="R826" s="299"/>
      <c r="S826" s="299"/>
      <c r="T826" s="299"/>
      <c r="U826" s="299"/>
      <c r="V826" s="299"/>
      <c r="W826" s="299"/>
      <c r="X826" s="299"/>
      <c r="Y826" s="299"/>
      <c r="Z826" s="299"/>
      <c r="AA826" s="299"/>
      <c r="AB826" s="299"/>
      <c r="AC826" s="300"/>
      <c r="AD826" s="300"/>
    </row>
    <row r="827" spans="1:30" ht="12.75" customHeight="1" x14ac:dyDescent="0.2">
      <c r="A827" s="296"/>
      <c r="B827" s="296"/>
      <c r="C827" s="296"/>
      <c r="D827" s="297"/>
      <c r="E827" s="298"/>
      <c r="F827" s="296"/>
      <c r="G827" s="296"/>
      <c r="H827" s="296"/>
      <c r="I827" s="296"/>
      <c r="J827" s="296"/>
      <c r="K827" s="296"/>
      <c r="L827" s="296"/>
      <c r="M827" s="299"/>
      <c r="N827" s="299"/>
      <c r="O827" s="299"/>
      <c r="P827" s="299"/>
      <c r="Q827" s="299"/>
      <c r="R827" s="299"/>
      <c r="S827" s="299"/>
      <c r="T827" s="299"/>
      <c r="U827" s="299"/>
      <c r="V827" s="299"/>
      <c r="W827" s="299"/>
      <c r="X827" s="299"/>
      <c r="Y827" s="299"/>
      <c r="Z827" s="299"/>
      <c r="AA827" s="299"/>
      <c r="AB827" s="299"/>
      <c r="AC827" s="300"/>
      <c r="AD827" s="300"/>
    </row>
    <row r="828" spans="1:30" ht="12.75" customHeight="1" x14ac:dyDescent="0.2">
      <c r="A828" s="296"/>
      <c r="B828" s="296"/>
      <c r="C828" s="296"/>
      <c r="D828" s="297"/>
      <c r="E828" s="298"/>
      <c r="F828" s="296"/>
      <c r="G828" s="296"/>
      <c r="H828" s="296"/>
      <c r="I828" s="296"/>
      <c r="J828" s="296"/>
      <c r="K828" s="296"/>
      <c r="L828" s="296"/>
      <c r="M828" s="299"/>
      <c r="N828" s="299"/>
      <c r="O828" s="299"/>
      <c r="P828" s="299"/>
      <c r="Q828" s="299"/>
      <c r="R828" s="299"/>
      <c r="S828" s="299"/>
      <c r="T828" s="299"/>
      <c r="U828" s="299"/>
      <c r="V828" s="299"/>
      <c r="W828" s="299"/>
      <c r="X828" s="299"/>
      <c r="Y828" s="299"/>
      <c r="Z828" s="299"/>
      <c r="AA828" s="299"/>
      <c r="AB828" s="299"/>
      <c r="AC828" s="300"/>
      <c r="AD828" s="300"/>
    </row>
    <row r="829" spans="1:30" ht="12.75" customHeight="1" x14ac:dyDescent="0.2">
      <c r="A829" s="296"/>
      <c r="B829" s="296"/>
      <c r="C829" s="296"/>
      <c r="D829" s="297"/>
      <c r="E829" s="298"/>
      <c r="F829" s="296"/>
      <c r="G829" s="296"/>
      <c r="H829" s="296"/>
      <c r="I829" s="296"/>
      <c r="J829" s="296"/>
      <c r="K829" s="296"/>
      <c r="L829" s="296"/>
      <c r="M829" s="299"/>
      <c r="N829" s="299"/>
      <c r="O829" s="299"/>
      <c r="P829" s="299"/>
      <c r="Q829" s="299"/>
      <c r="R829" s="299"/>
      <c r="S829" s="299"/>
      <c r="T829" s="299"/>
      <c r="U829" s="299"/>
      <c r="V829" s="299"/>
      <c r="W829" s="299"/>
      <c r="X829" s="299"/>
      <c r="Y829" s="299"/>
      <c r="Z829" s="299"/>
      <c r="AA829" s="299"/>
      <c r="AB829" s="299"/>
      <c r="AC829" s="300"/>
      <c r="AD829" s="300"/>
    </row>
    <row r="830" spans="1:30" ht="12.75" customHeight="1" x14ac:dyDescent="0.2">
      <c r="A830" s="296"/>
      <c r="B830" s="296"/>
      <c r="C830" s="296"/>
      <c r="D830" s="297"/>
      <c r="E830" s="298"/>
      <c r="F830" s="296"/>
      <c r="G830" s="296"/>
      <c r="H830" s="296"/>
      <c r="I830" s="296"/>
      <c r="J830" s="296"/>
      <c r="K830" s="296"/>
      <c r="L830" s="296"/>
      <c r="M830" s="299"/>
      <c r="N830" s="299"/>
      <c r="O830" s="299"/>
      <c r="P830" s="299"/>
      <c r="Q830" s="299"/>
      <c r="R830" s="299"/>
      <c r="S830" s="299"/>
      <c r="T830" s="299"/>
      <c r="U830" s="299"/>
      <c r="V830" s="299"/>
      <c r="W830" s="299"/>
      <c r="X830" s="299"/>
      <c r="Y830" s="299"/>
      <c r="Z830" s="299"/>
      <c r="AA830" s="299"/>
      <c r="AB830" s="299"/>
      <c r="AC830" s="300"/>
      <c r="AD830" s="300"/>
    </row>
    <row r="831" spans="1:30" ht="12.75" customHeight="1" x14ac:dyDescent="0.2">
      <c r="A831" s="296"/>
      <c r="B831" s="296"/>
      <c r="C831" s="296"/>
      <c r="D831" s="297"/>
      <c r="E831" s="298"/>
      <c r="F831" s="296"/>
      <c r="G831" s="296"/>
      <c r="H831" s="296"/>
      <c r="I831" s="296"/>
      <c r="J831" s="296"/>
      <c r="K831" s="296"/>
      <c r="L831" s="296"/>
      <c r="M831" s="299"/>
      <c r="N831" s="299"/>
      <c r="O831" s="299"/>
      <c r="P831" s="299"/>
      <c r="Q831" s="299"/>
      <c r="R831" s="299"/>
      <c r="S831" s="299"/>
      <c r="T831" s="299"/>
      <c r="U831" s="299"/>
      <c r="V831" s="299"/>
      <c r="W831" s="299"/>
      <c r="X831" s="299"/>
      <c r="Y831" s="299"/>
      <c r="Z831" s="299"/>
      <c r="AA831" s="299"/>
      <c r="AB831" s="299"/>
      <c r="AC831" s="300"/>
      <c r="AD831" s="300"/>
    </row>
    <row r="832" spans="1:30" ht="12.75" customHeight="1" x14ac:dyDescent="0.2">
      <c r="A832" s="296"/>
      <c r="B832" s="296"/>
      <c r="C832" s="296"/>
      <c r="D832" s="297"/>
      <c r="E832" s="298"/>
      <c r="F832" s="296"/>
      <c r="G832" s="296"/>
      <c r="H832" s="296"/>
      <c r="I832" s="296"/>
      <c r="J832" s="296"/>
      <c r="K832" s="296"/>
      <c r="L832" s="296"/>
      <c r="M832" s="299"/>
      <c r="N832" s="299"/>
      <c r="O832" s="299"/>
      <c r="P832" s="299"/>
      <c r="Q832" s="299"/>
      <c r="R832" s="299"/>
      <c r="S832" s="299"/>
      <c r="T832" s="299"/>
      <c r="U832" s="299"/>
      <c r="V832" s="299"/>
      <c r="W832" s="299"/>
      <c r="X832" s="299"/>
      <c r="Y832" s="299"/>
      <c r="Z832" s="299"/>
      <c r="AA832" s="299"/>
      <c r="AB832" s="299"/>
      <c r="AC832" s="300"/>
      <c r="AD832" s="300"/>
    </row>
    <row r="833" spans="1:30" ht="12.75" customHeight="1" x14ac:dyDescent="0.2">
      <c r="A833" s="296"/>
      <c r="B833" s="296"/>
      <c r="C833" s="296"/>
      <c r="D833" s="297"/>
      <c r="E833" s="298"/>
      <c r="F833" s="296"/>
      <c r="G833" s="296"/>
      <c r="H833" s="296"/>
      <c r="I833" s="296"/>
      <c r="J833" s="296"/>
      <c r="K833" s="296"/>
      <c r="L833" s="296"/>
      <c r="M833" s="299"/>
      <c r="N833" s="299"/>
      <c r="O833" s="299"/>
      <c r="P833" s="299"/>
      <c r="Q833" s="299"/>
      <c r="R833" s="299"/>
      <c r="S833" s="299"/>
      <c r="T833" s="299"/>
      <c r="U833" s="299"/>
      <c r="V833" s="299"/>
      <c r="W833" s="299"/>
      <c r="X833" s="299"/>
      <c r="Y833" s="299"/>
      <c r="Z833" s="299"/>
      <c r="AA833" s="299"/>
      <c r="AB833" s="299"/>
      <c r="AC833" s="300"/>
      <c r="AD833" s="300"/>
    </row>
    <row r="834" spans="1:30" ht="12.75" customHeight="1" x14ac:dyDescent="0.2">
      <c r="A834" s="296"/>
      <c r="B834" s="296"/>
      <c r="C834" s="296"/>
      <c r="D834" s="297"/>
      <c r="E834" s="298"/>
      <c r="F834" s="296"/>
      <c r="G834" s="296"/>
      <c r="H834" s="296"/>
      <c r="I834" s="296"/>
      <c r="J834" s="296"/>
      <c r="K834" s="296"/>
      <c r="L834" s="296"/>
      <c r="M834" s="299"/>
      <c r="N834" s="299"/>
      <c r="O834" s="299"/>
      <c r="P834" s="299"/>
      <c r="Q834" s="299"/>
      <c r="R834" s="299"/>
      <c r="S834" s="299"/>
      <c r="T834" s="299"/>
      <c r="U834" s="299"/>
      <c r="V834" s="299"/>
      <c r="W834" s="299"/>
      <c r="X834" s="299"/>
      <c r="Y834" s="299"/>
      <c r="Z834" s="299"/>
      <c r="AA834" s="299"/>
      <c r="AB834" s="299"/>
      <c r="AC834" s="300"/>
      <c r="AD834" s="300"/>
    </row>
    <row r="835" spans="1:30" ht="12.75" customHeight="1" x14ac:dyDescent="0.2">
      <c r="A835" s="296"/>
      <c r="B835" s="296"/>
      <c r="C835" s="296"/>
      <c r="D835" s="297"/>
      <c r="E835" s="298"/>
      <c r="F835" s="296"/>
      <c r="G835" s="296"/>
      <c r="H835" s="296"/>
      <c r="I835" s="296"/>
      <c r="J835" s="296"/>
      <c r="K835" s="296"/>
      <c r="L835" s="296"/>
      <c r="M835" s="299"/>
      <c r="N835" s="299"/>
      <c r="O835" s="299"/>
      <c r="P835" s="299"/>
      <c r="Q835" s="299"/>
      <c r="R835" s="299"/>
      <c r="S835" s="299"/>
      <c r="T835" s="299"/>
      <c r="U835" s="299"/>
      <c r="V835" s="299"/>
      <c r="W835" s="299"/>
      <c r="X835" s="299"/>
      <c r="Y835" s="299"/>
      <c r="Z835" s="299"/>
      <c r="AA835" s="299"/>
      <c r="AB835" s="299"/>
      <c r="AC835" s="300"/>
      <c r="AD835" s="300"/>
    </row>
    <row r="836" spans="1:30" ht="12.75" customHeight="1" x14ac:dyDescent="0.2">
      <c r="A836" s="296"/>
      <c r="B836" s="296"/>
      <c r="C836" s="296"/>
      <c r="D836" s="297"/>
      <c r="E836" s="298"/>
      <c r="F836" s="296"/>
      <c r="G836" s="296"/>
      <c r="H836" s="296"/>
      <c r="I836" s="296"/>
      <c r="J836" s="296"/>
      <c r="K836" s="296"/>
      <c r="L836" s="296"/>
      <c r="M836" s="299"/>
      <c r="N836" s="299"/>
      <c r="O836" s="299"/>
      <c r="P836" s="299"/>
      <c r="Q836" s="299"/>
      <c r="R836" s="299"/>
      <c r="S836" s="299"/>
      <c r="T836" s="299"/>
      <c r="U836" s="299"/>
      <c r="V836" s="299"/>
      <c r="W836" s="299"/>
      <c r="X836" s="299"/>
      <c r="Y836" s="299"/>
      <c r="Z836" s="299"/>
      <c r="AA836" s="299"/>
      <c r="AB836" s="299"/>
      <c r="AC836" s="300"/>
      <c r="AD836" s="300"/>
    </row>
    <row r="837" spans="1:30" ht="12.75" customHeight="1" x14ac:dyDescent="0.2">
      <c r="A837" s="296"/>
      <c r="B837" s="296"/>
      <c r="C837" s="296"/>
      <c r="D837" s="297"/>
      <c r="E837" s="298"/>
      <c r="F837" s="296"/>
      <c r="G837" s="296"/>
      <c r="H837" s="296"/>
      <c r="I837" s="296"/>
      <c r="J837" s="296"/>
      <c r="K837" s="296"/>
      <c r="L837" s="296"/>
      <c r="M837" s="299"/>
      <c r="N837" s="299"/>
      <c r="O837" s="299"/>
      <c r="P837" s="299"/>
      <c r="Q837" s="299"/>
      <c r="R837" s="299"/>
      <c r="S837" s="299"/>
      <c r="T837" s="299"/>
      <c r="U837" s="299"/>
      <c r="V837" s="299"/>
      <c r="W837" s="299"/>
      <c r="X837" s="299"/>
      <c r="Y837" s="299"/>
      <c r="Z837" s="299"/>
      <c r="AA837" s="299"/>
      <c r="AB837" s="299"/>
      <c r="AC837" s="300"/>
      <c r="AD837" s="300"/>
    </row>
    <row r="838" spans="1:30" ht="12.75" customHeight="1" x14ac:dyDescent="0.2">
      <c r="A838" s="296"/>
      <c r="B838" s="296"/>
      <c r="C838" s="296"/>
      <c r="D838" s="297"/>
      <c r="E838" s="298"/>
      <c r="F838" s="296"/>
      <c r="G838" s="296"/>
      <c r="H838" s="296"/>
      <c r="I838" s="296"/>
      <c r="J838" s="296"/>
      <c r="K838" s="296"/>
      <c r="L838" s="296"/>
      <c r="M838" s="299"/>
      <c r="N838" s="299"/>
      <c r="O838" s="299"/>
      <c r="P838" s="299"/>
      <c r="Q838" s="299"/>
      <c r="R838" s="299"/>
      <c r="S838" s="299"/>
      <c r="T838" s="299"/>
      <c r="U838" s="299"/>
      <c r="V838" s="299"/>
      <c r="W838" s="299"/>
      <c r="X838" s="299"/>
      <c r="Y838" s="299"/>
      <c r="Z838" s="299"/>
      <c r="AA838" s="299"/>
      <c r="AB838" s="299"/>
      <c r="AC838" s="300"/>
      <c r="AD838" s="300"/>
    </row>
    <row r="839" spans="1:30" ht="12.75" customHeight="1" x14ac:dyDescent="0.2">
      <c r="A839" s="296"/>
      <c r="B839" s="296"/>
      <c r="C839" s="296"/>
      <c r="D839" s="297"/>
      <c r="E839" s="298"/>
      <c r="F839" s="296"/>
      <c r="G839" s="296"/>
      <c r="H839" s="296"/>
      <c r="I839" s="296"/>
      <c r="J839" s="296"/>
      <c r="K839" s="296"/>
      <c r="L839" s="296"/>
      <c r="M839" s="299"/>
      <c r="N839" s="299"/>
      <c r="O839" s="299"/>
      <c r="P839" s="299"/>
      <c r="Q839" s="299"/>
      <c r="R839" s="299"/>
      <c r="S839" s="299"/>
      <c r="T839" s="299"/>
      <c r="U839" s="299"/>
      <c r="V839" s="299"/>
      <c r="W839" s="299"/>
      <c r="X839" s="299"/>
      <c r="Y839" s="299"/>
      <c r="Z839" s="299"/>
      <c r="AA839" s="299"/>
      <c r="AB839" s="299"/>
      <c r="AC839" s="300"/>
      <c r="AD839" s="300"/>
    </row>
    <row r="840" spans="1:30" ht="12.75" customHeight="1" x14ac:dyDescent="0.2">
      <c r="A840" s="296"/>
      <c r="B840" s="296"/>
      <c r="C840" s="296"/>
      <c r="D840" s="297"/>
      <c r="E840" s="298"/>
      <c r="F840" s="296"/>
      <c r="G840" s="296"/>
      <c r="H840" s="296"/>
      <c r="I840" s="296"/>
      <c r="J840" s="296"/>
      <c r="K840" s="296"/>
      <c r="L840" s="296"/>
      <c r="M840" s="299"/>
      <c r="N840" s="299"/>
      <c r="O840" s="299"/>
      <c r="P840" s="299"/>
      <c r="Q840" s="299"/>
      <c r="R840" s="299"/>
      <c r="S840" s="299"/>
      <c r="T840" s="299"/>
      <c r="U840" s="299"/>
      <c r="V840" s="299"/>
      <c r="W840" s="299"/>
      <c r="X840" s="299"/>
      <c r="Y840" s="299"/>
      <c r="Z840" s="299"/>
      <c r="AA840" s="299"/>
      <c r="AB840" s="299"/>
      <c r="AC840" s="300"/>
      <c r="AD840" s="300"/>
    </row>
    <row r="841" spans="1:30" ht="12.75" customHeight="1" x14ac:dyDescent="0.2">
      <c r="A841" s="296"/>
      <c r="B841" s="296"/>
      <c r="C841" s="296"/>
      <c r="D841" s="297"/>
      <c r="E841" s="298"/>
      <c r="F841" s="296"/>
      <c r="G841" s="296"/>
      <c r="H841" s="296"/>
      <c r="I841" s="296"/>
      <c r="J841" s="296"/>
      <c r="K841" s="296"/>
      <c r="L841" s="296"/>
      <c r="M841" s="299"/>
      <c r="N841" s="299"/>
      <c r="O841" s="299"/>
      <c r="P841" s="299"/>
      <c r="Q841" s="299"/>
      <c r="R841" s="299"/>
      <c r="S841" s="299"/>
      <c r="T841" s="299"/>
      <c r="U841" s="299"/>
      <c r="V841" s="299"/>
      <c r="W841" s="299"/>
      <c r="X841" s="299"/>
      <c r="Y841" s="299"/>
      <c r="Z841" s="299"/>
      <c r="AA841" s="299"/>
      <c r="AB841" s="299"/>
      <c r="AC841" s="300"/>
      <c r="AD841" s="300"/>
    </row>
    <row r="842" spans="1:30" ht="12.75" customHeight="1" x14ac:dyDescent="0.2">
      <c r="A842" s="296"/>
      <c r="B842" s="296"/>
      <c r="C842" s="296"/>
      <c r="D842" s="297"/>
      <c r="E842" s="298"/>
      <c r="F842" s="296"/>
      <c r="G842" s="296"/>
      <c r="H842" s="296"/>
      <c r="I842" s="296"/>
      <c r="J842" s="296"/>
      <c r="K842" s="296"/>
      <c r="L842" s="296"/>
      <c r="M842" s="299"/>
      <c r="N842" s="299"/>
      <c r="O842" s="299"/>
      <c r="P842" s="299"/>
      <c r="Q842" s="299"/>
      <c r="R842" s="299"/>
      <c r="S842" s="299"/>
      <c r="T842" s="299"/>
      <c r="U842" s="299"/>
      <c r="V842" s="299"/>
      <c r="W842" s="299"/>
      <c r="X842" s="299"/>
      <c r="Y842" s="299"/>
      <c r="Z842" s="299"/>
      <c r="AA842" s="299"/>
      <c r="AB842" s="299"/>
      <c r="AC842" s="300"/>
      <c r="AD842" s="300"/>
    </row>
    <row r="843" spans="1:30" ht="12.75" customHeight="1" x14ac:dyDescent="0.2">
      <c r="A843" s="296"/>
      <c r="B843" s="296"/>
      <c r="C843" s="296"/>
      <c r="D843" s="297"/>
      <c r="E843" s="298"/>
      <c r="F843" s="296"/>
      <c r="G843" s="296"/>
      <c r="H843" s="296"/>
      <c r="I843" s="296"/>
      <c r="J843" s="296"/>
      <c r="K843" s="296"/>
      <c r="L843" s="296"/>
      <c r="M843" s="299"/>
      <c r="N843" s="299"/>
      <c r="O843" s="299"/>
      <c r="P843" s="299"/>
      <c r="Q843" s="299"/>
      <c r="R843" s="299"/>
      <c r="S843" s="299"/>
      <c r="T843" s="299"/>
      <c r="U843" s="299"/>
      <c r="V843" s="299"/>
      <c r="W843" s="299"/>
      <c r="X843" s="299"/>
      <c r="Y843" s="299"/>
      <c r="Z843" s="299"/>
      <c r="AA843" s="299"/>
      <c r="AB843" s="299"/>
      <c r="AC843" s="300"/>
      <c r="AD843" s="300"/>
    </row>
    <row r="844" spans="1:30" ht="12.75" customHeight="1" x14ac:dyDescent="0.2">
      <c r="A844" s="296"/>
      <c r="B844" s="296"/>
      <c r="C844" s="296"/>
      <c r="D844" s="297"/>
      <c r="E844" s="298"/>
      <c r="F844" s="296"/>
      <c r="G844" s="296"/>
      <c r="H844" s="296"/>
      <c r="I844" s="296"/>
      <c r="J844" s="296"/>
      <c r="K844" s="296"/>
      <c r="L844" s="296"/>
      <c r="M844" s="299"/>
      <c r="N844" s="299"/>
      <c r="O844" s="299"/>
      <c r="P844" s="299"/>
      <c r="Q844" s="299"/>
      <c r="R844" s="299"/>
      <c r="S844" s="299"/>
      <c r="T844" s="299"/>
      <c r="U844" s="299"/>
      <c r="V844" s="299"/>
      <c r="W844" s="299"/>
      <c r="X844" s="299"/>
      <c r="Y844" s="299"/>
      <c r="Z844" s="299"/>
      <c r="AA844" s="299"/>
      <c r="AB844" s="299"/>
      <c r="AC844" s="300"/>
      <c r="AD844" s="300"/>
    </row>
    <row r="845" spans="1:30" ht="12.75" customHeight="1" x14ac:dyDescent="0.2">
      <c r="A845" s="296"/>
      <c r="B845" s="296"/>
      <c r="C845" s="296"/>
      <c r="D845" s="297"/>
      <c r="E845" s="298"/>
      <c r="F845" s="296"/>
      <c r="G845" s="296"/>
      <c r="H845" s="296"/>
      <c r="I845" s="296"/>
      <c r="J845" s="296"/>
      <c r="K845" s="296"/>
      <c r="L845" s="296"/>
      <c r="M845" s="299"/>
      <c r="N845" s="299"/>
      <c r="O845" s="299"/>
      <c r="P845" s="299"/>
      <c r="Q845" s="299"/>
      <c r="R845" s="299"/>
      <c r="S845" s="299"/>
      <c r="T845" s="299"/>
      <c r="U845" s="299"/>
      <c r="V845" s="299"/>
      <c r="W845" s="299"/>
      <c r="X845" s="299"/>
      <c r="Y845" s="299"/>
      <c r="Z845" s="299"/>
      <c r="AA845" s="299"/>
      <c r="AB845" s="299"/>
      <c r="AC845" s="300"/>
      <c r="AD845" s="300"/>
    </row>
    <row r="846" spans="1:30" ht="12.75" customHeight="1" x14ac:dyDescent="0.2">
      <c r="A846" s="296"/>
      <c r="B846" s="296"/>
      <c r="C846" s="296"/>
      <c r="D846" s="297"/>
      <c r="E846" s="298"/>
      <c r="F846" s="296"/>
      <c r="G846" s="296"/>
      <c r="H846" s="296"/>
      <c r="I846" s="296"/>
      <c r="J846" s="296"/>
      <c r="K846" s="296"/>
      <c r="L846" s="296"/>
      <c r="M846" s="299"/>
      <c r="N846" s="299"/>
      <c r="O846" s="299"/>
      <c r="P846" s="299"/>
      <c r="Q846" s="299"/>
      <c r="R846" s="299"/>
      <c r="S846" s="299"/>
      <c r="T846" s="299"/>
      <c r="U846" s="299"/>
      <c r="V846" s="299"/>
      <c r="W846" s="299"/>
      <c r="X846" s="299"/>
      <c r="Y846" s="299"/>
      <c r="Z846" s="299"/>
      <c r="AA846" s="299"/>
      <c r="AB846" s="299"/>
      <c r="AC846" s="300"/>
      <c r="AD846" s="300"/>
    </row>
    <row r="847" spans="1:30" ht="12.75" customHeight="1" x14ac:dyDescent="0.2">
      <c r="A847" s="296"/>
      <c r="B847" s="296"/>
      <c r="C847" s="296"/>
      <c r="D847" s="297"/>
      <c r="E847" s="298"/>
      <c r="F847" s="296"/>
      <c r="G847" s="296"/>
      <c r="H847" s="296"/>
      <c r="I847" s="296"/>
      <c r="J847" s="296"/>
      <c r="K847" s="296"/>
      <c r="L847" s="296"/>
      <c r="M847" s="299"/>
      <c r="N847" s="299"/>
      <c r="O847" s="299"/>
      <c r="P847" s="299"/>
      <c r="Q847" s="299"/>
      <c r="R847" s="299"/>
      <c r="S847" s="299"/>
      <c r="T847" s="299"/>
      <c r="U847" s="299"/>
      <c r="V847" s="299"/>
      <c r="W847" s="299"/>
      <c r="X847" s="299"/>
      <c r="Y847" s="299"/>
      <c r="Z847" s="299"/>
      <c r="AA847" s="299"/>
      <c r="AB847" s="299"/>
      <c r="AC847" s="300"/>
      <c r="AD847" s="300"/>
    </row>
    <row r="848" spans="1:30" ht="12.75" customHeight="1" x14ac:dyDescent="0.2">
      <c r="A848" s="296"/>
      <c r="B848" s="296"/>
      <c r="C848" s="296"/>
      <c r="D848" s="297"/>
      <c r="E848" s="298"/>
      <c r="F848" s="296"/>
      <c r="G848" s="296"/>
      <c r="H848" s="296"/>
      <c r="I848" s="296"/>
      <c r="J848" s="296"/>
      <c r="K848" s="296"/>
      <c r="L848" s="296"/>
      <c r="M848" s="299"/>
      <c r="N848" s="299"/>
      <c r="O848" s="299"/>
      <c r="P848" s="299"/>
      <c r="Q848" s="299"/>
      <c r="R848" s="299"/>
      <c r="S848" s="299"/>
      <c r="T848" s="299"/>
      <c r="U848" s="299"/>
      <c r="V848" s="299"/>
      <c r="W848" s="299"/>
      <c r="X848" s="299"/>
      <c r="Y848" s="299"/>
      <c r="Z848" s="299"/>
      <c r="AA848" s="299"/>
      <c r="AB848" s="299"/>
      <c r="AC848" s="300"/>
      <c r="AD848" s="300"/>
    </row>
    <row r="849" spans="1:30" ht="12.75" customHeight="1" x14ac:dyDescent="0.2">
      <c r="A849" s="296"/>
      <c r="B849" s="296"/>
      <c r="C849" s="296"/>
      <c r="D849" s="297"/>
      <c r="E849" s="298"/>
      <c r="F849" s="296"/>
      <c r="G849" s="296"/>
      <c r="H849" s="296"/>
      <c r="I849" s="296"/>
      <c r="J849" s="296"/>
      <c r="K849" s="296"/>
      <c r="L849" s="296"/>
      <c r="M849" s="299"/>
      <c r="N849" s="299"/>
      <c r="O849" s="299"/>
      <c r="P849" s="299"/>
      <c r="Q849" s="299"/>
      <c r="R849" s="299"/>
      <c r="S849" s="299"/>
      <c r="T849" s="299"/>
      <c r="U849" s="299"/>
      <c r="V849" s="299"/>
      <c r="W849" s="299"/>
      <c r="X849" s="299"/>
      <c r="Y849" s="299"/>
      <c r="Z849" s="299"/>
      <c r="AA849" s="299"/>
      <c r="AB849" s="299"/>
      <c r="AC849" s="300"/>
      <c r="AD849" s="300"/>
    </row>
    <row r="850" spans="1:30" ht="12.75" customHeight="1" x14ac:dyDescent="0.2">
      <c r="A850" s="296"/>
      <c r="B850" s="296"/>
      <c r="C850" s="296"/>
      <c r="D850" s="297"/>
      <c r="E850" s="298"/>
      <c r="F850" s="296"/>
      <c r="G850" s="296"/>
      <c r="H850" s="296"/>
      <c r="I850" s="296"/>
      <c r="J850" s="296"/>
      <c r="K850" s="296"/>
      <c r="L850" s="296"/>
      <c r="M850" s="299"/>
      <c r="N850" s="299"/>
      <c r="O850" s="299"/>
      <c r="P850" s="299"/>
      <c r="Q850" s="299"/>
      <c r="R850" s="299"/>
      <c r="S850" s="299"/>
      <c r="T850" s="299"/>
      <c r="U850" s="299"/>
      <c r="V850" s="299"/>
      <c r="W850" s="299"/>
      <c r="X850" s="299"/>
      <c r="Y850" s="299"/>
      <c r="Z850" s="299"/>
      <c r="AA850" s="299"/>
      <c r="AB850" s="299"/>
      <c r="AC850" s="300"/>
      <c r="AD850" s="300"/>
    </row>
    <row r="851" spans="1:30" ht="12.75" customHeight="1" x14ac:dyDescent="0.2">
      <c r="A851" s="296"/>
      <c r="B851" s="296"/>
      <c r="C851" s="296"/>
      <c r="D851" s="297"/>
      <c r="E851" s="298"/>
      <c r="F851" s="296"/>
      <c r="G851" s="296"/>
      <c r="H851" s="296"/>
      <c r="I851" s="296"/>
      <c r="J851" s="296"/>
      <c r="K851" s="296"/>
      <c r="L851" s="296"/>
      <c r="M851" s="299"/>
      <c r="N851" s="299"/>
      <c r="O851" s="299"/>
      <c r="P851" s="299"/>
      <c r="Q851" s="299"/>
      <c r="R851" s="299"/>
      <c r="S851" s="299"/>
      <c r="T851" s="299"/>
      <c r="U851" s="299"/>
      <c r="V851" s="299"/>
      <c r="W851" s="299"/>
      <c r="X851" s="299"/>
      <c r="Y851" s="299"/>
      <c r="Z851" s="299"/>
      <c r="AA851" s="299"/>
      <c r="AB851" s="299"/>
      <c r="AC851" s="300"/>
      <c r="AD851" s="300"/>
    </row>
    <row r="852" spans="1:30" ht="12.75" customHeight="1" x14ac:dyDescent="0.2">
      <c r="A852" s="296"/>
      <c r="B852" s="296"/>
      <c r="C852" s="296"/>
      <c r="D852" s="297"/>
      <c r="E852" s="298"/>
      <c r="F852" s="296"/>
      <c r="G852" s="296"/>
      <c r="H852" s="296"/>
      <c r="I852" s="296"/>
      <c r="J852" s="296"/>
      <c r="K852" s="296"/>
      <c r="L852" s="296"/>
      <c r="M852" s="299"/>
      <c r="N852" s="299"/>
      <c r="O852" s="299"/>
      <c r="P852" s="299"/>
      <c r="Q852" s="299"/>
      <c r="R852" s="299"/>
      <c r="S852" s="299"/>
      <c r="T852" s="299"/>
      <c r="U852" s="299"/>
      <c r="V852" s="299"/>
      <c r="W852" s="299"/>
      <c r="X852" s="299"/>
      <c r="Y852" s="299"/>
      <c r="Z852" s="299"/>
      <c r="AA852" s="299"/>
      <c r="AB852" s="299"/>
      <c r="AC852" s="300"/>
      <c r="AD852" s="300"/>
    </row>
    <row r="853" spans="1:30" ht="12.75" customHeight="1" x14ac:dyDescent="0.2">
      <c r="A853" s="296"/>
      <c r="B853" s="296"/>
      <c r="C853" s="296"/>
      <c r="D853" s="297"/>
      <c r="E853" s="298"/>
      <c r="F853" s="296"/>
      <c r="G853" s="296"/>
      <c r="H853" s="296"/>
      <c r="I853" s="296"/>
      <c r="J853" s="296"/>
      <c r="K853" s="296"/>
      <c r="L853" s="296"/>
      <c r="M853" s="299"/>
      <c r="N853" s="299"/>
      <c r="O853" s="299"/>
      <c r="P853" s="299"/>
      <c r="Q853" s="299"/>
      <c r="R853" s="299"/>
      <c r="S853" s="299"/>
      <c r="T853" s="299"/>
      <c r="U853" s="299"/>
      <c r="V853" s="299"/>
      <c r="W853" s="299"/>
      <c r="X853" s="299"/>
      <c r="Y853" s="299"/>
      <c r="Z853" s="299"/>
      <c r="AA853" s="299"/>
      <c r="AB853" s="299"/>
      <c r="AC853" s="300"/>
      <c r="AD853" s="300"/>
    </row>
    <row r="854" spans="1:30" ht="12.75" customHeight="1" x14ac:dyDescent="0.2">
      <c r="A854" s="296"/>
      <c r="B854" s="296"/>
      <c r="C854" s="296"/>
      <c r="D854" s="297"/>
      <c r="E854" s="298"/>
      <c r="F854" s="296"/>
      <c r="G854" s="296"/>
      <c r="H854" s="296"/>
      <c r="I854" s="296"/>
      <c r="J854" s="296"/>
      <c r="K854" s="296"/>
      <c r="L854" s="296"/>
      <c r="M854" s="299"/>
      <c r="N854" s="299"/>
      <c r="O854" s="299"/>
      <c r="P854" s="299"/>
      <c r="Q854" s="299"/>
      <c r="R854" s="299"/>
      <c r="S854" s="299"/>
      <c r="T854" s="299"/>
      <c r="U854" s="299"/>
      <c r="V854" s="299"/>
      <c r="W854" s="299"/>
      <c r="X854" s="299"/>
      <c r="Y854" s="299"/>
      <c r="Z854" s="299"/>
      <c r="AA854" s="299"/>
      <c r="AB854" s="299"/>
      <c r="AC854" s="300"/>
      <c r="AD854" s="300"/>
    </row>
    <row r="855" spans="1:30" ht="12.75" customHeight="1" x14ac:dyDescent="0.2">
      <c r="A855" s="296"/>
      <c r="B855" s="296"/>
      <c r="C855" s="296"/>
      <c r="D855" s="297"/>
      <c r="E855" s="298"/>
      <c r="F855" s="296"/>
      <c r="G855" s="296"/>
      <c r="H855" s="296"/>
      <c r="I855" s="296"/>
      <c r="J855" s="296"/>
      <c r="K855" s="296"/>
      <c r="L855" s="296"/>
      <c r="M855" s="299"/>
      <c r="N855" s="299"/>
      <c r="O855" s="299"/>
      <c r="P855" s="299"/>
      <c r="Q855" s="299"/>
      <c r="R855" s="299"/>
      <c r="S855" s="299"/>
      <c r="T855" s="299"/>
      <c r="U855" s="299"/>
      <c r="V855" s="299"/>
      <c r="W855" s="299"/>
      <c r="X855" s="299"/>
      <c r="Y855" s="299"/>
      <c r="Z855" s="299"/>
      <c r="AA855" s="299"/>
      <c r="AB855" s="299"/>
      <c r="AC855" s="300"/>
      <c r="AD855" s="300"/>
    </row>
    <row r="856" spans="1:30" ht="12.75" customHeight="1" x14ac:dyDescent="0.2">
      <c r="A856" s="296"/>
      <c r="B856" s="296"/>
      <c r="C856" s="296"/>
      <c r="D856" s="297"/>
      <c r="E856" s="298"/>
      <c r="F856" s="296"/>
      <c r="G856" s="296"/>
      <c r="H856" s="296"/>
      <c r="I856" s="296"/>
      <c r="J856" s="296"/>
      <c r="K856" s="296"/>
      <c r="L856" s="296"/>
      <c r="M856" s="299"/>
      <c r="N856" s="299"/>
      <c r="O856" s="299"/>
      <c r="P856" s="299"/>
      <c r="Q856" s="299"/>
      <c r="R856" s="299"/>
      <c r="S856" s="299"/>
      <c r="T856" s="299"/>
      <c r="U856" s="299"/>
      <c r="V856" s="299"/>
      <c r="W856" s="299"/>
      <c r="X856" s="299"/>
      <c r="Y856" s="299"/>
      <c r="Z856" s="299"/>
      <c r="AA856" s="299"/>
      <c r="AB856" s="299"/>
      <c r="AC856" s="300"/>
      <c r="AD856" s="300"/>
    </row>
    <row r="857" spans="1:30" ht="12.75" customHeight="1" x14ac:dyDescent="0.2">
      <c r="A857" s="296"/>
      <c r="B857" s="296"/>
      <c r="C857" s="296"/>
      <c r="D857" s="297"/>
      <c r="E857" s="298"/>
      <c r="F857" s="296"/>
      <c r="G857" s="296"/>
      <c r="H857" s="296"/>
      <c r="I857" s="296"/>
      <c r="J857" s="296"/>
      <c r="K857" s="296"/>
      <c r="L857" s="296"/>
      <c r="M857" s="299"/>
      <c r="N857" s="299"/>
      <c r="O857" s="299"/>
      <c r="P857" s="299"/>
      <c r="Q857" s="299"/>
      <c r="R857" s="299"/>
      <c r="S857" s="299"/>
      <c r="T857" s="299"/>
      <c r="U857" s="299"/>
      <c r="V857" s="299"/>
      <c r="W857" s="299"/>
      <c r="X857" s="299"/>
      <c r="Y857" s="299"/>
      <c r="Z857" s="299"/>
      <c r="AA857" s="299"/>
      <c r="AB857" s="299"/>
      <c r="AC857" s="300"/>
      <c r="AD857" s="300"/>
    </row>
    <row r="858" spans="1:30" ht="12.75" customHeight="1" x14ac:dyDescent="0.2">
      <c r="A858" s="296"/>
      <c r="B858" s="296"/>
      <c r="C858" s="296"/>
      <c r="D858" s="297"/>
      <c r="E858" s="298"/>
      <c r="F858" s="296"/>
      <c r="G858" s="296"/>
      <c r="H858" s="296"/>
      <c r="I858" s="296"/>
      <c r="J858" s="296"/>
      <c r="K858" s="296"/>
      <c r="L858" s="296"/>
      <c r="M858" s="299"/>
      <c r="N858" s="299"/>
      <c r="O858" s="299"/>
      <c r="P858" s="299"/>
      <c r="Q858" s="299"/>
      <c r="R858" s="299"/>
      <c r="S858" s="299"/>
      <c r="T858" s="299"/>
      <c r="U858" s="299"/>
      <c r="V858" s="299"/>
      <c r="W858" s="299"/>
      <c r="X858" s="299"/>
      <c r="Y858" s="299"/>
      <c r="Z858" s="299"/>
      <c r="AA858" s="299"/>
      <c r="AB858" s="299"/>
      <c r="AC858" s="300"/>
      <c r="AD858" s="300"/>
    </row>
    <row r="859" spans="1:30" ht="12.75" customHeight="1" x14ac:dyDescent="0.2">
      <c r="A859" s="296"/>
      <c r="B859" s="296"/>
      <c r="C859" s="296"/>
      <c r="D859" s="297"/>
      <c r="E859" s="298"/>
      <c r="F859" s="296"/>
      <c r="G859" s="296"/>
      <c r="H859" s="296"/>
      <c r="I859" s="296"/>
      <c r="J859" s="296"/>
      <c r="K859" s="296"/>
      <c r="L859" s="296"/>
      <c r="M859" s="299"/>
      <c r="N859" s="299"/>
      <c r="O859" s="299"/>
      <c r="P859" s="299"/>
      <c r="Q859" s="299"/>
      <c r="R859" s="299"/>
      <c r="S859" s="299"/>
      <c r="T859" s="299"/>
      <c r="U859" s="299"/>
      <c r="V859" s="299"/>
      <c r="W859" s="299"/>
      <c r="X859" s="299"/>
      <c r="Y859" s="299"/>
      <c r="Z859" s="299"/>
      <c r="AA859" s="299"/>
      <c r="AB859" s="299"/>
      <c r="AC859" s="300"/>
      <c r="AD859" s="300"/>
    </row>
    <row r="860" spans="1:30" ht="12.75" customHeight="1" x14ac:dyDescent="0.2">
      <c r="A860" s="296"/>
      <c r="B860" s="296"/>
      <c r="C860" s="296"/>
      <c r="D860" s="297"/>
      <c r="E860" s="298"/>
      <c r="F860" s="296"/>
      <c r="G860" s="296"/>
      <c r="H860" s="296"/>
      <c r="I860" s="296"/>
      <c r="J860" s="296"/>
      <c r="K860" s="296"/>
      <c r="L860" s="296"/>
      <c r="M860" s="299"/>
      <c r="N860" s="299"/>
      <c r="O860" s="299"/>
      <c r="P860" s="299"/>
      <c r="Q860" s="299"/>
      <c r="R860" s="299"/>
      <c r="S860" s="299"/>
      <c r="T860" s="299"/>
      <c r="U860" s="299"/>
      <c r="V860" s="299"/>
      <c r="W860" s="299"/>
      <c r="X860" s="299"/>
      <c r="Y860" s="299"/>
      <c r="Z860" s="299"/>
      <c r="AA860" s="299"/>
      <c r="AB860" s="299"/>
      <c r="AC860" s="300"/>
      <c r="AD860" s="300"/>
    </row>
    <row r="861" spans="1:30" ht="12.75" customHeight="1" x14ac:dyDescent="0.2">
      <c r="A861" s="296"/>
      <c r="B861" s="296"/>
      <c r="C861" s="296"/>
      <c r="D861" s="297"/>
      <c r="E861" s="298"/>
      <c r="F861" s="296"/>
      <c r="G861" s="296"/>
      <c r="H861" s="296"/>
      <c r="I861" s="296"/>
      <c r="J861" s="296"/>
      <c r="K861" s="296"/>
      <c r="L861" s="296"/>
      <c r="M861" s="299"/>
      <c r="N861" s="299"/>
      <c r="O861" s="299"/>
      <c r="P861" s="299"/>
      <c r="Q861" s="299"/>
      <c r="R861" s="299"/>
      <c r="S861" s="299"/>
      <c r="T861" s="299"/>
      <c r="U861" s="299"/>
      <c r="V861" s="299"/>
      <c r="W861" s="299"/>
      <c r="X861" s="299"/>
      <c r="Y861" s="299"/>
      <c r="Z861" s="299"/>
      <c r="AA861" s="299"/>
      <c r="AB861" s="299"/>
      <c r="AC861" s="300"/>
      <c r="AD861" s="300"/>
    </row>
    <row r="862" spans="1:30" ht="12.75" customHeight="1" x14ac:dyDescent="0.2">
      <c r="A862" s="296"/>
      <c r="B862" s="296"/>
      <c r="C862" s="296"/>
      <c r="D862" s="297"/>
      <c r="E862" s="298"/>
      <c r="F862" s="296"/>
      <c r="G862" s="296"/>
      <c r="H862" s="296"/>
      <c r="I862" s="296"/>
      <c r="J862" s="296"/>
      <c r="K862" s="296"/>
      <c r="L862" s="296"/>
      <c r="M862" s="299"/>
      <c r="N862" s="299"/>
      <c r="O862" s="299"/>
      <c r="P862" s="299"/>
      <c r="Q862" s="299"/>
      <c r="R862" s="299"/>
      <c r="S862" s="299"/>
      <c r="T862" s="299"/>
      <c r="U862" s="299"/>
      <c r="V862" s="299"/>
      <c r="W862" s="299"/>
      <c r="X862" s="299"/>
      <c r="Y862" s="299"/>
      <c r="Z862" s="299"/>
      <c r="AA862" s="299"/>
      <c r="AB862" s="299"/>
      <c r="AC862" s="300"/>
      <c r="AD862" s="300"/>
    </row>
    <row r="863" spans="1:30" ht="12.75" customHeight="1" x14ac:dyDescent="0.2">
      <c r="A863" s="296"/>
      <c r="B863" s="296"/>
      <c r="C863" s="296"/>
      <c r="D863" s="297"/>
      <c r="E863" s="298"/>
      <c r="F863" s="296"/>
      <c r="G863" s="296"/>
      <c r="H863" s="296"/>
      <c r="I863" s="296"/>
      <c r="J863" s="296"/>
      <c r="K863" s="296"/>
      <c r="L863" s="296"/>
      <c r="M863" s="299"/>
      <c r="N863" s="299"/>
      <c r="O863" s="299"/>
      <c r="P863" s="299"/>
      <c r="Q863" s="299"/>
      <c r="R863" s="299"/>
      <c r="S863" s="299"/>
      <c r="T863" s="299"/>
      <c r="U863" s="299"/>
      <c r="V863" s="299"/>
      <c r="W863" s="299"/>
      <c r="X863" s="299"/>
      <c r="Y863" s="299"/>
      <c r="Z863" s="299"/>
      <c r="AA863" s="299"/>
      <c r="AB863" s="299"/>
      <c r="AC863" s="300"/>
      <c r="AD863" s="300"/>
    </row>
    <row r="864" spans="1:30" ht="12.75" customHeight="1" x14ac:dyDescent="0.2">
      <c r="A864" s="296"/>
      <c r="B864" s="296"/>
      <c r="C864" s="296"/>
      <c r="D864" s="297"/>
      <c r="E864" s="298"/>
      <c r="F864" s="296"/>
      <c r="G864" s="296"/>
      <c r="H864" s="296"/>
      <c r="I864" s="296"/>
      <c r="J864" s="296"/>
      <c r="K864" s="296"/>
      <c r="L864" s="296"/>
      <c r="M864" s="299"/>
      <c r="N864" s="299"/>
      <c r="O864" s="299"/>
      <c r="P864" s="299"/>
      <c r="Q864" s="299"/>
      <c r="R864" s="299"/>
      <c r="S864" s="299"/>
      <c r="T864" s="299"/>
      <c r="U864" s="299"/>
      <c r="V864" s="299"/>
      <c r="W864" s="299"/>
      <c r="X864" s="299"/>
      <c r="Y864" s="299"/>
      <c r="Z864" s="299"/>
      <c r="AA864" s="299"/>
      <c r="AB864" s="299"/>
      <c r="AC864" s="300"/>
      <c r="AD864" s="300"/>
    </row>
    <row r="865" spans="1:30" ht="12.75" customHeight="1" x14ac:dyDescent="0.2">
      <c r="A865" s="296"/>
      <c r="B865" s="296"/>
      <c r="C865" s="296"/>
      <c r="D865" s="297"/>
      <c r="E865" s="298"/>
      <c r="F865" s="296"/>
      <c r="G865" s="296"/>
      <c r="H865" s="296"/>
      <c r="I865" s="296"/>
      <c r="J865" s="296"/>
      <c r="K865" s="296"/>
      <c r="L865" s="296"/>
      <c r="M865" s="299"/>
      <c r="N865" s="299"/>
      <c r="O865" s="299"/>
      <c r="P865" s="299"/>
      <c r="Q865" s="299"/>
      <c r="R865" s="299"/>
      <c r="S865" s="299"/>
      <c r="T865" s="299"/>
      <c r="U865" s="299"/>
      <c r="V865" s="299"/>
      <c r="W865" s="299"/>
      <c r="X865" s="299"/>
      <c r="Y865" s="299"/>
      <c r="Z865" s="299"/>
      <c r="AA865" s="299"/>
      <c r="AB865" s="299"/>
      <c r="AC865" s="300"/>
      <c r="AD865" s="300"/>
    </row>
    <row r="866" spans="1:30" ht="12.75" customHeight="1" x14ac:dyDescent="0.2">
      <c r="A866" s="296"/>
      <c r="B866" s="296"/>
      <c r="C866" s="296"/>
      <c r="D866" s="297"/>
      <c r="E866" s="298"/>
      <c r="F866" s="296"/>
      <c r="G866" s="296"/>
      <c r="H866" s="296"/>
      <c r="I866" s="296"/>
      <c r="J866" s="296"/>
      <c r="K866" s="296"/>
      <c r="L866" s="296"/>
      <c r="M866" s="299"/>
      <c r="N866" s="299"/>
      <c r="O866" s="299"/>
      <c r="P866" s="299"/>
      <c r="Q866" s="299"/>
      <c r="R866" s="299"/>
      <c r="S866" s="299"/>
      <c r="T866" s="299"/>
      <c r="U866" s="299"/>
      <c r="V866" s="299"/>
      <c r="W866" s="299"/>
      <c r="X866" s="299"/>
      <c r="Y866" s="299"/>
      <c r="Z866" s="299"/>
      <c r="AA866" s="299"/>
      <c r="AB866" s="299"/>
      <c r="AC866" s="300"/>
      <c r="AD866" s="300"/>
    </row>
    <row r="867" spans="1:30" ht="12.75" customHeight="1" x14ac:dyDescent="0.2">
      <c r="A867" s="296"/>
      <c r="B867" s="296"/>
      <c r="C867" s="296"/>
      <c r="D867" s="297"/>
      <c r="E867" s="298"/>
      <c r="F867" s="296"/>
      <c r="G867" s="296"/>
      <c r="H867" s="296"/>
      <c r="I867" s="296"/>
      <c r="J867" s="296"/>
      <c r="K867" s="296"/>
      <c r="L867" s="296"/>
      <c r="M867" s="299"/>
      <c r="N867" s="299"/>
      <c r="O867" s="299"/>
      <c r="P867" s="299"/>
      <c r="Q867" s="299"/>
      <c r="R867" s="299"/>
      <c r="S867" s="299"/>
      <c r="T867" s="299"/>
      <c r="U867" s="299"/>
      <c r="V867" s="299"/>
      <c r="W867" s="299"/>
      <c r="X867" s="299"/>
      <c r="Y867" s="299"/>
      <c r="Z867" s="299"/>
      <c r="AA867" s="299"/>
      <c r="AB867" s="299"/>
      <c r="AC867" s="300"/>
      <c r="AD867" s="300"/>
    </row>
    <row r="868" spans="1:30" ht="12.75" customHeight="1" x14ac:dyDescent="0.2">
      <c r="A868" s="296"/>
      <c r="B868" s="296"/>
      <c r="C868" s="296"/>
      <c r="D868" s="297"/>
      <c r="E868" s="298"/>
      <c r="F868" s="296"/>
      <c r="G868" s="296"/>
      <c r="H868" s="296"/>
      <c r="I868" s="296"/>
      <c r="J868" s="296"/>
      <c r="K868" s="296"/>
      <c r="L868" s="296"/>
      <c r="M868" s="299"/>
      <c r="N868" s="299"/>
      <c r="O868" s="299"/>
      <c r="P868" s="299"/>
      <c r="Q868" s="299"/>
      <c r="R868" s="299"/>
      <c r="S868" s="299"/>
      <c r="T868" s="299"/>
      <c r="U868" s="299"/>
      <c r="V868" s="299"/>
      <c r="W868" s="299"/>
      <c r="X868" s="299"/>
      <c r="Y868" s="299"/>
      <c r="Z868" s="299"/>
      <c r="AA868" s="299"/>
      <c r="AB868" s="299"/>
      <c r="AC868" s="300"/>
      <c r="AD868" s="300"/>
    </row>
    <row r="869" spans="1:30" ht="12.75" customHeight="1" x14ac:dyDescent="0.2">
      <c r="A869" s="296"/>
      <c r="B869" s="296"/>
      <c r="C869" s="296"/>
      <c r="D869" s="297"/>
      <c r="E869" s="298"/>
      <c r="F869" s="296"/>
      <c r="G869" s="296"/>
      <c r="H869" s="296"/>
      <c r="I869" s="296"/>
      <c r="J869" s="296"/>
      <c r="K869" s="296"/>
      <c r="L869" s="296"/>
      <c r="M869" s="299"/>
      <c r="N869" s="299"/>
      <c r="O869" s="299"/>
      <c r="P869" s="299"/>
      <c r="Q869" s="299"/>
      <c r="R869" s="299"/>
      <c r="S869" s="299"/>
      <c r="T869" s="299"/>
      <c r="U869" s="299"/>
      <c r="V869" s="299"/>
      <c r="W869" s="299"/>
      <c r="X869" s="299"/>
      <c r="Y869" s="299"/>
      <c r="Z869" s="299"/>
      <c r="AA869" s="299"/>
      <c r="AB869" s="299"/>
      <c r="AC869" s="300"/>
      <c r="AD869" s="300"/>
    </row>
    <row r="870" spans="1:30" ht="12.75" customHeight="1" x14ac:dyDescent="0.2">
      <c r="A870" s="296"/>
      <c r="B870" s="296"/>
      <c r="C870" s="296"/>
      <c r="D870" s="297"/>
      <c r="E870" s="298"/>
      <c r="F870" s="296"/>
      <c r="G870" s="296"/>
      <c r="H870" s="296"/>
      <c r="I870" s="296"/>
      <c r="J870" s="296"/>
      <c r="K870" s="296"/>
      <c r="L870" s="296"/>
      <c r="M870" s="299"/>
      <c r="N870" s="299"/>
      <c r="O870" s="299"/>
      <c r="P870" s="299"/>
      <c r="Q870" s="299"/>
      <c r="R870" s="299"/>
      <c r="S870" s="299"/>
      <c r="T870" s="299"/>
      <c r="U870" s="299"/>
      <c r="V870" s="299"/>
      <c r="W870" s="299"/>
      <c r="X870" s="299"/>
      <c r="Y870" s="299"/>
      <c r="Z870" s="299"/>
      <c r="AA870" s="299"/>
      <c r="AB870" s="299"/>
      <c r="AC870" s="300"/>
      <c r="AD870" s="300"/>
    </row>
    <row r="871" spans="1:30" ht="12.75" customHeight="1" x14ac:dyDescent="0.2">
      <c r="A871" s="296"/>
      <c r="B871" s="296"/>
      <c r="C871" s="296"/>
      <c r="D871" s="297"/>
      <c r="E871" s="298"/>
      <c r="F871" s="296"/>
      <c r="G871" s="296"/>
      <c r="H871" s="296"/>
      <c r="I871" s="296"/>
      <c r="J871" s="296"/>
      <c r="K871" s="296"/>
      <c r="L871" s="296"/>
      <c r="M871" s="299"/>
      <c r="N871" s="299"/>
      <c r="O871" s="299"/>
      <c r="P871" s="299"/>
      <c r="Q871" s="299"/>
      <c r="R871" s="299"/>
      <c r="S871" s="299"/>
      <c r="T871" s="299"/>
      <c r="U871" s="299"/>
      <c r="V871" s="299"/>
      <c r="W871" s="299"/>
      <c r="X871" s="299"/>
      <c r="Y871" s="299"/>
      <c r="Z871" s="299"/>
      <c r="AA871" s="299"/>
      <c r="AB871" s="299"/>
      <c r="AC871" s="300"/>
      <c r="AD871" s="300"/>
    </row>
    <row r="872" spans="1:30" ht="12.75" customHeight="1" x14ac:dyDescent="0.2">
      <c r="A872" s="296"/>
      <c r="B872" s="296"/>
      <c r="C872" s="296"/>
      <c r="D872" s="297"/>
      <c r="E872" s="298"/>
      <c r="F872" s="296"/>
      <c r="G872" s="296"/>
      <c r="H872" s="296"/>
      <c r="I872" s="296"/>
      <c r="J872" s="296"/>
      <c r="K872" s="296"/>
      <c r="L872" s="296"/>
      <c r="M872" s="299"/>
      <c r="N872" s="299"/>
      <c r="O872" s="299"/>
      <c r="P872" s="299"/>
      <c r="Q872" s="299"/>
      <c r="R872" s="299"/>
      <c r="S872" s="299"/>
      <c r="T872" s="299"/>
      <c r="U872" s="299"/>
      <c r="V872" s="299"/>
      <c r="W872" s="299"/>
      <c r="X872" s="299"/>
      <c r="Y872" s="299"/>
      <c r="Z872" s="299"/>
      <c r="AA872" s="299"/>
      <c r="AB872" s="299"/>
      <c r="AC872" s="300"/>
      <c r="AD872" s="300"/>
    </row>
    <row r="873" spans="1:30" ht="12.75" customHeight="1" x14ac:dyDescent="0.2">
      <c r="A873" s="296"/>
      <c r="B873" s="296"/>
      <c r="C873" s="296"/>
      <c r="D873" s="297"/>
      <c r="E873" s="298"/>
      <c r="F873" s="296"/>
      <c r="G873" s="296"/>
      <c r="H873" s="296"/>
      <c r="I873" s="296"/>
      <c r="J873" s="296"/>
      <c r="K873" s="296"/>
      <c r="L873" s="296"/>
      <c r="M873" s="299"/>
      <c r="N873" s="299"/>
      <c r="O873" s="299"/>
      <c r="P873" s="299"/>
      <c r="Q873" s="299"/>
      <c r="R873" s="299"/>
      <c r="S873" s="299"/>
      <c r="T873" s="299"/>
      <c r="U873" s="299"/>
      <c r="V873" s="299"/>
      <c r="W873" s="299"/>
      <c r="X873" s="299"/>
      <c r="Y873" s="299"/>
      <c r="Z873" s="299"/>
      <c r="AA873" s="299"/>
      <c r="AB873" s="299"/>
      <c r="AC873" s="300"/>
      <c r="AD873" s="300"/>
    </row>
    <row r="874" spans="1:30" ht="12.75" customHeight="1" x14ac:dyDescent="0.2">
      <c r="A874" s="296"/>
      <c r="B874" s="296"/>
      <c r="C874" s="296"/>
      <c r="D874" s="297"/>
      <c r="E874" s="298"/>
      <c r="F874" s="296"/>
      <c r="G874" s="296"/>
      <c r="H874" s="296"/>
      <c r="I874" s="296"/>
      <c r="J874" s="296"/>
      <c r="K874" s="296"/>
      <c r="L874" s="296"/>
      <c r="M874" s="299"/>
      <c r="N874" s="299"/>
      <c r="O874" s="299"/>
      <c r="P874" s="299"/>
      <c r="Q874" s="299"/>
      <c r="R874" s="299"/>
      <c r="S874" s="299"/>
      <c r="T874" s="299"/>
      <c r="U874" s="299"/>
      <c r="V874" s="299"/>
      <c r="W874" s="299"/>
      <c r="X874" s="299"/>
      <c r="Y874" s="299"/>
      <c r="Z874" s="299"/>
      <c r="AA874" s="299"/>
      <c r="AB874" s="299"/>
      <c r="AC874" s="300"/>
      <c r="AD874" s="300"/>
    </row>
    <row r="875" spans="1:30" ht="12.75" customHeight="1" x14ac:dyDescent="0.2">
      <c r="A875" s="296"/>
      <c r="B875" s="296"/>
      <c r="C875" s="296"/>
      <c r="D875" s="297"/>
      <c r="E875" s="298"/>
      <c r="F875" s="296"/>
      <c r="G875" s="296"/>
      <c r="H875" s="296"/>
      <c r="I875" s="296"/>
      <c r="J875" s="296"/>
      <c r="K875" s="296"/>
      <c r="L875" s="296"/>
      <c r="M875" s="299"/>
      <c r="N875" s="299"/>
      <c r="O875" s="299"/>
      <c r="P875" s="299"/>
      <c r="Q875" s="299"/>
      <c r="R875" s="299"/>
      <c r="S875" s="299"/>
      <c r="T875" s="299"/>
      <c r="U875" s="299"/>
      <c r="V875" s="299"/>
      <c r="W875" s="299"/>
      <c r="X875" s="299"/>
      <c r="Y875" s="299"/>
      <c r="Z875" s="299"/>
      <c r="AA875" s="299"/>
      <c r="AB875" s="299"/>
      <c r="AC875" s="300"/>
      <c r="AD875" s="300"/>
    </row>
    <row r="876" spans="1:30" ht="12.75" customHeight="1" x14ac:dyDescent="0.2">
      <c r="A876" s="296"/>
      <c r="B876" s="296"/>
      <c r="C876" s="296"/>
      <c r="D876" s="297"/>
      <c r="E876" s="298"/>
      <c r="F876" s="296"/>
      <c r="G876" s="296"/>
      <c r="H876" s="296"/>
      <c r="I876" s="296"/>
      <c r="J876" s="296"/>
      <c r="K876" s="296"/>
      <c r="L876" s="296"/>
      <c r="M876" s="299"/>
      <c r="N876" s="299"/>
      <c r="O876" s="299"/>
      <c r="P876" s="299"/>
      <c r="Q876" s="299"/>
      <c r="R876" s="299"/>
      <c r="S876" s="299"/>
      <c r="T876" s="299"/>
      <c r="U876" s="299"/>
      <c r="V876" s="299"/>
      <c r="W876" s="299"/>
      <c r="X876" s="299"/>
      <c r="Y876" s="299"/>
      <c r="Z876" s="299"/>
      <c r="AA876" s="299"/>
      <c r="AB876" s="299"/>
      <c r="AC876" s="300"/>
      <c r="AD876" s="300"/>
    </row>
    <row r="877" spans="1:30" ht="12.75" customHeight="1" x14ac:dyDescent="0.2">
      <c r="A877" s="296"/>
      <c r="B877" s="296"/>
      <c r="C877" s="296"/>
      <c r="D877" s="297"/>
      <c r="E877" s="298"/>
      <c r="F877" s="296"/>
      <c r="G877" s="296"/>
      <c r="H877" s="296"/>
      <c r="I877" s="296"/>
      <c r="J877" s="296"/>
      <c r="K877" s="296"/>
      <c r="L877" s="296"/>
      <c r="M877" s="299"/>
      <c r="N877" s="299"/>
      <c r="O877" s="299"/>
      <c r="P877" s="299"/>
      <c r="Q877" s="299"/>
      <c r="R877" s="299"/>
      <c r="S877" s="299"/>
      <c r="T877" s="299"/>
      <c r="U877" s="299"/>
      <c r="V877" s="299"/>
      <c r="W877" s="299"/>
      <c r="X877" s="299"/>
      <c r="Y877" s="299"/>
      <c r="Z877" s="299"/>
      <c r="AA877" s="299"/>
      <c r="AB877" s="299"/>
      <c r="AC877" s="300"/>
      <c r="AD877" s="300"/>
    </row>
    <row r="878" spans="1:30" ht="12.75" customHeight="1" x14ac:dyDescent="0.2">
      <c r="A878" s="296"/>
      <c r="B878" s="296"/>
      <c r="C878" s="296"/>
      <c r="D878" s="297"/>
      <c r="E878" s="298"/>
      <c r="F878" s="296"/>
      <c r="G878" s="296"/>
      <c r="H878" s="296"/>
      <c r="I878" s="296"/>
      <c r="J878" s="296"/>
      <c r="K878" s="296"/>
      <c r="L878" s="296"/>
      <c r="M878" s="299"/>
      <c r="N878" s="299"/>
      <c r="O878" s="299"/>
      <c r="P878" s="299"/>
      <c r="Q878" s="299"/>
      <c r="R878" s="299"/>
      <c r="S878" s="299"/>
      <c r="T878" s="299"/>
      <c r="U878" s="299"/>
      <c r="V878" s="299"/>
      <c r="W878" s="299"/>
      <c r="X878" s="299"/>
      <c r="Y878" s="299"/>
      <c r="Z878" s="299"/>
      <c r="AA878" s="299"/>
      <c r="AB878" s="299"/>
      <c r="AC878" s="300"/>
      <c r="AD878" s="300"/>
    </row>
    <row r="879" spans="1:30" ht="12.75" customHeight="1" x14ac:dyDescent="0.2">
      <c r="A879" s="296"/>
      <c r="B879" s="296"/>
      <c r="C879" s="296"/>
      <c r="D879" s="297"/>
      <c r="E879" s="298"/>
      <c r="F879" s="296"/>
      <c r="G879" s="296"/>
      <c r="H879" s="296"/>
      <c r="I879" s="296"/>
      <c r="J879" s="296"/>
      <c r="K879" s="296"/>
      <c r="L879" s="296"/>
      <c r="M879" s="299"/>
      <c r="N879" s="299"/>
      <c r="O879" s="299"/>
      <c r="P879" s="299"/>
      <c r="Q879" s="299"/>
      <c r="R879" s="299"/>
      <c r="S879" s="299"/>
      <c r="T879" s="299"/>
      <c r="U879" s="299"/>
      <c r="V879" s="299"/>
      <c r="W879" s="299"/>
      <c r="X879" s="299"/>
      <c r="Y879" s="299"/>
      <c r="Z879" s="299"/>
      <c r="AA879" s="299"/>
      <c r="AB879" s="299"/>
      <c r="AC879" s="300"/>
      <c r="AD879" s="300"/>
    </row>
    <row r="880" spans="1:30" ht="12.75" customHeight="1" x14ac:dyDescent="0.2">
      <c r="A880" s="296"/>
      <c r="B880" s="296"/>
      <c r="C880" s="296"/>
      <c r="D880" s="297"/>
      <c r="E880" s="298"/>
      <c r="F880" s="296"/>
      <c r="G880" s="296"/>
      <c r="H880" s="296"/>
      <c r="I880" s="296"/>
      <c r="J880" s="296"/>
      <c r="K880" s="296"/>
      <c r="L880" s="296"/>
      <c r="M880" s="299"/>
      <c r="N880" s="299"/>
      <c r="O880" s="299"/>
      <c r="P880" s="299"/>
      <c r="Q880" s="299"/>
      <c r="R880" s="299"/>
      <c r="S880" s="299"/>
      <c r="T880" s="299"/>
      <c r="U880" s="299"/>
      <c r="V880" s="299"/>
      <c r="W880" s="299"/>
      <c r="X880" s="299"/>
      <c r="Y880" s="299"/>
      <c r="Z880" s="299"/>
      <c r="AA880" s="299"/>
      <c r="AB880" s="299"/>
      <c r="AC880" s="300"/>
      <c r="AD880" s="300"/>
    </row>
    <row r="881" spans="1:30" ht="12.75" customHeight="1" x14ac:dyDescent="0.2">
      <c r="A881" s="296"/>
      <c r="B881" s="296"/>
      <c r="C881" s="296"/>
      <c r="D881" s="297"/>
      <c r="E881" s="298"/>
      <c r="F881" s="296"/>
      <c r="G881" s="296"/>
      <c r="H881" s="296"/>
      <c r="I881" s="296"/>
      <c r="J881" s="296"/>
      <c r="K881" s="296"/>
      <c r="L881" s="296"/>
      <c r="M881" s="299"/>
      <c r="N881" s="299"/>
      <c r="O881" s="299"/>
      <c r="P881" s="299"/>
      <c r="Q881" s="299"/>
      <c r="R881" s="299"/>
      <c r="S881" s="299"/>
      <c r="T881" s="299"/>
      <c r="U881" s="299"/>
      <c r="V881" s="299"/>
      <c r="W881" s="299"/>
      <c r="X881" s="299"/>
      <c r="Y881" s="299"/>
      <c r="Z881" s="299"/>
      <c r="AA881" s="299"/>
      <c r="AB881" s="299"/>
      <c r="AC881" s="300"/>
      <c r="AD881" s="300"/>
    </row>
    <row r="882" spans="1:30" ht="12.75" customHeight="1" x14ac:dyDescent="0.2">
      <c r="A882" s="296"/>
      <c r="B882" s="296"/>
      <c r="C882" s="296"/>
      <c r="D882" s="297"/>
      <c r="E882" s="298"/>
      <c r="F882" s="296"/>
      <c r="G882" s="296"/>
      <c r="H882" s="296"/>
      <c r="I882" s="296"/>
      <c r="J882" s="296"/>
      <c r="K882" s="296"/>
      <c r="L882" s="296"/>
      <c r="M882" s="299"/>
      <c r="N882" s="299"/>
      <c r="O882" s="299"/>
      <c r="P882" s="299"/>
      <c r="Q882" s="299"/>
      <c r="R882" s="299"/>
      <c r="S882" s="299"/>
      <c r="T882" s="299"/>
      <c r="U882" s="299"/>
      <c r="V882" s="299"/>
      <c r="W882" s="299"/>
      <c r="X882" s="299"/>
      <c r="Y882" s="299"/>
      <c r="Z882" s="299"/>
      <c r="AA882" s="299"/>
      <c r="AB882" s="299"/>
      <c r="AC882" s="300"/>
      <c r="AD882" s="300"/>
    </row>
    <row r="883" spans="1:30" ht="12.75" customHeight="1" x14ac:dyDescent="0.2">
      <c r="A883" s="296"/>
      <c r="B883" s="296"/>
      <c r="C883" s="296"/>
      <c r="D883" s="297"/>
      <c r="E883" s="298"/>
      <c r="F883" s="296"/>
      <c r="G883" s="296"/>
      <c r="H883" s="296"/>
      <c r="I883" s="296"/>
      <c r="J883" s="296"/>
      <c r="K883" s="296"/>
      <c r="L883" s="296"/>
      <c r="M883" s="299"/>
      <c r="N883" s="299"/>
      <c r="O883" s="299"/>
      <c r="P883" s="299"/>
      <c r="Q883" s="299"/>
      <c r="R883" s="299"/>
      <c r="S883" s="299"/>
      <c r="T883" s="299"/>
      <c r="U883" s="299"/>
      <c r="V883" s="299"/>
      <c r="W883" s="299"/>
      <c r="X883" s="299"/>
      <c r="Y883" s="299"/>
      <c r="Z883" s="299"/>
      <c r="AA883" s="299"/>
      <c r="AB883" s="299"/>
      <c r="AC883" s="300"/>
      <c r="AD883" s="300"/>
    </row>
    <row r="884" spans="1:30" ht="12.75" customHeight="1" x14ac:dyDescent="0.2">
      <c r="A884" s="296"/>
      <c r="B884" s="296"/>
      <c r="C884" s="296"/>
      <c r="D884" s="297"/>
      <c r="E884" s="298"/>
      <c r="F884" s="296"/>
      <c r="G884" s="296"/>
      <c r="H884" s="296"/>
      <c r="I884" s="296"/>
      <c r="J884" s="296"/>
      <c r="K884" s="296"/>
      <c r="L884" s="296"/>
      <c r="M884" s="299"/>
      <c r="N884" s="299"/>
      <c r="O884" s="299"/>
      <c r="P884" s="299"/>
      <c r="Q884" s="299"/>
      <c r="R884" s="299"/>
      <c r="S884" s="299"/>
      <c r="T884" s="299"/>
      <c r="U884" s="299"/>
      <c r="V884" s="299"/>
      <c r="W884" s="299"/>
      <c r="X884" s="299"/>
      <c r="Y884" s="299"/>
      <c r="Z884" s="299"/>
      <c r="AA884" s="299"/>
      <c r="AB884" s="299"/>
      <c r="AC884" s="300"/>
      <c r="AD884" s="300"/>
    </row>
    <row r="885" spans="1:30" ht="12.75" customHeight="1" x14ac:dyDescent="0.2">
      <c r="A885" s="296"/>
      <c r="B885" s="296"/>
      <c r="C885" s="296"/>
      <c r="D885" s="297"/>
      <c r="E885" s="298"/>
      <c r="F885" s="296"/>
      <c r="G885" s="296"/>
      <c r="H885" s="296"/>
      <c r="I885" s="296"/>
      <c r="J885" s="296"/>
      <c r="K885" s="296"/>
      <c r="L885" s="296"/>
      <c r="M885" s="299"/>
      <c r="N885" s="299"/>
      <c r="O885" s="299"/>
      <c r="P885" s="299"/>
      <c r="Q885" s="299"/>
      <c r="R885" s="299"/>
      <c r="S885" s="299"/>
      <c r="T885" s="299"/>
      <c r="U885" s="299"/>
      <c r="V885" s="299"/>
      <c r="W885" s="299"/>
      <c r="X885" s="299"/>
      <c r="Y885" s="299"/>
      <c r="Z885" s="299"/>
      <c r="AA885" s="299"/>
      <c r="AB885" s="299"/>
      <c r="AC885" s="300"/>
      <c r="AD885" s="300"/>
    </row>
    <row r="886" spans="1:30" ht="12.75" customHeight="1" x14ac:dyDescent="0.2">
      <c r="A886" s="296"/>
      <c r="B886" s="296"/>
      <c r="C886" s="296"/>
      <c r="D886" s="297"/>
      <c r="E886" s="298"/>
      <c r="F886" s="296"/>
      <c r="G886" s="296"/>
      <c r="H886" s="296"/>
      <c r="I886" s="296"/>
      <c r="J886" s="296"/>
      <c r="K886" s="296"/>
      <c r="L886" s="296"/>
      <c r="M886" s="299"/>
      <c r="N886" s="299"/>
      <c r="O886" s="299"/>
      <c r="P886" s="299"/>
      <c r="Q886" s="299"/>
      <c r="R886" s="299"/>
      <c r="S886" s="299"/>
      <c r="T886" s="299"/>
      <c r="U886" s="299"/>
      <c r="V886" s="299"/>
      <c r="W886" s="299"/>
      <c r="X886" s="299"/>
      <c r="Y886" s="299"/>
      <c r="Z886" s="299"/>
      <c r="AA886" s="299"/>
      <c r="AB886" s="299"/>
      <c r="AC886" s="300"/>
      <c r="AD886" s="300"/>
    </row>
    <row r="887" spans="1:30" ht="12.75" customHeight="1" x14ac:dyDescent="0.2">
      <c r="A887" s="296"/>
      <c r="B887" s="296"/>
      <c r="C887" s="296"/>
      <c r="D887" s="297"/>
      <c r="E887" s="298"/>
      <c r="F887" s="296"/>
      <c r="G887" s="296"/>
      <c r="H887" s="296"/>
      <c r="I887" s="296"/>
      <c r="J887" s="296"/>
      <c r="K887" s="296"/>
      <c r="L887" s="296"/>
      <c r="M887" s="299"/>
      <c r="N887" s="299"/>
      <c r="O887" s="299"/>
      <c r="P887" s="299"/>
      <c r="Q887" s="299"/>
      <c r="R887" s="299"/>
      <c r="S887" s="299"/>
      <c r="T887" s="299"/>
      <c r="U887" s="299"/>
      <c r="V887" s="299"/>
      <c r="W887" s="299"/>
      <c r="X887" s="299"/>
      <c r="Y887" s="299"/>
      <c r="Z887" s="299"/>
      <c r="AA887" s="299"/>
      <c r="AB887" s="299"/>
      <c r="AC887" s="300"/>
      <c r="AD887" s="300"/>
    </row>
    <row r="888" spans="1:30" ht="12.75" customHeight="1" x14ac:dyDescent="0.2">
      <c r="A888" s="296"/>
      <c r="B888" s="296"/>
      <c r="C888" s="296"/>
      <c r="D888" s="297"/>
      <c r="E888" s="298"/>
      <c r="F888" s="296"/>
      <c r="G888" s="296"/>
      <c r="H888" s="296"/>
      <c r="I888" s="296"/>
      <c r="J888" s="296"/>
      <c r="K888" s="296"/>
      <c r="L888" s="296"/>
      <c r="M888" s="299"/>
      <c r="N888" s="299"/>
      <c r="O888" s="299"/>
      <c r="P888" s="299"/>
      <c r="Q888" s="299"/>
      <c r="R888" s="299"/>
      <c r="S888" s="299"/>
      <c r="T888" s="299"/>
      <c r="U888" s="299"/>
      <c r="V888" s="299"/>
      <c r="W888" s="299"/>
      <c r="X888" s="299"/>
      <c r="Y888" s="299"/>
      <c r="Z888" s="299"/>
      <c r="AA888" s="299"/>
      <c r="AB888" s="299"/>
      <c r="AC888" s="300"/>
      <c r="AD888" s="300"/>
    </row>
    <row r="889" spans="1:30" ht="12.75" customHeight="1" x14ac:dyDescent="0.2">
      <c r="A889" s="296"/>
      <c r="B889" s="296"/>
      <c r="C889" s="296"/>
      <c r="D889" s="297"/>
      <c r="E889" s="298"/>
      <c r="F889" s="296"/>
      <c r="G889" s="296"/>
      <c r="H889" s="296"/>
      <c r="I889" s="296"/>
      <c r="J889" s="296"/>
      <c r="K889" s="296"/>
      <c r="L889" s="296"/>
      <c r="M889" s="299"/>
      <c r="N889" s="299"/>
      <c r="O889" s="299"/>
      <c r="P889" s="299"/>
      <c r="Q889" s="299"/>
      <c r="R889" s="299"/>
      <c r="S889" s="299"/>
      <c r="T889" s="299"/>
      <c r="U889" s="299"/>
      <c r="V889" s="299"/>
      <c r="W889" s="299"/>
      <c r="X889" s="299"/>
      <c r="Y889" s="299"/>
      <c r="Z889" s="299"/>
      <c r="AA889" s="299"/>
      <c r="AB889" s="299"/>
      <c r="AC889" s="300"/>
      <c r="AD889" s="300"/>
    </row>
    <row r="890" spans="1:30" ht="12.75" customHeight="1" x14ac:dyDescent="0.2">
      <c r="A890" s="296"/>
      <c r="B890" s="296"/>
      <c r="C890" s="296"/>
      <c r="D890" s="297"/>
      <c r="E890" s="298"/>
      <c r="F890" s="296"/>
      <c r="G890" s="296"/>
      <c r="H890" s="296"/>
      <c r="I890" s="296"/>
      <c r="J890" s="296"/>
      <c r="K890" s="296"/>
      <c r="L890" s="296"/>
      <c r="M890" s="299"/>
      <c r="N890" s="299"/>
      <c r="O890" s="299"/>
      <c r="P890" s="299"/>
      <c r="Q890" s="299"/>
      <c r="R890" s="299"/>
      <c r="S890" s="299"/>
      <c r="T890" s="299"/>
      <c r="U890" s="299"/>
      <c r="V890" s="299"/>
      <c r="W890" s="299"/>
      <c r="X890" s="299"/>
      <c r="Y890" s="299"/>
      <c r="Z890" s="299"/>
      <c r="AA890" s="299"/>
      <c r="AB890" s="299"/>
      <c r="AC890" s="300"/>
      <c r="AD890" s="300"/>
    </row>
    <row r="891" spans="1:30" ht="12.75" customHeight="1" x14ac:dyDescent="0.2">
      <c r="A891" s="296"/>
      <c r="B891" s="296"/>
      <c r="C891" s="296"/>
      <c r="D891" s="297"/>
      <c r="E891" s="298"/>
      <c r="F891" s="296"/>
      <c r="G891" s="296"/>
      <c r="H891" s="296"/>
      <c r="I891" s="296"/>
      <c r="J891" s="296"/>
      <c r="K891" s="296"/>
      <c r="L891" s="296"/>
      <c r="M891" s="299"/>
      <c r="N891" s="299"/>
      <c r="O891" s="299"/>
      <c r="P891" s="299"/>
      <c r="Q891" s="299"/>
      <c r="R891" s="299"/>
      <c r="S891" s="299"/>
      <c r="T891" s="299"/>
      <c r="U891" s="299"/>
      <c r="V891" s="299"/>
      <c r="W891" s="299"/>
      <c r="X891" s="299"/>
      <c r="Y891" s="299"/>
      <c r="Z891" s="299"/>
      <c r="AA891" s="299"/>
      <c r="AB891" s="299"/>
      <c r="AC891" s="300"/>
      <c r="AD891" s="300"/>
    </row>
    <row r="892" spans="1:30" ht="12.75" customHeight="1" x14ac:dyDescent="0.2">
      <c r="A892" s="296"/>
      <c r="B892" s="296"/>
      <c r="C892" s="296"/>
      <c r="D892" s="297"/>
      <c r="E892" s="298"/>
      <c r="F892" s="296"/>
      <c r="G892" s="296"/>
      <c r="H892" s="296"/>
      <c r="I892" s="296"/>
      <c r="J892" s="296"/>
      <c r="K892" s="296"/>
      <c r="L892" s="296"/>
      <c r="M892" s="299"/>
      <c r="N892" s="299"/>
      <c r="O892" s="299"/>
      <c r="P892" s="299"/>
      <c r="Q892" s="299"/>
      <c r="R892" s="299"/>
      <c r="S892" s="299"/>
      <c r="T892" s="299"/>
      <c r="U892" s="299"/>
      <c r="V892" s="299"/>
      <c r="W892" s="299"/>
      <c r="X892" s="299"/>
      <c r="Y892" s="299"/>
      <c r="Z892" s="299"/>
      <c r="AA892" s="299"/>
      <c r="AB892" s="299"/>
      <c r="AC892" s="300"/>
      <c r="AD892" s="300"/>
    </row>
    <row r="893" spans="1:30" ht="12.75" customHeight="1" x14ac:dyDescent="0.2">
      <c r="A893" s="296"/>
      <c r="B893" s="296"/>
      <c r="C893" s="296"/>
      <c r="D893" s="297"/>
      <c r="E893" s="298"/>
      <c r="F893" s="296"/>
      <c r="G893" s="296"/>
      <c r="H893" s="296"/>
      <c r="I893" s="296"/>
      <c r="J893" s="296"/>
      <c r="K893" s="296"/>
      <c r="L893" s="296"/>
      <c r="M893" s="299"/>
      <c r="N893" s="299"/>
      <c r="O893" s="299"/>
      <c r="P893" s="299"/>
      <c r="Q893" s="299"/>
      <c r="R893" s="299"/>
      <c r="S893" s="299"/>
      <c r="T893" s="299"/>
      <c r="U893" s="299"/>
      <c r="V893" s="299"/>
      <c r="W893" s="299"/>
      <c r="X893" s="299"/>
      <c r="Y893" s="299"/>
      <c r="Z893" s="299"/>
      <c r="AA893" s="299"/>
      <c r="AB893" s="299"/>
      <c r="AC893" s="300"/>
      <c r="AD893" s="300"/>
    </row>
    <row r="894" spans="1:30" ht="12.75" customHeight="1" x14ac:dyDescent="0.2">
      <c r="A894" s="296"/>
      <c r="B894" s="296"/>
      <c r="C894" s="296"/>
      <c r="D894" s="297"/>
      <c r="E894" s="298"/>
      <c r="F894" s="296"/>
      <c r="G894" s="296"/>
      <c r="H894" s="296"/>
      <c r="I894" s="296"/>
      <c r="J894" s="296"/>
      <c r="K894" s="296"/>
      <c r="L894" s="296"/>
      <c r="M894" s="299"/>
      <c r="N894" s="299"/>
      <c r="O894" s="299"/>
      <c r="P894" s="299"/>
      <c r="Q894" s="299"/>
      <c r="R894" s="299"/>
      <c r="S894" s="299"/>
      <c r="T894" s="299"/>
      <c r="U894" s="299"/>
      <c r="V894" s="299"/>
      <c r="W894" s="299"/>
      <c r="X894" s="299"/>
      <c r="Y894" s="299"/>
      <c r="Z894" s="299"/>
      <c r="AA894" s="299"/>
      <c r="AB894" s="299"/>
      <c r="AC894" s="300"/>
      <c r="AD894" s="300"/>
    </row>
    <row r="895" spans="1:30" ht="12.75" customHeight="1" x14ac:dyDescent="0.2">
      <c r="A895" s="296"/>
      <c r="B895" s="296"/>
      <c r="C895" s="296"/>
      <c r="D895" s="297"/>
      <c r="E895" s="298"/>
      <c r="F895" s="296"/>
      <c r="G895" s="296"/>
      <c r="H895" s="296"/>
      <c r="I895" s="296"/>
      <c r="J895" s="296"/>
      <c r="K895" s="296"/>
      <c r="L895" s="296"/>
      <c r="M895" s="299"/>
      <c r="N895" s="299"/>
      <c r="O895" s="299"/>
      <c r="P895" s="299"/>
      <c r="Q895" s="299"/>
      <c r="R895" s="299"/>
      <c r="S895" s="299"/>
      <c r="T895" s="299"/>
      <c r="U895" s="299"/>
      <c r="V895" s="299"/>
      <c r="W895" s="299"/>
      <c r="X895" s="299"/>
      <c r="Y895" s="299"/>
      <c r="Z895" s="299"/>
      <c r="AA895" s="299"/>
      <c r="AB895" s="299"/>
      <c r="AC895" s="300"/>
      <c r="AD895" s="300"/>
    </row>
    <row r="896" spans="1:30" ht="12.75" customHeight="1" x14ac:dyDescent="0.2">
      <c r="A896" s="296"/>
      <c r="B896" s="296"/>
      <c r="C896" s="296"/>
      <c r="D896" s="297"/>
      <c r="E896" s="298"/>
      <c r="F896" s="296"/>
      <c r="G896" s="296"/>
      <c r="H896" s="296"/>
      <c r="I896" s="296"/>
      <c r="J896" s="296"/>
      <c r="K896" s="296"/>
      <c r="L896" s="296"/>
      <c r="M896" s="299"/>
      <c r="N896" s="299"/>
      <c r="O896" s="299"/>
      <c r="P896" s="299"/>
      <c r="Q896" s="299"/>
      <c r="R896" s="299"/>
      <c r="S896" s="299"/>
      <c r="T896" s="299"/>
      <c r="U896" s="299"/>
      <c r="V896" s="299"/>
      <c r="W896" s="299"/>
      <c r="X896" s="299"/>
      <c r="Y896" s="299"/>
      <c r="Z896" s="299"/>
      <c r="AA896" s="299"/>
      <c r="AB896" s="299"/>
      <c r="AC896" s="300"/>
      <c r="AD896" s="300"/>
    </row>
    <row r="897" spans="1:30" ht="12.75" customHeight="1" x14ac:dyDescent="0.2">
      <c r="A897" s="296"/>
      <c r="B897" s="296"/>
      <c r="C897" s="296"/>
      <c r="D897" s="297"/>
      <c r="E897" s="298"/>
      <c r="F897" s="296"/>
      <c r="G897" s="296"/>
      <c r="H897" s="296"/>
      <c r="I897" s="296"/>
      <c r="J897" s="296"/>
      <c r="K897" s="296"/>
      <c r="L897" s="296"/>
      <c r="M897" s="299"/>
      <c r="N897" s="299"/>
      <c r="O897" s="299"/>
      <c r="P897" s="299"/>
      <c r="Q897" s="299"/>
      <c r="R897" s="299"/>
      <c r="S897" s="299"/>
      <c r="T897" s="299"/>
      <c r="U897" s="299"/>
      <c r="V897" s="299"/>
      <c r="W897" s="299"/>
      <c r="X897" s="299"/>
      <c r="Y897" s="299"/>
      <c r="Z897" s="299"/>
      <c r="AA897" s="299"/>
      <c r="AB897" s="299"/>
      <c r="AC897" s="300"/>
      <c r="AD897" s="300"/>
    </row>
    <row r="898" spans="1:30" ht="12.75" customHeight="1" x14ac:dyDescent="0.2">
      <c r="A898" s="296"/>
      <c r="B898" s="296"/>
      <c r="C898" s="296"/>
      <c r="D898" s="297"/>
      <c r="E898" s="298"/>
      <c r="F898" s="296"/>
      <c r="G898" s="296"/>
      <c r="H898" s="296"/>
      <c r="I898" s="296"/>
      <c r="J898" s="296"/>
      <c r="K898" s="296"/>
      <c r="L898" s="296"/>
      <c r="M898" s="299"/>
      <c r="N898" s="299"/>
      <c r="O898" s="299"/>
      <c r="P898" s="299"/>
      <c r="Q898" s="299"/>
      <c r="R898" s="299"/>
      <c r="S898" s="299"/>
      <c r="T898" s="299"/>
      <c r="U898" s="299"/>
      <c r="V898" s="299"/>
      <c r="W898" s="299"/>
      <c r="X898" s="299"/>
      <c r="Y898" s="299"/>
      <c r="Z898" s="299"/>
      <c r="AA898" s="299"/>
      <c r="AB898" s="299"/>
      <c r="AC898" s="300"/>
      <c r="AD898" s="300"/>
    </row>
    <row r="899" spans="1:30" ht="12.75" customHeight="1" x14ac:dyDescent="0.2">
      <c r="A899" s="296"/>
      <c r="B899" s="296"/>
      <c r="C899" s="296"/>
      <c r="D899" s="297"/>
      <c r="E899" s="298"/>
      <c r="F899" s="296"/>
      <c r="G899" s="296"/>
      <c r="H899" s="296"/>
      <c r="I899" s="296"/>
      <c r="J899" s="296"/>
      <c r="K899" s="296"/>
      <c r="L899" s="296"/>
      <c r="M899" s="299"/>
      <c r="N899" s="299"/>
      <c r="O899" s="299"/>
      <c r="P899" s="299"/>
      <c r="Q899" s="299"/>
      <c r="R899" s="299"/>
      <c r="S899" s="299"/>
      <c r="T899" s="299"/>
      <c r="U899" s="299"/>
      <c r="V899" s="299"/>
      <c r="W899" s="299"/>
      <c r="X899" s="299"/>
      <c r="Y899" s="299"/>
      <c r="Z899" s="299"/>
      <c r="AA899" s="299"/>
      <c r="AB899" s="299"/>
      <c r="AC899" s="300"/>
      <c r="AD899" s="300"/>
    </row>
    <row r="900" spans="1:30" ht="12.75" customHeight="1" x14ac:dyDescent="0.2">
      <c r="A900" s="296"/>
      <c r="B900" s="296"/>
      <c r="C900" s="296"/>
      <c r="D900" s="297"/>
      <c r="E900" s="298"/>
      <c r="F900" s="296"/>
      <c r="G900" s="296"/>
      <c r="H900" s="296"/>
      <c r="I900" s="296"/>
      <c r="J900" s="296"/>
      <c r="K900" s="296"/>
      <c r="L900" s="296"/>
      <c r="M900" s="299"/>
      <c r="N900" s="299"/>
      <c r="O900" s="299"/>
      <c r="P900" s="299"/>
      <c r="Q900" s="299"/>
      <c r="R900" s="299"/>
      <c r="S900" s="299"/>
      <c r="T900" s="299"/>
      <c r="U900" s="299"/>
      <c r="V900" s="299"/>
      <c r="W900" s="299"/>
      <c r="X900" s="299"/>
      <c r="Y900" s="299"/>
      <c r="Z900" s="299"/>
      <c r="AA900" s="299"/>
      <c r="AB900" s="299"/>
      <c r="AC900" s="300"/>
      <c r="AD900" s="300"/>
    </row>
    <row r="901" spans="1:30" ht="12.75" customHeight="1" x14ac:dyDescent="0.2">
      <c r="A901" s="296"/>
      <c r="B901" s="296"/>
      <c r="C901" s="296"/>
      <c r="D901" s="297"/>
      <c r="E901" s="298"/>
      <c r="F901" s="296"/>
      <c r="G901" s="296"/>
      <c r="H901" s="296"/>
      <c r="I901" s="296"/>
      <c r="J901" s="296"/>
      <c r="K901" s="296"/>
      <c r="L901" s="296"/>
      <c r="M901" s="299"/>
      <c r="N901" s="299"/>
      <c r="O901" s="299"/>
      <c r="P901" s="299"/>
      <c r="Q901" s="299"/>
      <c r="R901" s="299"/>
      <c r="S901" s="299"/>
      <c r="T901" s="299"/>
      <c r="U901" s="299"/>
      <c r="V901" s="299"/>
      <c r="W901" s="299"/>
      <c r="X901" s="299"/>
      <c r="Y901" s="299"/>
      <c r="Z901" s="299"/>
      <c r="AA901" s="299"/>
      <c r="AB901" s="299"/>
      <c r="AC901" s="300"/>
      <c r="AD901" s="300"/>
    </row>
    <row r="902" spans="1:30" ht="12.75" customHeight="1" x14ac:dyDescent="0.2">
      <c r="A902" s="296"/>
      <c r="B902" s="296"/>
      <c r="C902" s="296"/>
      <c r="D902" s="297"/>
      <c r="E902" s="298"/>
      <c r="F902" s="296"/>
      <c r="G902" s="296"/>
      <c r="H902" s="296"/>
      <c r="I902" s="296"/>
      <c r="J902" s="296"/>
      <c r="K902" s="296"/>
      <c r="L902" s="296"/>
      <c r="M902" s="299"/>
      <c r="N902" s="299"/>
      <c r="O902" s="299"/>
      <c r="P902" s="299"/>
      <c r="Q902" s="299"/>
      <c r="R902" s="299"/>
      <c r="S902" s="299"/>
      <c r="T902" s="299"/>
      <c r="U902" s="299"/>
      <c r="V902" s="299"/>
      <c r="W902" s="299"/>
      <c r="X902" s="299"/>
      <c r="Y902" s="299"/>
      <c r="Z902" s="299"/>
      <c r="AA902" s="299"/>
      <c r="AB902" s="299"/>
      <c r="AC902" s="300"/>
      <c r="AD902" s="300"/>
    </row>
    <row r="903" spans="1:30" ht="12.75" customHeight="1" x14ac:dyDescent="0.2">
      <c r="A903" s="296"/>
      <c r="B903" s="296"/>
      <c r="C903" s="296"/>
      <c r="D903" s="297"/>
      <c r="E903" s="298"/>
      <c r="F903" s="296"/>
      <c r="G903" s="296"/>
      <c r="H903" s="296"/>
      <c r="I903" s="296"/>
      <c r="J903" s="296"/>
      <c r="K903" s="296"/>
      <c r="L903" s="296"/>
      <c r="M903" s="299"/>
      <c r="N903" s="299"/>
      <c r="O903" s="299"/>
      <c r="P903" s="299"/>
      <c r="Q903" s="299"/>
      <c r="R903" s="299"/>
      <c r="S903" s="299"/>
      <c r="T903" s="299"/>
      <c r="U903" s="299"/>
      <c r="V903" s="299"/>
      <c r="W903" s="299"/>
      <c r="X903" s="299"/>
      <c r="Y903" s="299"/>
      <c r="Z903" s="299"/>
      <c r="AA903" s="299"/>
      <c r="AB903" s="299"/>
      <c r="AC903" s="300"/>
      <c r="AD903" s="300"/>
    </row>
    <row r="904" spans="1:30" ht="12.75" customHeight="1" x14ac:dyDescent="0.2">
      <c r="A904" s="296"/>
      <c r="B904" s="296"/>
      <c r="C904" s="296"/>
      <c r="D904" s="297"/>
      <c r="E904" s="298"/>
      <c r="F904" s="296"/>
      <c r="G904" s="296"/>
      <c r="H904" s="296"/>
      <c r="I904" s="296"/>
      <c r="J904" s="296"/>
      <c r="K904" s="296"/>
      <c r="L904" s="296"/>
      <c r="M904" s="299"/>
      <c r="N904" s="299"/>
      <c r="O904" s="299"/>
      <c r="P904" s="299"/>
      <c r="Q904" s="299"/>
      <c r="R904" s="299"/>
      <c r="S904" s="299"/>
      <c r="T904" s="299"/>
      <c r="U904" s="299"/>
      <c r="V904" s="299"/>
      <c r="W904" s="299"/>
      <c r="X904" s="299"/>
      <c r="Y904" s="299"/>
      <c r="Z904" s="299"/>
      <c r="AA904" s="299"/>
      <c r="AB904" s="299"/>
      <c r="AC904" s="300"/>
      <c r="AD904" s="300"/>
    </row>
    <row r="905" spans="1:30" ht="12.75" customHeight="1" x14ac:dyDescent="0.2">
      <c r="A905" s="296"/>
      <c r="B905" s="296"/>
      <c r="C905" s="296"/>
      <c r="D905" s="297"/>
      <c r="E905" s="298"/>
      <c r="F905" s="296"/>
      <c r="G905" s="296"/>
      <c r="H905" s="296"/>
      <c r="I905" s="296"/>
      <c r="J905" s="296"/>
      <c r="K905" s="296"/>
      <c r="L905" s="296"/>
      <c r="M905" s="299"/>
      <c r="N905" s="299"/>
      <c r="O905" s="299"/>
      <c r="P905" s="299"/>
      <c r="Q905" s="299"/>
      <c r="R905" s="299"/>
      <c r="S905" s="299"/>
      <c r="T905" s="299"/>
      <c r="U905" s="299"/>
      <c r="V905" s="299"/>
      <c r="W905" s="299"/>
      <c r="X905" s="299"/>
      <c r="Y905" s="299"/>
      <c r="Z905" s="299"/>
      <c r="AA905" s="299"/>
      <c r="AB905" s="299"/>
      <c r="AC905" s="300"/>
      <c r="AD905" s="300"/>
    </row>
    <row r="906" spans="1:30" ht="12.75" customHeight="1" x14ac:dyDescent="0.2">
      <c r="A906" s="296"/>
      <c r="B906" s="296"/>
      <c r="C906" s="296"/>
      <c r="D906" s="297"/>
      <c r="E906" s="298"/>
      <c r="F906" s="296"/>
      <c r="G906" s="296"/>
      <c r="H906" s="296"/>
      <c r="I906" s="296"/>
      <c r="J906" s="296"/>
      <c r="K906" s="296"/>
      <c r="L906" s="296"/>
      <c r="M906" s="299"/>
      <c r="N906" s="299"/>
      <c r="O906" s="299"/>
      <c r="P906" s="299"/>
      <c r="Q906" s="299"/>
      <c r="R906" s="299"/>
      <c r="S906" s="299"/>
      <c r="T906" s="299"/>
      <c r="U906" s="299"/>
      <c r="V906" s="299"/>
      <c r="W906" s="299"/>
      <c r="X906" s="299"/>
      <c r="Y906" s="299"/>
      <c r="Z906" s="299"/>
      <c r="AA906" s="299"/>
      <c r="AB906" s="299"/>
      <c r="AC906" s="300"/>
      <c r="AD906" s="300"/>
    </row>
    <row r="907" spans="1:30" ht="12.75" customHeight="1" x14ac:dyDescent="0.2">
      <c r="A907" s="296"/>
      <c r="B907" s="296"/>
      <c r="C907" s="296"/>
      <c r="D907" s="297"/>
      <c r="E907" s="298"/>
      <c r="F907" s="296"/>
      <c r="G907" s="296"/>
      <c r="H907" s="296"/>
      <c r="I907" s="296"/>
      <c r="J907" s="296"/>
      <c r="K907" s="296"/>
      <c r="L907" s="296"/>
      <c r="M907" s="299"/>
      <c r="N907" s="299"/>
      <c r="O907" s="299"/>
      <c r="P907" s="299"/>
      <c r="Q907" s="299"/>
      <c r="R907" s="299"/>
      <c r="S907" s="299"/>
      <c r="T907" s="299"/>
      <c r="U907" s="299"/>
      <c r="V907" s="299"/>
      <c r="W907" s="299"/>
      <c r="X907" s="299"/>
      <c r="Y907" s="299"/>
      <c r="Z907" s="299"/>
      <c r="AA907" s="299"/>
      <c r="AB907" s="299"/>
      <c r="AC907" s="300"/>
      <c r="AD907" s="300"/>
    </row>
    <row r="908" spans="1:30" ht="12.75" customHeight="1" x14ac:dyDescent="0.2">
      <c r="A908" s="296"/>
      <c r="B908" s="296"/>
      <c r="C908" s="296"/>
      <c r="D908" s="297"/>
      <c r="E908" s="298"/>
      <c r="F908" s="296"/>
      <c r="G908" s="296"/>
      <c r="H908" s="296"/>
      <c r="I908" s="296"/>
      <c r="J908" s="296"/>
      <c r="K908" s="296"/>
      <c r="L908" s="296"/>
      <c r="M908" s="299"/>
      <c r="N908" s="299"/>
      <c r="O908" s="299"/>
      <c r="P908" s="299"/>
      <c r="Q908" s="299"/>
      <c r="R908" s="299"/>
      <c r="S908" s="299"/>
      <c r="T908" s="299"/>
      <c r="U908" s="299"/>
      <c r="V908" s="299"/>
      <c r="W908" s="299"/>
      <c r="X908" s="299"/>
      <c r="Y908" s="299"/>
      <c r="Z908" s="299"/>
      <c r="AA908" s="299"/>
      <c r="AB908" s="299"/>
      <c r="AC908" s="300"/>
      <c r="AD908" s="300"/>
    </row>
    <row r="909" spans="1:30" ht="12.75" customHeight="1" x14ac:dyDescent="0.2">
      <c r="A909" s="296"/>
      <c r="B909" s="296"/>
      <c r="C909" s="296"/>
      <c r="D909" s="297"/>
      <c r="E909" s="298"/>
      <c r="F909" s="296"/>
      <c r="G909" s="296"/>
      <c r="H909" s="296"/>
      <c r="I909" s="296"/>
      <c r="J909" s="296"/>
      <c r="K909" s="296"/>
      <c r="L909" s="296"/>
      <c r="M909" s="299"/>
      <c r="N909" s="299"/>
      <c r="O909" s="299"/>
      <c r="P909" s="299"/>
      <c r="Q909" s="299"/>
      <c r="R909" s="299"/>
      <c r="S909" s="299"/>
      <c r="T909" s="299"/>
      <c r="U909" s="299"/>
      <c r="V909" s="299"/>
      <c r="W909" s="299"/>
      <c r="X909" s="299"/>
      <c r="Y909" s="299"/>
      <c r="Z909" s="299"/>
      <c r="AA909" s="299"/>
      <c r="AB909" s="299"/>
      <c r="AC909" s="300"/>
      <c r="AD909" s="300"/>
    </row>
    <row r="910" spans="1:30" ht="12.75" customHeight="1" x14ac:dyDescent="0.2">
      <c r="A910" s="296"/>
      <c r="B910" s="296"/>
      <c r="C910" s="296"/>
      <c r="D910" s="297"/>
      <c r="E910" s="298"/>
      <c r="F910" s="296"/>
      <c r="G910" s="296"/>
      <c r="H910" s="296"/>
      <c r="I910" s="296"/>
      <c r="J910" s="296"/>
      <c r="K910" s="296"/>
      <c r="L910" s="296"/>
      <c r="M910" s="299"/>
      <c r="N910" s="299"/>
      <c r="O910" s="299"/>
      <c r="P910" s="299"/>
      <c r="Q910" s="299"/>
      <c r="R910" s="299"/>
      <c r="S910" s="299"/>
      <c r="T910" s="299"/>
      <c r="U910" s="299"/>
      <c r="V910" s="299"/>
      <c r="W910" s="299"/>
      <c r="X910" s="299"/>
      <c r="Y910" s="299"/>
      <c r="Z910" s="299"/>
      <c r="AA910" s="299"/>
      <c r="AB910" s="299"/>
      <c r="AC910" s="300"/>
      <c r="AD910" s="300"/>
    </row>
    <row r="911" spans="1:30" ht="12.75" customHeight="1" x14ac:dyDescent="0.2">
      <c r="A911" s="296"/>
      <c r="B911" s="296"/>
      <c r="C911" s="296"/>
      <c r="D911" s="297"/>
      <c r="E911" s="298"/>
      <c r="F911" s="296"/>
      <c r="G911" s="296"/>
      <c r="H911" s="296"/>
      <c r="I911" s="296"/>
      <c r="J911" s="296"/>
      <c r="K911" s="296"/>
      <c r="L911" s="296"/>
      <c r="M911" s="299"/>
      <c r="N911" s="299"/>
      <c r="O911" s="299"/>
      <c r="P911" s="299"/>
      <c r="Q911" s="299"/>
      <c r="R911" s="299"/>
      <c r="S911" s="299"/>
      <c r="T911" s="299"/>
      <c r="U911" s="299"/>
      <c r="V911" s="299"/>
      <c r="W911" s="299"/>
      <c r="X911" s="299"/>
      <c r="Y911" s="299"/>
      <c r="Z911" s="299"/>
      <c r="AA911" s="299"/>
      <c r="AB911" s="299"/>
      <c r="AC911" s="300"/>
      <c r="AD911" s="300"/>
    </row>
    <row r="912" spans="1:30" ht="12.75" customHeight="1" x14ac:dyDescent="0.2">
      <c r="A912" s="296"/>
      <c r="B912" s="296"/>
      <c r="C912" s="296"/>
      <c r="D912" s="297"/>
      <c r="E912" s="298"/>
      <c r="F912" s="296"/>
      <c r="G912" s="296"/>
      <c r="H912" s="296"/>
      <c r="I912" s="296"/>
      <c r="J912" s="296"/>
      <c r="K912" s="296"/>
      <c r="L912" s="296"/>
      <c r="M912" s="299"/>
      <c r="N912" s="299"/>
      <c r="O912" s="299"/>
      <c r="P912" s="299"/>
      <c r="Q912" s="299"/>
      <c r="R912" s="299"/>
      <c r="S912" s="299"/>
      <c r="T912" s="299"/>
      <c r="U912" s="299"/>
      <c r="V912" s="299"/>
      <c r="W912" s="299"/>
      <c r="X912" s="299"/>
      <c r="Y912" s="299"/>
      <c r="Z912" s="299"/>
      <c r="AA912" s="299"/>
      <c r="AB912" s="299"/>
      <c r="AC912" s="300"/>
      <c r="AD912" s="300"/>
    </row>
    <row r="913" spans="1:30" ht="12.75" customHeight="1" x14ac:dyDescent="0.2">
      <c r="A913" s="296"/>
      <c r="B913" s="296"/>
      <c r="C913" s="296"/>
      <c r="D913" s="297"/>
      <c r="E913" s="298"/>
      <c r="F913" s="296"/>
      <c r="G913" s="296"/>
      <c r="H913" s="296"/>
      <c r="I913" s="296"/>
      <c r="J913" s="296"/>
      <c r="K913" s="296"/>
      <c r="L913" s="296"/>
      <c r="M913" s="299"/>
      <c r="N913" s="299"/>
      <c r="O913" s="299"/>
      <c r="P913" s="299"/>
      <c r="Q913" s="299"/>
      <c r="R913" s="299"/>
      <c r="S913" s="299"/>
      <c r="T913" s="299"/>
      <c r="U913" s="299"/>
      <c r="V913" s="299"/>
      <c r="W913" s="299"/>
      <c r="X913" s="299"/>
      <c r="Y913" s="299"/>
      <c r="Z913" s="299"/>
      <c r="AA913" s="299"/>
      <c r="AB913" s="299"/>
      <c r="AC913" s="300"/>
      <c r="AD913" s="300"/>
    </row>
    <row r="914" spans="1:30" ht="12.75" customHeight="1" x14ac:dyDescent="0.2">
      <c r="A914" s="296"/>
      <c r="B914" s="296"/>
      <c r="C914" s="296"/>
      <c r="D914" s="297"/>
      <c r="E914" s="298"/>
      <c r="F914" s="296"/>
      <c r="G914" s="296"/>
      <c r="H914" s="296"/>
      <c r="I914" s="296"/>
      <c r="J914" s="296"/>
      <c r="K914" s="296"/>
      <c r="L914" s="296"/>
      <c r="M914" s="299"/>
      <c r="N914" s="299"/>
      <c r="O914" s="299"/>
      <c r="P914" s="299"/>
      <c r="Q914" s="299"/>
      <c r="R914" s="299"/>
      <c r="S914" s="299"/>
      <c r="T914" s="299"/>
      <c r="U914" s="299"/>
      <c r="V914" s="299"/>
      <c r="W914" s="299"/>
      <c r="X914" s="299"/>
      <c r="Y914" s="299"/>
      <c r="Z914" s="299"/>
      <c r="AA914" s="299"/>
      <c r="AB914" s="299"/>
      <c r="AC914" s="300"/>
      <c r="AD914" s="300"/>
    </row>
    <row r="915" spans="1:30" ht="12.75" customHeight="1" x14ac:dyDescent="0.2">
      <c r="A915" s="296"/>
      <c r="B915" s="296"/>
      <c r="C915" s="296"/>
      <c r="D915" s="297"/>
      <c r="E915" s="298"/>
      <c r="F915" s="296"/>
      <c r="G915" s="296"/>
      <c r="H915" s="296"/>
      <c r="I915" s="296"/>
      <c r="J915" s="296"/>
      <c r="K915" s="296"/>
      <c r="L915" s="296"/>
      <c r="M915" s="299"/>
      <c r="N915" s="299"/>
      <c r="O915" s="299"/>
      <c r="P915" s="299"/>
      <c r="Q915" s="299"/>
      <c r="R915" s="299"/>
      <c r="S915" s="299"/>
      <c r="T915" s="299"/>
      <c r="U915" s="299"/>
      <c r="V915" s="299"/>
      <c r="W915" s="299"/>
      <c r="X915" s="299"/>
      <c r="Y915" s="299"/>
      <c r="Z915" s="299"/>
      <c r="AA915" s="299"/>
      <c r="AB915" s="299"/>
      <c r="AC915" s="300"/>
      <c r="AD915" s="300"/>
    </row>
    <row r="916" spans="1:30" ht="12.75" customHeight="1" x14ac:dyDescent="0.2">
      <c r="A916" s="296"/>
      <c r="B916" s="296"/>
      <c r="C916" s="296"/>
      <c r="D916" s="297"/>
      <c r="E916" s="298"/>
      <c r="F916" s="296"/>
      <c r="G916" s="296"/>
      <c r="H916" s="296"/>
      <c r="I916" s="296"/>
      <c r="J916" s="296"/>
      <c r="K916" s="296"/>
      <c r="L916" s="296"/>
      <c r="M916" s="299"/>
      <c r="N916" s="299"/>
      <c r="O916" s="299"/>
      <c r="P916" s="299"/>
      <c r="Q916" s="299"/>
      <c r="R916" s="299"/>
      <c r="S916" s="299"/>
      <c r="T916" s="299"/>
      <c r="U916" s="299"/>
      <c r="V916" s="299"/>
      <c r="W916" s="299"/>
      <c r="X916" s="299"/>
      <c r="Y916" s="299"/>
      <c r="Z916" s="299"/>
      <c r="AA916" s="299"/>
      <c r="AB916" s="299"/>
      <c r="AC916" s="300"/>
      <c r="AD916" s="300"/>
    </row>
    <row r="917" spans="1:30" ht="12.75" customHeight="1" x14ac:dyDescent="0.2">
      <c r="A917" s="296"/>
      <c r="B917" s="296"/>
      <c r="C917" s="296"/>
      <c r="D917" s="297"/>
      <c r="E917" s="298"/>
      <c r="F917" s="296"/>
      <c r="G917" s="296"/>
      <c r="H917" s="296"/>
      <c r="I917" s="296"/>
      <c r="J917" s="296"/>
      <c r="K917" s="296"/>
      <c r="L917" s="296"/>
      <c r="M917" s="299"/>
      <c r="N917" s="299"/>
      <c r="O917" s="299"/>
      <c r="P917" s="299"/>
      <c r="Q917" s="299"/>
      <c r="R917" s="299"/>
      <c r="S917" s="299"/>
      <c r="T917" s="299"/>
      <c r="U917" s="299"/>
      <c r="V917" s="299"/>
      <c r="W917" s="299"/>
      <c r="X917" s="299"/>
      <c r="Y917" s="299"/>
      <c r="Z917" s="299"/>
      <c r="AA917" s="299"/>
      <c r="AB917" s="299"/>
      <c r="AC917" s="300"/>
      <c r="AD917" s="300"/>
    </row>
    <row r="918" spans="1:30" ht="12.75" customHeight="1" x14ac:dyDescent="0.2">
      <c r="A918" s="296"/>
      <c r="B918" s="296"/>
      <c r="C918" s="296"/>
      <c r="D918" s="297"/>
      <c r="E918" s="298"/>
      <c r="F918" s="296"/>
      <c r="G918" s="296"/>
      <c r="H918" s="296"/>
      <c r="I918" s="296"/>
      <c r="J918" s="296"/>
      <c r="K918" s="296"/>
      <c r="L918" s="296"/>
      <c r="M918" s="299"/>
      <c r="N918" s="299"/>
      <c r="O918" s="299"/>
      <c r="P918" s="299"/>
      <c r="Q918" s="299"/>
      <c r="R918" s="299"/>
      <c r="S918" s="299"/>
      <c r="T918" s="299"/>
      <c r="U918" s="299"/>
      <c r="V918" s="299"/>
      <c r="W918" s="299"/>
      <c r="X918" s="299"/>
      <c r="Y918" s="299"/>
      <c r="Z918" s="299"/>
      <c r="AA918" s="299"/>
      <c r="AB918" s="299"/>
      <c r="AC918" s="300"/>
      <c r="AD918" s="300"/>
    </row>
    <row r="919" spans="1:30" ht="12.75" customHeight="1" x14ac:dyDescent="0.2">
      <c r="A919" s="296"/>
      <c r="B919" s="296"/>
      <c r="C919" s="296"/>
      <c r="D919" s="297"/>
      <c r="E919" s="298"/>
      <c r="F919" s="296"/>
      <c r="G919" s="296"/>
      <c r="H919" s="296"/>
      <c r="I919" s="296"/>
      <c r="J919" s="296"/>
      <c r="K919" s="296"/>
      <c r="L919" s="296"/>
      <c r="M919" s="299"/>
      <c r="N919" s="299"/>
      <c r="O919" s="299"/>
      <c r="P919" s="299"/>
      <c r="Q919" s="299"/>
      <c r="R919" s="299"/>
      <c r="S919" s="299"/>
      <c r="T919" s="299"/>
      <c r="U919" s="299"/>
      <c r="V919" s="299"/>
      <c r="W919" s="299"/>
      <c r="X919" s="299"/>
      <c r="Y919" s="299"/>
      <c r="Z919" s="299"/>
      <c r="AA919" s="299"/>
      <c r="AB919" s="299"/>
      <c r="AC919" s="300"/>
      <c r="AD919" s="300"/>
    </row>
    <row r="920" spans="1:30" ht="12.75" customHeight="1" x14ac:dyDescent="0.2">
      <c r="A920" s="296"/>
      <c r="B920" s="296"/>
      <c r="C920" s="296"/>
      <c r="D920" s="297"/>
      <c r="E920" s="298"/>
      <c r="F920" s="296"/>
      <c r="G920" s="296"/>
      <c r="H920" s="296"/>
      <c r="I920" s="296"/>
      <c r="J920" s="296"/>
      <c r="K920" s="296"/>
      <c r="L920" s="296"/>
      <c r="M920" s="299"/>
      <c r="N920" s="299"/>
      <c r="O920" s="299"/>
      <c r="P920" s="299"/>
      <c r="Q920" s="299"/>
      <c r="R920" s="299"/>
      <c r="S920" s="299"/>
      <c r="T920" s="299"/>
      <c r="U920" s="299"/>
      <c r="V920" s="299"/>
      <c r="W920" s="299"/>
      <c r="X920" s="299"/>
      <c r="Y920" s="299"/>
      <c r="Z920" s="299"/>
      <c r="AA920" s="299"/>
      <c r="AB920" s="299"/>
      <c r="AC920" s="300"/>
      <c r="AD920" s="300"/>
    </row>
    <row r="921" spans="1:30" ht="12.75" customHeight="1" x14ac:dyDescent="0.2">
      <c r="A921" s="296"/>
      <c r="B921" s="296"/>
      <c r="C921" s="296"/>
      <c r="D921" s="297"/>
      <c r="E921" s="298"/>
      <c r="F921" s="296"/>
      <c r="G921" s="296"/>
      <c r="H921" s="296"/>
      <c r="I921" s="296"/>
      <c r="J921" s="296"/>
      <c r="K921" s="296"/>
      <c r="L921" s="296"/>
      <c r="M921" s="299"/>
      <c r="N921" s="299"/>
      <c r="O921" s="299"/>
      <c r="P921" s="299"/>
      <c r="Q921" s="299"/>
      <c r="R921" s="299"/>
      <c r="S921" s="299"/>
      <c r="T921" s="299"/>
      <c r="U921" s="299"/>
      <c r="V921" s="299"/>
      <c r="W921" s="299"/>
      <c r="X921" s="299"/>
      <c r="Y921" s="299"/>
      <c r="Z921" s="299"/>
      <c r="AA921" s="299"/>
      <c r="AB921" s="299"/>
      <c r="AC921" s="300"/>
      <c r="AD921" s="300"/>
    </row>
    <row r="922" spans="1:30" ht="12.75" customHeight="1" x14ac:dyDescent="0.2">
      <c r="A922" s="296"/>
      <c r="B922" s="296"/>
      <c r="C922" s="296"/>
      <c r="D922" s="297"/>
      <c r="E922" s="298"/>
      <c r="F922" s="296"/>
      <c r="G922" s="296"/>
      <c r="H922" s="296"/>
      <c r="I922" s="296"/>
      <c r="J922" s="296"/>
      <c r="K922" s="296"/>
      <c r="L922" s="296"/>
      <c r="M922" s="299"/>
      <c r="N922" s="299"/>
      <c r="O922" s="299"/>
      <c r="P922" s="299"/>
      <c r="Q922" s="299"/>
      <c r="R922" s="299"/>
      <c r="S922" s="299"/>
      <c r="T922" s="299"/>
      <c r="U922" s="299"/>
      <c r="V922" s="299"/>
      <c r="W922" s="299"/>
      <c r="X922" s="299"/>
      <c r="Y922" s="299"/>
      <c r="Z922" s="299"/>
      <c r="AA922" s="299"/>
      <c r="AB922" s="299"/>
      <c r="AC922" s="300"/>
      <c r="AD922" s="300"/>
    </row>
    <row r="923" spans="1:30" ht="12.75" customHeight="1" x14ac:dyDescent="0.2">
      <c r="A923" s="296"/>
      <c r="B923" s="296"/>
      <c r="C923" s="296"/>
      <c r="D923" s="297"/>
      <c r="E923" s="298"/>
      <c r="F923" s="296"/>
      <c r="G923" s="296"/>
      <c r="H923" s="296"/>
      <c r="I923" s="296"/>
      <c r="J923" s="296"/>
      <c r="K923" s="296"/>
      <c r="L923" s="296"/>
      <c r="M923" s="299"/>
      <c r="N923" s="299"/>
      <c r="O923" s="299"/>
      <c r="P923" s="299"/>
      <c r="Q923" s="299"/>
      <c r="R923" s="299"/>
      <c r="S923" s="299"/>
      <c r="T923" s="299"/>
      <c r="U923" s="299"/>
      <c r="V923" s="299"/>
      <c r="W923" s="299"/>
      <c r="X923" s="299"/>
      <c r="Y923" s="299"/>
      <c r="Z923" s="299"/>
      <c r="AA923" s="299"/>
      <c r="AB923" s="299"/>
      <c r="AC923" s="300"/>
      <c r="AD923" s="300"/>
    </row>
    <row r="924" spans="1:30" ht="12.75" customHeight="1" x14ac:dyDescent="0.2">
      <c r="A924" s="296"/>
      <c r="B924" s="296"/>
      <c r="C924" s="296"/>
      <c r="D924" s="297"/>
      <c r="E924" s="298"/>
      <c r="F924" s="296"/>
      <c r="G924" s="296"/>
      <c r="H924" s="296"/>
      <c r="I924" s="296"/>
      <c r="J924" s="296"/>
      <c r="K924" s="296"/>
      <c r="L924" s="296"/>
      <c r="M924" s="299"/>
      <c r="N924" s="299"/>
      <c r="O924" s="299"/>
      <c r="P924" s="299"/>
      <c r="Q924" s="299"/>
      <c r="R924" s="299"/>
      <c r="S924" s="299"/>
      <c r="T924" s="299"/>
      <c r="U924" s="299"/>
      <c r="V924" s="299"/>
      <c r="W924" s="299"/>
      <c r="X924" s="299"/>
      <c r="Y924" s="299"/>
      <c r="Z924" s="299"/>
      <c r="AA924" s="299"/>
      <c r="AB924" s="299"/>
      <c r="AC924" s="300"/>
      <c r="AD924" s="300"/>
    </row>
    <row r="925" spans="1:30" ht="12.75" customHeight="1" x14ac:dyDescent="0.2">
      <c r="A925" s="296"/>
      <c r="B925" s="296"/>
      <c r="C925" s="296"/>
      <c r="D925" s="297"/>
      <c r="E925" s="298"/>
      <c r="F925" s="296"/>
      <c r="G925" s="296"/>
      <c r="H925" s="296"/>
      <c r="I925" s="296"/>
      <c r="J925" s="296"/>
      <c r="K925" s="296"/>
      <c r="L925" s="296"/>
      <c r="M925" s="299"/>
      <c r="N925" s="299"/>
      <c r="O925" s="299"/>
      <c r="P925" s="299"/>
      <c r="Q925" s="299"/>
      <c r="R925" s="299"/>
      <c r="S925" s="299"/>
      <c r="T925" s="299"/>
      <c r="U925" s="299"/>
      <c r="V925" s="299"/>
      <c r="W925" s="299"/>
      <c r="X925" s="299"/>
      <c r="Y925" s="299"/>
      <c r="Z925" s="299"/>
      <c r="AA925" s="299"/>
      <c r="AB925" s="299"/>
      <c r="AC925" s="300"/>
      <c r="AD925" s="300"/>
    </row>
    <row r="926" spans="1:30" ht="12.75" customHeight="1" x14ac:dyDescent="0.2">
      <c r="A926" s="296"/>
      <c r="B926" s="296"/>
      <c r="C926" s="296"/>
      <c r="D926" s="297"/>
      <c r="E926" s="298"/>
      <c r="F926" s="296"/>
      <c r="G926" s="296"/>
      <c r="H926" s="296"/>
      <c r="I926" s="296"/>
      <c r="J926" s="296"/>
      <c r="K926" s="296"/>
      <c r="L926" s="296"/>
      <c r="M926" s="299"/>
      <c r="N926" s="299"/>
      <c r="O926" s="299"/>
      <c r="P926" s="299"/>
      <c r="Q926" s="299"/>
      <c r="R926" s="299"/>
      <c r="S926" s="299"/>
      <c r="T926" s="299"/>
      <c r="U926" s="299"/>
      <c r="V926" s="299"/>
      <c r="W926" s="299"/>
      <c r="X926" s="299"/>
      <c r="Y926" s="299"/>
      <c r="Z926" s="299"/>
      <c r="AA926" s="299"/>
      <c r="AB926" s="299"/>
      <c r="AC926" s="300"/>
      <c r="AD926" s="300"/>
    </row>
    <row r="927" spans="1:30" ht="12.75" customHeight="1" x14ac:dyDescent="0.2">
      <c r="A927" s="296"/>
      <c r="B927" s="296"/>
      <c r="C927" s="296"/>
      <c r="D927" s="297"/>
      <c r="E927" s="298"/>
      <c r="F927" s="296"/>
      <c r="G927" s="296"/>
      <c r="H927" s="296"/>
      <c r="I927" s="296"/>
      <c r="J927" s="296"/>
      <c r="K927" s="296"/>
      <c r="L927" s="296"/>
      <c r="M927" s="299"/>
      <c r="N927" s="299"/>
      <c r="O927" s="299"/>
      <c r="P927" s="299"/>
      <c r="Q927" s="299"/>
      <c r="R927" s="299"/>
      <c r="S927" s="299"/>
      <c r="T927" s="299"/>
      <c r="U927" s="299"/>
      <c r="V927" s="299"/>
      <c r="W927" s="299"/>
      <c r="X927" s="299"/>
      <c r="Y927" s="299"/>
      <c r="Z927" s="299"/>
      <c r="AA927" s="299"/>
      <c r="AB927" s="299"/>
      <c r="AC927" s="300"/>
      <c r="AD927" s="300"/>
    </row>
    <row r="928" spans="1:30" ht="12.75" customHeight="1" x14ac:dyDescent="0.2">
      <c r="A928" s="296"/>
      <c r="B928" s="296"/>
      <c r="C928" s="296"/>
      <c r="D928" s="297"/>
      <c r="E928" s="298"/>
      <c r="F928" s="296"/>
      <c r="G928" s="296"/>
      <c r="H928" s="296"/>
      <c r="I928" s="296"/>
      <c r="J928" s="296"/>
      <c r="K928" s="296"/>
      <c r="L928" s="296"/>
      <c r="M928" s="299"/>
      <c r="N928" s="299"/>
      <c r="O928" s="299"/>
      <c r="P928" s="299"/>
      <c r="Q928" s="299"/>
      <c r="R928" s="299"/>
      <c r="S928" s="299"/>
      <c r="T928" s="299"/>
      <c r="U928" s="299"/>
      <c r="V928" s="299"/>
      <c r="W928" s="299"/>
      <c r="X928" s="299"/>
      <c r="Y928" s="299"/>
      <c r="Z928" s="299"/>
      <c r="AA928" s="299"/>
      <c r="AB928" s="299"/>
      <c r="AC928" s="300"/>
      <c r="AD928" s="300"/>
    </row>
    <row r="929" spans="1:30" ht="12.75" customHeight="1" x14ac:dyDescent="0.2">
      <c r="A929" s="296"/>
      <c r="B929" s="296"/>
      <c r="C929" s="296"/>
      <c r="D929" s="297"/>
      <c r="E929" s="298"/>
      <c r="F929" s="296"/>
      <c r="G929" s="296"/>
      <c r="H929" s="296"/>
      <c r="I929" s="296"/>
      <c r="J929" s="296"/>
      <c r="K929" s="296"/>
      <c r="L929" s="296"/>
      <c r="M929" s="299"/>
      <c r="N929" s="299"/>
      <c r="O929" s="299"/>
      <c r="P929" s="299"/>
      <c r="Q929" s="299"/>
      <c r="R929" s="299"/>
      <c r="S929" s="299"/>
      <c r="T929" s="299"/>
      <c r="U929" s="299"/>
      <c r="V929" s="299"/>
      <c r="W929" s="299"/>
      <c r="X929" s="299"/>
      <c r="Y929" s="299"/>
      <c r="Z929" s="299"/>
      <c r="AA929" s="299"/>
      <c r="AB929" s="299"/>
      <c r="AC929" s="300"/>
      <c r="AD929" s="300"/>
    </row>
    <row r="930" spans="1:30" ht="12.75" customHeight="1" x14ac:dyDescent="0.2">
      <c r="A930" s="296"/>
      <c r="B930" s="296"/>
      <c r="C930" s="296"/>
      <c r="D930" s="297"/>
      <c r="E930" s="298"/>
      <c r="F930" s="296"/>
      <c r="G930" s="296"/>
      <c r="H930" s="296"/>
      <c r="I930" s="296"/>
      <c r="J930" s="296"/>
      <c r="K930" s="296"/>
      <c r="L930" s="296"/>
      <c r="M930" s="299"/>
      <c r="N930" s="299"/>
      <c r="O930" s="299"/>
      <c r="P930" s="299"/>
      <c r="Q930" s="299"/>
      <c r="R930" s="299"/>
      <c r="S930" s="299"/>
      <c r="T930" s="299"/>
      <c r="U930" s="299"/>
      <c r="V930" s="299"/>
      <c r="W930" s="299"/>
      <c r="X930" s="299"/>
      <c r="Y930" s="299"/>
      <c r="Z930" s="299"/>
      <c r="AA930" s="299"/>
      <c r="AB930" s="299"/>
      <c r="AC930" s="300"/>
      <c r="AD930" s="300"/>
    </row>
    <row r="931" spans="1:30" ht="12.75" customHeight="1" x14ac:dyDescent="0.2">
      <c r="A931" s="296"/>
      <c r="B931" s="296"/>
      <c r="C931" s="296"/>
      <c r="D931" s="297"/>
      <c r="E931" s="298"/>
      <c r="F931" s="296"/>
      <c r="G931" s="296"/>
      <c r="H931" s="296"/>
      <c r="I931" s="296"/>
      <c r="J931" s="296"/>
      <c r="K931" s="296"/>
      <c r="L931" s="296"/>
      <c r="M931" s="299"/>
      <c r="N931" s="299"/>
      <c r="O931" s="299"/>
      <c r="P931" s="299"/>
      <c r="Q931" s="299"/>
      <c r="R931" s="299"/>
      <c r="S931" s="299"/>
      <c r="T931" s="299"/>
      <c r="U931" s="299"/>
      <c r="V931" s="299"/>
      <c r="W931" s="299"/>
      <c r="X931" s="299"/>
      <c r="Y931" s="299"/>
      <c r="Z931" s="299"/>
      <c r="AA931" s="299"/>
      <c r="AB931" s="299"/>
      <c r="AC931" s="300"/>
      <c r="AD931" s="300"/>
    </row>
    <row r="932" spans="1:30" ht="12.75" customHeight="1" x14ac:dyDescent="0.2">
      <c r="A932" s="296"/>
      <c r="B932" s="296"/>
      <c r="C932" s="296"/>
      <c r="D932" s="297"/>
      <c r="E932" s="298"/>
      <c r="F932" s="296"/>
      <c r="G932" s="296"/>
      <c r="H932" s="296"/>
      <c r="I932" s="296"/>
      <c r="J932" s="296"/>
      <c r="K932" s="296"/>
      <c r="L932" s="296"/>
      <c r="M932" s="299"/>
      <c r="N932" s="299"/>
      <c r="O932" s="299"/>
      <c r="P932" s="299"/>
      <c r="Q932" s="299"/>
      <c r="R932" s="299"/>
      <c r="S932" s="299"/>
      <c r="T932" s="299"/>
      <c r="U932" s="299"/>
      <c r="V932" s="299"/>
      <c r="W932" s="299"/>
      <c r="X932" s="299"/>
      <c r="Y932" s="299"/>
      <c r="Z932" s="299"/>
      <c r="AA932" s="299"/>
      <c r="AB932" s="299"/>
      <c r="AC932" s="300"/>
      <c r="AD932" s="300"/>
    </row>
    <row r="933" spans="1:30" ht="12.75" customHeight="1" x14ac:dyDescent="0.2">
      <c r="A933" s="296"/>
      <c r="B933" s="296"/>
      <c r="C933" s="296"/>
      <c r="D933" s="297"/>
      <c r="E933" s="298"/>
      <c r="F933" s="296"/>
      <c r="G933" s="296"/>
      <c r="H933" s="296"/>
      <c r="I933" s="296"/>
      <c r="J933" s="296"/>
      <c r="K933" s="296"/>
      <c r="L933" s="296"/>
      <c r="M933" s="299"/>
      <c r="N933" s="299"/>
      <c r="O933" s="299"/>
      <c r="P933" s="299"/>
      <c r="Q933" s="299"/>
      <c r="R933" s="299"/>
      <c r="S933" s="299"/>
      <c r="T933" s="299"/>
      <c r="U933" s="299"/>
      <c r="V933" s="299"/>
      <c r="W933" s="299"/>
      <c r="X933" s="299"/>
      <c r="Y933" s="299"/>
      <c r="Z933" s="299"/>
      <c r="AA933" s="299"/>
      <c r="AB933" s="299"/>
      <c r="AC933" s="300"/>
      <c r="AD933" s="300"/>
    </row>
    <row r="934" spans="1:30" ht="12.75" customHeight="1" x14ac:dyDescent="0.2">
      <c r="A934" s="296"/>
      <c r="B934" s="296"/>
      <c r="C934" s="296"/>
      <c r="D934" s="297"/>
      <c r="E934" s="298"/>
      <c r="F934" s="296"/>
      <c r="G934" s="296"/>
      <c r="H934" s="296"/>
      <c r="I934" s="296"/>
      <c r="J934" s="296"/>
      <c r="K934" s="296"/>
      <c r="L934" s="296"/>
      <c r="M934" s="299"/>
      <c r="N934" s="299"/>
      <c r="O934" s="299"/>
      <c r="P934" s="299"/>
      <c r="Q934" s="299"/>
      <c r="R934" s="299"/>
      <c r="S934" s="299"/>
      <c r="T934" s="299"/>
      <c r="U934" s="299"/>
      <c r="V934" s="299"/>
      <c r="W934" s="299"/>
      <c r="X934" s="299"/>
      <c r="Y934" s="299"/>
      <c r="Z934" s="299"/>
      <c r="AA934" s="299"/>
      <c r="AB934" s="299"/>
      <c r="AC934" s="300"/>
      <c r="AD934" s="300"/>
    </row>
    <row r="935" spans="1:30" ht="12.75" customHeight="1" x14ac:dyDescent="0.2">
      <c r="A935" s="296"/>
      <c r="B935" s="296"/>
      <c r="C935" s="296"/>
      <c r="D935" s="297"/>
      <c r="E935" s="298"/>
      <c r="F935" s="296"/>
      <c r="G935" s="296"/>
      <c r="H935" s="296"/>
      <c r="I935" s="296"/>
      <c r="J935" s="296"/>
      <c r="K935" s="296"/>
      <c r="L935" s="296"/>
      <c r="M935" s="299"/>
      <c r="N935" s="299"/>
      <c r="O935" s="299"/>
      <c r="P935" s="299"/>
      <c r="Q935" s="299"/>
      <c r="R935" s="299"/>
      <c r="S935" s="299"/>
      <c r="T935" s="299"/>
      <c r="U935" s="299"/>
      <c r="V935" s="299"/>
      <c r="W935" s="299"/>
      <c r="X935" s="299"/>
      <c r="Y935" s="299"/>
      <c r="Z935" s="299"/>
      <c r="AA935" s="299"/>
      <c r="AB935" s="299"/>
      <c r="AC935" s="300"/>
      <c r="AD935" s="300"/>
    </row>
    <row r="936" spans="1:30" ht="12.75" customHeight="1" x14ac:dyDescent="0.2">
      <c r="A936" s="296"/>
      <c r="B936" s="296"/>
      <c r="C936" s="296"/>
      <c r="D936" s="297"/>
      <c r="E936" s="298"/>
      <c r="F936" s="296"/>
      <c r="G936" s="296"/>
      <c r="H936" s="296"/>
      <c r="I936" s="296"/>
      <c r="J936" s="296"/>
      <c r="K936" s="296"/>
      <c r="L936" s="296"/>
      <c r="M936" s="299"/>
      <c r="N936" s="299"/>
      <c r="O936" s="299"/>
      <c r="P936" s="299"/>
      <c r="Q936" s="299"/>
      <c r="R936" s="299"/>
      <c r="S936" s="299"/>
      <c r="T936" s="299"/>
      <c r="U936" s="299"/>
      <c r="V936" s="299"/>
      <c r="W936" s="299"/>
      <c r="X936" s="299"/>
      <c r="Y936" s="299"/>
      <c r="Z936" s="299"/>
      <c r="AA936" s="299"/>
      <c r="AB936" s="299"/>
      <c r="AC936" s="300"/>
      <c r="AD936" s="300"/>
    </row>
    <row r="937" spans="1:30" ht="12.75" customHeight="1" x14ac:dyDescent="0.2">
      <c r="A937" s="296"/>
      <c r="B937" s="296"/>
      <c r="C937" s="296"/>
      <c r="D937" s="297"/>
      <c r="E937" s="298"/>
      <c r="F937" s="296"/>
      <c r="G937" s="296"/>
      <c r="H937" s="296"/>
      <c r="I937" s="296"/>
      <c r="J937" s="296"/>
      <c r="K937" s="296"/>
      <c r="L937" s="296"/>
      <c r="M937" s="299"/>
      <c r="N937" s="299"/>
      <c r="O937" s="299"/>
      <c r="P937" s="299"/>
      <c r="Q937" s="299"/>
      <c r="R937" s="299"/>
      <c r="S937" s="299"/>
      <c r="T937" s="299"/>
      <c r="U937" s="299"/>
      <c r="V937" s="299"/>
      <c r="W937" s="299"/>
      <c r="X937" s="299"/>
      <c r="Y937" s="299"/>
      <c r="Z937" s="299"/>
      <c r="AA937" s="299"/>
      <c r="AB937" s="299"/>
      <c r="AC937" s="300"/>
      <c r="AD937" s="300"/>
    </row>
    <row r="938" spans="1:30" ht="12.75" customHeight="1" x14ac:dyDescent="0.2">
      <c r="A938" s="296"/>
      <c r="B938" s="296"/>
      <c r="C938" s="296"/>
      <c r="D938" s="297"/>
      <c r="E938" s="298"/>
      <c r="F938" s="296"/>
      <c r="G938" s="296"/>
      <c r="H938" s="296"/>
      <c r="I938" s="296"/>
      <c r="J938" s="296"/>
      <c r="K938" s="296"/>
      <c r="L938" s="296"/>
      <c r="M938" s="299"/>
      <c r="N938" s="299"/>
      <c r="O938" s="299"/>
      <c r="P938" s="299"/>
      <c r="Q938" s="299"/>
      <c r="R938" s="299"/>
      <c r="S938" s="299"/>
      <c r="T938" s="299"/>
      <c r="U938" s="299"/>
      <c r="V938" s="299"/>
      <c r="W938" s="299"/>
      <c r="X938" s="299"/>
      <c r="Y938" s="299"/>
      <c r="Z938" s="299"/>
      <c r="AA938" s="299"/>
      <c r="AB938" s="299"/>
      <c r="AC938" s="300"/>
      <c r="AD938" s="300"/>
    </row>
    <row r="939" spans="1:30" ht="12.75" customHeight="1" x14ac:dyDescent="0.2">
      <c r="A939" s="296"/>
      <c r="B939" s="296"/>
      <c r="C939" s="296"/>
      <c r="D939" s="297"/>
      <c r="E939" s="298"/>
      <c r="F939" s="296"/>
      <c r="G939" s="296"/>
      <c r="H939" s="296"/>
      <c r="I939" s="296"/>
      <c r="J939" s="296"/>
      <c r="K939" s="296"/>
      <c r="L939" s="296"/>
      <c r="M939" s="299"/>
      <c r="N939" s="299"/>
      <c r="O939" s="299"/>
      <c r="P939" s="299"/>
      <c r="Q939" s="299"/>
      <c r="R939" s="299"/>
      <c r="S939" s="299"/>
      <c r="T939" s="299"/>
      <c r="U939" s="299"/>
      <c r="V939" s="299"/>
      <c r="W939" s="299"/>
      <c r="X939" s="299"/>
      <c r="Y939" s="299"/>
      <c r="Z939" s="299"/>
      <c r="AA939" s="299"/>
      <c r="AB939" s="299"/>
      <c r="AC939" s="300"/>
      <c r="AD939" s="300"/>
    </row>
    <row r="940" spans="1:30" ht="12.75" customHeight="1" x14ac:dyDescent="0.2">
      <c r="A940" s="296"/>
      <c r="B940" s="296"/>
      <c r="C940" s="296"/>
      <c r="D940" s="297"/>
      <c r="E940" s="298"/>
      <c r="F940" s="296"/>
      <c r="G940" s="296"/>
      <c r="H940" s="296"/>
      <c r="I940" s="296"/>
      <c r="J940" s="296"/>
      <c r="K940" s="296"/>
      <c r="L940" s="296"/>
      <c r="M940" s="299"/>
      <c r="N940" s="299"/>
      <c r="O940" s="299"/>
      <c r="P940" s="299"/>
      <c r="Q940" s="299"/>
      <c r="R940" s="299"/>
      <c r="S940" s="299"/>
      <c r="T940" s="299"/>
      <c r="U940" s="299"/>
      <c r="V940" s="299"/>
      <c r="W940" s="299"/>
      <c r="X940" s="299"/>
      <c r="Y940" s="299"/>
      <c r="Z940" s="299"/>
      <c r="AA940" s="299"/>
      <c r="AB940" s="299"/>
      <c r="AC940" s="300"/>
      <c r="AD940" s="300"/>
    </row>
    <row r="941" spans="1:30" ht="12.75" customHeight="1" x14ac:dyDescent="0.2">
      <c r="A941" s="296"/>
      <c r="B941" s="296"/>
      <c r="C941" s="296"/>
      <c r="D941" s="297"/>
      <c r="E941" s="298"/>
      <c r="F941" s="296"/>
      <c r="G941" s="296"/>
      <c r="H941" s="296"/>
      <c r="I941" s="296"/>
      <c r="J941" s="296"/>
      <c r="K941" s="296"/>
      <c r="L941" s="296"/>
      <c r="M941" s="299"/>
      <c r="N941" s="299"/>
      <c r="O941" s="299"/>
      <c r="P941" s="299"/>
      <c r="Q941" s="299"/>
      <c r="R941" s="299"/>
      <c r="S941" s="299"/>
      <c r="T941" s="299"/>
      <c r="U941" s="299"/>
      <c r="V941" s="299"/>
      <c r="W941" s="299"/>
      <c r="X941" s="299"/>
      <c r="Y941" s="299"/>
      <c r="Z941" s="299"/>
      <c r="AA941" s="299"/>
      <c r="AB941" s="299"/>
      <c r="AC941" s="300"/>
      <c r="AD941" s="300"/>
    </row>
    <row r="942" spans="1:30" ht="12.75" customHeight="1" x14ac:dyDescent="0.2">
      <c r="A942" s="296"/>
      <c r="B942" s="296"/>
      <c r="C942" s="296"/>
      <c r="D942" s="297"/>
      <c r="E942" s="298"/>
      <c r="F942" s="296"/>
      <c r="G942" s="296"/>
      <c r="H942" s="296"/>
      <c r="I942" s="296"/>
      <c r="J942" s="296"/>
      <c r="K942" s="296"/>
      <c r="L942" s="296"/>
      <c r="M942" s="299"/>
      <c r="N942" s="299"/>
      <c r="O942" s="299"/>
      <c r="P942" s="299"/>
      <c r="Q942" s="299"/>
      <c r="R942" s="299"/>
      <c r="S942" s="299"/>
      <c r="T942" s="299"/>
      <c r="U942" s="299"/>
      <c r="V942" s="299"/>
      <c r="W942" s="299"/>
      <c r="X942" s="299"/>
      <c r="Y942" s="299"/>
      <c r="Z942" s="299"/>
      <c r="AA942" s="299"/>
      <c r="AB942" s="299"/>
      <c r="AC942" s="300"/>
      <c r="AD942" s="300"/>
    </row>
    <row r="943" spans="1:30" ht="12.75" customHeight="1" x14ac:dyDescent="0.2">
      <c r="A943" s="296"/>
      <c r="B943" s="296"/>
      <c r="C943" s="296"/>
      <c r="D943" s="297"/>
      <c r="E943" s="298"/>
      <c r="F943" s="296"/>
      <c r="G943" s="296"/>
      <c r="H943" s="296"/>
      <c r="I943" s="296"/>
      <c r="J943" s="296"/>
      <c r="K943" s="296"/>
      <c r="L943" s="296"/>
      <c r="M943" s="299"/>
      <c r="N943" s="299"/>
      <c r="O943" s="299"/>
      <c r="P943" s="299"/>
      <c r="Q943" s="299"/>
      <c r="R943" s="299"/>
      <c r="S943" s="299"/>
      <c r="T943" s="299"/>
      <c r="U943" s="299"/>
      <c r="V943" s="299"/>
      <c r="W943" s="299"/>
      <c r="X943" s="299"/>
      <c r="Y943" s="299"/>
      <c r="Z943" s="299"/>
      <c r="AA943" s="299"/>
      <c r="AB943" s="299"/>
      <c r="AC943" s="300"/>
      <c r="AD943" s="300"/>
    </row>
    <row r="944" spans="1:30" ht="12.75" customHeight="1" x14ac:dyDescent="0.2">
      <c r="A944" s="296"/>
      <c r="B944" s="296"/>
      <c r="C944" s="296"/>
      <c r="D944" s="297"/>
      <c r="E944" s="298"/>
      <c r="F944" s="296"/>
      <c r="G944" s="296"/>
      <c r="H944" s="296"/>
      <c r="I944" s="296"/>
      <c r="J944" s="296"/>
      <c r="K944" s="296"/>
      <c r="L944" s="296"/>
      <c r="M944" s="299"/>
      <c r="N944" s="299"/>
      <c r="O944" s="299"/>
      <c r="P944" s="299"/>
      <c r="Q944" s="299"/>
      <c r="R944" s="299"/>
      <c r="S944" s="299"/>
      <c r="T944" s="299"/>
      <c r="U944" s="299"/>
      <c r="V944" s="299"/>
      <c r="W944" s="299"/>
      <c r="X944" s="299"/>
      <c r="Y944" s="299"/>
      <c r="Z944" s="299"/>
      <c r="AA944" s="299"/>
      <c r="AB944" s="299"/>
      <c r="AC944" s="300"/>
      <c r="AD944" s="300"/>
    </row>
    <row r="945" spans="1:30" ht="12.75" customHeight="1" x14ac:dyDescent="0.2">
      <c r="A945" s="296"/>
      <c r="B945" s="296"/>
      <c r="C945" s="296"/>
      <c r="D945" s="297"/>
      <c r="E945" s="298"/>
      <c r="F945" s="296"/>
      <c r="G945" s="296"/>
      <c r="H945" s="296"/>
      <c r="I945" s="296"/>
      <c r="J945" s="296"/>
      <c r="K945" s="296"/>
      <c r="L945" s="296"/>
      <c r="M945" s="299"/>
      <c r="N945" s="299"/>
      <c r="O945" s="299"/>
      <c r="P945" s="299"/>
      <c r="Q945" s="299"/>
      <c r="R945" s="299"/>
      <c r="S945" s="299"/>
      <c r="T945" s="299"/>
      <c r="U945" s="299"/>
      <c r="V945" s="299"/>
      <c r="W945" s="299"/>
      <c r="X945" s="299"/>
      <c r="Y945" s="299"/>
      <c r="Z945" s="299"/>
      <c r="AA945" s="299"/>
      <c r="AB945" s="299"/>
      <c r="AC945" s="300"/>
      <c r="AD945" s="300"/>
    </row>
    <row r="946" spans="1:30" ht="12.75" customHeight="1" x14ac:dyDescent="0.2">
      <c r="A946" s="296"/>
      <c r="B946" s="296"/>
      <c r="C946" s="296"/>
      <c r="D946" s="297"/>
      <c r="E946" s="298"/>
      <c r="F946" s="296"/>
      <c r="G946" s="296"/>
      <c r="H946" s="296"/>
      <c r="I946" s="296"/>
      <c r="J946" s="296"/>
      <c r="K946" s="296"/>
      <c r="L946" s="296"/>
      <c r="M946" s="299"/>
      <c r="N946" s="299"/>
      <c r="O946" s="299"/>
      <c r="P946" s="299"/>
      <c r="Q946" s="299"/>
      <c r="R946" s="299"/>
      <c r="S946" s="299"/>
      <c r="T946" s="299"/>
      <c r="U946" s="299"/>
      <c r="V946" s="299"/>
      <c r="W946" s="299"/>
      <c r="X946" s="299"/>
      <c r="Y946" s="299"/>
      <c r="Z946" s="299"/>
      <c r="AA946" s="299"/>
      <c r="AB946" s="299"/>
      <c r="AC946" s="300"/>
      <c r="AD946" s="300"/>
    </row>
    <row r="947" spans="1:30" ht="12.75" customHeight="1" x14ac:dyDescent="0.2">
      <c r="A947" s="296"/>
      <c r="B947" s="296"/>
      <c r="C947" s="296"/>
      <c r="D947" s="297"/>
      <c r="E947" s="298"/>
      <c r="F947" s="296"/>
      <c r="G947" s="296"/>
      <c r="H947" s="296"/>
      <c r="I947" s="296"/>
      <c r="J947" s="296"/>
      <c r="K947" s="296"/>
      <c r="L947" s="296"/>
      <c r="M947" s="299"/>
      <c r="N947" s="299"/>
      <c r="O947" s="299"/>
      <c r="P947" s="299"/>
      <c r="Q947" s="299"/>
      <c r="R947" s="299"/>
      <c r="S947" s="299"/>
      <c r="T947" s="299"/>
      <c r="U947" s="299"/>
      <c r="V947" s="299"/>
      <c r="W947" s="299"/>
      <c r="X947" s="299"/>
      <c r="Y947" s="299"/>
      <c r="Z947" s="299"/>
      <c r="AA947" s="299"/>
      <c r="AB947" s="299"/>
      <c r="AC947" s="300"/>
      <c r="AD947" s="300"/>
    </row>
    <row r="948" spans="1:30" ht="12.75" customHeight="1" x14ac:dyDescent="0.2">
      <c r="A948" s="296"/>
      <c r="B948" s="296"/>
      <c r="C948" s="296"/>
      <c r="D948" s="297"/>
      <c r="E948" s="298"/>
      <c r="F948" s="296"/>
      <c r="G948" s="296"/>
      <c r="H948" s="296"/>
      <c r="I948" s="296"/>
      <c r="J948" s="296"/>
      <c r="K948" s="296"/>
      <c r="L948" s="296"/>
      <c r="M948" s="299"/>
      <c r="N948" s="299"/>
      <c r="O948" s="299"/>
      <c r="P948" s="299"/>
      <c r="Q948" s="299"/>
      <c r="R948" s="299"/>
      <c r="S948" s="299"/>
      <c r="T948" s="299"/>
      <c r="U948" s="299"/>
      <c r="V948" s="299"/>
      <c r="W948" s="299"/>
      <c r="X948" s="299"/>
      <c r="Y948" s="299"/>
      <c r="Z948" s="299"/>
      <c r="AA948" s="299"/>
      <c r="AB948" s="299"/>
      <c r="AC948" s="300"/>
      <c r="AD948" s="300"/>
    </row>
    <row r="949" spans="1:30" ht="12.75" customHeight="1" x14ac:dyDescent="0.2">
      <c r="A949" s="296"/>
      <c r="B949" s="296"/>
      <c r="C949" s="296"/>
      <c r="D949" s="297"/>
      <c r="E949" s="298"/>
      <c r="F949" s="296"/>
      <c r="G949" s="296"/>
      <c r="H949" s="296"/>
      <c r="I949" s="296"/>
      <c r="J949" s="296"/>
      <c r="K949" s="296"/>
      <c r="L949" s="296"/>
      <c r="M949" s="299"/>
      <c r="N949" s="299"/>
      <c r="O949" s="299"/>
      <c r="P949" s="299"/>
      <c r="Q949" s="299"/>
      <c r="R949" s="299"/>
      <c r="S949" s="299"/>
      <c r="T949" s="299"/>
      <c r="U949" s="299"/>
      <c r="V949" s="299"/>
      <c r="W949" s="299"/>
      <c r="X949" s="299"/>
      <c r="Y949" s="299"/>
      <c r="Z949" s="299"/>
      <c r="AA949" s="299"/>
      <c r="AB949" s="299"/>
      <c r="AC949" s="300"/>
      <c r="AD949" s="300"/>
    </row>
    <row r="950" spans="1:30" ht="12.75" customHeight="1" x14ac:dyDescent="0.2">
      <c r="A950" s="296"/>
      <c r="B950" s="296"/>
      <c r="C950" s="296"/>
      <c r="D950" s="297"/>
      <c r="E950" s="298"/>
      <c r="F950" s="296"/>
      <c r="G950" s="296"/>
      <c r="H950" s="296"/>
      <c r="I950" s="296"/>
      <c r="J950" s="296"/>
      <c r="K950" s="296"/>
      <c r="L950" s="296"/>
      <c r="M950" s="299"/>
      <c r="N950" s="299"/>
      <c r="O950" s="299"/>
      <c r="P950" s="299"/>
      <c r="Q950" s="299"/>
      <c r="R950" s="299"/>
      <c r="S950" s="299"/>
      <c r="T950" s="299"/>
      <c r="U950" s="299"/>
      <c r="V950" s="299"/>
      <c r="W950" s="299"/>
      <c r="X950" s="299"/>
      <c r="Y950" s="299"/>
      <c r="Z950" s="299"/>
      <c r="AA950" s="299"/>
      <c r="AB950" s="299"/>
      <c r="AC950" s="300"/>
      <c r="AD950" s="300"/>
    </row>
    <row r="951" spans="1:30" ht="12.75" customHeight="1" x14ac:dyDescent="0.2">
      <c r="A951" s="296"/>
      <c r="B951" s="296"/>
      <c r="C951" s="296"/>
      <c r="D951" s="297"/>
      <c r="E951" s="298"/>
      <c r="F951" s="296"/>
      <c r="G951" s="296"/>
      <c r="H951" s="296"/>
      <c r="I951" s="296"/>
      <c r="J951" s="296"/>
      <c r="K951" s="296"/>
      <c r="L951" s="296"/>
      <c r="M951" s="299"/>
      <c r="N951" s="299"/>
      <c r="O951" s="299"/>
      <c r="P951" s="299"/>
      <c r="Q951" s="299"/>
      <c r="R951" s="299"/>
      <c r="S951" s="299"/>
      <c r="T951" s="299"/>
      <c r="U951" s="299"/>
      <c r="V951" s="299"/>
      <c r="W951" s="299"/>
      <c r="X951" s="299"/>
      <c r="Y951" s="299"/>
      <c r="Z951" s="299"/>
      <c r="AA951" s="299"/>
      <c r="AB951" s="299"/>
      <c r="AC951" s="300"/>
      <c r="AD951" s="300"/>
    </row>
    <row r="952" spans="1:30" ht="12.75" customHeight="1" x14ac:dyDescent="0.2">
      <c r="A952" s="296"/>
      <c r="B952" s="296"/>
      <c r="C952" s="296"/>
      <c r="D952" s="297"/>
      <c r="E952" s="298"/>
      <c r="F952" s="296"/>
      <c r="G952" s="296"/>
      <c r="H952" s="296"/>
      <c r="I952" s="296"/>
      <c r="J952" s="296"/>
      <c r="K952" s="296"/>
      <c r="L952" s="296"/>
      <c r="M952" s="299"/>
      <c r="N952" s="299"/>
      <c r="O952" s="299"/>
      <c r="P952" s="299"/>
      <c r="Q952" s="299"/>
      <c r="R952" s="299"/>
      <c r="S952" s="299"/>
      <c r="T952" s="299"/>
      <c r="U952" s="299"/>
      <c r="V952" s="299"/>
      <c r="W952" s="299"/>
      <c r="X952" s="299"/>
      <c r="Y952" s="299"/>
      <c r="Z952" s="299"/>
      <c r="AA952" s="299"/>
      <c r="AB952" s="299"/>
      <c r="AC952" s="300"/>
      <c r="AD952" s="300"/>
    </row>
    <row r="953" spans="1:30" ht="12.75" customHeight="1" x14ac:dyDescent="0.2">
      <c r="A953" s="296"/>
      <c r="B953" s="296"/>
      <c r="C953" s="296"/>
      <c r="D953" s="297"/>
      <c r="E953" s="298"/>
      <c r="F953" s="296"/>
      <c r="G953" s="296"/>
      <c r="H953" s="296"/>
      <c r="I953" s="296"/>
      <c r="J953" s="296"/>
      <c r="K953" s="296"/>
      <c r="L953" s="296"/>
      <c r="M953" s="299"/>
      <c r="N953" s="299"/>
      <c r="O953" s="299"/>
      <c r="P953" s="299"/>
      <c r="Q953" s="299"/>
      <c r="R953" s="299"/>
      <c r="S953" s="299"/>
      <c r="T953" s="299"/>
      <c r="U953" s="299"/>
      <c r="V953" s="299"/>
      <c r="W953" s="299"/>
      <c r="X953" s="299"/>
      <c r="Y953" s="299"/>
      <c r="Z953" s="299"/>
      <c r="AA953" s="299"/>
      <c r="AB953" s="299"/>
      <c r="AC953" s="300"/>
      <c r="AD953" s="300"/>
    </row>
    <row r="954" spans="1:30" ht="12.75" customHeight="1" x14ac:dyDescent="0.2">
      <c r="A954" s="296"/>
      <c r="B954" s="296"/>
      <c r="C954" s="296"/>
      <c r="D954" s="297"/>
      <c r="E954" s="298"/>
      <c r="F954" s="296"/>
      <c r="G954" s="296"/>
      <c r="H954" s="296"/>
      <c r="I954" s="296"/>
      <c r="J954" s="296"/>
      <c r="K954" s="296"/>
      <c r="L954" s="296"/>
      <c r="M954" s="299"/>
      <c r="N954" s="299"/>
      <c r="O954" s="299"/>
      <c r="P954" s="299"/>
      <c r="Q954" s="299"/>
      <c r="R954" s="299"/>
      <c r="S954" s="299"/>
      <c r="T954" s="299"/>
      <c r="U954" s="299"/>
      <c r="V954" s="299"/>
      <c r="W954" s="299"/>
      <c r="X954" s="299"/>
      <c r="Y954" s="299"/>
      <c r="Z954" s="299"/>
      <c r="AA954" s="299"/>
      <c r="AB954" s="299"/>
      <c r="AC954" s="300"/>
      <c r="AD954" s="300"/>
    </row>
    <row r="955" spans="1:30" ht="12.75" customHeight="1" x14ac:dyDescent="0.2">
      <c r="A955" s="296"/>
      <c r="B955" s="296"/>
      <c r="C955" s="296"/>
      <c r="D955" s="297"/>
      <c r="E955" s="298"/>
      <c r="F955" s="296"/>
      <c r="G955" s="296"/>
      <c r="H955" s="296"/>
      <c r="I955" s="296"/>
      <c r="J955" s="296"/>
      <c r="K955" s="296"/>
      <c r="L955" s="296"/>
      <c r="M955" s="299"/>
      <c r="N955" s="299"/>
      <c r="O955" s="299"/>
      <c r="P955" s="299"/>
      <c r="Q955" s="299"/>
      <c r="R955" s="299"/>
      <c r="S955" s="299"/>
      <c r="T955" s="299"/>
      <c r="U955" s="299"/>
      <c r="V955" s="299"/>
      <c r="W955" s="299"/>
      <c r="X955" s="299"/>
      <c r="Y955" s="299"/>
      <c r="Z955" s="299"/>
      <c r="AA955" s="299"/>
      <c r="AB955" s="299"/>
      <c r="AC955" s="300"/>
      <c r="AD955" s="300"/>
    </row>
    <row r="956" spans="1:30" ht="12.75" customHeight="1" x14ac:dyDescent="0.2">
      <c r="A956" s="296"/>
      <c r="B956" s="296"/>
      <c r="C956" s="296"/>
      <c r="D956" s="297"/>
      <c r="E956" s="298"/>
      <c r="F956" s="296"/>
      <c r="G956" s="296"/>
      <c r="H956" s="296"/>
      <c r="I956" s="296"/>
      <c r="J956" s="296"/>
      <c r="K956" s="296"/>
      <c r="L956" s="296"/>
      <c r="M956" s="299"/>
      <c r="N956" s="299"/>
      <c r="O956" s="299"/>
      <c r="P956" s="299"/>
      <c r="Q956" s="299"/>
      <c r="R956" s="299"/>
      <c r="S956" s="299"/>
      <c r="T956" s="299"/>
      <c r="U956" s="299"/>
      <c r="V956" s="299"/>
      <c r="W956" s="299"/>
      <c r="X956" s="299"/>
      <c r="Y956" s="299"/>
      <c r="Z956" s="299"/>
      <c r="AA956" s="299"/>
      <c r="AB956" s="299"/>
      <c r="AC956" s="300"/>
      <c r="AD956" s="300"/>
    </row>
    <row r="957" spans="1:30" ht="12.75" customHeight="1" x14ac:dyDescent="0.2">
      <c r="A957" s="296"/>
      <c r="B957" s="296"/>
      <c r="C957" s="296"/>
      <c r="D957" s="297"/>
      <c r="E957" s="298"/>
      <c r="F957" s="296"/>
      <c r="G957" s="296"/>
      <c r="H957" s="296"/>
      <c r="I957" s="296"/>
      <c r="J957" s="296"/>
      <c r="K957" s="296"/>
      <c r="L957" s="296"/>
      <c r="M957" s="299"/>
      <c r="N957" s="299"/>
      <c r="O957" s="299"/>
      <c r="P957" s="299"/>
      <c r="Q957" s="299"/>
      <c r="R957" s="299"/>
      <c r="S957" s="299"/>
      <c r="T957" s="299"/>
      <c r="U957" s="299"/>
      <c r="V957" s="299"/>
      <c r="W957" s="299"/>
      <c r="X957" s="299"/>
      <c r="Y957" s="299"/>
      <c r="Z957" s="299"/>
      <c r="AA957" s="299"/>
      <c r="AB957" s="299"/>
      <c r="AC957" s="300"/>
      <c r="AD957" s="300"/>
    </row>
    <row r="958" spans="1:30" ht="12.75" customHeight="1" x14ac:dyDescent="0.2">
      <c r="A958" s="296"/>
      <c r="B958" s="296"/>
      <c r="C958" s="296"/>
      <c r="D958" s="297"/>
      <c r="E958" s="298"/>
      <c r="F958" s="296"/>
      <c r="G958" s="296"/>
      <c r="H958" s="296"/>
      <c r="I958" s="296"/>
      <c r="J958" s="296"/>
      <c r="K958" s="296"/>
      <c r="L958" s="296"/>
      <c r="M958" s="299"/>
      <c r="N958" s="299"/>
      <c r="O958" s="299"/>
      <c r="P958" s="299"/>
      <c r="Q958" s="299"/>
      <c r="R958" s="299"/>
      <c r="S958" s="299"/>
      <c r="T958" s="299"/>
      <c r="U958" s="299"/>
      <c r="V958" s="299"/>
      <c r="W958" s="299"/>
      <c r="X958" s="299"/>
      <c r="Y958" s="299"/>
      <c r="Z958" s="299"/>
      <c r="AA958" s="299"/>
      <c r="AB958" s="299"/>
      <c r="AC958" s="300"/>
      <c r="AD958" s="300"/>
    </row>
    <row r="959" spans="1:30" ht="12.75" customHeight="1" x14ac:dyDescent="0.2">
      <c r="A959" s="296"/>
      <c r="B959" s="296"/>
      <c r="C959" s="296"/>
      <c r="D959" s="297"/>
      <c r="E959" s="298"/>
      <c r="F959" s="296"/>
      <c r="G959" s="296"/>
      <c r="H959" s="296"/>
      <c r="I959" s="296"/>
      <c r="J959" s="296"/>
      <c r="K959" s="296"/>
      <c r="L959" s="296"/>
      <c r="M959" s="299"/>
      <c r="N959" s="299"/>
      <c r="O959" s="299"/>
      <c r="P959" s="299"/>
      <c r="Q959" s="299"/>
      <c r="R959" s="299"/>
      <c r="S959" s="299"/>
      <c r="T959" s="299"/>
      <c r="U959" s="299"/>
      <c r="V959" s="299"/>
      <c r="W959" s="299"/>
      <c r="X959" s="299"/>
      <c r="Y959" s="299"/>
      <c r="Z959" s="299"/>
      <c r="AA959" s="299"/>
      <c r="AB959" s="299"/>
      <c r="AC959" s="300"/>
      <c r="AD959" s="300"/>
    </row>
    <row r="960" spans="1:30" ht="12.75" customHeight="1" x14ac:dyDescent="0.2">
      <c r="A960" s="296"/>
      <c r="B960" s="296"/>
      <c r="C960" s="296"/>
      <c r="D960" s="297"/>
      <c r="E960" s="298"/>
      <c r="F960" s="296"/>
      <c r="G960" s="296"/>
      <c r="H960" s="296"/>
      <c r="I960" s="296"/>
      <c r="J960" s="296"/>
      <c r="K960" s="296"/>
      <c r="L960" s="296"/>
      <c r="M960" s="299"/>
      <c r="N960" s="299"/>
      <c r="O960" s="299"/>
      <c r="P960" s="299"/>
      <c r="Q960" s="299"/>
      <c r="R960" s="299"/>
      <c r="S960" s="299"/>
      <c r="T960" s="299"/>
      <c r="U960" s="299"/>
      <c r="V960" s="299"/>
      <c r="W960" s="299"/>
      <c r="X960" s="299"/>
      <c r="Y960" s="299"/>
      <c r="Z960" s="299"/>
      <c r="AA960" s="299"/>
      <c r="AB960" s="299"/>
      <c r="AC960" s="300"/>
      <c r="AD960" s="300"/>
    </row>
    <row r="961" spans="1:30" ht="12.75" customHeight="1" x14ac:dyDescent="0.2">
      <c r="A961" s="296"/>
      <c r="B961" s="296"/>
      <c r="C961" s="296"/>
      <c r="D961" s="297"/>
      <c r="E961" s="298"/>
      <c r="F961" s="296"/>
      <c r="G961" s="296"/>
      <c r="H961" s="296"/>
      <c r="I961" s="296"/>
      <c r="J961" s="296"/>
      <c r="K961" s="296"/>
      <c r="L961" s="296"/>
      <c r="M961" s="299"/>
      <c r="N961" s="299"/>
      <c r="O961" s="299"/>
      <c r="P961" s="299"/>
      <c r="Q961" s="299"/>
      <c r="R961" s="299"/>
      <c r="S961" s="299"/>
      <c r="T961" s="299"/>
      <c r="U961" s="299"/>
      <c r="V961" s="299"/>
      <c r="W961" s="299"/>
      <c r="X961" s="299"/>
      <c r="Y961" s="299"/>
      <c r="Z961" s="299"/>
      <c r="AA961" s="299"/>
      <c r="AB961" s="299"/>
      <c r="AC961" s="300"/>
      <c r="AD961" s="300"/>
    </row>
    <row r="962" spans="1:30" ht="12.75" customHeight="1" x14ac:dyDescent="0.2">
      <c r="A962" s="296"/>
      <c r="B962" s="296"/>
      <c r="C962" s="296"/>
      <c r="D962" s="297"/>
      <c r="E962" s="298"/>
      <c r="F962" s="296"/>
      <c r="G962" s="296"/>
      <c r="H962" s="296"/>
      <c r="I962" s="296"/>
      <c r="J962" s="296"/>
      <c r="K962" s="296"/>
      <c r="L962" s="296"/>
      <c r="M962" s="299"/>
      <c r="N962" s="299"/>
      <c r="O962" s="299"/>
      <c r="P962" s="299"/>
      <c r="Q962" s="299"/>
      <c r="R962" s="299"/>
      <c r="S962" s="299"/>
      <c r="T962" s="299"/>
      <c r="U962" s="299"/>
      <c r="V962" s="299"/>
      <c r="W962" s="299"/>
      <c r="X962" s="299"/>
      <c r="Y962" s="299"/>
      <c r="Z962" s="299"/>
      <c r="AA962" s="299"/>
      <c r="AB962" s="299"/>
      <c r="AC962" s="300"/>
      <c r="AD962" s="300"/>
    </row>
    <row r="963" spans="1:30" ht="12.75" customHeight="1" x14ac:dyDescent="0.2">
      <c r="A963" s="296"/>
      <c r="B963" s="296"/>
      <c r="C963" s="296"/>
      <c r="D963" s="297"/>
      <c r="E963" s="298"/>
      <c r="F963" s="296"/>
      <c r="G963" s="296"/>
      <c r="H963" s="296"/>
      <c r="I963" s="296"/>
      <c r="J963" s="296"/>
      <c r="K963" s="296"/>
      <c r="L963" s="296"/>
      <c r="M963" s="299"/>
      <c r="N963" s="299"/>
      <c r="O963" s="299"/>
      <c r="P963" s="299"/>
      <c r="Q963" s="299"/>
      <c r="R963" s="299"/>
      <c r="S963" s="299"/>
      <c r="T963" s="299"/>
      <c r="U963" s="299"/>
      <c r="V963" s="299"/>
      <c r="W963" s="299"/>
      <c r="X963" s="299"/>
      <c r="Y963" s="299"/>
      <c r="Z963" s="299"/>
      <c r="AA963" s="299"/>
      <c r="AB963" s="299"/>
      <c r="AC963" s="300"/>
      <c r="AD963" s="300"/>
    </row>
    <row r="964" spans="1:30" ht="12.75" customHeight="1" x14ac:dyDescent="0.2">
      <c r="A964" s="296"/>
      <c r="B964" s="296"/>
      <c r="C964" s="296"/>
      <c r="D964" s="297"/>
      <c r="E964" s="298"/>
      <c r="F964" s="296"/>
      <c r="G964" s="296"/>
      <c r="H964" s="296"/>
      <c r="I964" s="296"/>
      <c r="J964" s="296"/>
      <c r="K964" s="296"/>
      <c r="L964" s="296"/>
      <c r="M964" s="299"/>
      <c r="N964" s="299"/>
      <c r="O964" s="299"/>
      <c r="P964" s="299"/>
      <c r="Q964" s="299"/>
      <c r="R964" s="299"/>
      <c r="S964" s="299"/>
      <c r="T964" s="299"/>
      <c r="U964" s="299"/>
      <c r="V964" s="299"/>
      <c r="W964" s="299"/>
      <c r="X964" s="299"/>
      <c r="Y964" s="299"/>
      <c r="Z964" s="299"/>
      <c r="AA964" s="299"/>
      <c r="AB964" s="299"/>
      <c r="AC964" s="300"/>
      <c r="AD964" s="300"/>
    </row>
    <row r="965" spans="1:30" ht="12.75" customHeight="1" x14ac:dyDescent="0.2">
      <c r="A965" s="296"/>
      <c r="B965" s="296"/>
      <c r="C965" s="296"/>
      <c r="D965" s="297"/>
      <c r="E965" s="298"/>
      <c r="F965" s="296"/>
      <c r="G965" s="296"/>
      <c r="H965" s="296"/>
      <c r="I965" s="296"/>
      <c r="J965" s="296"/>
      <c r="K965" s="296"/>
      <c r="L965" s="296"/>
      <c r="M965" s="299"/>
      <c r="N965" s="299"/>
      <c r="O965" s="299"/>
      <c r="P965" s="299"/>
      <c r="Q965" s="299"/>
      <c r="R965" s="299"/>
      <c r="S965" s="299"/>
      <c r="T965" s="299"/>
      <c r="U965" s="299"/>
      <c r="V965" s="299"/>
      <c r="W965" s="299"/>
      <c r="X965" s="299"/>
      <c r="Y965" s="299"/>
      <c r="Z965" s="299"/>
      <c r="AA965" s="299"/>
      <c r="AB965" s="299"/>
      <c r="AC965" s="300"/>
      <c r="AD965" s="300"/>
    </row>
  </sheetData>
  <mergeCells count="24">
    <mergeCell ref="A20:A23"/>
    <mergeCell ref="B20:B23"/>
    <mergeCell ref="C20:C23"/>
    <mergeCell ref="A24:A27"/>
    <mergeCell ref="B24:B27"/>
    <mergeCell ref="C24:C27"/>
    <mergeCell ref="A9:A14"/>
    <mergeCell ref="B9:B14"/>
    <mergeCell ref="C9:C14"/>
    <mergeCell ref="A15:A19"/>
    <mergeCell ref="B15:B19"/>
    <mergeCell ref="C15:C19"/>
    <mergeCell ref="A6:C6"/>
    <mergeCell ref="D6:AD6"/>
    <mergeCell ref="A7:L7"/>
    <mergeCell ref="M7:Y7"/>
    <mergeCell ref="Z7:AB7"/>
    <mergeCell ref="AC7:AD7"/>
    <mergeCell ref="A1:C4"/>
    <mergeCell ref="D1:AB4"/>
    <mergeCell ref="AC1:AD2"/>
    <mergeCell ref="AC3:AD4"/>
    <mergeCell ref="A5:C5"/>
    <mergeCell ref="D5:AD5"/>
  </mergeCells>
  <dataValidations count="9">
    <dataValidation type="list" allowBlank="1" showErrorMessage="1" sqref="F9:F27" xr:uid="{00000000-0002-0000-1500-000000000000}">
      <formula1>"Asignado,No asignado"</formula1>
    </dataValidation>
    <dataValidation type="list" allowBlank="1" showErrorMessage="1" sqref="J9:J27" xr:uid="{00000000-0002-0000-1500-000001000000}">
      <formula1>"Confiable,No Confiable"</formula1>
    </dataValidation>
    <dataValidation type="list" allowBlank="1" showErrorMessage="1" sqref="L9:L27" xr:uid="{00000000-0002-0000-1500-000002000000}">
      <formula1>"Completa,Incompleta,No existe"</formula1>
    </dataValidation>
    <dataValidation type="list" allowBlank="1" showErrorMessage="1" sqref="U9:V27" xr:uid="{00000000-0002-0000-1500-000003000000}">
      <formula1>"SI,NO,Seleccione"</formula1>
    </dataValidation>
    <dataValidation type="list" allowBlank="1" showErrorMessage="1" sqref="K9:K27" xr:uid="{00000000-0002-0000-1500-000004000000}">
      <formula1>"Se invesigan y resuelven oportunamente,No se investigan y resuelven oportunamente"</formula1>
    </dataValidation>
    <dataValidation type="list" allowBlank="1" showErrorMessage="1" sqref="I9:I27" xr:uid="{00000000-0002-0000-1500-000005000000}">
      <formula1>"Prevenir,Detectar,No es un control"</formula1>
    </dataValidation>
    <dataValidation type="list" allowBlank="1" showErrorMessage="1" sqref="Z9:Z27" xr:uid="{00000000-0002-0000-1500-000006000000}">
      <formula1>"Siempre se ejecuta,Algunas veces se ejecuta,No se ejecuta,Seleccione"</formula1>
    </dataValidation>
    <dataValidation type="list" allowBlank="1" showErrorMessage="1" sqref="H9:H27" xr:uid="{00000000-0002-0000-1500-000007000000}">
      <formula1>"Oportuna,Inoportuna"</formula1>
    </dataValidation>
    <dataValidation type="list" allowBlank="1" showErrorMessage="1" sqref="G9:G27" xr:uid="{00000000-0002-0000-1500-000008000000}">
      <formula1>"Adecuado,Inadecuado"</formula1>
    </dataValidation>
  </dataValidations>
  <pageMargins left="0.11811023622047245" right="0.11811023622047245" top="1.1417322834645669" bottom="0.74803149606299213" header="0" footer="0"/>
  <pageSetup orientation="landscape" r:id="rId1"/>
  <headerFooter>
    <oddHeader>&amp;C Matriz de Riesgos</oddHeader>
  </headerFooter>
  <rowBreaks count="1" manualBreakCount="1">
    <brk id="19" man="1"/>
  </rowBreaks>
  <colBreaks count="1" manualBreakCount="1">
    <brk id="12" man="1"/>
  </colBreaks>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X9"/>
  <sheetViews>
    <sheetView showGridLines="0" topLeftCell="D6" zoomScale="85" zoomScaleNormal="85" workbookViewId="0">
      <selection activeCell="H8" sqref="H8:H9"/>
    </sheetView>
  </sheetViews>
  <sheetFormatPr baseColWidth="10" defaultRowHeight="14.25" x14ac:dyDescent="0.2"/>
  <cols>
    <col min="1" max="1" width="3.625" style="562" customWidth="1"/>
    <col min="2" max="2" width="26.625" style="562" customWidth="1"/>
    <col min="3" max="3" width="38.875" style="562" customWidth="1"/>
    <col min="4" max="4" width="38.5" style="562" customWidth="1"/>
    <col min="5" max="5" width="20.5" style="562" customWidth="1"/>
    <col min="6" max="6" width="25.875" style="562" customWidth="1"/>
    <col min="7" max="7" width="23" style="562" customWidth="1"/>
    <col min="8" max="10" width="19.375" style="562" customWidth="1"/>
    <col min="11" max="11" width="18.25" style="562" customWidth="1"/>
    <col min="12" max="12" width="41.625" style="562" customWidth="1"/>
    <col min="13" max="13" width="27.25" style="562" customWidth="1"/>
    <col min="14" max="15" width="10.75" style="562" customWidth="1"/>
    <col min="16" max="16" width="27.25" style="562" customWidth="1"/>
    <col min="17" max="22" width="25.75" style="562" customWidth="1"/>
    <col min="23" max="23" width="33.5" style="562" customWidth="1"/>
    <col min="24" max="24" width="45.625" style="562" customWidth="1"/>
    <col min="25" max="16384" width="11" style="562"/>
  </cols>
  <sheetData>
    <row r="1" spans="1:24" ht="48.75" customHeight="1" x14ac:dyDescent="0.2">
      <c r="A1" s="1264"/>
      <c r="B1" s="1264"/>
      <c r="C1" s="1264"/>
      <c r="D1" s="1265" t="s">
        <v>314</v>
      </c>
      <c r="E1" s="1266"/>
      <c r="F1" s="1266"/>
      <c r="G1" s="1266"/>
      <c r="H1" s="1266"/>
      <c r="I1" s="1266"/>
      <c r="J1" s="1266"/>
      <c r="K1" s="1266"/>
      <c r="L1" s="1266"/>
      <c r="M1" s="1266"/>
      <c r="N1" s="1266"/>
      <c r="O1" s="1266"/>
      <c r="P1" s="1266"/>
      <c r="Q1" s="1266"/>
      <c r="R1" s="1266"/>
      <c r="S1" s="1266"/>
      <c r="T1" s="1266"/>
      <c r="U1" s="1266"/>
      <c r="V1" s="1267"/>
      <c r="W1" s="560" t="s">
        <v>315</v>
      </c>
      <c r="X1" s="561"/>
    </row>
    <row r="2" spans="1:24" ht="48.75" customHeight="1" x14ac:dyDescent="0.2">
      <c r="A2" s="1264"/>
      <c r="B2" s="1264"/>
      <c r="C2" s="1264"/>
      <c r="D2" s="1268"/>
      <c r="E2" s="1269"/>
      <c r="F2" s="1269"/>
      <c r="G2" s="1269"/>
      <c r="H2" s="1269"/>
      <c r="I2" s="1269"/>
      <c r="J2" s="1269"/>
      <c r="K2" s="1269"/>
      <c r="L2" s="1269"/>
      <c r="M2" s="1269"/>
      <c r="N2" s="1269"/>
      <c r="O2" s="1269"/>
      <c r="P2" s="1269"/>
      <c r="Q2" s="1269"/>
      <c r="R2" s="1269"/>
      <c r="S2" s="1269"/>
      <c r="T2" s="1269"/>
      <c r="U2" s="1269"/>
      <c r="V2" s="1270"/>
      <c r="W2" s="560" t="s">
        <v>316</v>
      </c>
      <c r="X2" s="561"/>
    </row>
    <row r="3" spans="1:24" ht="30" x14ac:dyDescent="0.2">
      <c r="A3" s="1271" t="s">
        <v>57</v>
      </c>
      <c r="B3" s="1272"/>
      <c r="C3" s="1272"/>
      <c r="D3" s="1272"/>
      <c r="E3" s="1272"/>
      <c r="F3" s="1272"/>
      <c r="G3" s="1273"/>
      <c r="H3" s="1274"/>
      <c r="I3" s="1274"/>
      <c r="J3" s="1274"/>
      <c r="K3" s="1274"/>
      <c r="L3" s="1275" t="s">
        <v>60</v>
      </c>
      <c r="M3" s="1274"/>
      <c r="N3" s="1274"/>
      <c r="O3" s="1274"/>
      <c r="P3" s="1276"/>
      <c r="Q3" s="1277" t="s">
        <v>61</v>
      </c>
      <c r="R3" s="1278"/>
      <c r="S3" s="1278"/>
      <c r="T3" s="1278"/>
      <c r="U3" s="1278"/>
      <c r="V3" s="1279"/>
      <c r="W3" s="563" t="s">
        <v>62</v>
      </c>
      <c r="X3" s="563" t="s">
        <v>63</v>
      </c>
    </row>
    <row r="4" spans="1:24" ht="38.25" x14ac:dyDescent="0.2">
      <c r="A4" s="564" t="s">
        <v>44</v>
      </c>
      <c r="B4" s="565" t="s">
        <v>64</v>
      </c>
      <c r="C4" s="565" t="s">
        <v>65</v>
      </c>
      <c r="D4" s="565" t="s">
        <v>317</v>
      </c>
      <c r="E4" s="565" t="s">
        <v>68</v>
      </c>
      <c r="F4" s="565" t="s">
        <v>69</v>
      </c>
      <c r="G4" s="566" t="s">
        <v>71</v>
      </c>
      <c r="H4" s="565" t="s">
        <v>81</v>
      </c>
      <c r="I4" s="565" t="s">
        <v>82</v>
      </c>
      <c r="J4" s="565" t="s">
        <v>83</v>
      </c>
      <c r="K4" s="567" t="s">
        <v>84</v>
      </c>
      <c r="L4" s="568" t="s">
        <v>85</v>
      </c>
      <c r="M4" s="569" t="s">
        <v>86</v>
      </c>
      <c r="N4" s="569" t="s">
        <v>87</v>
      </c>
      <c r="O4" s="569" t="s">
        <v>88</v>
      </c>
      <c r="P4" s="570" t="s">
        <v>89</v>
      </c>
      <c r="Q4" s="564" t="s">
        <v>90</v>
      </c>
      <c r="R4" s="565" t="s">
        <v>91</v>
      </c>
      <c r="S4" s="565" t="s">
        <v>92</v>
      </c>
      <c r="T4" s="565" t="s">
        <v>91</v>
      </c>
      <c r="U4" s="565" t="s">
        <v>93</v>
      </c>
      <c r="V4" s="566" t="s">
        <v>91</v>
      </c>
      <c r="W4" s="571" t="s">
        <v>94</v>
      </c>
      <c r="X4" s="571" t="s">
        <v>95</v>
      </c>
    </row>
    <row r="5" spans="1:24" ht="204" x14ac:dyDescent="0.2">
      <c r="A5" s="572">
        <v>1</v>
      </c>
      <c r="B5" s="573" t="s">
        <v>375</v>
      </c>
      <c r="C5" s="574" t="s">
        <v>376</v>
      </c>
      <c r="D5" s="574" t="s">
        <v>377</v>
      </c>
      <c r="E5" s="575" t="s">
        <v>211</v>
      </c>
      <c r="F5" s="575" t="s">
        <v>204</v>
      </c>
      <c r="G5" s="576" t="s">
        <v>149</v>
      </c>
      <c r="H5" s="575" t="s">
        <v>237</v>
      </c>
      <c r="I5" s="577" t="s">
        <v>226</v>
      </c>
      <c r="J5" s="576" t="s">
        <v>152</v>
      </c>
      <c r="K5" s="578" t="s">
        <v>187</v>
      </c>
      <c r="L5" s="579"/>
      <c r="M5" s="580"/>
      <c r="N5" s="581"/>
      <c r="O5" s="581"/>
      <c r="P5" s="582"/>
      <c r="Q5" s="583"/>
      <c r="R5" s="583"/>
      <c r="S5" s="583"/>
      <c r="T5" s="583"/>
      <c r="U5" s="583"/>
      <c r="V5" s="583"/>
      <c r="W5" s="583"/>
      <c r="X5" s="583"/>
    </row>
    <row r="6" spans="1:24" ht="204" x14ac:dyDescent="0.2">
      <c r="A6" s="572">
        <v>2</v>
      </c>
      <c r="B6" s="573" t="s">
        <v>379</v>
      </c>
      <c r="C6" s="574" t="s">
        <v>380</v>
      </c>
      <c r="D6" s="574" t="s">
        <v>381</v>
      </c>
      <c r="E6" s="575" t="s">
        <v>237</v>
      </c>
      <c r="F6" s="575" t="s">
        <v>204</v>
      </c>
      <c r="G6" s="576" t="s">
        <v>151</v>
      </c>
      <c r="H6" s="575" t="s">
        <v>237</v>
      </c>
      <c r="I6" s="577" t="s">
        <v>226</v>
      </c>
      <c r="J6" s="576" t="s">
        <v>152</v>
      </c>
      <c r="K6" s="578" t="s">
        <v>957</v>
      </c>
      <c r="L6" s="584" t="s">
        <v>403</v>
      </c>
      <c r="M6" s="585" t="s">
        <v>404</v>
      </c>
      <c r="N6" s="586">
        <v>44197</v>
      </c>
      <c r="O6" s="586">
        <v>44561</v>
      </c>
      <c r="P6" s="585" t="s">
        <v>405</v>
      </c>
      <c r="Q6" s="583"/>
      <c r="R6" s="583"/>
      <c r="S6" s="583"/>
      <c r="T6" s="583"/>
      <c r="U6" s="583"/>
      <c r="V6" s="583"/>
      <c r="W6" s="583"/>
      <c r="X6" s="583"/>
    </row>
    <row r="7" spans="1:24" ht="153" x14ac:dyDescent="0.2">
      <c r="A7" s="587">
        <v>3</v>
      </c>
      <c r="B7" s="588" t="s">
        <v>383</v>
      </c>
      <c r="C7" s="589" t="s">
        <v>384</v>
      </c>
      <c r="D7" s="589" t="s">
        <v>385</v>
      </c>
      <c r="E7" s="590" t="s">
        <v>224</v>
      </c>
      <c r="F7" s="590" t="s">
        <v>204</v>
      </c>
      <c r="G7" s="591" t="s">
        <v>151</v>
      </c>
      <c r="H7" s="592" t="s">
        <v>224</v>
      </c>
      <c r="I7" s="592" t="s">
        <v>204</v>
      </c>
      <c r="J7" s="591" t="s">
        <v>151</v>
      </c>
      <c r="K7" s="593" t="s">
        <v>202</v>
      </c>
      <c r="L7" s="594" t="s">
        <v>403</v>
      </c>
      <c r="M7" s="585" t="s">
        <v>404</v>
      </c>
      <c r="N7" s="586">
        <v>44197</v>
      </c>
      <c r="O7" s="586">
        <v>44561</v>
      </c>
      <c r="P7" s="585" t="s">
        <v>405</v>
      </c>
      <c r="Q7" s="583"/>
      <c r="R7" s="583"/>
      <c r="S7" s="583"/>
      <c r="T7" s="583"/>
      <c r="U7" s="583"/>
      <c r="V7" s="583"/>
      <c r="W7" s="583"/>
      <c r="X7" s="583"/>
    </row>
    <row r="8" spans="1:24" ht="127.5" customHeight="1" x14ac:dyDescent="0.2">
      <c r="A8" s="1280">
        <v>4</v>
      </c>
      <c r="B8" s="1282" t="s">
        <v>387</v>
      </c>
      <c r="C8" s="1282" t="s">
        <v>388</v>
      </c>
      <c r="D8" s="1284" t="s">
        <v>389</v>
      </c>
      <c r="E8" s="1262" t="s">
        <v>237</v>
      </c>
      <c r="F8" s="1262" t="s">
        <v>199</v>
      </c>
      <c r="G8" s="1286" t="s">
        <v>149</v>
      </c>
      <c r="H8" s="1262" t="s">
        <v>237</v>
      </c>
      <c r="I8" s="1288" t="s">
        <v>226</v>
      </c>
      <c r="J8" s="1286" t="s">
        <v>152</v>
      </c>
      <c r="K8" s="1290" t="s">
        <v>202</v>
      </c>
      <c r="L8" s="585" t="s">
        <v>309</v>
      </c>
      <c r="M8" s="595" t="s">
        <v>307</v>
      </c>
      <c r="N8" s="586">
        <v>44197</v>
      </c>
      <c r="O8" s="586">
        <v>44561</v>
      </c>
      <c r="P8" s="585" t="s">
        <v>310</v>
      </c>
      <c r="Q8" s="583"/>
      <c r="R8" s="583"/>
      <c r="S8" s="583"/>
      <c r="T8" s="583"/>
      <c r="U8" s="583"/>
      <c r="V8" s="583"/>
      <c r="W8" s="583"/>
      <c r="X8" s="583"/>
    </row>
    <row r="9" spans="1:24" ht="76.5" customHeight="1" x14ac:dyDescent="0.2">
      <c r="A9" s="1281"/>
      <c r="B9" s="1283"/>
      <c r="C9" s="1283"/>
      <c r="D9" s="1285"/>
      <c r="E9" s="1263"/>
      <c r="F9" s="1263"/>
      <c r="G9" s="1287"/>
      <c r="H9" s="1263"/>
      <c r="I9" s="1289"/>
      <c r="J9" s="1287"/>
      <c r="K9" s="1290"/>
      <c r="L9" s="595" t="s">
        <v>308</v>
      </c>
      <c r="M9" s="595" t="s">
        <v>307</v>
      </c>
      <c r="N9" s="586">
        <v>44197</v>
      </c>
      <c r="O9" s="586">
        <v>44561</v>
      </c>
      <c r="P9" s="585" t="s">
        <v>311</v>
      </c>
    </row>
  </sheetData>
  <mergeCells count="17">
    <mergeCell ref="K8:K9"/>
    <mergeCell ref="F8:F9"/>
    <mergeCell ref="A1:C2"/>
    <mergeCell ref="D1:V2"/>
    <mergeCell ref="A3:G3"/>
    <mergeCell ref="H3:K3"/>
    <mergeCell ref="L3:P3"/>
    <mergeCell ref="Q3:V3"/>
    <mergeCell ref="A8:A9"/>
    <mergeCell ref="B8:B9"/>
    <mergeCell ref="C8:C9"/>
    <mergeCell ref="D8:D9"/>
    <mergeCell ref="E8:E9"/>
    <mergeCell ref="G8:G9"/>
    <mergeCell ref="H8:H9"/>
    <mergeCell ref="I8:I9"/>
    <mergeCell ref="J8:J9"/>
  </mergeCells>
  <conditionalFormatting sqref="G5">
    <cfRule type="cellIs" dxfId="219" priority="29" operator="equal">
      <formula>"Extremo"</formula>
    </cfRule>
  </conditionalFormatting>
  <conditionalFormatting sqref="G5">
    <cfRule type="cellIs" dxfId="218" priority="30" operator="equal">
      <formula>"Moderado"</formula>
    </cfRule>
  </conditionalFormatting>
  <conditionalFormatting sqref="G5">
    <cfRule type="cellIs" dxfId="217" priority="31" operator="equal">
      <formula>"Bajo"</formula>
    </cfRule>
  </conditionalFormatting>
  <conditionalFormatting sqref="G5">
    <cfRule type="cellIs" dxfId="216" priority="32" operator="equal">
      <formula>"Alto"</formula>
    </cfRule>
  </conditionalFormatting>
  <conditionalFormatting sqref="G6">
    <cfRule type="cellIs" dxfId="215" priority="25" operator="equal">
      <formula>"Extremo"</formula>
    </cfRule>
  </conditionalFormatting>
  <conditionalFormatting sqref="G6">
    <cfRule type="cellIs" dxfId="214" priority="26" operator="equal">
      <formula>"Moderado"</formula>
    </cfRule>
  </conditionalFormatting>
  <conditionalFormatting sqref="G6">
    <cfRule type="cellIs" dxfId="213" priority="27" operator="equal">
      <formula>"Bajo"</formula>
    </cfRule>
  </conditionalFormatting>
  <conditionalFormatting sqref="G6">
    <cfRule type="cellIs" dxfId="212" priority="28" operator="equal">
      <formula>"Alto"</formula>
    </cfRule>
  </conditionalFormatting>
  <conditionalFormatting sqref="G7">
    <cfRule type="cellIs" dxfId="211" priority="21" operator="equal">
      <formula>"Extremo"</formula>
    </cfRule>
  </conditionalFormatting>
  <conditionalFormatting sqref="G7">
    <cfRule type="cellIs" dxfId="210" priority="22" operator="equal">
      <formula>"Moderado"</formula>
    </cfRule>
  </conditionalFormatting>
  <conditionalFormatting sqref="G7">
    <cfRule type="cellIs" dxfId="209" priority="23" operator="equal">
      <formula>"Bajo"</formula>
    </cfRule>
  </conditionalFormatting>
  <conditionalFormatting sqref="G7">
    <cfRule type="cellIs" dxfId="208" priority="24" operator="equal">
      <formula>"Alto"</formula>
    </cfRule>
  </conditionalFormatting>
  <conditionalFormatting sqref="G8">
    <cfRule type="cellIs" dxfId="207" priority="17" operator="equal">
      <formula>"Extremo"</formula>
    </cfRule>
  </conditionalFormatting>
  <conditionalFormatting sqref="G8">
    <cfRule type="cellIs" dxfId="206" priority="18" operator="equal">
      <formula>"Moderado"</formula>
    </cfRule>
  </conditionalFormatting>
  <conditionalFormatting sqref="G8">
    <cfRule type="cellIs" dxfId="205" priority="19" operator="equal">
      <formula>"Bajo"</formula>
    </cfRule>
  </conditionalFormatting>
  <conditionalFormatting sqref="G8">
    <cfRule type="cellIs" dxfId="204" priority="20" operator="equal">
      <formula>"Alto"</formula>
    </cfRule>
  </conditionalFormatting>
  <conditionalFormatting sqref="J7">
    <cfRule type="cellIs" dxfId="203" priority="13" operator="equal">
      <formula>"Extremo"</formula>
    </cfRule>
  </conditionalFormatting>
  <conditionalFormatting sqref="J7">
    <cfRule type="cellIs" dxfId="202" priority="14" operator="equal">
      <formula>"Moderado"</formula>
    </cfRule>
  </conditionalFormatting>
  <conditionalFormatting sqref="J7">
    <cfRule type="cellIs" dxfId="201" priority="15" operator="equal">
      <formula>"Bajo"</formula>
    </cfRule>
  </conditionalFormatting>
  <conditionalFormatting sqref="J7">
    <cfRule type="cellIs" dxfId="200" priority="16" operator="equal">
      <formula>"Alto"</formula>
    </cfRule>
  </conditionalFormatting>
  <conditionalFormatting sqref="J8">
    <cfRule type="cellIs" dxfId="199" priority="9" operator="equal">
      <formula>"Extremo"</formula>
    </cfRule>
  </conditionalFormatting>
  <conditionalFormatting sqref="J8">
    <cfRule type="cellIs" dxfId="198" priority="10" operator="equal">
      <formula>"Moderado"</formula>
    </cfRule>
  </conditionalFormatting>
  <conditionalFormatting sqref="J8">
    <cfRule type="cellIs" dxfId="197" priority="11" operator="equal">
      <formula>"Bajo"</formula>
    </cfRule>
  </conditionalFormatting>
  <conditionalFormatting sqref="J8">
    <cfRule type="cellIs" dxfId="196" priority="12" operator="equal">
      <formula>"Alto"</formula>
    </cfRule>
  </conditionalFormatting>
  <conditionalFormatting sqref="J6">
    <cfRule type="cellIs" dxfId="195" priority="5" operator="equal">
      <formula>"Extremo"</formula>
    </cfRule>
  </conditionalFormatting>
  <conditionalFormatting sqref="J6">
    <cfRule type="cellIs" dxfId="194" priority="6" operator="equal">
      <formula>"Moderado"</formula>
    </cfRule>
  </conditionalFormatting>
  <conditionalFormatting sqref="J6">
    <cfRule type="cellIs" dxfId="193" priority="7" operator="equal">
      <formula>"Bajo"</formula>
    </cfRule>
  </conditionalFormatting>
  <conditionalFormatting sqref="J6">
    <cfRule type="cellIs" dxfId="192" priority="8" operator="equal">
      <formula>"Alto"</formula>
    </cfRule>
  </conditionalFormatting>
  <conditionalFormatting sqref="J5">
    <cfRule type="cellIs" dxfId="191" priority="1" operator="equal">
      <formula>"Extremo"</formula>
    </cfRule>
  </conditionalFormatting>
  <conditionalFormatting sqref="J5">
    <cfRule type="cellIs" dxfId="190" priority="2" operator="equal">
      <formula>"Moderado"</formula>
    </cfRule>
  </conditionalFormatting>
  <conditionalFormatting sqref="J5">
    <cfRule type="cellIs" dxfId="189" priority="3" operator="equal">
      <formula>"Bajo"</formula>
    </cfRule>
  </conditionalFormatting>
  <conditionalFormatting sqref="J5">
    <cfRule type="cellIs" dxfId="188" priority="4" operator="equal">
      <formula>"Alto"</formula>
    </cfRule>
  </conditionalFormatting>
  <pageMargins left="0.7" right="0.7" top="0.75" bottom="0.75" header="0.3" footer="0.3"/>
  <drawing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E7"/>
  <sheetViews>
    <sheetView showGridLines="0" zoomScaleNormal="100" zoomScaleSheetLayoutView="115" zoomScalePageLayoutView="90" workbookViewId="0">
      <selection activeCell="C7" sqref="C7"/>
    </sheetView>
  </sheetViews>
  <sheetFormatPr baseColWidth="10" defaultRowHeight="15" x14ac:dyDescent="0.25"/>
  <cols>
    <col min="1" max="1" width="20.375" style="151" customWidth="1"/>
    <col min="2" max="2" width="60" style="151" customWidth="1"/>
    <col min="3" max="3" width="88.375" style="151" customWidth="1"/>
    <col min="4" max="4" width="14.25" style="151" customWidth="1"/>
    <col min="5" max="5" width="44" style="151" customWidth="1"/>
    <col min="6" max="16384" width="11" style="151"/>
  </cols>
  <sheetData>
    <row r="1" spans="1:5" x14ac:dyDescent="0.25">
      <c r="A1" s="1096"/>
      <c r="B1" s="1097" t="s">
        <v>0</v>
      </c>
      <c r="C1" s="1097"/>
      <c r="D1" s="1097"/>
      <c r="E1" s="1098" t="s">
        <v>29</v>
      </c>
    </row>
    <row r="2" spans="1:5" x14ac:dyDescent="0.25">
      <c r="A2" s="1096"/>
      <c r="B2" s="1097"/>
      <c r="C2" s="1097"/>
      <c r="D2" s="1097"/>
      <c r="E2" s="1098"/>
    </row>
    <row r="3" spans="1:5" x14ac:dyDescent="0.25">
      <c r="A3" s="1096"/>
      <c r="B3" s="1097"/>
      <c r="C3" s="1097"/>
      <c r="D3" s="1097"/>
      <c r="E3" s="1099" t="s">
        <v>2</v>
      </c>
    </row>
    <row r="4" spans="1:5" ht="15.75" thickBot="1" x14ac:dyDescent="0.3">
      <c r="A4" s="1096"/>
      <c r="B4" s="1097"/>
      <c r="C4" s="1097"/>
      <c r="D4" s="1097"/>
      <c r="E4" s="1099"/>
    </row>
    <row r="5" spans="1:5" ht="15.75" thickBot="1" x14ac:dyDescent="0.3">
      <c r="A5" s="1100" t="s">
        <v>30</v>
      </c>
      <c r="B5" s="1101"/>
      <c r="C5" s="1101"/>
      <c r="D5" s="1101"/>
      <c r="E5" s="1102"/>
    </row>
    <row r="6" spans="1:5" ht="15" customHeight="1" x14ac:dyDescent="0.25">
      <c r="A6" s="152" t="s">
        <v>31</v>
      </c>
      <c r="B6" s="153" t="s">
        <v>32</v>
      </c>
      <c r="C6" s="152" t="s">
        <v>33</v>
      </c>
      <c r="D6" s="1103" t="s">
        <v>34</v>
      </c>
      <c r="E6" s="1104"/>
    </row>
    <row r="7" spans="1:5" ht="409.5" customHeight="1" x14ac:dyDescent="0.25">
      <c r="A7" s="302" t="s">
        <v>423</v>
      </c>
      <c r="B7" s="155" t="s">
        <v>424</v>
      </c>
      <c r="C7" s="156" t="s">
        <v>425</v>
      </c>
      <c r="D7" s="1291" t="s">
        <v>426</v>
      </c>
      <c r="E7" s="1292"/>
    </row>
  </sheetData>
  <mergeCells count="7">
    <mergeCell ref="D7:E7"/>
    <mergeCell ref="A1:A4"/>
    <mergeCell ref="B1:D4"/>
    <mergeCell ref="E1:E2"/>
    <mergeCell ref="E3:E4"/>
    <mergeCell ref="A5:E5"/>
    <mergeCell ref="D6:E6"/>
  </mergeCells>
  <pageMargins left="0.31496062992125984" right="0.31496062992125984" top="1.1417322834645669" bottom="0.35433070866141736" header="0.31496062992125984" footer="0.31496062992125984"/>
  <pageSetup scale="88" orientation="landscape" horizontalDpi="1200" verticalDpi="1200" r:id="rId1"/>
  <headerFooter>
    <oddHeader>&amp;L&amp;G&amp;C
&amp;"-,Negrita"Matriz de Riesgos</oddHeader>
  </headerFooter>
  <drawing r:id="rId2"/>
  <legacyDrawing r:id="rId3"/>
  <legacyDrawingHF r:id="rId4"/>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1"/>
  <sheetViews>
    <sheetView showGridLines="0" topLeftCell="H1" zoomScaleNormal="100" zoomScaleSheetLayoutView="130" zoomScalePageLayoutView="90" workbookViewId="0">
      <selection activeCell="I9" sqref="I9"/>
    </sheetView>
  </sheetViews>
  <sheetFormatPr baseColWidth="10" defaultRowHeight="15" x14ac:dyDescent="0.25"/>
  <cols>
    <col min="1" max="2" width="13.25" style="151" customWidth="1"/>
    <col min="3" max="3" width="16.875" style="151" customWidth="1"/>
    <col min="4" max="4" width="3.625" style="168" customWidth="1"/>
    <col min="5" max="5" width="18.375" style="151" customWidth="1"/>
    <col min="6" max="6" width="32.75" style="151" customWidth="1"/>
    <col min="7" max="7" width="15" style="151" customWidth="1"/>
    <col min="8" max="8" width="54" style="151" customWidth="1"/>
    <col min="9" max="9" width="40.625" style="151" customWidth="1"/>
    <col min="10" max="10" width="20.625" style="151" customWidth="1"/>
    <col min="11" max="11" width="14.75" style="151" customWidth="1"/>
    <col min="12" max="12" width="18.75" style="151" customWidth="1"/>
    <col min="13" max="13" width="12.75" style="151" customWidth="1"/>
    <col min="14" max="14" width="27.125" style="151" customWidth="1"/>
    <col min="15" max="16384" width="11" style="151"/>
  </cols>
  <sheetData>
    <row r="1" spans="1:14" ht="15" customHeight="1" x14ac:dyDescent="0.25">
      <c r="A1" s="1105"/>
      <c r="B1" s="1105"/>
      <c r="C1" s="1105"/>
      <c r="D1" s="1107" t="s">
        <v>0</v>
      </c>
      <c r="E1" s="1107"/>
      <c r="F1" s="1107"/>
      <c r="G1" s="1107"/>
      <c r="H1" s="1107"/>
      <c r="I1" s="1107"/>
      <c r="J1" s="1107"/>
      <c r="K1" s="1107"/>
      <c r="L1" s="1107"/>
      <c r="M1" s="1108"/>
      <c r="N1" s="1111" t="s">
        <v>35</v>
      </c>
    </row>
    <row r="2" spans="1:14" ht="15" customHeight="1" x14ac:dyDescent="0.25">
      <c r="A2" s="1105"/>
      <c r="B2" s="1105"/>
      <c r="C2" s="1105"/>
      <c r="D2" s="1107"/>
      <c r="E2" s="1107"/>
      <c r="F2" s="1107"/>
      <c r="G2" s="1107"/>
      <c r="H2" s="1107"/>
      <c r="I2" s="1107"/>
      <c r="J2" s="1107"/>
      <c r="K2" s="1107"/>
      <c r="L2" s="1107"/>
      <c r="M2" s="1108"/>
      <c r="N2" s="1111"/>
    </row>
    <row r="3" spans="1:14" ht="15" customHeight="1" x14ac:dyDescent="0.25">
      <c r="A3" s="1105"/>
      <c r="B3" s="1105"/>
      <c r="C3" s="1105"/>
      <c r="D3" s="1107"/>
      <c r="E3" s="1107"/>
      <c r="F3" s="1107"/>
      <c r="G3" s="1107"/>
      <c r="H3" s="1107"/>
      <c r="I3" s="1107"/>
      <c r="J3" s="1107"/>
      <c r="K3" s="1107"/>
      <c r="L3" s="1107"/>
      <c r="M3" s="1108"/>
      <c r="N3" s="1111" t="s">
        <v>2</v>
      </c>
    </row>
    <row r="4" spans="1:14" ht="15" customHeight="1" x14ac:dyDescent="0.25">
      <c r="A4" s="1106"/>
      <c r="B4" s="1106"/>
      <c r="C4" s="1106"/>
      <c r="D4" s="1109"/>
      <c r="E4" s="1109"/>
      <c r="F4" s="1109"/>
      <c r="G4" s="1109"/>
      <c r="H4" s="1109"/>
      <c r="I4" s="1109"/>
      <c r="J4" s="1109"/>
      <c r="K4" s="1109"/>
      <c r="L4" s="1109"/>
      <c r="M4" s="1110"/>
      <c r="N4" s="1111"/>
    </row>
    <row r="5" spans="1:14" ht="18.75" x14ac:dyDescent="0.25">
      <c r="A5" s="1112" t="s">
        <v>36</v>
      </c>
      <c r="B5" s="1113"/>
      <c r="C5" s="1114"/>
      <c r="D5" s="1293" t="s">
        <v>423</v>
      </c>
      <c r="E5" s="1294"/>
      <c r="F5" s="1294"/>
      <c r="G5" s="1294"/>
      <c r="H5" s="1294"/>
      <c r="I5" s="1294"/>
      <c r="J5" s="1294"/>
      <c r="K5" s="1294"/>
      <c r="L5" s="1294"/>
      <c r="M5" s="1294"/>
      <c r="N5" s="1295"/>
    </row>
    <row r="6" spans="1:14" ht="15.75" x14ac:dyDescent="0.25">
      <c r="A6" s="1112" t="s">
        <v>37</v>
      </c>
      <c r="B6" s="1113"/>
      <c r="C6" s="1114"/>
      <c r="D6" s="1115" t="s">
        <v>427</v>
      </c>
      <c r="E6" s="1116"/>
      <c r="F6" s="1116"/>
      <c r="G6" s="1116"/>
      <c r="H6" s="1116"/>
      <c r="I6" s="1116"/>
      <c r="J6" s="1116"/>
      <c r="K6" s="1116"/>
      <c r="L6" s="1116"/>
      <c r="M6" s="1116"/>
      <c r="N6" s="1117"/>
    </row>
    <row r="7" spans="1:14" x14ac:dyDescent="0.25">
      <c r="A7" s="1118" t="s">
        <v>38</v>
      </c>
      <c r="B7" s="1119"/>
      <c r="C7" s="1120"/>
      <c r="D7" s="1121" t="s">
        <v>39</v>
      </c>
      <c r="E7" s="1122"/>
      <c r="F7" s="1122"/>
      <c r="G7" s="1122"/>
      <c r="H7" s="1122"/>
      <c r="I7" s="1123"/>
      <c r="J7" s="1124" t="s">
        <v>40</v>
      </c>
      <c r="K7" s="1124"/>
      <c r="L7" s="1124"/>
      <c r="M7" s="1124"/>
      <c r="N7" s="1124"/>
    </row>
    <row r="8" spans="1:14" ht="36" x14ac:dyDescent="0.25">
      <c r="A8" s="157" t="s">
        <v>41</v>
      </c>
      <c r="B8" s="157" t="s">
        <v>42</v>
      </c>
      <c r="C8" s="157" t="s">
        <v>43</v>
      </c>
      <c r="D8" s="157" t="s">
        <v>44</v>
      </c>
      <c r="E8" s="157" t="s">
        <v>45</v>
      </c>
      <c r="F8" s="157" t="s">
        <v>46</v>
      </c>
      <c r="G8" s="157" t="s">
        <v>47</v>
      </c>
      <c r="H8" s="157" t="s">
        <v>48</v>
      </c>
      <c r="I8" s="157" t="s">
        <v>49</v>
      </c>
      <c r="J8" s="158" t="s">
        <v>50</v>
      </c>
      <c r="K8" s="158" t="s">
        <v>51</v>
      </c>
      <c r="L8" s="158" t="s">
        <v>52</v>
      </c>
      <c r="M8" s="158" t="s">
        <v>53</v>
      </c>
      <c r="N8" s="158" t="s">
        <v>54</v>
      </c>
    </row>
    <row r="9" spans="1:14" ht="189.75" customHeight="1" x14ac:dyDescent="0.25">
      <c r="A9" s="159" t="s">
        <v>243</v>
      </c>
      <c r="B9" s="160" t="s">
        <v>248</v>
      </c>
      <c r="C9" s="160" t="s">
        <v>178</v>
      </c>
      <c r="D9" s="161">
        <v>1</v>
      </c>
      <c r="E9" s="162" t="s">
        <v>428</v>
      </c>
      <c r="F9" s="303" t="s">
        <v>429</v>
      </c>
      <c r="G9" s="163" t="s">
        <v>208</v>
      </c>
      <c r="H9" s="304" t="s">
        <v>430</v>
      </c>
      <c r="I9" s="304" t="s">
        <v>431</v>
      </c>
      <c r="J9" s="163" t="s">
        <v>122</v>
      </c>
      <c r="K9" s="163" t="s">
        <v>263</v>
      </c>
      <c r="L9" s="163" t="s">
        <v>263</v>
      </c>
      <c r="M9" s="163" t="s">
        <v>122</v>
      </c>
      <c r="N9" s="165" t="str">
        <f t="shared" ref="N9:N11" si="0">IF(COUNTIF(J9:M9,"SI")=4,"Riesgo de Corrupción","No es Riesgo de Corrupción")</f>
        <v>No es Riesgo de Corrupción</v>
      </c>
    </row>
    <row r="10" spans="1:14" ht="89.25" x14ac:dyDescent="0.25">
      <c r="A10" s="159" t="s">
        <v>243</v>
      </c>
      <c r="B10" s="159" t="s">
        <v>219</v>
      </c>
      <c r="C10" s="159" t="s">
        <v>193</v>
      </c>
      <c r="D10" s="161">
        <v>2</v>
      </c>
      <c r="E10" s="166" t="s">
        <v>432</v>
      </c>
      <c r="F10" s="305" t="s">
        <v>433</v>
      </c>
      <c r="G10" s="163" t="s">
        <v>252</v>
      </c>
      <c r="H10" s="306" t="s">
        <v>434</v>
      </c>
      <c r="I10" s="304" t="s">
        <v>435</v>
      </c>
      <c r="J10" s="163" t="s">
        <v>122</v>
      </c>
      <c r="K10" s="163" t="s">
        <v>122</v>
      </c>
      <c r="L10" s="163" t="s">
        <v>122</v>
      </c>
      <c r="M10" s="163" t="s">
        <v>122</v>
      </c>
      <c r="N10" s="165" t="str">
        <f t="shared" si="0"/>
        <v>Riesgo de Corrupción</v>
      </c>
    </row>
    <row r="11" spans="1:14" ht="97.5" customHeight="1" x14ac:dyDescent="0.25">
      <c r="A11" s="159" t="s">
        <v>243</v>
      </c>
      <c r="B11" s="159" t="s">
        <v>219</v>
      </c>
      <c r="C11" s="159" t="s">
        <v>233</v>
      </c>
      <c r="D11" s="161">
        <v>3</v>
      </c>
      <c r="E11" s="166" t="s">
        <v>436</v>
      </c>
      <c r="F11" s="305" t="s">
        <v>437</v>
      </c>
      <c r="G11" s="163" t="s">
        <v>179</v>
      </c>
      <c r="H11" s="306" t="s">
        <v>438</v>
      </c>
      <c r="I11" s="304" t="s">
        <v>439</v>
      </c>
      <c r="J11" s="163" t="s">
        <v>122</v>
      </c>
      <c r="K11" s="163" t="s">
        <v>122</v>
      </c>
      <c r="L11" s="163" t="s">
        <v>122</v>
      </c>
      <c r="M11" s="163" t="s">
        <v>263</v>
      </c>
      <c r="N11" s="165" t="str">
        <f t="shared" si="0"/>
        <v>No es Riesgo de Corrupción</v>
      </c>
    </row>
  </sheetData>
  <mergeCells count="11">
    <mergeCell ref="A6:C6"/>
    <mergeCell ref="D6:N6"/>
    <mergeCell ref="A7:C7"/>
    <mergeCell ref="D7:I7"/>
    <mergeCell ref="J7:N7"/>
    <mergeCell ref="A1:C4"/>
    <mergeCell ref="D1:M4"/>
    <mergeCell ref="N1:N2"/>
    <mergeCell ref="N3:N4"/>
    <mergeCell ref="A5:C5"/>
    <mergeCell ref="D5:N5"/>
  </mergeCells>
  <dataValidations count="1">
    <dataValidation type="list" allowBlank="1" showInputMessage="1" showErrorMessage="1" sqref="J9:M11" xr:uid="{00000000-0002-0000-1800-000000000000}">
      <formula1>"SI,NO"</formula1>
    </dataValidation>
  </dataValidations>
  <pageMargins left="0.11811023622047245" right="0.11811023622047245" top="1.1417322834645669" bottom="0.19685039370078741" header="0.31496062992125984" footer="0.31496062992125984"/>
  <pageSetup scale="79" orientation="landscape" horizontalDpi="1200" verticalDpi="1200" r:id="rId1"/>
  <headerFooter>
    <oddHeader>&amp;L&amp;G&amp;C
&amp;"-,Negrita"Matriz de Riesgos</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1000000}">
          <x14:formula1>
            <xm:f>'C:\Users\sgomez.UPME\Documents\UPME 2020\Documents\Mapas de riesgos\[Mapa de riesgos EVALUACIÓN Y CONTROL.xlsx]Datos'!#REF!</xm:f>
          </x14:formula1>
          <xm:sqref>A9:C11 G9:G11</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K22"/>
  <sheetViews>
    <sheetView showGridLines="0" showWhiteSpace="0" topLeftCell="U16" zoomScale="85" zoomScaleNormal="85" zoomScaleSheetLayoutView="85" zoomScalePageLayoutView="70" workbookViewId="0">
      <selection activeCell="Y19" sqref="Y19"/>
    </sheetView>
  </sheetViews>
  <sheetFormatPr baseColWidth="10" defaultRowHeight="15" x14ac:dyDescent="0.25"/>
  <cols>
    <col min="1" max="1" width="4.75" style="168" customWidth="1"/>
    <col min="2" max="2" width="18.125" style="151" customWidth="1"/>
    <col min="3" max="3" width="56.25" style="202" customWidth="1"/>
    <col min="4" max="4" width="20.625" style="203" hidden="1" customWidth="1"/>
    <col min="5" max="5" width="10.625" style="168" hidden="1" customWidth="1"/>
    <col min="6" max="6" width="17.25" style="168" customWidth="1"/>
    <col min="7" max="7" width="12.875" style="168" customWidth="1"/>
    <col min="8" max="8" width="5.375" style="168" hidden="1" customWidth="1"/>
    <col min="9" max="9" width="14" style="151" customWidth="1"/>
    <col min="10" max="10" width="12.75" style="151" customWidth="1"/>
    <col min="11" max="11" width="26.625" style="205" customWidth="1"/>
    <col min="12" max="12" width="49" style="151" customWidth="1"/>
    <col min="13" max="13" width="13.75" style="151" customWidth="1"/>
    <col min="14" max="14" width="15" style="151" customWidth="1"/>
    <col min="15" max="15" width="19.25" style="151" customWidth="1"/>
    <col min="16" max="16" width="18.875" style="151" customWidth="1"/>
    <col min="17" max="17" width="12" style="151" customWidth="1"/>
    <col min="18" max="18" width="12.625" style="151" customWidth="1"/>
    <col min="19" max="19" width="13.625" style="168" customWidth="1"/>
    <col min="20" max="20" width="13.625" style="151" customWidth="1"/>
    <col min="21" max="21" width="17.5" style="151" customWidth="1"/>
    <col min="22" max="22" width="12.125" style="151" customWidth="1"/>
    <col min="23" max="23" width="13.875" style="151" customWidth="1"/>
    <col min="24" max="24" width="14.375" style="151" customWidth="1"/>
    <col min="25" max="25" width="35.75" style="151" customWidth="1"/>
    <col min="26" max="26" width="24.25" style="151" customWidth="1"/>
    <col min="27" max="28" width="10.875" style="151" customWidth="1"/>
    <col min="29" max="29" width="31.125" style="151" customWidth="1"/>
    <col min="30" max="33" width="22.5" style="151" customWidth="1"/>
    <col min="34" max="35" width="18.5" style="151" customWidth="1"/>
    <col min="36" max="36" width="39.5" style="151" customWidth="1"/>
    <col min="37" max="37" width="59.375" style="151" customWidth="1"/>
    <col min="38" max="16384" width="11" style="151"/>
  </cols>
  <sheetData>
    <row r="1" spans="1:37" x14ac:dyDescent="0.25">
      <c r="A1" s="1128"/>
      <c r="B1" s="1128"/>
      <c r="C1" s="1128"/>
      <c r="D1" s="1129" t="s">
        <v>55</v>
      </c>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c r="AG1" s="1129"/>
      <c r="AH1" s="1129"/>
      <c r="AI1" s="1129"/>
      <c r="AJ1" s="1129"/>
      <c r="AK1" s="1130" t="s">
        <v>35</v>
      </c>
    </row>
    <row r="2" spans="1:37" x14ac:dyDescent="0.25">
      <c r="A2" s="1128"/>
      <c r="B2" s="1128"/>
      <c r="C2" s="1128"/>
      <c r="D2" s="1129"/>
      <c r="E2" s="1129"/>
      <c r="F2" s="1129"/>
      <c r="G2" s="1129"/>
      <c r="H2" s="1129"/>
      <c r="I2" s="1129"/>
      <c r="J2" s="1129"/>
      <c r="K2" s="1129"/>
      <c r="L2" s="1129"/>
      <c r="M2" s="1129"/>
      <c r="N2" s="1129"/>
      <c r="O2" s="1129"/>
      <c r="P2" s="1129"/>
      <c r="Q2" s="1129"/>
      <c r="R2" s="1129"/>
      <c r="S2" s="1129"/>
      <c r="T2" s="1129"/>
      <c r="U2" s="1129"/>
      <c r="V2" s="1129"/>
      <c r="W2" s="1129"/>
      <c r="X2" s="1129"/>
      <c r="Y2" s="1129"/>
      <c r="Z2" s="1129"/>
      <c r="AA2" s="1129"/>
      <c r="AB2" s="1129"/>
      <c r="AC2" s="1129"/>
      <c r="AD2" s="1129"/>
      <c r="AE2" s="1129"/>
      <c r="AF2" s="1129"/>
      <c r="AG2" s="1129"/>
      <c r="AH2" s="1129"/>
      <c r="AI2" s="1129"/>
      <c r="AJ2" s="1129"/>
      <c r="AK2" s="1130"/>
    </row>
    <row r="3" spans="1:37" x14ac:dyDescent="0.25">
      <c r="A3" s="1128"/>
      <c r="B3" s="1128"/>
      <c r="C3" s="1128"/>
      <c r="D3" s="1129"/>
      <c r="E3" s="1129"/>
      <c r="F3" s="1129"/>
      <c r="G3" s="1129"/>
      <c r="H3" s="1129"/>
      <c r="I3" s="1129"/>
      <c r="J3" s="1129"/>
      <c r="K3" s="1129"/>
      <c r="L3" s="1129"/>
      <c r="M3" s="1129"/>
      <c r="N3" s="1129"/>
      <c r="O3" s="1129"/>
      <c r="P3" s="1129"/>
      <c r="Q3" s="1129"/>
      <c r="R3" s="1129"/>
      <c r="S3" s="1129"/>
      <c r="T3" s="1129"/>
      <c r="U3" s="1129"/>
      <c r="V3" s="1129"/>
      <c r="W3" s="1129"/>
      <c r="X3" s="1129"/>
      <c r="Y3" s="1129"/>
      <c r="Z3" s="1129"/>
      <c r="AA3" s="1129"/>
      <c r="AB3" s="1129"/>
      <c r="AC3" s="1129"/>
      <c r="AD3" s="1129"/>
      <c r="AE3" s="1129"/>
      <c r="AF3" s="1129"/>
      <c r="AG3" s="1129"/>
      <c r="AH3" s="1129"/>
      <c r="AI3" s="1129"/>
      <c r="AJ3" s="1129"/>
      <c r="AK3" s="1130" t="s">
        <v>56</v>
      </c>
    </row>
    <row r="4" spans="1:37" x14ac:dyDescent="0.25">
      <c r="A4" s="1296"/>
      <c r="B4" s="1296"/>
      <c r="C4" s="1296"/>
      <c r="D4" s="1297"/>
      <c r="E4" s="1297"/>
      <c r="F4" s="1297"/>
      <c r="G4" s="1297"/>
      <c r="H4" s="1297"/>
      <c r="I4" s="1297"/>
      <c r="J4" s="1297"/>
      <c r="K4" s="1297"/>
      <c r="L4" s="1297"/>
      <c r="M4" s="1297"/>
      <c r="N4" s="1297"/>
      <c r="O4" s="1297"/>
      <c r="P4" s="1297"/>
      <c r="Q4" s="1297"/>
      <c r="R4" s="1297"/>
      <c r="S4" s="1297"/>
      <c r="T4" s="1297"/>
      <c r="U4" s="1297"/>
      <c r="V4" s="1297"/>
      <c r="W4" s="1297"/>
      <c r="X4" s="1297"/>
      <c r="Y4" s="1297"/>
      <c r="Z4" s="1297"/>
      <c r="AA4" s="1297"/>
      <c r="AB4" s="1297"/>
      <c r="AC4" s="1297"/>
      <c r="AD4" s="1297"/>
      <c r="AE4" s="1297"/>
      <c r="AF4" s="1297"/>
      <c r="AG4" s="1297"/>
      <c r="AH4" s="1297"/>
      <c r="AI4" s="1297"/>
      <c r="AJ4" s="1297"/>
      <c r="AK4" s="1298"/>
    </row>
    <row r="5" spans="1:37" ht="18.75" customHeight="1" x14ac:dyDescent="0.25">
      <c r="A5" s="1299" t="s">
        <v>57</v>
      </c>
      <c r="B5" s="1299"/>
      <c r="C5" s="1299"/>
      <c r="D5" s="1299"/>
      <c r="E5" s="1299"/>
      <c r="F5" s="1299"/>
      <c r="G5" s="1299"/>
      <c r="H5" s="1299"/>
      <c r="I5" s="1299"/>
      <c r="J5" s="157"/>
      <c r="K5" s="1124" t="s">
        <v>58</v>
      </c>
      <c r="L5" s="1124"/>
      <c r="M5" s="1124"/>
      <c r="N5" s="1124"/>
      <c r="O5" s="1124"/>
      <c r="P5" s="1124"/>
      <c r="Q5" s="1124" t="s">
        <v>59</v>
      </c>
      <c r="R5" s="1124"/>
      <c r="S5" s="1124"/>
      <c r="T5" s="1124"/>
      <c r="U5" s="1124"/>
      <c r="V5" s="1124"/>
      <c r="W5" s="1124"/>
      <c r="X5" s="1124"/>
      <c r="Y5" s="1124" t="s">
        <v>60</v>
      </c>
      <c r="Z5" s="1124"/>
      <c r="AA5" s="1124"/>
      <c r="AB5" s="1124"/>
      <c r="AC5" s="1124"/>
      <c r="AD5" s="1124" t="s">
        <v>61</v>
      </c>
      <c r="AE5" s="1124"/>
      <c r="AF5" s="1124"/>
      <c r="AG5" s="1124"/>
      <c r="AH5" s="1124"/>
      <c r="AI5" s="1124"/>
      <c r="AJ5" s="307" t="s">
        <v>62</v>
      </c>
      <c r="AK5" s="307" t="s">
        <v>63</v>
      </c>
    </row>
    <row r="6" spans="1:37" s="182" customFormat="1" ht="51" x14ac:dyDescent="0.2">
      <c r="A6" s="214" t="s">
        <v>44</v>
      </c>
      <c r="B6" s="214" t="s">
        <v>64</v>
      </c>
      <c r="C6" s="214" t="s">
        <v>65</v>
      </c>
      <c r="D6" s="215" t="s">
        <v>66</v>
      </c>
      <c r="E6" s="214" t="s">
        <v>67</v>
      </c>
      <c r="F6" s="214" t="s">
        <v>68</v>
      </c>
      <c r="G6" s="215" t="s">
        <v>69</v>
      </c>
      <c r="H6" s="215" t="s">
        <v>70</v>
      </c>
      <c r="I6" s="214" t="s">
        <v>71</v>
      </c>
      <c r="J6" s="214" t="s">
        <v>72</v>
      </c>
      <c r="K6" s="214" t="s">
        <v>73</v>
      </c>
      <c r="L6" s="214" t="s">
        <v>74</v>
      </c>
      <c r="M6" s="308" t="s">
        <v>75</v>
      </c>
      <c r="N6" s="214" t="s">
        <v>76</v>
      </c>
      <c r="O6" s="214" t="s">
        <v>77</v>
      </c>
      <c r="P6" s="214" t="s">
        <v>78</v>
      </c>
      <c r="Q6" s="214" t="s">
        <v>79</v>
      </c>
      <c r="R6" s="214" t="s">
        <v>80</v>
      </c>
      <c r="S6" s="214" t="s">
        <v>67</v>
      </c>
      <c r="T6" s="214" t="s">
        <v>70</v>
      </c>
      <c r="U6" s="214" t="s">
        <v>81</v>
      </c>
      <c r="V6" s="214" t="s">
        <v>82</v>
      </c>
      <c r="W6" s="214" t="s">
        <v>83</v>
      </c>
      <c r="X6" s="214" t="s">
        <v>84</v>
      </c>
      <c r="Y6" s="214" t="s">
        <v>85</v>
      </c>
      <c r="Z6" s="214" t="s">
        <v>86</v>
      </c>
      <c r="AA6" s="214" t="s">
        <v>87</v>
      </c>
      <c r="AB6" s="214" t="s">
        <v>88</v>
      </c>
      <c r="AC6" s="214" t="s">
        <v>89</v>
      </c>
      <c r="AD6" s="214" t="s">
        <v>90</v>
      </c>
      <c r="AE6" s="214" t="s">
        <v>91</v>
      </c>
      <c r="AF6" s="214" t="s">
        <v>92</v>
      </c>
      <c r="AG6" s="214" t="s">
        <v>91</v>
      </c>
      <c r="AH6" s="214" t="s">
        <v>93</v>
      </c>
      <c r="AI6" s="214" t="s">
        <v>91</v>
      </c>
      <c r="AJ6" s="214" t="s">
        <v>94</v>
      </c>
      <c r="AK6" s="214" t="s">
        <v>95</v>
      </c>
    </row>
    <row r="7" spans="1:37" s="192" customFormat="1" ht="163.5" customHeight="1" x14ac:dyDescent="0.2">
      <c r="A7" s="1127" t="e">
        <f>#REF!</f>
        <v>#REF!</v>
      </c>
      <c r="B7" s="1140" t="e">
        <f>#REF!</f>
        <v>#REF!</v>
      </c>
      <c r="C7" s="1140" t="e">
        <f>#REF!</f>
        <v>#REF!</v>
      </c>
      <c r="D7" s="1125" t="s">
        <v>210</v>
      </c>
      <c r="E7" s="1127">
        <f>IF(D7="Selecciona un descriptor de frecuencia."," ",IF(D7="","",VLOOKUP(D7,[3]Datos!$G$8:$J$12,2,FALSE)))</f>
        <v>3</v>
      </c>
      <c r="F7" s="1127" t="str">
        <f>IF(D7="Selecciona un descriptor de frecuencia."," ",IF(D7="","",VLOOKUP(D7,[3]Datos!$G$8:$J$12,3,FALSE)))</f>
        <v>Posible</v>
      </c>
      <c r="G7" s="1125" t="s">
        <v>226</v>
      </c>
      <c r="H7" s="1127">
        <f>IF(G7="Selecciona un descriptor de impacto."," ",IF(G7="","",VLOOKUP(G7,[3]Datos!$K$8:$L$12,2,FALSE)))</f>
        <v>2</v>
      </c>
      <c r="I7" s="1300" t="str">
        <f>IF(D7="Selecciona un descriptor de frecuencia."," ",IF(G7="Selecciona un descriptor de impacto."," ",IF(E7+H7=" ","",IF(E7="","",VLOOKUP(E7,[3]Datos!$U$8:$Z$12,MATCH(H7,[3]Datos!$V$7:$Z$7,0)+1,FALSE)))))</f>
        <v>MODERADO</v>
      </c>
      <c r="J7" s="1143" t="s">
        <v>122</v>
      </c>
      <c r="K7" s="183" t="s">
        <v>440</v>
      </c>
      <c r="L7" s="309" t="s">
        <v>441</v>
      </c>
      <c r="M7" s="185">
        <f>[3]Controles!T9</f>
        <v>100</v>
      </c>
      <c r="N7" s="185" t="str">
        <f>[3]Controles!AB9</f>
        <v>No</v>
      </c>
      <c r="O7" s="186">
        <f>[3]Controles!W9</f>
        <v>1</v>
      </c>
      <c r="P7" s="186">
        <f>[3]Controles!X9</f>
        <v>0</v>
      </c>
      <c r="Q7" s="1126">
        <f>SUM(O7:O13)</f>
        <v>7</v>
      </c>
      <c r="R7" s="1126">
        <f>SUM(P7:P13)</f>
        <v>0</v>
      </c>
      <c r="S7" s="1142">
        <f>IF(D7="Selecciona un descriptor de frecuencia."," ",IF(ROUNDUP(E7-Q7,0)&lt;=0,1,ROUNDUP(E7-Q7,0)))</f>
        <v>1</v>
      </c>
      <c r="T7" s="1142">
        <f>IF(G7="Selecciona un descriptor de impacto."," ",IF(ROUNDUP(H7-R7,0)&lt;=0,1,ROUNDUP(H7-R7,0)))</f>
        <v>2</v>
      </c>
      <c r="U7" s="1126" t="str">
        <f>IF(D7="Selecciona un descriptor de frecuencia."," ",VLOOKUP(S7,[3]Datos!$H$8:$I$12,2,FALSE))</f>
        <v>Rara vez</v>
      </c>
      <c r="V7" s="1126" t="str">
        <f>IF(G7="Selecciona un descriptor de impacto."," ",VLOOKUP(T7,[3]Datos!$L$8:$M$12,2,FALSE))</f>
        <v>Menor</v>
      </c>
      <c r="W7" s="1300" t="str">
        <f>IF(S7=" "," ",VLOOKUP(S7,[3]Datos!$U$8:$Z$12,MATCH(T7,[3]Datos!$V$7:$Z$7,0)+1,FALSE))</f>
        <v>BAJO</v>
      </c>
      <c r="X7" s="1125" t="s">
        <v>202</v>
      </c>
      <c r="Y7" s="184" t="s">
        <v>442</v>
      </c>
      <c r="Z7" s="187" t="s">
        <v>443</v>
      </c>
      <c r="AA7" s="188">
        <v>44197</v>
      </c>
      <c r="AB7" s="188">
        <v>44561</v>
      </c>
      <c r="AC7" s="189" t="s">
        <v>444</v>
      </c>
      <c r="AD7" s="191"/>
      <c r="AE7" s="191"/>
      <c r="AF7" s="191"/>
      <c r="AG7" s="191"/>
      <c r="AH7" s="191"/>
      <c r="AI7" s="191"/>
      <c r="AJ7" s="191"/>
      <c r="AK7" s="191"/>
    </row>
    <row r="8" spans="1:37" s="192" customFormat="1" ht="189.75" customHeight="1" x14ac:dyDescent="0.2">
      <c r="A8" s="1127"/>
      <c r="B8" s="1140"/>
      <c r="C8" s="1140"/>
      <c r="D8" s="1125"/>
      <c r="E8" s="1127"/>
      <c r="F8" s="1127"/>
      <c r="G8" s="1125"/>
      <c r="H8" s="1127"/>
      <c r="I8" s="1300"/>
      <c r="J8" s="1143"/>
      <c r="K8" s="183" t="s">
        <v>445</v>
      </c>
      <c r="L8" s="309" t="s">
        <v>446</v>
      </c>
      <c r="M8" s="185">
        <f>[3]Controles!T10</f>
        <v>100</v>
      </c>
      <c r="N8" s="185" t="str">
        <f>[3]Controles!AB10</f>
        <v>No</v>
      </c>
      <c r="O8" s="186">
        <f>[3]Controles!W10</f>
        <v>1</v>
      </c>
      <c r="P8" s="186">
        <f>[3]Controles!X10</f>
        <v>0</v>
      </c>
      <c r="Q8" s="1126"/>
      <c r="R8" s="1126"/>
      <c r="S8" s="1142"/>
      <c r="T8" s="1142"/>
      <c r="U8" s="1126"/>
      <c r="V8" s="1126"/>
      <c r="W8" s="1300"/>
      <c r="X8" s="1125"/>
      <c r="Y8" s="184" t="s">
        <v>447</v>
      </c>
      <c r="Z8" s="187" t="s">
        <v>443</v>
      </c>
      <c r="AA8" s="188">
        <v>44197</v>
      </c>
      <c r="AB8" s="188">
        <v>44561</v>
      </c>
      <c r="AC8" s="189" t="s">
        <v>448</v>
      </c>
      <c r="AD8" s="191"/>
      <c r="AE8" s="191"/>
      <c r="AF8" s="191"/>
      <c r="AG8" s="191"/>
      <c r="AH8" s="191"/>
      <c r="AI8" s="191"/>
      <c r="AJ8" s="191"/>
      <c r="AK8" s="191"/>
    </row>
    <row r="9" spans="1:37" s="192" customFormat="1" ht="132.75" customHeight="1" x14ac:dyDescent="0.2">
      <c r="A9" s="1127"/>
      <c r="B9" s="1140"/>
      <c r="C9" s="1140"/>
      <c r="D9" s="1125"/>
      <c r="E9" s="1127"/>
      <c r="F9" s="1127"/>
      <c r="G9" s="1125"/>
      <c r="H9" s="1127"/>
      <c r="I9" s="1300"/>
      <c r="J9" s="1143"/>
      <c r="K9" s="183" t="s">
        <v>449</v>
      </c>
      <c r="L9" s="310" t="s">
        <v>450</v>
      </c>
      <c r="M9" s="185">
        <f>[3]Controles!T11</f>
        <v>100</v>
      </c>
      <c r="N9" s="185" t="str">
        <f>[3]Controles!AB11</f>
        <v>No</v>
      </c>
      <c r="O9" s="186">
        <f>[3]Controles!W11</f>
        <v>1</v>
      </c>
      <c r="P9" s="186">
        <f>[3]Controles!X11</f>
        <v>0</v>
      </c>
      <c r="Q9" s="1126"/>
      <c r="R9" s="1126"/>
      <c r="S9" s="1142"/>
      <c r="T9" s="1142"/>
      <c r="U9" s="1126"/>
      <c r="V9" s="1126"/>
      <c r="W9" s="1300"/>
      <c r="X9" s="1125"/>
      <c r="Y9" s="184"/>
      <c r="Z9" s="187"/>
      <c r="AA9" s="188"/>
      <c r="AB9" s="188"/>
      <c r="AC9" s="189"/>
      <c r="AD9" s="191"/>
      <c r="AE9" s="191"/>
      <c r="AF9" s="191"/>
      <c r="AG9" s="191"/>
      <c r="AH9" s="191"/>
      <c r="AI9" s="191"/>
      <c r="AJ9" s="191"/>
      <c r="AK9" s="191"/>
    </row>
    <row r="10" spans="1:37" s="192" customFormat="1" ht="118.5" customHeight="1" x14ac:dyDescent="0.2">
      <c r="A10" s="1127"/>
      <c r="B10" s="1140"/>
      <c r="C10" s="1140"/>
      <c r="D10" s="1125"/>
      <c r="E10" s="1127"/>
      <c r="F10" s="1127"/>
      <c r="G10" s="1125"/>
      <c r="H10" s="1127"/>
      <c r="I10" s="1300"/>
      <c r="J10" s="1143"/>
      <c r="K10" s="183" t="s">
        <v>451</v>
      </c>
      <c r="L10" s="310" t="s">
        <v>452</v>
      </c>
      <c r="M10" s="185">
        <f>[3]Controles!T12</f>
        <v>100</v>
      </c>
      <c r="N10" s="185" t="str">
        <f>[3]Controles!AB12</f>
        <v>No</v>
      </c>
      <c r="O10" s="186">
        <f>[3]Controles!W12</f>
        <v>1</v>
      </c>
      <c r="P10" s="186">
        <f>[3]Controles!X12</f>
        <v>0</v>
      </c>
      <c r="Q10" s="1126"/>
      <c r="R10" s="1126"/>
      <c r="S10" s="1142"/>
      <c r="T10" s="1142"/>
      <c r="U10" s="1126"/>
      <c r="V10" s="1126"/>
      <c r="W10" s="1300"/>
      <c r="X10" s="1125"/>
      <c r="Y10" s="184"/>
      <c r="Z10" s="187"/>
      <c r="AA10" s="188"/>
      <c r="AB10" s="188"/>
      <c r="AC10" s="189"/>
      <c r="AD10" s="191"/>
      <c r="AE10" s="191"/>
      <c r="AF10" s="191"/>
      <c r="AG10" s="191"/>
      <c r="AH10" s="191"/>
      <c r="AI10" s="191"/>
      <c r="AJ10" s="191"/>
      <c r="AK10" s="191"/>
    </row>
    <row r="11" spans="1:37" s="192" customFormat="1" ht="123.75" customHeight="1" x14ac:dyDescent="0.2">
      <c r="A11" s="1127"/>
      <c r="B11" s="1140"/>
      <c r="C11" s="1140"/>
      <c r="D11" s="1125"/>
      <c r="E11" s="1127"/>
      <c r="F11" s="1127"/>
      <c r="G11" s="1125"/>
      <c r="H11" s="1127"/>
      <c r="I11" s="1300"/>
      <c r="J11" s="1143"/>
      <c r="K11" s="183" t="s">
        <v>453</v>
      </c>
      <c r="L11" s="310" t="s">
        <v>454</v>
      </c>
      <c r="M11" s="185">
        <f>[3]Controles!T13</f>
        <v>100</v>
      </c>
      <c r="N11" s="185" t="str">
        <f>[3]Controles!AB13</f>
        <v>No</v>
      </c>
      <c r="O11" s="186">
        <f>[3]Controles!W13</f>
        <v>1</v>
      </c>
      <c r="P11" s="186">
        <f>[3]Controles!X13</f>
        <v>0</v>
      </c>
      <c r="Q11" s="1126"/>
      <c r="R11" s="1126"/>
      <c r="S11" s="1142"/>
      <c r="T11" s="1142"/>
      <c r="U11" s="1126"/>
      <c r="V11" s="1126"/>
      <c r="W11" s="1300"/>
      <c r="X11" s="1125"/>
      <c r="Y11" s="184"/>
      <c r="Z11" s="187"/>
      <c r="AA11" s="188"/>
      <c r="AB11" s="188"/>
      <c r="AC11" s="189"/>
      <c r="AD11" s="191"/>
      <c r="AE11" s="191"/>
      <c r="AF11" s="191"/>
      <c r="AG11" s="191"/>
      <c r="AH11" s="191"/>
      <c r="AI11" s="191"/>
      <c r="AJ11" s="191"/>
      <c r="AK11" s="191"/>
    </row>
    <row r="12" spans="1:37" s="192" customFormat="1" ht="135" customHeight="1" x14ac:dyDescent="0.2">
      <c r="A12" s="1127"/>
      <c r="B12" s="1140"/>
      <c r="C12" s="1140"/>
      <c r="D12" s="1125"/>
      <c r="E12" s="1127"/>
      <c r="F12" s="1127"/>
      <c r="G12" s="1125"/>
      <c r="H12" s="1127"/>
      <c r="I12" s="1300"/>
      <c r="J12" s="1143"/>
      <c r="K12" s="183" t="s">
        <v>455</v>
      </c>
      <c r="L12" s="311" t="s">
        <v>456</v>
      </c>
      <c r="M12" s="185">
        <f>[3]Controles!T13</f>
        <v>100</v>
      </c>
      <c r="N12" s="185" t="str">
        <f>[3]Controles!AB13</f>
        <v>No</v>
      </c>
      <c r="O12" s="186">
        <f>[3]Controles!W13</f>
        <v>1</v>
      </c>
      <c r="P12" s="186">
        <f>[3]Controles!X13</f>
        <v>0</v>
      </c>
      <c r="Q12" s="1126"/>
      <c r="R12" s="1126"/>
      <c r="S12" s="1142"/>
      <c r="T12" s="1142"/>
      <c r="U12" s="1126"/>
      <c r="V12" s="1126"/>
      <c r="W12" s="1300"/>
      <c r="X12" s="1125"/>
      <c r="Y12" s="189"/>
      <c r="Z12" s="187"/>
      <c r="AA12" s="188"/>
      <c r="AB12" s="188"/>
      <c r="AC12" s="189"/>
      <c r="AD12" s="191"/>
      <c r="AE12" s="191"/>
      <c r="AF12" s="191"/>
      <c r="AG12" s="191"/>
      <c r="AH12" s="191"/>
      <c r="AI12" s="191"/>
      <c r="AJ12" s="191"/>
      <c r="AK12" s="191"/>
    </row>
    <row r="13" spans="1:37" s="192" customFormat="1" ht="149.25" customHeight="1" x14ac:dyDescent="0.2">
      <c r="A13" s="1127"/>
      <c r="B13" s="1140"/>
      <c r="C13" s="1140"/>
      <c r="D13" s="1125"/>
      <c r="E13" s="1127"/>
      <c r="F13" s="1127"/>
      <c r="G13" s="1125"/>
      <c r="H13" s="1127"/>
      <c r="I13" s="1300"/>
      <c r="J13" s="1143"/>
      <c r="K13" s="183" t="s">
        <v>457</v>
      </c>
      <c r="L13" s="311" t="s">
        <v>458</v>
      </c>
      <c r="M13" s="185">
        <f>[3]Controles!T14</f>
        <v>100</v>
      </c>
      <c r="N13" s="185" t="str">
        <f>[3]Controles!AB14</f>
        <v>No</v>
      </c>
      <c r="O13" s="186">
        <f>[3]Controles!W14</f>
        <v>1</v>
      </c>
      <c r="P13" s="186">
        <f>[3]Controles!X14</f>
        <v>0</v>
      </c>
      <c r="Q13" s="1126"/>
      <c r="R13" s="1126"/>
      <c r="S13" s="1142"/>
      <c r="T13" s="1142"/>
      <c r="U13" s="1126"/>
      <c r="V13" s="1126"/>
      <c r="W13" s="1300"/>
      <c r="X13" s="1125"/>
      <c r="Y13" s="189"/>
      <c r="Z13" s="187"/>
      <c r="AA13" s="188"/>
      <c r="AB13" s="188"/>
      <c r="AC13" s="189"/>
      <c r="AD13" s="191"/>
      <c r="AE13" s="191"/>
      <c r="AF13" s="191"/>
      <c r="AG13" s="191"/>
      <c r="AH13" s="191"/>
      <c r="AI13" s="191"/>
      <c r="AJ13" s="191"/>
      <c r="AK13" s="191"/>
    </row>
    <row r="14" spans="1:37" s="192" customFormat="1" ht="130.5" customHeight="1" x14ac:dyDescent="0.2">
      <c r="A14" s="1139" t="e">
        <f>#REF!</f>
        <v>#REF!</v>
      </c>
      <c r="B14" s="1140" t="e">
        <f>#REF!</f>
        <v>#REF!</v>
      </c>
      <c r="C14" s="1140" t="e">
        <f>#REF!</f>
        <v>#REF!</v>
      </c>
      <c r="D14" s="1125" t="s">
        <v>236</v>
      </c>
      <c r="E14" s="1127">
        <f>IF(D14="Selecciona un descriptor de frecuencia."," ",IF(D14="","",VLOOKUP(D14,[3]Datos!$G$8:$J$12,2,FALSE)))</f>
        <v>1</v>
      </c>
      <c r="F14" s="1127" t="str">
        <f>IF(D14="Selecciona un descriptor de frecuencia."," ",IF(D14="","",VLOOKUP(D14,[3]Datos!$G$8:$J$12,3,FALSE)))</f>
        <v>Rara vez</v>
      </c>
      <c r="G14" s="1125" t="s">
        <v>199</v>
      </c>
      <c r="H14" s="1139">
        <f>IF(G14="","",VLOOKUP(G14,[3]Datos!$K$8:$L$12,2,FALSE))</f>
        <v>4</v>
      </c>
      <c r="I14" s="1300" t="str">
        <f>IF(D14="Selecciona un descriptor de frecuencia."," ",IF(G14="Selecciona un descriptor de impacto."," ",IF(E14+H14=" ","",IF(E14="","",VLOOKUP(E14,[3]Datos!$U$8:$Z$12,MATCH(H14,[3]Datos!$V$7:$Z$7,0)+1,FALSE)))))</f>
        <v>ALTO</v>
      </c>
      <c r="J14" s="1125"/>
      <c r="K14" s="183" t="s">
        <v>459</v>
      </c>
      <c r="L14" s="184" t="s">
        <v>460</v>
      </c>
      <c r="M14" s="185">
        <f>[3]Controles!T14</f>
        <v>100</v>
      </c>
      <c r="N14" s="185" t="str">
        <f>[3]Controles!AB14</f>
        <v>No</v>
      </c>
      <c r="O14" s="186">
        <f>[3]Controles!W14</f>
        <v>1</v>
      </c>
      <c r="P14" s="186">
        <f>[3]Controles!X14</f>
        <v>0</v>
      </c>
      <c r="Q14" s="1301">
        <f>SUM(O14:O17)</f>
        <v>3</v>
      </c>
      <c r="R14" s="1301">
        <f>SUM(P14:P17)</f>
        <v>1</v>
      </c>
      <c r="S14" s="1142">
        <f>IF(D14="Selecciona un descriptor de frecuencia."," ",IF(ROUNDUP(E14-Q14,0)&lt;=0,1,ROUNDUP(E14-Q14,0)))</f>
        <v>1</v>
      </c>
      <c r="T14" s="1142">
        <f>IF(G14="Selecciona un descriptor de impacto."," ",IF(ROUNDUP(H14-R14,0)&lt;=0,1,ROUNDUP(H14-R14,0)))</f>
        <v>3</v>
      </c>
      <c r="U14" s="1126" t="str">
        <f>IF(D14="Selecciona un descriptor de frecuencia."," ",VLOOKUP(S14,[3]Datos!$H$8:$I$12,2,FALSE))</f>
        <v>Rara vez</v>
      </c>
      <c r="V14" s="1126" t="str">
        <f>IF(G14="Selecciona un descriptor de impacto."," ",VLOOKUP(T14,[3]Datos!$L$8:$M$12,2,FALSE))</f>
        <v>Moderado</v>
      </c>
      <c r="W14" s="1300" t="str">
        <f>IF(S14=" "," ",VLOOKUP(S14,[3]Datos!$U$8:$Z$12,MATCH(T14,[3]Datos!$V$7:$Z$7,0)+1,FALSE))</f>
        <v>MODERADO</v>
      </c>
      <c r="X14" s="1125" t="s">
        <v>202</v>
      </c>
      <c r="Y14" s="184" t="s">
        <v>461</v>
      </c>
      <c r="Z14" s="187" t="s">
        <v>443</v>
      </c>
      <c r="AA14" s="188">
        <v>44197</v>
      </c>
      <c r="AB14" s="188">
        <v>44561</v>
      </c>
      <c r="AC14" s="189" t="s">
        <v>444</v>
      </c>
      <c r="AD14" s="198"/>
      <c r="AE14" s="198"/>
      <c r="AF14" s="198"/>
      <c r="AG14" s="198"/>
      <c r="AH14" s="198"/>
      <c r="AI14" s="198"/>
      <c r="AJ14" s="198"/>
      <c r="AK14" s="198"/>
    </row>
    <row r="15" spans="1:37" s="192" customFormat="1" ht="128.25" x14ac:dyDescent="0.2">
      <c r="A15" s="1139"/>
      <c r="B15" s="1140"/>
      <c r="C15" s="1140"/>
      <c r="D15" s="1125"/>
      <c r="E15" s="1127"/>
      <c r="F15" s="1127"/>
      <c r="G15" s="1125"/>
      <c r="H15" s="1139"/>
      <c r="I15" s="1300"/>
      <c r="J15" s="1125"/>
      <c r="K15" s="183" t="s">
        <v>462</v>
      </c>
      <c r="L15" s="184" t="s">
        <v>463</v>
      </c>
      <c r="M15" s="185">
        <f>[3]Controles!T15</f>
        <v>100</v>
      </c>
      <c r="N15" s="185" t="str">
        <f>[3]Controles!AB15</f>
        <v>No</v>
      </c>
      <c r="O15" s="186">
        <f>[3]Controles!W15</f>
        <v>1</v>
      </c>
      <c r="P15" s="186">
        <f>[3]Controles!X15</f>
        <v>0</v>
      </c>
      <c r="Q15" s="1301"/>
      <c r="R15" s="1301"/>
      <c r="S15" s="1142"/>
      <c r="T15" s="1142"/>
      <c r="U15" s="1126"/>
      <c r="V15" s="1126"/>
      <c r="W15" s="1300"/>
      <c r="X15" s="1125"/>
      <c r="Y15" s="189"/>
      <c r="Z15" s="187"/>
      <c r="AA15" s="188"/>
      <c r="AB15" s="188"/>
      <c r="AC15" s="189"/>
      <c r="AD15" s="198"/>
      <c r="AE15" s="198"/>
      <c r="AF15" s="198"/>
      <c r="AG15" s="198"/>
      <c r="AH15" s="198"/>
      <c r="AI15" s="198"/>
      <c r="AJ15" s="198"/>
      <c r="AK15" s="198"/>
    </row>
    <row r="16" spans="1:37" s="192" customFormat="1" ht="134.25" customHeight="1" x14ac:dyDescent="0.2">
      <c r="A16" s="1139"/>
      <c r="B16" s="1140"/>
      <c r="C16" s="1140"/>
      <c r="D16" s="1125"/>
      <c r="E16" s="1127"/>
      <c r="F16" s="1127"/>
      <c r="G16" s="1125"/>
      <c r="H16" s="1139"/>
      <c r="I16" s="1300"/>
      <c r="J16" s="1125"/>
      <c r="K16" s="193" t="s">
        <v>464</v>
      </c>
      <c r="L16" s="309" t="s">
        <v>465</v>
      </c>
      <c r="M16" s="185">
        <f>[3]Controles!T16</f>
        <v>100</v>
      </c>
      <c r="N16" s="185" t="str">
        <f>[3]Controles!AB16</f>
        <v>SI</v>
      </c>
      <c r="O16" s="186">
        <f>[3]Controles!W16</f>
        <v>0</v>
      </c>
      <c r="P16" s="186">
        <f>[3]Controles!X16</f>
        <v>1</v>
      </c>
      <c r="Q16" s="1301"/>
      <c r="R16" s="1301"/>
      <c r="S16" s="1142"/>
      <c r="T16" s="1142"/>
      <c r="U16" s="1126"/>
      <c r="V16" s="1126"/>
      <c r="W16" s="1300"/>
      <c r="X16" s="1125"/>
      <c r="Y16" s="189"/>
      <c r="Z16" s="187"/>
      <c r="AA16" s="188"/>
      <c r="AB16" s="188"/>
      <c r="AC16" s="189"/>
      <c r="AD16" s="198"/>
      <c r="AE16" s="198"/>
      <c r="AF16" s="198"/>
      <c r="AG16" s="198"/>
      <c r="AH16" s="198"/>
      <c r="AI16" s="198"/>
      <c r="AJ16" s="198"/>
      <c r="AK16" s="198"/>
    </row>
    <row r="17" spans="1:37" s="192" customFormat="1" ht="97.5" customHeight="1" x14ac:dyDescent="0.2">
      <c r="A17" s="1139"/>
      <c r="B17" s="1140"/>
      <c r="C17" s="1140"/>
      <c r="D17" s="1125"/>
      <c r="E17" s="1127"/>
      <c r="F17" s="1127"/>
      <c r="G17" s="1125"/>
      <c r="H17" s="1139"/>
      <c r="I17" s="1300"/>
      <c r="J17" s="1125"/>
      <c r="K17" s="193" t="s">
        <v>466</v>
      </c>
      <c r="L17" s="184" t="s">
        <v>467</v>
      </c>
      <c r="M17" s="185">
        <f>[3]Controles!T17</f>
        <v>100</v>
      </c>
      <c r="N17" s="185" t="str">
        <f>[3]Controles!AB17</f>
        <v>No</v>
      </c>
      <c r="O17" s="186">
        <f>[3]Controles!W17</f>
        <v>1</v>
      </c>
      <c r="P17" s="186">
        <f>[3]Controles!X17</f>
        <v>0</v>
      </c>
      <c r="Q17" s="1301"/>
      <c r="R17" s="1301"/>
      <c r="S17" s="1142"/>
      <c r="T17" s="1142"/>
      <c r="U17" s="1126"/>
      <c r="V17" s="1126"/>
      <c r="W17" s="1300"/>
      <c r="X17" s="1125"/>
      <c r="Y17" s="184"/>
      <c r="Z17" s="187"/>
      <c r="AA17" s="188"/>
      <c r="AB17" s="188"/>
      <c r="AC17" s="189"/>
      <c r="AD17" s="198"/>
      <c r="AE17" s="198"/>
      <c r="AF17" s="198"/>
      <c r="AG17" s="198"/>
      <c r="AH17" s="198"/>
      <c r="AI17" s="198"/>
      <c r="AJ17" s="198"/>
      <c r="AK17" s="198"/>
    </row>
    <row r="18" spans="1:37" s="192" customFormat="1" ht="73.5" customHeight="1" x14ac:dyDescent="0.2">
      <c r="A18" s="1302" t="e">
        <f>#REF!</f>
        <v>#REF!</v>
      </c>
      <c r="B18" s="1140" t="e">
        <f>#REF!</f>
        <v>#REF!</v>
      </c>
      <c r="C18" s="1140" t="e">
        <f>#REF!</f>
        <v>#REF!</v>
      </c>
      <c r="D18" s="1125" t="s">
        <v>210</v>
      </c>
      <c r="E18" s="1127">
        <f>IF(D18="Selecciona un descriptor de frecuencia."," ",IF(D18="","",VLOOKUP(D18,[3]Datos!$G$8:$J$12,2,FALSE)))</f>
        <v>3</v>
      </c>
      <c r="F18" s="1127" t="str">
        <f>IF(D18="Selecciona un descriptor de frecuencia."," ",IF(D18="","",VLOOKUP(D18,[3]Datos!$G$8:$J$12,3,FALSE)))</f>
        <v>Posible</v>
      </c>
      <c r="G18" s="1125" t="s">
        <v>199</v>
      </c>
      <c r="H18" s="1139">
        <f>IF(G18="","",VLOOKUP(G18,[3]Datos!$K$8:$L$12,2,FALSE))</f>
        <v>4</v>
      </c>
      <c r="I18" s="1300" t="str">
        <f>IF(D18="Selecciona un descriptor de frecuencia."," ",IF(G18="Selecciona un descriptor de impacto."," ",IF(E18+H18=" ","",IF(E18="","",VLOOKUP(E18,[3]Datos!$U$8:$Z$12,MATCH(H18,[3]Datos!$V$7:$Z$7,0)+1,FALSE)))))</f>
        <v>EXTREMO</v>
      </c>
      <c r="J18" s="1125"/>
      <c r="K18" s="311" t="s">
        <v>468</v>
      </c>
      <c r="L18" s="309" t="s">
        <v>469</v>
      </c>
      <c r="M18" s="185">
        <f>[3]Controles!T18</f>
        <v>100</v>
      </c>
      <c r="N18" s="185" t="str">
        <f>[3]Controles!AB18</f>
        <v>No</v>
      </c>
      <c r="O18" s="186">
        <f>[3]Controles!W18</f>
        <v>1</v>
      </c>
      <c r="P18" s="186">
        <f>[3]Controles!X18</f>
        <v>0</v>
      </c>
      <c r="Q18" s="1301">
        <f>SUM(O18:O22)</f>
        <v>3</v>
      </c>
      <c r="R18" s="1301">
        <f>SUM(P18:P22)</f>
        <v>2</v>
      </c>
      <c r="S18" s="1142">
        <f>IF(D18="Selecciona un descriptor de frecuencia."," ",IF(ROUNDUP(E18-Q18,0)&lt;=0,1,ROUNDUP(E18-Q18,0)))</f>
        <v>1</v>
      </c>
      <c r="T18" s="1142">
        <f t="shared" ref="T18" si="0">IF(G18="Selecciona un descriptor de impacto."," ",IF(ROUNDUP(H18-R18,0)&lt;0,1,ROUNDUP(H18-R18,0)))</f>
        <v>2</v>
      </c>
      <c r="U18" s="1126" t="str">
        <f>IF(D18="Selecciona un descriptor de frecuencia."," ",VLOOKUP(S18,[3]Datos!$H$8:$I$12,2,FALSE))</f>
        <v>Rara vez</v>
      </c>
      <c r="V18" s="1126" t="str">
        <f>IF(G18="Selecciona un descriptor de impacto."," ",VLOOKUP(T18,[3]Datos!$L$8:$M$12,2,FALSE))</f>
        <v>Menor</v>
      </c>
      <c r="W18" s="1300" t="str">
        <f>IF(S18=" "," ",VLOOKUP(S18,[3]Datos!$U$8:$Z$12,MATCH(T18,[3]Datos!$V$7:$Z$7,0)+1,FALSE))</f>
        <v>BAJO</v>
      </c>
      <c r="X18" s="1125" t="s">
        <v>202</v>
      </c>
      <c r="Y18" s="189" t="s">
        <v>470</v>
      </c>
      <c r="Z18" s="187" t="s">
        <v>443</v>
      </c>
      <c r="AA18" s="188">
        <v>44197</v>
      </c>
      <c r="AB18" s="188">
        <v>44561</v>
      </c>
      <c r="AC18" s="189" t="s">
        <v>471</v>
      </c>
      <c r="AD18" s="198"/>
      <c r="AE18" s="198"/>
      <c r="AF18" s="198"/>
      <c r="AG18" s="198"/>
      <c r="AH18" s="198"/>
      <c r="AI18" s="198"/>
      <c r="AJ18" s="198"/>
      <c r="AK18" s="198"/>
    </row>
    <row r="19" spans="1:37" s="192" customFormat="1" ht="71.25" customHeight="1" x14ac:dyDescent="0.2">
      <c r="A19" s="1302"/>
      <c r="B19" s="1140"/>
      <c r="C19" s="1140"/>
      <c r="D19" s="1125"/>
      <c r="E19" s="1127"/>
      <c r="F19" s="1127"/>
      <c r="G19" s="1125"/>
      <c r="H19" s="1139"/>
      <c r="I19" s="1300"/>
      <c r="J19" s="1125"/>
      <c r="K19" s="311" t="s">
        <v>472</v>
      </c>
      <c r="L19" s="311" t="s">
        <v>473</v>
      </c>
      <c r="M19" s="185">
        <f>[3]Controles!T19</f>
        <v>100</v>
      </c>
      <c r="N19" s="185" t="str">
        <f>[3]Controles!AB19</f>
        <v>No</v>
      </c>
      <c r="O19" s="186">
        <f>[3]Controles!W19</f>
        <v>1</v>
      </c>
      <c r="P19" s="186">
        <f>[3]Controles!X19</f>
        <v>0</v>
      </c>
      <c r="Q19" s="1301"/>
      <c r="R19" s="1301"/>
      <c r="S19" s="1142"/>
      <c r="T19" s="1142"/>
      <c r="U19" s="1126"/>
      <c r="V19" s="1126"/>
      <c r="W19" s="1300"/>
      <c r="X19" s="1125"/>
      <c r="Y19" s="184"/>
      <c r="Z19" s="187"/>
      <c r="AA19" s="188"/>
      <c r="AB19" s="188"/>
      <c r="AC19" s="189"/>
      <c r="AD19" s="198"/>
      <c r="AE19" s="198"/>
      <c r="AF19" s="198"/>
      <c r="AG19" s="198"/>
      <c r="AH19" s="198"/>
      <c r="AI19" s="198"/>
      <c r="AJ19" s="198"/>
      <c r="AK19" s="198"/>
    </row>
    <row r="20" spans="1:37" s="192" customFormat="1" ht="136.5" customHeight="1" x14ac:dyDescent="0.2">
      <c r="A20" s="1302"/>
      <c r="B20" s="1140"/>
      <c r="C20" s="1140"/>
      <c r="D20" s="1125"/>
      <c r="E20" s="1127"/>
      <c r="F20" s="1127"/>
      <c r="G20" s="1125"/>
      <c r="H20" s="1139"/>
      <c r="I20" s="1300"/>
      <c r="J20" s="1125"/>
      <c r="K20" s="183" t="s">
        <v>474</v>
      </c>
      <c r="L20" s="312" t="s">
        <v>475</v>
      </c>
      <c r="M20" s="185">
        <f>[3]Controles!T20</f>
        <v>100</v>
      </c>
      <c r="N20" s="185" t="str">
        <f>[3]Controles!AB20</f>
        <v>SI</v>
      </c>
      <c r="O20" s="186">
        <f>[3]Controles!W20</f>
        <v>0</v>
      </c>
      <c r="P20" s="186">
        <f>[3]Controles!X20</f>
        <v>1</v>
      </c>
      <c r="Q20" s="1301"/>
      <c r="R20" s="1301"/>
      <c r="S20" s="1142"/>
      <c r="T20" s="1142"/>
      <c r="U20" s="1126"/>
      <c r="V20" s="1126"/>
      <c r="W20" s="1300"/>
      <c r="X20" s="1125"/>
      <c r="Y20" s="184"/>
      <c r="Z20" s="187"/>
      <c r="AA20" s="188"/>
      <c r="AB20" s="188"/>
      <c r="AC20" s="189"/>
      <c r="AD20" s="198"/>
      <c r="AE20" s="198"/>
      <c r="AF20" s="198"/>
      <c r="AG20" s="198"/>
      <c r="AH20" s="198"/>
      <c r="AI20" s="198"/>
      <c r="AJ20" s="198"/>
      <c r="AK20" s="198"/>
    </row>
    <row r="21" spans="1:37" s="192" customFormat="1" ht="114" x14ac:dyDescent="0.2">
      <c r="A21" s="1302"/>
      <c r="B21" s="1140"/>
      <c r="C21" s="1140"/>
      <c r="D21" s="1125"/>
      <c r="E21" s="1127"/>
      <c r="F21" s="1127"/>
      <c r="G21" s="1125"/>
      <c r="H21" s="1139"/>
      <c r="I21" s="1300"/>
      <c r="J21" s="1125"/>
      <c r="K21" s="183" t="s">
        <v>476</v>
      </c>
      <c r="L21" s="311" t="s">
        <v>477</v>
      </c>
      <c r="M21" s="185">
        <f>[3]Controles!T21</f>
        <v>100</v>
      </c>
      <c r="N21" s="185" t="str">
        <f>[3]Controles!AB21</f>
        <v>SI</v>
      </c>
      <c r="O21" s="186">
        <f>[3]Controles!W21</f>
        <v>0</v>
      </c>
      <c r="P21" s="186">
        <f>[3]Controles!X21</f>
        <v>1</v>
      </c>
      <c r="Q21" s="1301"/>
      <c r="R21" s="1301"/>
      <c r="S21" s="1142"/>
      <c r="T21" s="1142"/>
      <c r="U21" s="1126"/>
      <c r="V21" s="1126"/>
      <c r="W21" s="1300"/>
      <c r="X21" s="1125"/>
      <c r="Y21" s="184"/>
      <c r="Z21" s="187"/>
      <c r="AA21" s="188"/>
      <c r="AB21" s="188"/>
      <c r="AC21" s="189"/>
      <c r="AD21" s="198"/>
      <c r="AE21" s="198"/>
      <c r="AF21" s="198"/>
      <c r="AG21" s="198"/>
      <c r="AH21" s="198"/>
      <c r="AI21" s="198"/>
      <c r="AJ21" s="198"/>
      <c r="AK21" s="198"/>
    </row>
    <row r="22" spans="1:37" s="192" customFormat="1" ht="72.75" customHeight="1" x14ac:dyDescent="0.2">
      <c r="A22" s="1302"/>
      <c r="B22" s="1140"/>
      <c r="C22" s="1140"/>
      <c r="D22" s="1125"/>
      <c r="E22" s="1127"/>
      <c r="F22" s="1127"/>
      <c r="G22" s="1125"/>
      <c r="H22" s="1139"/>
      <c r="I22" s="1300"/>
      <c r="J22" s="1125"/>
      <c r="K22" s="183" t="s">
        <v>478</v>
      </c>
      <c r="L22" s="309" t="s">
        <v>479</v>
      </c>
      <c r="M22" s="185">
        <f>[3]Controles!T22</f>
        <v>100</v>
      </c>
      <c r="N22" s="185" t="str">
        <f>[3]Controles!AB22</f>
        <v>No</v>
      </c>
      <c r="O22" s="186">
        <f>[3]Controles!W22</f>
        <v>1</v>
      </c>
      <c r="P22" s="186">
        <f>[3]Controles!X22</f>
        <v>0</v>
      </c>
      <c r="Q22" s="1301"/>
      <c r="R22" s="1301"/>
      <c r="S22" s="1142"/>
      <c r="T22" s="1142"/>
      <c r="U22" s="1126"/>
      <c r="V22" s="1126"/>
      <c r="W22" s="1300"/>
      <c r="X22" s="1125"/>
      <c r="Y22" s="184"/>
      <c r="Z22" s="187"/>
      <c r="AA22" s="188"/>
      <c r="AB22" s="188"/>
      <c r="AC22" s="189"/>
      <c r="AD22" s="198"/>
      <c r="AE22" s="198"/>
      <c r="AF22" s="198"/>
      <c r="AG22" s="198"/>
      <c r="AH22" s="198"/>
      <c r="AI22" s="198"/>
      <c r="AJ22" s="198"/>
      <c r="AK22" s="198"/>
    </row>
  </sheetData>
  <mergeCells count="63">
    <mergeCell ref="X18:X22"/>
    <mergeCell ref="G18:G22"/>
    <mergeCell ref="H18:H22"/>
    <mergeCell ref="I18:I22"/>
    <mergeCell ref="J18:J22"/>
    <mergeCell ref="Q18:Q22"/>
    <mergeCell ref="R18:R22"/>
    <mergeCell ref="S18:S22"/>
    <mergeCell ref="T18:T22"/>
    <mergeCell ref="U18:U22"/>
    <mergeCell ref="V18:V22"/>
    <mergeCell ref="W18:W22"/>
    <mergeCell ref="A18:A22"/>
    <mergeCell ref="B18:B22"/>
    <mergeCell ref="C18:C22"/>
    <mergeCell ref="D18:D22"/>
    <mergeCell ref="E18:E22"/>
    <mergeCell ref="F18:F22"/>
    <mergeCell ref="S14:S17"/>
    <mergeCell ref="T14:T17"/>
    <mergeCell ref="U14:U17"/>
    <mergeCell ref="V14:V17"/>
    <mergeCell ref="F14:F17"/>
    <mergeCell ref="X14:X17"/>
    <mergeCell ref="G14:G17"/>
    <mergeCell ref="H14:H17"/>
    <mergeCell ref="I14:I17"/>
    <mergeCell ref="J14:J17"/>
    <mergeCell ref="Q14:Q17"/>
    <mergeCell ref="R14:R17"/>
    <mergeCell ref="W14:W17"/>
    <mergeCell ref="R7:R13"/>
    <mergeCell ref="S7:S13"/>
    <mergeCell ref="T7:T13"/>
    <mergeCell ref="U7:U13"/>
    <mergeCell ref="V7:V13"/>
    <mergeCell ref="A14:A17"/>
    <mergeCell ref="B14:B17"/>
    <mergeCell ref="C14:C17"/>
    <mergeCell ref="D14:D17"/>
    <mergeCell ref="E14:E17"/>
    <mergeCell ref="AK1:AK2"/>
    <mergeCell ref="AK3:AK4"/>
    <mergeCell ref="A5:I5"/>
    <mergeCell ref="K5:P5"/>
    <mergeCell ref="Q5:X5"/>
    <mergeCell ref="Y5:AC5"/>
    <mergeCell ref="AD5:AI5"/>
    <mergeCell ref="X7:X13"/>
    <mergeCell ref="Q7:Q13"/>
    <mergeCell ref="F7:F13"/>
    <mergeCell ref="A1:C4"/>
    <mergeCell ref="D1:AJ4"/>
    <mergeCell ref="A7:A13"/>
    <mergeCell ref="B7:B13"/>
    <mergeCell ref="C7:C13"/>
    <mergeCell ref="D7:D13"/>
    <mergeCell ref="E7:E13"/>
    <mergeCell ref="W7:W13"/>
    <mergeCell ref="G7:G13"/>
    <mergeCell ref="H7:H13"/>
    <mergeCell ref="I7:I13"/>
    <mergeCell ref="J7:J13"/>
  </mergeCells>
  <conditionalFormatting sqref="I7:J7 W7:X7 I14:J14 I18:J18 W14:X14 W18:X18">
    <cfRule type="cellIs" dxfId="187" priority="1" operator="equal">
      <formula>"Extremo"</formula>
    </cfRule>
    <cfRule type="cellIs" dxfId="186" priority="2" operator="equal">
      <formula>"Moderado"</formula>
    </cfRule>
    <cfRule type="cellIs" dxfId="185" priority="3" operator="equal">
      <formula>"Bajo"</formula>
    </cfRule>
    <cfRule type="cellIs" dxfId="184" priority="4" operator="equal">
      <formula>"Alto"</formula>
    </cfRule>
  </conditionalFormatting>
  <dataValidations count="1">
    <dataValidation type="list" allowBlank="1" showInputMessage="1" showErrorMessage="1" sqref="J18 J14 J7" xr:uid="{00000000-0002-0000-1900-000000000000}">
      <formula1>"SI,NO"</formula1>
    </dataValidation>
  </dataValidations>
  <pageMargins left="7.874015748031496E-2" right="7.874015748031496E-2" top="1.1417322834645669" bottom="0.15748031496062992" header="0.31496062992125984" footer="0.31496062992125984"/>
  <pageSetup scale="38" orientation="landscape" horizontalDpi="1200" verticalDpi="1200" r:id="rId1"/>
  <headerFooter>
    <oddHeader>&amp;L&amp;G&amp;C
&amp;"-,Negrita"Matriz de Riesgos</oddHeader>
  </headerFooter>
  <rowBreaks count="1" manualBreakCount="1">
    <brk id="17" max="16383" man="1"/>
  </rowBreaks>
  <colBreaks count="2" manualBreakCount="2">
    <brk id="16" max="1048575" man="1"/>
    <brk id="29" max="1048575" man="1"/>
  </col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1000000}">
          <x14:formula1>
            <xm:f>'C:\Users\sgomez.UPME\Documents\UPME 2020\Documents\Mapas de riesgos\[Mapa de riesgos EVALUACIÓN Y CONTROL.xlsx]Datos'!#REF!</xm:f>
          </x14:formula1>
          <xm:sqref>G7:G22 X7:X18 D7:D22</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BEAE25"/>
  </sheetPr>
  <dimension ref="A1:X7"/>
  <sheetViews>
    <sheetView showGridLines="0" view="pageBreakPreview" zoomScale="70" zoomScaleNormal="100" zoomScaleSheetLayoutView="70" workbookViewId="0">
      <selection activeCell="I17" sqref="I17"/>
    </sheetView>
  </sheetViews>
  <sheetFormatPr baseColWidth="10" defaultRowHeight="15" x14ac:dyDescent="0.25"/>
  <cols>
    <col min="1" max="1" width="7.625" style="151" customWidth="1"/>
    <col min="2" max="2" width="21.625" style="151" customWidth="1"/>
    <col min="3" max="3" width="15.75" style="151" customWidth="1"/>
    <col min="4" max="4" width="17.875" style="151" customWidth="1"/>
    <col min="5" max="11" width="16.625" style="151" customWidth="1"/>
    <col min="12" max="12" width="21.375" style="151" customWidth="1"/>
    <col min="13" max="14" width="16.625" style="151" customWidth="1"/>
    <col min="15" max="15" width="18.5" style="151" customWidth="1"/>
    <col min="16" max="16" width="16.625" style="151" customWidth="1"/>
    <col min="17" max="23" width="13.75" style="151" customWidth="1"/>
    <col min="24" max="24" width="9.125" style="168" bestFit="1" customWidth="1"/>
    <col min="25" max="26" width="25.625" style="151" customWidth="1"/>
    <col min="27" max="16384" width="11" style="151"/>
  </cols>
  <sheetData>
    <row r="1" spans="1:24" ht="15" customHeight="1" x14ac:dyDescent="0.25">
      <c r="A1" s="1144"/>
      <c r="B1" s="1145"/>
      <c r="C1" s="1145"/>
      <c r="D1" s="1146"/>
      <c r="E1" s="1149" t="s">
        <v>0</v>
      </c>
      <c r="F1" s="1150"/>
      <c r="G1" s="1150"/>
      <c r="H1" s="1150"/>
      <c r="I1" s="1150"/>
      <c r="J1" s="1150"/>
      <c r="K1" s="1150"/>
      <c r="L1" s="1150"/>
      <c r="M1" s="1150"/>
      <c r="N1" s="1150"/>
      <c r="O1" s="1150"/>
      <c r="P1" s="1150"/>
      <c r="Q1" s="1150"/>
      <c r="R1" s="1150"/>
      <c r="S1" s="1150"/>
      <c r="T1" s="1151"/>
      <c r="U1" s="1155" t="s">
        <v>98</v>
      </c>
      <c r="V1" s="1156"/>
      <c r="W1" s="1156"/>
      <c r="X1" s="1157"/>
    </row>
    <row r="2" spans="1:24" ht="15" customHeight="1" x14ac:dyDescent="0.25">
      <c r="A2" s="1147"/>
      <c r="B2" s="1148"/>
      <c r="C2" s="1148"/>
      <c r="D2" s="1096"/>
      <c r="E2" s="1152"/>
      <c r="F2" s="1153"/>
      <c r="G2" s="1153"/>
      <c r="H2" s="1153"/>
      <c r="I2" s="1153"/>
      <c r="J2" s="1153"/>
      <c r="K2" s="1153"/>
      <c r="L2" s="1153"/>
      <c r="M2" s="1153"/>
      <c r="N2" s="1153"/>
      <c r="O2" s="1153"/>
      <c r="P2" s="1153"/>
      <c r="Q2" s="1153"/>
      <c r="R2" s="1153"/>
      <c r="S2" s="1153"/>
      <c r="T2" s="1154"/>
      <c r="U2" s="1158"/>
      <c r="V2" s="1159"/>
      <c r="W2" s="1159"/>
      <c r="X2" s="1160"/>
    </row>
    <row r="3" spans="1:24" ht="15" customHeight="1" x14ac:dyDescent="0.25">
      <c r="A3" s="1147"/>
      <c r="B3" s="1148"/>
      <c r="C3" s="1148"/>
      <c r="D3" s="1096"/>
      <c r="E3" s="1152"/>
      <c r="F3" s="1153"/>
      <c r="G3" s="1153"/>
      <c r="H3" s="1153"/>
      <c r="I3" s="1153"/>
      <c r="J3" s="1153"/>
      <c r="K3" s="1153"/>
      <c r="L3" s="1153"/>
      <c r="M3" s="1153"/>
      <c r="N3" s="1153"/>
      <c r="O3" s="1153"/>
      <c r="P3" s="1153"/>
      <c r="Q3" s="1153"/>
      <c r="R3" s="1153"/>
      <c r="S3" s="1153"/>
      <c r="T3" s="1154"/>
      <c r="U3" s="1155" t="s">
        <v>367</v>
      </c>
      <c r="V3" s="1156"/>
      <c r="W3" s="1156"/>
      <c r="X3" s="1156"/>
    </row>
    <row r="4" spans="1:24" ht="15" customHeight="1" x14ac:dyDescent="0.25">
      <c r="A4" s="1147"/>
      <c r="B4" s="1148"/>
      <c r="C4" s="1148"/>
      <c r="D4" s="1096"/>
      <c r="E4" s="1152"/>
      <c r="F4" s="1153"/>
      <c r="G4" s="1153"/>
      <c r="H4" s="1153"/>
      <c r="I4" s="1153"/>
      <c r="J4" s="1153"/>
      <c r="K4" s="1153"/>
      <c r="L4" s="1153"/>
      <c r="M4" s="1153"/>
      <c r="N4" s="1153"/>
      <c r="O4" s="1153"/>
      <c r="P4" s="1153"/>
      <c r="Q4" s="1153"/>
      <c r="R4" s="1153"/>
      <c r="S4" s="1153"/>
      <c r="T4" s="1154"/>
      <c r="U4" s="1161"/>
      <c r="V4" s="1162"/>
      <c r="W4" s="1162"/>
      <c r="X4" s="1162"/>
    </row>
    <row r="5" spans="1:24" ht="15" customHeight="1" x14ac:dyDescent="0.25">
      <c r="A5" s="1163" t="s">
        <v>100</v>
      </c>
      <c r="B5" s="1163"/>
      <c r="C5" s="1163"/>
      <c r="D5" s="1164"/>
      <c r="E5" s="1118" t="s">
        <v>101</v>
      </c>
      <c r="F5" s="1119"/>
      <c r="G5" s="1119"/>
      <c r="H5" s="1119"/>
      <c r="I5" s="1119"/>
      <c r="J5" s="1119"/>
      <c r="K5" s="1119"/>
      <c r="L5" s="1119"/>
      <c r="M5" s="1119"/>
      <c r="N5" s="1119"/>
      <c r="O5" s="1119"/>
      <c r="P5" s="1119"/>
      <c r="Q5" s="1119"/>
      <c r="R5" s="1119"/>
      <c r="S5" s="1119"/>
      <c r="T5" s="1119"/>
      <c r="U5" s="1119"/>
      <c r="V5" s="1119"/>
      <c r="W5" s="1119"/>
      <c r="X5" s="1120"/>
    </row>
    <row r="6" spans="1:24" s="209" customFormat="1" ht="114.75" customHeight="1" x14ac:dyDescent="0.2">
      <c r="A6" s="157" t="s">
        <v>44</v>
      </c>
      <c r="B6" s="208" t="s">
        <v>64</v>
      </c>
      <c r="C6" s="208" t="s">
        <v>70</v>
      </c>
      <c r="D6" s="208" t="s">
        <v>69</v>
      </c>
      <c r="E6" s="157" t="s">
        <v>102</v>
      </c>
      <c r="F6" s="157" t="s">
        <v>103</v>
      </c>
      <c r="G6" s="157" t="s">
        <v>104</v>
      </c>
      <c r="H6" s="157" t="s">
        <v>105</v>
      </c>
      <c r="I6" s="208" t="s">
        <v>106</v>
      </c>
      <c r="J6" s="208" t="s">
        <v>107</v>
      </c>
      <c r="K6" s="208" t="s">
        <v>108</v>
      </c>
      <c r="L6" s="208" t="s">
        <v>109</v>
      </c>
      <c r="M6" s="208" t="s">
        <v>110</v>
      </c>
      <c r="N6" s="208" t="s">
        <v>111</v>
      </c>
      <c r="O6" s="208" t="s">
        <v>112</v>
      </c>
      <c r="P6" s="208" t="s">
        <v>113</v>
      </c>
      <c r="Q6" s="208" t="s">
        <v>114</v>
      </c>
      <c r="R6" s="208" t="s">
        <v>115</v>
      </c>
      <c r="S6" s="208" t="s">
        <v>116</v>
      </c>
      <c r="T6" s="208" t="s">
        <v>117</v>
      </c>
      <c r="U6" s="208" t="s">
        <v>118</v>
      </c>
      <c r="V6" s="208" t="s">
        <v>119</v>
      </c>
      <c r="W6" s="208" t="s">
        <v>120</v>
      </c>
      <c r="X6" s="208" t="s">
        <v>121</v>
      </c>
    </row>
    <row r="7" spans="1:24" s="315" customFormat="1" ht="111" customHeight="1" x14ac:dyDescent="0.2">
      <c r="A7" s="210" t="e">
        <f>#REF!</f>
        <v>#REF!</v>
      </c>
      <c r="B7" s="210" t="e">
        <f>#REF!</f>
        <v>#REF!</v>
      </c>
      <c r="C7" s="165">
        <f>IF(D7="PENDIENTE EVALUAR EL IMPACTO","PENDIENTE EVALUAR EL IMPACTO COLUMNAS H-W",VLOOKUP(D7,[3]Datos!$K$8:$L$12,2,FALSE))</f>
        <v>4</v>
      </c>
      <c r="D7" s="165" t="str">
        <f>IF(X7=0,"PENDIENTE EVALUAR EL IMPACTO",IF(X7&lt;=5,"MODERADO",IF(X7&lt;=11,"MAYOR","CATASTRÓFICO")))</f>
        <v>MAYOR</v>
      </c>
      <c r="E7" s="313" t="s">
        <v>122</v>
      </c>
      <c r="F7" s="313" t="s">
        <v>122</v>
      </c>
      <c r="G7" s="313" t="s">
        <v>122</v>
      </c>
      <c r="H7" s="313" t="s">
        <v>263</v>
      </c>
      <c r="I7" s="314" t="s">
        <v>263</v>
      </c>
      <c r="J7" s="314" t="s">
        <v>263</v>
      </c>
      <c r="K7" s="314" t="s">
        <v>263</v>
      </c>
      <c r="L7" s="314" t="s">
        <v>263</v>
      </c>
      <c r="M7" s="314" t="s">
        <v>122</v>
      </c>
      <c r="N7" s="314" t="s">
        <v>122</v>
      </c>
      <c r="O7" s="314" t="s">
        <v>122</v>
      </c>
      <c r="P7" s="314" t="s">
        <v>122</v>
      </c>
      <c r="Q7" s="314" t="s">
        <v>122</v>
      </c>
      <c r="R7" s="314" t="s">
        <v>122</v>
      </c>
      <c r="S7" s="314" t="s">
        <v>263</v>
      </c>
      <c r="T7" s="314" t="s">
        <v>263</v>
      </c>
      <c r="U7" s="314" t="s">
        <v>263</v>
      </c>
      <c r="V7" s="314" t="s">
        <v>122</v>
      </c>
      <c r="W7" s="314" t="s">
        <v>263</v>
      </c>
      <c r="X7" s="211">
        <f>COUNTIF(E7:W7,"SI")</f>
        <v>10</v>
      </c>
    </row>
  </sheetData>
  <mergeCells count="6">
    <mergeCell ref="A1:D4"/>
    <mergeCell ref="E1:T4"/>
    <mergeCell ref="U1:X2"/>
    <mergeCell ref="U3:X4"/>
    <mergeCell ref="A5:D5"/>
    <mergeCell ref="E5:X5"/>
  </mergeCells>
  <dataValidations count="1">
    <dataValidation type="list" allowBlank="1" showInputMessage="1" showErrorMessage="1" sqref="E7:W7" xr:uid="{00000000-0002-0000-1A00-000000000000}">
      <formula1>"SI,NO"</formula1>
    </dataValidation>
  </dataValidations>
  <pageMargins left="0.51181102362204722" right="0.70866141732283472" top="1.1417322834645669" bottom="0.74803149606299213" header="0.31496062992125984" footer="0.31496062992125984"/>
  <pageSetup scale="35" orientation="landscape" horizontalDpi="1200" verticalDpi="1200" r:id="rId1"/>
  <headerFooter>
    <oddHeader>&amp;L&amp;G&amp;C
&amp;"-,Negrita"Matriz de Riesgos</oddHeader>
  </headerFooter>
  <colBreaks count="1" manualBreakCount="1">
    <brk id="4" max="1048575" man="1"/>
  </colBreaks>
  <drawing r:id="rId2"/>
  <legacyDrawing r:id="rId3"/>
  <legacyDrawingHF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D22"/>
  <sheetViews>
    <sheetView showGridLines="0" zoomScale="85" zoomScaleNormal="85" zoomScaleSheetLayoutView="160" workbookViewId="0">
      <selection activeCell="E21" sqref="E21"/>
    </sheetView>
  </sheetViews>
  <sheetFormatPr baseColWidth="10" defaultColWidth="10" defaultRowHeight="12.75" x14ac:dyDescent="0.2"/>
  <cols>
    <col min="1" max="1" width="6.625" style="212" customWidth="1"/>
    <col min="2" max="2" width="16.75" style="212" customWidth="1"/>
    <col min="3" max="3" width="46.375" style="212" customWidth="1"/>
    <col min="4" max="4" width="26.5" style="182" customWidth="1"/>
    <col min="5" max="5" width="55.25" style="182" customWidth="1"/>
    <col min="6" max="10" width="21.75" style="212" customWidth="1"/>
    <col min="11" max="11" width="33.875" style="212" customWidth="1"/>
    <col min="12" max="12" width="21.75" style="212" customWidth="1"/>
    <col min="13" max="17" width="19.25" style="226" customWidth="1"/>
    <col min="18" max="18" width="22.625" style="226" customWidth="1"/>
    <col min="19" max="19" width="19.25" style="226" customWidth="1"/>
    <col min="20" max="20" width="8" style="226" customWidth="1"/>
    <col min="21" max="22" width="18.125" style="226" customWidth="1"/>
    <col min="23" max="23" width="17.75" style="226" hidden="1" customWidth="1"/>
    <col min="24" max="24" width="16.25" style="226" hidden="1" customWidth="1"/>
    <col min="25" max="25" width="15.25" style="226" customWidth="1"/>
    <col min="26" max="26" width="18.875" style="226" customWidth="1"/>
    <col min="27" max="27" width="15.625" style="226" customWidth="1"/>
    <col min="28" max="28" width="23.125" style="226" customWidth="1"/>
    <col min="29" max="29" width="22.25" style="227" customWidth="1"/>
    <col min="30" max="30" width="26.5" style="227" customWidth="1"/>
    <col min="31" max="16384" width="10" style="212"/>
  </cols>
  <sheetData>
    <row r="1" spans="1:30" ht="15.75" customHeight="1" x14ac:dyDescent="0.2">
      <c r="A1" s="1165"/>
      <c r="B1" s="1165"/>
      <c r="C1" s="1165"/>
      <c r="D1" s="1166" t="s">
        <v>0</v>
      </c>
      <c r="E1" s="1166"/>
      <c r="F1" s="1166"/>
      <c r="G1" s="1166"/>
      <c r="H1" s="1166"/>
      <c r="I1" s="1166"/>
      <c r="J1" s="1166"/>
      <c r="K1" s="1166"/>
      <c r="L1" s="1166"/>
      <c r="M1" s="1166"/>
      <c r="N1" s="1166"/>
      <c r="O1" s="1166"/>
      <c r="P1" s="1166"/>
      <c r="Q1" s="1166"/>
      <c r="R1" s="1166"/>
      <c r="S1" s="1166"/>
      <c r="T1" s="1166"/>
      <c r="U1" s="1166"/>
      <c r="V1" s="1166"/>
      <c r="W1" s="1166"/>
      <c r="X1" s="1166"/>
      <c r="Y1" s="1166"/>
      <c r="Z1" s="1166"/>
      <c r="AA1" s="1166"/>
      <c r="AB1" s="1166"/>
      <c r="AC1" s="1167" t="s">
        <v>128</v>
      </c>
      <c r="AD1" s="1167"/>
    </row>
    <row r="2" spans="1:30" ht="15.75" customHeight="1" x14ac:dyDescent="0.2">
      <c r="A2" s="1165"/>
      <c r="B2" s="1165"/>
      <c r="C2" s="1165"/>
      <c r="D2" s="1166"/>
      <c r="E2" s="1166"/>
      <c r="F2" s="1166"/>
      <c r="G2" s="1166"/>
      <c r="H2" s="1166"/>
      <c r="I2" s="1166"/>
      <c r="J2" s="1166"/>
      <c r="K2" s="1166"/>
      <c r="L2" s="1166"/>
      <c r="M2" s="1166"/>
      <c r="N2" s="1166"/>
      <c r="O2" s="1166"/>
      <c r="P2" s="1166"/>
      <c r="Q2" s="1166"/>
      <c r="R2" s="1166"/>
      <c r="S2" s="1166"/>
      <c r="T2" s="1166"/>
      <c r="U2" s="1166"/>
      <c r="V2" s="1166"/>
      <c r="W2" s="1166"/>
      <c r="X2" s="1166"/>
      <c r="Y2" s="1166"/>
      <c r="Z2" s="1166"/>
      <c r="AA2" s="1166"/>
      <c r="AB2" s="1166"/>
      <c r="AC2" s="1167"/>
      <c r="AD2" s="1167"/>
    </row>
    <row r="3" spans="1:30" ht="15.75" customHeight="1" x14ac:dyDescent="0.2">
      <c r="A3" s="1165"/>
      <c r="B3" s="1165"/>
      <c r="C3" s="1165"/>
      <c r="D3" s="1166"/>
      <c r="E3" s="1166"/>
      <c r="F3" s="1166"/>
      <c r="G3" s="1166"/>
      <c r="H3" s="1166"/>
      <c r="I3" s="1166"/>
      <c r="J3" s="1166"/>
      <c r="K3" s="1166"/>
      <c r="L3" s="1166"/>
      <c r="M3" s="1166"/>
      <c r="N3" s="1166"/>
      <c r="O3" s="1166"/>
      <c r="P3" s="1166"/>
      <c r="Q3" s="1166"/>
      <c r="R3" s="1166"/>
      <c r="S3" s="1166"/>
      <c r="T3" s="1166"/>
      <c r="U3" s="1166"/>
      <c r="V3" s="1166"/>
      <c r="W3" s="1166"/>
      <c r="X3" s="1166"/>
      <c r="Y3" s="1166"/>
      <c r="Z3" s="1166"/>
      <c r="AA3" s="1166"/>
      <c r="AB3" s="1166"/>
      <c r="AC3" s="1167" t="s">
        <v>2</v>
      </c>
      <c r="AD3" s="1167"/>
    </row>
    <row r="4" spans="1:30" ht="15.75" customHeight="1" x14ac:dyDescent="0.2">
      <c r="A4" s="1165"/>
      <c r="B4" s="1165"/>
      <c r="C4" s="1165"/>
      <c r="D4" s="1166"/>
      <c r="E4" s="1166"/>
      <c r="F4" s="1166"/>
      <c r="G4" s="1166"/>
      <c r="H4" s="1166"/>
      <c r="I4" s="1166"/>
      <c r="J4" s="1166"/>
      <c r="K4" s="1166"/>
      <c r="L4" s="1166"/>
      <c r="M4" s="1166"/>
      <c r="N4" s="1166"/>
      <c r="O4" s="1166"/>
      <c r="P4" s="1166"/>
      <c r="Q4" s="1166"/>
      <c r="R4" s="1166"/>
      <c r="S4" s="1166"/>
      <c r="T4" s="1166"/>
      <c r="U4" s="1166"/>
      <c r="V4" s="1166"/>
      <c r="W4" s="1166"/>
      <c r="X4" s="1166"/>
      <c r="Y4" s="1166"/>
      <c r="Z4" s="1166"/>
      <c r="AA4" s="1166"/>
      <c r="AB4" s="1166"/>
      <c r="AC4" s="1167"/>
      <c r="AD4" s="1167"/>
    </row>
    <row r="5" spans="1:30" ht="15.75" customHeight="1" x14ac:dyDescent="0.2">
      <c r="A5" s="1112" t="s">
        <v>36</v>
      </c>
      <c r="B5" s="1113"/>
      <c r="C5" s="1114"/>
      <c r="D5" s="1168" t="e">
        <f t="array" ref="D5">+#REF!</f>
        <v>#REF!</v>
      </c>
      <c r="E5" s="1169"/>
      <c r="F5" s="1169"/>
      <c r="G5" s="1169"/>
      <c r="H5" s="1169"/>
      <c r="I5" s="1169"/>
      <c r="J5" s="1169"/>
      <c r="K5" s="1169"/>
      <c r="L5" s="1169"/>
      <c r="M5" s="1169"/>
      <c r="N5" s="1169"/>
      <c r="O5" s="1169"/>
      <c r="P5" s="1169"/>
      <c r="Q5" s="1169"/>
      <c r="R5" s="1169"/>
      <c r="S5" s="1169"/>
      <c r="T5" s="1169"/>
      <c r="U5" s="1169"/>
      <c r="V5" s="1169"/>
      <c r="W5" s="1169"/>
      <c r="X5" s="1169"/>
      <c r="Y5" s="1169"/>
      <c r="Z5" s="1169"/>
      <c r="AA5" s="1169"/>
      <c r="AB5" s="1169"/>
      <c r="AC5" s="1169"/>
      <c r="AD5" s="1169"/>
    </row>
    <row r="6" spans="1:30" ht="15.75" customHeight="1" thickBot="1" x14ac:dyDescent="0.25">
      <c r="A6" s="1112" t="s">
        <v>37</v>
      </c>
      <c r="B6" s="1113"/>
      <c r="C6" s="1114"/>
      <c r="D6" s="1168" t="e">
        <f t="array" ref="D6">+#REF!</f>
        <v>#REF!</v>
      </c>
      <c r="E6" s="1169"/>
      <c r="F6" s="1169"/>
      <c r="G6" s="1169"/>
      <c r="H6" s="1169"/>
      <c r="I6" s="1169"/>
      <c r="J6" s="1169"/>
      <c r="K6" s="1169"/>
      <c r="L6" s="1169"/>
      <c r="M6" s="1169"/>
      <c r="N6" s="1169"/>
      <c r="O6" s="1169"/>
      <c r="P6" s="1169"/>
      <c r="Q6" s="1169"/>
      <c r="R6" s="1169"/>
      <c r="S6" s="1169"/>
      <c r="T6" s="1169"/>
      <c r="U6" s="1169"/>
      <c r="V6" s="1169"/>
      <c r="W6" s="1169"/>
      <c r="X6" s="1169"/>
      <c r="Y6" s="1169"/>
      <c r="Z6" s="1169"/>
      <c r="AA6" s="1169"/>
      <c r="AB6" s="1169"/>
      <c r="AC6" s="1169"/>
      <c r="AD6" s="1169"/>
    </row>
    <row r="7" spans="1:30" ht="15" customHeight="1" x14ac:dyDescent="0.2">
      <c r="A7" s="1170" t="s">
        <v>129</v>
      </c>
      <c r="B7" s="1171"/>
      <c r="C7" s="1171"/>
      <c r="D7" s="1171"/>
      <c r="E7" s="1171"/>
      <c r="F7" s="1171"/>
      <c r="G7" s="1171"/>
      <c r="H7" s="1171"/>
      <c r="I7" s="1171"/>
      <c r="J7" s="1171"/>
      <c r="K7" s="1171"/>
      <c r="L7" s="1171"/>
      <c r="M7" s="1171" t="s">
        <v>75</v>
      </c>
      <c r="N7" s="1171"/>
      <c r="O7" s="1171"/>
      <c r="P7" s="1171"/>
      <c r="Q7" s="1171"/>
      <c r="R7" s="1171"/>
      <c r="S7" s="1171"/>
      <c r="T7" s="1171"/>
      <c r="U7" s="1171"/>
      <c r="V7" s="1171"/>
      <c r="W7" s="1171"/>
      <c r="X7" s="1171"/>
      <c r="Y7" s="1171"/>
      <c r="Z7" s="1172" t="s">
        <v>130</v>
      </c>
      <c r="AA7" s="1172"/>
      <c r="AB7" s="1172"/>
      <c r="AC7" s="1173" t="s">
        <v>131</v>
      </c>
      <c r="AD7" s="1174"/>
    </row>
    <row r="8" spans="1:30" ht="51" x14ac:dyDescent="0.2">
      <c r="A8" s="213" t="s">
        <v>44</v>
      </c>
      <c r="B8" s="214" t="s">
        <v>64</v>
      </c>
      <c r="C8" s="214" t="s">
        <v>132</v>
      </c>
      <c r="D8" s="214" t="s">
        <v>73</v>
      </c>
      <c r="E8" s="214" t="s">
        <v>133</v>
      </c>
      <c r="F8" s="214" t="s">
        <v>134</v>
      </c>
      <c r="G8" s="214" t="s">
        <v>135</v>
      </c>
      <c r="H8" s="214" t="s">
        <v>136</v>
      </c>
      <c r="I8" s="214" t="s">
        <v>137</v>
      </c>
      <c r="J8" s="214" t="s">
        <v>138</v>
      </c>
      <c r="K8" s="214" t="s">
        <v>139</v>
      </c>
      <c r="L8" s="214" t="s">
        <v>140</v>
      </c>
      <c r="M8" s="214" t="s">
        <v>134</v>
      </c>
      <c r="N8" s="214" t="s">
        <v>135</v>
      </c>
      <c r="O8" s="214" t="s">
        <v>141</v>
      </c>
      <c r="P8" s="214" t="s">
        <v>137</v>
      </c>
      <c r="Q8" s="214" t="s">
        <v>138</v>
      </c>
      <c r="R8" s="214" t="s">
        <v>139</v>
      </c>
      <c r="S8" s="214" t="s">
        <v>140</v>
      </c>
      <c r="T8" s="215" t="s">
        <v>121</v>
      </c>
      <c r="U8" s="214" t="s">
        <v>142</v>
      </c>
      <c r="V8" s="214" t="s">
        <v>143</v>
      </c>
      <c r="W8" s="214" t="s">
        <v>142</v>
      </c>
      <c r="X8" s="214" t="s">
        <v>143</v>
      </c>
      <c r="Y8" s="214" t="s">
        <v>144</v>
      </c>
      <c r="Z8" s="214" t="s">
        <v>145</v>
      </c>
      <c r="AA8" s="214" t="s">
        <v>146</v>
      </c>
      <c r="AB8" s="214" t="s">
        <v>76</v>
      </c>
      <c r="AC8" s="214" t="s">
        <v>147</v>
      </c>
      <c r="AD8" s="216" t="s">
        <v>148</v>
      </c>
    </row>
    <row r="9" spans="1:30" s="192" customFormat="1" ht="128.25" x14ac:dyDescent="0.2">
      <c r="A9" s="1175" t="e">
        <f>#REF!</f>
        <v>#REF!</v>
      </c>
      <c r="B9" s="1303" t="e">
        <f>#REF!</f>
        <v>#REF!</v>
      </c>
      <c r="C9" s="1305" t="e">
        <f>#REF!</f>
        <v>#REF!</v>
      </c>
      <c r="D9" s="316" t="str">
        <f>'[3]Analisis Riesgo'!K7</f>
        <v>Aplicar la matriz de priorización de Auditorías.</v>
      </c>
      <c r="E9" s="317" t="str">
        <f>'[3]Analisis Riesgo'!L7</f>
        <v>El aplicar la matriz de prioriación de Auditorías, es un control mediante el que a través de la valoración y análisis de criticidad de la gestión institucional y de los procesos, se lleva a cabo la priorización y planifcación de las actividades de auditoría a ejecutarse en una vigencia, el propósito de este mecanismo es enfocar las auditorías y evaluaciones en los procesos con mayores riesgos e impactos para la organización. Se ejecuta mínimo una vez en el año por la Oficina de Control Interno, previo a la elaboración del Programa Anual de Auditoría PAA.</v>
      </c>
      <c r="F9" s="218" t="s">
        <v>296</v>
      </c>
      <c r="G9" s="218" t="s">
        <v>299</v>
      </c>
      <c r="H9" s="218" t="s">
        <v>300</v>
      </c>
      <c r="I9" s="218" t="s">
        <v>301</v>
      </c>
      <c r="J9" s="218" t="s">
        <v>302</v>
      </c>
      <c r="K9" s="219" t="s">
        <v>303</v>
      </c>
      <c r="L9" s="218" t="s">
        <v>304</v>
      </c>
      <c r="M9" s="185">
        <f>IF(F9="Asignado", 15,0)</f>
        <v>15</v>
      </c>
      <c r="N9" s="185">
        <f>IF(G9="Adecuado",15,0)</f>
        <v>15</v>
      </c>
      <c r="O9" s="185">
        <f t="shared" ref="O9:O22" si="0">IF(H9="Oportuna",15,0)</f>
        <v>15</v>
      </c>
      <c r="P9" s="185">
        <f t="shared" ref="P9:P22" si="1">IF(I9="Prevenir",15,IF(I9="Detectar",10,0))</f>
        <v>15</v>
      </c>
      <c r="Q9" s="185">
        <f t="shared" ref="Q9:Q22" si="2">IF(J9="Confiable", 15,0)</f>
        <v>15</v>
      </c>
      <c r="R9" s="185">
        <f>IF(K9="Se investigan y resuelven oportunamente",15,0)</f>
        <v>15</v>
      </c>
      <c r="S9" s="185">
        <f t="shared" ref="S9:S22" si="3">IF(L9="Completa",10,IF(L9="Incompleta",5,0))</f>
        <v>10</v>
      </c>
      <c r="T9" s="185">
        <f t="shared" ref="T9:T22" si="4">SUM(M9:S9)</f>
        <v>100</v>
      </c>
      <c r="U9" s="218" t="s">
        <v>122</v>
      </c>
      <c r="V9" s="218" t="s">
        <v>263</v>
      </c>
      <c r="W9" s="185">
        <f t="shared" ref="W9:W22" si="5">IF(U9="SI",1,0)*T9/100</f>
        <v>1</v>
      </c>
      <c r="X9" s="185">
        <f t="shared" ref="X9:X22" si="6">IF(V9="SI",1,0)*T9/100</f>
        <v>0</v>
      </c>
      <c r="Y9" s="185" t="str">
        <f t="shared" ref="Y9:Y22" si="7">IF(W9&gt;=0.96,"Fuerte",IF(W9&gt;=0.86,"Moderado","Debil"))</f>
        <v>Fuerte</v>
      </c>
      <c r="Z9" s="218" t="s">
        <v>305</v>
      </c>
      <c r="AA9" s="185" t="str">
        <f t="shared" ref="AA9:AA22" si="8">IF(Z9="Siempre se ejecuta","Fuerte",IF(Z9="Algunas veces se ejecuta","Moderado","Debil"))</f>
        <v>Fuerte</v>
      </c>
      <c r="AB9" s="185" t="str">
        <f>IF(Y9="Fuerte",IF(AA9="Fuerte","No","SI"),"SI")</f>
        <v>No</v>
      </c>
      <c r="AC9" s="220"/>
      <c r="AD9" s="221"/>
    </row>
    <row r="10" spans="1:30" s="192" customFormat="1" ht="171" x14ac:dyDescent="0.2">
      <c r="A10" s="1175"/>
      <c r="B10" s="1303"/>
      <c r="C10" s="1305"/>
      <c r="D10" s="217" t="str">
        <f>'[3]Analisis Riesgo'!K8</f>
        <v>Seguimiento y monitoreo del Programa Anual de Auditoría.</v>
      </c>
      <c r="E10" s="317" t="str">
        <f>'[3]Analisis Riesgo'!L8</f>
        <v>El Programa Anual de Auditoría deberá ser presentado al Comité de Coordinación del Sistema de Control Interno Institucional para su conocimiento y respectiva aprobación una vez consolidado. En las reuniones de seguimiento Control Interno verifica la ejecución de actividades frente a lo formulado en el Programa Anual de auditoría (PAA); si se presentan cambios justificados o por fuerza mayor se dan a conocer en el Comité de Coordinación de Control Interno y se actualiza el PAA. Este control pretende detectar las desviacioens del programa y tomar decisiones para la adecuada ejecución de las Auditorías Internas planificadas. Se ejecuta mínimo una vez en el trimestre el seguimiento al avance del Programa Anual de Auditorías.</v>
      </c>
      <c r="F10" s="218" t="s">
        <v>296</v>
      </c>
      <c r="G10" s="218" t="s">
        <v>299</v>
      </c>
      <c r="H10" s="218" t="s">
        <v>300</v>
      </c>
      <c r="I10" s="218" t="s">
        <v>301</v>
      </c>
      <c r="J10" s="218" t="s">
        <v>302</v>
      </c>
      <c r="K10" s="219" t="s">
        <v>303</v>
      </c>
      <c r="L10" s="218" t="s">
        <v>304</v>
      </c>
      <c r="M10" s="185">
        <f>IF(F10="Asignado", 15,0)</f>
        <v>15</v>
      </c>
      <c r="N10" s="185">
        <f>IF(G10="Adecuado",15,0)</f>
        <v>15</v>
      </c>
      <c r="O10" s="185">
        <f t="shared" si="0"/>
        <v>15</v>
      </c>
      <c r="P10" s="185">
        <f t="shared" si="1"/>
        <v>15</v>
      </c>
      <c r="Q10" s="185">
        <f t="shared" si="2"/>
        <v>15</v>
      </c>
      <c r="R10" s="185">
        <f t="shared" ref="R10:R22" si="9">IF(K10="Se investigan y resuelven oportunamente",15,0)</f>
        <v>15</v>
      </c>
      <c r="S10" s="185">
        <f t="shared" si="3"/>
        <v>10</v>
      </c>
      <c r="T10" s="185">
        <f t="shared" si="4"/>
        <v>100</v>
      </c>
      <c r="U10" s="218" t="s">
        <v>122</v>
      </c>
      <c r="V10" s="218" t="s">
        <v>263</v>
      </c>
      <c r="W10" s="185">
        <f t="shared" si="5"/>
        <v>1</v>
      </c>
      <c r="X10" s="185">
        <f t="shared" si="6"/>
        <v>0</v>
      </c>
      <c r="Y10" s="185" t="str">
        <f t="shared" si="7"/>
        <v>Fuerte</v>
      </c>
      <c r="Z10" s="218" t="s">
        <v>305</v>
      </c>
      <c r="AA10" s="185" t="str">
        <f t="shared" si="8"/>
        <v>Fuerte</v>
      </c>
      <c r="AB10" s="185" t="str">
        <f t="shared" ref="AB10:AB22" si="10">IF(Y10="Fuerte",IF(AA10="Fuerte","No","SI"),"SI")</f>
        <v>No</v>
      </c>
      <c r="AC10" s="222"/>
      <c r="AD10" s="221"/>
    </row>
    <row r="11" spans="1:30" s="192" customFormat="1" ht="99.75" x14ac:dyDescent="0.2">
      <c r="A11" s="1175"/>
      <c r="B11" s="1303"/>
      <c r="C11" s="1305"/>
      <c r="D11" s="217" t="str">
        <f>'[3]Analisis Riesgo'!K9</f>
        <v>Incluir análisis de recursos de auditoría.</v>
      </c>
      <c r="E11" s="317" t="str">
        <f>'[3]Analisis Riesgo'!L9</f>
        <v>En el programa anual de auditoría interna se incluye un análisis de las necesidades de recursos para la ejecución de Auditorías Internas, este instrumento pretende mostrar a la Alta Dirección y al Comité de Coordinación de Control Interno las necesidades requeridas para ejecutar de manera adecuada el Programa de Auditoría Interna. Este control es ejecutado una vez en el año con la formulación del Programa Anual de Auditoria.</v>
      </c>
      <c r="F11" s="218" t="s">
        <v>296</v>
      </c>
      <c r="G11" s="218" t="s">
        <v>299</v>
      </c>
      <c r="H11" s="218" t="s">
        <v>300</v>
      </c>
      <c r="I11" s="218" t="s">
        <v>301</v>
      </c>
      <c r="J11" s="218" t="s">
        <v>302</v>
      </c>
      <c r="K11" s="219" t="s">
        <v>303</v>
      </c>
      <c r="L11" s="218" t="s">
        <v>304</v>
      </c>
      <c r="M11" s="185">
        <f>IF(F11="Asignado", 15,0)</f>
        <v>15</v>
      </c>
      <c r="N11" s="185">
        <f>IF(G11="Adecuado",15,0)</f>
        <v>15</v>
      </c>
      <c r="O11" s="185">
        <f t="shared" si="0"/>
        <v>15</v>
      </c>
      <c r="P11" s="185">
        <f t="shared" si="1"/>
        <v>15</v>
      </c>
      <c r="Q11" s="185">
        <f t="shared" si="2"/>
        <v>15</v>
      </c>
      <c r="R11" s="185">
        <f t="shared" si="9"/>
        <v>15</v>
      </c>
      <c r="S11" s="185">
        <f t="shared" si="3"/>
        <v>10</v>
      </c>
      <c r="T11" s="185">
        <f t="shared" si="4"/>
        <v>100</v>
      </c>
      <c r="U11" s="218" t="s">
        <v>122</v>
      </c>
      <c r="V11" s="218" t="s">
        <v>263</v>
      </c>
      <c r="W11" s="185">
        <f t="shared" si="5"/>
        <v>1</v>
      </c>
      <c r="X11" s="185">
        <f t="shared" si="6"/>
        <v>0</v>
      </c>
      <c r="Y11" s="185" t="str">
        <f t="shared" si="7"/>
        <v>Fuerte</v>
      </c>
      <c r="Z11" s="218" t="s">
        <v>305</v>
      </c>
      <c r="AA11" s="185" t="str">
        <f t="shared" si="8"/>
        <v>Fuerte</v>
      </c>
      <c r="AB11" s="185" t="str">
        <f t="shared" si="10"/>
        <v>No</v>
      </c>
      <c r="AC11" s="222"/>
      <c r="AD11" s="221"/>
    </row>
    <row r="12" spans="1:30" s="192" customFormat="1" ht="114" x14ac:dyDescent="0.2">
      <c r="A12" s="1175"/>
      <c r="B12" s="1303"/>
      <c r="C12" s="1305"/>
      <c r="D12" s="217" t="str">
        <f>'[3]Analisis Riesgo'!K12</f>
        <v>Aplicar control de gestión de acuerdo a los niveles de autorización de los los informes de auditoria o de evaluación independiente.</v>
      </c>
      <c r="E12" s="317" t="str">
        <f>'[3]Analisis Riesgo'!L12</f>
        <v>Este control es aplicado cuando los informes de auditoría interna o de evaluación a la gestión surten la cadena de elaboración, revisión y aprobación. En este caso el profesional del área de control interno elabora informes que son revisados y aprobados para ser emtidos por el Asesor de Control Interno. Este control se aplica en la elaboración de cada uno de los informes y tiene como propósito evitar errores de coherencia, evidencia y objetividad en su elaboración.</v>
      </c>
      <c r="F12" s="218" t="s">
        <v>296</v>
      </c>
      <c r="G12" s="218" t="s">
        <v>299</v>
      </c>
      <c r="H12" s="218" t="s">
        <v>300</v>
      </c>
      <c r="I12" s="218" t="s">
        <v>301</v>
      </c>
      <c r="J12" s="218" t="s">
        <v>302</v>
      </c>
      <c r="K12" s="219" t="s">
        <v>303</v>
      </c>
      <c r="L12" s="218" t="s">
        <v>304</v>
      </c>
      <c r="M12" s="185">
        <f>IF(F12="Asignado", 15,0)</f>
        <v>15</v>
      </c>
      <c r="N12" s="185">
        <f>IF(G12="Adecuado",15,0)</f>
        <v>15</v>
      </c>
      <c r="O12" s="185">
        <f t="shared" si="0"/>
        <v>15</v>
      </c>
      <c r="P12" s="185">
        <f t="shared" si="1"/>
        <v>15</v>
      </c>
      <c r="Q12" s="185">
        <f t="shared" si="2"/>
        <v>15</v>
      </c>
      <c r="R12" s="185">
        <f t="shared" si="9"/>
        <v>15</v>
      </c>
      <c r="S12" s="185">
        <f t="shared" si="3"/>
        <v>10</v>
      </c>
      <c r="T12" s="185">
        <f t="shared" si="4"/>
        <v>100</v>
      </c>
      <c r="U12" s="218" t="s">
        <v>122</v>
      </c>
      <c r="V12" s="218" t="s">
        <v>263</v>
      </c>
      <c r="W12" s="185">
        <f t="shared" si="5"/>
        <v>1</v>
      </c>
      <c r="X12" s="185">
        <f t="shared" si="6"/>
        <v>0</v>
      </c>
      <c r="Y12" s="185" t="str">
        <f t="shared" si="7"/>
        <v>Fuerte</v>
      </c>
      <c r="Z12" s="218" t="s">
        <v>305</v>
      </c>
      <c r="AA12" s="185" t="str">
        <f t="shared" si="8"/>
        <v>Fuerte</v>
      </c>
      <c r="AB12" s="185" t="str">
        <f t="shared" si="10"/>
        <v>No</v>
      </c>
      <c r="AC12" s="222"/>
      <c r="AD12" s="221"/>
    </row>
    <row r="13" spans="1:30" s="192" customFormat="1" ht="118.5" customHeight="1" x14ac:dyDescent="0.2">
      <c r="A13" s="1175"/>
      <c r="B13" s="1303"/>
      <c r="C13" s="1305"/>
      <c r="D13" s="217" t="str">
        <f>'[3]Analisis Riesgo'!K13</f>
        <v>Reiteración de solicitud de información o salvedad en informe de auditoria de la no entrega de la información.</v>
      </c>
      <c r="E13" s="317" t="str">
        <f>'[3]Analisis Riesgo'!L13</f>
        <v>Este control es aplicado cuando se ha solicitado información y no se ha enregado por parte de los auditados,  se reitera la solicitud con copia a la Dirección General con el propósito de obtener la información solicitada. En los caso en los cuales definitivamente no es entregada la información por el auditado se incluyen nota de salvedad dada la no entrega de la información. Este control tiene como proposito obtener información y resgistros que permitan el desarrollo de auditorias con evidencia objetiva.</v>
      </c>
      <c r="F13" s="218" t="s">
        <v>296</v>
      </c>
      <c r="G13" s="218" t="s">
        <v>299</v>
      </c>
      <c r="H13" s="218" t="s">
        <v>300</v>
      </c>
      <c r="I13" s="218" t="s">
        <v>301</v>
      </c>
      <c r="J13" s="218" t="s">
        <v>302</v>
      </c>
      <c r="K13" s="219" t="s">
        <v>303</v>
      </c>
      <c r="L13" s="218" t="s">
        <v>304</v>
      </c>
      <c r="M13" s="185">
        <f t="shared" ref="M13:M22" si="11">IF(F13="Asignado", 15,0)</f>
        <v>15</v>
      </c>
      <c r="N13" s="185">
        <f t="shared" ref="N13:N22" si="12">IF(G13="Adecuado",15,0)</f>
        <v>15</v>
      </c>
      <c r="O13" s="185">
        <f t="shared" si="0"/>
        <v>15</v>
      </c>
      <c r="P13" s="185">
        <f t="shared" si="1"/>
        <v>15</v>
      </c>
      <c r="Q13" s="185">
        <f t="shared" si="2"/>
        <v>15</v>
      </c>
      <c r="R13" s="185">
        <f t="shared" si="9"/>
        <v>15</v>
      </c>
      <c r="S13" s="185">
        <f t="shared" si="3"/>
        <v>10</v>
      </c>
      <c r="T13" s="185">
        <f t="shared" si="4"/>
        <v>100</v>
      </c>
      <c r="U13" s="218" t="s">
        <v>122</v>
      </c>
      <c r="V13" s="218" t="s">
        <v>263</v>
      </c>
      <c r="W13" s="185">
        <f t="shared" si="5"/>
        <v>1</v>
      </c>
      <c r="X13" s="185">
        <f t="shared" si="6"/>
        <v>0</v>
      </c>
      <c r="Y13" s="185" t="str">
        <f t="shared" si="7"/>
        <v>Fuerte</v>
      </c>
      <c r="Z13" s="218" t="s">
        <v>305</v>
      </c>
      <c r="AA13" s="185" t="str">
        <f t="shared" si="8"/>
        <v>Fuerte</v>
      </c>
      <c r="AB13" s="185" t="str">
        <f t="shared" si="10"/>
        <v>No</v>
      </c>
      <c r="AC13" s="222"/>
      <c r="AD13" s="221"/>
    </row>
    <row r="14" spans="1:30" s="192" customFormat="1" ht="114" x14ac:dyDescent="0.2">
      <c r="A14" s="1175" t="e">
        <f>#REF!</f>
        <v>#REF!</v>
      </c>
      <c r="B14" s="1303" t="e">
        <f>#REF!</f>
        <v>#REF!</v>
      </c>
      <c r="C14" s="1304" t="e">
        <f>#REF!</f>
        <v>#REF!</v>
      </c>
      <c r="D14" s="217" t="str">
        <f>'[3]Analisis Riesgo'!K14</f>
        <v>Realizar solicitud de necesidades de formación y capacitación de Control Interno.</v>
      </c>
      <c r="E14" s="317" t="str">
        <f>'[3]Analisis Riesgo'!L14</f>
        <v>Se solicita a la Secretaría General al Grupo de Talento Humano incorporar necesidades en el Plan Institucional de Capacitación referente a las brechas de conocimiento frente a las actividades, normativa e información que debe ser conocida por el grupo de profesionales de la oficina de control interno. Este control tiene como propósito promover acciones de formación dando el conocimiento a los servidores públicos y reduciendo el desconocimiento en temáticas.</v>
      </c>
      <c r="F14" s="218" t="s">
        <v>296</v>
      </c>
      <c r="G14" s="218" t="s">
        <v>299</v>
      </c>
      <c r="H14" s="218" t="s">
        <v>300</v>
      </c>
      <c r="I14" s="218" t="s">
        <v>301</v>
      </c>
      <c r="J14" s="218" t="s">
        <v>302</v>
      </c>
      <c r="K14" s="219" t="s">
        <v>303</v>
      </c>
      <c r="L14" s="218" t="s">
        <v>304</v>
      </c>
      <c r="M14" s="185">
        <f t="shared" si="11"/>
        <v>15</v>
      </c>
      <c r="N14" s="185">
        <f t="shared" si="12"/>
        <v>15</v>
      </c>
      <c r="O14" s="185">
        <f t="shared" si="0"/>
        <v>15</v>
      </c>
      <c r="P14" s="185">
        <f t="shared" si="1"/>
        <v>15</v>
      </c>
      <c r="Q14" s="185">
        <f t="shared" si="2"/>
        <v>15</v>
      </c>
      <c r="R14" s="185">
        <f t="shared" si="9"/>
        <v>15</v>
      </c>
      <c r="S14" s="185">
        <f t="shared" si="3"/>
        <v>10</v>
      </c>
      <c r="T14" s="185">
        <f t="shared" si="4"/>
        <v>100</v>
      </c>
      <c r="U14" s="218" t="s">
        <v>122</v>
      </c>
      <c r="V14" s="218" t="s">
        <v>263</v>
      </c>
      <c r="W14" s="185">
        <f t="shared" si="5"/>
        <v>1</v>
      </c>
      <c r="X14" s="185">
        <f t="shared" si="6"/>
        <v>0</v>
      </c>
      <c r="Y14" s="185" t="str">
        <f t="shared" si="7"/>
        <v>Fuerte</v>
      </c>
      <c r="Z14" s="218" t="s">
        <v>305</v>
      </c>
      <c r="AA14" s="185" t="str">
        <f t="shared" si="8"/>
        <v>Fuerte</v>
      </c>
      <c r="AB14" s="185" t="str">
        <f t="shared" si="10"/>
        <v>No</v>
      </c>
      <c r="AC14" s="222"/>
      <c r="AD14" s="221"/>
    </row>
    <row r="15" spans="1:30" s="192" customFormat="1" ht="114" x14ac:dyDescent="0.2">
      <c r="A15" s="1175"/>
      <c r="B15" s="1303"/>
      <c r="C15" s="1304"/>
      <c r="D15" s="217" t="str">
        <f>'[3]Analisis Riesgo'!K15</f>
        <v>Solicitud de recursos para complementar competencias con externos.</v>
      </c>
      <c r="E15" s="317" t="str">
        <f>'[3]Analisis Riesgo'!L15</f>
        <v>Conformación de equipos de auditoría integrales o contratación de servicios de auditoría externos, con habilidades, conocimiento, experiencia e integralidad para ejecutar evaluaciones a temas específicos y auditoría. Este control tiene como propósito garantizar que los ejercicios de auditoría se ejecuten personal con conocimiento especializado, con la competencia y habilidades requeridas para una adecuada evaluación de los criterios a auditar.</v>
      </c>
      <c r="F15" s="218" t="s">
        <v>296</v>
      </c>
      <c r="G15" s="218" t="s">
        <v>299</v>
      </c>
      <c r="H15" s="218" t="s">
        <v>300</v>
      </c>
      <c r="I15" s="218" t="s">
        <v>301</v>
      </c>
      <c r="J15" s="218" t="s">
        <v>302</v>
      </c>
      <c r="K15" s="219" t="s">
        <v>303</v>
      </c>
      <c r="L15" s="218" t="s">
        <v>304</v>
      </c>
      <c r="M15" s="185">
        <f t="shared" si="11"/>
        <v>15</v>
      </c>
      <c r="N15" s="185">
        <f t="shared" si="12"/>
        <v>15</v>
      </c>
      <c r="O15" s="185">
        <f t="shared" si="0"/>
        <v>15</v>
      </c>
      <c r="P15" s="185">
        <f t="shared" si="1"/>
        <v>15</v>
      </c>
      <c r="Q15" s="185">
        <f t="shared" si="2"/>
        <v>15</v>
      </c>
      <c r="R15" s="185">
        <f t="shared" si="9"/>
        <v>15</v>
      </c>
      <c r="S15" s="185">
        <f t="shared" si="3"/>
        <v>10</v>
      </c>
      <c r="T15" s="185">
        <f t="shared" si="4"/>
        <v>100</v>
      </c>
      <c r="U15" s="218" t="s">
        <v>122</v>
      </c>
      <c r="V15" s="218" t="s">
        <v>263</v>
      </c>
      <c r="W15" s="185">
        <f t="shared" si="5"/>
        <v>1</v>
      </c>
      <c r="X15" s="185">
        <f t="shared" si="6"/>
        <v>0</v>
      </c>
      <c r="Y15" s="185" t="str">
        <f t="shared" si="7"/>
        <v>Fuerte</v>
      </c>
      <c r="Z15" s="218" t="s">
        <v>305</v>
      </c>
      <c r="AA15" s="185" t="str">
        <f t="shared" si="8"/>
        <v>Fuerte</v>
      </c>
      <c r="AB15" s="185" t="str">
        <f t="shared" si="10"/>
        <v>No</v>
      </c>
      <c r="AC15" s="222"/>
      <c r="AD15" s="221"/>
    </row>
    <row r="16" spans="1:30" s="192" customFormat="1" ht="114" x14ac:dyDescent="0.2">
      <c r="A16" s="1175"/>
      <c r="B16" s="1303"/>
      <c r="C16" s="1304"/>
      <c r="D16" s="217" t="str">
        <f>'[3]Analisis Riesgo'!K16</f>
        <v>Carta de representación</v>
      </c>
      <c r="E16" s="317" t="str">
        <f>'[3]Analisis Riesgo'!L16</f>
        <v>La Carta de Representación es un instrumento que permite confirmar las aseveraciones orales y/o escritas proporcionadas  durante el curso de la auditoría, busca reducir la posibilidad de malos entendidos entre el auditor y el auditado, aclarando los hechos observados y valorados sobre evidencia objetiva. Este es un control que busca garantizar la independencia de la evaluaciòn, dando claridad y evitando se generen presiones indebidas.</v>
      </c>
      <c r="F16" s="218" t="s">
        <v>296</v>
      </c>
      <c r="G16" s="218" t="s">
        <v>299</v>
      </c>
      <c r="H16" s="218" t="s">
        <v>300</v>
      </c>
      <c r="I16" s="218" t="s">
        <v>301</v>
      </c>
      <c r="J16" s="218" t="s">
        <v>302</v>
      </c>
      <c r="K16" s="219" t="s">
        <v>303</v>
      </c>
      <c r="L16" s="218" t="s">
        <v>304</v>
      </c>
      <c r="M16" s="185">
        <f t="shared" si="11"/>
        <v>15</v>
      </c>
      <c r="N16" s="185">
        <f t="shared" si="12"/>
        <v>15</v>
      </c>
      <c r="O16" s="185">
        <f t="shared" si="0"/>
        <v>15</v>
      </c>
      <c r="P16" s="185">
        <f t="shared" si="1"/>
        <v>15</v>
      </c>
      <c r="Q16" s="185">
        <f t="shared" si="2"/>
        <v>15</v>
      </c>
      <c r="R16" s="185">
        <f t="shared" si="9"/>
        <v>15</v>
      </c>
      <c r="S16" s="185">
        <f t="shared" si="3"/>
        <v>10</v>
      </c>
      <c r="T16" s="185">
        <f t="shared" si="4"/>
        <v>100</v>
      </c>
      <c r="U16" s="218" t="s">
        <v>263</v>
      </c>
      <c r="V16" s="218" t="s">
        <v>122</v>
      </c>
      <c r="W16" s="185">
        <f t="shared" si="5"/>
        <v>0</v>
      </c>
      <c r="X16" s="185">
        <f t="shared" si="6"/>
        <v>1</v>
      </c>
      <c r="Y16" s="185" t="str">
        <f t="shared" si="7"/>
        <v>Debil</v>
      </c>
      <c r="Z16" s="218" t="s">
        <v>305</v>
      </c>
      <c r="AA16" s="185" t="str">
        <f t="shared" si="8"/>
        <v>Fuerte</v>
      </c>
      <c r="AB16" s="185" t="str">
        <f t="shared" si="10"/>
        <v>SI</v>
      </c>
      <c r="AC16" s="222"/>
      <c r="AD16" s="221"/>
    </row>
    <row r="17" spans="1:30" s="192" customFormat="1" ht="85.5" x14ac:dyDescent="0.2">
      <c r="A17" s="1175"/>
      <c r="B17" s="1303"/>
      <c r="C17" s="1304"/>
      <c r="D17" s="217" t="str">
        <f>'[3]Analisis Riesgo'!K17</f>
        <v>Aplicar y utilizar las herramientas y técnicas de Auditoría.</v>
      </c>
      <c r="E17" s="317" t="str">
        <f>'[3]Analisis Riesgo'!L17</f>
        <v xml:space="preserve">Al aplicar el conjunto de herramientas y técnicas de auditoría se busca la aplicación de métodos de evaluación que permitan determinar con criterios objetivos los ejercicios de Auditoría Interna. El uso y aplicaciòn de herramientas de auditorìa es un control que permiten evaluar de manera adecuada los criterios de auditorìa. </v>
      </c>
      <c r="F17" s="218" t="s">
        <v>296</v>
      </c>
      <c r="G17" s="218" t="s">
        <v>299</v>
      </c>
      <c r="H17" s="218" t="s">
        <v>300</v>
      </c>
      <c r="I17" s="218" t="s">
        <v>301</v>
      </c>
      <c r="J17" s="218" t="s">
        <v>302</v>
      </c>
      <c r="K17" s="219" t="s">
        <v>303</v>
      </c>
      <c r="L17" s="218" t="s">
        <v>304</v>
      </c>
      <c r="M17" s="185">
        <f t="shared" si="11"/>
        <v>15</v>
      </c>
      <c r="N17" s="185">
        <f t="shared" si="12"/>
        <v>15</v>
      </c>
      <c r="O17" s="185">
        <f t="shared" si="0"/>
        <v>15</v>
      </c>
      <c r="P17" s="185">
        <f t="shared" si="1"/>
        <v>15</v>
      </c>
      <c r="Q17" s="185">
        <f t="shared" si="2"/>
        <v>15</v>
      </c>
      <c r="R17" s="185">
        <f t="shared" si="9"/>
        <v>15</v>
      </c>
      <c r="S17" s="185">
        <f t="shared" si="3"/>
        <v>10</v>
      </c>
      <c r="T17" s="185">
        <f t="shared" si="4"/>
        <v>100</v>
      </c>
      <c r="U17" s="218" t="s">
        <v>122</v>
      </c>
      <c r="V17" s="218" t="s">
        <v>263</v>
      </c>
      <c r="W17" s="185">
        <f t="shared" si="5"/>
        <v>1</v>
      </c>
      <c r="X17" s="185">
        <f t="shared" si="6"/>
        <v>0</v>
      </c>
      <c r="Y17" s="185" t="str">
        <f t="shared" si="7"/>
        <v>Fuerte</v>
      </c>
      <c r="Z17" s="218" t="s">
        <v>305</v>
      </c>
      <c r="AA17" s="185" t="str">
        <f t="shared" si="8"/>
        <v>Fuerte</v>
      </c>
      <c r="AB17" s="185" t="str">
        <f t="shared" si="10"/>
        <v>No</v>
      </c>
      <c r="AC17" s="222"/>
      <c r="AD17" s="221"/>
    </row>
    <row r="18" spans="1:30" s="192" customFormat="1" ht="71.25" x14ac:dyDescent="0.2">
      <c r="A18" s="1175" t="e">
        <f>#REF!</f>
        <v>#REF!</v>
      </c>
      <c r="B18" s="1303" t="e">
        <f>#REF!</f>
        <v>#REF!</v>
      </c>
      <c r="C18" s="1304" t="e">
        <f>#REF!</f>
        <v>#REF!</v>
      </c>
      <c r="D18" s="217" t="str">
        <f>'[3]Analisis Riesgo'!K18</f>
        <v>Manifestar el rol de las oficinas de control interno a través de distintos mecanimos  y canales de comunicación</v>
      </c>
      <c r="E18" s="317" t="str">
        <f>'[3]Analisis Riesgo'!L18</f>
        <v>Este control busca que los clientes y partes interesadas del proceso conozcan los roles y competencias de las Oficinas de Control Interno o quien haga sus veces,</v>
      </c>
      <c r="F18" s="218" t="s">
        <v>296</v>
      </c>
      <c r="G18" s="218" t="s">
        <v>299</v>
      </c>
      <c r="H18" s="218" t="s">
        <v>300</v>
      </c>
      <c r="I18" s="218" t="s">
        <v>301</v>
      </c>
      <c r="J18" s="218" t="s">
        <v>302</v>
      </c>
      <c r="K18" s="219" t="s">
        <v>303</v>
      </c>
      <c r="L18" s="218" t="s">
        <v>304</v>
      </c>
      <c r="M18" s="185">
        <f t="shared" si="11"/>
        <v>15</v>
      </c>
      <c r="N18" s="185">
        <f t="shared" si="12"/>
        <v>15</v>
      </c>
      <c r="O18" s="185">
        <f t="shared" si="0"/>
        <v>15</v>
      </c>
      <c r="P18" s="185">
        <f t="shared" si="1"/>
        <v>15</v>
      </c>
      <c r="Q18" s="185">
        <f t="shared" si="2"/>
        <v>15</v>
      </c>
      <c r="R18" s="185">
        <f t="shared" si="9"/>
        <v>15</v>
      </c>
      <c r="S18" s="185">
        <f t="shared" si="3"/>
        <v>10</v>
      </c>
      <c r="T18" s="185">
        <f t="shared" si="4"/>
        <v>100</v>
      </c>
      <c r="U18" s="218" t="s">
        <v>122</v>
      </c>
      <c r="V18" s="218" t="s">
        <v>263</v>
      </c>
      <c r="W18" s="185">
        <f t="shared" si="5"/>
        <v>1</v>
      </c>
      <c r="X18" s="185">
        <f t="shared" si="6"/>
        <v>0</v>
      </c>
      <c r="Y18" s="185" t="str">
        <f t="shared" si="7"/>
        <v>Fuerte</v>
      </c>
      <c r="Z18" s="218" t="s">
        <v>305</v>
      </c>
      <c r="AA18" s="185" t="str">
        <f t="shared" si="8"/>
        <v>Fuerte</v>
      </c>
      <c r="AB18" s="185" t="str">
        <f t="shared" si="10"/>
        <v>No</v>
      </c>
      <c r="AC18" s="222"/>
      <c r="AD18" s="221"/>
    </row>
    <row r="19" spans="1:30" s="192" customFormat="1" ht="71.25" x14ac:dyDescent="0.2">
      <c r="A19" s="1175"/>
      <c r="B19" s="1303"/>
      <c r="C19" s="1304"/>
      <c r="D19" s="217" t="str">
        <f>'[3]Analisis Riesgo'!K19</f>
        <v>Adoptar y aplicar código de ética del auditor y sus herramientas, manifestadas en el informe de auditoría interna.</v>
      </c>
      <c r="E19" s="317" t="str">
        <f>'[3]Analisis Riesgo'!L19</f>
        <v>Este control implica la adopción y aplicaciòn del código de ética, lo cual es manifestado y presentado a travès de los informes de auditoria interna el rol de las oficinas de control interno.</v>
      </c>
      <c r="F19" s="218" t="s">
        <v>296</v>
      </c>
      <c r="G19" s="218" t="s">
        <v>299</v>
      </c>
      <c r="H19" s="218" t="s">
        <v>300</v>
      </c>
      <c r="I19" s="218" t="s">
        <v>301</v>
      </c>
      <c r="J19" s="218" t="s">
        <v>302</v>
      </c>
      <c r="K19" s="219" t="s">
        <v>303</v>
      </c>
      <c r="L19" s="218" t="s">
        <v>304</v>
      </c>
      <c r="M19" s="185">
        <f t="shared" si="11"/>
        <v>15</v>
      </c>
      <c r="N19" s="185">
        <f t="shared" si="12"/>
        <v>15</v>
      </c>
      <c r="O19" s="185">
        <f t="shared" si="0"/>
        <v>15</v>
      </c>
      <c r="P19" s="185">
        <f t="shared" si="1"/>
        <v>15</v>
      </c>
      <c r="Q19" s="185">
        <f t="shared" si="2"/>
        <v>15</v>
      </c>
      <c r="R19" s="185">
        <f t="shared" si="9"/>
        <v>15</v>
      </c>
      <c r="S19" s="185">
        <f t="shared" si="3"/>
        <v>10</v>
      </c>
      <c r="T19" s="185">
        <f t="shared" si="4"/>
        <v>100</v>
      </c>
      <c r="U19" s="218" t="s">
        <v>122</v>
      </c>
      <c r="V19" s="218" t="s">
        <v>263</v>
      </c>
      <c r="W19" s="185">
        <f t="shared" si="5"/>
        <v>1</v>
      </c>
      <c r="X19" s="185">
        <f t="shared" si="6"/>
        <v>0</v>
      </c>
      <c r="Y19" s="185" t="str">
        <f t="shared" si="7"/>
        <v>Fuerte</v>
      </c>
      <c r="Z19" s="218" t="s">
        <v>305</v>
      </c>
      <c r="AA19" s="185" t="str">
        <f t="shared" si="8"/>
        <v>Fuerte</v>
      </c>
      <c r="AB19" s="185" t="str">
        <f t="shared" si="10"/>
        <v>No</v>
      </c>
      <c r="AC19" s="222"/>
      <c r="AD19" s="221"/>
    </row>
    <row r="20" spans="1:30" s="192" customFormat="1" ht="114" x14ac:dyDescent="0.2">
      <c r="A20" s="1175"/>
      <c r="B20" s="1303"/>
      <c r="C20" s="1304"/>
      <c r="D20" s="217" t="str">
        <f>'[3]Analisis Riesgo'!K20</f>
        <v>Utilizar el mapa de aseguramiento y matriz de priorización de Auditorías.</v>
      </c>
      <c r="E20" s="317" t="str">
        <f>'[3]Analisis Riesgo'!L20</f>
        <v>Utilizar la herramienta de mapa de aseguramiento para que sean definidas y aclaradas en el marco de los procesos las líneas de defensa, especificando el Rol de la Tercera Línea de Defenda y usar la matriz de priorización para la priorización de auditorias. La aplicación de estas herramientas permite  aclarar y definir las responsabiliades y alcances para cada Programa Anual  de auditoría. Esta revisión se ejecutade manera anual  y se documenta en el Programa Anual de Auditoría.</v>
      </c>
      <c r="F20" s="218" t="s">
        <v>296</v>
      </c>
      <c r="G20" s="218" t="s">
        <v>299</v>
      </c>
      <c r="H20" s="218" t="s">
        <v>300</v>
      </c>
      <c r="I20" s="218" t="s">
        <v>301</v>
      </c>
      <c r="J20" s="218" t="s">
        <v>302</v>
      </c>
      <c r="K20" s="219" t="s">
        <v>303</v>
      </c>
      <c r="L20" s="218" t="s">
        <v>304</v>
      </c>
      <c r="M20" s="185">
        <f t="shared" si="11"/>
        <v>15</v>
      </c>
      <c r="N20" s="185">
        <f t="shared" si="12"/>
        <v>15</v>
      </c>
      <c r="O20" s="185">
        <f t="shared" si="0"/>
        <v>15</v>
      </c>
      <c r="P20" s="185">
        <f t="shared" si="1"/>
        <v>15</v>
      </c>
      <c r="Q20" s="185">
        <f t="shared" si="2"/>
        <v>15</v>
      </c>
      <c r="R20" s="185">
        <f t="shared" si="9"/>
        <v>15</v>
      </c>
      <c r="S20" s="185">
        <f t="shared" si="3"/>
        <v>10</v>
      </c>
      <c r="T20" s="185">
        <f t="shared" si="4"/>
        <v>100</v>
      </c>
      <c r="U20" s="218" t="s">
        <v>263</v>
      </c>
      <c r="V20" s="218" t="s">
        <v>122</v>
      </c>
      <c r="W20" s="185">
        <f t="shared" si="5"/>
        <v>0</v>
      </c>
      <c r="X20" s="185">
        <f t="shared" si="6"/>
        <v>1</v>
      </c>
      <c r="Y20" s="185" t="str">
        <f t="shared" si="7"/>
        <v>Debil</v>
      </c>
      <c r="Z20" s="218" t="s">
        <v>305</v>
      </c>
      <c r="AA20" s="185" t="str">
        <f t="shared" si="8"/>
        <v>Fuerte</v>
      </c>
      <c r="AB20" s="185" t="str">
        <f t="shared" si="10"/>
        <v>SI</v>
      </c>
      <c r="AC20" s="222"/>
      <c r="AD20" s="221"/>
    </row>
    <row r="21" spans="1:30" s="192" customFormat="1" ht="99.75" x14ac:dyDescent="0.2">
      <c r="A21" s="1175"/>
      <c r="B21" s="1303"/>
      <c r="C21" s="1304"/>
      <c r="D21" s="217" t="str">
        <f>'[3]Analisis Riesgo'!K21</f>
        <v>Realizar la evaluaciòn independiente a travès de los perfiles y roles asignados a travès de distitnos aplicativos.</v>
      </c>
      <c r="E21" s="317" t="str">
        <f>'[3]Analisis Riesgo'!L21</f>
        <v>Utilizar los sistemas de información como SIRECI, FURAG, EKOGUI. SIIF Nación, SUIT y otros en los que se ha definido los roles y perfiles específicos para el proceso de evaluación independiente que es ejecutado por las Oficinas de Control Interno o de quienes hacen sus veces. Este control tiene como propósito el uso de herramientas que han definido actividades de acuerdo al rol de la oficina de control interno.</v>
      </c>
      <c r="F21" s="218" t="s">
        <v>296</v>
      </c>
      <c r="G21" s="218" t="s">
        <v>299</v>
      </c>
      <c r="H21" s="218" t="s">
        <v>300</v>
      </c>
      <c r="I21" s="218" t="s">
        <v>301</v>
      </c>
      <c r="J21" s="218" t="s">
        <v>302</v>
      </c>
      <c r="K21" s="219" t="s">
        <v>303</v>
      </c>
      <c r="L21" s="218" t="s">
        <v>304</v>
      </c>
      <c r="M21" s="185">
        <f t="shared" si="11"/>
        <v>15</v>
      </c>
      <c r="N21" s="185">
        <f t="shared" si="12"/>
        <v>15</v>
      </c>
      <c r="O21" s="185">
        <f t="shared" si="0"/>
        <v>15</v>
      </c>
      <c r="P21" s="185">
        <f t="shared" si="1"/>
        <v>15</v>
      </c>
      <c r="Q21" s="185">
        <f t="shared" si="2"/>
        <v>15</v>
      </c>
      <c r="R21" s="185">
        <f t="shared" si="9"/>
        <v>15</v>
      </c>
      <c r="S21" s="185">
        <f t="shared" si="3"/>
        <v>10</v>
      </c>
      <c r="T21" s="185">
        <f t="shared" si="4"/>
        <v>100</v>
      </c>
      <c r="U21" s="218" t="s">
        <v>263</v>
      </c>
      <c r="V21" s="218" t="s">
        <v>122</v>
      </c>
      <c r="W21" s="185">
        <f t="shared" si="5"/>
        <v>0</v>
      </c>
      <c r="X21" s="185">
        <f t="shared" si="6"/>
        <v>1</v>
      </c>
      <c r="Y21" s="185" t="str">
        <f t="shared" si="7"/>
        <v>Debil</v>
      </c>
      <c r="Z21" s="218" t="s">
        <v>305</v>
      </c>
      <c r="AA21" s="185" t="str">
        <f t="shared" si="8"/>
        <v>Fuerte</v>
      </c>
      <c r="AB21" s="185" t="str">
        <f t="shared" si="10"/>
        <v>SI</v>
      </c>
      <c r="AC21" s="222"/>
      <c r="AD21" s="221"/>
    </row>
    <row r="22" spans="1:30" s="192" customFormat="1" ht="57" x14ac:dyDescent="0.2">
      <c r="A22" s="1175"/>
      <c r="B22" s="1303"/>
      <c r="C22" s="1304"/>
      <c r="D22" s="217" t="str">
        <f>'[3]Analisis Riesgo'!K22</f>
        <v>Participar en el encuentro transversal del encuentro de Jefes de Control Interno.</v>
      </c>
      <c r="E22" s="317" t="str">
        <f>'[3]Analisis Riesgo'!L22</f>
        <v>Participación en eventos donde se socializar los roles y normatividad a cumplir por los jefes de la oficina de control interno, este control permite mantener actualizado el conocimiento frene a los roles.</v>
      </c>
      <c r="F22" s="218" t="s">
        <v>296</v>
      </c>
      <c r="G22" s="218" t="s">
        <v>299</v>
      </c>
      <c r="H22" s="218" t="s">
        <v>300</v>
      </c>
      <c r="I22" s="218" t="s">
        <v>301</v>
      </c>
      <c r="J22" s="218" t="s">
        <v>302</v>
      </c>
      <c r="K22" s="219" t="s">
        <v>303</v>
      </c>
      <c r="L22" s="218" t="s">
        <v>304</v>
      </c>
      <c r="M22" s="185">
        <f t="shared" si="11"/>
        <v>15</v>
      </c>
      <c r="N22" s="185">
        <f t="shared" si="12"/>
        <v>15</v>
      </c>
      <c r="O22" s="185">
        <f t="shared" si="0"/>
        <v>15</v>
      </c>
      <c r="P22" s="185">
        <f t="shared" si="1"/>
        <v>15</v>
      </c>
      <c r="Q22" s="185">
        <f t="shared" si="2"/>
        <v>15</v>
      </c>
      <c r="R22" s="185">
        <f t="shared" si="9"/>
        <v>15</v>
      </c>
      <c r="S22" s="185">
        <f t="shared" si="3"/>
        <v>10</v>
      </c>
      <c r="T22" s="185">
        <f t="shared" si="4"/>
        <v>100</v>
      </c>
      <c r="U22" s="218" t="s">
        <v>122</v>
      </c>
      <c r="V22" s="218" t="s">
        <v>263</v>
      </c>
      <c r="W22" s="185">
        <f t="shared" si="5"/>
        <v>1</v>
      </c>
      <c r="X22" s="185">
        <f t="shared" si="6"/>
        <v>0</v>
      </c>
      <c r="Y22" s="185" t="str">
        <f t="shared" si="7"/>
        <v>Fuerte</v>
      </c>
      <c r="Z22" s="218" t="s">
        <v>305</v>
      </c>
      <c r="AA22" s="185" t="str">
        <f t="shared" si="8"/>
        <v>Fuerte</v>
      </c>
      <c r="AB22" s="185" t="str">
        <f t="shared" si="10"/>
        <v>No</v>
      </c>
      <c r="AC22" s="222"/>
      <c r="AD22" s="221"/>
    </row>
  </sheetData>
  <mergeCells count="21">
    <mergeCell ref="A18:A22"/>
    <mergeCell ref="B18:B22"/>
    <mergeCell ref="C18:C22"/>
    <mergeCell ref="A9:A13"/>
    <mergeCell ref="B9:B13"/>
    <mergeCell ref="C9:C13"/>
    <mergeCell ref="A14:A17"/>
    <mergeCell ref="B14:B17"/>
    <mergeCell ref="C14:C17"/>
    <mergeCell ref="A6:C6"/>
    <mergeCell ref="D6:AD6"/>
    <mergeCell ref="A7:L7"/>
    <mergeCell ref="M7:Y7"/>
    <mergeCell ref="Z7:AB7"/>
    <mergeCell ref="AC7:AD7"/>
    <mergeCell ref="A1:C4"/>
    <mergeCell ref="D1:AB4"/>
    <mergeCell ref="AC1:AD2"/>
    <mergeCell ref="AC3:AD4"/>
    <mergeCell ref="A5:C5"/>
    <mergeCell ref="D5:AD5"/>
  </mergeCells>
  <dataValidations count="9">
    <dataValidation type="list" allowBlank="1" showInputMessage="1" showErrorMessage="1" sqref="Z9:Z22" xr:uid="{00000000-0002-0000-1B00-000000000000}">
      <formula1>"Siempre se ejecuta,Algunas veces se ejecuta,No se ejecuta,Seleccione"</formula1>
    </dataValidation>
    <dataValidation type="list" allowBlank="1" showInputMessage="1" showErrorMessage="1" sqref="U9:V22" xr:uid="{00000000-0002-0000-1B00-000001000000}">
      <formula1>"SI, NO,Seleccione"</formula1>
    </dataValidation>
    <dataValidation type="list" allowBlank="1" showInputMessage="1" showErrorMessage="1" sqref="L9:L22" xr:uid="{00000000-0002-0000-1B00-000002000000}">
      <formula1>"Completa, Incompleta, No existe,Seleccione"</formula1>
    </dataValidation>
    <dataValidation type="list" allowBlank="1" showInputMessage="1" showErrorMessage="1" sqref="K9:K22" xr:uid="{00000000-0002-0000-1B00-000003000000}">
      <formula1>"Se investigan y resuelven oportunamente, No se investigan y resuelven oportunamente,Seleccione"</formula1>
    </dataValidation>
    <dataValidation type="list" allowBlank="1" showInputMessage="1" showErrorMessage="1" sqref="J9:J22" xr:uid="{00000000-0002-0000-1B00-000004000000}">
      <formula1>"Confiable, No Confiable,Seleccione"</formula1>
    </dataValidation>
    <dataValidation type="list" allowBlank="1" showInputMessage="1" showErrorMessage="1" sqref="I9:I22" xr:uid="{00000000-0002-0000-1B00-000005000000}">
      <formula1>"Prevenir, Detectar, No es un control,Seleccione"</formula1>
    </dataValidation>
    <dataValidation type="list" allowBlank="1" showInputMessage="1" showErrorMessage="1" sqref="H9:H22" xr:uid="{00000000-0002-0000-1B00-000006000000}">
      <formula1>"Oportuna, Inoportuna,Seleccione"</formula1>
    </dataValidation>
    <dataValidation type="list" allowBlank="1" showInputMessage="1" showErrorMessage="1" sqref="G9:G22" xr:uid="{00000000-0002-0000-1B00-000007000000}">
      <formula1>"Adecuado, Inadecuado,Seleccione"</formula1>
    </dataValidation>
    <dataValidation type="list" allowBlank="1" showInputMessage="1" showErrorMessage="1" sqref="F9:F22" xr:uid="{00000000-0002-0000-1B00-000008000000}">
      <formula1>"Asignado, No asignado, Seleccione"</formula1>
    </dataValidation>
  </dataValidations>
  <pageMargins left="0.11811023622047245" right="0.11811023622047245" top="1.1417322834645669" bottom="0.74803149606299213" header="0.31496062992125984" footer="0.31496062992125984"/>
  <pageSetup scale="36" orientation="landscape" horizontalDpi="1200" verticalDpi="1200" r:id="rId1"/>
  <headerFooter>
    <oddHeader>&amp;L&amp;G&amp;C
&amp;"-,Negrita"Matriz de Riesgos</oddHeader>
  </headerFooter>
  <rowBreaks count="1" manualBreakCount="1">
    <brk id="17" max="16383" man="1"/>
  </rowBreaks>
  <colBreaks count="1" manualBreakCount="1">
    <brk id="12" max="1048575" man="1"/>
  </colBreaks>
  <drawing r:id="rId2"/>
  <legacyDrawingHF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X8"/>
  <sheetViews>
    <sheetView showGridLines="0" workbookViewId="0">
      <selection sqref="A1:C2"/>
    </sheetView>
  </sheetViews>
  <sheetFormatPr baseColWidth="10" defaultRowHeight="54" customHeight="1" x14ac:dyDescent="0.2"/>
  <cols>
    <col min="1" max="1" width="3.625" style="534" customWidth="1"/>
    <col min="2" max="2" width="26.625" style="534" customWidth="1"/>
    <col min="3" max="3" width="38.875" style="534" customWidth="1"/>
    <col min="4" max="4" width="38.5" style="534" customWidth="1"/>
    <col min="5" max="5" width="20.5" style="534" customWidth="1"/>
    <col min="6" max="6" width="25.875" style="534" customWidth="1"/>
    <col min="7" max="7" width="23" style="534" customWidth="1"/>
    <col min="8" max="10" width="19.375" style="534" customWidth="1"/>
    <col min="11" max="11" width="18.25" style="541" customWidth="1"/>
    <col min="12" max="12" width="41.625" style="534" customWidth="1"/>
    <col min="13" max="13" width="27.25" style="534" customWidth="1"/>
    <col min="14" max="15" width="10.75" style="534" customWidth="1"/>
    <col min="16" max="16" width="27.25" style="534" customWidth="1"/>
    <col min="17" max="22" width="25.75" style="534" customWidth="1"/>
    <col min="23" max="23" width="33.5" style="534" customWidth="1"/>
    <col min="24" max="24" width="45.625" style="534" customWidth="1"/>
    <col min="25" max="16384" width="11" style="534"/>
  </cols>
  <sheetData>
    <row r="1" spans="1:24" ht="54" customHeight="1" x14ac:dyDescent="0.2">
      <c r="A1" s="1179"/>
      <c r="B1" s="1179"/>
      <c r="C1" s="1179"/>
      <c r="D1" s="1180" t="s">
        <v>314</v>
      </c>
      <c r="E1" s="1181"/>
      <c r="F1" s="1181"/>
      <c r="G1" s="1181"/>
      <c r="H1" s="1181"/>
      <c r="I1" s="1181"/>
      <c r="J1" s="1181"/>
      <c r="K1" s="1181"/>
      <c r="L1" s="1181"/>
      <c r="M1" s="1181"/>
      <c r="N1" s="1181"/>
      <c r="O1" s="1181"/>
      <c r="P1" s="1181"/>
      <c r="Q1" s="1181"/>
      <c r="R1" s="1181"/>
      <c r="S1" s="1181"/>
      <c r="T1" s="1181"/>
      <c r="U1" s="1181"/>
      <c r="V1" s="1182"/>
      <c r="W1" s="532" t="s">
        <v>315</v>
      </c>
      <c r="X1" s="533"/>
    </row>
    <row r="2" spans="1:24" ht="54" customHeight="1" x14ac:dyDescent="0.2">
      <c r="A2" s="1179"/>
      <c r="B2" s="1179"/>
      <c r="C2" s="1179"/>
      <c r="D2" s="1183"/>
      <c r="E2" s="1184"/>
      <c r="F2" s="1184"/>
      <c r="G2" s="1184"/>
      <c r="H2" s="1184"/>
      <c r="I2" s="1184"/>
      <c r="J2" s="1184"/>
      <c r="K2" s="1184"/>
      <c r="L2" s="1184"/>
      <c r="M2" s="1184"/>
      <c r="N2" s="1184"/>
      <c r="O2" s="1184"/>
      <c r="P2" s="1184"/>
      <c r="Q2" s="1184"/>
      <c r="R2" s="1184"/>
      <c r="S2" s="1184"/>
      <c r="T2" s="1184"/>
      <c r="U2" s="1184"/>
      <c r="V2" s="1185"/>
      <c r="W2" s="532" t="s">
        <v>316</v>
      </c>
      <c r="X2" s="533"/>
    </row>
    <row r="3" spans="1:24" ht="54" customHeight="1" x14ac:dyDescent="0.2">
      <c r="A3" s="1186" t="s">
        <v>57</v>
      </c>
      <c r="B3" s="1187"/>
      <c r="C3" s="1187"/>
      <c r="D3" s="1187"/>
      <c r="E3" s="1187"/>
      <c r="F3" s="1187"/>
      <c r="G3" s="1188"/>
      <c r="H3" s="1189"/>
      <c r="I3" s="1189"/>
      <c r="J3" s="1189"/>
      <c r="K3" s="1189"/>
      <c r="L3" s="1190" t="s">
        <v>60</v>
      </c>
      <c r="M3" s="1189"/>
      <c r="N3" s="1189"/>
      <c r="O3" s="1189"/>
      <c r="P3" s="1191"/>
      <c r="Q3" s="1192" t="s">
        <v>61</v>
      </c>
      <c r="R3" s="1193"/>
      <c r="S3" s="1193"/>
      <c r="T3" s="1193"/>
      <c r="U3" s="1193"/>
      <c r="V3" s="1194"/>
      <c r="W3" s="535" t="s">
        <v>62</v>
      </c>
      <c r="X3" s="535" t="s">
        <v>63</v>
      </c>
    </row>
    <row r="4" spans="1:24" s="541" customFormat="1" ht="54" customHeight="1" x14ac:dyDescent="0.2">
      <c r="A4" s="536" t="s">
        <v>44</v>
      </c>
      <c r="B4" s="537" t="s">
        <v>64</v>
      </c>
      <c r="C4" s="537" t="s">
        <v>65</v>
      </c>
      <c r="D4" s="537" t="s">
        <v>317</v>
      </c>
      <c r="E4" s="537" t="s">
        <v>68</v>
      </c>
      <c r="F4" s="537" t="s">
        <v>69</v>
      </c>
      <c r="G4" s="538" t="s">
        <v>71</v>
      </c>
      <c r="H4" s="537" t="s">
        <v>81</v>
      </c>
      <c r="I4" s="537" t="s">
        <v>82</v>
      </c>
      <c r="J4" s="537" t="s">
        <v>83</v>
      </c>
      <c r="K4" s="539" t="s">
        <v>84</v>
      </c>
      <c r="L4" s="536" t="s">
        <v>85</v>
      </c>
      <c r="M4" s="537" t="s">
        <v>86</v>
      </c>
      <c r="N4" s="537" t="s">
        <v>87</v>
      </c>
      <c r="O4" s="537" t="s">
        <v>88</v>
      </c>
      <c r="P4" s="538" t="s">
        <v>89</v>
      </c>
      <c r="Q4" s="536" t="s">
        <v>90</v>
      </c>
      <c r="R4" s="537" t="s">
        <v>91</v>
      </c>
      <c r="S4" s="537" t="s">
        <v>92</v>
      </c>
      <c r="T4" s="537" t="s">
        <v>91</v>
      </c>
      <c r="U4" s="537" t="s">
        <v>93</v>
      </c>
      <c r="V4" s="538" t="s">
        <v>91</v>
      </c>
      <c r="W4" s="540" t="s">
        <v>94</v>
      </c>
      <c r="X4" s="540" t="s">
        <v>95</v>
      </c>
    </row>
    <row r="5" spans="1:24" ht="123" customHeight="1" x14ac:dyDescent="0.2">
      <c r="A5" s="1308">
        <v>1</v>
      </c>
      <c r="B5" s="1309" t="s">
        <v>428</v>
      </c>
      <c r="C5" s="1310" t="s">
        <v>430</v>
      </c>
      <c r="D5" s="1310" t="s">
        <v>431</v>
      </c>
      <c r="E5" s="1311" t="s">
        <v>211</v>
      </c>
      <c r="F5" s="1306" t="s">
        <v>226</v>
      </c>
      <c r="G5" s="1313" t="s">
        <v>151</v>
      </c>
      <c r="H5" s="1315" t="s">
        <v>318</v>
      </c>
      <c r="I5" s="1315" t="s">
        <v>226</v>
      </c>
      <c r="J5" s="1316" t="s">
        <v>152</v>
      </c>
      <c r="K5" s="1306" t="s">
        <v>202</v>
      </c>
      <c r="L5" s="549" t="s">
        <v>442</v>
      </c>
      <c r="M5" s="550" t="s">
        <v>443</v>
      </c>
      <c r="N5" s="551">
        <v>44197</v>
      </c>
      <c r="O5" s="551">
        <v>44561</v>
      </c>
      <c r="P5" s="552" t="s">
        <v>444</v>
      </c>
      <c r="Q5" s="553"/>
      <c r="R5" s="553"/>
      <c r="S5" s="553"/>
      <c r="T5" s="553"/>
      <c r="U5" s="553"/>
      <c r="V5" s="553"/>
      <c r="W5" s="553"/>
      <c r="X5" s="553"/>
    </row>
    <row r="6" spans="1:24" ht="123" customHeight="1" x14ac:dyDescent="0.2">
      <c r="A6" s="1308"/>
      <c r="B6" s="1309"/>
      <c r="C6" s="1310"/>
      <c r="D6" s="1310"/>
      <c r="E6" s="1312"/>
      <c r="F6" s="1307"/>
      <c r="G6" s="1314"/>
      <c r="H6" s="1315"/>
      <c r="I6" s="1315"/>
      <c r="J6" s="1316"/>
      <c r="K6" s="1317"/>
      <c r="L6" s="549" t="s">
        <v>447</v>
      </c>
      <c r="M6" s="550" t="s">
        <v>443</v>
      </c>
      <c r="N6" s="551">
        <v>44197</v>
      </c>
      <c r="O6" s="551">
        <v>44561</v>
      </c>
      <c r="P6" s="552" t="s">
        <v>448</v>
      </c>
      <c r="Q6" s="553"/>
      <c r="R6" s="553"/>
      <c r="S6" s="553"/>
      <c r="T6" s="553"/>
      <c r="U6" s="553"/>
      <c r="V6" s="553"/>
      <c r="W6" s="553"/>
      <c r="X6" s="553"/>
    </row>
    <row r="7" spans="1:24" ht="123" customHeight="1" x14ac:dyDescent="0.2">
      <c r="A7" s="542">
        <v>2</v>
      </c>
      <c r="B7" s="596" t="s">
        <v>432</v>
      </c>
      <c r="C7" s="596" t="s">
        <v>434</v>
      </c>
      <c r="D7" s="304" t="s">
        <v>435</v>
      </c>
      <c r="E7" s="556" t="s">
        <v>237</v>
      </c>
      <c r="F7" s="556" t="s">
        <v>199</v>
      </c>
      <c r="G7" s="597" t="s">
        <v>149</v>
      </c>
      <c r="H7" s="547" t="s">
        <v>318</v>
      </c>
      <c r="I7" s="547" t="s">
        <v>204</v>
      </c>
      <c r="J7" s="548" t="s">
        <v>151</v>
      </c>
      <c r="K7" s="598" t="s">
        <v>202</v>
      </c>
      <c r="L7" s="549" t="s">
        <v>461</v>
      </c>
      <c r="M7" s="550" t="s">
        <v>443</v>
      </c>
      <c r="N7" s="551">
        <v>44197</v>
      </c>
      <c r="O7" s="551">
        <v>44561</v>
      </c>
      <c r="P7" s="552" t="s">
        <v>444</v>
      </c>
      <c r="Q7" s="553"/>
      <c r="R7" s="553"/>
      <c r="S7" s="553"/>
      <c r="T7" s="553"/>
      <c r="U7" s="553"/>
      <c r="V7" s="553"/>
      <c r="W7" s="553"/>
      <c r="X7" s="553"/>
    </row>
    <row r="8" spans="1:24" ht="123" customHeight="1" x14ac:dyDescent="0.2">
      <c r="A8" s="542">
        <v>3</v>
      </c>
      <c r="B8" s="599" t="s">
        <v>436</v>
      </c>
      <c r="C8" s="596" t="s">
        <v>438</v>
      </c>
      <c r="D8" s="304" t="s">
        <v>439</v>
      </c>
      <c r="E8" s="546" t="s">
        <v>211</v>
      </c>
      <c r="F8" s="546" t="s">
        <v>199</v>
      </c>
      <c r="G8" s="600" t="s">
        <v>150</v>
      </c>
      <c r="H8" s="547" t="s">
        <v>318</v>
      </c>
      <c r="I8" s="547" t="s">
        <v>226</v>
      </c>
      <c r="J8" s="548" t="s">
        <v>152</v>
      </c>
      <c r="K8" s="598" t="s">
        <v>202</v>
      </c>
      <c r="L8" s="552" t="s">
        <v>470</v>
      </c>
      <c r="M8" s="550" t="s">
        <v>443</v>
      </c>
      <c r="N8" s="551">
        <v>44197</v>
      </c>
      <c r="O8" s="551">
        <v>44561</v>
      </c>
      <c r="P8" s="552" t="s">
        <v>471</v>
      </c>
      <c r="Q8" s="559"/>
      <c r="R8" s="559"/>
      <c r="S8" s="559"/>
      <c r="T8" s="559"/>
      <c r="U8" s="559"/>
      <c r="V8" s="559"/>
      <c r="W8" s="559"/>
      <c r="X8" s="559"/>
    </row>
  </sheetData>
  <mergeCells count="17">
    <mergeCell ref="K5:K6"/>
    <mergeCell ref="F5:F6"/>
    <mergeCell ref="A1:C2"/>
    <mergeCell ref="D1:V2"/>
    <mergeCell ref="A3:G3"/>
    <mergeCell ref="H3:K3"/>
    <mergeCell ref="L3:P3"/>
    <mergeCell ref="Q3:V3"/>
    <mergeCell ref="A5:A6"/>
    <mergeCell ref="B5:B6"/>
    <mergeCell ref="C5:C6"/>
    <mergeCell ref="D5:D6"/>
    <mergeCell ref="E5:E6"/>
    <mergeCell ref="G5:G6"/>
    <mergeCell ref="H5:H6"/>
    <mergeCell ref="I5:I6"/>
    <mergeCell ref="J5:J6"/>
  </mergeCells>
  <conditionalFormatting sqref="J5 J7:J8">
    <cfRule type="cellIs" dxfId="183" priority="1" operator="equal">
      <formula>"Extremo"</formula>
    </cfRule>
    <cfRule type="cellIs" dxfId="182" priority="2" operator="equal">
      <formula>"Moderado"</formula>
    </cfRule>
    <cfRule type="cellIs" dxfId="181" priority="3" operator="equal">
      <formula>"Bajo"</formula>
    </cfRule>
    <cfRule type="cellIs" dxfId="180" priority="4" operator="equal">
      <formula>"Alto"</formula>
    </cfRule>
  </conditionalFormatting>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993"/>
  <sheetViews>
    <sheetView showGridLines="0" topLeftCell="C1" zoomScale="115" zoomScaleNormal="115" workbookViewId="0">
      <selection activeCell="E9" sqref="E9"/>
    </sheetView>
  </sheetViews>
  <sheetFormatPr baseColWidth="10" defaultColWidth="12.625" defaultRowHeight="15" customHeight="1" x14ac:dyDescent="0.2"/>
  <cols>
    <col min="1" max="2" width="13.25" customWidth="1"/>
    <col min="3" max="3" width="16.875" customWidth="1"/>
    <col min="4" max="4" width="3.625" customWidth="1"/>
    <col min="5" max="5" width="18.375" customWidth="1"/>
    <col min="6" max="6" width="24.125" customWidth="1"/>
    <col min="7" max="7" width="15" customWidth="1"/>
    <col min="8" max="8" width="32.5" customWidth="1"/>
    <col min="9" max="9" width="36.875" customWidth="1"/>
    <col min="10" max="10" width="20.625" customWidth="1"/>
    <col min="11" max="11" width="14.75" customWidth="1"/>
    <col min="12" max="12" width="18.75" customWidth="1"/>
    <col min="13" max="13" width="12.75" customWidth="1"/>
    <col min="14" max="14" width="27.125" customWidth="1"/>
    <col min="15" max="26" width="9.375" customWidth="1"/>
  </cols>
  <sheetData>
    <row r="1" spans="1:14" ht="15" customHeight="1" x14ac:dyDescent="0.2">
      <c r="A1" s="967"/>
      <c r="B1" s="933"/>
      <c r="C1" s="933"/>
      <c r="D1" s="968" t="s">
        <v>0</v>
      </c>
      <c r="E1" s="933"/>
      <c r="F1" s="933"/>
      <c r="G1" s="933"/>
      <c r="H1" s="933"/>
      <c r="I1" s="933"/>
      <c r="J1" s="933"/>
      <c r="K1" s="933"/>
      <c r="L1" s="933"/>
      <c r="M1" s="934"/>
      <c r="N1" s="969" t="s">
        <v>35</v>
      </c>
    </row>
    <row r="2" spans="1:14" ht="15" customHeight="1" x14ac:dyDescent="0.2">
      <c r="A2" s="933"/>
      <c r="B2" s="933"/>
      <c r="C2" s="933"/>
      <c r="D2" s="933"/>
      <c r="E2" s="933"/>
      <c r="F2" s="933"/>
      <c r="G2" s="933"/>
      <c r="H2" s="933"/>
      <c r="I2" s="933"/>
      <c r="J2" s="933"/>
      <c r="K2" s="933"/>
      <c r="L2" s="933"/>
      <c r="M2" s="934"/>
      <c r="N2" s="961"/>
    </row>
    <row r="3" spans="1:14" ht="15" customHeight="1" x14ac:dyDescent="0.2">
      <c r="A3" s="933"/>
      <c r="B3" s="933"/>
      <c r="C3" s="933"/>
      <c r="D3" s="933"/>
      <c r="E3" s="933"/>
      <c r="F3" s="933"/>
      <c r="G3" s="933"/>
      <c r="H3" s="933"/>
      <c r="I3" s="933"/>
      <c r="J3" s="933"/>
      <c r="K3" s="933"/>
      <c r="L3" s="933"/>
      <c r="M3" s="934"/>
      <c r="N3" s="969" t="s">
        <v>2</v>
      </c>
    </row>
    <row r="4" spans="1:14" ht="15" customHeight="1" x14ac:dyDescent="0.2">
      <c r="A4" s="936"/>
      <c r="B4" s="936"/>
      <c r="C4" s="936"/>
      <c r="D4" s="936"/>
      <c r="E4" s="936"/>
      <c r="F4" s="936"/>
      <c r="G4" s="936"/>
      <c r="H4" s="936"/>
      <c r="I4" s="936"/>
      <c r="J4" s="936"/>
      <c r="K4" s="936"/>
      <c r="L4" s="936"/>
      <c r="M4" s="937"/>
      <c r="N4" s="961"/>
    </row>
    <row r="5" spans="1:14" ht="21" x14ac:dyDescent="0.2">
      <c r="A5" s="964" t="s">
        <v>36</v>
      </c>
      <c r="B5" s="951"/>
      <c r="C5" s="952"/>
      <c r="D5" s="970" t="s">
        <v>261</v>
      </c>
      <c r="E5" s="951"/>
      <c r="F5" s="951"/>
      <c r="G5" s="951"/>
      <c r="H5" s="951"/>
      <c r="I5" s="951"/>
      <c r="J5" s="951"/>
      <c r="K5" s="951"/>
      <c r="L5" s="951"/>
      <c r="M5" s="951"/>
      <c r="N5" s="952"/>
    </row>
    <row r="6" spans="1:14" ht="21" x14ac:dyDescent="0.2">
      <c r="A6" s="964" t="s">
        <v>37</v>
      </c>
      <c r="B6" s="951"/>
      <c r="C6" s="952"/>
      <c r="D6" s="971" t="s">
        <v>268</v>
      </c>
      <c r="E6" s="951"/>
      <c r="F6" s="951"/>
      <c r="G6" s="951"/>
      <c r="H6" s="951"/>
      <c r="I6" s="951"/>
      <c r="J6" s="951"/>
      <c r="K6" s="951"/>
      <c r="L6" s="951"/>
      <c r="M6" s="951"/>
      <c r="N6" s="952"/>
    </row>
    <row r="7" spans="1:14" x14ac:dyDescent="0.25">
      <c r="A7" s="965" t="s">
        <v>38</v>
      </c>
      <c r="B7" s="951"/>
      <c r="C7" s="952"/>
      <c r="D7" s="966" t="s">
        <v>39</v>
      </c>
      <c r="E7" s="951"/>
      <c r="F7" s="951"/>
      <c r="G7" s="951"/>
      <c r="H7" s="951"/>
      <c r="I7" s="952"/>
      <c r="J7" s="965" t="s">
        <v>40</v>
      </c>
      <c r="K7" s="951"/>
      <c r="L7" s="951"/>
      <c r="M7" s="951"/>
      <c r="N7" s="952"/>
    </row>
    <row r="8" spans="1:14" ht="36" x14ac:dyDescent="0.2">
      <c r="A8" s="16" t="s">
        <v>41</v>
      </c>
      <c r="B8" s="16" t="s">
        <v>42</v>
      </c>
      <c r="C8" s="16" t="s">
        <v>43</v>
      </c>
      <c r="D8" s="16" t="s">
        <v>44</v>
      </c>
      <c r="E8" s="16" t="s">
        <v>45</v>
      </c>
      <c r="F8" s="16" t="s">
        <v>46</v>
      </c>
      <c r="G8" s="16" t="s">
        <v>47</v>
      </c>
      <c r="H8" s="16" t="s">
        <v>48</v>
      </c>
      <c r="I8" s="16" t="s">
        <v>49</v>
      </c>
      <c r="J8" s="17" t="s">
        <v>50</v>
      </c>
      <c r="K8" s="17" t="s">
        <v>51</v>
      </c>
      <c r="L8" s="17" t="s">
        <v>52</v>
      </c>
      <c r="M8" s="17" t="s">
        <v>53</v>
      </c>
      <c r="N8" s="17" t="s">
        <v>54</v>
      </c>
    </row>
    <row r="9" spans="1:14" ht="144.6" customHeight="1" x14ac:dyDescent="0.2">
      <c r="A9" s="18" t="s">
        <v>243</v>
      </c>
      <c r="B9" s="102" t="s">
        <v>248</v>
      </c>
      <c r="C9" s="19" t="s">
        <v>178</v>
      </c>
      <c r="D9" s="20">
        <v>1</v>
      </c>
      <c r="E9" s="22" t="s">
        <v>264</v>
      </c>
      <c r="F9" s="22" t="s">
        <v>265</v>
      </c>
      <c r="G9" s="21" t="s">
        <v>246</v>
      </c>
      <c r="H9" s="119" t="s">
        <v>276</v>
      </c>
      <c r="I9" s="99" t="s">
        <v>259</v>
      </c>
      <c r="J9" s="21" t="s">
        <v>122</v>
      </c>
      <c r="K9" s="21" t="s">
        <v>122</v>
      </c>
      <c r="L9" s="21" t="s">
        <v>263</v>
      </c>
      <c r="M9" s="21" t="s">
        <v>263</v>
      </c>
      <c r="N9" s="23" t="str">
        <f t="shared" ref="N9:N11" si="0">IF(COUNTIF(J9:M9,"SI")=4,"Riesgo de Corrupción","No es Riesgo de Corrupción")</f>
        <v>No es Riesgo de Corrupción</v>
      </c>
    </row>
    <row r="10" spans="1:14" ht="123.75" customHeight="1" x14ac:dyDescent="0.2">
      <c r="A10" s="18" t="s">
        <v>205</v>
      </c>
      <c r="B10" s="18" t="s">
        <v>219</v>
      </c>
      <c r="C10" s="18" t="s">
        <v>178</v>
      </c>
      <c r="D10" s="20">
        <v>2</v>
      </c>
      <c r="E10" s="22" t="s">
        <v>262</v>
      </c>
      <c r="F10" s="22" t="s">
        <v>266</v>
      </c>
      <c r="G10" s="21" t="s">
        <v>252</v>
      </c>
      <c r="H10" s="119" t="s">
        <v>298</v>
      </c>
      <c r="I10" s="119" t="s">
        <v>267</v>
      </c>
      <c r="J10" s="21" t="s">
        <v>122</v>
      </c>
      <c r="K10" s="21" t="s">
        <v>122</v>
      </c>
      <c r="L10" s="21" t="s">
        <v>122</v>
      </c>
      <c r="M10" s="21" t="s">
        <v>122</v>
      </c>
      <c r="N10" s="23" t="str">
        <f t="shared" si="0"/>
        <v>Riesgo de Corrupción</v>
      </c>
    </row>
    <row r="11" spans="1:14" ht="153" x14ac:dyDescent="0.2">
      <c r="A11" s="18" t="s">
        <v>243</v>
      </c>
      <c r="B11" s="18" t="s">
        <v>192</v>
      </c>
      <c r="C11" s="18" t="s">
        <v>220</v>
      </c>
      <c r="D11" s="20">
        <v>3</v>
      </c>
      <c r="E11" s="22" t="s">
        <v>284</v>
      </c>
      <c r="F11" s="22" t="s">
        <v>269</v>
      </c>
      <c r="G11" s="21" t="s">
        <v>208</v>
      </c>
      <c r="H11" s="119" t="s">
        <v>297</v>
      </c>
      <c r="I11" s="99" t="s">
        <v>260</v>
      </c>
      <c r="J11" s="21" t="s">
        <v>122</v>
      </c>
      <c r="K11" s="21" t="s">
        <v>122</v>
      </c>
      <c r="L11" s="21" t="s">
        <v>122</v>
      </c>
      <c r="M11" s="21" t="s">
        <v>263</v>
      </c>
      <c r="N11" s="23" t="str">
        <f t="shared" si="0"/>
        <v>No es Riesgo de Corrupción</v>
      </c>
    </row>
    <row r="12" spans="1:14" x14ac:dyDescent="0.2">
      <c r="D12" s="24"/>
    </row>
    <row r="13" spans="1:14" x14ac:dyDescent="0.2">
      <c r="D13" s="24"/>
    </row>
    <row r="14" spans="1:14" ht="15.75" customHeight="1" x14ac:dyDescent="0.2">
      <c r="D14" s="24"/>
      <c r="G14" s="101"/>
    </row>
    <row r="15" spans="1:14" ht="15.75" customHeight="1" x14ac:dyDescent="0.2">
      <c r="D15" s="24"/>
    </row>
    <row r="16" spans="1:14" ht="15.75" customHeight="1" x14ac:dyDescent="0.2">
      <c r="D16" s="24"/>
    </row>
    <row r="17" spans="4:4" ht="15.75" customHeight="1" x14ac:dyDescent="0.2">
      <c r="D17" s="24"/>
    </row>
    <row r="18" spans="4:4" ht="15.75" customHeight="1" x14ac:dyDescent="0.2">
      <c r="D18" s="24"/>
    </row>
    <row r="19" spans="4:4" ht="15.75" customHeight="1" x14ac:dyDescent="0.2">
      <c r="D19" s="24"/>
    </row>
    <row r="20" spans="4:4" ht="15.75" customHeight="1" x14ac:dyDescent="0.2">
      <c r="D20" s="24"/>
    </row>
    <row r="21" spans="4:4" ht="15.75" customHeight="1" x14ac:dyDescent="0.2">
      <c r="D21" s="24"/>
    </row>
    <row r="22" spans="4:4" ht="15.75" customHeight="1" x14ac:dyDescent="0.2">
      <c r="D22" s="24"/>
    </row>
    <row r="23" spans="4:4" ht="15.75" customHeight="1" x14ac:dyDescent="0.2">
      <c r="D23" s="24"/>
    </row>
    <row r="24" spans="4:4" ht="15.75" customHeight="1" x14ac:dyDescent="0.2">
      <c r="D24" s="24"/>
    </row>
    <row r="25" spans="4:4" ht="15.75" customHeight="1" x14ac:dyDescent="0.2">
      <c r="D25" s="24"/>
    </row>
    <row r="26" spans="4:4" ht="15.75" customHeight="1" x14ac:dyDescent="0.2">
      <c r="D26" s="24"/>
    </row>
    <row r="27" spans="4:4" ht="15.75" customHeight="1" x14ac:dyDescent="0.2">
      <c r="D27" s="24"/>
    </row>
    <row r="28" spans="4:4" ht="15.75" customHeight="1" x14ac:dyDescent="0.2">
      <c r="D28" s="24"/>
    </row>
    <row r="29" spans="4:4" ht="15.75" customHeight="1" x14ac:dyDescent="0.2">
      <c r="D29" s="24"/>
    </row>
    <row r="30" spans="4:4" ht="15.75" customHeight="1" x14ac:dyDescent="0.2">
      <c r="D30" s="24"/>
    </row>
    <row r="31" spans="4:4" ht="15.75" customHeight="1" x14ac:dyDescent="0.2">
      <c r="D31" s="24"/>
    </row>
    <row r="32" spans="4:4" ht="15.75" customHeight="1" x14ac:dyDescent="0.2">
      <c r="D32" s="24"/>
    </row>
    <row r="33" spans="4:4" ht="15.75" customHeight="1" x14ac:dyDescent="0.2">
      <c r="D33" s="24"/>
    </row>
    <row r="34" spans="4:4" ht="15.75" customHeight="1" x14ac:dyDescent="0.2">
      <c r="D34" s="24"/>
    </row>
    <row r="35" spans="4:4" ht="15.75" customHeight="1" x14ac:dyDescent="0.2">
      <c r="D35" s="24"/>
    </row>
    <row r="36" spans="4:4" ht="15.75" customHeight="1" x14ac:dyDescent="0.2">
      <c r="D36" s="24"/>
    </row>
    <row r="37" spans="4:4" ht="15.75" customHeight="1" x14ac:dyDescent="0.2">
      <c r="D37" s="24"/>
    </row>
    <row r="38" spans="4:4" ht="15.75" customHeight="1" x14ac:dyDescent="0.2">
      <c r="D38" s="24"/>
    </row>
    <row r="39" spans="4:4" ht="15.75" customHeight="1" x14ac:dyDescent="0.2">
      <c r="D39" s="24"/>
    </row>
    <row r="40" spans="4:4" ht="15.75" customHeight="1" x14ac:dyDescent="0.2">
      <c r="D40" s="24"/>
    </row>
    <row r="41" spans="4:4" ht="15.75" customHeight="1" x14ac:dyDescent="0.2">
      <c r="D41" s="24"/>
    </row>
    <row r="42" spans="4:4" ht="15.75" customHeight="1" x14ac:dyDescent="0.2">
      <c r="D42" s="24"/>
    </row>
    <row r="43" spans="4:4" ht="15.75" customHeight="1" x14ac:dyDescent="0.2">
      <c r="D43" s="24"/>
    </row>
    <row r="44" spans="4:4" ht="15.75" customHeight="1" x14ac:dyDescent="0.2">
      <c r="D44" s="24"/>
    </row>
    <row r="45" spans="4:4" ht="15.75" customHeight="1" x14ac:dyDescent="0.2">
      <c r="D45" s="24"/>
    </row>
    <row r="46" spans="4:4" ht="15.75" customHeight="1" x14ac:dyDescent="0.2">
      <c r="D46" s="24"/>
    </row>
    <row r="47" spans="4:4" ht="15.75" customHeight="1" x14ac:dyDescent="0.2">
      <c r="D47" s="24"/>
    </row>
    <row r="48" spans="4:4" ht="15.75" customHeight="1" x14ac:dyDescent="0.2">
      <c r="D48" s="24"/>
    </row>
    <row r="49" spans="4:4" ht="15.75" customHeight="1" x14ac:dyDescent="0.2">
      <c r="D49" s="24"/>
    </row>
    <row r="50" spans="4:4" ht="15.75" customHeight="1" x14ac:dyDescent="0.2">
      <c r="D50" s="24"/>
    </row>
    <row r="51" spans="4:4" ht="15.75" customHeight="1" x14ac:dyDescent="0.2">
      <c r="D51" s="24"/>
    </row>
    <row r="52" spans="4:4" ht="15.75" customHeight="1" x14ac:dyDescent="0.2">
      <c r="D52" s="24"/>
    </row>
    <row r="53" spans="4:4" ht="15.75" customHeight="1" x14ac:dyDescent="0.2">
      <c r="D53" s="24"/>
    </row>
    <row r="54" spans="4:4" ht="15.75" customHeight="1" x14ac:dyDescent="0.2">
      <c r="D54" s="24"/>
    </row>
    <row r="55" spans="4:4" ht="15.75" customHeight="1" x14ac:dyDescent="0.2">
      <c r="D55" s="24"/>
    </row>
    <row r="56" spans="4:4" ht="15.75" customHeight="1" x14ac:dyDescent="0.2">
      <c r="D56" s="24"/>
    </row>
    <row r="57" spans="4:4" ht="15.75" customHeight="1" x14ac:dyDescent="0.2">
      <c r="D57" s="24"/>
    </row>
    <row r="58" spans="4:4" ht="15.75" customHeight="1" x14ac:dyDescent="0.2">
      <c r="D58" s="24"/>
    </row>
    <row r="59" spans="4:4" ht="15.75" customHeight="1" x14ac:dyDescent="0.2">
      <c r="D59" s="24"/>
    </row>
    <row r="60" spans="4:4" ht="15.75" customHeight="1" x14ac:dyDescent="0.2">
      <c r="D60" s="24"/>
    </row>
    <row r="61" spans="4:4" ht="15.75" customHeight="1" x14ac:dyDescent="0.2">
      <c r="D61" s="24"/>
    </row>
    <row r="62" spans="4:4" ht="15.75" customHeight="1" x14ac:dyDescent="0.2">
      <c r="D62" s="24"/>
    </row>
    <row r="63" spans="4:4" ht="15.75" customHeight="1" x14ac:dyDescent="0.2">
      <c r="D63" s="24"/>
    </row>
    <row r="64" spans="4:4" ht="15.75" customHeight="1" x14ac:dyDescent="0.2">
      <c r="D64" s="24"/>
    </row>
    <row r="65" spans="4:4" ht="15.75" customHeight="1" x14ac:dyDescent="0.2">
      <c r="D65" s="24"/>
    </row>
    <row r="66" spans="4:4" ht="15.75" customHeight="1" x14ac:dyDescent="0.2">
      <c r="D66" s="24"/>
    </row>
    <row r="67" spans="4:4" ht="15.75" customHeight="1" x14ac:dyDescent="0.2">
      <c r="D67" s="24"/>
    </row>
    <row r="68" spans="4:4" ht="15.75" customHeight="1" x14ac:dyDescent="0.2">
      <c r="D68" s="24"/>
    </row>
    <row r="69" spans="4:4" ht="15.75" customHeight="1" x14ac:dyDescent="0.2">
      <c r="D69" s="24"/>
    </row>
    <row r="70" spans="4:4" ht="15.75" customHeight="1" x14ac:dyDescent="0.2">
      <c r="D70" s="24"/>
    </row>
    <row r="71" spans="4:4" ht="15.75" customHeight="1" x14ac:dyDescent="0.2">
      <c r="D71" s="24"/>
    </row>
    <row r="72" spans="4:4" ht="15.75" customHeight="1" x14ac:dyDescent="0.2">
      <c r="D72" s="24"/>
    </row>
    <row r="73" spans="4:4" ht="15.75" customHeight="1" x14ac:dyDescent="0.2">
      <c r="D73" s="24"/>
    </row>
    <row r="74" spans="4:4" ht="15.75" customHeight="1" x14ac:dyDescent="0.2">
      <c r="D74" s="24"/>
    </row>
    <row r="75" spans="4:4" ht="15.75" customHeight="1" x14ac:dyDescent="0.2">
      <c r="D75" s="24"/>
    </row>
    <row r="76" spans="4:4" ht="15.75" customHeight="1" x14ac:dyDescent="0.2">
      <c r="D76" s="24"/>
    </row>
    <row r="77" spans="4:4" ht="15.75" customHeight="1" x14ac:dyDescent="0.2">
      <c r="D77" s="24"/>
    </row>
    <row r="78" spans="4:4" ht="15.75" customHeight="1" x14ac:dyDescent="0.2">
      <c r="D78" s="24"/>
    </row>
    <row r="79" spans="4:4" ht="15.75" customHeight="1" x14ac:dyDescent="0.2">
      <c r="D79" s="24"/>
    </row>
    <row r="80" spans="4:4" ht="15.75" customHeight="1" x14ac:dyDescent="0.2">
      <c r="D80" s="24"/>
    </row>
    <row r="81" spans="4:4" ht="15.75" customHeight="1" x14ac:dyDescent="0.2">
      <c r="D81" s="24"/>
    </row>
    <row r="82" spans="4:4" ht="15.75" customHeight="1" x14ac:dyDescent="0.2">
      <c r="D82" s="24"/>
    </row>
    <row r="83" spans="4:4" ht="15.75" customHeight="1" x14ac:dyDescent="0.2">
      <c r="D83" s="24"/>
    </row>
    <row r="84" spans="4:4" ht="15.75" customHeight="1" x14ac:dyDescent="0.2">
      <c r="D84" s="24"/>
    </row>
    <row r="85" spans="4:4" ht="15.75" customHeight="1" x14ac:dyDescent="0.2">
      <c r="D85" s="24"/>
    </row>
    <row r="86" spans="4:4" ht="15.75" customHeight="1" x14ac:dyDescent="0.2">
      <c r="D86" s="24"/>
    </row>
    <row r="87" spans="4:4" ht="15.75" customHeight="1" x14ac:dyDescent="0.2">
      <c r="D87" s="24"/>
    </row>
    <row r="88" spans="4:4" ht="15.75" customHeight="1" x14ac:dyDescent="0.2">
      <c r="D88" s="24"/>
    </row>
    <row r="89" spans="4:4" ht="15.75" customHeight="1" x14ac:dyDescent="0.2">
      <c r="D89" s="24"/>
    </row>
    <row r="90" spans="4:4" ht="15.75" customHeight="1" x14ac:dyDescent="0.2">
      <c r="D90" s="24"/>
    </row>
    <row r="91" spans="4:4" ht="15.75" customHeight="1" x14ac:dyDescent="0.2">
      <c r="D91" s="24"/>
    </row>
    <row r="92" spans="4:4" ht="15.75" customHeight="1" x14ac:dyDescent="0.2">
      <c r="D92" s="24"/>
    </row>
    <row r="93" spans="4:4" ht="15.75" customHeight="1" x14ac:dyDescent="0.2">
      <c r="D93" s="24"/>
    </row>
    <row r="94" spans="4:4" ht="15.75" customHeight="1" x14ac:dyDescent="0.2">
      <c r="D94" s="24"/>
    </row>
    <row r="95" spans="4:4" ht="15.75" customHeight="1" x14ac:dyDescent="0.2">
      <c r="D95" s="24"/>
    </row>
    <row r="96" spans="4:4" ht="15.75" customHeight="1" x14ac:dyDescent="0.2">
      <c r="D96" s="24"/>
    </row>
    <row r="97" spans="4:4" ht="15.75" customHeight="1" x14ac:dyDescent="0.2">
      <c r="D97" s="24"/>
    </row>
    <row r="98" spans="4:4" ht="15.75" customHeight="1" x14ac:dyDescent="0.2">
      <c r="D98" s="24"/>
    </row>
    <row r="99" spans="4:4" ht="15.75" customHeight="1" x14ac:dyDescent="0.2">
      <c r="D99" s="24"/>
    </row>
    <row r="100" spans="4:4" ht="15.75" customHeight="1" x14ac:dyDescent="0.2">
      <c r="D100" s="24"/>
    </row>
    <row r="101" spans="4:4" ht="15.75" customHeight="1" x14ac:dyDescent="0.2">
      <c r="D101" s="24"/>
    </row>
    <row r="102" spans="4:4" ht="15.75" customHeight="1" x14ac:dyDescent="0.2">
      <c r="D102" s="24"/>
    </row>
    <row r="103" spans="4:4" ht="15.75" customHeight="1" x14ac:dyDescent="0.2">
      <c r="D103" s="24"/>
    </row>
    <row r="104" spans="4:4" ht="15.75" customHeight="1" x14ac:dyDescent="0.2">
      <c r="D104" s="24"/>
    </row>
    <row r="105" spans="4:4" ht="15.75" customHeight="1" x14ac:dyDescent="0.2">
      <c r="D105" s="24"/>
    </row>
    <row r="106" spans="4:4" ht="15.75" customHeight="1" x14ac:dyDescent="0.2">
      <c r="D106" s="24"/>
    </row>
    <row r="107" spans="4:4" ht="15.75" customHeight="1" x14ac:dyDescent="0.2">
      <c r="D107" s="24"/>
    </row>
    <row r="108" spans="4:4" ht="15.75" customHeight="1" x14ac:dyDescent="0.2">
      <c r="D108" s="24"/>
    </row>
    <row r="109" spans="4:4" ht="15.75" customHeight="1" x14ac:dyDescent="0.2">
      <c r="D109" s="24"/>
    </row>
    <row r="110" spans="4:4" ht="15.75" customHeight="1" x14ac:dyDescent="0.2">
      <c r="D110" s="24"/>
    </row>
    <row r="111" spans="4:4" ht="15.75" customHeight="1" x14ac:dyDescent="0.2">
      <c r="D111" s="24"/>
    </row>
    <row r="112" spans="4:4" ht="15.75" customHeight="1" x14ac:dyDescent="0.2">
      <c r="D112" s="24"/>
    </row>
    <row r="113" spans="4:4" ht="15.75" customHeight="1" x14ac:dyDescent="0.2">
      <c r="D113" s="24"/>
    </row>
    <row r="114" spans="4:4" ht="15.75" customHeight="1" x14ac:dyDescent="0.2">
      <c r="D114" s="24"/>
    </row>
    <row r="115" spans="4:4" ht="15.75" customHeight="1" x14ac:dyDescent="0.2">
      <c r="D115" s="24"/>
    </row>
    <row r="116" spans="4:4" ht="15.75" customHeight="1" x14ac:dyDescent="0.2">
      <c r="D116" s="24"/>
    </row>
    <row r="117" spans="4:4" ht="15.75" customHeight="1" x14ac:dyDescent="0.2">
      <c r="D117" s="24"/>
    </row>
    <row r="118" spans="4:4" ht="15.75" customHeight="1" x14ac:dyDescent="0.2">
      <c r="D118" s="24"/>
    </row>
    <row r="119" spans="4:4" ht="15.75" customHeight="1" x14ac:dyDescent="0.2">
      <c r="D119" s="24"/>
    </row>
    <row r="120" spans="4:4" ht="15.75" customHeight="1" x14ac:dyDescent="0.2">
      <c r="D120" s="24"/>
    </row>
    <row r="121" spans="4:4" ht="15.75" customHeight="1" x14ac:dyDescent="0.2">
      <c r="D121" s="24"/>
    </row>
    <row r="122" spans="4:4" ht="15.75" customHeight="1" x14ac:dyDescent="0.2">
      <c r="D122" s="24"/>
    </row>
    <row r="123" spans="4:4" ht="15.75" customHeight="1" x14ac:dyDescent="0.2">
      <c r="D123" s="24"/>
    </row>
    <row r="124" spans="4:4" ht="15.75" customHeight="1" x14ac:dyDescent="0.2">
      <c r="D124" s="24"/>
    </row>
    <row r="125" spans="4:4" ht="15.75" customHeight="1" x14ac:dyDescent="0.2">
      <c r="D125" s="24"/>
    </row>
    <row r="126" spans="4:4" ht="15.75" customHeight="1" x14ac:dyDescent="0.2">
      <c r="D126" s="24"/>
    </row>
    <row r="127" spans="4:4" ht="15.75" customHeight="1" x14ac:dyDescent="0.2">
      <c r="D127" s="24"/>
    </row>
    <row r="128" spans="4:4" ht="15.75" customHeight="1" x14ac:dyDescent="0.2">
      <c r="D128" s="24"/>
    </row>
    <row r="129" spans="4:4" ht="15.75" customHeight="1" x14ac:dyDescent="0.2">
      <c r="D129" s="24"/>
    </row>
    <row r="130" spans="4:4" ht="15.75" customHeight="1" x14ac:dyDescent="0.2">
      <c r="D130" s="24"/>
    </row>
    <row r="131" spans="4:4" ht="15.75" customHeight="1" x14ac:dyDescent="0.2">
      <c r="D131" s="24"/>
    </row>
    <row r="132" spans="4:4" ht="15.75" customHeight="1" x14ac:dyDescent="0.2">
      <c r="D132" s="24"/>
    </row>
    <row r="133" spans="4:4" ht="15.75" customHeight="1" x14ac:dyDescent="0.2">
      <c r="D133" s="24"/>
    </row>
    <row r="134" spans="4:4" ht="15.75" customHeight="1" x14ac:dyDescent="0.2">
      <c r="D134" s="24"/>
    </row>
    <row r="135" spans="4:4" ht="15.75" customHeight="1" x14ac:dyDescent="0.2">
      <c r="D135" s="24"/>
    </row>
    <row r="136" spans="4:4" ht="15.75" customHeight="1" x14ac:dyDescent="0.2">
      <c r="D136" s="24"/>
    </row>
    <row r="137" spans="4:4" ht="15.75" customHeight="1" x14ac:dyDescent="0.2">
      <c r="D137" s="24"/>
    </row>
    <row r="138" spans="4:4" ht="15.75" customHeight="1" x14ac:dyDescent="0.2">
      <c r="D138" s="24"/>
    </row>
    <row r="139" spans="4:4" ht="15.75" customHeight="1" x14ac:dyDescent="0.2">
      <c r="D139" s="24"/>
    </row>
    <row r="140" spans="4:4" ht="15.75" customHeight="1" x14ac:dyDescent="0.2">
      <c r="D140" s="24"/>
    </row>
    <row r="141" spans="4:4" ht="15.75" customHeight="1" x14ac:dyDescent="0.2">
      <c r="D141" s="24"/>
    </row>
    <row r="142" spans="4:4" ht="15.75" customHeight="1" x14ac:dyDescent="0.2">
      <c r="D142" s="24"/>
    </row>
    <row r="143" spans="4:4" ht="15.75" customHeight="1" x14ac:dyDescent="0.2">
      <c r="D143" s="24"/>
    </row>
    <row r="144" spans="4:4" ht="15.75" customHeight="1" x14ac:dyDescent="0.2">
      <c r="D144" s="24"/>
    </row>
    <row r="145" spans="4:4" ht="15.75" customHeight="1" x14ac:dyDescent="0.2">
      <c r="D145" s="24"/>
    </row>
    <row r="146" spans="4:4" ht="15.75" customHeight="1" x14ac:dyDescent="0.2">
      <c r="D146" s="24"/>
    </row>
    <row r="147" spans="4:4" ht="15.75" customHeight="1" x14ac:dyDescent="0.2">
      <c r="D147" s="24"/>
    </row>
    <row r="148" spans="4:4" ht="15.75" customHeight="1" x14ac:dyDescent="0.2">
      <c r="D148" s="24"/>
    </row>
    <row r="149" spans="4:4" ht="15.75" customHeight="1" x14ac:dyDescent="0.2">
      <c r="D149" s="24"/>
    </row>
    <row r="150" spans="4:4" ht="15.75" customHeight="1" x14ac:dyDescent="0.2">
      <c r="D150" s="24"/>
    </row>
    <row r="151" spans="4:4" ht="15.75" customHeight="1" x14ac:dyDescent="0.2">
      <c r="D151" s="24"/>
    </row>
    <row r="152" spans="4:4" ht="15.75" customHeight="1" x14ac:dyDescent="0.2">
      <c r="D152" s="24"/>
    </row>
    <row r="153" spans="4:4" ht="15.75" customHeight="1" x14ac:dyDescent="0.2">
      <c r="D153" s="24"/>
    </row>
    <row r="154" spans="4:4" ht="15.75" customHeight="1" x14ac:dyDescent="0.2">
      <c r="D154" s="24"/>
    </row>
    <row r="155" spans="4:4" ht="15.75" customHeight="1" x14ac:dyDescent="0.2">
      <c r="D155" s="24"/>
    </row>
    <row r="156" spans="4:4" ht="15.75" customHeight="1" x14ac:dyDescent="0.2">
      <c r="D156" s="24"/>
    </row>
    <row r="157" spans="4:4" ht="15.75" customHeight="1" x14ac:dyDescent="0.2">
      <c r="D157" s="24"/>
    </row>
    <row r="158" spans="4:4" ht="15.75" customHeight="1" x14ac:dyDescent="0.2">
      <c r="D158" s="24"/>
    </row>
    <row r="159" spans="4:4" ht="15.75" customHeight="1" x14ac:dyDescent="0.2">
      <c r="D159" s="24"/>
    </row>
    <row r="160" spans="4:4" ht="15.75" customHeight="1" x14ac:dyDescent="0.2">
      <c r="D160" s="24"/>
    </row>
    <row r="161" spans="4:4" ht="15.75" customHeight="1" x14ac:dyDescent="0.2">
      <c r="D161" s="24"/>
    </row>
    <row r="162" spans="4:4" ht="15.75" customHeight="1" x14ac:dyDescent="0.2">
      <c r="D162" s="24"/>
    </row>
    <row r="163" spans="4:4" ht="15.75" customHeight="1" x14ac:dyDescent="0.2">
      <c r="D163" s="24"/>
    </row>
    <row r="164" spans="4:4" ht="15.75" customHeight="1" x14ac:dyDescent="0.2">
      <c r="D164" s="24"/>
    </row>
    <row r="165" spans="4:4" ht="15.75" customHeight="1" x14ac:dyDescent="0.2">
      <c r="D165" s="24"/>
    </row>
    <row r="166" spans="4:4" ht="15.75" customHeight="1" x14ac:dyDescent="0.2">
      <c r="D166" s="24"/>
    </row>
    <row r="167" spans="4:4" ht="15.75" customHeight="1" x14ac:dyDescent="0.2">
      <c r="D167" s="24"/>
    </row>
    <row r="168" spans="4:4" ht="15.75" customHeight="1" x14ac:dyDescent="0.2">
      <c r="D168" s="24"/>
    </row>
    <row r="169" spans="4:4" ht="15.75" customHeight="1" x14ac:dyDescent="0.2">
      <c r="D169" s="24"/>
    </row>
    <row r="170" spans="4:4" ht="15.75" customHeight="1" x14ac:dyDescent="0.2">
      <c r="D170" s="24"/>
    </row>
    <row r="171" spans="4:4" ht="15.75" customHeight="1" x14ac:dyDescent="0.2">
      <c r="D171" s="24"/>
    </row>
    <row r="172" spans="4:4" ht="15.75" customHeight="1" x14ac:dyDescent="0.2">
      <c r="D172" s="24"/>
    </row>
    <row r="173" spans="4:4" ht="15.75" customHeight="1" x14ac:dyDescent="0.2">
      <c r="D173" s="24"/>
    </row>
    <row r="174" spans="4:4" ht="15.75" customHeight="1" x14ac:dyDescent="0.2">
      <c r="D174" s="24"/>
    </row>
    <row r="175" spans="4:4" ht="15.75" customHeight="1" x14ac:dyDescent="0.2">
      <c r="D175" s="24"/>
    </row>
    <row r="176" spans="4:4" ht="15.75" customHeight="1" x14ac:dyDescent="0.2">
      <c r="D176" s="24"/>
    </row>
    <row r="177" spans="4:4" ht="15.75" customHeight="1" x14ac:dyDescent="0.2">
      <c r="D177" s="24"/>
    </row>
    <row r="178" spans="4:4" ht="15.75" customHeight="1" x14ac:dyDescent="0.2">
      <c r="D178" s="24"/>
    </row>
    <row r="179" spans="4:4" ht="15.75" customHeight="1" x14ac:dyDescent="0.2">
      <c r="D179" s="24"/>
    </row>
    <row r="180" spans="4:4" ht="15.75" customHeight="1" x14ac:dyDescent="0.2">
      <c r="D180" s="24"/>
    </row>
    <row r="181" spans="4:4" ht="15.75" customHeight="1" x14ac:dyDescent="0.2">
      <c r="D181" s="24"/>
    </row>
    <row r="182" spans="4:4" ht="15.75" customHeight="1" x14ac:dyDescent="0.2">
      <c r="D182" s="24"/>
    </row>
    <row r="183" spans="4:4" ht="15.75" customHeight="1" x14ac:dyDescent="0.2">
      <c r="D183" s="24"/>
    </row>
    <row r="184" spans="4:4" ht="15.75" customHeight="1" x14ac:dyDescent="0.2">
      <c r="D184" s="24"/>
    </row>
    <row r="185" spans="4:4" ht="15.75" customHeight="1" x14ac:dyDescent="0.2">
      <c r="D185" s="24"/>
    </row>
    <row r="186" spans="4:4" ht="15.75" customHeight="1" x14ac:dyDescent="0.2">
      <c r="D186" s="24"/>
    </row>
    <row r="187" spans="4:4" ht="15.75" customHeight="1" x14ac:dyDescent="0.2">
      <c r="D187" s="24"/>
    </row>
    <row r="188" spans="4:4" ht="15.75" customHeight="1" x14ac:dyDescent="0.2">
      <c r="D188" s="24"/>
    </row>
    <row r="189" spans="4:4" ht="15.75" customHeight="1" x14ac:dyDescent="0.2">
      <c r="D189" s="24"/>
    </row>
    <row r="190" spans="4:4" ht="15.75" customHeight="1" x14ac:dyDescent="0.2">
      <c r="D190" s="24"/>
    </row>
    <row r="191" spans="4:4" ht="15.75" customHeight="1" x14ac:dyDescent="0.2">
      <c r="D191" s="24"/>
    </row>
    <row r="192" spans="4:4" ht="15.75" customHeight="1" x14ac:dyDescent="0.2">
      <c r="D192" s="24"/>
    </row>
    <row r="193" spans="4:4" ht="15.75" customHeight="1" x14ac:dyDescent="0.2">
      <c r="D193" s="24"/>
    </row>
    <row r="194" spans="4:4" ht="15.75" customHeight="1" x14ac:dyDescent="0.2">
      <c r="D194" s="24"/>
    </row>
    <row r="195" spans="4:4" ht="15.75" customHeight="1" x14ac:dyDescent="0.2">
      <c r="D195" s="24"/>
    </row>
    <row r="196" spans="4:4" ht="15.75" customHeight="1" x14ac:dyDescent="0.2">
      <c r="D196" s="24"/>
    </row>
    <row r="197" spans="4:4" ht="15.75" customHeight="1" x14ac:dyDescent="0.2">
      <c r="D197" s="24"/>
    </row>
    <row r="198" spans="4:4" ht="15.75" customHeight="1" x14ac:dyDescent="0.2">
      <c r="D198" s="24"/>
    </row>
    <row r="199" spans="4:4" ht="15.75" customHeight="1" x14ac:dyDescent="0.2">
      <c r="D199" s="24"/>
    </row>
    <row r="200" spans="4:4" ht="15.75" customHeight="1" x14ac:dyDescent="0.2">
      <c r="D200" s="24"/>
    </row>
    <row r="201" spans="4:4" ht="15.75" customHeight="1" x14ac:dyDescent="0.2">
      <c r="D201" s="24"/>
    </row>
    <row r="202" spans="4:4" ht="15.75" customHeight="1" x14ac:dyDescent="0.2">
      <c r="D202" s="24"/>
    </row>
    <row r="203" spans="4:4" ht="15.75" customHeight="1" x14ac:dyDescent="0.2">
      <c r="D203" s="24"/>
    </row>
    <row r="204" spans="4:4" ht="15.75" customHeight="1" x14ac:dyDescent="0.2">
      <c r="D204" s="24"/>
    </row>
    <row r="205" spans="4:4" ht="15.75" customHeight="1" x14ac:dyDescent="0.2">
      <c r="D205" s="24"/>
    </row>
    <row r="206" spans="4:4" ht="15.75" customHeight="1" x14ac:dyDescent="0.2">
      <c r="D206" s="24"/>
    </row>
    <row r="207" spans="4:4" ht="15.75" customHeight="1" x14ac:dyDescent="0.2">
      <c r="D207" s="24"/>
    </row>
    <row r="208" spans="4:4" ht="15.75" customHeight="1" x14ac:dyDescent="0.2">
      <c r="D208" s="24"/>
    </row>
    <row r="209" spans="4:4" ht="15.75" customHeight="1" x14ac:dyDescent="0.2">
      <c r="D209" s="24"/>
    </row>
    <row r="210" spans="4:4" ht="15.75" customHeight="1" x14ac:dyDescent="0.2">
      <c r="D210" s="24"/>
    </row>
    <row r="211" spans="4:4" ht="15.75" customHeight="1" x14ac:dyDescent="0.2">
      <c r="D211" s="24"/>
    </row>
    <row r="212" spans="4:4" ht="15.75" customHeight="1" x14ac:dyDescent="0.2">
      <c r="D212" s="24"/>
    </row>
    <row r="213" spans="4:4" ht="15.75" customHeight="1" x14ac:dyDescent="0.2">
      <c r="D213" s="24"/>
    </row>
    <row r="214" spans="4:4" ht="15.75" customHeight="1" x14ac:dyDescent="0.2">
      <c r="D214" s="24"/>
    </row>
    <row r="215" spans="4:4" ht="15.75" customHeight="1" x14ac:dyDescent="0.2">
      <c r="D215" s="24"/>
    </row>
    <row r="216" spans="4:4" ht="15.75" customHeight="1" x14ac:dyDescent="0.2">
      <c r="D216" s="24"/>
    </row>
    <row r="217" spans="4:4" ht="15.75" customHeight="1" x14ac:dyDescent="0.2">
      <c r="D217" s="24"/>
    </row>
    <row r="218" spans="4:4" ht="15.75" customHeight="1" x14ac:dyDescent="0.2">
      <c r="D218" s="24"/>
    </row>
    <row r="219" spans="4:4" ht="15.75" customHeight="1" x14ac:dyDescent="0.2">
      <c r="D219" s="24"/>
    </row>
    <row r="220" spans="4:4" ht="15.75" customHeight="1" x14ac:dyDescent="0.2">
      <c r="D220" s="24"/>
    </row>
    <row r="221" spans="4:4" ht="15.75" customHeight="1" x14ac:dyDescent="0.2">
      <c r="D221" s="24"/>
    </row>
    <row r="222" spans="4:4" ht="15.75" customHeight="1" x14ac:dyDescent="0.2">
      <c r="D222" s="24"/>
    </row>
    <row r="223" spans="4:4" ht="15.75" customHeight="1" x14ac:dyDescent="0.2">
      <c r="D223" s="24"/>
    </row>
    <row r="224" spans="4:4" ht="15.75" customHeight="1" x14ac:dyDescent="0.2">
      <c r="D224" s="24"/>
    </row>
    <row r="225" spans="4:4" ht="15.75" customHeight="1" x14ac:dyDescent="0.2">
      <c r="D225" s="24"/>
    </row>
    <row r="226" spans="4:4" ht="15.75" customHeight="1" x14ac:dyDescent="0.2">
      <c r="D226" s="24"/>
    </row>
    <row r="227" spans="4:4" ht="15.75" customHeight="1" x14ac:dyDescent="0.2">
      <c r="D227" s="24"/>
    </row>
    <row r="228" spans="4:4" ht="15.75" customHeight="1" x14ac:dyDescent="0.2">
      <c r="D228" s="24"/>
    </row>
    <row r="229" spans="4:4" ht="15.75" customHeight="1" x14ac:dyDescent="0.2">
      <c r="D229" s="24"/>
    </row>
    <row r="230" spans="4:4" ht="15.75" customHeight="1" x14ac:dyDescent="0.2">
      <c r="D230" s="24"/>
    </row>
    <row r="231" spans="4:4" ht="15.75" customHeight="1" x14ac:dyDescent="0.2">
      <c r="D231" s="24"/>
    </row>
    <row r="232" spans="4:4" ht="15.75" customHeight="1" x14ac:dyDescent="0.2">
      <c r="D232" s="24"/>
    </row>
    <row r="233" spans="4:4" ht="15.75" customHeight="1" x14ac:dyDescent="0.2">
      <c r="D233" s="24"/>
    </row>
    <row r="234" spans="4:4" ht="15.75" customHeight="1" x14ac:dyDescent="0.2">
      <c r="D234" s="24"/>
    </row>
    <row r="235" spans="4:4" ht="15.75" customHeight="1" x14ac:dyDescent="0.2">
      <c r="D235" s="24"/>
    </row>
    <row r="236" spans="4:4" ht="15.75" customHeight="1" x14ac:dyDescent="0.2">
      <c r="D236" s="24"/>
    </row>
    <row r="237" spans="4:4" ht="15.75" customHeight="1" x14ac:dyDescent="0.2">
      <c r="D237" s="24"/>
    </row>
    <row r="238" spans="4:4" ht="15.75" customHeight="1" x14ac:dyDescent="0.2">
      <c r="D238" s="24"/>
    </row>
    <row r="239" spans="4:4" ht="15.75" customHeight="1" x14ac:dyDescent="0.2">
      <c r="D239" s="24"/>
    </row>
    <row r="240" spans="4:4" ht="15.75" customHeight="1" x14ac:dyDescent="0.2">
      <c r="D240" s="24"/>
    </row>
    <row r="241" spans="4:4" ht="15.75" customHeight="1" x14ac:dyDescent="0.2">
      <c r="D241" s="24"/>
    </row>
    <row r="242" spans="4:4" ht="15.75" customHeight="1" x14ac:dyDescent="0.2">
      <c r="D242" s="24"/>
    </row>
    <row r="243" spans="4:4" ht="15.75" customHeight="1" x14ac:dyDescent="0.2">
      <c r="D243" s="24"/>
    </row>
    <row r="244" spans="4:4" ht="15.75" customHeight="1" x14ac:dyDescent="0.2">
      <c r="D244" s="24"/>
    </row>
    <row r="245" spans="4:4" ht="15.75" customHeight="1" x14ac:dyDescent="0.2">
      <c r="D245" s="24"/>
    </row>
    <row r="246" spans="4:4" ht="15.75" customHeight="1" x14ac:dyDescent="0.2">
      <c r="D246" s="24"/>
    </row>
    <row r="247" spans="4:4" ht="15.75" customHeight="1" x14ac:dyDescent="0.2">
      <c r="D247" s="24"/>
    </row>
    <row r="248" spans="4:4" ht="15.75" customHeight="1" x14ac:dyDescent="0.2">
      <c r="D248" s="24"/>
    </row>
    <row r="249" spans="4:4" ht="15.75" customHeight="1" x14ac:dyDescent="0.2">
      <c r="D249" s="24"/>
    </row>
    <row r="250" spans="4:4" ht="15.75" customHeight="1" x14ac:dyDescent="0.2">
      <c r="D250" s="24"/>
    </row>
    <row r="251" spans="4:4" ht="15.75" customHeight="1" x14ac:dyDescent="0.2">
      <c r="D251" s="24"/>
    </row>
    <row r="252" spans="4:4" ht="15.75" customHeight="1" x14ac:dyDescent="0.2">
      <c r="D252" s="24"/>
    </row>
    <row r="253" spans="4:4" ht="15.75" customHeight="1" x14ac:dyDescent="0.2">
      <c r="D253" s="24"/>
    </row>
    <row r="254" spans="4:4" ht="15.75" customHeight="1" x14ac:dyDescent="0.2">
      <c r="D254" s="24"/>
    </row>
    <row r="255" spans="4:4" ht="15.75" customHeight="1" x14ac:dyDescent="0.2">
      <c r="D255" s="24"/>
    </row>
    <row r="256" spans="4:4" ht="15.75" customHeight="1" x14ac:dyDescent="0.2">
      <c r="D256" s="24"/>
    </row>
    <row r="257" spans="4:4" ht="15.75" customHeight="1" x14ac:dyDescent="0.2">
      <c r="D257" s="24"/>
    </row>
    <row r="258" spans="4:4" ht="15.75" customHeight="1" x14ac:dyDescent="0.2">
      <c r="D258" s="24"/>
    </row>
    <row r="259" spans="4:4" ht="15.75" customHeight="1" x14ac:dyDescent="0.2">
      <c r="D259" s="24"/>
    </row>
    <row r="260" spans="4:4" ht="15.75" customHeight="1" x14ac:dyDescent="0.2">
      <c r="D260" s="24"/>
    </row>
    <row r="261" spans="4:4" ht="15.75" customHeight="1" x14ac:dyDescent="0.2">
      <c r="D261" s="24"/>
    </row>
    <row r="262" spans="4:4" ht="15.75" customHeight="1" x14ac:dyDescent="0.2">
      <c r="D262" s="24"/>
    </row>
    <row r="263" spans="4:4" ht="15.75" customHeight="1" x14ac:dyDescent="0.2">
      <c r="D263" s="24"/>
    </row>
    <row r="264" spans="4:4" ht="15.75" customHeight="1" x14ac:dyDescent="0.2">
      <c r="D264" s="24"/>
    </row>
    <row r="265" spans="4:4" ht="15.75" customHeight="1" x14ac:dyDescent="0.2">
      <c r="D265" s="24"/>
    </row>
    <row r="266" spans="4:4" ht="15.75" customHeight="1" x14ac:dyDescent="0.2">
      <c r="D266" s="24"/>
    </row>
    <row r="267" spans="4:4" ht="15.75" customHeight="1" x14ac:dyDescent="0.2">
      <c r="D267" s="24"/>
    </row>
    <row r="268" spans="4:4" ht="15.75" customHeight="1" x14ac:dyDescent="0.2">
      <c r="D268" s="24"/>
    </row>
    <row r="269" spans="4:4" ht="15.75" customHeight="1" x14ac:dyDescent="0.2">
      <c r="D269" s="24"/>
    </row>
    <row r="270" spans="4:4" ht="15.75" customHeight="1" x14ac:dyDescent="0.2">
      <c r="D270" s="24"/>
    </row>
    <row r="271" spans="4:4" ht="15.75" customHeight="1" x14ac:dyDescent="0.2">
      <c r="D271" s="24"/>
    </row>
    <row r="272" spans="4:4" ht="15.75" customHeight="1" x14ac:dyDescent="0.2">
      <c r="D272" s="24"/>
    </row>
    <row r="273" spans="4:4" ht="15.75" customHeight="1" x14ac:dyDescent="0.2">
      <c r="D273" s="24"/>
    </row>
    <row r="274" spans="4:4" ht="15.75" customHeight="1" x14ac:dyDescent="0.2">
      <c r="D274" s="24"/>
    </row>
    <row r="275" spans="4:4" ht="15.75" customHeight="1" x14ac:dyDescent="0.2">
      <c r="D275" s="24"/>
    </row>
    <row r="276" spans="4:4" ht="15.75" customHeight="1" x14ac:dyDescent="0.2">
      <c r="D276" s="24"/>
    </row>
    <row r="277" spans="4:4" ht="15.75" customHeight="1" x14ac:dyDescent="0.2">
      <c r="D277" s="24"/>
    </row>
    <row r="278" spans="4:4" ht="15.75" customHeight="1" x14ac:dyDescent="0.2">
      <c r="D278" s="24"/>
    </row>
    <row r="279" spans="4:4" ht="15.75" customHeight="1" x14ac:dyDescent="0.2">
      <c r="D279" s="24"/>
    </row>
    <row r="280" spans="4:4" ht="15.75" customHeight="1" x14ac:dyDescent="0.2">
      <c r="D280" s="24"/>
    </row>
    <row r="281" spans="4:4" ht="15.75" customHeight="1" x14ac:dyDescent="0.2">
      <c r="D281" s="24"/>
    </row>
    <row r="282" spans="4:4" ht="15.75" customHeight="1" x14ac:dyDescent="0.2">
      <c r="D282" s="24"/>
    </row>
    <row r="283" spans="4:4" ht="15.75" customHeight="1" x14ac:dyDescent="0.2">
      <c r="D283" s="24"/>
    </row>
    <row r="284" spans="4:4" ht="15.75" customHeight="1" x14ac:dyDescent="0.2">
      <c r="D284" s="24"/>
    </row>
    <row r="285" spans="4:4" ht="15.75" customHeight="1" x14ac:dyDescent="0.2">
      <c r="D285" s="24"/>
    </row>
    <row r="286" spans="4:4" ht="15.75" customHeight="1" x14ac:dyDescent="0.2">
      <c r="D286" s="24"/>
    </row>
    <row r="287" spans="4:4" ht="15.75" customHeight="1" x14ac:dyDescent="0.2">
      <c r="D287" s="24"/>
    </row>
    <row r="288" spans="4:4" ht="15.75" customHeight="1" x14ac:dyDescent="0.2">
      <c r="D288" s="24"/>
    </row>
    <row r="289" spans="4:4" ht="15.75" customHeight="1" x14ac:dyDescent="0.2">
      <c r="D289" s="24"/>
    </row>
    <row r="290" spans="4:4" ht="15.75" customHeight="1" x14ac:dyDescent="0.2">
      <c r="D290" s="24"/>
    </row>
    <row r="291" spans="4:4" ht="15.75" customHeight="1" x14ac:dyDescent="0.2">
      <c r="D291" s="24"/>
    </row>
    <row r="292" spans="4:4" ht="15.75" customHeight="1" x14ac:dyDescent="0.2">
      <c r="D292" s="24"/>
    </row>
    <row r="293" spans="4:4" ht="15.75" customHeight="1" x14ac:dyDescent="0.2">
      <c r="D293" s="24"/>
    </row>
    <row r="294" spans="4:4" ht="15.75" customHeight="1" x14ac:dyDescent="0.2">
      <c r="D294" s="24"/>
    </row>
    <row r="295" spans="4:4" ht="15.75" customHeight="1" x14ac:dyDescent="0.2">
      <c r="D295" s="24"/>
    </row>
    <row r="296" spans="4:4" ht="15.75" customHeight="1" x14ac:dyDescent="0.2">
      <c r="D296" s="24"/>
    </row>
    <row r="297" spans="4:4" ht="15.75" customHeight="1" x14ac:dyDescent="0.2">
      <c r="D297" s="24"/>
    </row>
    <row r="298" spans="4:4" ht="15.75" customHeight="1" x14ac:dyDescent="0.2">
      <c r="D298" s="24"/>
    </row>
    <row r="299" spans="4:4" ht="15.75" customHeight="1" x14ac:dyDescent="0.2">
      <c r="D299" s="24"/>
    </row>
    <row r="300" spans="4:4" ht="15.75" customHeight="1" x14ac:dyDescent="0.2">
      <c r="D300" s="24"/>
    </row>
    <row r="301" spans="4:4" ht="15.75" customHeight="1" x14ac:dyDescent="0.2">
      <c r="D301" s="24"/>
    </row>
    <row r="302" spans="4:4" ht="15.75" customHeight="1" x14ac:dyDescent="0.2">
      <c r="D302" s="24"/>
    </row>
    <row r="303" spans="4:4" ht="15.75" customHeight="1" x14ac:dyDescent="0.2">
      <c r="D303" s="24"/>
    </row>
    <row r="304" spans="4:4" ht="15.75" customHeight="1" x14ac:dyDescent="0.2">
      <c r="D304" s="24"/>
    </row>
    <row r="305" spans="4:4" ht="15.75" customHeight="1" x14ac:dyDescent="0.2">
      <c r="D305" s="24"/>
    </row>
    <row r="306" spans="4:4" ht="15.75" customHeight="1" x14ac:dyDescent="0.2">
      <c r="D306" s="24"/>
    </row>
    <row r="307" spans="4:4" ht="15.75" customHeight="1" x14ac:dyDescent="0.2">
      <c r="D307" s="24"/>
    </row>
    <row r="308" spans="4:4" ht="15.75" customHeight="1" x14ac:dyDescent="0.2">
      <c r="D308" s="24"/>
    </row>
    <row r="309" spans="4:4" ht="15.75" customHeight="1" x14ac:dyDescent="0.2">
      <c r="D309" s="24"/>
    </row>
    <row r="310" spans="4:4" ht="15.75" customHeight="1" x14ac:dyDescent="0.2">
      <c r="D310" s="24"/>
    </row>
    <row r="311" spans="4:4" ht="15.75" customHeight="1" x14ac:dyDescent="0.2">
      <c r="D311" s="24"/>
    </row>
    <row r="312" spans="4:4" ht="15.75" customHeight="1" x14ac:dyDescent="0.2">
      <c r="D312" s="24"/>
    </row>
    <row r="313" spans="4:4" ht="15.75" customHeight="1" x14ac:dyDescent="0.2">
      <c r="D313" s="24"/>
    </row>
    <row r="314" spans="4:4" ht="15.75" customHeight="1" x14ac:dyDescent="0.2">
      <c r="D314" s="24"/>
    </row>
    <row r="315" spans="4:4" ht="15.75" customHeight="1" x14ac:dyDescent="0.2">
      <c r="D315" s="24"/>
    </row>
    <row r="316" spans="4:4" ht="15.75" customHeight="1" x14ac:dyDescent="0.2">
      <c r="D316" s="24"/>
    </row>
    <row r="317" spans="4:4" ht="15.75" customHeight="1" x14ac:dyDescent="0.2">
      <c r="D317" s="24"/>
    </row>
    <row r="318" spans="4:4" ht="15.75" customHeight="1" x14ac:dyDescent="0.2">
      <c r="D318" s="24"/>
    </row>
    <row r="319" spans="4:4" ht="15.75" customHeight="1" x14ac:dyDescent="0.2">
      <c r="D319" s="24"/>
    </row>
    <row r="320" spans="4:4" ht="15.75" customHeight="1" x14ac:dyDescent="0.2">
      <c r="D320" s="24"/>
    </row>
    <row r="321" spans="4:4" ht="15.75" customHeight="1" x14ac:dyDescent="0.2">
      <c r="D321" s="24"/>
    </row>
    <row r="322" spans="4:4" ht="15.75" customHeight="1" x14ac:dyDescent="0.2">
      <c r="D322" s="24"/>
    </row>
    <row r="323" spans="4:4" ht="15.75" customHeight="1" x14ac:dyDescent="0.2">
      <c r="D323" s="24"/>
    </row>
    <row r="324" spans="4:4" ht="15.75" customHeight="1" x14ac:dyDescent="0.2">
      <c r="D324" s="24"/>
    </row>
    <row r="325" spans="4:4" ht="15.75" customHeight="1" x14ac:dyDescent="0.2">
      <c r="D325" s="24"/>
    </row>
    <row r="326" spans="4:4" ht="15.75" customHeight="1" x14ac:dyDescent="0.2">
      <c r="D326" s="24"/>
    </row>
    <row r="327" spans="4:4" ht="15.75" customHeight="1" x14ac:dyDescent="0.2">
      <c r="D327" s="24"/>
    </row>
    <row r="328" spans="4:4" ht="15.75" customHeight="1" x14ac:dyDescent="0.2">
      <c r="D328" s="24"/>
    </row>
    <row r="329" spans="4:4" ht="15.75" customHeight="1" x14ac:dyDescent="0.2">
      <c r="D329" s="24"/>
    </row>
    <row r="330" spans="4:4" ht="15.75" customHeight="1" x14ac:dyDescent="0.2">
      <c r="D330" s="24"/>
    </row>
    <row r="331" spans="4:4" ht="15.75" customHeight="1" x14ac:dyDescent="0.2">
      <c r="D331" s="24"/>
    </row>
    <row r="332" spans="4:4" ht="15.75" customHeight="1" x14ac:dyDescent="0.2">
      <c r="D332" s="24"/>
    </row>
    <row r="333" spans="4:4" ht="15.75" customHeight="1" x14ac:dyDescent="0.2">
      <c r="D333" s="24"/>
    </row>
    <row r="334" spans="4:4" ht="15.75" customHeight="1" x14ac:dyDescent="0.2">
      <c r="D334" s="24"/>
    </row>
    <row r="335" spans="4:4" ht="15.75" customHeight="1" x14ac:dyDescent="0.2">
      <c r="D335" s="24"/>
    </row>
    <row r="336" spans="4:4" ht="15.75" customHeight="1" x14ac:dyDescent="0.2">
      <c r="D336" s="24"/>
    </row>
    <row r="337" spans="4:4" ht="15.75" customHeight="1" x14ac:dyDescent="0.2">
      <c r="D337" s="24"/>
    </row>
    <row r="338" spans="4:4" ht="15.75" customHeight="1" x14ac:dyDescent="0.2">
      <c r="D338" s="24"/>
    </row>
    <row r="339" spans="4:4" ht="15.75" customHeight="1" x14ac:dyDescent="0.2">
      <c r="D339" s="24"/>
    </row>
    <row r="340" spans="4:4" ht="15.75" customHeight="1" x14ac:dyDescent="0.2">
      <c r="D340" s="24"/>
    </row>
    <row r="341" spans="4:4" ht="15.75" customHeight="1" x14ac:dyDescent="0.2">
      <c r="D341" s="24"/>
    </row>
    <row r="342" spans="4:4" ht="15.75" customHeight="1" x14ac:dyDescent="0.2">
      <c r="D342" s="24"/>
    </row>
    <row r="343" spans="4:4" ht="15.75" customHeight="1" x14ac:dyDescent="0.2">
      <c r="D343" s="24"/>
    </row>
    <row r="344" spans="4:4" ht="15.75" customHeight="1" x14ac:dyDescent="0.2">
      <c r="D344" s="24"/>
    </row>
    <row r="345" spans="4:4" ht="15.75" customHeight="1" x14ac:dyDescent="0.2">
      <c r="D345" s="24"/>
    </row>
    <row r="346" spans="4:4" ht="15.75" customHeight="1" x14ac:dyDescent="0.2">
      <c r="D346" s="24"/>
    </row>
    <row r="347" spans="4:4" ht="15.75" customHeight="1" x14ac:dyDescent="0.2">
      <c r="D347" s="24"/>
    </row>
    <row r="348" spans="4:4" ht="15.75" customHeight="1" x14ac:dyDescent="0.2">
      <c r="D348" s="24"/>
    </row>
    <row r="349" spans="4:4" ht="15.75" customHeight="1" x14ac:dyDescent="0.2">
      <c r="D349" s="24"/>
    </row>
    <row r="350" spans="4:4" ht="15.75" customHeight="1" x14ac:dyDescent="0.2">
      <c r="D350" s="24"/>
    </row>
    <row r="351" spans="4:4" ht="15.75" customHeight="1" x14ac:dyDescent="0.2">
      <c r="D351" s="24"/>
    </row>
    <row r="352" spans="4:4" ht="15.75" customHeight="1" x14ac:dyDescent="0.2">
      <c r="D352" s="24"/>
    </row>
    <row r="353" spans="4:4" ht="15.75" customHeight="1" x14ac:dyDescent="0.2">
      <c r="D353" s="24"/>
    </row>
    <row r="354" spans="4:4" ht="15.75" customHeight="1" x14ac:dyDescent="0.2">
      <c r="D354" s="24"/>
    </row>
    <row r="355" spans="4:4" ht="15.75" customHeight="1" x14ac:dyDescent="0.2">
      <c r="D355" s="24"/>
    </row>
    <row r="356" spans="4:4" ht="15.75" customHeight="1" x14ac:dyDescent="0.2">
      <c r="D356" s="24"/>
    </row>
    <row r="357" spans="4:4" ht="15.75" customHeight="1" x14ac:dyDescent="0.2">
      <c r="D357" s="24"/>
    </row>
    <row r="358" spans="4:4" ht="15.75" customHeight="1" x14ac:dyDescent="0.2">
      <c r="D358" s="24"/>
    </row>
    <row r="359" spans="4:4" ht="15.75" customHeight="1" x14ac:dyDescent="0.2">
      <c r="D359" s="24"/>
    </row>
    <row r="360" spans="4:4" ht="15.75" customHeight="1" x14ac:dyDescent="0.2">
      <c r="D360" s="24"/>
    </row>
    <row r="361" spans="4:4" ht="15.75" customHeight="1" x14ac:dyDescent="0.2">
      <c r="D361" s="24"/>
    </row>
    <row r="362" spans="4:4" ht="15.75" customHeight="1" x14ac:dyDescent="0.2">
      <c r="D362" s="24"/>
    </row>
    <row r="363" spans="4:4" ht="15.75" customHeight="1" x14ac:dyDescent="0.2">
      <c r="D363" s="24"/>
    </row>
    <row r="364" spans="4:4" ht="15.75" customHeight="1" x14ac:dyDescent="0.2">
      <c r="D364" s="24"/>
    </row>
    <row r="365" spans="4:4" ht="15.75" customHeight="1" x14ac:dyDescent="0.2">
      <c r="D365" s="24"/>
    </row>
    <row r="366" spans="4:4" ht="15.75" customHeight="1" x14ac:dyDescent="0.2">
      <c r="D366" s="24"/>
    </row>
    <row r="367" spans="4:4" ht="15.75" customHeight="1" x14ac:dyDescent="0.2">
      <c r="D367" s="24"/>
    </row>
    <row r="368" spans="4:4" ht="15.75" customHeight="1" x14ac:dyDescent="0.2">
      <c r="D368" s="24"/>
    </row>
    <row r="369" spans="4:4" ht="15.75" customHeight="1" x14ac:dyDescent="0.2">
      <c r="D369" s="24"/>
    </row>
    <row r="370" spans="4:4" ht="15.75" customHeight="1" x14ac:dyDescent="0.2">
      <c r="D370" s="24"/>
    </row>
    <row r="371" spans="4:4" ht="15.75" customHeight="1" x14ac:dyDescent="0.2">
      <c r="D371" s="24"/>
    </row>
    <row r="372" spans="4:4" ht="15.75" customHeight="1" x14ac:dyDescent="0.2">
      <c r="D372" s="24"/>
    </row>
    <row r="373" spans="4:4" ht="15.75" customHeight="1" x14ac:dyDescent="0.2">
      <c r="D373" s="24"/>
    </row>
    <row r="374" spans="4:4" ht="15.75" customHeight="1" x14ac:dyDescent="0.2">
      <c r="D374" s="24"/>
    </row>
    <row r="375" spans="4:4" ht="15.75" customHeight="1" x14ac:dyDescent="0.2">
      <c r="D375" s="24"/>
    </row>
    <row r="376" spans="4:4" ht="15.75" customHeight="1" x14ac:dyDescent="0.2">
      <c r="D376" s="24"/>
    </row>
    <row r="377" spans="4:4" ht="15.75" customHeight="1" x14ac:dyDescent="0.2">
      <c r="D377" s="24"/>
    </row>
    <row r="378" spans="4:4" ht="15.75" customHeight="1" x14ac:dyDescent="0.2">
      <c r="D378" s="24"/>
    </row>
    <row r="379" spans="4:4" ht="15.75" customHeight="1" x14ac:dyDescent="0.2">
      <c r="D379" s="24"/>
    </row>
    <row r="380" spans="4:4" ht="15.75" customHeight="1" x14ac:dyDescent="0.2">
      <c r="D380" s="24"/>
    </row>
    <row r="381" spans="4:4" ht="15.75" customHeight="1" x14ac:dyDescent="0.2">
      <c r="D381" s="24"/>
    </row>
    <row r="382" spans="4:4" ht="15.75" customHeight="1" x14ac:dyDescent="0.2">
      <c r="D382" s="24"/>
    </row>
    <row r="383" spans="4:4" ht="15.75" customHeight="1" x14ac:dyDescent="0.2">
      <c r="D383" s="24"/>
    </row>
    <row r="384" spans="4:4" ht="15.75" customHeight="1" x14ac:dyDescent="0.2">
      <c r="D384" s="24"/>
    </row>
    <row r="385" spans="4:4" ht="15.75" customHeight="1" x14ac:dyDescent="0.2">
      <c r="D385" s="24"/>
    </row>
    <row r="386" spans="4:4" ht="15.75" customHeight="1" x14ac:dyDescent="0.2">
      <c r="D386" s="24"/>
    </row>
    <row r="387" spans="4:4" ht="15.75" customHeight="1" x14ac:dyDescent="0.2">
      <c r="D387" s="24"/>
    </row>
    <row r="388" spans="4:4" ht="15.75" customHeight="1" x14ac:dyDescent="0.2">
      <c r="D388" s="24"/>
    </row>
    <row r="389" spans="4:4" ht="15.75" customHeight="1" x14ac:dyDescent="0.2">
      <c r="D389" s="24"/>
    </row>
    <row r="390" spans="4:4" ht="15.75" customHeight="1" x14ac:dyDescent="0.2">
      <c r="D390" s="24"/>
    </row>
    <row r="391" spans="4:4" ht="15.75" customHeight="1" x14ac:dyDescent="0.2">
      <c r="D391" s="24"/>
    </row>
    <row r="392" spans="4:4" ht="15.75" customHeight="1" x14ac:dyDescent="0.2">
      <c r="D392" s="24"/>
    </row>
    <row r="393" spans="4:4" ht="15.75" customHeight="1" x14ac:dyDescent="0.2">
      <c r="D393" s="24"/>
    </row>
    <row r="394" spans="4:4" ht="15.75" customHeight="1" x14ac:dyDescent="0.2">
      <c r="D394" s="24"/>
    </row>
    <row r="395" spans="4:4" ht="15.75" customHeight="1" x14ac:dyDescent="0.2">
      <c r="D395" s="24"/>
    </row>
    <row r="396" spans="4:4" ht="15.75" customHeight="1" x14ac:dyDescent="0.2">
      <c r="D396" s="24"/>
    </row>
    <row r="397" spans="4:4" ht="15.75" customHeight="1" x14ac:dyDescent="0.2">
      <c r="D397" s="24"/>
    </row>
    <row r="398" spans="4:4" ht="15.75" customHeight="1" x14ac:dyDescent="0.2">
      <c r="D398" s="24"/>
    </row>
    <row r="399" spans="4:4" ht="15.75" customHeight="1" x14ac:dyDescent="0.2">
      <c r="D399" s="24"/>
    </row>
    <row r="400" spans="4:4" ht="15.75" customHeight="1" x14ac:dyDescent="0.2">
      <c r="D400" s="24"/>
    </row>
    <row r="401" spans="4:4" ht="15.75" customHeight="1" x14ac:dyDescent="0.2">
      <c r="D401" s="24"/>
    </row>
    <row r="402" spans="4:4" ht="15.75" customHeight="1" x14ac:dyDescent="0.2">
      <c r="D402" s="24"/>
    </row>
    <row r="403" spans="4:4" ht="15.75" customHeight="1" x14ac:dyDescent="0.2">
      <c r="D403" s="24"/>
    </row>
    <row r="404" spans="4:4" ht="15.75" customHeight="1" x14ac:dyDescent="0.2">
      <c r="D404" s="24"/>
    </row>
    <row r="405" spans="4:4" ht="15.75" customHeight="1" x14ac:dyDescent="0.2">
      <c r="D405" s="24"/>
    </row>
    <row r="406" spans="4:4" ht="15.75" customHeight="1" x14ac:dyDescent="0.2">
      <c r="D406" s="24"/>
    </row>
    <row r="407" spans="4:4" ht="15.75" customHeight="1" x14ac:dyDescent="0.2">
      <c r="D407" s="24"/>
    </row>
    <row r="408" spans="4:4" ht="15.75" customHeight="1" x14ac:dyDescent="0.2">
      <c r="D408" s="24"/>
    </row>
    <row r="409" spans="4:4" ht="15.75" customHeight="1" x14ac:dyDescent="0.2">
      <c r="D409" s="24"/>
    </row>
    <row r="410" spans="4:4" ht="15.75" customHeight="1" x14ac:dyDescent="0.2">
      <c r="D410" s="24"/>
    </row>
    <row r="411" spans="4:4" ht="15.75" customHeight="1" x14ac:dyDescent="0.2">
      <c r="D411" s="24"/>
    </row>
    <row r="412" spans="4:4" ht="15.75" customHeight="1" x14ac:dyDescent="0.2">
      <c r="D412" s="24"/>
    </row>
    <row r="413" spans="4:4" ht="15.75" customHeight="1" x14ac:dyDescent="0.2">
      <c r="D413" s="24"/>
    </row>
    <row r="414" spans="4:4" ht="15.75" customHeight="1" x14ac:dyDescent="0.2">
      <c r="D414" s="24"/>
    </row>
    <row r="415" spans="4:4" ht="15.75" customHeight="1" x14ac:dyDescent="0.2">
      <c r="D415" s="24"/>
    </row>
    <row r="416" spans="4:4" ht="15.75" customHeight="1" x14ac:dyDescent="0.2">
      <c r="D416" s="24"/>
    </row>
    <row r="417" spans="4:4" ht="15.75" customHeight="1" x14ac:dyDescent="0.2">
      <c r="D417" s="24"/>
    </row>
    <row r="418" spans="4:4" ht="15.75" customHeight="1" x14ac:dyDescent="0.2">
      <c r="D418" s="24"/>
    </row>
    <row r="419" spans="4:4" ht="15.75" customHeight="1" x14ac:dyDescent="0.2">
      <c r="D419" s="24"/>
    </row>
    <row r="420" spans="4:4" ht="15.75" customHeight="1" x14ac:dyDescent="0.2">
      <c r="D420" s="24"/>
    </row>
    <row r="421" spans="4:4" ht="15.75" customHeight="1" x14ac:dyDescent="0.2">
      <c r="D421" s="24"/>
    </row>
    <row r="422" spans="4:4" ht="15.75" customHeight="1" x14ac:dyDescent="0.2">
      <c r="D422" s="24"/>
    </row>
    <row r="423" spans="4:4" ht="15.75" customHeight="1" x14ac:dyDescent="0.2">
      <c r="D423" s="24"/>
    </row>
    <row r="424" spans="4:4" ht="15.75" customHeight="1" x14ac:dyDescent="0.2">
      <c r="D424" s="24"/>
    </row>
    <row r="425" spans="4:4" ht="15.75" customHeight="1" x14ac:dyDescent="0.2">
      <c r="D425" s="24"/>
    </row>
    <row r="426" spans="4:4" ht="15.75" customHeight="1" x14ac:dyDescent="0.2">
      <c r="D426" s="24"/>
    </row>
    <row r="427" spans="4:4" ht="15.75" customHeight="1" x14ac:dyDescent="0.2">
      <c r="D427" s="24"/>
    </row>
    <row r="428" spans="4:4" ht="15.75" customHeight="1" x14ac:dyDescent="0.2">
      <c r="D428" s="24"/>
    </row>
    <row r="429" spans="4:4" ht="15.75" customHeight="1" x14ac:dyDescent="0.2">
      <c r="D429" s="24"/>
    </row>
    <row r="430" spans="4:4" ht="15.75" customHeight="1" x14ac:dyDescent="0.2">
      <c r="D430" s="24"/>
    </row>
    <row r="431" spans="4:4" ht="15.75" customHeight="1" x14ac:dyDescent="0.2">
      <c r="D431" s="24"/>
    </row>
    <row r="432" spans="4:4" ht="15.75" customHeight="1" x14ac:dyDescent="0.2">
      <c r="D432" s="24"/>
    </row>
    <row r="433" spans="4:4" ht="15.75" customHeight="1" x14ac:dyDescent="0.2">
      <c r="D433" s="24"/>
    </row>
    <row r="434" spans="4:4" ht="15.75" customHeight="1" x14ac:dyDescent="0.2">
      <c r="D434" s="24"/>
    </row>
    <row r="435" spans="4:4" ht="15.75" customHeight="1" x14ac:dyDescent="0.2">
      <c r="D435" s="24"/>
    </row>
    <row r="436" spans="4:4" ht="15.75" customHeight="1" x14ac:dyDescent="0.2">
      <c r="D436" s="24"/>
    </row>
    <row r="437" spans="4:4" ht="15.75" customHeight="1" x14ac:dyDescent="0.2">
      <c r="D437" s="24"/>
    </row>
    <row r="438" spans="4:4" ht="15.75" customHeight="1" x14ac:dyDescent="0.2">
      <c r="D438" s="24"/>
    </row>
    <row r="439" spans="4:4" ht="15.75" customHeight="1" x14ac:dyDescent="0.2">
      <c r="D439" s="24"/>
    </row>
    <row r="440" spans="4:4" ht="15.75" customHeight="1" x14ac:dyDescent="0.2">
      <c r="D440" s="24"/>
    </row>
    <row r="441" spans="4:4" ht="15.75" customHeight="1" x14ac:dyDescent="0.2">
      <c r="D441" s="24"/>
    </row>
    <row r="442" spans="4:4" ht="15.75" customHeight="1" x14ac:dyDescent="0.2">
      <c r="D442" s="24"/>
    </row>
    <row r="443" spans="4:4" ht="15.75" customHeight="1" x14ac:dyDescent="0.2">
      <c r="D443" s="24"/>
    </row>
    <row r="444" spans="4:4" ht="15.75" customHeight="1" x14ac:dyDescent="0.2">
      <c r="D444" s="24"/>
    </row>
    <row r="445" spans="4:4" ht="15.75" customHeight="1" x14ac:dyDescent="0.2">
      <c r="D445" s="24"/>
    </row>
    <row r="446" spans="4:4" ht="15.75" customHeight="1" x14ac:dyDescent="0.2">
      <c r="D446" s="24"/>
    </row>
    <row r="447" spans="4:4" ht="15.75" customHeight="1" x14ac:dyDescent="0.2">
      <c r="D447" s="24"/>
    </row>
    <row r="448" spans="4:4" ht="15.75" customHeight="1" x14ac:dyDescent="0.2">
      <c r="D448" s="24"/>
    </row>
    <row r="449" spans="4:4" ht="15.75" customHeight="1" x14ac:dyDescent="0.2">
      <c r="D449" s="24"/>
    </row>
    <row r="450" spans="4:4" ht="15.75" customHeight="1" x14ac:dyDescent="0.2">
      <c r="D450" s="24"/>
    </row>
    <row r="451" spans="4:4" ht="15.75" customHeight="1" x14ac:dyDescent="0.2">
      <c r="D451" s="24"/>
    </row>
    <row r="452" spans="4:4" ht="15.75" customHeight="1" x14ac:dyDescent="0.2">
      <c r="D452" s="24"/>
    </row>
    <row r="453" spans="4:4" ht="15.75" customHeight="1" x14ac:dyDescent="0.2">
      <c r="D453" s="24"/>
    </row>
    <row r="454" spans="4:4" ht="15.75" customHeight="1" x14ac:dyDescent="0.2">
      <c r="D454" s="24"/>
    </row>
    <row r="455" spans="4:4" ht="15.75" customHeight="1" x14ac:dyDescent="0.2">
      <c r="D455" s="24"/>
    </row>
    <row r="456" spans="4:4" ht="15.75" customHeight="1" x14ac:dyDescent="0.2">
      <c r="D456" s="24"/>
    </row>
    <row r="457" spans="4:4" ht="15.75" customHeight="1" x14ac:dyDescent="0.2">
      <c r="D457" s="24"/>
    </row>
    <row r="458" spans="4:4" ht="15.75" customHeight="1" x14ac:dyDescent="0.2">
      <c r="D458" s="24"/>
    </row>
    <row r="459" spans="4:4" ht="15.75" customHeight="1" x14ac:dyDescent="0.2">
      <c r="D459" s="24"/>
    </row>
    <row r="460" spans="4:4" ht="15.75" customHeight="1" x14ac:dyDescent="0.2">
      <c r="D460" s="24"/>
    </row>
    <row r="461" spans="4:4" ht="15.75" customHeight="1" x14ac:dyDescent="0.2">
      <c r="D461" s="24"/>
    </row>
    <row r="462" spans="4:4" ht="15.75" customHeight="1" x14ac:dyDescent="0.2">
      <c r="D462" s="24"/>
    </row>
    <row r="463" spans="4:4" ht="15.75" customHeight="1" x14ac:dyDescent="0.2">
      <c r="D463" s="24"/>
    </row>
    <row r="464" spans="4:4" ht="15.75" customHeight="1" x14ac:dyDescent="0.2">
      <c r="D464" s="24"/>
    </row>
    <row r="465" spans="4:4" ht="15.75" customHeight="1" x14ac:dyDescent="0.2">
      <c r="D465" s="24"/>
    </row>
    <row r="466" spans="4:4" ht="15.75" customHeight="1" x14ac:dyDescent="0.2">
      <c r="D466" s="24"/>
    </row>
    <row r="467" spans="4:4" ht="15.75" customHeight="1" x14ac:dyDescent="0.2">
      <c r="D467" s="24"/>
    </row>
    <row r="468" spans="4:4" ht="15.75" customHeight="1" x14ac:dyDescent="0.2">
      <c r="D468" s="24"/>
    </row>
    <row r="469" spans="4:4" ht="15.75" customHeight="1" x14ac:dyDescent="0.2">
      <c r="D469" s="24"/>
    </row>
    <row r="470" spans="4:4" ht="15.75" customHeight="1" x14ac:dyDescent="0.2">
      <c r="D470" s="24"/>
    </row>
    <row r="471" spans="4:4" ht="15.75" customHeight="1" x14ac:dyDescent="0.2">
      <c r="D471" s="24"/>
    </row>
    <row r="472" spans="4:4" ht="15.75" customHeight="1" x14ac:dyDescent="0.2">
      <c r="D472" s="24"/>
    </row>
    <row r="473" spans="4:4" ht="15.75" customHeight="1" x14ac:dyDescent="0.2">
      <c r="D473" s="24"/>
    </row>
    <row r="474" spans="4:4" ht="15.75" customHeight="1" x14ac:dyDescent="0.2">
      <c r="D474" s="24"/>
    </row>
    <row r="475" spans="4:4" ht="15.75" customHeight="1" x14ac:dyDescent="0.2">
      <c r="D475" s="24"/>
    </row>
    <row r="476" spans="4:4" ht="15.75" customHeight="1" x14ac:dyDescent="0.2">
      <c r="D476" s="24"/>
    </row>
    <row r="477" spans="4:4" ht="15.75" customHeight="1" x14ac:dyDescent="0.2">
      <c r="D477" s="24"/>
    </row>
    <row r="478" spans="4:4" ht="15.75" customHeight="1" x14ac:dyDescent="0.2">
      <c r="D478" s="24"/>
    </row>
    <row r="479" spans="4:4" ht="15.75" customHeight="1" x14ac:dyDescent="0.2">
      <c r="D479" s="24"/>
    </row>
    <row r="480" spans="4:4" ht="15.75" customHeight="1" x14ac:dyDescent="0.2">
      <c r="D480" s="24"/>
    </row>
    <row r="481" spans="4:4" ht="15.75" customHeight="1" x14ac:dyDescent="0.2">
      <c r="D481" s="24"/>
    </row>
    <row r="482" spans="4:4" ht="15.75" customHeight="1" x14ac:dyDescent="0.2">
      <c r="D482" s="24"/>
    </row>
    <row r="483" spans="4:4" ht="15.75" customHeight="1" x14ac:dyDescent="0.2">
      <c r="D483" s="24"/>
    </row>
    <row r="484" spans="4:4" ht="15.75" customHeight="1" x14ac:dyDescent="0.2">
      <c r="D484" s="24"/>
    </row>
    <row r="485" spans="4:4" ht="15.75" customHeight="1" x14ac:dyDescent="0.2">
      <c r="D485" s="24"/>
    </row>
    <row r="486" spans="4:4" ht="15.75" customHeight="1" x14ac:dyDescent="0.2">
      <c r="D486" s="24"/>
    </row>
    <row r="487" spans="4:4" ht="15.75" customHeight="1" x14ac:dyDescent="0.2">
      <c r="D487" s="24"/>
    </row>
    <row r="488" spans="4:4" ht="15.75" customHeight="1" x14ac:dyDescent="0.2">
      <c r="D488" s="24"/>
    </row>
    <row r="489" spans="4:4" ht="15.75" customHeight="1" x14ac:dyDescent="0.2">
      <c r="D489" s="24"/>
    </row>
    <row r="490" spans="4:4" ht="15.75" customHeight="1" x14ac:dyDescent="0.2">
      <c r="D490" s="24"/>
    </row>
    <row r="491" spans="4:4" ht="15.75" customHeight="1" x14ac:dyDescent="0.2">
      <c r="D491" s="24"/>
    </row>
    <row r="492" spans="4:4" ht="15.75" customHeight="1" x14ac:dyDescent="0.2">
      <c r="D492" s="24"/>
    </row>
    <row r="493" spans="4:4" ht="15.75" customHeight="1" x14ac:dyDescent="0.2">
      <c r="D493" s="24"/>
    </row>
    <row r="494" spans="4:4" ht="15.75" customHeight="1" x14ac:dyDescent="0.2">
      <c r="D494" s="24"/>
    </row>
    <row r="495" spans="4:4" ht="15.75" customHeight="1" x14ac:dyDescent="0.2">
      <c r="D495" s="24"/>
    </row>
    <row r="496" spans="4:4" ht="15.75" customHeight="1" x14ac:dyDescent="0.2">
      <c r="D496" s="24"/>
    </row>
    <row r="497" spans="4:4" ht="15.75" customHeight="1" x14ac:dyDescent="0.2">
      <c r="D497" s="24"/>
    </row>
    <row r="498" spans="4:4" ht="15.75" customHeight="1" x14ac:dyDescent="0.2">
      <c r="D498" s="24"/>
    </row>
    <row r="499" spans="4:4" ht="15.75" customHeight="1" x14ac:dyDescent="0.2">
      <c r="D499" s="24"/>
    </row>
    <row r="500" spans="4:4" ht="15.75" customHeight="1" x14ac:dyDescent="0.2">
      <c r="D500" s="24"/>
    </row>
    <row r="501" spans="4:4" ht="15.75" customHeight="1" x14ac:dyDescent="0.2">
      <c r="D501" s="24"/>
    </row>
    <row r="502" spans="4:4" ht="15.75" customHeight="1" x14ac:dyDescent="0.2">
      <c r="D502" s="24"/>
    </row>
    <row r="503" spans="4:4" ht="15.75" customHeight="1" x14ac:dyDescent="0.2">
      <c r="D503" s="24"/>
    </row>
    <row r="504" spans="4:4" ht="15.75" customHeight="1" x14ac:dyDescent="0.2">
      <c r="D504" s="24"/>
    </row>
    <row r="505" spans="4:4" ht="15.75" customHeight="1" x14ac:dyDescent="0.2">
      <c r="D505" s="24"/>
    </row>
    <row r="506" spans="4:4" ht="15.75" customHeight="1" x14ac:dyDescent="0.2">
      <c r="D506" s="24"/>
    </row>
    <row r="507" spans="4:4" ht="15.75" customHeight="1" x14ac:dyDescent="0.2">
      <c r="D507" s="24"/>
    </row>
    <row r="508" spans="4:4" ht="15.75" customHeight="1" x14ac:dyDescent="0.2">
      <c r="D508" s="24"/>
    </row>
    <row r="509" spans="4:4" ht="15.75" customHeight="1" x14ac:dyDescent="0.2">
      <c r="D509" s="24"/>
    </row>
    <row r="510" spans="4:4" ht="15.75" customHeight="1" x14ac:dyDescent="0.2">
      <c r="D510" s="24"/>
    </row>
    <row r="511" spans="4:4" ht="15.75" customHeight="1" x14ac:dyDescent="0.2">
      <c r="D511" s="24"/>
    </row>
    <row r="512" spans="4:4" ht="15.75" customHeight="1" x14ac:dyDescent="0.2">
      <c r="D512" s="24"/>
    </row>
    <row r="513" spans="4:4" ht="15.75" customHeight="1" x14ac:dyDescent="0.2">
      <c r="D513" s="24"/>
    </row>
    <row r="514" spans="4:4" ht="15.75" customHeight="1" x14ac:dyDescent="0.2">
      <c r="D514" s="24"/>
    </row>
    <row r="515" spans="4:4" ht="15.75" customHeight="1" x14ac:dyDescent="0.2">
      <c r="D515" s="24"/>
    </row>
    <row r="516" spans="4:4" ht="15.75" customHeight="1" x14ac:dyDescent="0.2">
      <c r="D516" s="24"/>
    </row>
    <row r="517" spans="4:4" ht="15.75" customHeight="1" x14ac:dyDescent="0.2">
      <c r="D517" s="24"/>
    </row>
    <row r="518" spans="4:4" ht="15.75" customHeight="1" x14ac:dyDescent="0.2">
      <c r="D518" s="24"/>
    </row>
    <row r="519" spans="4:4" ht="15.75" customHeight="1" x14ac:dyDescent="0.2">
      <c r="D519" s="24"/>
    </row>
    <row r="520" spans="4:4" ht="15.75" customHeight="1" x14ac:dyDescent="0.2">
      <c r="D520" s="24"/>
    </row>
    <row r="521" spans="4:4" ht="15.75" customHeight="1" x14ac:dyDescent="0.2">
      <c r="D521" s="24"/>
    </row>
    <row r="522" spans="4:4" ht="15.75" customHeight="1" x14ac:dyDescent="0.2">
      <c r="D522" s="24"/>
    </row>
    <row r="523" spans="4:4" ht="15.75" customHeight="1" x14ac:dyDescent="0.2">
      <c r="D523" s="24"/>
    </row>
    <row r="524" spans="4:4" ht="15.75" customHeight="1" x14ac:dyDescent="0.2">
      <c r="D524" s="24"/>
    </row>
    <row r="525" spans="4:4" ht="15.75" customHeight="1" x14ac:dyDescent="0.2">
      <c r="D525" s="24"/>
    </row>
    <row r="526" spans="4:4" ht="15.75" customHeight="1" x14ac:dyDescent="0.2">
      <c r="D526" s="24"/>
    </row>
    <row r="527" spans="4:4" ht="15.75" customHeight="1" x14ac:dyDescent="0.2">
      <c r="D527" s="24"/>
    </row>
    <row r="528" spans="4:4" ht="15.75" customHeight="1" x14ac:dyDescent="0.2">
      <c r="D528" s="24"/>
    </row>
    <row r="529" spans="4:4" ht="15.75" customHeight="1" x14ac:dyDescent="0.2">
      <c r="D529" s="24"/>
    </row>
    <row r="530" spans="4:4" ht="15.75" customHeight="1" x14ac:dyDescent="0.2">
      <c r="D530" s="24"/>
    </row>
    <row r="531" spans="4:4" ht="15.75" customHeight="1" x14ac:dyDescent="0.2">
      <c r="D531" s="24"/>
    </row>
    <row r="532" spans="4:4" ht="15.75" customHeight="1" x14ac:dyDescent="0.2">
      <c r="D532" s="24"/>
    </row>
    <row r="533" spans="4:4" ht="15.75" customHeight="1" x14ac:dyDescent="0.2">
      <c r="D533" s="24"/>
    </row>
    <row r="534" spans="4:4" ht="15.75" customHeight="1" x14ac:dyDescent="0.2">
      <c r="D534" s="24"/>
    </row>
    <row r="535" spans="4:4" ht="15.75" customHeight="1" x14ac:dyDescent="0.2">
      <c r="D535" s="24"/>
    </row>
    <row r="536" spans="4:4" ht="15.75" customHeight="1" x14ac:dyDescent="0.2">
      <c r="D536" s="24"/>
    </row>
    <row r="537" spans="4:4" ht="15.75" customHeight="1" x14ac:dyDescent="0.2">
      <c r="D537" s="24"/>
    </row>
    <row r="538" spans="4:4" ht="15.75" customHeight="1" x14ac:dyDescent="0.2">
      <c r="D538" s="24"/>
    </row>
    <row r="539" spans="4:4" ht="15.75" customHeight="1" x14ac:dyDescent="0.2">
      <c r="D539" s="24"/>
    </row>
    <row r="540" spans="4:4" ht="15.75" customHeight="1" x14ac:dyDescent="0.2">
      <c r="D540" s="24"/>
    </row>
    <row r="541" spans="4:4" ht="15.75" customHeight="1" x14ac:dyDescent="0.2">
      <c r="D541" s="24"/>
    </row>
    <row r="542" spans="4:4" ht="15.75" customHeight="1" x14ac:dyDescent="0.2">
      <c r="D542" s="24"/>
    </row>
    <row r="543" spans="4:4" ht="15.75" customHeight="1" x14ac:dyDescent="0.2">
      <c r="D543" s="24"/>
    </row>
    <row r="544" spans="4:4" ht="15.75" customHeight="1" x14ac:dyDescent="0.2">
      <c r="D544" s="24"/>
    </row>
    <row r="545" spans="4:4" ht="15.75" customHeight="1" x14ac:dyDescent="0.2">
      <c r="D545" s="24"/>
    </row>
    <row r="546" spans="4:4" ht="15.75" customHeight="1" x14ac:dyDescent="0.2">
      <c r="D546" s="24"/>
    </row>
    <row r="547" spans="4:4" ht="15.75" customHeight="1" x14ac:dyDescent="0.2">
      <c r="D547" s="24"/>
    </row>
    <row r="548" spans="4:4" ht="15.75" customHeight="1" x14ac:dyDescent="0.2">
      <c r="D548" s="24"/>
    </row>
    <row r="549" spans="4:4" ht="15.75" customHeight="1" x14ac:dyDescent="0.2">
      <c r="D549" s="24"/>
    </row>
    <row r="550" spans="4:4" ht="15.75" customHeight="1" x14ac:dyDescent="0.2">
      <c r="D550" s="24"/>
    </row>
    <row r="551" spans="4:4" ht="15.75" customHeight="1" x14ac:dyDescent="0.2">
      <c r="D551" s="24"/>
    </row>
    <row r="552" spans="4:4" ht="15.75" customHeight="1" x14ac:dyDescent="0.2">
      <c r="D552" s="24"/>
    </row>
    <row r="553" spans="4:4" ht="15.75" customHeight="1" x14ac:dyDescent="0.2">
      <c r="D553" s="24"/>
    </row>
    <row r="554" spans="4:4" ht="15.75" customHeight="1" x14ac:dyDescent="0.2">
      <c r="D554" s="24"/>
    </row>
    <row r="555" spans="4:4" ht="15.75" customHeight="1" x14ac:dyDescent="0.2">
      <c r="D555" s="24"/>
    </row>
    <row r="556" spans="4:4" ht="15.75" customHeight="1" x14ac:dyDescent="0.2">
      <c r="D556" s="24"/>
    </row>
    <row r="557" spans="4:4" ht="15.75" customHeight="1" x14ac:dyDescent="0.2">
      <c r="D557" s="24"/>
    </row>
    <row r="558" spans="4:4" ht="15.75" customHeight="1" x14ac:dyDescent="0.2">
      <c r="D558" s="24"/>
    </row>
    <row r="559" spans="4:4" ht="15.75" customHeight="1" x14ac:dyDescent="0.2">
      <c r="D559" s="24"/>
    </row>
    <row r="560" spans="4:4" ht="15.75" customHeight="1" x14ac:dyDescent="0.2">
      <c r="D560" s="24"/>
    </row>
    <row r="561" spans="4:4" ht="15.75" customHeight="1" x14ac:dyDescent="0.2">
      <c r="D561" s="24"/>
    </row>
    <row r="562" spans="4:4" ht="15.75" customHeight="1" x14ac:dyDescent="0.2">
      <c r="D562" s="24"/>
    </row>
    <row r="563" spans="4:4" ht="15.75" customHeight="1" x14ac:dyDescent="0.2">
      <c r="D563" s="24"/>
    </row>
    <row r="564" spans="4:4" ht="15.75" customHeight="1" x14ac:dyDescent="0.2">
      <c r="D564" s="24"/>
    </row>
    <row r="565" spans="4:4" ht="15.75" customHeight="1" x14ac:dyDescent="0.2">
      <c r="D565" s="24"/>
    </row>
    <row r="566" spans="4:4" ht="15.75" customHeight="1" x14ac:dyDescent="0.2">
      <c r="D566" s="24"/>
    </row>
    <row r="567" spans="4:4" ht="15.75" customHeight="1" x14ac:dyDescent="0.2">
      <c r="D567" s="24"/>
    </row>
    <row r="568" spans="4:4" ht="15.75" customHeight="1" x14ac:dyDescent="0.2">
      <c r="D568" s="24"/>
    </row>
    <row r="569" spans="4:4" ht="15.75" customHeight="1" x14ac:dyDescent="0.2">
      <c r="D569" s="24"/>
    </row>
    <row r="570" spans="4:4" ht="15.75" customHeight="1" x14ac:dyDescent="0.2">
      <c r="D570" s="24"/>
    </row>
    <row r="571" spans="4:4" ht="15.75" customHeight="1" x14ac:dyDescent="0.2">
      <c r="D571" s="24"/>
    </row>
    <row r="572" spans="4:4" ht="15.75" customHeight="1" x14ac:dyDescent="0.2">
      <c r="D572" s="24"/>
    </row>
    <row r="573" spans="4:4" ht="15.75" customHeight="1" x14ac:dyDescent="0.2">
      <c r="D573" s="24"/>
    </row>
    <row r="574" spans="4:4" ht="15.75" customHeight="1" x14ac:dyDescent="0.2">
      <c r="D574" s="24"/>
    </row>
    <row r="575" spans="4:4" ht="15.75" customHeight="1" x14ac:dyDescent="0.2">
      <c r="D575" s="24"/>
    </row>
    <row r="576" spans="4:4" ht="15.75" customHeight="1" x14ac:dyDescent="0.2">
      <c r="D576" s="24"/>
    </row>
    <row r="577" spans="4:4" ht="15.75" customHeight="1" x14ac:dyDescent="0.2">
      <c r="D577" s="24"/>
    </row>
    <row r="578" spans="4:4" ht="15.75" customHeight="1" x14ac:dyDescent="0.2">
      <c r="D578" s="24"/>
    </row>
    <row r="579" spans="4:4" ht="15.75" customHeight="1" x14ac:dyDescent="0.2">
      <c r="D579" s="24"/>
    </row>
    <row r="580" spans="4:4" ht="15.75" customHeight="1" x14ac:dyDescent="0.2">
      <c r="D580" s="24"/>
    </row>
    <row r="581" spans="4:4" ht="15.75" customHeight="1" x14ac:dyDescent="0.2">
      <c r="D581" s="24"/>
    </row>
    <row r="582" spans="4:4" ht="15.75" customHeight="1" x14ac:dyDescent="0.2">
      <c r="D582" s="24"/>
    </row>
    <row r="583" spans="4:4" ht="15.75" customHeight="1" x14ac:dyDescent="0.2">
      <c r="D583" s="24"/>
    </row>
    <row r="584" spans="4:4" ht="15.75" customHeight="1" x14ac:dyDescent="0.2">
      <c r="D584" s="24"/>
    </row>
    <row r="585" spans="4:4" ht="15.75" customHeight="1" x14ac:dyDescent="0.2">
      <c r="D585" s="24"/>
    </row>
    <row r="586" spans="4:4" ht="15.75" customHeight="1" x14ac:dyDescent="0.2">
      <c r="D586" s="24"/>
    </row>
    <row r="587" spans="4:4" ht="15.75" customHeight="1" x14ac:dyDescent="0.2">
      <c r="D587" s="24"/>
    </row>
    <row r="588" spans="4:4" ht="15.75" customHeight="1" x14ac:dyDescent="0.2">
      <c r="D588" s="24"/>
    </row>
    <row r="589" spans="4:4" ht="15.75" customHeight="1" x14ac:dyDescent="0.2">
      <c r="D589" s="24"/>
    </row>
    <row r="590" spans="4:4" ht="15.75" customHeight="1" x14ac:dyDescent="0.2">
      <c r="D590" s="24"/>
    </row>
    <row r="591" spans="4:4" ht="15.75" customHeight="1" x14ac:dyDescent="0.2">
      <c r="D591" s="24"/>
    </row>
    <row r="592" spans="4:4" ht="15.75" customHeight="1" x14ac:dyDescent="0.2">
      <c r="D592" s="24"/>
    </row>
    <row r="593" spans="4:4" ht="15.75" customHeight="1" x14ac:dyDescent="0.2">
      <c r="D593" s="24"/>
    </row>
    <row r="594" spans="4:4" ht="15.75" customHeight="1" x14ac:dyDescent="0.2">
      <c r="D594" s="24"/>
    </row>
    <row r="595" spans="4:4" ht="15.75" customHeight="1" x14ac:dyDescent="0.2">
      <c r="D595" s="24"/>
    </row>
    <row r="596" spans="4:4" ht="15.75" customHeight="1" x14ac:dyDescent="0.2">
      <c r="D596" s="24"/>
    </row>
    <row r="597" spans="4:4" ht="15.75" customHeight="1" x14ac:dyDescent="0.2">
      <c r="D597" s="24"/>
    </row>
    <row r="598" spans="4:4" ht="15.75" customHeight="1" x14ac:dyDescent="0.2">
      <c r="D598" s="24"/>
    </row>
    <row r="599" spans="4:4" ht="15.75" customHeight="1" x14ac:dyDescent="0.2">
      <c r="D599" s="24"/>
    </row>
    <row r="600" spans="4:4" ht="15.75" customHeight="1" x14ac:dyDescent="0.2">
      <c r="D600" s="24"/>
    </row>
    <row r="601" spans="4:4" ht="15.75" customHeight="1" x14ac:dyDescent="0.2">
      <c r="D601" s="24"/>
    </row>
    <row r="602" spans="4:4" ht="15.75" customHeight="1" x14ac:dyDescent="0.2">
      <c r="D602" s="24"/>
    </row>
    <row r="603" spans="4:4" ht="15.75" customHeight="1" x14ac:dyDescent="0.2">
      <c r="D603" s="24"/>
    </row>
    <row r="604" spans="4:4" ht="15.75" customHeight="1" x14ac:dyDescent="0.2">
      <c r="D604" s="24"/>
    </row>
    <row r="605" spans="4:4" ht="15.75" customHeight="1" x14ac:dyDescent="0.2">
      <c r="D605" s="24"/>
    </row>
    <row r="606" spans="4:4" ht="15.75" customHeight="1" x14ac:dyDescent="0.2">
      <c r="D606" s="24"/>
    </row>
    <row r="607" spans="4:4" ht="15.75" customHeight="1" x14ac:dyDescent="0.2">
      <c r="D607" s="24"/>
    </row>
    <row r="608" spans="4:4" ht="15.75" customHeight="1" x14ac:dyDescent="0.2">
      <c r="D608" s="24"/>
    </row>
    <row r="609" spans="4:4" ht="15.75" customHeight="1" x14ac:dyDescent="0.2">
      <c r="D609" s="24"/>
    </row>
    <row r="610" spans="4:4" ht="15.75" customHeight="1" x14ac:dyDescent="0.2">
      <c r="D610" s="24"/>
    </row>
    <row r="611" spans="4:4" ht="15.75" customHeight="1" x14ac:dyDescent="0.2">
      <c r="D611" s="24"/>
    </row>
    <row r="612" spans="4:4" ht="15.75" customHeight="1" x14ac:dyDescent="0.2">
      <c r="D612" s="24"/>
    </row>
    <row r="613" spans="4:4" ht="15.75" customHeight="1" x14ac:dyDescent="0.2">
      <c r="D613" s="24"/>
    </row>
    <row r="614" spans="4:4" ht="15.75" customHeight="1" x14ac:dyDescent="0.2">
      <c r="D614" s="24"/>
    </row>
    <row r="615" spans="4:4" ht="15.75" customHeight="1" x14ac:dyDescent="0.2">
      <c r="D615" s="24"/>
    </row>
    <row r="616" spans="4:4" ht="15.75" customHeight="1" x14ac:dyDescent="0.2">
      <c r="D616" s="24"/>
    </row>
    <row r="617" spans="4:4" ht="15.75" customHeight="1" x14ac:dyDescent="0.2">
      <c r="D617" s="24"/>
    </row>
    <row r="618" spans="4:4" ht="15.75" customHeight="1" x14ac:dyDescent="0.2">
      <c r="D618" s="24"/>
    </row>
    <row r="619" spans="4:4" ht="15.75" customHeight="1" x14ac:dyDescent="0.2">
      <c r="D619" s="24"/>
    </row>
    <row r="620" spans="4:4" ht="15.75" customHeight="1" x14ac:dyDescent="0.2">
      <c r="D620" s="24"/>
    </row>
    <row r="621" spans="4:4" ht="15.75" customHeight="1" x14ac:dyDescent="0.2">
      <c r="D621" s="24"/>
    </row>
    <row r="622" spans="4:4" ht="15.75" customHeight="1" x14ac:dyDescent="0.2">
      <c r="D622" s="24"/>
    </row>
    <row r="623" spans="4:4" ht="15.75" customHeight="1" x14ac:dyDescent="0.2">
      <c r="D623" s="24"/>
    </row>
    <row r="624" spans="4:4" ht="15.75" customHeight="1" x14ac:dyDescent="0.2">
      <c r="D624" s="24"/>
    </row>
    <row r="625" spans="4:4" ht="15.75" customHeight="1" x14ac:dyDescent="0.2">
      <c r="D625" s="24"/>
    </row>
    <row r="626" spans="4:4" ht="15.75" customHeight="1" x14ac:dyDescent="0.2">
      <c r="D626" s="24"/>
    </row>
    <row r="627" spans="4:4" ht="15.75" customHeight="1" x14ac:dyDescent="0.2">
      <c r="D627" s="24"/>
    </row>
    <row r="628" spans="4:4" ht="15.75" customHeight="1" x14ac:dyDescent="0.2">
      <c r="D628" s="24"/>
    </row>
    <row r="629" spans="4:4" ht="15.75" customHeight="1" x14ac:dyDescent="0.2">
      <c r="D629" s="24"/>
    </row>
    <row r="630" spans="4:4" ht="15.75" customHeight="1" x14ac:dyDescent="0.2">
      <c r="D630" s="24"/>
    </row>
    <row r="631" spans="4:4" ht="15.75" customHeight="1" x14ac:dyDescent="0.2">
      <c r="D631" s="24"/>
    </row>
    <row r="632" spans="4:4" ht="15.75" customHeight="1" x14ac:dyDescent="0.2">
      <c r="D632" s="24"/>
    </row>
    <row r="633" spans="4:4" ht="15.75" customHeight="1" x14ac:dyDescent="0.2">
      <c r="D633" s="24"/>
    </row>
    <row r="634" spans="4:4" ht="15.75" customHeight="1" x14ac:dyDescent="0.2">
      <c r="D634" s="24"/>
    </row>
    <row r="635" spans="4:4" ht="15.75" customHeight="1" x14ac:dyDescent="0.2">
      <c r="D635" s="24"/>
    </row>
    <row r="636" spans="4:4" ht="15.75" customHeight="1" x14ac:dyDescent="0.2">
      <c r="D636" s="24"/>
    </row>
    <row r="637" spans="4:4" ht="15.75" customHeight="1" x14ac:dyDescent="0.2">
      <c r="D637" s="24"/>
    </row>
    <row r="638" spans="4:4" ht="15.75" customHeight="1" x14ac:dyDescent="0.2">
      <c r="D638" s="24"/>
    </row>
    <row r="639" spans="4:4" ht="15.75" customHeight="1" x14ac:dyDescent="0.2">
      <c r="D639" s="24"/>
    </row>
    <row r="640" spans="4:4" ht="15.75" customHeight="1" x14ac:dyDescent="0.2">
      <c r="D640" s="24"/>
    </row>
    <row r="641" spans="4:4" ht="15.75" customHeight="1" x14ac:dyDescent="0.2">
      <c r="D641" s="24"/>
    </row>
    <row r="642" spans="4:4" ht="15.75" customHeight="1" x14ac:dyDescent="0.2">
      <c r="D642" s="24"/>
    </row>
    <row r="643" spans="4:4" ht="15.75" customHeight="1" x14ac:dyDescent="0.2">
      <c r="D643" s="24"/>
    </row>
    <row r="644" spans="4:4" ht="15.75" customHeight="1" x14ac:dyDescent="0.2">
      <c r="D644" s="24"/>
    </row>
    <row r="645" spans="4:4" ht="15.75" customHeight="1" x14ac:dyDescent="0.2">
      <c r="D645" s="24"/>
    </row>
    <row r="646" spans="4:4" ht="15.75" customHeight="1" x14ac:dyDescent="0.2">
      <c r="D646" s="24"/>
    </row>
    <row r="647" spans="4:4" ht="15.75" customHeight="1" x14ac:dyDescent="0.2">
      <c r="D647" s="24"/>
    </row>
    <row r="648" spans="4:4" ht="15.75" customHeight="1" x14ac:dyDescent="0.2">
      <c r="D648" s="24"/>
    </row>
    <row r="649" spans="4:4" ht="15.75" customHeight="1" x14ac:dyDescent="0.2">
      <c r="D649" s="24"/>
    </row>
    <row r="650" spans="4:4" ht="15.75" customHeight="1" x14ac:dyDescent="0.2">
      <c r="D650" s="24"/>
    </row>
    <row r="651" spans="4:4" ht="15.75" customHeight="1" x14ac:dyDescent="0.2">
      <c r="D651" s="24"/>
    </row>
    <row r="652" spans="4:4" ht="15.75" customHeight="1" x14ac:dyDescent="0.2">
      <c r="D652" s="24"/>
    </row>
    <row r="653" spans="4:4" ht="15.75" customHeight="1" x14ac:dyDescent="0.2">
      <c r="D653" s="24"/>
    </row>
    <row r="654" spans="4:4" ht="15.75" customHeight="1" x14ac:dyDescent="0.2">
      <c r="D654" s="24"/>
    </row>
    <row r="655" spans="4:4" ht="15.75" customHeight="1" x14ac:dyDescent="0.2">
      <c r="D655" s="24"/>
    </row>
    <row r="656" spans="4:4" ht="15.75" customHeight="1" x14ac:dyDescent="0.2">
      <c r="D656" s="24"/>
    </row>
    <row r="657" spans="4:4" ht="15.75" customHeight="1" x14ac:dyDescent="0.2">
      <c r="D657" s="24"/>
    </row>
    <row r="658" spans="4:4" ht="15.75" customHeight="1" x14ac:dyDescent="0.2">
      <c r="D658" s="24"/>
    </row>
    <row r="659" spans="4:4" ht="15.75" customHeight="1" x14ac:dyDescent="0.2">
      <c r="D659" s="24"/>
    </row>
    <row r="660" spans="4:4" ht="15.75" customHeight="1" x14ac:dyDescent="0.2">
      <c r="D660" s="24"/>
    </row>
    <row r="661" spans="4:4" ht="15.75" customHeight="1" x14ac:dyDescent="0.2">
      <c r="D661" s="24"/>
    </row>
    <row r="662" spans="4:4" ht="15.75" customHeight="1" x14ac:dyDescent="0.2">
      <c r="D662" s="24"/>
    </row>
    <row r="663" spans="4:4" ht="15.75" customHeight="1" x14ac:dyDescent="0.2">
      <c r="D663" s="24"/>
    </row>
    <row r="664" spans="4:4" ht="15.75" customHeight="1" x14ac:dyDescent="0.2">
      <c r="D664" s="24"/>
    </row>
    <row r="665" spans="4:4" ht="15.75" customHeight="1" x14ac:dyDescent="0.2">
      <c r="D665" s="24"/>
    </row>
    <row r="666" spans="4:4" ht="15.75" customHeight="1" x14ac:dyDescent="0.2">
      <c r="D666" s="24"/>
    </row>
    <row r="667" spans="4:4" ht="15.75" customHeight="1" x14ac:dyDescent="0.2">
      <c r="D667" s="24"/>
    </row>
    <row r="668" spans="4:4" ht="15.75" customHeight="1" x14ac:dyDescent="0.2">
      <c r="D668" s="24"/>
    </row>
    <row r="669" spans="4:4" ht="15.75" customHeight="1" x14ac:dyDescent="0.2">
      <c r="D669" s="24"/>
    </row>
    <row r="670" spans="4:4" ht="15.75" customHeight="1" x14ac:dyDescent="0.2">
      <c r="D670" s="24"/>
    </row>
    <row r="671" spans="4:4" ht="15.75" customHeight="1" x14ac:dyDescent="0.2">
      <c r="D671" s="24"/>
    </row>
    <row r="672" spans="4:4" ht="15.75" customHeight="1" x14ac:dyDescent="0.2">
      <c r="D672" s="24"/>
    </row>
    <row r="673" spans="4:4" ht="15.75" customHeight="1" x14ac:dyDescent="0.2">
      <c r="D673" s="24"/>
    </row>
    <row r="674" spans="4:4" ht="15.75" customHeight="1" x14ac:dyDescent="0.2">
      <c r="D674" s="24"/>
    </row>
    <row r="675" spans="4:4" ht="15.75" customHeight="1" x14ac:dyDescent="0.2">
      <c r="D675" s="24"/>
    </row>
    <row r="676" spans="4:4" ht="15.75" customHeight="1" x14ac:dyDescent="0.2">
      <c r="D676" s="24"/>
    </row>
    <row r="677" spans="4:4" ht="15.75" customHeight="1" x14ac:dyDescent="0.2">
      <c r="D677" s="24"/>
    </row>
    <row r="678" spans="4:4" ht="15.75" customHeight="1" x14ac:dyDescent="0.2">
      <c r="D678" s="24"/>
    </row>
    <row r="679" spans="4:4" ht="15.75" customHeight="1" x14ac:dyDescent="0.2">
      <c r="D679" s="24"/>
    </row>
    <row r="680" spans="4:4" ht="15.75" customHeight="1" x14ac:dyDescent="0.2">
      <c r="D680" s="24"/>
    </row>
    <row r="681" spans="4:4" ht="15.75" customHeight="1" x14ac:dyDescent="0.2">
      <c r="D681" s="24"/>
    </row>
    <row r="682" spans="4:4" ht="15.75" customHeight="1" x14ac:dyDescent="0.2">
      <c r="D682" s="24"/>
    </row>
    <row r="683" spans="4:4" ht="15.75" customHeight="1" x14ac:dyDescent="0.2">
      <c r="D683" s="24"/>
    </row>
    <row r="684" spans="4:4" ht="15.75" customHeight="1" x14ac:dyDescent="0.2">
      <c r="D684" s="24"/>
    </row>
    <row r="685" spans="4:4" ht="15.75" customHeight="1" x14ac:dyDescent="0.2">
      <c r="D685" s="24"/>
    </row>
    <row r="686" spans="4:4" ht="15.75" customHeight="1" x14ac:dyDescent="0.2">
      <c r="D686" s="24"/>
    </row>
    <row r="687" spans="4:4" ht="15.75" customHeight="1" x14ac:dyDescent="0.2">
      <c r="D687" s="24"/>
    </row>
    <row r="688" spans="4:4" ht="15.75" customHeight="1" x14ac:dyDescent="0.2">
      <c r="D688" s="24"/>
    </row>
    <row r="689" spans="4:4" ht="15.75" customHeight="1" x14ac:dyDescent="0.2">
      <c r="D689" s="24"/>
    </row>
    <row r="690" spans="4:4" ht="15.75" customHeight="1" x14ac:dyDescent="0.2">
      <c r="D690" s="24"/>
    </row>
    <row r="691" spans="4:4" ht="15.75" customHeight="1" x14ac:dyDescent="0.2">
      <c r="D691" s="24"/>
    </row>
    <row r="692" spans="4:4" ht="15.75" customHeight="1" x14ac:dyDescent="0.2">
      <c r="D692" s="24"/>
    </row>
    <row r="693" spans="4:4" ht="15.75" customHeight="1" x14ac:dyDescent="0.2">
      <c r="D693" s="24"/>
    </row>
    <row r="694" spans="4:4" ht="15.75" customHeight="1" x14ac:dyDescent="0.2">
      <c r="D694" s="24"/>
    </row>
    <row r="695" spans="4:4" ht="15.75" customHeight="1" x14ac:dyDescent="0.2">
      <c r="D695" s="24"/>
    </row>
    <row r="696" spans="4:4" ht="15.75" customHeight="1" x14ac:dyDescent="0.2">
      <c r="D696" s="24"/>
    </row>
    <row r="697" spans="4:4" ht="15.75" customHeight="1" x14ac:dyDescent="0.2">
      <c r="D697" s="24"/>
    </row>
    <row r="698" spans="4:4" ht="15.75" customHeight="1" x14ac:dyDescent="0.2">
      <c r="D698" s="24"/>
    </row>
    <row r="699" spans="4:4" ht="15.75" customHeight="1" x14ac:dyDescent="0.2">
      <c r="D699" s="24"/>
    </row>
    <row r="700" spans="4:4" ht="15.75" customHeight="1" x14ac:dyDescent="0.2">
      <c r="D700" s="24"/>
    </row>
    <row r="701" spans="4:4" ht="15.75" customHeight="1" x14ac:dyDescent="0.2">
      <c r="D701" s="24"/>
    </row>
    <row r="702" spans="4:4" ht="15.75" customHeight="1" x14ac:dyDescent="0.2">
      <c r="D702" s="24"/>
    </row>
    <row r="703" spans="4:4" ht="15.75" customHeight="1" x14ac:dyDescent="0.2">
      <c r="D703" s="24"/>
    </row>
    <row r="704" spans="4:4" ht="15.75" customHeight="1" x14ac:dyDescent="0.2">
      <c r="D704" s="24"/>
    </row>
    <row r="705" spans="4:4" ht="15.75" customHeight="1" x14ac:dyDescent="0.2">
      <c r="D705" s="24"/>
    </row>
    <row r="706" spans="4:4" ht="15.75" customHeight="1" x14ac:dyDescent="0.2">
      <c r="D706" s="24"/>
    </row>
    <row r="707" spans="4:4" ht="15.75" customHeight="1" x14ac:dyDescent="0.2">
      <c r="D707" s="24"/>
    </row>
    <row r="708" spans="4:4" ht="15.75" customHeight="1" x14ac:dyDescent="0.2">
      <c r="D708" s="24"/>
    </row>
    <row r="709" spans="4:4" ht="15.75" customHeight="1" x14ac:dyDescent="0.2">
      <c r="D709" s="24"/>
    </row>
    <row r="710" spans="4:4" ht="15.75" customHeight="1" x14ac:dyDescent="0.2">
      <c r="D710" s="24"/>
    </row>
    <row r="711" spans="4:4" ht="15.75" customHeight="1" x14ac:dyDescent="0.2">
      <c r="D711" s="24"/>
    </row>
    <row r="712" spans="4:4" ht="15.75" customHeight="1" x14ac:dyDescent="0.2">
      <c r="D712" s="24"/>
    </row>
    <row r="713" spans="4:4" ht="15.75" customHeight="1" x14ac:dyDescent="0.2">
      <c r="D713" s="24"/>
    </row>
    <row r="714" spans="4:4" ht="15.75" customHeight="1" x14ac:dyDescent="0.2">
      <c r="D714" s="24"/>
    </row>
    <row r="715" spans="4:4" ht="15.75" customHeight="1" x14ac:dyDescent="0.2">
      <c r="D715" s="24"/>
    </row>
    <row r="716" spans="4:4" ht="15.75" customHeight="1" x14ac:dyDescent="0.2">
      <c r="D716" s="24"/>
    </row>
    <row r="717" spans="4:4" ht="15.75" customHeight="1" x14ac:dyDescent="0.2">
      <c r="D717" s="24"/>
    </row>
    <row r="718" spans="4:4" ht="15.75" customHeight="1" x14ac:dyDescent="0.2">
      <c r="D718" s="24"/>
    </row>
    <row r="719" spans="4:4" ht="15.75" customHeight="1" x14ac:dyDescent="0.2">
      <c r="D719" s="24"/>
    </row>
    <row r="720" spans="4:4" ht="15.75" customHeight="1" x14ac:dyDescent="0.2">
      <c r="D720" s="24"/>
    </row>
    <row r="721" spans="4:4" ht="15.75" customHeight="1" x14ac:dyDescent="0.2">
      <c r="D721" s="24"/>
    </row>
    <row r="722" spans="4:4" ht="15.75" customHeight="1" x14ac:dyDescent="0.2">
      <c r="D722" s="24"/>
    </row>
    <row r="723" spans="4:4" ht="15.75" customHeight="1" x14ac:dyDescent="0.2">
      <c r="D723" s="24"/>
    </row>
    <row r="724" spans="4:4" ht="15.75" customHeight="1" x14ac:dyDescent="0.2">
      <c r="D724" s="24"/>
    </row>
    <row r="725" spans="4:4" ht="15.75" customHeight="1" x14ac:dyDescent="0.2">
      <c r="D725" s="24"/>
    </row>
    <row r="726" spans="4:4" ht="15.75" customHeight="1" x14ac:dyDescent="0.2">
      <c r="D726" s="24"/>
    </row>
    <row r="727" spans="4:4" ht="15.75" customHeight="1" x14ac:dyDescent="0.2">
      <c r="D727" s="24"/>
    </row>
    <row r="728" spans="4:4" ht="15.75" customHeight="1" x14ac:dyDescent="0.2">
      <c r="D728" s="24"/>
    </row>
    <row r="729" spans="4:4" ht="15.75" customHeight="1" x14ac:dyDescent="0.2">
      <c r="D729" s="24"/>
    </row>
    <row r="730" spans="4:4" ht="15.75" customHeight="1" x14ac:dyDescent="0.2">
      <c r="D730" s="24"/>
    </row>
    <row r="731" spans="4:4" ht="15.75" customHeight="1" x14ac:dyDescent="0.2">
      <c r="D731" s="24"/>
    </row>
    <row r="732" spans="4:4" ht="15.75" customHeight="1" x14ac:dyDescent="0.2">
      <c r="D732" s="24"/>
    </row>
    <row r="733" spans="4:4" ht="15.75" customHeight="1" x14ac:dyDescent="0.2">
      <c r="D733" s="24"/>
    </row>
    <row r="734" spans="4:4" ht="15.75" customHeight="1" x14ac:dyDescent="0.2">
      <c r="D734" s="24"/>
    </row>
    <row r="735" spans="4:4" ht="15.75" customHeight="1" x14ac:dyDescent="0.2">
      <c r="D735" s="24"/>
    </row>
    <row r="736" spans="4:4" ht="15.75" customHeight="1" x14ac:dyDescent="0.2">
      <c r="D736" s="24"/>
    </row>
    <row r="737" spans="4:4" ht="15.75" customHeight="1" x14ac:dyDescent="0.2">
      <c r="D737" s="24"/>
    </row>
    <row r="738" spans="4:4" ht="15.75" customHeight="1" x14ac:dyDescent="0.2">
      <c r="D738" s="24"/>
    </row>
    <row r="739" spans="4:4" ht="15.75" customHeight="1" x14ac:dyDescent="0.2">
      <c r="D739" s="24"/>
    </row>
    <row r="740" spans="4:4" ht="15.75" customHeight="1" x14ac:dyDescent="0.2">
      <c r="D740" s="24"/>
    </row>
    <row r="741" spans="4:4" ht="15.75" customHeight="1" x14ac:dyDescent="0.2">
      <c r="D741" s="24"/>
    </row>
    <row r="742" spans="4:4" ht="15.75" customHeight="1" x14ac:dyDescent="0.2">
      <c r="D742" s="24"/>
    </row>
    <row r="743" spans="4:4" ht="15.75" customHeight="1" x14ac:dyDescent="0.2">
      <c r="D743" s="24"/>
    </row>
    <row r="744" spans="4:4" ht="15.75" customHeight="1" x14ac:dyDescent="0.2">
      <c r="D744" s="24"/>
    </row>
    <row r="745" spans="4:4" ht="15.75" customHeight="1" x14ac:dyDescent="0.2">
      <c r="D745" s="24"/>
    </row>
    <row r="746" spans="4:4" ht="15.75" customHeight="1" x14ac:dyDescent="0.2">
      <c r="D746" s="24"/>
    </row>
    <row r="747" spans="4:4" ht="15.75" customHeight="1" x14ac:dyDescent="0.2">
      <c r="D747" s="24"/>
    </row>
    <row r="748" spans="4:4" ht="15.75" customHeight="1" x14ac:dyDescent="0.2">
      <c r="D748" s="24"/>
    </row>
    <row r="749" spans="4:4" ht="15.75" customHeight="1" x14ac:dyDescent="0.2">
      <c r="D749" s="24"/>
    </row>
    <row r="750" spans="4:4" ht="15.75" customHeight="1" x14ac:dyDescent="0.2">
      <c r="D750" s="24"/>
    </row>
    <row r="751" spans="4:4" ht="15.75" customHeight="1" x14ac:dyDescent="0.2">
      <c r="D751" s="24"/>
    </row>
    <row r="752" spans="4:4" ht="15.75" customHeight="1" x14ac:dyDescent="0.2">
      <c r="D752" s="24"/>
    </row>
    <row r="753" spans="4:4" ht="15.75" customHeight="1" x14ac:dyDescent="0.2">
      <c r="D753" s="24"/>
    </row>
    <row r="754" spans="4:4" ht="15.75" customHeight="1" x14ac:dyDescent="0.2">
      <c r="D754" s="24"/>
    </row>
    <row r="755" spans="4:4" ht="15.75" customHeight="1" x14ac:dyDescent="0.2">
      <c r="D755" s="24"/>
    </row>
    <row r="756" spans="4:4" ht="15.75" customHeight="1" x14ac:dyDescent="0.2">
      <c r="D756" s="24"/>
    </row>
    <row r="757" spans="4:4" ht="15.75" customHeight="1" x14ac:dyDescent="0.2">
      <c r="D757" s="24"/>
    </row>
    <row r="758" spans="4:4" ht="15.75" customHeight="1" x14ac:dyDescent="0.2">
      <c r="D758" s="24"/>
    </row>
    <row r="759" spans="4:4" ht="15.75" customHeight="1" x14ac:dyDescent="0.2">
      <c r="D759" s="24"/>
    </row>
    <row r="760" spans="4:4" ht="15.75" customHeight="1" x14ac:dyDescent="0.2">
      <c r="D760" s="24"/>
    </row>
    <row r="761" spans="4:4" ht="15.75" customHeight="1" x14ac:dyDescent="0.2">
      <c r="D761" s="24"/>
    </row>
    <row r="762" spans="4:4" ht="15.75" customHeight="1" x14ac:dyDescent="0.2">
      <c r="D762" s="24"/>
    </row>
    <row r="763" spans="4:4" ht="15.75" customHeight="1" x14ac:dyDescent="0.2">
      <c r="D763" s="24"/>
    </row>
    <row r="764" spans="4:4" ht="15.75" customHeight="1" x14ac:dyDescent="0.2">
      <c r="D764" s="24"/>
    </row>
    <row r="765" spans="4:4" ht="15.75" customHeight="1" x14ac:dyDescent="0.2">
      <c r="D765" s="24"/>
    </row>
    <row r="766" spans="4:4" ht="15.75" customHeight="1" x14ac:dyDescent="0.2">
      <c r="D766" s="24"/>
    </row>
    <row r="767" spans="4:4" ht="15.75" customHeight="1" x14ac:dyDescent="0.2">
      <c r="D767" s="24"/>
    </row>
    <row r="768" spans="4:4" ht="15.75" customHeight="1" x14ac:dyDescent="0.2">
      <c r="D768" s="24"/>
    </row>
    <row r="769" spans="4:4" ht="15.75" customHeight="1" x14ac:dyDescent="0.2">
      <c r="D769" s="24"/>
    </row>
    <row r="770" spans="4:4" ht="15.75" customHeight="1" x14ac:dyDescent="0.2">
      <c r="D770" s="24"/>
    </row>
    <row r="771" spans="4:4" ht="15.75" customHeight="1" x14ac:dyDescent="0.2">
      <c r="D771" s="24"/>
    </row>
    <row r="772" spans="4:4" ht="15.75" customHeight="1" x14ac:dyDescent="0.2">
      <c r="D772" s="24"/>
    </row>
    <row r="773" spans="4:4" ht="15.75" customHeight="1" x14ac:dyDescent="0.2">
      <c r="D773" s="24"/>
    </row>
    <row r="774" spans="4:4" ht="15.75" customHeight="1" x14ac:dyDescent="0.2">
      <c r="D774" s="24"/>
    </row>
    <row r="775" spans="4:4" ht="15.75" customHeight="1" x14ac:dyDescent="0.2">
      <c r="D775" s="24"/>
    </row>
    <row r="776" spans="4:4" ht="15.75" customHeight="1" x14ac:dyDescent="0.2">
      <c r="D776" s="24"/>
    </row>
    <row r="777" spans="4:4" ht="15.75" customHeight="1" x14ac:dyDescent="0.2">
      <c r="D777" s="24"/>
    </row>
    <row r="778" spans="4:4" ht="15.75" customHeight="1" x14ac:dyDescent="0.2">
      <c r="D778" s="24"/>
    </row>
    <row r="779" spans="4:4" ht="15.75" customHeight="1" x14ac:dyDescent="0.2">
      <c r="D779" s="24"/>
    </row>
    <row r="780" spans="4:4" ht="15.75" customHeight="1" x14ac:dyDescent="0.2">
      <c r="D780" s="24"/>
    </row>
    <row r="781" spans="4:4" ht="15.75" customHeight="1" x14ac:dyDescent="0.2">
      <c r="D781" s="24"/>
    </row>
    <row r="782" spans="4:4" ht="15.75" customHeight="1" x14ac:dyDescent="0.2">
      <c r="D782" s="24"/>
    </row>
    <row r="783" spans="4:4" ht="15.75" customHeight="1" x14ac:dyDescent="0.2">
      <c r="D783" s="24"/>
    </row>
    <row r="784" spans="4:4" ht="15.75" customHeight="1" x14ac:dyDescent="0.2">
      <c r="D784" s="24"/>
    </row>
    <row r="785" spans="4:4" ht="15.75" customHeight="1" x14ac:dyDescent="0.2">
      <c r="D785" s="24"/>
    </row>
    <row r="786" spans="4:4" ht="15.75" customHeight="1" x14ac:dyDescent="0.2">
      <c r="D786" s="24"/>
    </row>
    <row r="787" spans="4:4" ht="15.75" customHeight="1" x14ac:dyDescent="0.2">
      <c r="D787" s="24"/>
    </row>
    <row r="788" spans="4:4" ht="15.75" customHeight="1" x14ac:dyDescent="0.2">
      <c r="D788" s="24"/>
    </row>
    <row r="789" spans="4:4" ht="15.75" customHeight="1" x14ac:dyDescent="0.2">
      <c r="D789" s="24"/>
    </row>
    <row r="790" spans="4:4" ht="15.75" customHeight="1" x14ac:dyDescent="0.2">
      <c r="D790" s="24"/>
    </row>
    <row r="791" spans="4:4" ht="15.75" customHeight="1" x14ac:dyDescent="0.2">
      <c r="D791" s="24"/>
    </row>
    <row r="792" spans="4:4" ht="15.75" customHeight="1" x14ac:dyDescent="0.2">
      <c r="D792" s="24"/>
    </row>
    <row r="793" spans="4:4" ht="15.75" customHeight="1" x14ac:dyDescent="0.2">
      <c r="D793" s="24"/>
    </row>
    <row r="794" spans="4:4" ht="15.75" customHeight="1" x14ac:dyDescent="0.2">
      <c r="D794" s="24"/>
    </row>
    <row r="795" spans="4:4" ht="15.75" customHeight="1" x14ac:dyDescent="0.2">
      <c r="D795" s="24"/>
    </row>
    <row r="796" spans="4:4" ht="15.75" customHeight="1" x14ac:dyDescent="0.2">
      <c r="D796" s="24"/>
    </row>
    <row r="797" spans="4:4" ht="15.75" customHeight="1" x14ac:dyDescent="0.2">
      <c r="D797" s="24"/>
    </row>
    <row r="798" spans="4:4" ht="15.75" customHeight="1" x14ac:dyDescent="0.2">
      <c r="D798" s="24"/>
    </row>
    <row r="799" spans="4:4" ht="15.75" customHeight="1" x14ac:dyDescent="0.2">
      <c r="D799" s="24"/>
    </row>
    <row r="800" spans="4:4" ht="15.75" customHeight="1" x14ac:dyDescent="0.2">
      <c r="D800" s="24"/>
    </row>
    <row r="801" spans="4:4" ht="15.75" customHeight="1" x14ac:dyDescent="0.2">
      <c r="D801" s="24"/>
    </row>
    <row r="802" spans="4:4" ht="15.75" customHeight="1" x14ac:dyDescent="0.2">
      <c r="D802" s="24"/>
    </row>
    <row r="803" spans="4:4" ht="15.75" customHeight="1" x14ac:dyDescent="0.2">
      <c r="D803" s="24"/>
    </row>
    <row r="804" spans="4:4" ht="15.75" customHeight="1" x14ac:dyDescent="0.2">
      <c r="D804" s="24"/>
    </row>
    <row r="805" spans="4:4" ht="15.75" customHeight="1" x14ac:dyDescent="0.2">
      <c r="D805" s="24"/>
    </row>
    <row r="806" spans="4:4" ht="15.75" customHeight="1" x14ac:dyDescent="0.2">
      <c r="D806" s="24"/>
    </row>
    <row r="807" spans="4:4" ht="15.75" customHeight="1" x14ac:dyDescent="0.2">
      <c r="D807" s="24"/>
    </row>
    <row r="808" spans="4:4" ht="15.75" customHeight="1" x14ac:dyDescent="0.2">
      <c r="D808" s="24"/>
    </row>
    <row r="809" spans="4:4" ht="15.75" customHeight="1" x14ac:dyDescent="0.2">
      <c r="D809" s="24"/>
    </row>
    <row r="810" spans="4:4" ht="15.75" customHeight="1" x14ac:dyDescent="0.2">
      <c r="D810" s="24"/>
    </row>
    <row r="811" spans="4:4" ht="15.75" customHeight="1" x14ac:dyDescent="0.2">
      <c r="D811" s="24"/>
    </row>
    <row r="812" spans="4:4" ht="15.75" customHeight="1" x14ac:dyDescent="0.2">
      <c r="D812" s="24"/>
    </row>
    <row r="813" spans="4:4" ht="15.75" customHeight="1" x14ac:dyDescent="0.2">
      <c r="D813" s="24"/>
    </row>
    <row r="814" spans="4:4" ht="15.75" customHeight="1" x14ac:dyDescent="0.2">
      <c r="D814" s="24"/>
    </row>
    <row r="815" spans="4:4" ht="15.75" customHeight="1" x14ac:dyDescent="0.2">
      <c r="D815" s="24"/>
    </row>
    <row r="816" spans="4:4" ht="15.75" customHeight="1" x14ac:dyDescent="0.2">
      <c r="D816" s="24"/>
    </row>
    <row r="817" spans="4:4" ht="15.75" customHeight="1" x14ac:dyDescent="0.2">
      <c r="D817" s="24"/>
    </row>
    <row r="818" spans="4:4" ht="15.75" customHeight="1" x14ac:dyDescent="0.2">
      <c r="D818" s="24"/>
    </row>
    <row r="819" spans="4:4" ht="15.75" customHeight="1" x14ac:dyDescent="0.2">
      <c r="D819" s="24"/>
    </row>
    <row r="820" spans="4:4" ht="15.75" customHeight="1" x14ac:dyDescent="0.2">
      <c r="D820" s="24"/>
    </row>
    <row r="821" spans="4:4" ht="15.75" customHeight="1" x14ac:dyDescent="0.2">
      <c r="D821" s="24"/>
    </row>
    <row r="822" spans="4:4" ht="15.75" customHeight="1" x14ac:dyDescent="0.2">
      <c r="D822" s="24"/>
    </row>
    <row r="823" spans="4:4" ht="15.75" customHeight="1" x14ac:dyDescent="0.2">
      <c r="D823" s="24"/>
    </row>
    <row r="824" spans="4:4" ht="15.75" customHeight="1" x14ac:dyDescent="0.2">
      <c r="D824" s="24"/>
    </row>
    <row r="825" spans="4:4" ht="15.75" customHeight="1" x14ac:dyDescent="0.2">
      <c r="D825" s="24"/>
    </row>
    <row r="826" spans="4:4" ht="15.75" customHeight="1" x14ac:dyDescent="0.2">
      <c r="D826" s="24"/>
    </row>
    <row r="827" spans="4:4" ht="15.75" customHeight="1" x14ac:dyDescent="0.2">
      <c r="D827" s="24"/>
    </row>
    <row r="828" spans="4:4" ht="15.75" customHeight="1" x14ac:dyDescent="0.2">
      <c r="D828" s="24"/>
    </row>
    <row r="829" spans="4:4" ht="15.75" customHeight="1" x14ac:dyDescent="0.2">
      <c r="D829" s="24"/>
    </row>
    <row r="830" spans="4:4" ht="15.75" customHeight="1" x14ac:dyDescent="0.2">
      <c r="D830" s="24"/>
    </row>
    <row r="831" spans="4:4" ht="15.75" customHeight="1" x14ac:dyDescent="0.2">
      <c r="D831" s="24"/>
    </row>
    <row r="832" spans="4:4" ht="15.75" customHeight="1" x14ac:dyDescent="0.2">
      <c r="D832" s="24"/>
    </row>
    <row r="833" spans="4:4" ht="15.75" customHeight="1" x14ac:dyDescent="0.2">
      <c r="D833" s="24"/>
    </row>
    <row r="834" spans="4:4" ht="15.75" customHeight="1" x14ac:dyDescent="0.2">
      <c r="D834" s="24"/>
    </row>
    <row r="835" spans="4:4" ht="15.75" customHeight="1" x14ac:dyDescent="0.2">
      <c r="D835" s="24"/>
    </row>
    <row r="836" spans="4:4" ht="15.75" customHeight="1" x14ac:dyDescent="0.2">
      <c r="D836" s="24"/>
    </row>
    <row r="837" spans="4:4" ht="15.75" customHeight="1" x14ac:dyDescent="0.2">
      <c r="D837" s="24"/>
    </row>
    <row r="838" spans="4:4" ht="15.75" customHeight="1" x14ac:dyDescent="0.2">
      <c r="D838" s="24"/>
    </row>
    <row r="839" spans="4:4" ht="15.75" customHeight="1" x14ac:dyDescent="0.2">
      <c r="D839" s="24"/>
    </row>
    <row r="840" spans="4:4" ht="15.75" customHeight="1" x14ac:dyDescent="0.2">
      <c r="D840" s="24"/>
    </row>
    <row r="841" spans="4:4" ht="15.75" customHeight="1" x14ac:dyDescent="0.2">
      <c r="D841" s="24"/>
    </row>
    <row r="842" spans="4:4" ht="15.75" customHeight="1" x14ac:dyDescent="0.2">
      <c r="D842" s="24"/>
    </row>
    <row r="843" spans="4:4" ht="15.75" customHeight="1" x14ac:dyDescent="0.2">
      <c r="D843" s="24"/>
    </row>
    <row r="844" spans="4:4" ht="15.75" customHeight="1" x14ac:dyDescent="0.2">
      <c r="D844" s="24"/>
    </row>
    <row r="845" spans="4:4" ht="15.75" customHeight="1" x14ac:dyDescent="0.2">
      <c r="D845" s="24"/>
    </row>
    <row r="846" spans="4:4" ht="15.75" customHeight="1" x14ac:dyDescent="0.2">
      <c r="D846" s="24"/>
    </row>
    <row r="847" spans="4:4" ht="15.75" customHeight="1" x14ac:dyDescent="0.2">
      <c r="D847" s="24"/>
    </row>
    <row r="848" spans="4:4" ht="15.75" customHeight="1" x14ac:dyDescent="0.2">
      <c r="D848" s="24"/>
    </row>
    <row r="849" spans="4:4" ht="15.75" customHeight="1" x14ac:dyDescent="0.2">
      <c r="D849" s="24"/>
    </row>
    <row r="850" spans="4:4" ht="15.75" customHeight="1" x14ac:dyDescent="0.2">
      <c r="D850" s="24"/>
    </row>
    <row r="851" spans="4:4" ht="15.75" customHeight="1" x14ac:dyDescent="0.2">
      <c r="D851" s="24"/>
    </row>
    <row r="852" spans="4:4" ht="15.75" customHeight="1" x14ac:dyDescent="0.2">
      <c r="D852" s="24"/>
    </row>
    <row r="853" spans="4:4" ht="15.75" customHeight="1" x14ac:dyDescent="0.2">
      <c r="D853" s="24"/>
    </row>
    <row r="854" spans="4:4" ht="15.75" customHeight="1" x14ac:dyDescent="0.2">
      <c r="D854" s="24"/>
    </row>
    <row r="855" spans="4:4" ht="15.75" customHeight="1" x14ac:dyDescent="0.2">
      <c r="D855" s="24"/>
    </row>
    <row r="856" spans="4:4" ht="15.75" customHeight="1" x14ac:dyDescent="0.2">
      <c r="D856" s="24"/>
    </row>
    <row r="857" spans="4:4" ht="15.75" customHeight="1" x14ac:dyDescent="0.2">
      <c r="D857" s="24"/>
    </row>
    <row r="858" spans="4:4" ht="15.75" customHeight="1" x14ac:dyDescent="0.2">
      <c r="D858" s="24"/>
    </row>
    <row r="859" spans="4:4" ht="15.75" customHeight="1" x14ac:dyDescent="0.2">
      <c r="D859" s="24"/>
    </row>
    <row r="860" spans="4:4" ht="15.75" customHeight="1" x14ac:dyDescent="0.2">
      <c r="D860" s="24"/>
    </row>
    <row r="861" spans="4:4" ht="15.75" customHeight="1" x14ac:dyDescent="0.2">
      <c r="D861" s="24"/>
    </row>
    <row r="862" spans="4:4" ht="15.75" customHeight="1" x14ac:dyDescent="0.2">
      <c r="D862" s="24"/>
    </row>
    <row r="863" spans="4:4" ht="15.75" customHeight="1" x14ac:dyDescent="0.2">
      <c r="D863" s="24"/>
    </row>
    <row r="864" spans="4:4" ht="15.75" customHeight="1" x14ac:dyDescent="0.2">
      <c r="D864" s="24"/>
    </row>
    <row r="865" spans="4:4" ht="15.75" customHeight="1" x14ac:dyDescent="0.2">
      <c r="D865" s="24"/>
    </row>
    <row r="866" spans="4:4" ht="15.75" customHeight="1" x14ac:dyDescent="0.2">
      <c r="D866" s="24"/>
    </row>
    <row r="867" spans="4:4" ht="15.75" customHeight="1" x14ac:dyDescent="0.2">
      <c r="D867" s="24"/>
    </row>
    <row r="868" spans="4:4" ht="15.75" customHeight="1" x14ac:dyDescent="0.2">
      <c r="D868" s="24"/>
    </row>
    <row r="869" spans="4:4" ht="15.75" customHeight="1" x14ac:dyDescent="0.2">
      <c r="D869" s="24"/>
    </row>
    <row r="870" spans="4:4" ht="15.75" customHeight="1" x14ac:dyDescent="0.2">
      <c r="D870" s="24"/>
    </row>
    <row r="871" spans="4:4" ht="15.75" customHeight="1" x14ac:dyDescent="0.2">
      <c r="D871" s="24"/>
    </row>
    <row r="872" spans="4:4" ht="15.75" customHeight="1" x14ac:dyDescent="0.2">
      <c r="D872" s="24"/>
    </row>
    <row r="873" spans="4:4" ht="15.75" customHeight="1" x14ac:dyDescent="0.2">
      <c r="D873" s="24"/>
    </row>
    <row r="874" spans="4:4" ht="15.75" customHeight="1" x14ac:dyDescent="0.2">
      <c r="D874" s="24"/>
    </row>
    <row r="875" spans="4:4" ht="15.75" customHeight="1" x14ac:dyDescent="0.2">
      <c r="D875" s="24"/>
    </row>
    <row r="876" spans="4:4" ht="15.75" customHeight="1" x14ac:dyDescent="0.2">
      <c r="D876" s="24"/>
    </row>
    <row r="877" spans="4:4" ht="15.75" customHeight="1" x14ac:dyDescent="0.2">
      <c r="D877" s="24"/>
    </row>
    <row r="878" spans="4:4" ht="15.75" customHeight="1" x14ac:dyDescent="0.2">
      <c r="D878" s="24"/>
    </row>
    <row r="879" spans="4:4" ht="15.75" customHeight="1" x14ac:dyDescent="0.2">
      <c r="D879" s="24"/>
    </row>
    <row r="880" spans="4:4" ht="15.75" customHeight="1" x14ac:dyDescent="0.2">
      <c r="D880" s="24"/>
    </row>
    <row r="881" spans="4:4" ht="15.75" customHeight="1" x14ac:dyDescent="0.2">
      <c r="D881" s="24"/>
    </row>
    <row r="882" spans="4:4" ht="15.75" customHeight="1" x14ac:dyDescent="0.2">
      <c r="D882" s="24"/>
    </row>
    <row r="883" spans="4:4" ht="15.75" customHeight="1" x14ac:dyDescent="0.2">
      <c r="D883" s="24"/>
    </row>
    <row r="884" spans="4:4" ht="15.75" customHeight="1" x14ac:dyDescent="0.2">
      <c r="D884" s="24"/>
    </row>
    <row r="885" spans="4:4" ht="15.75" customHeight="1" x14ac:dyDescent="0.2">
      <c r="D885" s="24"/>
    </row>
    <row r="886" spans="4:4" ht="15.75" customHeight="1" x14ac:dyDescent="0.2">
      <c r="D886" s="24"/>
    </row>
    <row r="887" spans="4:4" ht="15.75" customHeight="1" x14ac:dyDescent="0.2">
      <c r="D887" s="24"/>
    </row>
    <row r="888" spans="4:4" ht="15.75" customHeight="1" x14ac:dyDescent="0.2">
      <c r="D888" s="24"/>
    </row>
    <row r="889" spans="4:4" ht="15.75" customHeight="1" x14ac:dyDescent="0.2">
      <c r="D889" s="24"/>
    </row>
    <row r="890" spans="4:4" ht="15.75" customHeight="1" x14ac:dyDescent="0.2">
      <c r="D890" s="24"/>
    </row>
    <row r="891" spans="4:4" ht="15.75" customHeight="1" x14ac:dyDescent="0.2">
      <c r="D891" s="24"/>
    </row>
    <row r="892" spans="4:4" ht="15.75" customHeight="1" x14ac:dyDescent="0.2">
      <c r="D892" s="24"/>
    </row>
    <row r="893" spans="4:4" ht="15.75" customHeight="1" x14ac:dyDescent="0.2">
      <c r="D893" s="24"/>
    </row>
    <row r="894" spans="4:4" ht="15.75" customHeight="1" x14ac:dyDescent="0.2">
      <c r="D894" s="24"/>
    </row>
    <row r="895" spans="4:4" ht="15.75" customHeight="1" x14ac:dyDescent="0.2">
      <c r="D895" s="24"/>
    </row>
    <row r="896" spans="4:4" ht="15.75" customHeight="1" x14ac:dyDescent="0.2">
      <c r="D896" s="24"/>
    </row>
    <row r="897" spans="4:4" ht="15.75" customHeight="1" x14ac:dyDescent="0.2">
      <c r="D897" s="24"/>
    </row>
    <row r="898" spans="4:4" ht="15.75" customHeight="1" x14ac:dyDescent="0.2">
      <c r="D898" s="24"/>
    </row>
    <row r="899" spans="4:4" ht="15.75" customHeight="1" x14ac:dyDescent="0.2">
      <c r="D899" s="24"/>
    </row>
    <row r="900" spans="4:4" ht="15.75" customHeight="1" x14ac:dyDescent="0.2">
      <c r="D900" s="24"/>
    </row>
    <row r="901" spans="4:4" ht="15.75" customHeight="1" x14ac:dyDescent="0.2">
      <c r="D901" s="24"/>
    </row>
    <row r="902" spans="4:4" ht="15.75" customHeight="1" x14ac:dyDescent="0.2">
      <c r="D902" s="24"/>
    </row>
    <row r="903" spans="4:4" ht="15.75" customHeight="1" x14ac:dyDescent="0.2">
      <c r="D903" s="24"/>
    </row>
    <row r="904" spans="4:4" ht="15.75" customHeight="1" x14ac:dyDescent="0.2">
      <c r="D904" s="24"/>
    </row>
    <row r="905" spans="4:4" ht="15.75" customHeight="1" x14ac:dyDescent="0.2">
      <c r="D905" s="24"/>
    </row>
    <row r="906" spans="4:4" ht="15.75" customHeight="1" x14ac:dyDescent="0.2">
      <c r="D906" s="24"/>
    </row>
    <row r="907" spans="4:4" ht="15.75" customHeight="1" x14ac:dyDescent="0.2">
      <c r="D907" s="24"/>
    </row>
    <row r="908" spans="4:4" ht="15.75" customHeight="1" x14ac:dyDescent="0.2">
      <c r="D908" s="24"/>
    </row>
    <row r="909" spans="4:4" ht="15.75" customHeight="1" x14ac:dyDescent="0.2">
      <c r="D909" s="24"/>
    </row>
    <row r="910" spans="4:4" ht="15.75" customHeight="1" x14ac:dyDescent="0.2">
      <c r="D910" s="24"/>
    </row>
    <row r="911" spans="4:4" ht="15.75" customHeight="1" x14ac:dyDescent="0.2">
      <c r="D911" s="24"/>
    </row>
    <row r="912" spans="4:4" ht="15.75" customHeight="1" x14ac:dyDescent="0.2">
      <c r="D912" s="24"/>
    </row>
    <row r="913" spans="4:4" ht="15.75" customHeight="1" x14ac:dyDescent="0.2">
      <c r="D913" s="24"/>
    </row>
    <row r="914" spans="4:4" ht="15.75" customHeight="1" x14ac:dyDescent="0.2">
      <c r="D914" s="24"/>
    </row>
    <row r="915" spans="4:4" ht="15.75" customHeight="1" x14ac:dyDescent="0.2">
      <c r="D915" s="24"/>
    </row>
    <row r="916" spans="4:4" ht="15.75" customHeight="1" x14ac:dyDescent="0.2">
      <c r="D916" s="24"/>
    </row>
    <row r="917" spans="4:4" ht="15.75" customHeight="1" x14ac:dyDescent="0.2">
      <c r="D917" s="24"/>
    </row>
    <row r="918" spans="4:4" ht="15.75" customHeight="1" x14ac:dyDescent="0.2">
      <c r="D918" s="24"/>
    </row>
    <row r="919" spans="4:4" ht="15.75" customHeight="1" x14ac:dyDescent="0.2">
      <c r="D919" s="24"/>
    </row>
    <row r="920" spans="4:4" ht="15.75" customHeight="1" x14ac:dyDescent="0.2">
      <c r="D920" s="24"/>
    </row>
    <row r="921" spans="4:4" ht="15.75" customHeight="1" x14ac:dyDescent="0.2">
      <c r="D921" s="24"/>
    </row>
    <row r="922" spans="4:4" ht="15.75" customHeight="1" x14ac:dyDescent="0.2">
      <c r="D922" s="24"/>
    </row>
    <row r="923" spans="4:4" ht="15.75" customHeight="1" x14ac:dyDescent="0.2">
      <c r="D923" s="24"/>
    </row>
    <row r="924" spans="4:4" ht="15.75" customHeight="1" x14ac:dyDescent="0.2">
      <c r="D924" s="24"/>
    </row>
    <row r="925" spans="4:4" ht="15.75" customHeight="1" x14ac:dyDescent="0.2">
      <c r="D925" s="24"/>
    </row>
    <row r="926" spans="4:4" ht="15.75" customHeight="1" x14ac:dyDescent="0.2">
      <c r="D926" s="24"/>
    </row>
    <row r="927" spans="4:4" ht="15.75" customHeight="1" x14ac:dyDescent="0.2">
      <c r="D927" s="24"/>
    </row>
    <row r="928" spans="4:4" ht="15.75" customHeight="1" x14ac:dyDescent="0.2">
      <c r="D928" s="24"/>
    </row>
    <row r="929" spans="4:4" ht="15.75" customHeight="1" x14ac:dyDescent="0.2">
      <c r="D929" s="24"/>
    </row>
    <row r="930" spans="4:4" ht="15.75" customHeight="1" x14ac:dyDescent="0.2">
      <c r="D930" s="24"/>
    </row>
    <row r="931" spans="4:4" ht="15.75" customHeight="1" x14ac:dyDescent="0.2">
      <c r="D931" s="24"/>
    </row>
    <row r="932" spans="4:4" ht="15.75" customHeight="1" x14ac:dyDescent="0.2">
      <c r="D932" s="24"/>
    </row>
    <row r="933" spans="4:4" ht="15.75" customHeight="1" x14ac:dyDescent="0.2">
      <c r="D933" s="24"/>
    </row>
    <row r="934" spans="4:4" ht="15.75" customHeight="1" x14ac:dyDescent="0.2">
      <c r="D934" s="24"/>
    </row>
    <row r="935" spans="4:4" ht="15.75" customHeight="1" x14ac:dyDescent="0.2">
      <c r="D935" s="24"/>
    </row>
    <row r="936" spans="4:4" ht="15.75" customHeight="1" x14ac:dyDescent="0.2">
      <c r="D936" s="24"/>
    </row>
    <row r="937" spans="4:4" ht="15.75" customHeight="1" x14ac:dyDescent="0.2">
      <c r="D937" s="24"/>
    </row>
    <row r="938" spans="4:4" ht="15.75" customHeight="1" x14ac:dyDescent="0.2">
      <c r="D938" s="24"/>
    </row>
    <row r="939" spans="4:4" ht="15.75" customHeight="1" x14ac:dyDescent="0.2">
      <c r="D939" s="24"/>
    </row>
    <row r="940" spans="4:4" ht="15.75" customHeight="1" x14ac:dyDescent="0.2">
      <c r="D940" s="24"/>
    </row>
    <row r="941" spans="4:4" ht="15.75" customHeight="1" x14ac:dyDescent="0.2">
      <c r="D941" s="24"/>
    </row>
    <row r="942" spans="4:4" ht="15.75" customHeight="1" x14ac:dyDescent="0.2">
      <c r="D942" s="24"/>
    </row>
    <row r="943" spans="4:4" ht="15.75" customHeight="1" x14ac:dyDescent="0.2">
      <c r="D943" s="24"/>
    </row>
    <row r="944" spans="4:4" ht="15.75" customHeight="1" x14ac:dyDescent="0.2">
      <c r="D944" s="24"/>
    </row>
    <row r="945" spans="4:4" ht="15.75" customHeight="1" x14ac:dyDescent="0.2">
      <c r="D945" s="24"/>
    </row>
    <row r="946" spans="4:4" ht="15.75" customHeight="1" x14ac:dyDescent="0.2">
      <c r="D946" s="24"/>
    </row>
    <row r="947" spans="4:4" ht="15.75" customHeight="1" x14ac:dyDescent="0.2">
      <c r="D947" s="24"/>
    </row>
    <row r="948" spans="4:4" ht="15.75" customHeight="1" x14ac:dyDescent="0.2">
      <c r="D948" s="24"/>
    </row>
    <row r="949" spans="4:4" ht="15.75" customHeight="1" x14ac:dyDescent="0.2">
      <c r="D949" s="24"/>
    </row>
    <row r="950" spans="4:4" ht="15.75" customHeight="1" x14ac:dyDescent="0.2">
      <c r="D950" s="24"/>
    </row>
    <row r="951" spans="4:4" ht="15.75" customHeight="1" x14ac:dyDescent="0.2">
      <c r="D951" s="24"/>
    </row>
    <row r="952" spans="4:4" ht="15.75" customHeight="1" x14ac:dyDescent="0.2">
      <c r="D952" s="24"/>
    </row>
    <row r="953" spans="4:4" ht="15.75" customHeight="1" x14ac:dyDescent="0.2">
      <c r="D953" s="24"/>
    </row>
    <row r="954" spans="4:4" ht="15.75" customHeight="1" x14ac:dyDescent="0.2">
      <c r="D954" s="24"/>
    </row>
    <row r="955" spans="4:4" ht="15.75" customHeight="1" x14ac:dyDescent="0.2">
      <c r="D955" s="24"/>
    </row>
    <row r="956" spans="4:4" ht="15.75" customHeight="1" x14ac:dyDescent="0.2">
      <c r="D956" s="24"/>
    </row>
    <row r="957" spans="4:4" ht="15.75" customHeight="1" x14ac:dyDescent="0.2">
      <c r="D957" s="24"/>
    </row>
    <row r="958" spans="4:4" ht="15.75" customHeight="1" x14ac:dyDescent="0.2">
      <c r="D958" s="24"/>
    </row>
    <row r="959" spans="4:4" ht="15.75" customHeight="1" x14ac:dyDescent="0.2">
      <c r="D959" s="24"/>
    </row>
    <row r="960" spans="4:4" ht="15.75" customHeight="1" x14ac:dyDescent="0.2">
      <c r="D960" s="24"/>
    </row>
    <row r="961" spans="4:4" ht="15.75" customHeight="1" x14ac:dyDescent="0.2">
      <c r="D961" s="24"/>
    </row>
    <row r="962" spans="4:4" ht="15.75" customHeight="1" x14ac:dyDescent="0.2">
      <c r="D962" s="24"/>
    </row>
    <row r="963" spans="4:4" ht="15.75" customHeight="1" x14ac:dyDescent="0.2">
      <c r="D963" s="24"/>
    </row>
    <row r="964" spans="4:4" ht="15.75" customHeight="1" x14ac:dyDescent="0.2">
      <c r="D964" s="24"/>
    </row>
    <row r="965" spans="4:4" ht="15.75" customHeight="1" x14ac:dyDescent="0.2">
      <c r="D965" s="24"/>
    </row>
    <row r="966" spans="4:4" ht="15.75" customHeight="1" x14ac:dyDescent="0.2">
      <c r="D966" s="24"/>
    </row>
    <row r="967" spans="4:4" ht="15.75" customHeight="1" x14ac:dyDescent="0.2">
      <c r="D967" s="24"/>
    </row>
    <row r="968" spans="4:4" ht="15.75" customHeight="1" x14ac:dyDescent="0.2">
      <c r="D968" s="24"/>
    </row>
    <row r="969" spans="4:4" ht="15.75" customHeight="1" x14ac:dyDescent="0.2">
      <c r="D969" s="24"/>
    </row>
    <row r="970" spans="4:4" ht="15.75" customHeight="1" x14ac:dyDescent="0.2">
      <c r="D970" s="24"/>
    </row>
    <row r="971" spans="4:4" ht="15.75" customHeight="1" x14ac:dyDescent="0.2">
      <c r="D971" s="24"/>
    </row>
    <row r="972" spans="4:4" ht="15.75" customHeight="1" x14ac:dyDescent="0.2">
      <c r="D972" s="24"/>
    </row>
    <row r="973" spans="4:4" ht="15.75" customHeight="1" x14ac:dyDescent="0.2">
      <c r="D973" s="24"/>
    </row>
    <row r="974" spans="4:4" ht="15.75" customHeight="1" x14ac:dyDescent="0.2">
      <c r="D974" s="24"/>
    </row>
    <row r="975" spans="4:4" ht="15.75" customHeight="1" x14ac:dyDescent="0.2">
      <c r="D975" s="24"/>
    </row>
    <row r="976" spans="4:4" ht="15.75" customHeight="1" x14ac:dyDescent="0.2">
      <c r="D976" s="24"/>
    </row>
    <row r="977" spans="4:4" ht="15.75" customHeight="1" x14ac:dyDescent="0.2">
      <c r="D977" s="24"/>
    </row>
    <row r="978" spans="4:4" ht="15.75" customHeight="1" x14ac:dyDescent="0.2">
      <c r="D978" s="24"/>
    </row>
    <row r="979" spans="4:4" ht="15.75" customHeight="1" x14ac:dyDescent="0.2">
      <c r="D979" s="24"/>
    </row>
    <row r="980" spans="4:4" ht="15.75" customHeight="1" x14ac:dyDescent="0.2">
      <c r="D980" s="24"/>
    </row>
    <row r="981" spans="4:4" ht="15.75" customHeight="1" x14ac:dyDescent="0.2">
      <c r="D981" s="24"/>
    </row>
    <row r="982" spans="4:4" ht="15.75" customHeight="1" x14ac:dyDescent="0.2">
      <c r="D982" s="24"/>
    </row>
    <row r="983" spans="4:4" ht="15.75" customHeight="1" x14ac:dyDescent="0.2">
      <c r="D983" s="24"/>
    </row>
    <row r="984" spans="4:4" ht="15.75" customHeight="1" x14ac:dyDescent="0.2">
      <c r="D984" s="24"/>
    </row>
    <row r="985" spans="4:4" ht="15.75" customHeight="1" x14ac:dyDescent="0.2">
      <c r="D985" s="24"/>
    </row>
    <row r="986" spans="4:4" ht="15.75" customHeight="1" x14ac:dyDescent="0.2">
      <c r="D986" s="24"/>
    </row>
    <row r="987" spans="4:4" ht="15.75" customHeight="1" x14ac:dyDescent="0.2">
      <c r="D987" s="24"/>
    </row>
    <row r="988" spans="4:4" ht="15.75" customHeight="1" x14ac:dyDescent="0.2">
      <c r="D988" s="24"/>
    </row>
    <row r="989" spans="4:4" ht="15.75" customHeight="1" x14ac:dyDescent="0.2">
      <c r="D989" s="24"/>
    </row>
    <row r="990" spans="4:4" ht="15.75" customHeight="1" x14ac:dyDescent="0.2">
      <c r="D990" s="24"/>
    </row>
    <row r="991" spans="4:4" ht="15.75" customHeight="1" x14ac:dyDescent="0.2">
      <c r="D991" s="24"/>
    </row>
    <row r="992" spans="4:4" ht="15.75" customHeight="1" x14ac:dyDescent="0.2">
      <c r="D992" s="24"/>
    </row>
    <row r="993" spans="4:4" ht="15.75" customHeight="1" x14ac:dyDescent="0.2">
      <c r="D993" s="24"/>
    </row>
  </sheetData>
  <mergeCells count="11">
    <mergeCell ref="A6:C6"/>
    <mergeCell ref="A7:C7"/>
    <mergeCell ref="D7:I7"/>
    <mergeCell ref="J7:N7"/>
    <mergeCell ref="A1:C4"/>
    <mergeCell ref="D1:M4"/>
    <mergeCell ref="N1:N2"/>
    <mergeCell ref="N3:N4"/>
    <mergeCell ref="A5:C5"/>
    <mergeCell ref="D5:N5"/>
    <mergeCell ref="D6:N6"/>
  </mergeCells>
  <dataValidations count="1">
    <dataValidation type="list" allowBlank="1" showErrorMessage="1" sqref="J9:M11" xr:uid="{00000000-0002-0000-0200-000000000000}">
      <formula1>"SI,NO"</formula1>
    </dataValidation>
  </dataValidations>
  <pageMargins left="0.11811023622047245" right="0.11811023622047245" top="1.1417322834645669" bottom="0.19685039370078741" header="0" footer="0"/>
  <pageSetup scale="79" orientation="landscape" r:id="rId1"/>
  <headerFooter>
    <oddHeader>&amp;C Matriz de Riesgos</oddHeader>
  </headerFooter>
  <drawing r:id="rId2"/>
  <legacyDrawing r:id="rId3"/>
  <extLst>
    <ext xmlns:x14="http://schemas.microsoft.com/office/spreadsheetml/2009/9/main" uri="{CCE6A557-97BC-4b89-ADB6-D9C93CAAB3DF}">
      <x14:dataValidations xmlns:xm="http://schemas.microsoft.com/office/excel/2006/main" count="4">
        <x14:dataValidation type="list" allowBlank="1" showErrorMessage="1" xr:uid="{00000000-0002-0000-0200-000001000000}">
          <x14:formula1>
            <xm:f>Datos!$B$8:$B$14</xm:f>
          </x14:formula1>
          <xm:sqref>B9:B11</xm:sqref>
        </x14:dataValidation>
        <x14:dataValidation type="list" allowBlank="1" showErrorMessage="1" xr:uid="{00000000-0002-0000-0200-000002000000}">
          <x14:formula1>
            <xm:f>Datos!$A$8:$A$13</xm:f>
          </x14:formula1>
          <xm:sqref>A9:A11</xm:sqref>
        </x14:dataValidation>
        <x14:dataValidation type="list" allowBlank="1" showErrorMessage="1" xr:uid="{00000000-0002-0000-0200-000003000000}">
          <x14:formula1>
            <xm:f>Datos!$D$8:$D$16</xm:f>
          </x14:formula1>
          <xm:sqref>G9:G11</xm:sqref>
        </x14:dataValidation>
        <x14:dataValidation type="list" allowBlank="1" showErrorMessage="1" xr:uid="{00000000-0002-0000-0200-000004000000}">
          <x14:formula1>
            <xm:f>Datos!$C$8:$C$13</xm:f>
          </x14:formula1>
          <xm:sqref>C9:C11</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E1000"/>
  <sheetViews>
    <sheetView showGridLines="0" workbookViewId="0">
      <selection activeCell="B7" sqref="B7"/>
    </sheetView>
  </sheetViews>
  <sheetFormatPr baseColWidth="10" defaultColWidth="12.625" defaultRowHeight="15" customHeight="1" x14ac:dyDescent="0.2"/>
  <cols>
    <col min="1" max="1" width="20.375" style="318" customWidth="1"/>
    <col min="2" max="2" width="75.25" style="318" customWidth="1"/>
    <col min="3" max="3" width="61.5" style="318" customWidth="1"/>
    <col min="4" max="4" width="14.25" style="318" customWidth="1"/>
    <col min="5" max="5" width="39.875" style="318" customWidth="1"/>
    <col min="6" max="26" width="9.375" style="318" customWidth="1"/>
    <col min="27" max="16384" width="12.625" style="318"/>
  </cols>
  <sheetData>
    <row r="1" spans="1:5" ht="14.25" x14ac:dyDescent="0.2">
      <c r="A1" s="1322"/>
      <c r="B1" s="1324" t="s">
        <v>0</v>
      </c>
      <c r="C1" s="1325"/>
      <c r="D1" s="1326"/>
      <c r="E1" s="1332" t="s">
        <v>29</v>
      </c>
    </row>
    <row r="2" spans="1:5" ht="14.25" x14ac:dyDescent="0.2">
      <c r="A2" s="1323"/>
      <c r="B2" s="1327"/>
      <c r="C2" s="1328"/>
      <c r="D2" s="1323"/>
      <c r="E2" s="1333"/>
    </row>
    <row r="3" spans="1:5" ht="14.25" x14ac:dyDescent="0.2">
      <c r="A3" s="1323"/>
      <c r="B3" s="1327"/>
      <c r="C3" s="1328"/>
      <c r="D3" s="1323"/>
      <c r="E3" s="1332" t="s">
        <v>2</v>
      </c>
    </row>
    <row r="4" spans="1:5" thickBot="1" x14ac:dyDescent="0.25">
      <c r="A4" s="1323"/>
      <c r="B4" s="1329"/>
      <c r="C4" s="1330"/>
      <c r="D4" s="1331"/>
      <c r="E4" s="1333"/>
    </row>
    <row r="5" spans="1:5" thickBot="1" x14ac:dyDescent="0.25">
      <c r="A5" s="1334" t="s">
        <v>30</v>
      </c>
      <c r="B5" s="1335"/>
      <c r="C5" s="1335"/>
      <c r="D5" s="1335"/>
      <c r="E5" s="1336"/>
    </row>
    <row r="6" spans="1:5" ht="15" customHeight="1" x14ac:dyDescent="0.2">
      <c r="A6" s="322" t="s">
        <v>31</v>
      </c>
      <c r="B6" s="323" t="s">
        <v>32</v>
      </c>
      <c r="C6" s="322" t="s">
        <v>33</v>
      </c>
      <c r="D6" s="1318" t="s">
        <v>34</v>
      </c>
      <c r="E6" s="1319"/>
    </row>
    <row r="7" spans="1:5" ht="409.5" customHeight="1" x14ac:dyDescent="0.2">
      <c r="A7" s="321" t="s">
        <v>483</v>
      </c>
      <c r="B7" s="320" t="s">
        <v>482</v>
      </c>
      <c r="C7" s="319" t="s">
        <v>481</v>
      </c>
      <c r="D7" s="1320" t="s">
        <v>480</v>
      </c>
      <c r="E7" s="1321"/>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7">
    <mergeCell ref="D6:E6"/>
    <mergeCell ref="D7:E7"/>
    <mergeCell ref="A1:A4"/>
    <mergeCell ref="B1:D4"/>
    <mergeCell ref="E1:E2"/>
    <mergeCell ref="E3:E4"/>
    <mergeCell ref="A5:E5"/>
  </mergeCells>
  <pageMargins left="0.31496062992125984" right="0.31496062992125984" top="1.1417322834645669" bottom="0.35433070866141736" header="0" footer="0"/>
  <pageSetup scale="88" orientation="landscape" r:id="rId1"/>
  <headerFooter>
    <oddHeader>&amp;C Matriz de Riesgos</oddHeader>
  </headerFooter>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1000"/>
  <sheetViews>
    <sheetView showGridLines="0" workbookViewId="0">
      <selection activeCell="E9" sqref="E9"/>
    </sheetView>
  </sheetViews>
  <sheetFormatPr baseColWidth="10" defaultColWidth="12.625" defaultRowHeight="15" customHeight="1" x14ac:dyDescent="0.2"/>
  <cols>
    <col min="1" max="2" width="13.25" style="228" customWidth="1"/>
    <col min="3" max="3" width="16.875" style="228" customWidth="1"/>
    <col min="4" max="4" width="3.625" style="228" customWidth="1"/>
    <col min="5" max="5" width="18.375" style="228" customWidth="1"/>
    <col min="6" max="6" width="21.625" style="228" customWidth="1"/>
    <col min="7" max="7" width="15" style="228" customWidth="1"/>
    <col min="8" max="8" width="41.625" style="228" customWidth="1"/>
    <col min="9" max="9" width="33.375" style="228" customWidth="1"/>
    <col min="10" max="10" width="20.625" style="228" customWidth="1"/>
    <col min="11" max="11" width="14.75" style="228" customWidth="1"/>
    <col min="12" max="12" width="18.75" style="228" customWidth="1"/>
    <col min="13" max="13" width="16.25" style="228" customWidth="1"/>
    <col min="14" max="14" width="27.125" style="228" customWidth="1"/>
    <col min="15" max="26" width="9.375" style="228" customWidth="1"/>
    <col min="27" max="16384" width="12.625" style="228"/>
  </cols>
  <sheetData>
    <row r="1" spans="1:14" ht="15" customHeight="1" x14ac:dyDescent="0.2">
      <c r="A1" s="1337"/>
      <c r="B1" s="1203"/>
      <c r="C1" s="1203"/>
      <c r="D1" s="1339" t="s">
        <v>0</v>
      </c>
      <c r="E1" s="1203"/>
      <c r="F1" s="1203"/>
      <c r="G1" s="1203"/>
      <c r="H1" s="1203"/>
      <c r="I1" s="1203"/>
      <c r="J1" s="1203"/>
      <c r="K1" s="1203"/>
      <c r="L1" s="1203"/>
      <c r="M1" s="1340"/>
      <c r="N1" s="1342" t="s">
        <v>35</v>
      </c>
    </row>
    <row r="2" spans="1:14" ht="15" customHeight="1" x14ac:dyDescent="0.2">
      <c r="A2" s="1203"/>
      <c r="B2" s="1203"/>
      <c r="C2" s="1203"/>
      <c r="D2" s="1203"/>
      <c r="E2" s="1203"/>
      <c r="F2" s="1203"/>
      <c r="G2" s="1203"/>
      <c r="H2" s="1203"/>
      <c r="I2" s="1203"/>
      <c r="J2" s="1203"/>
      <c r="K2" s="1203"/>
      <c r="L2" s="1203"/>
      <c r="M2" s="1340"/>
      <c r="N2" s="1343"/>
    </row>
    <row r="3" spans="1:14" ht="15" customHeight="1" x14ac:dyDescent="0.2">
      <c r="A3" s="1203"/>
      <c r="B3" s="1203"/>
      <c r="C3" s="1203"/>
      <c r="D3" s="1203"/>
      <c r="E3" s="1203"/>
      <c r="F3" s="1203"/>
      <c r="G3" s="1203"/>
      <c r="H3" s="1203"/>
      <c r="I3" s="1203"/>
      <c r="J3" s="1203"/>
      <c r="K3" s="1203"/>
      <c r="L3" s="1203"/>
      <c r="M3" s="1340"/>
      <c r="N3" s="1342" t="s">
        <v>2</v>
      </c>
    </row>
    <row r="4" spans="1:14" ht="15" customHeight="1" x14ac:dyDescent="0.2">
      <c r="A4" s="1338"/>
      <c r="B4" s="1338"/>
      <c r="C4" s="1338"/>
      <c r="D4" s="1338"/>
      <c r="E4" s="1338"/>
      <c r="F4" s="1338"/>
      <c r="G4" s="1338"/>
      <c r="H4" s="1338"/>
      <c r="I4" s="1338"/>
      <c r="J4" s="1338"/>
      <c r="K4" s="1338"/>
      <c r="L4" s="1338"/>
      <c r="M4" s="1341"/>
      <c r="N4" s="1343"/>
    </row>
    <row r="5" spans="1:14" ht="15.75" x14ac:dyDescent="0.2">
      <c r="A5" s="1344" t="s">
        <v>36</v>
      </c>
      <c r="B5" s="1345"/>
      <c r="C5" s="1346"/>
      <c r="D5" s="1347" t="s">
        <v>484</v>
      </c>
      <c r="E5" s="1345"/>
      <c r="F5" s="1345"/>
      <c r="G5" s="1345"/>
      <c r="H5" s="1345"/>
      <c r="I5" s="1345"/>
      <c r="J5" s="1345"/>
      <c r="K5" s="1345"/>
      <c r="L5" s="1345"/>
      <c r="M5" s="1345"/>
      <c r="N5" s="1346"/>
    </row>
    <row r="6" spans="1:14" ht="35.25" customHeight="1" x14ac:dyDescent="0.2">
      <c r="A6" s="1344" t="s">
        <v>37</v>
      </c>
      <c r="B6" s="1345"/>
      <c r="C6" s="1346"/>
      <c r="D6" s="1347" t="s">
        <v>485</v>
      </c>
      <c r="E6" s="1345"/>
      <c r="F6" s="1345"/>
      <c r="G6" s="1345"/>
      <c r="H6" s="1345"/>
      <c r="I6" s="1345"/>
      <c r="J6" s="1345"/>
      <c r="K6" s="1345"/>
      <c r="L6" s="1345"/>
      <c r="M6" s="1345"/>
      <c r="N6" s="1346"/>
    </row>
    <row r="7" spans="1:14" x14ac:dyDescent="0.25">
      <c r="A7" s="1348" t="s">
        <v>38</v>
      </c>
      <c r="B7" s="1345"/>
      <c r="C7" s="1346"/>
      <c r="D7" s="1349" t="s">
        <v>39</v>
      </c>
      <c r="E7" s="1345"/>
      <c r="F7" s="1345"/>
      <c r="G7" s="1345"/>
      <c r="H7" s="1345"/>
      <c r="I7" s="1346"/>
      <c r="J7" s="1348" t="s">
        <v>40</v>
      </c>
      <c r="K7" s="1345"/>
      <c r="L7" s="1345"/>
      <c r="M7" s="1345"/>
      <c r="N7" s="1346"/>
    </row>
    <row r="8" spans="1:14" ht="36" x14ac:dyDescent="0.2">
      <c r="A8" s="324" t="s">
        <v>41</v>
      </c>
      <c r="B8" s="324" t="s">
        <v>42</v>
      </c>
      <c r="C8" s="324" t="s">
        <v>43</v>
      </c>
      <c r="D8" s="324" t="s">
        <v>44</v>
      </c>
      <c r="E8" s="324" t="s">
        <v>45</v>
      </c>
      <c r="F8" s="324" t="s">
        <v>46</v>
      </c>
      <c r="G8" s="324" t="s">
        <v>47</v>
      </c>
      <c r="H8" s="324" t="s">
        <v>48</v>
      </c>
      <c r="I8" s="324" t="s">
        <v>49</v>
      </c>
      <c r="J8" s="325" t="s">
        <v>50</v>
      </c>
      <c r="K8" s="325" t="s">
        <v>51</v>
      </c>
      <c r="L8" s="325" t="s">
        <v>52</v>
      </c>
      <c r="M8" s="325" t="s">
        <v>53</v>
      </c>
      <c r="N8" s="325" t="s">
        <v>54</v>
      </c>
    </row>
    <row r="9" spans="1:14" ht="114.75" x14ac:dyDescent="0.2">
      <c r="A9" s="326" t="s">
        <v>243</v>
      </c>
      <c r="B9" s="327" t="s">
        <v>192</v>
      </c>
      <c r="C9" s="327" t="s">
        <v>178</v>
      </c>
      <c r="D9" s="328">
        <v>1</v>
      </c>
      <c r="E9" s="329" t="s">
        <v>486</v>
      </c>
      <c r="F9" s="329" t="s">
        <v>487</v>
      </c>
      <c r="G9" s="330" t="s">
        <v>246</v>
      </c>
      <c r="H9" s="331" t="s">
        <v>488</v>
      </c>
      <c r="I9" s="331" t="s">
        <v>489</v>
      </c>
      <c r="J9" s="330" t="s">
        <v>122</v>
      </c>
      <c r="K9" s="330" t="s">
        <v>122</v>
      </c>
      <c r="L9" s="330" t="s">
        <v>263</v>
      </c>
      <c r="M9" s="330" t="s">
        <v>263</v>
      </c>
      <c r="N9" s="332" t="str">
        <f t="shared" ref="N9:N11" si="0">IF(COUNTIF(J9:M9,"SI")=4,"Riesgo de Corrupción","No es Riesgo de Corrupción")</f>
        <v>No es Riesgo de Corrupción</v>
      </c>
    </row>
    <row r="10" spans="1:14" ht="82.5" customHeight="1" x14ac:dyDescent="0.2">
      <c r="A10" s="326" t="s">
        <v>205</v>
      </c>
      <c r="B10" s="326" t="s">
        <v>219</v>
      </c>
      <c r="C10" s="326" t="s">
        <v>178</v>
      </c>
      <c r="D10" s="328">
        <v>2</v>
      </c>
      <c r="E10" s="329" t="s">
        <v>490</v>
      </c>
      <c r="F10" s="329" t="s">
        <v>491</v>
      </c>
      <c r="G10" s="330" t="s">
        <v>208</v>
      </c>
      <c r="H10" s="331" t="s">
        <v>492</v>
      </c>
      <c r="I10" s="331" t="s">
        <v>493</v>
      </c>
      <c r="J10" s="330" t="s">
        <v>122</v>
      </c>
      <c r="K10" s="330" t="s">
        <v>122</v>
      </c>
      <c r="L10" s="330" t="s">
        <v>263</v>
      </c>
      <c r="M10" s="330" t="s">
        <v>263</v>
      </c>
      <c r="N10" s="332" t="str">
        <f t="shared" si="0"/>
        <v>No es Riesgo de Corrupción</v>
      </c>
    </row>
    <row r="11" spans="1:14" ht="116.25" customHeight="1" x14ac:dyDescent="0.2">
      <c r="A11" s="326" t="s">
        <v>176</v>
      </c>
      <c r="B11" s="326" t="s">
        <v>219</v>
      </c>
      <c r="C11" s="326" t="s">
        <v>178</v>
      </c>
      <c r="D11" s="328">
        <v>3</v>
      </c>
      <c r="E11" s="329" t="s">
        <v>494</v>
      </c>
      <c r="F11" s="329" t="s">
        <v>495</v>
      </c>
      <c r="G11" s="330" t="s">
        <v>252</v>
      </c>
      <c r="H11" s="331" t="s">
        <v>496</v>
      </c>
      <c r="I11" s="331" t="s">
        <v>497</v>
      </c>
      <c r="J11" s="330" t="s">
        <v>122</v>
      </c>
      <c r="K11" s="330" t="s">
        <v>122</v>
      </c>
      <c r="L11" s="330" t="s">
        <v>122</v>
      </c>
      <c r="M11" s="330" t="s">
        <v>122</v>
      </c>
      <c r="N11" s="332" t="str">
        <f t="shared" si="0"/>
        <v>Riesgo de Corrupción</v>
      </c>
    </row>
    <row r="12" spans="1:14" x14ac:dyDescent="0.2">
      <c r="D12" s="333"/>
    </row>
    <row r="13" spans="1:14" x14ac:dyDescent="0.2">
      <c r="D13" s="333"/>
    </row>
    <row r="14" spans="1:14" x14ac:dyDescent="0.2">
      <c r="D14" s="333"/>
    </row>
    <row r="15" spans="1:14" x14ac:dyDescent="0.2">
      <c r="D15" s="333"/>
    </row>
    <row r="16" spans="1:14" x14ac:dyDescent="0.2">
      <c r="D16" s="333"/>
    </row>
    <row r="17" spans="4:4" x14ac:dyDescent="0.2">
      <c r="D17" s="333"/>
    </row>
    <row r="18" spans="4:4" x14ac:dyDescent="0.2">
      <c r="D18" s="333"/>
    </row>
    <row r="19" spans="4:4" x14ac:dyDescent="0.2">
      <c r="D19" s="333"/>
    </row>
    <row r="20" spans="4:4" x14ac:dyDescent="0.2">
      <c r="D20" s="333"/>
    </row>
    <row r="21" spans="4:4" ht="15.75" customHeight="1" x14ac:dyDescent="0.2">
      <c r="D21" s="333"/>
    </row>
    <row r="22" spans="4:4" ht="15.75" customHeight="1" x14ac:dyDescent="0.2">
      <c r="D22" s="333"/>
    </row>
    <row r="23" spans="4:4" ht="15.75" customHeight="1" x14ac:dyDescent="0.2">
      <c r="D23" s="333"/>
    </row>
    <row r="24" spans="4:4" ht="15.75" customHeight="1" x14ac:dyDescent="0.2">
      <c r="D24" s="333"/>
    </row>
    <row r="25" spans="4:4" ht="15.75" customHeight="1" x14ac:dyDescent="0.2">
      <c r="D25" s="333"/>
    </row>
    <row r="26" spans="4:4" ht="15.75" customHeight="1" x14ac:dyDescent="0.2">
      <c r="D26" s="333"/>
    </row>
    <row r="27" spans="4:4" ht="15.75" customHeight="1" x14ac:dyDescent="0.2">
      <c r="D27" s="333"/>
    </row>
    <row r="28" spans="4:4" ht="15.75" customHeight="1" x14ac:dyDescent="0.2">
      <c r="D28" s="333"/>
    </row>
    <row r="29" spans="4:4" ht="15.75" customHeight="1" x14ac:dyDescent="0.2">
      <c r="D29" s="333"/>
    </row>
    <row r="30" spans="4:4" ht="15.75" customHeight="1" x14ac:dyDescent="0.2">
      <c r="D30" s="333"/>
    </row>
    <row r="31" spans="4:4" ht="15.75" customHeight="1" x14ac:dyDescent="0.2">
      <c r="D31" s="333"/>
    </row>
    <row r="32" spans="4:4" ht="15.75" customHeight="1" x14ac:dyDescent="0.2">
      <c r="D32" s="333"/>
    </row>
    <row r="33" spans="4:4" ht="15.75" customHeight="1" x14ac:dyDescent="0.2">
      <c r="D33" s="333"/>
    </row>
    <row r="34" spans="4:4" ht="15.75" customHeight="1" x14ac:dyDescent="0.2">
      <c r="D34" s="333"/>
    </row>
    <row r="35" spans="4:4" ht="15.75" customHeight="1" x14ac:dyDescent="0.2">
      <c r="D35" s="333"/>
    </row>
    <row r="36" spans="4:4" ht="15.75" customHeight="1" x14ac:dyDescent="0.2">
      <c r="D36" s="333"/>
    </row>
    <row r="37" spans="4:4" ht="15.75" customHeight="1" x14ac:dyDescent="0.2">
      <c r="D37" s="333"/>
    </row>
    <row r="38" spans="4:4" ht="15.75" customHeight="1" x14ac:dyDescent="0.2">
      <c r="D38" s="333"/>
    </row>
    <row r="39" spans="4:4" ht="15.75" customHeight="1" x14ac:dyDescent="0.2">
      <c r="D39" s="333"/>
    </row>
    <row r="40" spans="4:4" ht="15.75" customHeight="1" x14ac:dyDescent="0.2">
      <c r="D40" s="333"/>
    </row>
    <row r="41" spans="4:4" ht="15.75" customHeight="1" x14ac:dyDescent="0.2">
      <c r="D41" s="333"/>
    </row>
    <row r="42" spans="4:4" ht="15.75" customHeight="1" x14ac:dyDescent="0.2">
      <c r="D42" s="333"/>
    </row>
    <row r="43" spans="4:4" ht="15.75" customHeight="1" x14ac:dyDescent="0.2">
      <c r="D43" s="333"/>
    </row>
    <row r="44" spans="4:4" ht="15.75" customHeight="1" x14ac:dyDescent="0.2">
      <c r="D44" s="333"/>
    </row>
    <row r="45" spans="4:4" ht="15.75" customHeight="1" x14ac:dyDescent="0.2">
      <c r="D45" s="333"/>
    </row>
    <row r="46" spans="4:4" ht="15.75" customHeight="1" x14ac:dyDescent="0.2">
      <c r="D46" s="333"/>
    </row>
    <row r="47" spans="4:4" ht="15.75" customHeight="1" x14ac:dyDescent="0.2">
      <c r="D47" s="333"/>
    </row>
    <row r="48" spans="4:4" ht="15.75" customHeight="1" x14ac:dyDescent="0.2">
      <c r="D48" s="333"/>
    </row>
    <row r="49" spans="4:4" ht="15.75" customHeight="1" x14ac:dyDescent="0.2">
      <c r="D49" s="333"/>
    </row>
    <row r="50" spans="4:4" ht="15.75" customHeight="1" x14ac:dyDescent="0.2">
      <c r="D50" s="333"/>
    </row>
    <row r="51" spans="4:4" ht="15.75" customHeight="1" x14ac:dyDescent="0.2">
      <c r="D51" s="333"/>
    </row>
    <row r="52" spans="4:4" ht="15.75" customHeight="1" x14ac:dyDescent="0.2">
      <c r="D52" s="333"/>
    </row>
    <row r="53" spans="4:4" ht="15.75" customHeight="1" x14ac:dyDescent="0.2">
      <c r="D53" s="333"/>
    </row>
    <row r="54" spans="4:4" ht="15.75" customHeight="1" x14ac:dyDescent="0.2">
      <c r="D54" s="333"/>
    </row>
    <row r="55" spans="4:4" ht="15.75" customHeight="1" x14ac:dyDescent="0.2">
      <c r="D55" s="333"/>
    </row>
    <row r="56" spans="4:4" ht="15.75" customHeight="1" x14ac:dyDescent="0.2">
      <c r="D56" s="333"/>
    </row>
    <row r="57" spans="4:4" ht="15.75" customHeight="1" x14ac:dyDescent="0.2">
      <c r="D57" s="333"/>
    </row>
    <row r="58" spans="4:4" ht="15.75" customHeight="1" x14ac:dyDescent="0.2">
      <c r="D58" s="333"/>
    </row>
    <row r="59" spans="4:4" ht="15.75" customHeight="1" x14ac:dyDescent="0.2">
      <c r="D59" s="333"/>
    </row>
    <row r="60" spans="4:4" ht="15.75" customHeight="1" x14ac:dyDescent="0.2">
      <c r="D60" s="333"/>
    </row>
    <row r="61" spans="4:4" ht="15.75" customHeight="1" x14ac:dyDescent="0.2">
      <c r="D61" s="333"/>
    </row>
    <row r="62" spans="4:4" ht="15.75" customHeight="1" x14ac:dyDescent="0.2">
      <c r="D62" s="333"/>
    </row>
    <row r="63" spans="4:4" ht="15.75" customHeight="1" x14ac:dyDescent="0.2">
      <c r="D63" s="333"/>
    </row>
    <row r="64" spans="4:4" ht="15.75" customHeight="1" x14ac:dyDescent="0.2">
      <c r="D64" s="333"/>
    </row>
    <row r="65" spans="4:4" ht="15.75" customHeight="1" x14ac:dyDescent="0.2">
      <c r="D65" s="333"/>
    </row>
    <row r="66" spans="4:4" ht="15.75" customHeight="1" x14ac:dyDescent="0.2">
      <c r="D66" s="333"/>
    </row>
    <row r="67" spans="4:4" ht="15.75" customHeight="1" x14ac:dyDescent="0.2">
      <c r="D67" s="333"/>
    </row>
    <row r="68" spans="4:4" ht="15.75" customHeight="1" x14ac:dyDescent="0.2">
      <c r="D68" s="333"/>
    </row>
    <row r="69" spans="4:4" ht="15.75" customHeight="1" x14ac:dyDescent="0.2">
      <c r="D69" s="333"/>
    </row>
    <row r="70" spans="4:4" ht="15.75" customHeight="1" x14ac:dyDescent="0.2">
      <c r="D70" s="333"/>
    </row>
    <row r="71" spans="4:4" ht="15.75" customHeight="1" x14ac:dyDescent="0.2">
      <c r="D71" s="333"/>
    </row>
    <row r="72" spans="4:4" ht="15.75" customHeight="1" x14ac:dyDescent="0.2">
      <c r="D72" s="333"/>
    </row>
    <row r="73" spans="4:4" ht="15.75" customHeight="1" x14ac:dyDescent="0.2">
      <c r="D73" s="333"/>
    </row>
    <row r="74" spans="4:4" ht="15.75" customHeight="1" x14ac:dyDescent="0.2">
      <c r="D74" s="333"/>
    </row>
    <row r="75" spans="4:4" ht="15.75" customHeight="1" x14ac:dyDescent="0.2">
      <c r="D75" s="333"/>
    </row>
    <row r="76" spans="4:4" ht="15.75" customHeight="1" x14ac:dyDescent="0.2">
      <c r="D76" s="333"/>
    </row>
    <row r="77" spans="4:4" ht="15.75" customHeight="1" x14ac:dyDescent="0.2">
      <c r="D77" s="333"/>
    </row>
    <row r="78" spans="4:4" ht="15.75" customHeight="1" x14ac:dyDescent="0.2">
      <c r="D78" s="333"/>
    </row>
    <row r="79" spans="4:4" ht="15.75" customHeight="1" x14ac:dyDescent="0.2">
      <c r="D79" s="333"/>
    </row>
    <row r="80" spans="4:4" ht="15.75" customHeight="1" x14ac:dyDescent="0.2">
      <c r="D80" s="333"/>
    </row>
    <row r="81" spans="4:4" ht="15.75" customHeight="1" x14ac:dyDescent="0.2">
      <c r="D81" s="333"/>
    </row>
    <row r="82" spans="4:4" ht="15.75" customHeight="1" x14ac:dyDescent="0.2">
      <c r="D82" s="333"/>
    </row>
    <row r="83" spans="4:4" ht="15.75" customHeight="1" x14ac:dyDescent="0.2">
      <c r="D83" s="333"/>
    </row>
    <row r="84" spans="4:4" ht="15.75" customHeight="1" x14ac:dyDescent="0.2">
      <c r="D84" s="333"/>
    </row>
    <row r="85" spans="4:4" ht="15.75" customHeight="1" x14ac:dyDescent="0.2">
      <c r="D85" s="333"/>
    </row>
    <row r="86" spans="4:4" ht="15.75" customHeight="1" x14ac:dyDescent="0.2">
      <c r="D86" s="333"/>
    </row>
    <row r="87" spans="4:4" ht="15.75" customHeight="1" x14ac:dyDescent="0.2">
      <c r="D87" s="333"/>
    </row>
    <row r="88" spans="4:4" ht="15.75" customHeight="1" x14ac:dyDescent="0.2">
      <c r="D88" s="333"/>
    </row>
    <row r="89" spans="4:4" ht="15.75" customHeight="1" x14ac:dyDescent="0.2">
      <c r="D89" s="333"/>
    </row>
    <row r="90" spans="4:4" ht="15.75" customHeight="1" x14ac:dyDescent="0.2">
      <c r="D90" s="333"/>
    </row>
    <row r="91" spans="4:4" ht="15.75" customHeight="1" x14ac:dyDescent="0.2">
      <c r="D91" s="333"/>
    </row>
    <row r="92" spans="4:4" ht="15.75" customHeight="1" x14ac:dyDescent="0.2">
      <c r="D92" s="333"/>
    </row>
    <row r="93" spans="4:4" ht="15.75" customHeight="1" x14ac:dyDescent="0.2">
      <c r="D93" s="333"/>
    </row>
    <row r="94" spans="4:4" ht="15.75" customHeight="1" x14ac:dyDescent="0.2">
      <c r="D94" s="333"/>
    </row>
    <row r="95" spans="4:4" ht="15.75" customHeight="1" x14ac:dyDescent="0.2">
      <c r="D95" s="333"/>
    </row>
    <row r="96" spans="4:4" ht="15.75" customHeight="1" x14ac:dyDescent="0.2">
      <c r="D96" s="333"/>
    </row>
    <row r="97" spans="4:4" ht="15.75" customHeight="1" x14ac:dyDescent="0.2">
      <c r="D97" s="333"/>
    </row>
    <row r="98" spans="4:4" ht="15.75" customHeight="1" x14ac:dyDescent="0.2">
      <c r="D98" s="333"/>
    </row>
    <row r="99" spans="4:4" ht="15.75" customHeight="1" x14ac:dyDescent="0.2">
      <c r="D99" s="333"/>
    </row>
    <row r="100" spans="4:4" ht="15.75" customHeight="1" x14ac:dyDescent="0.2">
      <c r="D100" s="333"/>
    </row>
    <row r="101" spans="4:4" ht="15.75" customHeight="1" x14ac:dyDescent="0.2">
      <c r="D101" s="333"/>
    </row>
    <row r="102" spans="4:4" ht="15.75" customHeight="1" x14ac:dyDescent="0.2">
      <c r="D102" s="333"/>
    </row>
    <row r="103" spans="4:4" ht="15.75" customHeight="1" x14ac:dyDescent="0.2">
      <c r="D103" s="333"/>
    </row>
    <row r="104" spans="4:4" ht="15.75" customHeight="1" x14ac:dyDescent="0.2">
      <c r="D104" s="333"/>
    </row>
    <row r="105" spans="4:4" ht="15.75" customHeight="1" x14ac:dyDescent="0.2">
      <c r="D105" s="333"/>
    </row>
    <row r="106" spans="4:4" ht="15.75" customHeight="1" x14ac:dyDescent="0.2">
      <c r="D106" s="333"/>
    </row>
    <row r="107" spans="4:4" ht="15.75" customHeight="1" x14ac:dyDescent="0.2">
      <c r="D107" s="333"/>
    </row>
    <row r="108" spans="4:4" ht="15.75" customHeight="1" x14ac:dyDescent="0.2">
      <c r="D108" s="333"/>
    </row>
    <row r="109" spans="4:4" ht="15.75" customHeight="1" x14ac:dyDescent="0.2">
      <c r="D109" s="333"/>
    </row>
    <row r="110" spans="4:4" ht="15.75" customHeight="1" x14ac:dyDescent="0.2">
      <c r="D110" s="333"/>
    </row>
    <row r="111" spans="4:4" ht="15.75" customHeight="1" x14ac:dyDescent="0.2">
      <c r="D111" s="333"/>
    </row>
    <row r="112" spans="4:4" ht="15.75" customHeight="1" x14ac:dyDescent="0.2">
      <c r="D112" s="333"/>
    </row>
    <row r="113" spans="4:4" ht="15.75" customHeight="1" x14ac:dyDescent="0.2">
      <c r="D113" s="333"/>
    </row>
    <row r="114" spans="4:4" ht="15.75" customHeight="1" x14ac:dyDescent="0.2">
      <c r="D114" s="333"/>
    </row>
    <row r="115" spans="4:4" ht="15.75" customHeight="1" x14ac:dyDescent="0.2">
      <c r="D115" s="333"/>
    </row>
    <row r="116" spans="4:4" ht="15.75" customHeight="1" x14ac:dyDescent="0.2">
      <c r="D116" s="333"/>
    </row>
    <row r="117" spans="4:4" ht="15.75" customHeight="1" x14ac:dyDescent="0.2">
      <c r="D117" s="333"/>
    </row>
    <row r="118" spans="4:4" ht="15.75" customHeight="1" x14ac:dyDescent="0.2">
      <c r="D118" s="333"/>
    </row>
    <row r="119" spans="4:4" ht="15.75" customHeight="1" x14ac:dyDescent="0.2">
      <c r="D119" s="333"/>
    </row>
    <row r="120" spans="4:4" ht="15.75" customHeight="1" x14ac:dyDescent="0.2">
      <c r="D120" s="333"/>
    </row>
    <row r="121" spans="4:4" ht="15.75" customHeight="1" x14ac:dyDescent="0.2">
      <c r="D121" s="333"/>
    </row>
    <row r="122" spans="4:4" ht="15.75" customHeight="1" x14ac:dyDescent="0.2">
      <c r="D122" s="333"/>
    </row>
    <row r="123" spans="4:4" ht="15.75" customHeight="1" x14ac:dyDescent="0.2">
      <c r="D123" s="333"/>
    </row>
    <row r="124" spans="4:4" ht="15.75" customHeight="1" x14ac:dyDescent="0.2">
      <c r="D124" s="333"/>
    </row>
    <row r="125" spans="4:4" ht="15.75" customHeight="1" x14ac:dyDescent="0.2">
      <c r="D125" s="333"/>
    </row>
    <row r="126" spans="4:4" ht="15.75" customHeight="1" x14ac:dyDescent="0.2">
      <c r="D126" s="333"/>
    </row>
    <row r="127" spans="4:4" ht="15.75" customHeight="1" x14ac:dyDescent="0.2">
      <c r="D127" s="333"/>
    </row>
    <row r="128" spans="4:4" ht="15.75" customHeight="1" x14ac:dyDescent="0.2">
      <c r="D128" s="333"/>
    </row>
    <row r="129" spans="4:4" ht="15.75" customHeight="1" x14ac:dyDescent="0.2">
      <c r="D129" s="333"/>
    </row>
    <row r="130" spans="4:4" ht="15.75" customHeight="1" x14ac:dyDescent="0.2">
      <c r="D130" s="333"/>
    </row>
    <row r="131" spans="4:4" ht="15.75" customHeight="1" x14ac:dyDescent="0.2">
      <c r="D131" s="333"/>
    </row>
    <row r="132" spans="4:4" ht="15.75" customHeight="1" x14ac:dyDescent="0.2">
      <c r="D132" s="333"/>
    </row>
    <row r="133" spans="4:4" ht="15.75" customHeight="1" x14ac:dyDescent="0.2">
      <c r="D133" s="333"/>
    </row>
    <row r="134" spans="4:4" ht="15.75" customHeight="1" x14ac:dyDescent="0.2">
      <c r="D134" s="333"/>
    </row>
    <row r="135" spans="4:4" ht="15.75" customHeight="1" x14ac:dyDescent="0.2">
      <c r="D135" s="333"/>
    </row>
    <row r="136" spans="4:4" ht="15.75" customHeight="1" x14ac:dyDescent="0.2">
      <c r="D136" s="333"/>
    </row>
    <row r="137" spans="4:4" ht="15.75" customHeight="1" x14ac:dyDescent="0.2">
      <c r="D137" s="333"/>
    </row>
    <row r="138" spans="4:4" ht="15.75" customHeight="1" x14ac:dyDescent="0.2">
      <c r="D138" s="333"/>
    </row>
    <row r="139" spans="4:4" ht="15.75" customHeight="1" x14ac:dyDescent="0.2">
      <c r="D139" s="333"/>
    </row>
    <row r="140" spans="4:4" ht="15.75" customHeight="1" x14ac:dyDescent="0.2">
      <c r="D140" s="333"/>
    </row>
    <row r="141" spans="4:4" ht="15.75" customHeight="1" x14ac:dyDescent="0.2">
      <c r="D141" s="333"/>
    </row>
    <row r="142" spans="4:4" ht="15.75" customHeight="1" x14ac:dyDescent="0.2">
      <c r="D142" s="333"/>
    </row>
    <row r="143" spans="4:4" ht="15.75" customHeight="1" x14ac:dyDescent="0.2">
      <c r="D143" s="333"/>
    </row>
    <row r="144" spans="4:4" ht="15.75" customHeight="1" x14ac:dyDescent="0.2">
      <c r="D144" s="333"/>
    </row>
    <row r="145" spans="4:4" ht="15.75" customHeight="1" x14ac:dyDescent="0.2">
      <c r="D145" s="333"/>
    </row>
    <row r="146" spans="4:4" ht="15.75" customHeight="1" x14ac:dyDescent="0.2">
      <c r="D146" s="333"/>
    </row>
    <row r="147" spans="4:4" ht="15.75" customHeight="1" x14ac:dyDescent="0.2">
      <c r="D147" s="333"/>
    </row>
    <row r="148" spans="4:4" ht="15.75" customHeight="1" x14ac:dyDescent="0.2">
      <c r="D148" s="333"/>
    </row>
    <row r="149" spans="4:4" ht="15.75" customHeight="1" x14ac:dyDescent="0.2">
      <c r="D149" s="333"/>
    </row>
    <row r="150" spans="4:4" ht="15.75" customHeight="1" x14ac:dyDescent="0.2">
      <c r="D150" s="333"/>
    </row>
    <row r="151" spans="4:4" ht="15.75" customHeight="1" x14ac:dyDescent="0.2">
      <c r="D151" s="333"/>
    </row>
    <row r="152" spans="4:4" ht="15.75" customHeight="1" x14ac:dyDescent="0.2">
      <c r="D152" s="333"/>
    </row>
    <row r="153" spans="4:4" ht="15.75" customHeight="1" x14ac:dyDescent="0.2">
      <c r="D153" s="333"/>
    </row>
    <row r="154" spans="4:4" ht="15.75" customHeight="1" x14ac:dyDescent="0.2">
      <c r="D154" s="333"/>
    </row>
    <row r="155" spans="4:4" ht="15.75" customHeight="1" x14ac:dyDescent="0.2">
      <c r="D155" s="333"/>
    </row>
    <row r="156" spans="4:4" ht="15.75" customHeight="1" x14ac:dyDescent="0.2">
      <c r="D156" s="333"/>
    </row>
    <row r="157" spans="4:4" ht="15.75" customHeight="1" x14ac:dyDescent="0.2">
      <c r="D157" s="333"/>
    </row>
    <row r="158" spans="4:4" ht="15.75" customHeight="1" x14ac:dyDescent="0.2">
      <c r="D158" s="333"/>
    </row>
    <row r="159" spans="4:4" ht="15.75" customHeight="1" x14ac:dyDescent="0.2">
      <c r="D159" s="333"/>
    </row>
    <row r="160" spans="4:4" ht="15.75" customHeight="1" x14ac:dyDescent="0.2">
      <c r="D160" s="333"/>
    </row>
    <row r="161" spans="4:4" ht="15.75" customHeight="1" x14ac:dyDescent="0.2">
      <c r="D161" s="333"/>
    </row>
    <row r="162" spans="4:4" ht="15.75" customHeight="1" x14ac:dyDescent="0.2">
      <c r="D162" s="333"/>
    </row>
    <row r="163" spans="4:4" ht="15.75" customHeight="1" x14ac:dyDescent="0.2">
      <c r="D163" s="333"/>
    </row>
    <row r="164" spans="4:4" ht="15.75" customHeight="1" x14ac:dyDescent="0.2">
      <c r="D164" s="333"/>
    </row>
    <row r="165" spans="4:4" ht="15.75" customHeight="1" x14ac:dyDescent="0.2">
      <c r="D165" s="333"/>
    </row>
    <row r="166" spans="4:4" ht="15.75" customHeight="1" x14ac:dyDescent="0.2">
      <c r="D166" s="333"/>
    </row>
    <row r="167" spans="4:4" ht="15.75" customHeight="1" x14ac:dyDescent="0.2">
      <c r="D167" s="333"/>
    </row>
    <row r="168" spans="4:4" ht="15.75" customHeight="1" x14ac:dyDescent="0.2">
      <c r="D168" s="333"/>
    </row>
    <row r="169" spans="4:4" ht="15.75" customHeight="1" x14ac:dyDescent="0.2">
      <c r="D169" s="333"/>
    </row>
    <row r="170" spans="4:4" ht="15.75" customHeight="1" x14ac:dyDescent="0.2">
      <c r="D170" s="333"/>
    </row>
    <row r="171" spans="4:4" ht="15.75" customHeight="1" x14ac:dyDescent="0.2">
      <c r="D171" s="333"/>
    </row>
    <row r="172" spans="4:4" ht="15.75" customHeight="1" x14ac:dyDescent="0.2">
      <c r="D172" s="333"/>
    </row>
    <row r="173" spans="4:4" ht="15.75" customHeight="1" x14ac:dyDescent="0.2">
      <c r="D173" s="333"/>
    </row>
    <row r="174" spans="4:4" ht="15.75" customHeight="1" x14ac:dyDescent="0.2">
      <c r="D174" s="333"/>
    </row>
    <row r="175" spans="4:4" ht="15.75" customHeight="1" x14ac:dyDescent="0.2">
      <c r="D175" s="333"/>
    </row>
    <row r="176" spans="4:4" ht="15.75" customHeight="1" x14ac:dyDescent="0.2">
      <c r="D176" s="333"/>
    </row>
    <row r="177" spans="4:4" ht="15.75" customHeight="1" x14ac:dyDescent="0.2">
      <c r="D177" s="333"/>
    </row>
    <row r="178" spans="4:4" ht="15.75" customHeight="1" x14ac:dyDescent="0.2">
      <c r="D178" s="333"/>
    </row>
    <row r="179" spans="4:4" ht="15.75" customHeight="1" x14ac:dyDescent="0.2">
      <c r="D179" s="333"/>
    </row>
    <row r="180" spans="4:4" ht="15.75" customHeight="1" x14ac:dyDescent="0.2">
      <c r="D180" s="333"/>
    </row>
    <row r="181" spans="4:4" ht="15.75" customHeight="1" x14ac:dyDescent="0.2">
      <c r="D181" s="333"/>
    </row>
    <row r="182" spans="4:4" ht="15.75" customHeight="1" x14ac:dyDescent="0.2">
      <c r="D182" s="333"/>
    </row>
    <row r="183" spans="4:4" ht="15.75" customHeight="1" x14ac:dyDescent="0.2">
      <c r="D183" s="333"/>
    </row>
    <row r="184" spans="4:4" ht="15.75" customHeight="1" x14ac:dyDescent="0.2">
      <c r="D184" s="333"/>
    </row>
    <row r="185" spans="4:4" ht="15.75" customHeight="1" x14ac:dyDescent="0.2">
      <c r="D185" s="333"/>
    </row>
    <row r="186" spans="4:4" ht="15.75" customHeight="1" x14ac:dyDescent="0.2">
      <c r="D186" s="333"/>
    </row>
    <row r="187" spans="4:4" ht="15.75" customHeight="1" x14ac:dyDescent="0.2">
      <c r="D187" s="333"/>
    </row>
    <row r="188" spans="4:4" ht="15.75" customHeight="1" x14ac:dyDescent="0.2">
      <c r="D188" s="333"/>
    </row>
    <row r="189" spans="4:4" ht="15.75" customHeight="1" x14ac:dyDescent="0.2">
      <c r="D189" s="333"/>
    </row>
    <row r="190" spans="4:4" ht="15.75" customHeight="1" x14ac:dyDescent="0.2">
      <c r="D190" s="333"/>
    </row>
    <row r="191" spans="4:4" ht="15.75" customHeight="1" x14ac:dyDescent="0.2">
      <c r="D191" s="333"/>
    </row>
    <row r="192" spans="4:4" ht="15.75" customHeight="1" x14ac:dyDescent="0.2">
      <c r="D192" s="333"/>
    </row>
    <row r="193" spans="4:4" ht="15.75" customHeight="1" x14ac:dyDescent="0.2">
      <c r="D193" s="333"/>
    </row>
    <row r="194" spans="4:4" ht="15.75" customHeight="1" x14ac:dyDescent="0.2">
      <c r="D194" s="333"/>
    </row>
    <row r="195" spans="4:4" ht="15.75" customHeight="1" x14ac:dyDescent="0.2">
      <c r="D195" s="333"/>
    </row>
    <row r="196" spans="4:4" ht="15.75" customHeight="1" x14ac:dyDescent="0.2">
      <c r="D196" s="333"/>
    </row>
    <row r="197" spans="4:4" ht="15.75" customHeight="1" x14ac:dyDescent="0.2">
      <c r="D197" s="333"/>
    </row>
    <row r="198" spans="4:4" ht="15.75" customHeight="1" x14ac:dyDescent="0.2">
      <c r="D198" s="333"/>
    </row>
    <row r="199" spans="4:4" ht="15.75" customHeight="1" x14ac:dyDescent="0.2">
      <c r="D199" s="333"/>
    </row>
    <row r="200" spans="4:4" ht="15.75" customHeight="1" x14ac:dyDescent="0.2">
      <c r="D200" s="333"/>
    </row>
    <row r="201" spans="4:4" ht="15.75" customHeight="1" x14ac:dyDescent="0.2">
      <c r="D201" s="333"/>
    </row>
    <row r="202" spans="4:4" ht="15.75" customHeight="1" x14ac:dyDescent="0.2">
      <c r="D202" s="333"/>
    </row>
    <row r="203" spans="4:4" ht="15.75" customHeight="1" x14ac:dyDescent="0.2">
      <c r="D203" s="333"/>
    </row>
    <row r="204" spans="4:4" ht="15.75" customHeight="1" x14ac:dyDescent="0.2">
      <c r="D204" s="333"/>
    </row>
    <row r="205" spans="4:4" ht="15.75" customHeight="1" x14ac:dyDescent="0.2">
      <c r="D205" s="333"/>
    </row>
    <row r="206" spans="4:4" ht="15.75" customHeight="1" x14ac:dyDescent="0.2">
      <c r="D206" s="333"/>
    </row>
    <row r="207" spans="4:4" ht="15.75" customHeight="1" x14ac:dyDescent="0.2">
      <c r="D207" s="333"/>
    </row>
    <row r="208" spans="4:4" ht="15.75" customHeight="1" x14ac:dyDescent="0.2">
      <c r="D208" s="333"/>
    </row>
    <row r="209" spans="4:4" ht="15.75" customHeight="1" x14ac:dyDescent="0.2">
      <c r="D209" s="333"/>
    </row>
    <row r="210" spans="4:4" ht="15.75" customHeight="1" x14ac:dyDescent="0.2">
      <c r="D210" s="333"/>
    </row>
    <row r="211" spans="4:4" ht="15.75" customHeight="1" x14ac:dyDescent="0.2">
      <c r="D211" s="333"/>
    </row>
    <row r="212" spans="4:4" ht="15.75" customHeight="1" x14ac:dyDescent="0.2">
      <c r="D212" s="333"/>
    </row>
    <row r="213" spans="4:4" ht="15.75" customHeight="1" x14ac:dyDescent="0.2">
      <c r="D213" s="333"/>
    </row>
    <row r="214" spans="4:4" ht="15.75" customHeight="1" x14ac:dyDescent="0.2">
      <c r="D214" s="333"/>
    </row>
    <row r="215" spans="4:4" ht="15.75" customHeight="1" x14ac:dyDescent="0.2">
      <c r="D215" s="333"/>
    </row>
    <row r="216" spans="4:4" ht="15.75" customHeight="1" x14ac:dyDescent="0.2">
      <c r="D216" s="333"/>
    </row>
    <row r="217" spans="4:4" ht="15.75" customHeight="1" x14ac:dyDescent="0.2">
      <c r="D217" s="333"/>
    </row>
    <row r="218" spans="4:4" ht="15.75" customHeight="1" x14ac:dyDescent="0.2">
      <c r="D218" s="333"/>
    </row>
    <row r="219" spans="4:4" ht="15.75" customHeight="1" x14ac:dyDescent="0.2">
      <c r="D219" s="333"/>
    </row>
    <row r="220" spans="4:4" ht="15.75" customHeight="1" x14ac:dyDescent="0.2">
      <c r="D220" s="333"/>
    </row>
    <row r="221" spans="4:4" ht="15.75" customHeight="1" x14ac:dyDescent="0.2">
      <c r="D221" s="333"/>
    </row>
    <row r="222" spans="4:4" ht="15.75" customHeight="1" x14ac:dyDescent="0.2">
      <c r="D222" s="333"/>
    </row>
    <row r="223" spans="4:4" ht="15.75" customHeight="1" x14ac:dyDescent="0.2">
      <c r="D223" s="333"/>
    </row>
    <row r="224" spans="4:4" ht="15.75" customHeight="1" x14ac:dyDescent="0.2">
      <c r="D224" s="333"/>
    </row>
    <row r="225" spans="4:4" ht="15.75" customHeight="1" x14ac:dyDescent="0.2">
      <c r="D225" s="333"/>
    </row>
    <row r="226" spans="4:4" ht="15.75" customHeight="1" x14ac:dyDescent="0.2">
      <c r="D226" s="333"/>
    </row>
    <row r="227" spans="4:4" ht="15.75" customHeight="1" x14ac:dyDescent="0.2">
      <c r="D227" s="333"/>
    </row>
    <row r="228" spans="4:4" ht="15.75" customHeight="1" x14ac:dyDescent="0.2">
      <c r="D228" s="333"/>
    </row>
    <row r="229" spans="4:4" ht="15.75" customHeight="1" x14ac:dyDescent="0.2">
      <c r="D229" s="333"/>
    </row>
    <row r="230" spans="4:4" ht="15.75" customHeight="1" x14ac:dyDescent="0.2">
      <c r="D230" s="333"/>
    </row>
    <row r="231" spans="4:4" ht="15.75" customHeight="1" x14ac:dyDescent="0.2">
      <c r="D231" s="333"/>
    </row>
    <row r="232" spans="4:4" ht="15.75" customHeight="1" x14ac:dyDescent="0.2">
      <c r="D232" s="333"/>
    </row>
    <row r="233" spans="4:4" ht="15.75" customHeight="1" x14ac:dyDescent="0.2">
      <c r="D233" s="333"/>
    </row>
    <row r="234" spans="4:4" ht="15.75" customHeight="1" x14ac:dyDescent="0.2">
      <c r="D234" s="333"/>
    </row>
    <row r="235" spans="4:4" ht="15.75" customHeight="1" x14ac:dyDescent="0.2">
      <c r="D235" s="333"/>
    </row>
    <row r="236" spans="4:4" ht="15.75" customHeight="1" x14ac:dyDescent="0.2">
      <c r="D236" s="333"/>
    </row>
    <row r="237" spans="4:4" ht="15.75" customHeight="1" x14ac:dyDescent="0.2">
      <c r="D237" s="333"/>
    </row>
    <row r="238" spans="4:4" ht="15.75" customHeight="1" x14ac:dyDescent="0.2">
      <c r="D238" s="333"/>
    </row>
    <row r="239" spans="4:4" ht="15.75" customHeight="1" x14ac:dyDescent="0.2">
      <c r="D239" s="333"/>
    </row>
    <row r="240" spans="4:4" ht="15.75" customHeight="1" x14ac:dyDescent="0.2">
      <c r="D240" s="333"/>
    </row>
    <row r="241" spans="4:4" ht="15.75" customHeight="1" x14ac:dyDescent="0.2">
      <c r="D241" s="333"/>
    </row>
    <row r="242" spans="4:4" ht="15.75" customHeight="1" x14ac:dyDescent="0.2">
      <c r="D242" s="333"/>
    </row>
    <row r="243" spans="4:4" ht="15.75" customHeight="1" x14ac:dyDescent="0.2">
      <c r="D243" s="333"/>
    </row>
    <row r="244" spans="4:4" ht="15.75" customHeight="1" x14ac:dyDescent="0.2">
      <c r="D244" s="333"/>
    </row>
    <row r="245" spans="4:4" ht="15.75" customHeight="1" x14ac:dyDescent="0.2">
      <c r="D245" s="333"/>
    </row>
    <row r="246" spans="4:4" ht="15.75" customHeight="1" x14ac:dyDescent="0.2">
      <c r="D246" s="333"/>
    </row>
    <row r="247" spans="4:4" ht="15.75" customHeight="1" x14ac:dyDescent="0.2">
      <c r="D247" s="333"/>
    </row>
    <row r="248" spans="4:4" ht="15.75" customHeight="1" x14ac:dyDescent="0.2">
      <c r="D248" s="333"/>
    </row>
    <row r="249" spans="4:4" ht="15.75" customHeight="1" x14ac:dyDescent="0.2">
      <c r="D249" s="333"/>
    </row>
    <row r="250" spans="4:4" ht="15.75" customHeight="1" x14ac:dyDescent="0.2">
      <c r="D250" s="333"/>
    </row>
    <row r="251" spans="4:4" ht="15.75" customHeight="1" x14ac:dyDescent="0.2">
      <c r="D251" s="333"/>
    </row>
    <row r="252" spans="4:4" ht="15.75" customHeight="1" x14ac:dyDescent="0.2">
      <c r="D252" s="333"/>
    </row>
    <row r="253" spans="4:4" ht="15.75" customHeight="1" x14ac:dyDescent="0.2">
      <c r="D253" s="333"/>
    </row>
    <row r="254" spans="4:4" ht="15.75" customHeight="1" x14ac:dyDescent="0.2">
      <c r="D254" s="333"/>
    </row>
    <row r="255" spans="4:4" ht="15.75" customHeight="1" x14ac:dyDescent="0.2">
      <c r="D255" s="333"/>
    </row>
    <row r="256" spans="4:4" ht="15.75" customHeight="1" x14ac:dyDescent="0.2">
      <c r="D256" s="333"/>
    </row>
    <row r="257" spans="4:4" ht="15.75" customHeight="1" x14ac:dyDescent="0.2">
      <c r="D257" s="333"/>
    </row>
    <row r="258" spans="4:4" ht="15.75" customHeight="1" x14ac:dyDescent="0.2">
      <c r="D258" s="333"/>
    </row>
    <row r="259" spans="4:4" ht="15.75" customHeight="1" x14ac:dyDescent="0.2">
      <c r="D259" s="333"/>
    </row>
    <row r="260" spans="4:4" ht="15.75" customHeight="1" x14ac:dyDescent="0.2">
      <c r="D260" s="333"/>
    </row>
    <row r="261" spans="4:4" ht="15.75" customHeight="1" x14ac:dyDescent="0.2">
      <c r="D261" s="333"/>
    </row>
    <row r="262" spans="4:4" ht="15.75" customHeight="1" x14ac:dyDescent="0.2">
      <c r="D262" s="333"/>
    </row>
    <row r="263" spans="4:4" ht="15.75" customHeight="1" x14ac:dyDescent="0.2">
      <c r="D263" s="333"/>
    </row>
    <row r="264" spans="4:4" ht="15.75" customHeight="1" x14ac:dyDescent="0.2">
      <c r="D264" s="333"/>
    </row>
    <row r="265" spans="4:4" ht="15.75" customHeight="1" x14ac:dyDescent="0.2">
      <c r="D265" s="333"/>
    </row>
    <row r="266" spans="4:4" ht="15.75" customHeight="1" x14ac:dyDescent="0.2">
      <c r="D266" s="333"/>
    </row>
    <row r="267" spans="4:4" ht="15.75" customHeight="1" x14ac:dyDescent="0.2">
      <c r="D267" s="333"/>
    </row>
    <row r="268" spans="4:4" ht="15.75" customHeight="1" x14ac:dyDescent="0.2">
      <c r="D268" s="333"/>
    </row>
    <row r="269" spans="4:4" ht="15.75" customHeight="1" x14ac:dyDescent="0.2">
      <c r="D269" s="333"/>
    </row>
    <row r="270" spans="4:4" ht="15.75" customHeight="1" x14ac:dyDescent="0.2">
      <c r="D270" s="333"/>
    </row>
    <row r="271" spans="4:4" ht="15.75" customHeight="1" x14ac:dyDescent="0.2">
      <c r="D271" s="333"/>
    </row>
    <row r="272" spans="4:4" ht="15.75" customHeight="1" x14ac:dyDescent="0.2">
      <c r="D272" s="333"/>
    </row>
    <row r="273" spans="4:4" ht="15.75" customHeight="1" x14ac:dyDescent="0.2">
      <c r="D273" s="333"/>
    </row>
    <row r="274" spans="4:4" ht="15.75" customHeight="1" x14ac:dyDescent="0.2">
      <c r="D274" s="333"/>
    </row>
    <row r="275" spans="4:4" ht="15.75" customHeight="1" x14ac:dyDescent="0.2">
      <c r="D275" s="333"/>
    </row>
    <row r="276" spans="4:4" ht="15.75" customHeight="1" x14ac:dyDescent="0.2">
      <c r="D276" s="333"/>
    </row>
    <row r="277" spans="4:4" ht="15.75" customHeight="1" x14ac:dyDescent="0.2">
      <c r="D277" s="333"/>
    </row>
    <row r="278" spans="4:4" ht="15.75" customHeight="1" x14ac:dyDescent="0.2">
      <c r="D278" s="333"/>
    </row>
    <row r="279" spans="4:4" ht="15.75" customHeight="1" x14ac:dyDescent="0.2">
      <c r="D279" s="333"/>
    </row>
    <row r="280" spans="4:4" ht="15.75" customHeight="1" x14ac:dyDescent="0.2">
      <c r="D280" s="333"/>
    </row>
    <row r="281" spans="4:4" ht="15.75" customHeight="1" x14ac:dyDescent="0.2">
      <c r="D281" s="333"/>
    </row>
    <row r="282" spans="4:4" ht="15.75" customHeight="1" x14ac:dyDescent="0.2">
      <c r="D282" s="333"/>
    </row>
    <row r="283" spans="4:4" ht="15.75" customHeight="1" x14ac:dyDescent="0.2">
      <c r="D283" s="333"/>
    </row>
    <row r="284" spans="4:4" ht="15.75" customHeight="1" x14ac:dyDescent="0.2">
      <c r="D284" s="333"/>
    </row>
    <row r="285" spans="4:4" ht="15.75" customHeight="1" x14ac:dyDescent="0.2">
      <c r="D285" s="333"/>
    </row>
    <row r="286" spans="4:4" ht="15.75" customHeight="1" x14ac:dyDescent="0.2">
      <c r="D286" s="333"/>
    </row>
    <row r="287" spans="4:4" ht="15.75" customHeight="1" x14ac:dyDescent="0.2">
      <c r="D287" s="333"/>
    </row>
    <row r="288" spans="4:4" ht="15.75" customHeight="1" x14ac:dyDescent="0.2">
      <c r="D288" s="333"/>
    </row>
    <row r="289" spans="4:4" ht="15.75" customHeight="1" x14ac:dyDescent="0.2">
      <c r="D289" s="333"/>
    </row>
    <row r="290" spans="4:4" ht="15.75" customHeight="1" x14ac:dyDescent="0.2">
      <c r="D290" s="333"/>
    </row>
    <row r="291" spans="4:4" ht="15.75" customHeight="1" x14ac:dyDescent="0.2">
      <c r="D291" s="333"/>
    </row>
    <row r="292" spans="4:4" ht="15.75" customHeight="1" x14ac:dyDescent="0.2">
      <c r="D292" s="333"/>
    </row>
    <row r="293" spans="4:4" ht="15.75" customHeight="1" x14ac:dyDescent="0.2">
      <c r="D293" s="333"/>
    </row>
    <row r="294" spans="4:4" ht="15.75" customHeight="1" x14ac:dyDescent="0.2">
      <c r="D294" s="333"/>
    </row>
    <row r="295" spans="4:4" ht="15.75" customHeight="1" x14ac:dyDescent="0.2">
      <c r="D295" s="333"/>
    </row>
    <row r="296" spans="4:4" ht="15.75" customHeight="1" x14ac:dyDescent="0.2">
      <c r="D296" s="333"/>
    </row>
    <row r="297" spans="4:4" ht="15.75" customHeight="1" x14ac:dyDescent="0.2">
      <c r="D297" s="333"/>
    </row>
    <row r="298" spans="4:4" ht="15.75" customHeight="1" x14ac:dyDescent="0.2">
      <c r="D298" s="333"/>
    </row>
    <row r="299" spans="4:4" ht="15.75" customHeight="1" x14ac:dyDescent="0.2">
      <c r="D299" s="333"/>
    </row>
    <row r="300" spans="4:4" ht="15.75" customHeight="1" x14ac:dyDescent="0.2">
      <c r="D300" s="333"/>
    </row>
    <row r="301" spans="4:4" ht="15.75" customHeight="1" x14ac:dyDescent="0.2">
      <c r="D301" s="333"/>
    </row>
    <row r="302" spans="4:4" ht="15.75" customHeight="1" x14ac:dyDescent="0.2">
      <c r="D302" s="333"/>
    </row>
    <row r="303" spans="4:4" ht="15.75" customHeight="1" x14ac:dyDescent="0.2">
      <c r="D303" s="333"/>
    </row>
    <row r="304" spans="4:4" ht="15.75" customHeight="1" x14ac:dyDescent="0.2">
      <c r="D304" s="333"/>
    </row>
    <row r="305" spans="4:4" ht="15.75" customHeight="1" x14ac:dyDescent="0.2">
      <c r="D305" s="333"/>
    </row>
    <row r="306" spans="4:4" ht="15.75" customHeight="1" x14ac:dyDescent="0.2">
      <c r="D306" s="333"/>
    </row>
    <row r="307" spans="4:4" ht="15.75" customHeight="1" x14ac:dyDescent="0.2">
      <c r="D307" s="333"/>
    </row>
    <row r="308" spans="4:4" ht="15.75" customHeight="1" x14ac:dyDescent="0.2">
      <c r="D308" s="333"/>
    </row>
    <row r="309" spans="4:4" ht="15.75" customHeight="1" x14ac:dyDescent="0.2">
      <c r="D309" s="333"/>
    </row>
    <row r="310" spans="4:4" ht="15.75" customHeight="1" x14ac:dyDescent="0.2">
      <c r="D310" s="333"/>
    </row>
    <row r="311" spans="4:4" ht="15.75" customHeight="1" x14ac:dyDescent="0.2">
      <c r="D311" s="333"/>
    </row>
    <row r="312" spans="4:4" ht="15.75" customHeight="1" x14ac:dyDescent="0.2">
      <c r="D312" s="333"/>
    </row>
    <row r="313" spans="4:4" ht="15.75" customHeight="1" x14ac:dyDescent="0.2">
      <c r="D313" s="333"/>
    </row>
    <row r="314" spans="4:4" ht="15.75" customHeight="1" x14ac:dyDescent="0.2">
      <c r="D314" s="333"/>
    </row>
    <row r="315" spans="4:4" ht="15.75" customHeight="1" x14ac:dyDescent="0.2">
      <c r="D315" s="333"/>
    </row>
    <row r="316" spans="4:4" ht="15.75" customHeight="1" x14ac:dyDescent="0.2">
      <c r="D316" s="333"/>
    </row>
    <row r="317" spans="4:4" ht="15.75" customHeight="1" x14ac:dyDescent="0.2">
      <c r="D317" s="333"/>
    </row>
    <row r="318" spans="4:4" ht="15.75" customHeight="1" x14ac:dyDescent="0.2">
      <c r="D318" s="333"/>
    </row>
    <row r="319" spans="4:4" ht="15.75" customHeight="1" x14ac:dyDescent="0.2">
      <c r="D319" s="333"/>
    </row>
    <row r="320" spans="4:4" ht="15.75" customHeight="1" x14ac:dyDescent="0.2">
      <c r="D320" s="333"/>
    </row>
    <row r="321" spans="4:4" ht="15.75" customHeight="1" x14ac:dyDescent="0.2">
      <c r="D321" s="333"/>
    </row>
    <row r="322" spans="4:4" ht="15.75" customHeight="1" x14ac:dyDescent="0.2">
      <c r="D322" s="333"/>
    </row>
    <row r="323" spans="4:4" ht="15.75" customHeight="1" x14ac:dyDescent="0.2">
      <c r="D323" s="333"/>
    </row>
    <row r="324" spans="4:4" ht="15.75" customHeight="1" x14ac:dyDescent="0.2">
      <c r="D324" s="333"/>
    </row>
    <row r="325" spans="4:4" ht="15.75" customHeight="1" x14ac:dyDescent="0.2">
      <c r="D325" s="333"/>
    </row>
    <row r="326" spans="4:4" ht="15.75" customHeight="1" x14ac:dyDescent="0.2">
      <c r="D326" s="333"/>
    </row>
    <row r="327" spans="4:4" ht="15.75" customHeight="1" x14ac:dyDescent="0.2">
      <c r="D327" s="333"/>
    </row>
    <row r="328" spans="4:4" ht="15.75" customHeight="1" x14ac:dyDescent="0.2">
      <c r="D328" s="333"/>
    </row>
    <row r="329" spans="4:4" ht="15.75" customHeight="1" x14ac:dyDescent="0.2">
      <c r="D329" s="333"/>
    </row>
    <row r="330" spans="4:4" ht="15.75" customHeight="1" x14ac:dyDescent="0.2">
      <c r="D330" s="333"/>
    </row>
    <row r="331" spans="4:4" ht="15.75" customHeight="1" x14ac:dyDescent="0.2">
      <c r="D331" s="333"/>
    </row>
    <row r="332" spans="4:4" ht="15.75" customHeight="1" x14ac:dyDescent="0.2">
      <c r="D332" s="333"/>
    </row>
    <row r="333" spans="4:4" ht="15.75" customHeight="1" x14ac:dyDescent="0.2">
      <c r="D333" s="333"/>
    </row>
    <row r="334" spans="4:4" ht="15.75" customHeight="1" x14ac:dyDescent="0.2">
      <c r="D334" s="333"/>
    </row>
    <row r="335" spans="4:4" ht="15.75" customHeight="1" x14ac:dyDescent="0.2">
      <c r="D335" s="333"/>
    </row>
    <row r="336" spans="4:4" ht="15.75" customHeight="1" x14ac:dyDescent="0.2">
      <c r="D336" s="333"/>
    </row>
    <row r="337" spans="4:4" ht="15.75" customHeight="1" x14ac:dyDescent="0.2">
      <c r="D337" s="333"/>
    </row>
    <row r="338" spans="4:4" ht="15.75" customHeight="1" x14ac:dyDescent="0.2">
      <c r="D338" s="333"/>
    </row>
    <row r="339" spans="4:4" ht="15.75" customHeight="1" x14ac:dyDescent="0.2">
      <c r="D339" s="333"/>
    </row>
    <row r="340" spans="4:4" ht="15.75" customHeight="1" x14ac:dyDescent="0.2">
      <c r="D340" s="333"/>
    </row>
    <row r="341" spans="4:4" ht="15.75" customHeight="1" x14ac:dyDescent="0.2">
      <c r="D341" s="333"/>
    </row>
    <row r="342" spans="4:4" ht="15.75" customHeight="1" x14ac:dyDescent="0.2">
      <c r="D342" s="333"/>
    </row>
    <row r="343" spans="4:4" ht="15.75" customHeight="1" x14ac:dyDescent="0.2">
      <c r="D343" s="333"/>
    </row>
    <row r="344" spans="4:4" ht="15.75" customHeight="1" x14ac:dyDescent="0.2">
      <c r="D344" s="333"/>
    </row>
    <row r="345" spans="4:4" ht="15.75" customHeight="1" x14ac:dyDescent="0.2">
      <c r="D345" s="333"/>
    </row>
    <row r="346" spans="4:4" ht="15.75" customHeight="1" x14ac:dyDescent="0.2">
      <c r="D346" s="333"/>
    </row>
    <row r="347" spans="4:4" ht="15.75" customHeight="1" x14ac:dyDescent="0.2">
      <c r="D347" s="333"/>
    </row>
    <row r="348" spans="4:4" ht="15.75" customHeight="1" x14ac:dyDescent="0.2">
      <c r="D348" s="333"/>
    </row>
    <row r="349" spans="4:4" ht="15.75" customHeight="1" x14ac:dyDescent="0.2">
      <c r="D349" s="333"/>
    </row>
    <row r="350" spans="4:4" ht="15.75" customHeight="1" x14ac:dyDescent="0.2">
      <c r="D350" s="333"/>
    </row>
    <row r="351" spans="4:4" ht="15.75" customHeight="1" x14ac:dyDescent="0.2">
      <c r="D351" s="333"/>
    </row>
    <row r="352" spans="4:4" ht="15.75" customHeight="1" x14ac:dyDescent="0.2">
      <c r="D352" s="333"/>
    </row>
    <row r="353" spans="4:4" ht="15.75" customHeight="1" x14ac:dyDescent="0.2">
      <c r="D353" s="333"/>
    </row>
    <row r="354" spans="4:4" ht="15.75" customHeight="1" x14ac:dyDescent="0.2">
      <c r="D354" s="333"/>
    </row>
    <row r="355" spans="4:4" ht="15.75" customHeight="1" x14ac:dyDescent="0.2">
      <c r="D355" s="333"/>
    </row>
    <row r="356" spans="4:4" ht="15.75" customHeight="1" x14ac:dyDescent="0.2">
      <c r="D356" s="333"/>
    </row>
    <row r="357" spans="4:4" ht="15.75" customHeight="1" x14ac:dyDescent="0.2">
      <c r="D357" s="333"/>
    </row>
    <row r="358" spans="4:4" ht="15.75" customHeight="1" x14ac:dyDescent="0.2">
      <c r="D358" s="333"/>
    </row>
    <row r="359" spans="4:4" ht="15.75" customHeight="1" x14ac:dyDescent="0.2">
      <c r="D359" s="333"/>
    </row>
    <row r="360" spans="4:4" ht="15.75" customHeight="1" x14ac:dyDescent="0.2">
      <c r="D360" s="333"/>
    </row>
    <row r="361" spans="4:4" ht="15.75" customHeight="1" x14ac:dyDescent="0.2">
      <c r="D361" s="333"/>
    </row>
    <row r="362" spans="4:4" ht="15.75" customHeight="1" x14ac:dyDescent="0.2">
      <c r="D362" s="333"/>
    </row>
    <row r="363" spans="4:4" ht="15.75" customHeight="1" x14ac:dyDescent="0.2">
      <c r="D363" s="333"/>
    </row>
    <row r="364" spans="4:4" ht="15.75" customHeight="1" x14ac:dyDescent="0.2">
      <c r="D364" s="333"/>
    </row>
    <row r="365" spans="4:4" ht="15.75" customHeight="1" x14ac:dyDescent="0.2">
      <c r="D365" s="333"/>
    </row>
    <row r="366" spans="4:4" ht="15.75" customHeight="1" x14ac:dyDescent="0.2">
      <c r="D366" s="333"/>
    </row>
    <row r="367" spans="4:4" ht="15.75" customHeight="1" x14ac:dyDescent="0.2">
      <c r="D367" s="333"/>
    </row>
    <row r="368" spans="4:4" ht="15.75" customHeight="1" x14ac:dyDescent="0.2">
      <c r="D368" s="333"/>
    </row>
    <row r="369" spans="4:4" ht="15.75" customHeight="1" x14ac:dyDescent="0.2">
      <c r="D369" s="333"/>
    </row>
    <row r="370" spans="4:4" ht="15.75" customHeight="1" x14ac:dyDescent="0.2">
      <c r="D370" s="333"/>
    </row>
    <row r="371" spans="4:4" ht="15.75" customHeight="1" x14ac:dyDescent="0.2">
      <c r="D371" s="333"/>
    </row>
    <row r="372" spans="4:4" ht="15.75" customHeight="1" x14ac:dyDescent="0.2">
      <c r="D372" s="333"/>
    </row>
    <row r="373" spans="4:4" ht="15.75" customHeight="1" x14ac:dyDescent="0.2">
      <c r="D373" s="333"/>
    </row>
    <row r="374" spans="4:4" ht="15.75" customHeight="1" x14ac:dyDescent="0.2">
      <c r="D374" s="333"/>
    </row>
    <row r="375" spans="4:4" ht="15.75" customHeight="1" x14ac:dyDescent="0.2">
      <c r="D375" s="333"/>
    </row>
    <row r="376" spans="4:4" ht="15.75" customHeight="1" x14ac:dyDescent="0.2">
      <c r="D376" s="333"/>
    </row>
    <row r="377" spans="4:4" ht="15.75" customHeight="1" x14ac:dyDescent="0.2">
      <c r="D377" s="333"/>
    </row>
    <row r="378" spans="4:4" ht="15.75" customHeight="1" x14ac:dyDescent="0.2">
      <c r="D378" s="333"/>
    </row>
    <row r="379" spans="4:4" ht="15.75" customHeight="1" x14ac:dyDescent="0.2">
      <c r="D379" s="333"/>
    </row>
    <row r="380" spans="4:4" ht="15.75" customHeight="1" x14ac:dyDescent="0.2">
      <c r="D380" s="333"/>
    </row>
    <row r="381" spans="4:4" ht="15.75" customHeight="1" x14ac:dyDescent="0.2">
      <c r="D381" s="333"/>
    </row>
    <row r="382" spans="4:4" ht="15.75" customHeight="1" x14ac:dyDescent="0.2">
      <c r="D382" s="333"/>
    </row>
    <row r="383" spans="4:4" ht="15.75" customHeight="1" x14ac:dyDescent="0.2">
      <c r="D383" s="333"/>
    </row>
    <row r="384" spans="4:4" ht="15.75" customHeight="1" x14ac:dyDescent="0.2">
      <c r="D384" s="333"/>
    </row>
    <row r="385" spans="4:4" ht="15.75" customHeight="1" x14ac:dyDescent="0.2">
      <c r="D385" s="333"/>
    </row>
    <row r="386" spans="4:4" ht="15.75" customHeight="1" x14ac:dyDescent="0.2">
      <c r="D386" s="333"/>
    </row>
    <row r="387" spans="4:4" ht="15.75" customHeight="1" x14ac:dyDescent="0.2">
      <c r="D387" s="333"/>
    </row>
    <row r="388" spans="4:4" ht="15.75" customHeight="1" x14ac:dyDescent="0.2">
      <c r="D388" s="333"/>
    </row>
    <row r="389" spans="4:4" ht="15.75" customHeight="1" x14ac:dyDescent="0.2">
      <c r="D389" s="333"/>
    </row>
    <row r="390" spans="4:4" ht="15.75" customHeight="1" x14ac:dyDescent="0.2">
      <c r="D390" s="333"/>
    </row>
    <row r="391" spans="4:4" ht="15.75" customHeight="1" x14ac:dyDescent="0.2">
      <c r="D391" s="333"/>
    </row>
    <row r="392" spans="4:4" ht="15.75" customHeight="1" x14ac:dyDescent="0.2">
      <c r="D392" s="333"/>
    </row>
    <row r="393" spans="4:4" ht="15.75" customHeight="1" x14ac:dyDescent="0.2">
      <c r="D393" s="333"/>
    </row>
    <row r="394" spans="4:4" ht="15.75" customHeight="1" x14ac:dyDescent="0.2">
      <c r="D394" s="333"/>
    </row>
    <row r="395" spans="4:4" ht="15.75" customHeight="1" x14ac:dyDescent="0.2">
      <c r="D395" s="333"/>
    </row>
    <row r="396" spans="4:4" ht="15.75" customHeight="1" x14ac:dyDescent="0.2">
      <c r="D396" s="333"/>
    </row>
    <row r="397" spans="4:4" ht="15.75" customHeight="1" x14ac:dyDescent="0.2">
      <c r="D397" s="333"/>
    </row>
    <row r="398" spans="4:4" ht="15.75" customHeight="1" x14ac:dyDescent="0.2">
      <c r="D398" s="333"/>
    </row>
    <row r="399" spans="4:4" ht="15.75" customHeight="1" x14ac:dyDescent="0.2">
      <c r="D399" s="333"/>
    </row>
    <row r="400" spans="4:4" ht="15.75" customHeight="1" x14ac:dyDescent="0.2">
      <c r="D400" s="333"/>
    </row>
    <row r="401" spans="4:4" ht="15.75" customHeight="1" x14ac:dyDescent="0.2">
      <c r="D401" s="333"/>
    </row>
    <row r="402" spans="4:4" ht="15.75" customHeight="1" x14ac:dyDescent="0.2">
      <c r="D402" s="333"/>
    </row>
    <row r="403" spans="4:4" ht="15.75" customHeight="1" x14ac:dyDescent="0.2">
      <c r="D403" s="333"/>
    </row>
    <row r="404" spans="4:4" ht="15.75" customHeight="1" x14ac:dyDescent="0.2">
      <c r="D404" s="333"/>
    </row>
    <row r="405" spans="4:4" ht="15.75" customHeight="1" x14ac:dyDescent="0.2">
      <c r="D405" s="333"/>
    </row>
    <row r="406" spans="4:4" ht="15.75" customHeight="1" x14ac:dyDescent="0.2">
      <c r="D406" s="333"/>
    </row>
    <row r="407" spans="4:4" ht="15.75" customHeight="1" x14ac:dyDescent="0.2">
      <c r="D407" s="333"/>
    </row>
    <row r="408" spans="4:4" ht="15.75" customHeight="1" x14ac:dyDescent="0.2">
      <c r="D408" s="333"/>
    </row>
    <row r="409" spans="4:4" ht="15.75" customHeight="1" x14ac:dyDescent="0.2">
      <c r="D409" s="333"/>
    </row>
    <row r="410" spans="4:4" ht="15.75" customHeight="1" x14ac:dyDescent="0.2">
      <c r="D410" s="333"/>
    </row>
    <row r="411" spans="4:4" ht="15.75" customHeight="1" x14ac:dyDescent="0.2">
      <c r="D411" s="333"/>
    </row>
    <row r="412" spans="4:4" ht="15.75" customHeight="1" x14ac:dyDescent="0.2">
      <c r="D412" s="333"/>
    </row>
    <row r="413" spans="4:4" ht="15.75" customHeight="1" x14ac:dyDescent="0.2">
      <c r="D413" s="333"/>
    </row>
    <row r="414" spans="4:4" ht="15.75" customHeight="1" x14ac:dyDescent="0.2">
      <c r="D414" s="333"/>
    </row>
    <row r="415" spans="4:4" ht="15.75" customHeight="1" x14ac:dyDescent="0.2">
      <c r="D415" s="333"/>
    </row>
    <row r="416" spans="4:4" ht="15.75" customHeight="1" x14ac:dyDescent="0.2">
      <c r="D416" s="333"/>
    </row>
    <row r="417" spans="4:4" ht="15.75" customHeight="1" x14ac:dyDescent="0.2">
      <c r="D417" s="333"/>
    </row>
    <row r="418" spans="4:4" ht="15.75" customHeight="1" x14ac:dyDescent="0.2">
      <c r="D418" s="333"/>
    </row>
    <row r="419" spans="4:4" ht="15.75" customHeight="1" x14ac:dyDescent="0.2">
      <c r="D419" s="333"/>
    </row>
    <row r="420" spans="4:4" ht="15.75" customHeight="1" x14ac:dyDescent="0.2">
      <c r="D420" s="333"/>
    </row>
    <row r="421" spans="4:4" ht="15.75" customHeight="1" x14ac:dyDescent="0.2">
      <c r="D421" s="333"/>
    </row>
    <row r="422" spans="4:4" ht="15.75" customHeight="1" x14ac:dyDescent="0.2">
      <c r="D422" s="333"/>
    </row>
    <row r="423" spans="4:4" ht="15.75" customHeight="1" x14ac:dyDescent="0.2">
      <c r="D423" s="333"/>
    </row>
    <row r="424" spans="4:4" ht="15.75" customHeight="1" x14ac:dyDescent="0.2">
      <c r="D424" s="333"/>
    </row>
    <row r="425" spans="4:4" ht="15.75" customHeight="1" x14ac:dyDescent="0.2">
      <c r="D425" s="333"/>
    </row>
    <row r="426" spans="4:4" ht="15.75" customHeight="1" x14ac:dyDescent="0.2">
      <c r="D426" s="333"/>
    </row>
    <row r="427" spans="4:4" ht="15.75" customHeight="1" x14ac:dyDescent="0.2">
      <c r="D427" s="333"/>
    </row>
    <row r="428" spans="4:4" ht="15.75" customHeight="1" x14ac:dyDescent="0.2">
      <c r="D428" s="333"/>
    </row>
    <row r="429" spans="4:4" ht="15.75" customHeight="1" x14ac:dyDescent="0.2">
      <c r="D429" s="333"/>
    </row>
    <row r="430" spans="4:4" ht="15.75" customHeight="1" x14ac:dyDescent="0.2">
      <c r="D430" s="333"/>
    </row>
    <row r="431" spans="4:4" ht="15.75" customHeight="1" x14ac:dyDescent="0.2">
      <c r="D431" s="333"/>
    </row>
    <row r="432" spans="4:4" ht="15.75" customHeight="1" x14ac:dyDescent="0.2">
      <c r="D432" s="333"/>
    </row>
    <row r="433" spans="4:4" ht="15.75" customHeight="1" x14ac:dyDescent="0.2">
      <c r="D433" s="333"/>
    </row>
    <row r="434" spans="4:4" ht="15.75" customHeight="1" x14ac:dyDescent="0.2">
      <c r="D434" s="333"/>
    </row>
    <row r="435" spans="4:4" ht="15.75" customHeight="1" x14ac:dyDescent="0.2">
      <c r="D435" s="333"/>
    </row>
    <row r="436" spans="4:4" ht="15.75" customHeight="1" x14ac:dyDescent="0.2">
      <c r="D436" s="333"/>
    </row>
    <row r="437" spans="4:4" ht="15.75" customHeight="1" x14ac:dyDescent="0.2">
      <c r="D437" s="333"/>
    </row>
    <row r="438" spans="4:4" ht="15.75" customHeight="1" x14ac:dyDescent="0.2">
      <c r="D438" s="333"/>
    </row>
    <row r="439" spans="4:4" ht="15.75" customHeight="1" x14ac:dyDescent="0.2">
      <c r="D439" s="333"/>
    </row>
    <row r="440" spans="4:4" ht="15.75" customHeight="1" x14ac:dyDescent="0.2">
      <c r="D440" s="333"/>
    </row>
    <row r="441" spans="4:4" ht="15.75" customHeight="1" x14ac:dyDescent="0.2">
      <c r="D441" s="333"/>
    </row>
    <row r="442" spans="4:4" ht="15.75" customHeight="1" x14ac:dyDescent="0.2">
      <c r="D442" s="333"/>
    </row>
    <row r="443" spans="4:4" ht="15.75" customHeight="1" x14ac:dyDescent="0.2">
      <c r="D443" s="333"/>
    </row>
    <row r="444" spans="4:4" ht="15.75" customHeight="1" x14ac:dyDescent="0.2">
      <c r="D444" s="333"/>
    </row>
    <row r="445" spans="4:4" ht="15.75" customHeight="1" x14ac:dyDescent="0.2">
      <c r="D445" s="333"/>
    </row>
    <row r="446" spans="4:4" ht="15.75" customHeight="1" x14ac:dyDescent="0.2">
      <c r="D446" s="333"/>
    </row>
    <row r="447" spans="4:4" ht="15.75" customHeight="1" x14ac:dyDescent="0.2">
      <c r="D447" s="333"/>
    </row>
    <row r="448" spans="4:4" ht="15.75" customHeight="1" x14ac:dyDescent="0.2">
      <c r="D448" s="333"/>
    </row>
    <row r="449" spans="4:4" ht="15.75" customHeight="1" x14ac:dyDescent="0.2">
      <c r="D449" s="333"/>
    </row>
    <row r="450" spans="4:4" ht="15.75" customHeight="1" x14ac:dyDescent="0.2">
      <c r="D450" s="333"/>
    </row>
    <row r="451" spans="4:4" ht="15.75" customHeight="1" x14ac:dyDescent="0.2">
      <c r="D451" s="333"/>
    </row>
    <row r="452" spans="4:4" ht="15.75" customHeight="1" x14ac:dyDescent="0.2">
      <c r="D452" s="333"/>
    </row>
    <row r="453" spans="4:4" ht="15.75" customHeight="1" x14ac:dyDescent="0.2">
      <c r="D453" s="333"/>
    </row>
    <row r="454" spans="4:4" ht="15.75" customHeight="1" x14ac:dyDescent="0.2">
      <c r="D454" s="333"/>
    </row>
    <row r="455" spans="4:4" ht="15.75" customHeight="1" x14ac:dyDescent="0.2">
      <c r="D455" s="333"/>
    </row>
    <row r="456" spans="4:4" ht="15.75" customHeight="1" x14ac:dyDescent="0.2">
      <c r="D456" s="333"/>
    </row>
    <row r="457" spans="4:4" ht="15.75" customHeight="1" x14ac:dyDescent="0.2">
      <c r="D457" s="333"/>
    </row>
    <row r="458" spans="4:4" ht="15.75" customHeight="1" x14ac:dyDescent="0.2">
      <c r="D458" s="333"/>
    </row>
    <row r="459" spans="4:4" ht="15.75" customHeight="1" x14ac:dyDescent="0.2">
      <c r="D459" s="333"/>
    </row>
    <row r="460" spans="4:4" ht="15.75" customHeight="1" x14ac:dyDescent="0.2">
      <c r="D460" s="333"/>
    </row>
    <row r="461" spans="4:4" ht="15.75" customHeight="1" x14ac:dyDescent="0.2">
      <c r="D461" s="333"/>
    </row>
    <row r="462" spans="4:4" ht="15.75" customHeight="1" x14ac:dyDescent="0.2">
      <c r="D462" s="333"/>
    </row>
    <row r="463" spans="4:4" ht="15.75" customHeight="1" x14ac:dyDescent="0.2">
      <c r="D463" s="333"/>
    </row>
    <row r="464" spans="4:4" ht="15.75" customHeight="1" x14ac:dyDescent="0.2">
      <c r="D464" s="333"/>
    </row>
    <row r="465" spans="4:4" ht="15.75" customHeight="1" x14ac:dyDescent="0.2">
      <c r="D465" s="333"/>
    </row>
    <row r="466" spans="4:4" ht="15.75" customHeight="1" x14ac:dyDescent="0.2">
      <c r="D466" s="333"/>
    </row>
    <row r="467" spans="4:4" ht="15.75" customHeight="1" x14ac:dyDescent="0.2">
      <c r="D467" s="333"/>
    </row>
    <row r="468" spans="4:4" ht="15.75" customHeight="1" x14ac:dyDescent="0.2">
      <c r="D468" s="333"/>
    </row>
    <row r="469" spans="4:4" ht="15.75" customHeight="1" x14ac:dyDescent="0.2">
      <c r="D469" s="333"/>
    </row>
    <row r="470" spans="4:4" ht="15.75" customHeight="1" x14ac:dyDescent="0.2">
      <c r="D470" s="333"/>
    </row>
    <row r="471" spans="4:4" ht="15.75" customHeight="1" x14ac:dyDescent="0.2">
      <c r="D471" s="333"/>
    </row>
    <row r="472" spans="4:4" ht="15.75" customHeight="1" x14ac:dyDescent="0.2">
      <c r="D472" s="333"/>
    </row>
    <row r="473" spans="4:4" ht="15.75" customHeight="1" x14ac:dyDescent="0.2">
      <c r="D473" s="333"/>
    </row>
    <row r="474" spans="4:4" ht="15.75" customHeight="1" x14ac:dyDescent="0.2">
      <c r="D474" s="333"/>
    </row>
    <row r="475" spans="4:4" ht="15.75" customHeight="1" x14ac:dyDescent="0.2">
      <c r="D475" s="333"/>
    </row>
    <row r="476" spans="4:4" ht="15.75" customHeight="1" x14ac:dyDescent="0.2">
      <c r="D476" s="333"/>
    </row>
    <row r="477" spans="4:4" ht="15.75" customHeight="1" x14ac:dyDescent="0.2">
      <c r="D477" s="333"/>
    </row>
    <row r="478" spans="4:4" ht="15.75" customHeight="1" x14ac:dyDescent="0.2">
      <c r="D478" s="333"/>
    </row>
    <row r="479" spans="4:4" ht="15.75" customHeight="1" x14ac:dyDescent="0.2">
      <c r="D479" s="333"/>
    </row>
    <row r="480" spans="4:4" ht="15.75" customHeight="1" x14ac:dyDescent="0.2">
      <c r="D480" s="333"/>
    </row>
    <row r="481" spans="4:4" ht="15.75" customHeight="1" x14ac:dyDescent="0.2">
      <c r="D481" s="333"/>
    </row>
    <row r="482" spans="4:4" ht="15.75" customHeight="1" x14ac:dyDescent="0.2">
      <c r="D482" s="333"/>
    </row>
    <row r="483" spans="4:4" ht="15.75" customHeight="1" x14ac:dyDescent="0.2">
      <c r="D483" s="333"/>
    </row>
    <row r="484" spans="4:4" ht="15.75" customHeight="1" x14ac:dyDescent="0.2">
      <c r="D484" s="333"/>
    </row>
    <row r="485" spans="4:4" ht="15.75" customHeight="1" x14ac:dyDescent="0.2">
      <c r="D485" s="333"/>
    </row>
    <row r="486" spans="4:4" ht="15.75" customHeight="1" x14ac:dyDescent="0.2">
      <c r="D486" s="333"/>
    </row>
    <row r="487" spans="4:4" ht="15.75" customHeight="1" x14ac:dyDescent="0.2">
      <c r="D487" s="333"/>
    </row>
    <row r="488" spans="4:4" ht="15.75" customHeight="1" x14ac:dyDescent="0.2">
      <c r="D488" s="333"/>
    </row>
    <row r="489" spans="4:4" ht="15.75" customHeight="1" x14ac:dyDescent="0.2">
      <c r="D489" s="333"/>
    </row>
    <row r="490" spans="4:4" ht="15.75" customHeight="1" x14ac:dyDescent="0.2">
      <c r="D490" s="333"/>
    </row>
    <row r="491" spans="4:4" ht="15.75" customHeight="1" x14ac:dyDescent="0.2">
      <c r="D491" s="333"/>
    </row>
    <row r="492" spans="4:4" ht="15.75" customHeight="1" x14ac:dyDescent="0.2">
      <c r="D492" s="333"/>
    </row>
    <row r="493" spans="4:4" ht="15.75" customHeight="1" x14ac:dyDescent="0.2">
      <c r="D493" s="333"/>
    </row>
    <row r="494" spans="4:4" ht="15.75" customHeight="1" x14ac:dyDescent="0.2">
      <c r="D494" s="333"/>
    </row>
    <row r="495" spans="4:4" ht="15.75" customHeight="1" x14ac:dyDescent="0.2">
      <c r="D495" s="333"/>
    </row>
    <row r="496" spans="4:4" ht="15.75" customHeight="1" x14ac:dyDescent="0.2">
      <c r="D496" s="333"/>
    </row>
    <row r="497" spans="4:4" ht="15.75" customHeight="1" x14ac:dyDescent="0.2">
      <c r="D497" s="333"/>
    </row>
    <row r="498" spans="4:4" ht="15.75" customHeight="1" x14ac:dyDescent="0.2">
      <c r="D498" s="333"/>
    </row>
    <row r="499" spans="4:4" ht="15.75" customHeight="1" x14ac:dyDescent="0.2">
      <c r="D499" s="333"/>
    </row>
    <row r="500" spans="4:4" ht="15.75" customHeight="1" x14ac:dyDescent="0.2">
      <c r="D500" s="333"/>
    </row>
    <row r="501" spans="4:4" ht="15.75" customHeight="1" x14ac:dyDescent="0.2">
      <c r="D501" s="333"/>
    </row>
    <row r="502" spans="4:4" ht="15.75" customHeight="1" x14ac:dyDescent="0.2">
      <c r="D502" s="333"/>
    </row>
    <row r="503" spans="4:4" ht="15.75" customHeight="1" x14ac:dyDescent="0.2">
      <c r="D503" s="333"/>
    </row>
    <row r="504" spans="4:4" ht="15.75" customHeight="1" x14ac:dyDescent="0.2">
      <c r="D504" s="333"/>
    </row>
    <row r="505" spans="4:4" ht="15.75" customHeight="1" x14ac:dyDescent="0.2">
      <c r="D505" s="333"/>
    </row>
    <row r="506" spans="4:4" ht="15.75" customHeight="1" x14ac:dyDescent="0.2">
      <c r="D506" s="333"/>
    </row>
    <row r="507" spans="4:4" ht="15.75" customHeight="1" x14ac:dyDescent="0.2">
      <c r="D507" s="333"/>
    </row>
    <row r="508" spans="4:4" ht="15.75" customHeight="1" x14ac:dyDescent="0.2">
      <c r="D508" s="333"/>
    </row>
    <row r="509" spans="4:4" ht="15.75" customHeight="1" x14ac:dyDescent="0.2">
      <c r="D509" s="333"/>
    </row>
    <row r="510" spans="4:4" ht="15.75" customHeight="1" x14ac:dyDescent="0.2">
      <c r="D510" s="333"/>
    </row>
    <row r="511" spans="4:4" ht="15.75" customHeight="1" x14ac:dyDescent="0.2">
      <c r="D511" s="333"/>
    </row>
    <row r="512" spans="4:4" ht="15.75" customHeight="1" x14ac:dyDescent="0.2">
      <c r="D512" s="333"/>
    </row>
    <row r="513" spans="4:4" ht="15.75" customHeight="1" x14ac:dyDescent="0.2">
      <c r="D513" s="333"/>
    </row>
    <row r="514" spans="4:4" ht="15.75" customHeight="1" x14ac:dyDescent="0.2">
      <c r="D514" s="333"/>
    </row>
    <row r="515" spans="4:4" ht="15.75" customHeight="1" x14ac:dyDescent="0.2">
      <c r="D515" s="333"/>
    </row>
    <row r="516" spans="4:4" ht="15.75" customHeight="1" x14ac:dyDescent="0.2">
      <c r="D516" s="333"/>
    </row>
    <row r="517" spans="4:4" ht="15.75" customHeight="1" x14ac:dyDescent="0.2">
      <c r="D517" s="333"/>
    </row>
    <row r="518" spans="4:4" ht="15.75" customHeight="1" x14ac:dyDescent="0.2">
      <c r="D518" s="333"/>
    </row>
    <row r="519" spans="4:4" ht="15.75" customHeight="1" x14ac:dyDescent="0.2">
      <c r="D519" s="333"/>
    </row>
    <row r="520" spans="4:4" ht="15.75" customHeight="1" x14ac:dyDescent="0.2">
      <c r="D520" s="333"/>
    </row>
    <row r="521" spans="4:4" ht="15.75" customHeight="1" x14ac:dyDescent="0.2">
      <c r="D521" s="333"/>
    </row>
    <row r="522" spans="4:4" ht="15.75" customHeight="1" x14ac:dyDescent="0.2">
      <c r="D522" s="333"/>
    </row>
    <row r="523" spans="4:4" ht="15.75" customHeight="1" x14ac:dyDescent="0.2">
      <c r="D523" s="333"/>
    </row>
    <row r="524" spans="4:4" ht="15.75" customHeight="1" x14ac:dyDescent="0.2">
      <c r="D524" s="333"/>
    </row>
    <row r="525" spans="4:4" ht="15.75" customHeight="1" x14ac:dyDescent="0.2">
      <c r="D525" s="333"/>
    </row>
    <row r="526" spans="4:4" ht="15.75" customHeight="1" x14ac:dyDescent="0.2">
      <c r="D526" s="333"/>
    </row>
    <row r="527" spans="4:4" ht="15.75" customHeight="1" x14ac:dyDescent="0.2">
      <c r="D527" s="333"/>
    </row>
    <row r="528" spans="4:4" ht="15.75" customHeight="1" x14ac:dyDescent="0.2">
      <c r="D528" s="333"/>
    </row>
    <row r="529" spans="4:4" ht="15.75" customHeight="1" x14ac:dyDescent="0.2">
      <c r="D529" s="333"/>
    </row>
    <row r="530" spans="4:4" ht="15.75" customHeight="1" x14ac:dyDescent="0.2">
      <c r="D530" s="333"/>
    </row>
    <row r="531" spans="4:4" ht="15.75" customHeight="1" x14ac:dyDescent="0.2">
      <c r="D531" s="333"/>
    </row>
    <row r="532" spans="4:4" ht="15.75" customHeight="1" x14ac:dyDescent="0.2">
      <c r="D532" s="333"/>
    </row>
    <row r="533" spans="4:4" ht="15.75" customHeight="1" x14ac:dyDescent="0.2">
      <c r="D533" s="333"/>
    </row>
    <row r="534" spans="4:4" ht="15.75" customHeight="1" x14ac:dyDescent="0.2">
      <c r="D534" s="333"/>
    </row>
    <row r="535" spans="4:4" ht="15.75" customHeight="1" x14ac:dyDescent="0.2">
      <c r="D535" s="333"/>
    </row>
    <row r="536" spans="4:4" ht="15.75" customHeight="1" x14ac:dyDescent="0.2">
      <c r="D536" s="333"/>
    </row>
    <row r="537" spans="4:4" ht="15.75" customHeight="1" x14ac:dyDescent="0.2">
      <c r="D537" s="333"/>
    </row>
    <row r="538" spans="4:4" ht="15.75" customHeight="1" x14ac:dyDescent="0.2">
      <c r="D538" s="333"/>
    </row>
    <row r="539" spans="4:4" ht="15.75" customHeight="1" x14ac:dyDescent="0.2">
      <c r="D539" s="333"/>
    </row>
    <row r="540" spans="4:4" ht="15.75" customHeight="1" x14ac:dyDescent="0.2">
      <c r="D540" s="333"/>
    </row>
    <row r="541" spans="4:4" ht="15.75" customHeight="1" x14ac:dyDescent="0.2">
      <c r="D541" s="333"/>
    </row>
    <row r="542" spans="4:4" ht="15.75" customHeight="1" x14ac:dyDescent="0.2">
      <c r="D542" s="333"/>
    </row>
    <row r="543" spans="4:4" ht="15.75" customHeight="1" x14ac:dyDescent="0.2">
      <c r="D543" s="333"/>
    </row>
    <row r="544" spans="4:4" ht="15.75" customHeight="1" x14ac:dyDescent="0.2">
      <c r="D544" s="333"/>
    </row>
    <row r="545" spans="4:4" ht="15.75" customHeight="1" x14ac:dyDescent="0.2">
      <c r="D545" s="333"/>
    </row>
    <row r="546" spans="4:4" ht="15.75" customHeight="1" x14ac:dyDescent="0.2">
      <c r="D546" s="333"/>
    </row>
    <row r="547" spans="4:4" ht="15.75" customHeight="1" x14ac:dyDescent="0.2">
      <c r="D547" s="333"/>
    </row>
    <row r="548" spans="4:4" ht="15.75" customHeight="1" x14ac:dyDescent="0.2">
      <c r="D548" s="333"/>
    </row>
    <row r="549" spans="4:4" ht="15.75" customHeight="1" x14ac:dyDescent="0.2">
      <c r="D549" s="333"/>
    </row>
    <row r="550" spans="4:4" ht="15.75" customHeight="1" x14ac:dyDescent="0.2">
      <c r="D550" s="333"/>
    </row>
    <row r="551" spans="4:4" ht="15.75" customHeight="1" x14ac:dyDescent="0.2">
      <c r="D551" s="333"/>
    </row>
    <row r="552" spans="4:4" ht="15.75" customHeight="1" x14ac:dyDescent="0.2">
      <c r="D552" s="333"/>
    </row>
    <row r="553" spans="4:4" ht="15.75" customHeight="1" x14ac:dyDescent="0.2">
      <c r="D553" s="333"/>
    </row>
    <row r="554" spans="4:4" ht="15.75" customHeight="1" x14ac:dyDescent="0.2">
      <c r="D554" s="333"/>
    </row>
    <row r="555" spans="4:4" ht="15.75" customHeight="1" x14ac:dyDescent="0.2">
      <c r="D555" s="333"/>
    </row>
    <row r="556" spans="4:4" ht="15.75" customHeight="1" x14ac:dyDescent="0.2">
      <c r="D556" s="333"/>
    </row>
    <row r="557" spans="4:4" ht="15.75" customHeight="1" x14ac:dyDescent="0.2">
      <c r="D557" s="333"/>
    </row>
    <row r="558" spans="4:4" ht="15.75" customHeight="1" x14ac:dyDescent="0.2">
      <c r="D558" s="333"/>
    </row>
    <row r="559" spans="4:4" ht="15.75" customHeight="1" x14ac:dyDescent="0.2">
      <c r="D559" s="333"/>
    </row>
    <row r="560" spans="4:4" ht="15.75" customHeight="1" x14ac:dyDescent="0.2">
      <c r="D560" s="333"/>
    </row>
    <row r="561" spans="4:4" ht="15.75" customHeight="1" x14ac:dyDescent="0.2">
      <c r="D561" s="333"/>
    </row>
    <row r="562" spans="4:4" ht="15.75" customHeight="1" x14ac:dyDescent="0.2">
      <c r="D562" s="333"/>
    </row>
    <row r="563" spans="4:4" ht="15.75" customHeight="1" x14ac:dyDescent="0.2">
      <c r="D563" s="333"/>
    </row>
    <row r="564" spans="4:4" ht="15.75" customHeight="1" x14ac:dyDescent="0.2">
      <c r="D564" s="333"/>
    </row>
    <row r="565" spans="4:4" ht="15.75" customHeight="1" x14ac:dyDescent="0.2">
      <c r="D565" s="333"/>
    </row>
    <row r="566" spans="4:4" ht="15.75" customHeight="1" x14ac:dyDescent="0.2">
      <c r="D566" s="333"/>
    </row>
    <row r="567" spans="4:4" ht="15.75" customHeight="1" x14ac:dyDescent="0.2">
      <c r="D567" s="333"/>
    </row>
    <row r="568" spans="4:4" ht="15.75" customHeight="1" x14ac:dyDescent="0.2">
      <c r="D568" s="333"/>
    </row>
    <row r="569" spans="4:4" ht="15.75" customHeight="1" x14ac:dyDescent="0.2">
      <c r="D569" s="333"/>
    </row>
    <row r="570" spans="4:4" ht="15.75" customHeight="1" x14ac:dyDescent="0.2">
      <c r="D570" s="333"/>
    </row>
    <row r="571" spans="4:4" ht="15.75" customHeight="1" x14ac:dyDescent="0.2">
      <c r="D571" s="333"/>
    </row>
    <row r="572" spans="4:4" ht="15.75" customHeight="1" x14ac:dyDescent="0.2">
      <c r="D572" s="333"/>
    </row>
    <row r="573" spans="4:4" ht="15.75" customHeight="1" x14ac:dyDescent="0.2">
      <c r="D573" s="333"/>
    </row>
    <row r="574" spans="4:4" ht="15.75" customHeight="1" x14ac:dyDescent="0.2">
      <c r="D574" s="333"/>
    </row>
    <row r="575" spans="4:4" ht="15.75" customHeight="1" x14ac:dyDescent="0.2">
      <c r="D575" s="333"/>
    </row>
    <row r="576" spans="4:4" ht="15.75" customHeight="1" x14ac:dyDescent="0.2">
      <c r="D576" s="333"/>
    </row>
    <row r="577" spans="4:4" ht="15.75" customHeight="1" x14ac:dyDescent="0.2">
      <c r="D577" s="333"/>
    </row>
    <row r="578" spans="4:4" ht="15.75" customHeight="1" x14ac:dyDescent="0.2">
      <c r="D578" s="333"/>
    </row>
    <row r="579" spans="4:4" ht="15.75" customHeight="1" x14ac:dyDescent="0.2">
      <c r="D579" s="333"/>
    </row>
    <row r="580" spans="4:4" ht="15.75" customHeight="1" x14ac:dyDescent="0.2">
      <c r="D580" s="333"/>
    </row>
    <row r="581" spans="4:4" ht="15.75" customHeight="1" x14ac:dyDescent="0.2">
      <c r="D581" s="333"/>
    </row>
    <row r="582" spans="4:4" ht="15.75" customHeight="1" x14ac:dyDescent="0.2">
      <c r="D582" s="333"/>
    </row>
    <row r="583" spans="4:4" ht="15.75" customHeight="1" x14ac:dyDescent="0.2">
      <c r="D583" s="333"/>
    </row>
    <row r="584" spans="4:4" ht="15.75" customHeight="1" x14ac:dyDescent="0.2">
      <c r="D584" s="333"/>
    </row>
    <row r="585" spans="4:4" ht="15.75" customHeight="1" x14ac:dyDescent="0.2">
      <c r="D585" s="333"/>
    </row>
    <row r="586" spans="4:4" ht="15.75" customHeight="1" x14ac:dyDescent="0.2">
      <c r="D586" s="333"/>
    </row>
    <row r="587" spans="4:4" ht="15.75" customHeight="1" x14ac:dyDescent="0.2">
      <c r="D587" s="333"/>
    </row>
    <row r="588" spans="4:4" ht="15.75" customHeight="1" x14ac:dyDescent="0.2">
      <c r="D588" s="333"/>
    </row>
    <row r="589" spans="4:4" ht="15.75" customHeight="1" x14ac:dyDescent="0.2">
      <c r="D589" s="333"/>
    </row>
    <row r="590" spans="4:4" ht="15.75" customHeight="1" x14ac:dyDescent="0.2">
      <c r="D590" s="333"/>
    </row>
    <row r="591" spans="4:4" ht="15.75" customHeight="1" x14ac:dyDescent="0.2">
      <c r="D591" s="333"/>
    </row>
    <row r="592" spans="4:4" ht="15.75" customHeight="1" x14ac:dyDescent="0.2">
      <c r="D592" s="333"/>
    </row>
    <row r="593" spans="4:4" ht="15.75" customHeight="1" x14ac:dyDescent="0.2">
      <c r="D593" s="333"/>
    </row>
    <row r="594" spans="4:4" ht="15.75" customHeight="1" x14ac:dyDescent="0.2">
      <c r="D594" s="333"/>
    </row>
    <row r="595" spans="4:4" ht="15.75" customHeight="1" x14ac:dyDescent="0.2">
      <c r="D595" s="333"/>
    </row>
    <row r="596" spans="4:4" ht="15.75" customHeight="1" x14ac:dyDescent="0.2">
      <c r="D596" s="333"/>
    </row>
    <row r="597" spans="4:4" ht="15.75" customHeight="1" x14ac:dyDescent="0.2">
      <c r="D597" s="333"/>
    </row>
    <row r="598" spans="4:4" ht="15.75" customHeight="1" x14ac:dyDescent="0.2">
      <c r="D598" s="333"/>
    </row>
    <row r="599" spans="4:4" ht="15.75" customHeight="1" x14ac:dyDescent="0.2">
      <c r="D599" s="333"/>
    </row>
    <row r="600" spans="4:4" ht="15.75" customHeight="1" x14ac:dyDescent="0.2">
      <c r="D600" s="333"/>
    </row>
    <row r="601" spans="4:4" ht="15.75" customHeight="1" x14ac:dyDescent="0.2">
      <c r="D601" s="333"/>
    </row>
    <row r="602" spans="4:4" ht="15.75" customHeight="1" x14ac:dyDescent="0.2">
      <c r="D602" s="333"/>
    </row>
    <row r="603" spans="4:4" ht="15.75" customHeight="1" x14ac:dyDescent="0.2">
      <c r="D603" s="333"/>
    </row>
    <row r="604" spans="4:4" ht="15.75" customHeight="1" x14ac:dyDescent="0.2">
      <c r="D604" s="333"/>
    </row>
    <row r="605" spans="4:4" ht="15.75" customHeight="1" x14ac:dyDescent="0.2">
      <c r="D605" s="333"/>
    </row>
    <row r="606" spans="4:4" ht="15.75" customHeight="1" x14ac:dyDescent="0.2">
      <c r="D606" s="333"/>
    </row>
    <row r="607" spans="4:4" ht="15.75" customHeight="1" x14ac:dyDescent="0.2">
      <c r="D607" s="333"/>
    </row>
    <row r="608" spans="4:4" ht="15.75" customHeight="1" x14ac:dyDescent="0.2">
      <c r="D608" s="333"/>
    </row>
    <row r="609" spans="4:4" ht="15.75" customHeight="1" x14ac:dyDescent="0.2">
      <c r="D609" s="333"/>
    </row>
    <row r="610" spans="4:4" ht="15.75" customHeight="1" x14ac:dyDescent="0.2">
      <c r="D610" s="333"/>
    </row>
    <row r="611" spans="4:4" ht="15.75" customHeight="1" x14ac:dyDescent="0.2">
      <c r="D611" s="333"/>
    </row>
    <row r="612" spans="4:4" ht="15.75" customHeight="1" x14ac:dyDescent="0.2">
      <c r="D612" s="333"/>
    </row>
    <row r="613" spans="4:4" ht="15.75" customHeight="1" x14ac:dyDescent="0.2">
      <c r="D613" s="333"/>
    </row>
    <row r="614" spans="4:4" ht="15.75" customHeight="1" x14ac:dyDescent="0.2">
      <c r="D614" s="333"/>
    </row>
    <row r="615" spans="4:4" ht="15.75" customHeight="1" x14ac:dyDescent="0.2">
      <c r="D615" s="333"/>
    </row>
    <row r="616" spans="4:4" ht="15.75" customHeight="1" x14ac:dyDescent="0.2">
      <c r="D616" s="333"/>
    </row>
    <row r="617" spans="4:4" ht="15.75" customHeight="1" x14ac:dyDescent="0.2">
      <c r="D617" s="333"/>
    </row>
    <row r="618" spans="4:4" ht="15.75" customHeight="1" x14ac:dyDescent="0.2">
      <c r="D618" s="333"/>
    </row>
    <row r="619" spans="4:4" ht="15.75" customHeight="1" x14ac:dyDescent="0.2">
      <c r="D619" s="333"/>
    </row>
    <row r="620" spans="4:4" ht="15.75" customHeight="1" x14ac:dyDescent="0.2">
      <c r="D620" s="333"/>
    </row>
    <row r="621" spans="4:4" ht="15.75" customHeight="1" x14ac:dyDescent="0.2">
      <c r="D621" s="333"/>
    </row>
    <row r="622" spans="4:4" ht="15.75" customHeight="1" x14ac:dyDescent="0.2">
      <c r="D622" s="333"/>
    </row>
    <row r="623" spans="4:4" ht="15.75" customHeight="1" x14ac:dyDescent="0.2">
      <c r="D623" s="333"/>
    </row>
    <row r="624" spans="4:4" ht="15.75" customHeight="1" x14ac:dyDescent="0.2">
      <c r="D624" s="333"/>
    </row>
    <row r="625" spans="4:4" ht="15.75" customHeight="1" x14ac:dyDescent="0.2">
      <c r="D625" s="333"/>
    </row>
    <row r="626" spans="4:4" ht="15.75" customHeight="1" x14ac:dyDescent="0.2">
      <c r="D626" s="333"/>
    </row>
    <row r="627" spans="4:4" ht="15.75" customHeight="1" x14ac:dyDescent="0.2">
      <c r="D627" s="333"/>
    </row>
    <row r="628" spans="4:4" ht="15.75" customHeight="1" x14ac:dyDescent="0.2">
      <c r="D628" s="333"/>
    </row>
    <row r="629" spans="4:4" ht="15.75" customHeight="1" x14ac:dyDescent="0.2">
      <c r="D629" s="333"/>
    </row>
    <row r="630" spans="4:4" ht="15.75" customHeight="1" x14ac:dyDescent="0.2">
      <c r="D630" s="333"/>
    </row>
    <row r="631" spans="4:4" ht="15.75" customHeight="1" x14ac:dyDescent="0.2">
      <c r="D631" s="333"/>
    </row>
    <row r="632" spans="4:4" ht="15.75" customHeight="1" x14ac:dyDescent="0.2">
      <c r="D632" s="333"/>
    </row>
    <row r="633" spans="4:4" ht="15.75" customHeight="1" x14ac:dyDescent="0.2">
      <c r="D633" s="333"/>
    </row>
    <row r="634" spans="4:4" ht="15.75" customHeight="1" x14ac:dyDescent="0.2">
      <c r="D634" s="333"/>
    </row>
    <row r="635" spans="4:4" ht="15.75" customHeight="1" x14ac:dyDescent="0.2">
      <c r="D635" s="333"/>
    </row>
    <row r="636" spans="4:4" ht="15.75" customHeight="1" x14ac:dyDescent="0.2">
      <c r="D636" s="333"/>
    </row>
    <row r="637" spans="4:4" ht="15.75" customHeight="1" x14ac:dyDescent="0.2">
      <c r="D637" s="333"/>
    </row>
    <row r="638" spans="4:4" ht="15.75" customHeight="1" x14ac:dyDescent="0.2">
      <c r="D638" s="333"/>
    </row>
    <row r="639" spans="4:4" ht="15.75" customHeight="1" x14ac:dyDescent="0.2">
      <c r="D639" s="333"/>
    </row>
    <row r="640" spans="4:4" ht="15.75" customHeight="1" x14ac:dyDescent="0.2">
      <c r="D640" s="333"/>
    </row>
    <row r="641" spans="4:4" ht="15.75" customHeight="1" x14ac:dyDescent="0.2">
      <c r="D641" s="333"/>
    </row>
    <row r="642" spans="4:4" ht="15.75" customHeight="1" x14ac:dyDescent="0.2">
      <c r="D642" s="333"/>
    </row>
    <row r="643" spans="4:4" ht="15.75" customHeight="1" x14ac:dyDescent="0.2">
      <c r="D643" s="333"/>
    </row>
    <row r="644" spans="4:4" ht="15.75" customHeight="1" x14ac:dyDescent="0.2">
      <c r="D644" s="333"/>
    </row>
    <row r="645" spans="4:4" ht="15.75" customHeight="1" x14ac:dyDescent="0.2">
      <c r="D645" s="333"/>
    </row>
    <row r="646" spans="4:4" ht="15.75" customHeight="1" x14ac:dyDescent="0.2">
      <c r="D646" s="333"/>
    </row>
    <row r="647" spans="4:4" ht="15.75" customHeight="1" x14ac:dyDescent="0.2">
      <c r="D647" s="333"/>
    </row>
    <row r="648" spans="4:4" ht="15.75" customHeight="1" x14ac:dyDescent="0.2">
      <c r="D648" s="333"/>
    </row>
    <row r="649" spans="4:4" ht="15.75" customHeight="1" x14ac:dyDescent="0.2">
      <c r="D649" s="333"/>
    </row>
    <row r="650" spans="4:4" ht="15.75" customHeight="1" x14ac:dyDescent="0.2">
      <c r="D650" s="333"/>
    </row>
    <row r="651" spans="4:4" ht="15.75" customHeight="1" x14ac:dyDescent="0.2">
      <c r="D651" s="333"/>
    </row>
    <row r="652" spans="4:4" ht="15.75" customHeight="1" x14ac:dyDescent="0.2">
      <c r="D652" s="333"/>
    </row>
    <row r="653" spans="4:4" ht="15.75" customHeight="1" x14ac:dyDescent="0.2">
      <c r="D653" s="333"/>
    </row>
    <row r="654" spans="4:4" ht="15.75" customHeight="1" x14ac:dyDescent="0.2">
      <c r="D654" s="333"/>
    </row>
    <row r="655" spans="4:4" ht="15.75" customHeight="1" x14ac:dyDescent="0.2">
      <c r="D655" s="333"/>
    </row>
    <row r="656" spans="4:4" ht="15.75" customHeight="1" x14ac:dyDescent="0.2">
      <c r="D656" s="333"/>
    </row>
    <row r="657" spans="4:4" ht="15.75" customHeight="1" x14ac:dyDescent="0.2">
      <c r="D657" s="333"/>
    </row>
    <row r="658" spans="4:4" ht="15.75" customHeight="1" x14ac:dyDescent="0.2">
      <c r="D658" s="333"/>
    </row>
    <row r="659" spans="4:4" ht="15.75" customHeight="1" x14ac:dyDescent="0.2">
      <c r="D659" s="333"/>
    </row>
    <row r="660" spans="4:4" ht="15.75" customHeight="1" x14ac:dyDescent="0.2">
      <c r="D660" s="333"/>
    </row>
    <row r="661" spans="4:4" ht="15.75" customHeight="1" x14ac:dyDescent="0.2">
      <c r="D661" s="333"/>
    </row>
    <row r="662" spans="4:4" ht="15.75" customHeight="1" x14ac:dyDescent="0.2">
      <c r="D662" s="333"/>
    </row>
    <row r="663" spans="4:4" ht="15.75" customHeight="1" x14ac:dyDescent="0.2">
      <c r="D663" s="333"/>
    </row>
    <row r="664" spans="4:4" ht="15.75" customHeight="1" x14ac:dyDescent="0.2">
      <c r="D664" s="333"/>
    </row>
    <row r="665" spans="4:4" ht="15.75" customHeight="1" x14ac:dyDescent="0.2">
      <c r="D665" s="333"/>
    </row>
    <row r="666" spans="4:4" ht="15.75" customHeight="1" x14ac:dyDescent="0.2">
      <c r="D666" s="333"/>
    </row>
    <row r="667" spans="4:4" ht="15.75" customHeight="1" x14ac:dyDescent="0.2">
      <c r="D667" s="333"/>
    </row>
    <row r="668" spans="4:4" ht="15.75" customHeight="1" x14ac:dyDescent="0.2">
      <c r="D668" s="333"/>
    </row>
    <row r="669" spans="4:4" ht="15.75" customHeight="1" x14ac:dyDescent="0.2">
      <c r="D669" s="333"/>
    </row>
    <row r="670" spans="4:4" ht="15.75" customHeight="1" x14ac:dyDescent="0.2">
      <c r="D670" s="333"/>
    </row>
    <row r="671" spans="4:4" ht="15.75" customHeight="1" x14ac:dyDescent="0.2">
      <c r="D671" s="333"/>
    </row>
    <row r="672" spans="4:4" ht="15.75" customHeight="1" x14ac:dyDescent="0.2">
      <c r="D672" s="333"/>
    </row>
    <row r="673" spans="4:4" ht="15.75" customHeight="1" x14ac:dyDescent="0.2">
      <c r="D673" s="333"/>
    </row>
    <row r="674" spans="4:4" ht="15.75" customHeight="1" x14ac:dyDescent="0.2">
      <c r="D674" s="333"/>
    </row>
    <row r="675" spans="4:4" ht="15.75" customHeight="1" x14ac:dyDescent="0.2">
      <c r="D675" s="333"/>
    </row>
    <row r="676" spans="4:4" ht="15.75" customHeight="1" x14ac:dyDescent="0.2">
      <c r="D676" s="333"/>
    </row>
    <row r="677" spans="4:4" ht="15.75" customHeight="1" x14ac:dyDescent="0.2">
      <c r="D677" s="333"/>
    </row>
    <row r="678" spans="4:4" ht="15.75" customHeight="1" x14ac:dyDescent="0.2">
      <c r="D678" s="333"/>
    </row>
    <row r="679" spans="4:4" ht="15.75" customHeight="1" x14ac:dyDescent="0.2">
      <c r="D679" s="333"/>
    </row>
    <row r="680" spans="4:4" ht="15.75" customHeight="1" x14ac:dyDescent="0.2">
      <c r="D680" s="333"/>
    </row>
    <row r="681" spans="4:4" ht="15.75" customHeight="1" x14ac:dyDescent="0.2">
      <c r="D681" s="333"/>
    </row>
    <row r="682" spans="4:4" ht="15.75" customHeight="1" x14ac:dyDescent="0.2">
      <c r="D682" s="333"/>
    </row>
    <row r="683" spans="4:4" ht="15.75" customHeight="1" x14ac:dyDescent="0.2">
      <c r="D683" s="333"/>
    </row>
    <row r="684" spans="4:4" ht="15.75" customHeight="1" x14ac:dyDescent="0.2">
      <c r="D684" s="333"/>
    </row>
    <row r="685" spans="4:4" ht="15.75" customHeight="1" x14ac:dyDescent="0.2">
      <c r="D685" s="333"/>
    </row>
    <row r="686" spans="4:4" ht="15.75" customHeight="1" x14ac:dyDescent="0.2">
      <c r="D686" s="333"/>
    </row>
    <row r="687" spans="4:4" ht="15.75" customHeight="1" x14ac:dyDescent="0.2">
      <c r="D687" s="333"/>
    </row>
    <row r="688" spans="4:4" ht="15.75" customHeight="1" x14ac:dyDescent="0.2">
      <c r="D688" s="333"/>
    </row>
    <row r="689" spans="4:4" ht="15.75" customHeight="1" x14ac:dyDescent="0.2">
      <c r="D689" s="333"/>
    </row>
    <row r="690" spans="4:4" ht="15.75" customHeight="1" x14ac:dyDescent="0.2">
      <c r="D690" s="333"/>
    </row>
    <row r="691" spans="4:4" ht="15.75" customHeight="1" x14ac:dyDescent="0.2">
      <c r="D691" s="333"/>
    </row>
    <row r="692" spans="4:4" ht="15.75" customHeight="1" x14ac:dyDescent="0.2">
      <c r="D692" s="333"/>
    </row>
    <row r="693" spans="4:4" ht="15.75" customHeight="1" x14ac:dyDescent="0.2">
      <c r="D693" s="333"/>
    </row>
    <row r="694" spans="4:4" ht="15.75" customHeight="1" x14ac:dyDescent="0.2">
      <c r="D694" s="333"/>
    </row>
    <row r="695" spans="4:4" ht="15.75" customHeight="1" x14ac:dyDescent="0.2">
      <c r="D695" s="333"/>
    </row>
    <row r="696" spans="4:4" ht="15.75" customHeight="1" x14ac:dyDescent="0.2">
      <c r="D696" s="333"/>
    </row>
    <row r="697" spans="4:4" ht="15.75" customHeight="1" x14ac:dyDescent="0.2">
      <c r="D697" s="333"/>
    </row>
    <row r="698" spans="4:4" ht="15.75" customHeight="1" x14ac:dyDescent="0.2">
      <c r="D698" s="333"/>
    </row>
    <row r="699" spans="4:4" ht="15.75" customHeight="1" x14ac:dyDescent="0.2">
      <c r="D699" s="333"/>
    </row>
    <row r="700" spans="4:4" ht="15.75" customHeight="1" x14ac:dyDescent="0.2">
      <c r="D700" s="333"/>
    </row>
    <row r="701" spans="4:4" ht="15.75" customHeight="1" x14ac:dyDescent="0.2">
      <c r="D701" s="333"/>
    </row>
    <row r="702" spans="4:4" ht="15.75" customHeight="1" x14ac:dyDescent="0.2">
      <c r="D702" s="333"/>
    </row>
    <row r="703" spans="4:4" ht="15.75" customHeight="1" x14ac:dyDescent="0.2">
      <c r="D703" s="333"/>
    </row>
    <row r="704" spans="4:4" ht="15.75" customHeight="1" x14ac:dyDescent="0.2">
      <c r="D704" s="333"/>
    </row>
    <row r="705" spans="4:4" ht="15.75" customHeight="1" x14ac:dyDescent="0.2">
      <c r="D705" s="333"/>
    </row>
    <row r="706" spans="4:4" ht="15.75" customHeight="1" x14ac:dyDescent="0.2">
      <c r="D706" s="333"/>
    </row>
    <row r="707" spans="4:4" ht="15.75" customHeight="1" x14ac:dyDescent="0.2">
      <c r="D707" s="333"/>
    </row>
    <row r="708" spans="4:4" ht="15.75" customHeight="1" x14ac:dyDescent="0.2">
      <c r="D708" s="333"/>
    </row>
    <row r="709" spans="4:4" ht="15.75" customHeight="1" x14ac:dyDescent="0.2">
      <c r="D709" s="333"/>
    </row>
    <row r="710" spans="4:4" ht="15.75" customHeight="1" x14ac:dyDescent="0.2">
      <c r="D710" s="333"/>
    </row>
    <row r="711" spans="4:4" ht="15.75" customHeight="1" x14ac:dyDescent="0.2">
      <c r="D711" s="333"/>
    </row>
    <row r="712" spans="4:4" ht="15.75" customHeight="1" x14ac:dyDescent="0.2">
      <c r="D712" s="333"/>
    </row>
    <row r="713" spans="4:4" ht="15.75" customHeight="1" x14ac:dyDescent="0.2">
      <c r="D713" s="333"/>
    </row>
    <row r="714" spans="4:4" ht="15.75" customHeight="1" x14ac:dyDescent="0.2">
      <c r="D714" s="333"/>
    </row>
    <row r="715" spans="4:4" ht="15.75" customHeight="1" x14ac:dyDescent="0.2">
      <c r="D715" s="333"/>
    </row>
    <row r="716" spans="4:4" ht="15.75" customHeight="1" x14ac:dyDescent="0.2">
      <c r="D716" s="333"/>
    </row>
    <row r="717" spans="4:4" ht="15.75" customHeight="1" x14ac:dyDescent="0.2">
      <c r="D717" s="333"/>
    </row>
    <row r="718" spans="4:4" ht="15.75" customHeight="1" x14ac:dyDescent="0.2">
      <c r="D718" s="333"/>
    </row>
    <row r="719" spans="4:4" ht="15.75" customHeight="1" x14ac:dyDescent="0.2">
      <c r="D719" s="333"/>
    </row>
    <row r="720" spans="4:4" ht="15.75" customHeight="1" x14ac:dyDescent="0.2">
      <c r="D720" s="333"/>
    </row>
    <row r="721" spans="4:4" ht="15.75" customHeight="1" x14ac:dyDescent="0.2">
      <c r="D721" s="333"/>
    </row>
    <row r="722" spans="4:4" ht="15.75" customHeight="1" x14ac:dyDescent="0.2">
      <c r="D722" s="333"/>
    </row>
    <row r="723" spans="4:4" ht="15.75" customHeight="1" x14ac:dyDescent="0.2">
      <c r="D723" s="333"/>
    </row>
    <row r="724" spans="4:4" ht="15.75" customHeight="1" x14ac:dyDescent="0.2">
      <c r="D724" s="333"/>
    </row>
    <row r="725" spans="4:4" ht="15.75" customHeight="1" x14ac:dyDescent="0.2">
      <c r="D725" s="333"/>
    </row>
    <row r="726" spans="4:4" ht="15.75" customHeight="1" x14ac:dyDescent="0.2">
      <c r="D726" s="333"/>
    </row>
    <row r="727" spans="4:4" ht="15.75" customHeight="1" x14ac:dyDescent="0.2">
      <c r="D727" s="333"/>
    </row>
    <row r="728" spans="4:4" ht="15.75" customHeight="1" x14ac:dyDescent="0.2">
      <c r="D728" s="333"/>
    </row>
    <row r="729" spans="4:4" ht="15.75" customHeight="1" x14ac:dyDescent="0.2">
      <c r="D729" s="333"/>
    </row>
    <row r="730" spans="4:4" ht="15.75" customHeight="1" x14ac:dyDescent="0.2">
      <c r="D730" s="333"/>
    </row>
    <row r="731" spans="4:4" ht="15.75" customHeight="1" x14ac:dyDescent="0.2">
      <c r="D731" s="333"/>
    </row>
    <row r="732" spans="4:4" ht="15.75" customHeight="1" x14ac:dyDescent="0.2">
      <c r="D732" s="333"/>
    </row>
    <row r="733" spans="4:4" ht="15.75" customHeight="1" x14ac:dyDescent="0.2">
      <c r="D733" s="333"/>
    </row>
    <row r="734" spans="4:4" ht="15.75" customHeight="1" x14ac:dyDescent="0.2">
      <c r="D734" s="333"/>
    </row>
    <row r="735" spans="4:4" ht="15.75" customHeight="1" x14ac:dyDescent="0.2">
      <c r="D735" s="333"/>
    </row>
    <row r="736" spans="4:4" ht="15.75" customHeight="1" x14ac:dyDescent="0.2">
      <c r="D736" s="333"/>
    </row>
    <row r="737" spans="4:4" ht="15.75" customHeight="1" x14ac:dyDescent="0.2">
      <c r="D737" s="333"/>
    </row>
    <row r="738" spans="4:4" ht="15.75" customHeight="1" x14ac:dyDescent="0.2">
      <c r="D738" s="333"/>
    </row>
    <row r="739" spans="4:4" ht="15.75" customHeight="1" x14ac:dyDescent="0.2">
      <c r="D739" s="333"/>
    </row>
    <row r="740" spans="4:4" ht="15.75" customHeight="1" x14ac:dyDescent="0.2">
      <c r="D740" s="333"/>
    </row>
    <row r="741" spans="4:4" ht="15.75" customHeight="1" x14ac:dyDescent="0.2">
      <c r="D741" s="333"/>
    </row>
    <row r="742" spans="4:4" ht="15.75" customHeight="1" x14ac:dyDescent="0.2">
      <c r="D742" s="333"/>
    </row>
    <row r="743" spans="4:4" ht="15.75" customHeight="1" x14ac:dyDescent="0.2">
      <c r="D743" s="333"/>
    </row>
    <row r="744" spans="4:4" ht="15.75" customHeight="1" x14ac:dyDescent="0.2">
      <c r="D744" s="333"/>
    </row>
    <row r="745" spans="4:4" ht="15.75" customHeight="1" x14ac:dyDescent="0.2">
      <c r="D745" s="333"/>
    </row>
    <row r="746" spans="4:4" ht="15.75" customHeight="1" x14ac:dyDescent="0.2">
      <c r="D746" s="333"/>
    </row>
    <row r="747" spans="4:4" ht="15.75" customHeight="1" x14ac:dyDescent="0.2">
      <c r="D747" s="333"/>
    </row>
    <row r="748" spans="4:4" ht="15.75" customHeight="1" x14ac:dyDescent="0.2">
      <c r="D748" s="333"/>
    </row>
    <row r="749" spans="4:4" ht="15.75" customHeight="1" x14ac:dyDescent="0.2">
      <c r="D749" s="333"/>
    </row>
    <row r="750" spans="4:4" ht="15.75" customHeight="1" x14ac:dyDescent="0.2">
      <c r="D750" s="333"/>
    </row>
    <row r="751" spans="4:4" ht="15.75" customHeight="1" x14ac:dyDescent="0.2">
      <c r="D751" s="333"/>
    </row>
    <row r="752" spans="4:4" ht="15.75" customHeight="1" x14ac:dyDescent="0.2">
      <c r="D752" s="333"/>
    </row>
    <row r="753" spans="4:4" ht="15.75" customHeight="1" x14ac:dyDescent="0.2">
      <c r="D753" s="333"/>
    </row>
    <row r="754" spans="4:4" ht="15.75" customHeight="1" x14ac:dyDescent="0.2">
      <c r="D754" s="333"/>
    </row>
    <row r="755" spans="4:4" ht="15.75" customHeight="1" x14ac:dyDescent="0.2">
      <c r="D755" s="333"/>
    </row>
    <row r="756" spans="4:4" ht="15.75" customHeight="1" x14ac:dyDescent="0.2">
      <c r="D756" s="333"/>
    </row>
    <row r="757" spans="4:4" ht="15.75" customHeight="1" x14ac:dyDescent="0.2">
      <c r="D757" s="333"/>
    </row>
    <row r="758" spans="4:4" ht="15.75" customHeight="1" x14ac:dyDescent="0.2">
      <c r="D758" s="333"/>
    </row>
    <row r="759" spans="4:4" ht="15.75" customHeight="1" x14ac:dyDescent="0.2">
      <c r="D759" s="333"/>
    </row>
    <row r="760" spans="4:4" ht="15.75" customHeight="1" x14ac:dyDescent="0.2">
      <c r="D760" s="333"/>
    </row>
    <row r="761" spans="4:4" ht="15.75" customHeight="1" x14ac:dyDescent="0.2">
      <c r="D761" s="333"/>
    </row>
    <row r="762" spans="4:4" ht="15.75" customHeight="1" x14ac:dyDescent="0.2">
      <c r="D762" s="333"/>
    </row>
    <row r="763" spans="4:4" ht="15.75" customHeight="1" x14ac:dyDescent="0.2">
      <c r="D763" s="333"/>
    </row>
    <row r="764" spans="4:4" ht="15.75" customHeight="1" x14ac:dyDescent="0.2">
      <c r="D764" s="333"/>
    </row>
    <row r="765" spans="4:4" ht="15.75" customHeight="1" x14ac:dyDescent="0.2">
      <c r="D765" s="333"/>
    </row>
    <row r="766" spans="4:4" ht="15.75" customHeight="1" x14ac:dyDescent="0.2">
      <c r="D766" s="333"/>
    </row>
    <row r="767" spans="4:4" ht="15.75" customHeight="1" x14ac:dyDescent="0.2">
      <c r="D767" s="333"/>
    </row>
    <row r="768" spans="4:4" ht="15.75" customHeight="1" x14ac:dyDescent="0.2">
      <c r="D768" s="333"/>
    </row>
    <row r="769" spans="4:4" ht="15.75" customHeight="1" x14ac:dyDescent="0.2">
      <c r="D769" s="333"/>
    </row>
    <row r="770" spans="4:4" ht="15.75" customHeight="1" x14ac:dyDescent="0.2">
      <c r="D770" s="333"/>
    </row>
    <row r="771" spans="4:4" ht="15.75" customHeight="1" x14ac:dyDescent="0.2">
      <c r="D771" s="333"/>
    </row>
    <row r="772" spans="4:4" ht="15.75" customHeight="1" x14ac:dyDescent="0.2">
      <c r="D772" s="333"/>
    </row>
    <row r="773" spans="4:4" ht="15.75" customHeight="1" x14ac:dyDescent="0.2">
      <c r="D773" s="333"/>
    </row>
    <row r="774" spans="4:4" ht="15.75" customHeight="1" x14ac:dyDescent="0.2">
      <c r="D774" s="333"/>
    </row>
    <row r="775" spans="4:4" ht="15.75" customHeight="1" x14ac:dyDescent="0.2">
      <c r="D775" s="333"/>
    </row>
    <row r="776" spans="4:4" ht="15.75" customHeight="1" x14ac:dyDescent="0.2">
      <c r="D776" s="333"/>
    </row>
    <row r="777" spans="4:4" ht="15.75" customHeight="1" x14ac:dyDescent="0.2">
      <c r="D777" s="333"/>
    </row>
    <row r="778" spans="4:4" ht="15.75" customHeight="1" x14ac:dyDescent="0.2">
      <c r="D778" s="333"/>
    </row>
    <row r="779" spans="4:4" ht="15.75" customHeight="1" x14ac:dyDescent="0.2">
      <c r="D779" s="333"/>
    </row>
    <row r="780" spans="4:4" ht="15.75" customHeight="1" x14ac:dyDescent="0.2">
      <c r="D780" s="333"/>
    </row>
    <row r="781" spans="4:4" ht="15.75" customHeight="1" x14ac:dyDescent="0.2">
      <c r="D781" s="333"/>
    </row>
    <row r="782" spans="4:4" ht="15.75" customHeight="1" x14ac:dyDescent="0.2">
      <c r="D782" s="333"/>
    </row>
    <row r="783" spans="4:4" ht="15.75" customHeight="1" x14ac:dyDescent="0.2">
      <c r="D783" s="333"/>
    </row>
    <row r="784" spans="4:4" ht="15.75" customHeight="1" x14ac:dyDescent="0.2">
      <c r="D784" s="333"/>
    </row>
    <row r="785" spans="4:4" ht="15.75" customHeight="1" x14ac:dyDescent="0.2">
      <c r="D785" s="333"/>
    </row>
    <row r="786" spans="4:4" ht="15.75" customHeight="1" x14ac:dyDescent="0.2">
      <c r="D786" s="333"/>
    </row>
    <row r="787" spans="4:4" ht="15.75" customHeight="1" x14ac:dyDescent="0.2">
      <c r="D787" s="333"/>
    </row>
    <row r="788" spans="4:4" ht="15.75" customHeight="1" x14ac:dyDescent="0.2">
      <c r="D788" s="333"/>
    </row>
    <row r="789" spans="4:4" ht="15.75" customHeight="1" x14ac:dyDescent="0.2">
      <c r="D789" s="333"/>
    </row>
    <row r="790" spans="4:4" ht="15.75" customHeight="1" x14ac:dyDescent="0.2">
      <c r="D790" s="333"/>
    </row>
    <row r="791" spans="4:4" ht="15.75" customHeight="1" x14ac:dyDescent="0.2">
      <c r="D791" s="333"/>
    </row>
    <row r="792" spans="4:4" ht="15.75" customHeight="1" x14ac:dyDescent="0.2">
      <c r="D792" s="333"/>
    </row>
    <row r="793" spans="4:4" ht="15.75" customHeight="1" x14ac:dyDescent="0.2">
      <c r="D793" s="333"/>
    </row>
    <row r="794" spans="4:4" ht="15.75" customHeight="1" x14ac:dyDescent="0.2">
      <c r="D794" s="333"/>
    </row>
    <row r="795" spans="4:4" ht="15.75" customHeight="1" x14ac:dyDescent="0.2">
      <c r="D795" s="333"/>
    </row>
    <row r="796" spans="4:4" ht="15.75" customHeight="1" x14ac:dyDescent="0.2">
      <c r="D796" s="333"/>
    </row>
    <row r="797" spans="4:4" ht="15.75" customHeight="1" x14ac:dyDescent="0.2">
      <c r="D797" s="333"/>
    </row>
    <row r="798" spans="4:4" ht="15.75" customHeight="1" x14ac:dyDescent="0.2">
      <c r="D798" s="333"/>
    </row>
    <row r="799" spans="4:4" ht="15.75" customHeight="1" x14ac:dyDescent="0.2">
      <c r="D799" s="333"/>
    </row>
    <row r="800" spans="4:4" ht="15.75" customHeight="1" x14ac:dyDescent="0.2">
      <c r="D800" s="333"/>
    </row>
    <row r="801" spans="4:4" ht="15.75" customHeight="1" x14ac:dyDescent="0.2">
      <c r="D801" s="333"/>
    </row>
    <row r="802" spans="4:4" ht="15.75" customHeight="1" x14ac:dyDescent="0.2">
      <c r="D802" s="333"/>
    </row>
    <row r="803" spans="4:4" ht="15.75" customHeight="1" x14ac:dyDescent="0.2">
      <c r="D803" s="333"/>
    </row>
    <row r="804" spans="4:4" ht="15.75" customHeight="1" x14ac:dyDescent="0.2">
      <c r="D804" s="333"/>
    </row>
    <row r="805" spans="4:4" ht="15.75" customHeight="1" x14ac:dyDescent="0.2">
      <c r="D805" s="333"/>
    </row>
    <row r="806" spans="4:4" ht="15.75" customHeight="1" x14ac:dyDescent="0.2">
      <c r="D806" s="333"/>
    </row>
    <row r="807" spans="4:4" ht="15.75" customHeight="1" x14ac:dyDescent="0.2">
      <c r="D807" s="333"/>
    </row>
    <row r="808" spans="4:4" ht="15.75" customHeight="1" x14ac:dyDescent="0.2">
      <c r="D808" s="333"/>
    </row>
    <row r="809" spans="4:4" ht="15.75" customHeight="1" x14ac:dyDescent="0.2">
      <c r="D809" s="333"/>
    </row>
    <row r="810" spans="4:4" ht="15.75" customHeight="1" x14ac:dyDescent="0.2">
      <c r="D810" s="333"/>
    </row>
    <row r="811" spans="4:4" ht="15.75" customHeight="1" x14ac:dyDescent="0.2">
      <c r="D811" s="333"/>
    </row>
    <row r="812" spans="4:4" ht="15.75" customHeight="1" x14ac:dyDescent="0.2">
      <c r="D812" s="333"/>
    </row>
    <row r="813" spans="4:4" ht="15.75" customHeight="1" x14ac:dyDescent="0.2">
      <c r="D813" s="333"/>
    </row>
    <row r="814" spans="4:4" ht="15.75" customHeight="1" x14ac:dyDescent="0.2">
      <c r="D814" s="333"/>
    </row>
    <row r="815" spans="4:4" ht="15.75" customHeight="1" x14ac:dyDescent="0.2">
      <c r="D815" s="333"/>
    </row>
    <row r="816" spans="4:4" ht="15.75" customHeight="1" x14ac:dyDescent="0.2">
      <c r="D816" s="333"/>
    </row>
    <row r="817" spans="4:4" ht="15.75" customHeight="1" x14ac:dyDescent="0.2">
      <c r="D817" s="333"/>
    </row>
    <row r="818" spans="4:4" ht="15.75" customHeight="1" x14ac:dyDescent="0.2">
      <c r="D818" s="333"/>
    </row>
    <row r="819" spans="4:4" ht="15.75" customHeight="1" x14ac:dyDescent="0.2">
      <c r="D819" s="333"/>
    </row>
    <row r="820" spans="4:4" ht="15.75" customHeight="1" x14ac:dyDescent="0.2">
      <c r="D820" s="333"/>
    </row>
    <row r="821" spans="4:4" ht="15.75" customHeight="1" x14ac:dyDescent="0.2">
      <c r="D821" s="333"/>
    </row>
    <row r="822" spans="4:4" ht="15.75" customHeight="1" x14ac:dyDescent="0.2">
      <c r="D822" s="333"/>
    </row>
    <row r="823" spans="4:4" ht="15.75" customHeight="1" x14ac:dyDescent="0.2">
      <c r="D823" s="333"/>
    </row>
    <row r="824" spans="4:4" ht="15.75" customHeight="1" x14ac:dyDescent="0.2">
      <c r="D824" s="333"/>
    </row>
    <row r="825" spans="4:4" ht="15.75" customHeight="1" x14ac:dyDescent="0.2">
      <c r="D825" s="333"/>
    </row>
    <row r="826" spans="4:4" ht="15.75" customHeight="1" x14ac:dyDescent="0.2">
      <c r="D826" s="333"/>
    </row>
    <row r="827" spans="4:4" ht="15.75" customHeight="1" x14ac:dyDescent="0.2">
      <c r="D827" s="333"/>
    </row>
    <row r="828" spans="4:4" ht="15.75" customHeight="1" x14ac:dyDescent="0.2">
      <c r="D828" s="333"/>
    </row>
    <row r="829" spans="4:4" ht="15.75" customHeight="1" x14ac:dyDescent="0.2">
      <c r="D829" s="333"/>
    </row>
    <row r="830" spans="4:4" ht="15.75" customHeight="1" x14ac:dyDescent="0.2">
      <c r="D830" s="333"/>
    </row>
    <row r="831" spans="4:4" ht="15.75" customHeight="1" x14ac:dyDescent="0.2">
      <c r="D831" s="333"/>
    </row>
    <row r="832" spans="4:4" ht="15.75" customHeight="1" x14ac:dyDescent="0.2">
      <c r="D832" s="333"/>
    </row>
    <row r="833" spans="4:4" ht="15.75" customHeight="1" x14ac:dyDescent="0.2">
      <c r="D833" s="333"/>
    </row>
    <row r="834" spans="4:4" ht="15.75" customHeight="1" x14ac:dyDescent="0.2">
      <c r="D834" s="333"/>
    </row>
    <row r="835" spans="4:4" ht="15.75" customHeight="1" x14ac:dyDescent="0.2">
      <c r="D835" s="333"/>
    </row>
    <row r="836" spans="4:4" ht="15.75" customHeight="1" x14ac:dyDescent="0.2">
      <c r="D836" s="333"/>
    </row>
    <row r="837" spans="4:4" ht="15.75" customHeight="1" x14ac:dyDescent="0.2">
      <c r="D837" s="333"/>
    </row>
    <row r="838" spans="4:4" ht="15.75" customHeight="1" x14ac:dyDescent="0.2">
      <c r="D838" s="333"/>
    </row>
    <row r="839" spans="4:4" ht="15.75" customHeight="1" x14ac:dyDescent="0.2">
      <c r="D839" s="333"/>
    </row>
    <row r="840" spans="4:4" ht="15.75" customHeight="1" x14ac:dyDescent="0.2">
      <c r="D840" s="333"/>
    </row>
    <row r="841" spans="4:4" ht="15.75" customHeight="1" x14ac:dyDescent="0.2">
      <c r="D841" s="333"/>
    </row>
    <row r="842" spans="4:4" ht="15.75" customHeight="1" x14ac:dyDescent="0.2">
      <c r="D842" s="333"/>
    </row>
    <row r="843" spans="4:4" ht="15.75" customHeight="1" x14ac:dyDescent="0.2">
      <c r="D843" s="333"/>
    </row>
    <row r="844" spans="4:4" ht="15.75" customHeight="1" x14ac:dyDescent="0.2">
      <c r="D844" s="333"/>
    </row>
    <row r="845" spans="4:4" ht="15.75" customHeight="1" x14ac:dyDescent="0.2">
      <c r="D845" s="333"/>
    </row>
    <row r="846" spans="4:4" ht="15.75" customHeight="1" x14ac:dyDescent="0.2">
      <c r="D846" s="333"/>
    </row>
    <row r="847" spans="4:4" ht="15.75" customHeight="1" x14ac:dyDescent="0.2">
      <c r="D847" s="333"/>
    </row>
    <row r="848" spans="4:4" ht="15.75" customHeight="1" x14ac:dyDescent="0.2">
      <c r="D848" s="333"/>
    </row>
    <row r="849" spans="4:4" ht="15.75" customHeight="1" x14ac:dyDescent="0.2">
      <c r="D849" s="333"/>
    </row>
    <row r="850" spans="4:4" ht="15.75" customHeight="1" x14ac:dyDescent="0.2">
      <c r="D850" s="333"/>
    </row>
    <row r="851" spans="4:4" ht="15.75" customHeight="1" x14ac:dyDescent="0.2">
      <c r="D851" s="333"/>
    </row>
    <row r="852" spans="4:4" ht="15.75" customHeight="1" x14ac:dyDescent="0.2">
      <c r="D852" s="333"/>
    </row>
    <row r="853" spans="4:4" ht="15.75" customHeight="1" x14ac:dyDescent="0.2">
      <c r="D853" s="333"/>
    </row>
    <row r="854" spans="4:4" ht="15.75" customHeight="1" x14ac:dyDescent="0.2">
      <c r="D854" s="333"/>
    </row>
    <row r="855" spans="4:4" ht="15.75" customHeight="1" x14ac:dyDescent="0.2">
      <c r="D855" s="333"/>
    </row>
    <row r="856" spans="4:4" ht="15.75" customHeight="1" x14ac:dyDescent="0.2">
      <c r="D856" s="333"/>
    </row>
    <row r="857" spans="4:4" ht="15.75" customHeight="1" x14ac:dyDescent="0.2">
      <c r="D857" s="333"/>
    </row>
    <row r="858" spans="4:4" ht="15.75" customHeight="1" x14ac:dyDescent="0.2">
      <c r="D858" s="333"/>
    </row>
    <row r="859" spans="4:4" ht="15.75" customHeight="1" x14ac:dyDescent="0.2">
      <c r="D859" s="333"/>
    </row>
    <row r="860" spans="4:4" ht="15.75" customHeight="1" x14ac:dyDescent="0.2">
      <c r="D860" s="333"/>
    </row>
    <row r="861" spans="4:4" ht="15.75" customHeight="1" x14ac:dyDescent="0.2">
      <c r="D861" s="333"/>
    </row>
    <row r="862" spans="4:4" ht="15.75" customHeight="1" x14ac:dyDescent="0.2">
      <c r="D862" s="333"/>
    </row>
    <row r="863" spans="4:4" ht="15.75" customHeight="1" x14ac:dyDescent="0.2">
      <c r="D863" s="333"/>
    </row>
    <row r="864" spans="4:4" ht="15.75" customHeight="1" x14ac:dyDescent="0.2">
      <c r="D864" s="333"/>
    </row>
    <row r="865" spans="4:4" ht="15.75" customHeight="1" x14ac:dyDescent="0.2">
      <c r="D865" s="333"/>
    </row>
    <row r="866" spans="4:4" ht="15.75" customHeight="1" x14ac:dyDescent="0.2">
      <c r="D866" s="333"/>
    </row>
    <row r="867" spans="4:4" ht="15.75" customHeight="1" x14ac:dyDescent="0.2">
      <c r="D867" s="333"/>
    </row>
    <row r="868" spans="4:4" ht="15.75" customHeight="1" x14ac:dyDescent="0.2">
      <c r="D868" s="333"/>
    </row>
    <row r="869" spans="4:4" ht="15.75" customHeight="1" x14ac:dyDescent="0.2">
      <c r="D869" s="333"/>
    </row>
    <row r="870" spans="4:4" ht="15.75" customHeight="1" x14ac:dyDescent="0.2">
      <c r="D870" s="333"/>
    </row>
    <row r="871" spans="4:4" ht="15.75" customHeight="1" x14ac:dyDescent="0.2">
      <c r="D871" s="333"/>
    </row>
    <row r="872" spans="4:4" ht="15.75" customHeight="1" x14ac:dyDescent="0.2">
      <c r="D872" s="333"/>
    </row>
    <row r="873" spans="4:4" ht="15.75" customHeight="1" x14ac:dyDescent="0.2">
      <c r="D873" s="333"/>
    </row>
    <row r="874" spans="4:4" ht="15.75" customHeight="1" x14ac:dyDescent="0.2">
      <c r="D874" s="333"/>
    </row>
    <row r="875" spans="4:4" ht="15.75" customHeight="1" x14ac:dyDescent="0.2">
      <c r="D875" s="333"/>
    </row>
    <row r="876" spans="4:4" ht="15.75" customHeight="1" x14ac:dyDescent="0.2">
      <c r="D876" s="333"/>
    </row>
    <row r="877" spans="4:4" ht="15.75" customHeight="1" x14ac:dyDescent="0.2">
      <c r="D877" s="333"/>
    </row>
    <row r="878" spans="4:4" ht="15.75" customHeight="1" x14ac:dyDescent="0.2">
      <c r="D878" s="333"/>
    </row>
    <row r="879" spans="4:4" ht="15.75" customHeight="1" x14ac:dyDescent="0.2">
      <c r="D879" s="333"/>
    </row>
    <row r="880" spans="4:4" ht="15.75" customHeight="1" x14ac:dyDescent="0.2">
      <c r="D880" s="333"/>
    </row>
    <row r="881" spans="4:4" ht="15.75" customHeight="1" x14ac:dyDescent="0.2">
      <c r="D881" s="333"/>
    </row>
    <row r="882" spans="4:4" ht="15.75" customHeight="1" x14ac:dyDescent="0.2">
      <c r="D882" s="333"/>
    </row>
    <row r="883" spans="4:4" ht="15.75" customHeight="1" x14ac:dyDescent="0.2">
      <c r="D883" s="333"/>
    </row>
    <row r="884" spans="4:4" ht="15.75" customHeight="1" x14ac:dyDescent="0.2">
      <c r="D884" s="333"/>
    </row>
    <row r="885" spans="4:4" ht="15.75" customHeight="1" x14ac:dyDescent="0.2">
      <c r="D885" s="333"/>
    </row>
    <row r="886" spans="4:4" ht="15.75" customHeight="1" x14ac:dyDescent="0.2">
      <c r="D886" s="333"/>
    </row>
    <row r="887" spans="4:4" ht="15.75" customHeight="1" x14ac:dyDescent="0.2">
      <c r="D887" s="333"/>
    </row>
    <row r="888" spans="4:4" ht="15.75" customHeight="1" x14ac:dyDescent="0.2">
      <c r="D888" s="333"/>
    </row>
    <row r="889" spans="4:4" ht="15.75" customHeight="1" x14ac:dyDescent="0.2">
      <c r="D889" s="333"/>
    </row>
    <row r="890" spans="4:4" ht="15.75" customHeight="1" x14ac:dyDescent="0.2">
      <c r="D890" s="333"/>
    </row>
    <row r="891" spans="4:4" ht="15.75" customHeight="1" x14ac:dyDescent="0.2">
      <c r="D891" s="333"/>
    </row>
    <row r="892" spans="4:4" ht="15.75" customHeight="1" x14ac:dyDescent="0.2">
      <c r="D892" s="333"/>
    </row>
    <row r="893" spans="4:4" ht="15.75" customHeight="1" x14ac:dyDescent="0.2">
      <c r="D893" s="333"/>
    </row>
    <row r="894" spans="4:4" ht="15.75" customHeight="1" x14ac:dyDescent="0.2">
      <c r="D894" s="333"/>
    </row>
    <row r="895" spans="4:4" ht="15.75" customHeight="1" x14ac:dyDescent="0.2">
      <c r="D895" s="333"/>
    </row>
    <row r="896" spans="4:4" ht="15.75" customHeight="1" x14ac:dyDescent="0.2">
      <c r="D896" s="333"/>
    </row>
    <row r="897" spans="4:4" ht="15.75" customHeight="1" x14ac:dyDescent="0.2">
      <c r="D897" s="333"/>
    </row>
    <row r="898" spans="4:4" ht="15.75" customHeight="1" x14ac:dyDescent="0.2">
      <c r="D898" s="333"/>
    </row>
    <row r="899" spans="4:4" ht="15.75" customHeight="1" x14ac:dyDescent="0.2">
      <c r="D899" s="333"/>
    </row>
    <row r="900" spans="4:4" ht="15.75" customHeight="1" x14ac:dyDescent="0.2">
      <c r="D900" s="333"/>
    </row>
    <row r="901" spans="4:4" ht="15.75" customHeight="1" x14ac:dyDescent="0.2">
      <c r="D901" s="333"/>
    </row>
    <row r="902" spans="4:4" ht="15.75" customHeight="1" x14ac:dyDescent="0.2">
      <c r="D902" s="333"/>
    </row>
    <row r="903" spans="4:4" ht="15.75" customHeight="1" x14ac:dyDescent="0.2">
      <c r="D903" s="333"/>
    </row>
    <row r="904" spans="4:4" ht="15.75" customHeight="1" x14ac:dyDescent="0.2">
      <c r="D904" s="333"/>
    </row>
    <row r="905" spans="4:4" ht="15.75" customHeight="1" x14ac:dyDescent="0.2">
      <c r="D905" s="333"/>
    </row>
    <row r="906" spans="4:4" ht="15.75" customHeight="1" x14ac:dyDescent="0.2">
      <c r="D906" s="333"/>
    </row>
    <row r="907" spans="4:4" ht="15.75" customHeight="1" x14ac:dyDescent="0.2">
      <c r="D907" s="333"/>
    </row>
    <row r="908" spans="4:4" ht="15.75" customHeight="1" x14ac:dyDescent="0.2">
      <c r="D908" s="333"/>
    </row>
    <row r="909" spans="4:4" ht="15.75" customHeight="1" x14ac:dyDescent="0.2">
      <c r="D909" s="333"/>
    </row>
    <row r="910" spans="4:4" ht="15.75" customHeight="1" x14ac:dyDescent="0.2">
      <c r="D910" s="333"/>
    </row>
    <row r="911" spans="4:4" ht="15.75" customHeight="1" x14ac:dyDescent="0.2">
      <c r="D911" s="333"/>
    </row>
    <row r="912" spans="4:4" ht="15.75" customHeight="1" x14ac:dyDescent="0.2">
      <c r="D912" s="333"/>
    </row>
    <row r="913" spans="4:4" ht="15.75" customHeight="1" x14ac:dyDescent="0.2">
      <c r="D913" s="333"/>
    </row>
    <row r="914" spans="4:4" ht="15.75" customHeight="1" x14ac:dyDescent="0.2">
      <c r="D914" s="333"/>
    </row>
    <row r="915" spans="4:4" ht="15.75" customHeight="1" x14ac:dyDescent="0.2">
      <c r="D915" s="333"/>
    </row>
    <row r="916" spans="4:4" ht="15.75" customHeight="1" x14ac:dyDescent="0.2">
      <c r="D916" s="333"/>
    </row>
    <row r="917" spans="4:4" ht="15.75" customHeight="1" x14ac:dyDescent="0.2">
      <c r="D917" s="333"/>
    </row>
    <row r="918" spans="4:4" ht="15.75" customHeight="1" x14ac:dyDescent="0.2">
      <c r="D918" s="333"/>
    </row>
    <row r="919" spans="4:4" ht="15.75" customHeight="1" x14ac:dyDescent="0.2">
      <c r="D919" s="333"/>
    </row>
    <row r="920" spans="4:4" ht="15.75" customHeight="1" x14ac:dyDescent="0.2">
      <c r="D920" s="333"/>
    </row>
    <row r="921" spans="4:4" ht="15.75" customHeight="1" x14ac:dyDescent="0.2">
      <c r="D921" s="333"/>
    </row>
    <row r="922" spans="4:4" ht="15.75" customHeight="1" x14ac:dyDescent="0.2">
      <c r="D922" s="333"/>
    </row>
    <row r="923" spans="4:4" ht="15.75" customHeight="1" x14ac:dyDescent="0.2">
      <c r="D923" s="333"/>
    </row>
    <row r="924" spans="4:4" ht="15.75" customHeight="1" x14ac:dyDescent="0.2">
      <c r="D924" s="333"/>
    </row>
    <row r="925" spans="4:4" ht="15.75" customHeight="1" x14ac:dyDescent="0.2">
      <c r="D925" s="333"/>
    </row>
    <row r="926" spans="4:4" ht="15.75" customHeight="1" x14ac:dyDescent="0.2">
      <c r="D926" s="333"/>
    </row>
    <row r="927" spans="4:4" ht="15.75" customHeight="1" x14ac:dyDescent="0.2">
      <c r="D927" s="333"/>
    </row>
    <row r="928" spans="4:4" ht="15.75" customHeight="1" x14ac:dyDescent="0.2">
      <c r="D928" s="333"/>
    </row>
    <row r="929" spans="4:4" ht="15.75" customHeight="1" x14ac:dyDescent="0.2">
      <c r="D929" s="333"/>
    </row>
    <row r="930" spans="4:4" ht="15.75" customHeight="1" x14ac:dyDescent="0.2">
      <c r="D930" s="333"/>
    </row>
    <row r="931" spans="4:4" ht="15.75" customHeight="1" x14ac:dyDescent="0.2">
      <c r="D931" s="333"/>
    </row>
    <row r="932" spans="4:4" ht="15.75" customHeight="1" x14ac:dyDescent="0.2">
      <c r="D932" s="333"/>
    </row>
    <row r="933" spans="4:4" ht="15.75" customHeight="1" x14ac:dyDescent="0.2">
      <c r="D933" s="333"/>
    </row>
    <row r="934" spans="4:4" ht="15.75" customHeight="1" x14ac:dyDescent="0.2">
      <c r="D934" s="333"/>
    </row>
    <row r="935" spans="4:4" ht="15.75" customHeight="1" x14ac:dyDescent="0.2">
      <c r="D935" s="333"/>
    </row>
    <row r="936" spans="4:4" ht="15.75" customHeight="1" x14ac:dyDescent="0.2">
      <c r="D936" s="333"/>
    </row>
    <row r="937" spans="4:4" ht="15.75" customHeight="1" x14ac:dyDescent="0.2">
      <c r="D937" s="333"/>
    </row>
    <row r="938" spans="4:4" ht="15.75" customHeight="1" x14ac:dyDescent="0.2">
      <c r="D938" s="333"/>
    </row>
    <row r="939" spans="4:4" ht="15.75" customHeight="1" x14ac:dyDescent="0.2">
      <c r="D939" s="333"/>
    </row>
    <row r="940" spans="4:4" ht="15.75" customHeight="1" x14ac:dyDescent="0.2">
      <c r="D940" s="333"/>
    </row>
    <row r="941" spans="4:4" ht="15.75" customHeight="1" x14ac:dyDescent="0.2">
      <c r="D941" s="333"/>
    </row>
    <row r="942" spans="4:4" ht="15.75" customHeight="1" x14ac:dyDescent="0.2">
      <c r="D942" s="333"/>
    </row>
    <row r="943" spans="4:4" ht="15.75" customHeight="1" x14ac:dyDescent="0.2">
      <c r="D943" s="333"/>
    </row>
    <row r="944" spans="4:4" ht="15.75" customHeight="1" x14ac:dyDescent="0.2">
      <c r="D944" s="333"/>
    </row>
    <row r="945" spans="4:4" ht="15.75" customHeight="1" x14ac:dyDescent="0.2">
      <c r="D945" s="333"/>
    </row>
    <row r="946" spans="4:4" ht="15.75" customHeight="1" x14ac:dyDescent="0.2">
      <c r="D946" s="333"/>
    </row>
    <row r="947" spans="4:4" ht="15.75" customHeight="1" x14ac:dyDescent="0.2">
      <c r="D947" s="333"/>
    </row>
    <row r="948" spans="4:4" ht="15.75" customHeight="1" x14ac:dyDescent="0.2">
      <c r="D948" s="333"/>
    </row>
    <row r="949" spans="4:4" ht="15.75" customHeight="1" x14ac:dyDescent="0.2">
      <c r="D949" s="333"/>
    </row>
    <row r="950" spans="4:4" ht="15.75" customHeight="1" x14ac:dyDescent="0.2">
      <c r="D950" s="333"/>
    </row>
    <row r="951" spans="4:4" ht="15.75" customHeight="1" x14ac:dyDescent="0.2">
      <c r="D951" s="333"/>
    </row>
    <row r="952" spans="4:4" ht="15.75" customHeight="1" x14ac:dyDescent="0.2">
      <c r="D952" s="333"/>
    </row>
    <row r="953" spans="4:4" ht="15.75" customHeight="1" x14ac:dyDescent="0.2">
      <c r="D953" s="333"/>
    </row>
    <row r="954" spans="4:4" ht="15.75" customHeight="1" x14ac:dyDescent="0.2">
      <c r="D954" s="333"/>
    </row>
    <row r="955" spans="4:4" ht="15.75" customHeight="1" x14ac:dyDescent="0.2">
      <c r="D955" s="333"/>
    </row>
    <row r="956" spans="4:4" ht="15.75" customHeight="1" x14ac:dyDescent="0.2">
      <c r="D956" s="333"/>
    </row>
    <row r="957" spans="4:4" ht="15.75" customHeight="1" x14ac:dyDescent="0.2">
      <c r="D957" s="333"/>
    </row>
    <row r="958" spans="4:4" ht="15.75" customHeight="1" x14ac:dyDescent="0.2">
      <c r="D958" s="333"/>
    </row>
    <row r="959" spans="4:4" ht="15.75" customHeight="1" x14ac:dyDescent="0.2">
      <c r="D959" s="333"/>
    </row>
    <row r="960" spans="4:4" ht="15.75" customHeight="1" x14ac:dyDescent="0.2">
      <c r="D960" s="333"/>
    </row>
    <row r="961" spans="4:4" ht="15.75" customHeight="1" x14ac:dyDescent="0.2">
      <c r="D961" s="333"/>
    </row>
    <row r="962" spans="4:4" ht="15.75" customHeight="1" x14ac:dyDescent="0.2">
      <c r="D962" s="333"/>
    </row>
    <row r="963" spans="4:4" ht="15.75" customHeight="1" x14ac:dyDescent="0.2">
      <c r="D963" s="333"/>
    </row>
    <row r="964" spans="4:4" ht="15.75" customHeight="1" x14ac:dyDescent="0.2">
      <c r="D964" s="333"/>
    </row>
    <row r="965" spans="4:4" ht="15.75" customHeight="1" x14ac:dyDescent="0.2">
      <c r="D965" s="333"/>
    </row>
    <row r="966" spans="4:4" ht="15.75" customHeight="1" x14ac:dyDescent="0.2">
      <c r="D966" s="333"/>
    </row>
    <row r="967" spans="4:4" ht="15.75" customHeight="1" x14ac:dyDescent="0.2">
      <c r="D967" s="333"/>
    </row>
    <row r="968" spans="4:4" ht="15.75" customHeight="1" x14ac:dyDescent="0.2">
      <c r="D968" s="333"/>
    </row>
    <row r="969" spans="4:4" ht="15.75" customHeight="1" x14ac:dyDescent="0.2">
      <c r="D969" s="333"/>
    </row>
    <row r="970" spans="4:4" ht="15.75" customHeight="1" x14ac:dyDescent="0.2">
      <c r="D970" s="333"/>
    </row>
    <row r="971" spans="4:4" ht="15.75" customHeight="1" x14ac:dyDescent="0.2">
      <c r="D971" s="333"/>
    </row>
    <row r="972" spans="4:4" ht="15.75" customHeight="1" x14ac:dyDescent="0.2">
      <c r="D972" s="333"/>
    </row>
    <row r="973" spans="4:4" ht="15.75" customHeight="1" x14ac:dyDescent="0.2">
      <c r="D973" s="333"/>
    </row>
    <row r="974" spans="4:4" ht="15.75" customHeight="1" x14ac:dyDescent="0.2">
      <c r="D974" s="333"/>
    </row>
    <row r="975" spans="4:4" ht="15.75" customHeight="1" x14ac:dyDescent="0.2">
      <c r="D975" s="333"/>
    </row>
    <row r="976" spans="4:4" ht="15.75" customHeight="1" x14ac:dyDescent="0.2">
      <c r="D976" s="333"/>
    </row>
    <row r="977" spans="4:4" ht="15.75" customHeight="1" x14ac:dyDescent="0.2">
      <c r="D977" s="333"/>
    </row>
    <row r="978" spans="4:4" ht="15.75" customHeight="1" x14ac:dyDescent="0.2">
      <c r="D978" s="333"/>
    </row>
    <row r="979" spans="4:4" ht="15.75" customHeight="1" x14ac:dyDescent="0.2">
      <c r="D979" s="333"/>
    </row>
    <row r="980" spans="4:4" ht="15.75" customHeight="1" x14ac:dyDescent="0.2">
      <c r="D980" s="333"/>
    </row>
    <row r="981" spans="4:4" ht="15.75" customHeight="1" x14ac:dyDescent="0.2">
      <c r="D981" s="333"/>
    </row>
    <row r="982" spans="4:4" ht="15.75" customHeight="1" x14ac:dyDescent="0.2">
      <c r="D982" s="333"/>
    </row>
    <row r="983" spans="4:4" ht="15.75" customHeight="1" x14ac:dyDescent="0.2">
      <c r="D983" s="333"/>
    </row>
    <row r="984" spans="4:4" ht="15.75" customHeight="1" x14ac:dyDescent="0.2">
      <c r="D984" s="333"/>
    </row>
    <row r="985" spans="4:4" ht="15.75" customHeight="1" x14ac:dyDescent="0.2">
      <c r="D985" s="333"/>
    </row>
    <row r="986" spans="4:4" ht="15.75" customHeight="1" x14ac:dyDescent="0.2">
      <c r="D986" s="333"/>
    </row>
    <row r="987" spans="4:4" ht="15.75" customHeight="1" x14ac:dyDescent="0.2">
      <c r="D987" s="333"/>
    </row>
    <row r="988" spans="4:4" ht="15.75" customHeight="1" x14ac:dyDescent="0.2">
      <c r="D988" s="333"/>
    </row>
    <row r="989" spans="4:4" ht="15.75" customHeight="1" x14ac:dyDescent="0.2">
      <c r="D989" s="333"/>
    </row>
    <row r="990" spans="4:4" ht="15.75" customHeight="1" x14ac:dyDescent="0.2">
      <c r="D990" s="333"/>
    </row>
    <row r="991" spans="4:4" ht="15.75" customHeight="1" x14ac:dyDescent="0.2">
      <c r="D991" s="333"/>
    </row>
    <row r="992" spans="4:4" ht="15.75" customHeight="1" x14ac:dyDescent="0.2">
      <c r="D992" s="333"/>
    </row>
    <row r="993" spans="4:4" ht="15.75" customHeight="1" x14ac:dyDescent="0.2">
      <c r="D993" s="333"/>
    </row>
    <row r="994" spans="4:4" ht="15.75" customHeight="1" x14ac:dyDescent="0.2">
      <c r="D994" s="333"/>
    </row>
    <row r="995" spans="4:4" ht="15.75" customHeight="1" x14ac:dyDescent="0.2">
      <c r="D995" s="333"/>
    </row>
    <row r="996" spans="4:4" ht="15.75" customHeight="1" x14ac:dyDescent="0.2">
      <c r="D996" s="333"/>
    </row>
    <row r="997" spans="4:4" ht="15.75" customHeight="1" x14ac:dyDescent="0.2">
      <c r="D997" s="333"/>
    </row>
    <row r="998" spans="4:4" ht="15.75" customHeight="1" x14ac:dyDescent="0.2">
      <c r="D998" s="333"/>
    </row>
    <row r="999" spans="4:4" ht="15.75" customHeight="1" x14ac:dyDescent="0.2">
      <c r="D999" s="333"/>
    </row>
    <row r="1000" spans="4:4" ht="15.75" customHeight="1" x14ac:dyDescent="0.2">
      <c r="D1000" s="333"/>
    </row>
  </sheetData>
  <mergeCells count="11">
    <mergeCell ref="A6:C6"/>
    <mergeCell ref="D6:N6"/>
    <mergeCell ref="A7:C7"/>
    <mergeCell ref="D7:I7"/>
    <mergeCell ref="J7:N7"/>
    <mergeCell ref="A1:C4"/>
    <mergeCell ref="D1:M4"/>
    <mergeCell ref="N1:N2"/>
    <mergeCell ref="N3:N4"/>
    <mergeCell ref="A5:C5"/>
    <mergeCell ref="D5:N5"/>
  </mergeCells>
  <dataValidations count="1">
    <dataValidation type="list" allowBlank="1" showErrorMessage="1" sqref="J9:M11" xr:uid="{00000000-0002-0000-1E00-000000000000}">
      <formula1>"SI,NO"</formula1>
    </dataValidation>
  </dataValidations>
  <pageMargins left="0.11811023622047245" right="0.11811023622047245" top="1.1417322834645669" bottom="0.19685039370078741" header="0" footer="0"/>
  <pageSetup scale="79" orientation="landscape" r:id="rId1"/>
  <headerFooter>
    <oddHeader>&amp;C Matriz de Riesgos</oddHead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ErrorMessage="1" xr:uid="{00000000-0002-0000-1E00-000001000000}">
          <x14:formula1>
            <xm:f>'C:\Users\sgomez.UPME\Documents\UPME 2020\Documents\Mapas de riesgos\[Mapa de riesgos FONDOS ENERGÉTICOS Y PROYECTOS PARA COBERTURA.xlsx]Datos'!#REF!</xm:f>
          </x14:formula1>
          <xm:sqref>A9:C11 G9:G11</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K1000"/>
  <sheetViews>
    <sheetView showGridLines="0" workbookViewId="0">
      <selection sqref="A1:C4"/>
    </sheetView>
  </sheetViews>
  <sheetFormatPr baseColWidth="10" defaultColWidth="12.625" defaultRowHeight="15" customHeight="1" x14ac:dyDescent="0.2"/>
  <cols>
    <col min="1" max="1" width="4.75" style="228" customWidth="1"/>
    <col min="2" max="2" width="18.125" style="228" customWidth="1"/>
    <col min="3" max="3" width="56.25" style="228" customWidth="1"/>
    <col min="4" max="4" width="26.25" style="228" customWidth="1"/>
    <col min="5" max="5" width="10.625" style="228" customWidth="1"/>
    <col min="6" max="6" width="17.25" style="228" customWidth="1"/>
    <col min="7" max="7" width="12.875" style="228" customWidth="1"/>
    <col min="8" max="8" width="5.375" style="228" customWidth="1"/>
    <col min="9" max="9" width="14" style="228" customWidth="1"/>
    <col min="10" max="10" width="12.75" style="228" customWidth="1"/>
    <col min="11" max="11" width="26.25" style="228" customWidth="1"/>
    <col min="12" max="12" width="41" style="228" customWidth="1"/>
    <col min="13" max="13" width="13.75" style="228" customWidth="1"/>
    <col min="14" max="14" width="15" style="228" customWidth="1"/>
    <col min="15" max="15" width="19.25" style="228" customWidth="1"/>
    <col min="16" max="16" width="18.875" style="228" customWidth="1"/>
    <col min="17" max="17" width="12" style="228" customWidth="1"/>
    <col min="18" max="18" width="12.625" style="228" customWidth="1"/>
    <col min="19" max="20" width="13.625" style="228" customWidth="1"/>
    <col min="21" max="21" width="17.5" style="228" customWidth="1"/>
    <col min="22" max="22" width="12.125" style="228" customWidth="1"/>
    <col min="23" max="23" width="13.875" style="228" customWidth="1"/>
    <col min="24" max="24" width="14.375" style="228" customWidth="1"/>
    <col min="25" max="25" width="35.75" style="228" customWidth="1"/>
    <col min="26" max="26" width="24.25" style="228" customWidth="1"/>
    <col min="27" max="28" width="10.875" style="228" customWidth="1"/>
    <col min="29" max="29" width="31.125" style="228" customWidth="1"/>
    <col min="30" max="33" width="22.5" style="228" customWidth="1"/>
    <col min="34" max="35" width="18.5" style="228" customWidth="1"/>
    <col min="36" max="36" width="39.5" style="228" customWidth="1"/>
    <col min="37" max="37" width="59.375" style="228" customWidth="1"/>
    <col min="38" max="16384" width="12.625" style="228"/>
  </cols>
  <sheetData>
    <row r="1" spans="1:37" ht="14.25" x14ac:dyDescent="0.2">
      <c r="A1" s="1354"/>
      <c r="B1" s="1355"/>
      <c r="C1" s="1356"/>
      <c r="D1" s="1359" t="s">
        <v>55</v>
      </c>
      <c r="E1" s="1355"/>
      <c r="F1" s="1355"/>
      <c r="G1" s="1355"/>
      <c r="H1" s="1355"/>
      <c r="I1" s="1355"/>
      <c r="J1" s="1355"/>
      <c r="K1" s="1355"/>
      <c r="L1" s="1355"/>
      <c r="M1" s="1355"/>
      <c r="N1" s="1355"/>
      <c r="O1" s="1355"/>
      <c r="P1" s="1355"/>
      <c r="Q1" s="1355"/>
      <c r="R1" s="1355"/>
      <c r="S1" s="1355"/>
      <c r="T1" s="1355"/>
      <c r="U1" s="1355"/>
      <c r="V1" s="1355"/>
      <c r="W1" s="1355"/>
      <c r="X1" s="1355"/>
      <c r="Y1" s="1355"/>
      <c r="Z1" s="1355"/>
      <c r="AA1" s="1355"/>
      <c r="AB1" s="1355"/>
      <c r="AC1" s="1355"/>
      <c r="AD1" s="1355"/>
      <c r="AE1" s="1355"/>
      <c r="AF1" s="1355"/>
      <c r="AG1" s="1355"/>
      <c r="AH1" s="1355"/>
      <c r="AI1" s="1355"/>
      <c r="AJ1" s="1356"/>
      <c r="AK1" s="1360" t="s">
        <v>35</v>
      </c>
    </row>
    <row r="2" spans="1:37" ht="14.25" x14ac:dyDescent="0.2">
      <c r="A2" s="1357"/>
      <c r="B2" s="1203"/>
      <c r="C2" s="1340"/>
      <c r="D2" s="1357"/>
      <c r="E2" s="1203"/>
      <c r="F2" s="1203"/>
      <c r="G2" s="1203"/>
      <c r="H2" s="1203"/>
      <c r="I2" s="1203"/>
      <c r="J2" s="1203"/>
      <c r="K2" s="1203"/>
      <c r="L2" s="1203"/>
      <c r="M2" s="1203"/>
      <c r="N2" s="1203"/>
      <c r="O2" s="1203"/>
      <c r="P2" s="1203"/>
      <c r="Q2" s="1203"/>
      <c r="R2" s="1203"/>
      <c r="S2" s="1203"/>
      <c r="T2" s="1203"/>
      <c r="U2" s="1203"/>
      <c r="V2" s="1203"/>
      <c r="W2" s="1203"/>
      <c r="X2" s="1203"/>
      <c r="Y2" s="1203"/>
      <c r="Z2" s="1203"/>
      <c r="AA2" s="1203"/>
      <c r="AB2" s="1203"/>
      <c r="AC2" s="1203"/>
      <c r="AD2" s="1203"/>
      <c r="AE2" s="1203"/>
      <c r="AF2" s="1203"/>
      <c r="AG2" s="1203"/>
      <c r="AH2" s="1203"/>
      <c r="AI2" s="1203"/>
      <c r="AJ2" s="1340"/>
      <c r="AK2" s="1343"/>
    </row>
    <row r="3" spans="1:37" ht="14.25" x14ac:dyDescent="0.2">
      <c r="A3" s="1357"/>
      <c r="B3" s="1203"/>
      <c r="C3" s="1340"/>
      <c r="D3" s="1357"/>
      <c r="E3" s="1203"/>
      <c r="F3" s="1203"/>
      <c r="G3" s="1203"/>
      <c r="H3" s="1203"/>
      <c r="I3" s="1203"/>
      <c r="J3" s="1203"/>
      <c r="K3" s="1203"/>
      <c r="L3" s="1203"/>
      <c r="M3" s="1203"/>
      <c r="N3" s="1203"/>
      <c r="O3" s="1203"/>
      <c r="P3" s="1203"/>
      <c r="Q3" s="1203"/>
      <c r="R3" s="1203"/>
      <c r="S3" s="1203"/>
      <c r="T3" s="1203"/>
      <c r="U3" s="1203"/>
      <c r="V3" s="1203"/>
      <c r="W3" s="1203"/>
      <c r="X3" s="1203"/>
      <c r="Y3" s="1203"/>
      <c r="Z3" s="1203"/>
      <c r="AA3" s="1203"/>
      <c r="AB3" s="1203"/>
      <c r="AC3" s="1203"/>
      <c r="AD3" s="1203"/>
      <c r="AE3" s="1203"/>
      <c r="AF3" s="1203"/>
      <c r="AG3" s="1203"/>
      <c r="AH3" s="1203"/>
      <c r="AI3" s="1203"/>
      <c r="AJ3" s="1340"/>
      <c r="AK3" s="1360" t="s">
        <v>56</v>
      </c>
    </row>
    <row r="4" spans="1:37" thickBot="1" x14ac:dyDescent="0.25">
      <c r="A4" s="1358"/>
      <c r="B4" s="1338"/>
      <c r="C4" s="1341"/>
      <c r="D4" s="1358"/>
      <c r="E4" s="1338"/>
      <c r="F4" s="1338"/>
      <c r="G4" s="1338"/>
      <c r="H4" s="1338"/>
      <c r="I4" s="1338"/>
      <c r="J4" s="1338"/>
      <c r="K4" s="1338"/>
      <c r="L4" s="1338"/>
      <c r="M4" s="1338"/>
      <c r="N4" s="1338"/>
      <c r="O4" s="1338"/>
      <c r="P4" s="1338"/>
      <c r="Q4" s="1338"/>
      <c r="R4" s="1338"/>
      <c r="S4" s="1338"/>
      <c r="T4" s="1338"/>
      <c r="U4" s="1338"/>
      <c r="V4" s="1338"/>
      <c r="W4" s="1338"/>
      <c r="X4" s="1338"/>
      <c r="Y4" s="1338"/>
      <c r="Z4" s="1338"/>
      <c r="AA4" s="1338"/>
      <c r="AB4" s="1338"/>
      <c r="AC4" s="1338"/>
      <c r="AD4" s="1338"/>
      <c r="AE4" s="1338"/>
      <c r="AF4" s="1338"/>
      <c r="AG4" s="1338"/>
      <c r="AH4" s="1338"/>
      <c r="AI4" s="1338"/>
      <c r="AJ4" s="1341"/>
      <c r="AK4" s="1343"/>
    </row>
    <row r="5" spans="1:37" ht="18.75" customHeight="1" x14ac:dyDescent="0.25">
      <c r="A5" s="1361" t="s">
        <v>57</v>
      </c>
      <c r="B5" s="1345"/>
      <c r="C5" s="1345"/>
      <c r="D5" s="1345"/>
      <c r="E5" s="1345"/>
      <c r="F5" s="1345"/>
      <c r="G5" s="1345"/>
      <c r="H5" s="1345"/>
      <c r="I5" s="1346"/>
      <c r="J5" s="324"/>
      <c r="K5" s="1348" t="s">
        <v>58</v>
      </c>
      <c r="L5" s="1345"/>
      <c r="M5" s="1345"/>
      <c r="N5" s="1345"/>
      <c r="O5" s="1345"/>
      <c r="P5" s="1346"/>
      <c r="Q5" s="1348" t="s">
        <v>59</v>
      </c>
      <c r="R5" s="1345"/>
      <c r="S5" s="1345"/>
      <c r="T5" s="1345"/>
      <c r="U5" s="1345"/>
      <c r="V5" s="1345"/>
      <c r="W5" s="1345"/>
      <c r="X5" s="1346"/>
      <c r="Y5" s="1348" t="s">
        <v>60</v>
      </c>
      <c r="Z5" s="1345"/>
      <c r="AA5" s="1345"/>
      <c r="AB5" s="1345"/>
      <c r="AC5" s="1346"/>
      <c r="AD5" s="1362" t="s">
        <v>61</v>
      </c>
      <c r="AE5" s="1363"/>
      <c r="AF5" s="1363"/>
      <c r="AG5" s="1363"/>
      <c r="AH5" s="1363"/>
      <c r="AI5" s="1364"/>
      <c r="AJ5" s="334" t="s">
        <v>62</v>
      </c>
      <c r="AK5" s="334" t="s">
        <v>63</v>
      </c>
    </row>
    <row r="6" spans="1:37" ht="51.75" thickBot="1" x14ac:dyDescent="0.25">
      <c r="A6" s="335" t="s">
        <v>44</v>
      </c>
      <c r="B6" s="335" t="s">
        <v>64</v>
      </c>
      <c r="C6" s="335" t="s">
        <v>65</v>
      </c>
      <c r="D6" s="336" t="s">
        <v>66</v>
      </c>
      <c r="E6" s="335" t="s">
        <v>67</v>
      </c>
      <c r="F6" s="335" t="s">
        <v>68</v>
      </c>
      <c r="G6" s="336" t="s">
        <v>69</v>
      </c>
      <c r="H6" s="336" t="s">
        <v>70</v>
      </c>
      <c r="I6" s="335" t="s">
        <v>71</v>
      </c>
      <c r="J6" s="335" t="s">
        <v>72</v>
      </c>
      <c r="K6" s="335" t="s">
        <v>73</v>
      </c>
      <c r="L6" s="335" t="s">
        <v>74</v>
      </c>
      <c r="M6" s="337" t="s">
        <v>75</v>
      </c>
      <c r="N6" s="335" t="s">
        <v>76</v>
      </c>
      <c r="O6" s="335" t="s">
        <v>77</v>
      </c>
      <c r="P6" s="335" t="s">
        <v>78</v>
      </c>
      <c r="Q6" s="335" t="s">
        <v>79</v>
      </c>
      <c r="R6" s="335" t="s">
        <v>80</v>
      </c>
      <c r="S6" s="335" t="s">
        <v>67</v>
      </c>
      <c r="T6" s="335" t="s">
        <v>70</v>
      </c>
      <c r="U6" s="335" t="s">
        <v>81</v>
      </c>
      <c r="V6" s="335" t="s">
        <v>82</v>
      </c>
      <c r="W6" s="335" t="s">
        <v>83</v>
      </c>
      <c r="X6" s="335" t="s">
        <v>84</v>
      </c>
      <c r="Y6" s="335" t="s">
        <v>85</v>
      </c>
      <c r="Z6" s="335" t="s">
        <v>86</v>
      </c>
      <c r="AA6" s="335" t="s">
        <v>87</v>
      </c>
      <c r="AB6" s="335" t="s">
        <v>88</v>
      </c>
      <c r="AC6" s="335" t="s">
        <v>89</v>
      </c>
      <c r="AD6" s="338" t="s">
        <v>90</v>
      </c>
      <c r="AE6" s="339" t="s">
        <v>91</v>
      </c>
      <c r="AF6" s="339" t="s">
        <v>92</v>
      </c>
      <c r="AG6" s="339" t="s">
        <v>91</v>
      </c>
      <c r="AH6" s="339" t="s">
        <v>93</v>
      </c>
      <c r="AI6" s="340" t="s">
        <v>91</v>
      </c>
      <c r="AJ6" s="341" t="s">
        <v>94</v>
      </c>
      <c r="AK6" s="341" t="s">
        <v>95</v>
      </c>
    </row>
    <row r="7" spans="1:37" ht="141" customHeight="1" x14ac:dyDescent="0.2">
      <c r="A7" s="1353" t="e">
        <f>#REF!</f>
        <v>#REF!</v>
      </c>
      <c r="B7" s="1365" t="e">
        <f>#REF!</f>
        <v>#REF!</v>
      </c>
      <c r="C7" s="1365" t="e">
        <f>#REF!</f>
        <v>#REF!</v>
      </c>
      <c r="D7" s="1350" t="s">
        <v>181</v>
      </c>
      <c r="E7" s="1353">
        <f>IF(D7="Selecciona un descriptor de frecuencia."," ",IF(D7="","",VLOOKUP(D7,[4]Datos!$G$8:$J$12,2,FALSE)))</f>
        <v>5</v>
      </c>
      <c r="F7" s="1353" t="str">
        <f>IF(D7="Selecciona un descriptor de frecuencia."," ",IF(D7="","",VLOOKUP(D7,[4]Datos!$G$8:$J$12,3,FALSE)))</f>
        <v>Casi Seguro</v>
      </c>
      <c r="G7" s="1350" t="s">
        <v>204</v>
      </c>
      <c r="H7" s="1353">
        <f>IF(G7="Selecciona un descriptor de impacto."," ",IF(G7="","",VLOOKUP(G7,[4]Datos!$K$8:$L$12,2,FALSE)))</f>
        <v>3</v>
      </c>
      <c r="I7" s="1369" t="str">
        <f>IF(D7="Selecciona un descriptor de frecuencia."," ",IF(G7="Selecciona un descriptor de impacto."," ",IF(E7+H7=" ","",IF(E7="","",VLOOKUP(E7,[4]Datos!$U$8:$Z$12,MATCH(H7,[4]Datos!$V$7:$Z$7,0)+1,FALSE)))))</f>
        <v>EXTREMO</v>
      </c>
      <c r="J7" s="1370" t="s">
        <v>122</v>
      </c>
      <c r="K7" s="342" t="s">
        <v>498</v>
      </c>
      <c r="L7" s="343" t="s">
        <v>499</v>
      </c>
      <c r="M7" s="278">
        <f>[4]Controles!T9</f>
        <v>100</v>
      </c>
      <c r="N7" s="278" t="str">
        <f>[4]Controles!AB9</f>
        <v>No</v>
      </c>
      <c r="O7" s="344">
        <f>[4]Controles!W9</f>
        <v>1</v>
      </c>
      <c r="P7" s="344">
        <f>[4]Controles!X9</f>
        <v>0</v>
      </c>
      <c r="Q7" s="1352">
        <f t="shared" ref="Q7:R7" si="0">SUM(O7:O10)</f>
        <v>3</v>
      </c>
      <c r="R7" s="1352">
        <f t="shared" si="0"/>
        <v>1</v>
      </c>
      <c r="S7" s="1368">
        <f>IF(D7="Selecciona un descriptor de frecuencia."," ",IF(ROUNDUP(E7-Q7,0)&lt;0,1,ROUNDUP(E7-Q7,0)))</f>
        <v>2</v>
      </c>
      <c r="T7" s="1368">
        <f>IF(G7="Selecciona un descriptor de impacto."," ",IF(ROUNDUP(H7-R7,0)&lt;0,1,ROUNDUP(H7-R7,0)))</f>
        <v>2</v>
      </c>
      <c r="U7" s="1352" t="str">
        <f>IF(D7="Selecciona un descriptor de frecuencia."," ",VLOOKUP(S7,[4]Datos!$H$8:$I$12,2,FALSE))</f>
        <v>Improbable</v>
      </c>
      <c r="V7" s="1352" t="str">
        <f>IF(G7="Selecciona un descriptor de impacto."," ",VLOOKUP(T7,[4]Datos!$L$8:$M$12,2,FALSE))</f>
        <v>Menor</v>
      </c>
      <c r="W7" s="1366" t="str">
        <f>IF(S7=" "," ",VLOOKUP(S7,[4]Datos!$U$8:$Z$12,MATCH(T7,[4]Datos!$V$7:$Z$7,0)+1,FALSE))</f>
        <v>BAJO</v>
      </c>
      <c r="X7" s="1350" t="s">
        <v>202</v>
      </c>
      <c r="Y7" s="343" t="s">
        <v>500</v>
      </c>
      <c r="Z7" s="345" t="s">
        <v>501</v>
      </c>
      <c r="AA7" s="346">
        <v>44136</v>
      </c>
      <c r="AB7" s="346">
        <v>44561</v>
      </c>
      <c r="AC7" s="345" t="s">
        <v>363</v>
      </c>
      <c r="AD7" s="347"/>
      <c r="AE7" s="348"/>
      <c r="AF7" s="348"/>
      <c r="AG7" s="348"/>
      <c r="AH7" s="348"/>
      <c r="AI7" s="349"/>
      <c r="AJ7" s="350"/>
      <c r="AK7" s="350"/>
    </row>
    <row r="8" spans="1:37" ht="160.5" customHeight="1" x14ac:dyDescent="0.2">
      <c r="A8" s="1351"/>
      <c r="B8" s="1351"/>
      <c r="C8" s="1351"/>
      <c r="D8" s="1351"/>
      <c r="E8" s="1351"/>
      <c r="F8" s="1351"/>
      <c r="G8" s="1351"/>
      <c r="H8" s="1351"/>
      <c r="I8" s="1351"/>
      <c r="J8" s="1351"/>
      <c r="K8" s="342" t="s">
        <v>502</v>
      </c>
      <c r="L8" s="343" t="s">
        <v>503</v>
      </c>
      <c r="M8" s="278">
        <f>[4]Controles!T10</f>
        <v>100</v>
      </c>
      <c r="N8" s="278" t="str">
        <f>[4]Controles!AB10</f>
        <v>No</v>
      </c>
      <c r="O8" s="344">
        <f>[4]Controles!W10</f>
        <v>1</v>
      </c>
      <c r="P8" s="344">
        <f>[4]Controles!X10</f>
        <v>0</v>
      </c>
      <c r="Q8" s="1351"/>
      <c r="R8" s="1351"/>
      <c r="S8" s="1351"/>
      <c r="T8" s="1351"/>
      <c r="U8" s="1351"/>
      <c r="V8" s="1351"/>
      <c r="W8" s="1351"/>
      <c r="X8" s="1351"/>
      <c r="Y8" s="343"/>
      <c r="Z8" s="342"/>
      <c r="AA8" s="346"/>
      <c r="AB8" s="346"/>
      <c r="AC8" s="342"/>
      <c r="AD8" s="351"/>
      <c r="AE8" s="352"/>
      <c r="AF8" s="352"/>
      <c r="AG8" s="352"/>
      <c r="AH8" s="352"/>
      <c r="AI8" s="353"/>
      <c r="AJ8" s="354"/>
      <c r="AK8" s="354"/>
    </row>
    <row r="9" spans="1:37" ht="61.5" customHeight="1" x14ac:dyDescent="0.2">
      <c r="A9" s="1351"/>
      <c r="B9" s="1351"/>
      <c r="C9" s="1351"/>
      <c r="D9" s="1351"/>
      <c r="E9" s="1351"/>
      <c r="F9" s="1351"/>
      <c r="G9" s="1351"/>
      <c r="H9" s="1351"/>
      <c r="I9" s="1351"/>
      <c r="J9" s="1351"/>
      <c r="K9" s="342" t="s">
        <v>504</v>
      </c>
      <c r="L9" s="343" t="s">
        <v>505</v>
      </c>
      <c r="M9" s="278">
        <f>[4]Controles!T11</f>
        <v>100</v>
      </c>
      <c r="N9" s="278" t="str">
        <f>[4]Controles!AB11</f>
        <v>No</v>
      </c>
      <c r="O9" s="344">
        <f>[4]Controles!W11</f>
        <v>1</v>
      </c>
      <c r="P9" s="344">
        <f>[4]Controles!X11</f>
        <v>0</v>
      </c>
      <c r="Q9" s="1351"/>
      <c r="R9" s="1351"/>
      <c r="S9" s="1351"/>
      <c r="T9" s="1351"/>
      <c r="U9" s="1351"/>
      <c r="V9" s="1351"/>
      <c r="W9" s="1351"/>
      <c r="X9" s="1351"/>
      <c r="Y9" s="343"/>
      <c r="Z9" s="342"/>
      <c r="AA9" s="346"/>
      <c r="AB9" s="346"/>
      <c r="AC9" s="342"/>
      <c r="AD9" s="351"/>
      <c r="AE9" s="352"/>
      <c r="AF9" s="352"/>
      <c r="AG9" s="352"/>
      <c r="AH9" s="352"/>
      <c r="AI9" s="353"/>
      <c r="AJ9" s="354"/>
      <c r="AK9" s="354"/>
    </row>
    <row r="10" spans="1:37" ht="102.75" customHeight="1" x14ac:dyDescent="0.2">
      <c r="A10" s="1343"/>
      <c r="B10" s="1343"/>
      <c r="C10" s="1343"/>
      <c r="D10" s="1343"/>
      <c r="E10" s="1343"/>
      <c r="F10" s="1343"/>
      <c r="G10" s="1343"/>
      <c r="H10" s="1343"/>
      <c r="I10" s="1343"/>
      <c r="J10" s="1343"/>
      <c r="K10" s="342" t="s">
        <v>506</v>
      </c>
      <c r="L10" s="343" t="s">
        <v>507</v>
      </c>
      <c r="M10" s="278">
        <f>[4]Controles!T12</f>
        <v>100</v>
      </c>
      <c r="N10" s="278" t="str">
        <f>[4]Controles!AB12</f>
        <v>SI</v>
      </c>
      <c r="O10" s="344">
        <f>[4]Controles!W12</f>
        <v>0</v>
      </c>
      <c r="P10" s="344">
        <f>[4]Controles!X12</f>
        <v>1</v>
      </c>
      <c r="Q10" s="1343"/>
      <c r="R10" s="1343"/>
      <c r="S10" s="1343"/>
      <c r="T10" s="1343"/>
      <c r="U10" s="1343"/>
      <c r="V10" s="1343"/>
      <c r="W10" s="1343"/>
      <c r="X10" s="1343"/>
      <c r="Y10" s="342"/>
      <c r="Z10" s="342"/>
      <c r="AA10" s="346"/>
      <c r="AB10" s="346"/>
      <c r="AC10" s="342"/>
      <c r="AD10" s="351"/>
      <c r="AE10" s="352"/>
      <c r="AF10" s="352"/>
      <c r="AG10" s="352"/>
      <c r="AH10" s="352"/>
      <c r="AI10" s="353"/>
      <c r="AJ10" s="354"/>
      <c r="AK10" s="354"/>
    </row>
    <row r="11" spans="1:37" ht="61.5" customHeight="1" x14ac:dyDescent="0.2">
      <c r="A11" s="1367" t="e">
        <f>#REF!</f>
        <v>#REF!</v>
      </c>
      <c r="B11" s="1365" t="e">
        <f>#REF!</f>
        <v>#REF!</v>
      </c>
      <c r="C11" s="1365" t="e">
        <f>#REF!</f>
        <v>#REF!</v>
      </c>
      <c r="D11" s="1350" t="s">
        <v>236</v>
      </c>
      <c r="E11" s="1353">
        <f>IF(D11="Selecciona un descriptor de frecuencia."," ",IF(D11="","",VLOOKUP(D11,[4]Datos!$G$8:$J$12,2,FALSE)))</f>
        <v>1</v>
      </c>
      <c r="F11" s="1353" t="str">
        <f>IF(D11="Selecciona un descriptor de frecuencia."," ",IF(D11="","",VLOOKUP(D11,[4]Datos!$G$8:$J$12,3,FALSE)))</f>
        <v>Rara vez</v>
      </c>
      <c r="G11" s="1350" t="s">
        <v>199</v>
      </c>
      <c r="H11" s="1353">
        <f>IF(G11="Selecciona un descriptor de impacto."," ",IF(G11="","",VLOOKUP(G11,[4]Datos!$K$8:$L$12,2,FALSE)))</f>
        <v>4</v>
      </c>
      <c r="I11" s="1369" t="str">
        <f>IF(D11="Selecciona un descriptor de frecuencia."," ",IF(G11="Selecciona un descriptor de impacto."," ",IF(E11+H11=" ","",IF(E11="","",VLOOKUP(E11,[4]Datos!$U$8:$Z$12,MATCH(H11,[4]Datos!$V$7:$Z$7,0)+1,FALSE)))))</f>
        <v>ALTO</v>
      </c>
      <c r="J11" s="1350" t="s">
        <v>122</v>
      </c>
      <c r="K11" s="343" t="s">
        <v>508</v>
      </c>
      <c r="L11" s="355" t="s">
        <v>509</v>
      </c>
      <c r="M11" s="278">
        <f>[4]Controles!T13</f>
        <v>100</v>
      </c>
      <c r="N11" s="278" t="str">
        <f>[4]Controles!AB13</f>
        <v>No</v>
      </c>
      <c r="O11" s="344">
        <f>[4]Controles!W13</f>
        <v>1</v>
      </c>
      <c r="P11" s="344">
        <f>[4]Controles!X13</f>
        <v>0</v>
      </c>
      <c r="Q11" s="1371">
        <f t="shared" ref="Q11:R11" si="1">SUM(O11:O15)</f>
        <v>4</v>
      </c>
      <c r="R11" s="1371">
        <f t="shared" si="1"/>
        <v>2</v>
      </c>
      <c r="S11" s="1368">
        <f>IF(D11="Selecciona un descriptor de frecuencia."," ",IF(ROUNDUP(E11-Q11,0)&lt;0,1,ROUNDUP(E11-Q11,0)))</f>
        <v>1</v>
      </c>
      <c r="T11" s="1368">
        <f>IF(G11="Selecciona un descriptor de impacto."," ",IF(ROUNDUP(H11-R11,0)&lt;0,1,ROUNDUP(H11-R11,0)))</f>
        <v>2</v>
      </c>
      <c r="U11" s="1352" t="str">
        <f>IF(D11="Selecciona un descriptor de frecuencia."," ",VLOOKUP(S11,[4]Datos!$H$8:$I$12,2,FALSE))</f>
        <v>Rara vez</v>
      </c>
      <c r="V11" s="1352" t="str">
        <f>IF(G11="Selecciona un descriptor de impacto."," ",VLOOKUP(T11,[4]Datos!$L$8:$M$12,2,FALSE))</f>
        <v>Menor</v>
      </c>
      <c r="W11" s="1366" t="str">
        <f>IF(S11=" "," ",VLOOKUP(S11,[4]Datos!$U$8:$Z$12,MATCH(T11,[4]Datos!$V$7:$Z$7,0)+1,FALSE))</f>
        <v>BAJO</v>
      </c>
      <c r="X11" s="1350" t="s">
        <v>202</v>
      </c>
      <c r="Y11" s="355" t="s">
        <v>510</v>
      </c>
      <c r="Z11" s="345" t="s">
        <v>501</v>
      </c>
      <c r="AA11" s="346">
        <v>44136</v>
      </c>
      <c r="AB11" s="346">
        <v>44561</v>
      </c>
      <c r="AC11" s="345" t="s">
        <v>511</v>
      </c>
      <c r="AD11" s="356"/>
      <c r="AE11" s="357"/>
      <c r="AF11" s="357"/>
      <c r="AG11" s="357"/>
      <c r="AH11" s="357"/>
      <c r="AI11" s="358"/>
      <c r="AJ11" s="359"/>
      <c r="AK11" s="359"/>
    </row>
    <row r="12" spans="1:37" ht="57.75" customHeight="1" x14ac:dyDescent="0.2">
      <c r="A12" s="1351"/>
      <c r="B12" s="1351"/>
      <c r="C12" s="1351"/>
      <c r="D12" s="1351"/>
      <c r="E12" s="1351"/>
      <c r="F12" s="1351"/>
      <c r="G12" s="1351"/>
      <c r="H12" s="1351"/>
      <c r="I12" s="1351"/>
      <c r="J12" s="1351"/>
      <c r="K12" s="343" t="s">
        <v>512</v>
      </c>
      <c r="L12" s="355" t="s">
        <v>513</v>
      </c>
      <c r="M12" s="278">
        <f>[4]Controles!T14</f>
        <v>100</v>
      </c>
      <c r="N12" s="278" t="str">
        <f>[4]Controles!AB14</f>
        <v>No</v>
      </c>
      <c r="O12" s="344">
        <f>[4]Controles!W14</f>
        <v>1</v>
      </c>
      <c r="P12" s="344">
        <f>[4]Controles!X14</f>
        <v>0</v>
      </c>
      <c r="Q12" s="1351"/>
      <c r="R12" s="1351"/>
      <c r="S12" s="1351"/>
      <c r="T12" s="1351"/>
      <c r="U12" s="1351"/>
      <c r="V12" s="1351"/>
      <c r="W12" s="1351"/>
      <c r="X12" s="1351"/>
      <c r="Y12" s="343"/>
      <c r="Z12" s="342"/>
      <c r="AA12" s="346"/>
      <c r="AB12" s="346"/>
      <c r="AC12" s="342"/>
      <c r="AD12" s="356"/>
      <c r="AE12" s="357"/>
      <c r="AF12" s="357"/>
      <c r="AG12" s="357"/>
      <c r="AH12" s="357"/>
      <c r="AI12" s="358"/>
      <c r="AJ12" s="359"/>
      <c r="AK12" s="359"/>
    </row>
    <row r="13" spans="1:37" ht="95.25" customHeight="1" x14ac:dyDescent="0.2">
      <c r="A13" s="1351"/>
      <c r="B13" s="1351"/>
      <c r="C13" s="1351"/>
      <c r="D13" s="1351"/>
      <c r="E13" s="1351"/>
      <c r="F13" s="1351"/>
      <c r="G13" s="1351"/>
      <c r="H13" s="1351"/>
      <c r="I13" s="1351"/>
      <c r="J13" s="1351"/>
      <c r="K13" s="342" t="s">
        <v>514</v>
      </c>
      <c r="L13" s="355" t="s">
        <v>515</v>
      </c>
      <c r="M13" s="278">
        <f>[4]Controles!T15</f>
        <v>100</v>
      </c>
      <c r="N13" s="278" t="str">
        <f>[4]Controles!AB15</f>
        <v>No</v>
      </c>
      <c r="O13" s="344">
        <f>[4]Controles!W15</f>
        <v>1</v>
      </c>
      <c r="P13" s="344">
        <f>[4]Controles!X15</f>
        <v>0</v>
      </c>
      <c r="Q13" s="1351"/>
      <c r="R13" s="1351"/>
      <c r="S13" s="1351"/>
      <c r="T13" s="1351"/>
      <c r="U13" s="1351"/>
      <c r="V13" s="1351"/>
      <c r="W13" s="1351"/>
      <c r="X13" s="1351"/>
      <c r="Y13" s="343"/>
      <c r="Z13" s="342"/>
      <c r="AA13" s="346"/>
      <c r="AB13" s="346"/>
      <c r="AC13" s="342"/>
      <c r="AD13" s="356"/>
      <c r="AE13" s="357"/>
      <c r="AF13" s="357"/>
      <c r="AG13" s="357"/>
      <c r="AH13" s="357"/>
      <c r="AI13" s="358"/>
      <c r="AJ13" s="359"/>
      <c r="AK13" s="359"/>
    </row>
    <row r="14" spans="1:37" ht="117.75" customHeight="1" x14ac:dyDescent="0.2">
      <c r="A14" s="1351"/>
      <c r="B14" s="1351"/>
      <c r="C14" s="1351"/>
      <c r="D14" s="1351"/>
      <c r="E14" s="1351"/>
      <c r="F14" s="1351"/>
      <c r="G14" s="1351"/>
      <c r="H14" s="1351"/>
      <c r="I14" s="1351"/>
      <c r="J14" s="1351"/>
      <c r="K14" s="342" t="s">
        <v>516</v>
      </c>
      <c r="L14" s="355" t="s">
        <v>517</v>
      </c>
      <c r="M14" s="278">
        <f>[4]Controles!T16</f>
        <v>100</v>
      </c>
      <c r="N14" s="278" t="str">
        <f>[4]Controles!AB16</f>
        <v>SI</v>
      </c>
      <c r="O14" s="344">
        <f>[4]Controles!W16</f>
        <v>0</v>
      </c>
      <c r="P14" s="344">
        <f>[4]Controles!X16</f>
        <v>1</v>
      </c>
      <c r="Q14" s="1351"/>
      <c r="R14" s="1351"/>
      <c r="S14" s="1351"/>
      <c r="T14" s="1351"/>
      <c r="U14" s="1351"/>
      <c r="V14" s="1351"/>
      <c r="W14" s="1351"/>
      <c r="X14" s="1351"/>
      <c r="Y14" s="343"/>
      <c r="Z14" s="342"/>
      <c r="AA14" s="346"/>
      <c r="AB14" s="346"/>
      <c r="AC14" s="342"/>
      <c r="AD14" s="356"/>
      <c r="AE14" s="357"/>
      <c r="AF14" s="357"/>
      <c r="AG14" s="357"/>
      <c r="AH14" s="357"/>
      <c r="AI14" s="358"/>
      <c r="AJ14" s="359"/>
      <c r="AK14" s="359"/>
    </row>
    <row r="15" spans="1:37" ht="91.5" customHeight="1" x14ac:dyDescent="0.2">
      <c r="A15" s="1343"/>
      <c r="B15" s="1343"/>
      <c r="C15" s="1343"/>
      <c r="D15" s="1343"/>
      <c r="E15" s="1343"/>
      <c r="F15" s="1343"/>
      <c r="G15" s="1343"/>
      <c r="H15" s="1343"/>
      <c r="I15" s="1343"/>
      <c r="J15" s="1343"/>
      <c r="K15" s="342" t="s">
        <v>518</v>
      </c>
      <c r="L15" s="355" t="s">
        <v>519</v>
      </c>
      <c r="M15" s="278">
        <f>[4]Controles!T17</f>
        <v>100</v>
      </c>
      <c r="N15" s="278" t="str">
        <f>[4]Controles!AB17</f>
        <v>No</v>
      </c>
      <c r="O15" s="344">
        <f>[4]Controles!W17</f>
        <v>1</v>
      </c>
      <c r="P15" s="344">
        <f>[4]Controles!X17</f>
        <v>1</v>
      </c>
      <c r="Q15" s="1343"/>
      <c r="R15" s="1343"/>
      <c r="S15" s="1343"/>
      <c r="T15" s="1343"/>
      <c r="U15" s="1343"/>
      <c r="V15" s="1343"/>
      <c r="W15" s="1343"/>
      <c r="X15" s="1343"/>
      <c r="Y15" s="343"/>
      <c r="Z15" s="342"/>
      <c r="AA15" s="346"/>
      <c r="AB15" s="346"/>
      <c r="AC15" s="342"/>
      <c r="AD15" s="356"/>
      <c r="AE15" s="357"/>
      <c r="AF15" s="357"/>
      <c r="AG15" s="357"/>
      <c r="AH15" s="357"/>
      <c r="AI15" s="358"/>
      <c r="AJ15" s="359"/>
      <c r="AK15" s="359"/>
    </row>
    <row r="16" spans="1:37" ht="71.25" customHeight="1" x14ac:dyDescent="0.2">
      <c r="A16" s="1367" t="e">
        <f>#REF!</f>
        <v>#REF!</v>
      </c>
      <c r="B16" s="1365" t="e">
        <f>#REF!</f>
        <v>#REF!</v>
      </c>
      <c r="C16" s="1365" t="e">
        <f>#REF!</f>
        <v>#REF!</v>
      </c>
      <c r="D16" s="1350" t="s">
        <v>236</v>
      </c>
      <c r="E16" s="1353">
        <f>IF(D16="Selecciona un descriptor de frecuencia."," ",IF(D16="","",VLOOKUP(D16,[4]Datos!$G$8:$J$12,2,FALSE)))</f>
        <v>1</v>
      </c>
      <c r="F16" s="1353" t="str">
        <f>IF(D16="Selecciona un descriptor de frecuencia."," ",IF(D16="","",VLOOKUP(D16,[4]Datos!$G$8:$J$12,3,FALSE)))</f>
        <v>Rara vez</v>
      </c>
      <c r="G16" s="1350" t="s">
        <v>184</v>
      </c>
      <c r="H16" s="1367">
        <f>IF(G16="","",VLOOKUP(G16,[4]Datos!$K$8:$L$12,2,FALSE))</f>
        <v>5</v>
      </c>
      <c r="I16" s="1369" t="str">
        <f>IF(D16="Selecciona un descriptor de frecuencia."," ",IF(G16="Selecciona un descriptor de impacto."," ",IF(E16+H16=" ","",IF(E16="","",VLOOKUP(E16,[4]Datos!$U$8:$Z$12,MATCH(H16,[4]Datos!$V$7:$Z$7,0)+1,FALSE)))))</f>
        <v>EXTREMO</v>
      </c>
      <c r="J16" s="1350" t="s">
        <v>122</v>
      </c>
      <c r="K16" s="343" t="s">
        <v>520</v>
      </c>
      <c r="L16" s="343" t="s">
        <v>521</v>
      </c>
      <c r="M16" s="278">
        <f>[4]Controles!T18</f>
        <v>100</v>
      </c>
      <c r="N16" s="278" t="str">
        <f>[4]Controles!AB18</f>
        <v>No</v>
      </c>
      <c r="O16" s="344">
        <f>[4]Controles!W18</f>
        <v>1</v>
      </c>
      <c r="P16" s="344">
        <f>[4]Controles!X18</f>
        <v>0</v>
      </c>
      <c r="Q16" s="1371">
        <f t="shared" ref="Q16:R16" si="2">SUM(O16:O19)</f>
        <v>2</v>
      </c>
      <c r="R16" s="1371">
        <f t="shared" si="2"/>
        <v>2</v>
      </c>
      <c r="S16" s="1368">
        <f>IF(D16="Selecciona un descriptor de frecuencia."," ",IF(ROUNDUP(E16-Q16,0)&lt;0,1,ROUNDUP(E16-Q16,0)))</f>
        <v>1</v>
      </c>
      <c r="T16" s="1368">
        <f>IF(G16="Selecciona un descriptor de impacto."," ",IF(ROUNDUP(H16-R16,0)&lt;0,1,ROUNDUP(H16-R16,0)))</f>
        <v>3</v>
      </c>
      <c r="U16" s="1352" t="str">
        <f>IF(D16="Selecciona un descriptor de frecuencia."," ",VLOOKUP(S16,[4]Datos!$H$8:$I$12,2,FALSE))</f>
        <v>Rara vez</v>
      </c>
      <c r="V16" s="1352" t="str">
        <f>IF(G16="Selecciona un descriptor de impacto."," ",VLOOKUP(T16,[4]Datos!$L$8:$M$12,2,FALSE))</f>
        <v>Moderado</v>
      </c>
      <c r="W16" s="1366" t="str">
        <f>IF(S16=" "," ",VLOOKUP(S16,[4]Datos!$U$8:$Z$12,MATCH(T16,[4]Datos!$V$7:$Z$7,0)+1,FALSE))</f>
        <v>MODERADO</v>
      </c>
      <c r="X16" s="1350" t="s">
        <v>187</v>
      </c>
      <c r="Y16" s="342" t="s">
        <v>361</v>
      </c>
      <c r="Z16" s="345" t="s">
        <v>501</v>
      </c>
      <c r="AA16" s="346">
        <v>44136</v>
      </c>
      <c r="AB16" s="346">
        <v>44561</v>
      </c>
      <c r="AC16" s="345" t="s">
        <v>363</v>
      </c>
      <c r="AD16" s="356"/>
      <c r="AE16" s="357"/>
      <c r="AF16" s="357"/>
      <c r="AG16" s="357"/>
      <c r="AH16" s="357"/>
      <c r="AI16" s="358"/>
      <c r="AJ16" s="359"/>
      <c r="AK16" s="359"/>
    </row>
    <row r="17" spans="1:37" ht="114" x14ac:dyDescent="0.2">
      <c r="A17" s="1351"/>
      <c r="B17" s="1351"/>
      <c r="C17" s="1351"/>
      <c r="D17" s="1351"/>
      <c r="E17" s="1351"/>
      <c r="F17" s="1351"/>
      <c r="G17" s="1351"/>
      <c r="H17" s="1351"/>
      <c r="I17" s="1351"/>
      <c r="J17" s="1351"/>
      <c r="K17" s="343" t="s">
        <v>516</v>
      </c>
      <c r="L17" s="343" t="s">
        <v>517</v>
      </c>
      <c r="M17" s="278">
        <f>[4]Controles!T19</f>
        <v>100</v>
      </c>
      <c r="N17" s="278" t="str">
        <f>[4]Controles!AB19</f>
        <v>SI</v>
      </c>
      <c r="O17" s="344">
        <f>[4]Controles!W19</f>
        <v>0</v>
      </c>
      <c r="P17" s="344">
        <f>[4]Controles!X19</f>
        <v>1</v>
      </c>
      <c r="Q17" s="1351"/>
      <c r="R17" s="1351"/>
      <c r="S17" s="1351"/>
      <c r="T17" s="1351"/>
      <c r="U17" s="1351"/>
      <c r="V17" s="1351"/>
      <c r="W17" s="1351"/>
      <c r="X17" s="1351"/>
      <c r="Y17" s="342"/>
      <c r="Z17" s="342"/>
      <c r="AA17" s="346"/>
      <c r="AB17" s="346"/>
      <c r="AC17" s="342"/>
      <c r="AD17" s="356"/>
      <c r="AE17" s="357"/>
      <c r="AF17" s="357"/>
      <c r="AG17" s="357"/>
      <c r="AH17" s="357"/>
      <c r="AI17" s="358"/>
      <c r="AJ17" s="359"/>
      <c r="AK17" s="359"/>
    </row>
    <row r="18" spans="1:37" ht="99" customHeight="1" x14ac:dyDescent="0.2">
      <c r="A18" s="1351"/>
      <c r="B18" s="1351"/>
      <c r="C18" s="1351"/>
      <c r="D18" s="1351"/>
      <c r="E18" s="1351"/>
      <c r="F18" s="1351"/>
      <c r="G18" s="1351"/>
      <c r="H18" s="1351"/>
      <c r="I18" s="1351"/>
      <c r="J18" s="1351"/>
      <c r="K18" s="343" t="s">
        <v>522</v>
      </c>
      <c r="L18" s="343" t="s">
        <v>523</v>
      </c>
      <c r="M18" s="278">
        <f>[4]Controles!T20</f>
        <v>100</v>
      </c>
      <c r="N18" s="278" t="str">
        <f>[4]Controles!AB20</f>
        <v>No</v>
      </c>
      <c r="O18" s="344">
        <f>[4]Controles!W20</f>
        <v>1</v>
      </c>
      <c r="P18" s="344">
        <f>[4]Controles!X20</f>
        <v>0</v>
      </c>
      <c r="Q18" s="1351"/>
      <c r="R18" s="1351"/>
      <c r="S18" s="1351"/>
      <c r="T18" s="1351"/>
      <c r="U18" s="1351"/>
      <c r="V18" s="1351"/>
      <c r="W18" s="1351"/>
      <c r="X18" s="1351"/>
      <c r="Y18" s="342"/>
      <c r="Z18" s="342"/>
      <c r="AA18" s="346"/>
      <c r="AB18" s="346"/>
      <c r="AC18" s="342"/>
      <c r="AD18" s="356"/>
      <c r="AE18" s="357"/>
      <c r="AF18" s="357"/>
      <c r="AG18" s="357"/>
      <c r="AH18" s="357"/>
      <c r="AI18" s="358"/>
      <c r="AJ18" s="359"/>
      <c r="AK18" s="359"/>
    </row>
    <row r="19" spans="1:37" ht="81.75" customHeight="1" x14ac:dyDescent="0.2">
      <c r="A19" s="1343"/>
      <c r="B19" s="1343"/>
      <c r="C19" s="1343"/>
      <c r="D19" s="1343"/>
      <c r="E19" s="1343"/>
      <c r="F19" s="1343"/>
      <c r="G19" s="1343"/>
      <c r="H19" s="1343"/>
      <c r="I19" s="1343"/>
      <c r="J19" s="1343"/>
      <c r="K19" s="343" t="s">
        <v>364</v>
      </c>
      <c r="L19" s="343" t="s">
        <v>365</v>
      </c>
      <c r="M19" s="278">
        <f>[4]Controles!T21</f>
        <v>100</v>
      </c>
      <c r="N19" s="278" t="str">
        <f>[4]Controles!AB21</f>
        <v>SI</v>
      </c>
      <c r="O19" s="344">
        <f>[4]Controles!W21</f>
        <v>0</v>
      </c>
      <c r="P19" s="344">
        <f>[4]Controles!X21</f>
        <v>1</v>
      </c>
      <c r="Q19" s="1343"/>
      <c r="R19" s="1343"/>
      <c r="S19" s="1343"/>
      <c r="T19" s="1343"/>
      <c r="U19" s="1343"/>
      <c r="V19" s="1343"/>
      <c r="W19" s="1343"/>
      <c r="X19" s="1343"/>
      <c r="Y19" s="342"/>
      <c r="Z19" s="342"/>
      <c r="AA19" s="346"/>
      <c r="AB19" s="346"/>
      <c r="AC19" s="342"/>
      <c r="AD19" s="356"/>
      <c r="AE19" s="357"/>
      <c r="AF19" s="357"/>
      <c r="AG19" s="357"/>
      <c r="AH19" s="357"/>
      <c r="AI19" s="358"/>
      <c r="AJ19" s="359"/>
      <c r="AK19" s="359"/>
    </row>
    <row r="20" spans="1:37" x14ac:dyDescent="0.25">
      <c r="A20" s="333"/>
      <c r="C20" s="360"/>
      <c r="D20" s="361"/>
      <c r="E20" s="333"/>
      <c r="F20" s="333"/>
      <c r="G20" s="333"/>
      <c r="H20" s="333"/>
      <c r="K20" s="362"/>
      <c r="S20" s="333"/>
    </row>
    <row r="21" spans="1:37" ht="15.75" customHeight="1" x14ac:dyDescent="0.25">
      <c r="A21" s="333"/>
      <c r="C21" s="360"/>
      <c r="D21" s="361"/>
      <c r="E21" s="333"/>
      <c r="F21" s="333"/>
      <c r="G21" s="333"/>
      <c r="H21" s="333"/>
      <c r="K21" s="362"/>
      <c r="S21" s="333"/>
    </row>
    <row r="22" spans="1:37" ht="15.75" customHeight="1" x14ac:dyDescent="0.25">
      <c r="A22" s="333"/>
      <c r="C22" s="360"/>
      <c r="D22" s="361"/>
      <c r="E22" s="333"/>
      <c r="F22" s="333"/>
      <c r="G22" s="333"/>
      <c r="H22" s="333"/>
      <c r="K22" s="362"/>
      <c r="S22" s="333"/>
    </row>
    <row r="23" spans="1:37" ht="15.75" customHeight="1" x14ac:dyDescent="0.25">
      <c r="A23" s="333"/>
      <c r="C23" s="360"/>
      <c r="D23" s="361"/>
      <c r="E23" s="333"/>
      <c r="F23" s="333"/>
      <c r="G23" s="333"/>
      <c r="H23" s="333"/>
      <c r="K23" s="362"/>
      <c r="S23" s="333"/>
    </row>
    <row r="24" spans="1:37" ht="15.75" customHeight="1" x14ac:dyDescent="0.25">
      <c r="A24" s="333"/>
      <c r="C24" s="360"/>
      <c r="D24" s="361"/>
      <c r="E24" s="333"/>
      <c r="F24" s="333"/>
      <c r="G24" s="333"/>
      <c r="H24" s="333"/>
      <c r="K24" s="362"/>
      <c r="S24" s="333"/>
    </row>
    <row r="25" spans="1:37" ht="15.75" customHeight="1" x14ac:dyDescent="0.25">
      <c r="A25" s="333"/>
      <c r="C25" s="360"/>
      <c r="D25" s="361"/>
      <c r="E25" s="333"/>
      <c r="F25" s="333"/>
      <c r="G25" s="333"/>
      <c r="H25" s="333"/>
      <c r="K25" s="362"/>
      <c r="S25" s="333"/>
    </row>
    <row r="26" spans="1:37" ht="15.75" customHeight="1" x14ac:dyDescent="0.25">
      <c r="A26" s="333"/>
      <c r="C26" s="360"/>
      <c r="D26" s="361"/>
      <c r="E26" s="333"/>
      <c r="F26" s="333"/>
      <c r="G26" s="333"/>
      <c r="H26" s="333"/>
      <c r="K26" s="362"/>
      <c r="S26" s="333"/>
    </row>
    <row r="27" spans="1:37" ht="15.75" customHeight="1" x14ac:dyDescent="0.25">
      <c r="A27" s="333"/>
      <c r="C27" s="360"/>
      <c r="D27" s="361"/>
      <c r="E27" s="333"/>
      <c r="F27" s="333"/>
      <c r="G27" s="333"/>
      <c r="H27" s="333"/>
      <c r="K27" s="362"/>
      <c r="S27" s="333"/>
    </row>
    <row r="28" spans="1:37" ht="15.75" customHeight="1" x14ac:dyDescent="0.25">
      <c r="A28" s="333"/>
      <c r="C28" s="360"/>
      <c r="D28" s="361"/>
      <c r="E28" s="333"/>
      <c r="F28" s="333"/>
      <c r="G28" s="333"/>
      <c r="H28" s="333"/>
      <c r="K28" s="362"/>
      <c r="S28" s="333"/>
    </row>
    <row r="29" spans="1:37" ht="15.75" customHeight="1" x14ac:dyDescent="0.25">
      <c r="A29" s="333"/>
      <c r="C29" s="360"/>
      <c r="D29" s="361"/>
      <c r="E29" s="333"/>
      <c r="F29" s="333"/>
      <c r="G29" s="333"/>
      <c r="H29" s="333"/>
      <c r="K29" s="362"/>
      <c r="S29" s="333"/>
    </row>
    <row r="30" spans="1:37" ht="15.75" customHeight="1" x14ac:dyDescent="0.25">
      <c r="A30" s="333"/>
      <c r="C30" s="360"/>
      <c r="D30" s="361"/>
      <c r="E30" s="333"/>
      <c r="F30" s="333"/>
      <c r="G30" s="333"/>
      <c r="H30" s="333"/>
      <c r="K30" s="362"/>
      <c r="S30" s="333"/>
    </row>
    <row r="31" spans="1:37" ht="15.75" customHeight="1" x14ac:dyDescent="0.25">
      <c r="A31" s="333"/>
      <c r="C31" s="360"/>
      <c r="D31" s="361"/>
      <c r="E31" s="333"/>
      <c r="F31" s="333"/>
      <c r="G31" s="333"/>
      <c r="H31" s="333"/>
      <c r="K31" s="362"/>
      <c r="S31" s="333"/>
    </row>
    <row r="32" spans="1:37" ht="15.75" customHeight="1" x14ac:dyDescent="0.25">
      <c r="A32" s="333"/>
      <c r="C32" s="360"/>
      <c r="D32" s="361"/>
      <c r="E32" s="333"/>
      <c r="F32" s="333"/>
      <c r="G32" s="333"/>
      <c r="H32" s="333"/>
      <c r="K32" s="362"/>
      <c r="S32" s="333"/>
    </row>
    <row r="33" spans="1:19" ht="15.75" customHeight="1" x14ac:dyDescent="0.25">
      <c r="A33" s="333"/>
      <c r="C33" s="360"/>
      <c r="D33" s="361"/>
      <c r="E33" s="333"/>
      <c r="F33" s="333"/>
      <c r="G33" s="333"/>
      <c r="H33" s="333"/>
      <c r="K33" s="362"/>
      <c r="S33" s="333"/>
    </row>
    <row r="34" spans="1:19" ht="15.75" customHeight="1" x14ac:dyDescent="0.25">
      <c r="A34" s="333"/>
      <c r="C34" s="360"/>
      <c r="D34" s="361"/>
      <c r="E34" s="333"/>
      <c r="F34" s="333"/>
      <c r="G34" s="333"/>
      <c r="H34" s="333"/>
      <c r="K34" s="362"/>
      <c r="S34" s="333"/>
    </row>
    <row r="35" spans="1:19" ht="15.75" customHeight="1" x14ac:dyDescent="0.25">
      <c r="A35" s="333"/>
      <c r="C35" s="360"/>
      <c r="D35" s="361"/>
      <c r="E35" s="333"/>
      <c r="F35" s="333"/>
      <c r="G35" s="333"/>
      <c r="H35" s="333"/>
      <c r="K35" s="362"/>
      <c r="S35" s="333"/>
    </row>
    <row r="36" spans="1:19" ht="15.75" customHeight="1" x14ac:dyDescent="0.25">
      <c r="A36" s="333"/>
      <c r="C36" s="360"/>
      <c r="D36" s="361"/>
      <c r="E36" s="333"/>
      <c r="F36" s="333"/>
      <c r="G36" s="333"/>
      <c r="H36" s="333"/>
      <c r="K36" s="362"/>
      <c r="S36" s="333"/>
    </row>
    <row r="37" spans="1:19" ht="15.75" customHeight="1" x14ac:dyDescent="0.25">
      <c r="A37" s="333"/>
      <c r="C37" s="360"/>
      <c r="D37" s="361"/>
      <c r="E37" s="333"/>
      <c r="F37" s="333"/>
      <c r="G37" s="333"/>
      <c r="H37" s="333"/>
      <c r="K37" s="362"/>
      <c r="S37" s="333"/>
    </row>
    <row r="38" spans="1:19" ht="15.75" customHeight="1" x14ac:dyDescent="0.25">
      <c r="A38" s="333"/>
      <c r="C38" s="360"/>
      <c r="D38" s="361"/>
      <c r="E38" s="333"/>
      <c r="F38" s="333"/>
      <c r="G38" s="333"/>
      <c r="H38" s="333"/>
      <c r="K38" s="362"/>
      <c r="S38" s="333"/>
    </row>
    <row r="39" spans="1:19" ht="15.75" customHeight="1" x14ac:dyDescent="0.25">
      <c r="A39" s="333"/>
      <c r="C39" s="360"/>
      <c r="D39" s="361"/>
      <c r="E39" s="333"/>
      <c r="F39" s="333"/>
      <c r="G39" s="333"/>
      <c r="H39" s="333"/>
      <c r="K39" s="362"/>
      <c r="S39" s="333"/>
    </row>
    <row r="40" spans="1:19" ht="15.75" customHeight="1" x14ac:dyDescent="0.25">
      <c r="A40" s="333"/>
      <c r="C40" s="360"/>
      <c r="D40" s="361"/>
      <c r="E40" s="333"/>
      <c r="F40" s="333"/>
      <c r="G40" s="333"/>
      <c r="H40" s="333"/>
      <c r="K40" s="362"/>
      <c r="S40" s="333"/>
    </row>
    <row r="41" spans="1:19" ht="15.75" customHeight="1" x14ac:dyDescent="0.25">
      <c r="A41" s="333"/>
      <c r="C41" s="360"/>
      <c r="D41" s="361"/>
      <c r="E41" s="333"/>
      <c r="F41" s="333"/>
      <c r="G41" s="333"/>
      <c r="H41" s="333"/>
      <c r="K41" s="362"/>
      <c r="S41" s="333"/>
    </row>
    <row r="42" spans="1:19" ht="15.75" customHeight="1" x14ac:dyDescent="0.25">
      <c r="A42" s="333"/>
      <c r="C42" s="360"/>
      <c r="D42" s="361"/>
      <c r="E42" s="333"/>
      <c r="F42" s="333"/>
      <c r="G42" s="333"/>
      <c r="H42" s="333"/>
      <c r="K42" s="362"/>
      <c r="S42" s="333"/>
    </row>
    <row r="43" spans="1:19" ht="15.75" customHeight="1" x14ac:dyDescent="0.25">
      <c r="A43" s="333"/>
      <c r="C43" s="360"/>
      <c r="D43" s="361"/>
      <c r="E43" s="333"/>
      <c r="F43" s="333"/>
      <c r="G43" s="333"/>
      <c r="H43" s="333"/>
      <c r="K43" s="362"/>
      <c r="S43" s="333"/>
    </row>
    <row r="44" spans="1:19" ht="15.75" customHeight="1" x14ac:dyDescent="0.25">
      <c r="A44" s="333"/>
      <c r="C44" s="360"/>
      <c r="D44" s="361"/>
      <c r="E44" s="333"/>
      <c r="F44" s="333"/>
      <c r="G44" s="333"/>
      <c r="H44" s="333"/>
      <c r="K44" s="362"/>
      <c r="S44" s="333"/>
    </row>
    <row r="45" spans="1:19" ht="15.75" customHeight="1" x14ac:dyDescent="0.25">
      <c r="A45" s="333"/>
      <c r="C45" s="360"/>
      <c r="D45" s="361"/>
      <c r="E45" s="333"/>
      <c r="F45" s="333"/>
      <c r="G45" s="333"/>
      <c r="H45" s="333"/>
      <c r="K45" s="362"/>
      <c r="S45" s="333"/>
    </row>
    <row r="46" spans="1:19" ht="15.75" customHeight="1" x14ac:dyDescent="0.25">
      <c r="A46" s="333"/>
      <c r="C46" s="360"/>
      <c r="D46" s="361"/>
      <c r="E46" s="333"/>
      <c r="F46" s="333"/>
      <c r="G46" s="333"/>
      <c r="H46" s="333"/>
      <c r="K46" s="362"/>
      <c r="S46" s="333"/>
    </row>
    <row r="47" spans="1:19" ht="15.75" customHeight="1" x14ac:dyDescent="0.25">
      <c r="A47" s="333"/>
      <c r="C47" s="360"/>
      <c r="D47" s="361"/>
      <c r="E47" s="333"/>
      <c r="F47" s="333"/>
      <c r="G47" s="333"/>
      <c r="H47" s="333"/>
      <c r="K47" s="362"/>
      <c r="S47" s="333"/>
    </row>
    <row r="48" spans="1:19" ht="15.75" customHeight="1" x14ac:dyDescent="0.25">
      <c r="A48" s="333"/>
      <c r="C48" s="360"/>
      <c r="D48" s="361"/>
      <c r="E48" s="333"/>
      <c r="F48" s="333"/>
      <c r="G48" s="333"/>
      <c r="H48" s="333"/>
      <c r="K48" s="362"/>
      <c r="S48" s="333"/>
    </row>
    <row r="49" spans="1:19" ht="15.75" customHeight="1" x14ac:dyDescent="0.25">
      <c r="A49" s="333"/>
      <c r="C49" s="360"/>
      <c r="D49" s="361"/>
      <c r="E49" s="333"/>
      <c r="F49" s="333"/>
      <c r="G49" s="333"/>
      <c r="H49" s="333"/>
      <c r="K49" s="362"/>
      <c r="S49" s="333"/>
    </row>
    <row r="50" spans="1:19" ht="15.75" customHeight="1" x14ac:dyDescent="0.25">
      <c r="A50" s="333"/>
      <c r="C50" s="360"/>
      <c r="D50" s="361"/>
      <c r="E50" s="333"/>
      <c r="F50" s="333"/>
      <c r="G50" s="333"/>
      <c r="H50" s="333"/>
      <c r="K50" s="362"/>
      <c r="S50" s="333"/>
    </row>
    <row r="51" spans="1:19" ht="15.75" customHeight="1" x14ac:dyDescent="0.25">
      <c r="A51" s="333"/>
      <c r="C51" s="360"/>
      <c r="D51" s="361"/>
      <c r="E51" s="333"/>
      <c r="F51" s="333"/>
      <c r="G51" s="333"/>
      <c r="H51" s="333"/>
      <c r="K51" s="362"/>
      <c r="S51" s="333"/>
    </row>
    <row r="52" spans="1:19" ht="15.75" customHeight="1" x14ac:dyDescent="0.25">
      <c r="A52" s="333"/>
      <c r="C52" s="360"/>
      <c r="D52" s="361"/>
      <c r="E52" s="333"/>
      <c r="F52" s="333"/>
      <c r="G52" s="333"/>
      <c r="H52" s="333"/>
      <c r="K52" s="362"/>
      <c r="S52" s="333"/>
    </row>
    <row r="53" spans="1:19" ht="15.75" customHeight="1" x14ac:dyDescent="0.25">
      <c r="A53" s="333"/>
      <c r="C53" s="360"/>
      <c r="D53" s="361"/>
      <c r="E53" s="333"/>
      <c r="F53" s="333"/>
      <c r="G53" s="333"/>
      <c r="H53" s="333"/>
      <c r="K53" s="362"/>
      <c r="S53" s="333"/>
    </row>
    <row r="54" spans="1:19" ht="15.75" customHeight="1" x14ac:dyDescent="0.25">
      <c r="A54" s="333"/>
      <c r="C54" s="360"/>
      <c r="D54" s="361"/>
      <c r="E54" s="333"/>
      <c r="F54" s="333"/>
      <c r="G54" s="333"/>
      <c r="H54" s="333"/>
      <c r="K54" s="362"/>
      <c r="S54" s="333"/>
    </row>
    <row r="55" spans="1:19" ht="15.75" customHeight="1" x14ac:dyDescent="0.25">
      <c r="A55" s="333"/>
      <c r="C55" s="360"/>
      <c r="D55" s="361"/>
      <c r="E55" s="333"/>
      <c r="F55" s="333"/>
      <c r="G55" s="333"/>
      <c r="H55" s="333"/>
      <c r="K55" s="362"/>
      <c r="S55" s="333"/>
    </row>
    <row r="56" spans="1:19" ht="15.75" customHeight="1" x14ac:dyDescent="0.25">
      <c r="A56" s="333"/>
      <c r="C56" s="360"/>
      <c r="D56" s="361"/>
      <c r="E56" s="333"/>
      <c r="F56" s="333"/>
      <c r="G56" s="333"/>
      <c r="H56" s="333"/>
      <c r="K56" s="362"/>
      <c r="S56" s="333"/>
    </row>
    <row r="57" spans="1:19" ht="15.75" customHeight="1" x14ac:dyDescent="0.25">
      <c r="A57" s="333"/>
      <c r="C57" s="360"/>
      <c r="D57" s="361"/>
      <c r="E57" s="333"/>
      <c r="F57" s="333"/>
      <c r="G57" s="333"/>
      <c r="H57" s="333"/>
      <c r="K57" s="362"/>
      <c r="S57" s="333"/>
    </row>
    <row r="58" spans="1:19" ht="15.75" customHeight="1" x14ac:dyDescent="0.25">
      <c r="A58" s="333"/>
      <c r="C58" s="360"/>
      <c r="D58" s="361"/>
      <c r="E58" s="333"/>
      <c r="F58" s="333"/>
      <c r="G58" s="333"/>
      <c r="H58" s="333"/>
      <c r="K58" s="362"/>
      <c r="S58" s="333"/>
    </row>
    <row r="59" spans="1:19" ht="15.75" customHeight="1" x14ac:dyDescent="0.25">
      <c r="A59" s="333"/>
      <c r="C59" s="360"/>
      <c r="D59" s="361"/>
      <c r="E59" s="333"/>
      <c r="F59" s="333"/>
      <c r="G59" s="333"/>
      <c r="H59" s="333"/>
      <c r="K59" s="362"/>
      <c r="S59" s="333"/>
    </row>
    <row r="60" spans="1:19" ht="15.75" customHeight="1" x14ac:dyDescent="0.25">
      <c r="A60" s="333"/>
      <c r="C60" s="360"/>
      <c r="D60" s="361"/>
      <c r="E60" s="333"/>
      <c r="F60" s="333"/>
      <c r="G60" s="333"/>
      <c r="H60" s="333"/>
      <c r="K60" s="362"/>
      <c r="S60" s="333"/>
    </row>
    <row r="61" spans="1:19" ht="15.75" customHeight="1" x14ac:dyDescent="0.25">
      <c r="A61" s="333"/>
      <c r="C61" s="360"/>
      <c r="D61" s="361"/>
      <c r="E61" s="333"/>
      <c r="F61" s="333"/>
      <c r="G61" s="333"/>
      <c r="H61" s="333"/>
      <c r="K61" s="362"/>
      <c r="S61" s="333"/>
    </row>
    <row r="62" spans="1:19" ht="15.75" customHeight="1" x14ac:dyDescent="0.25">
      <c r="A62" s="333"/>
      <c r="C62" s="360"/>
      <c r="D62" s="361"/>
      <c r="E62" s="333"/>
      <c r="F62" s="333"/>
      <c r="G62" s="333"/>
      <c r="H62" s="333"/>
      <c r="K62" s="362"/>
      <c r="S62" s="333"/>
    </row>
    <row r="63" spans="1:19" ht="15.75" customHeight="1" x14ac:dyDescent="0.25">
      <c r="A63" s="333"/>
      <c r="C63" s="360"/>
      <c r="D63" s="361"/>
      <c r="E63" s="333"/>
      <c r="F63" s="333"/>
      <c r="G63" s="333"/>
      <c r="H63" s="333"/>
      <c r="K63" s="362"/>
      <c r="S63" s="333"/>
    </row>
    <row r="64" spans="1:19" ht="15.75" customHeight="1" x14ac:dyDescent="0.25">
      <c r="A64" s="333"/>
      <c r="C64" s="360"/>
      <c r="D64" s="361"/>
      <c r="E64" s="333"/>
      <c r="F64" s="333"/>
      <c r="G64" s="333"/>
      <c r="H64" s="333"/>
      <c r="K64" s="362"/>
      <c r="S64" s="333"/>
    </row>
    <row r="65" spans="1:19" ht="15.75" customHeight="1" x14ac:dyDescent="0.25">
      <c r="A65" s="333"/>
      <c r="C65" s="360"/>
      <c r="D65" s="361"/>
      <c r="E65" s="333"/>
      <c r="F65" s="333"/>
      <c r="G65" s="333"/>
      <c r="H65" s="333"/>
      <c r="K65" s="362"/>
      <c r="S65" s="333"/>
    </row>
    <row r="66" spans="1:19" ht="15.75" customHeight="1" x14ac:dyDescent="0.25">
      <c r="A66" s="333"/>
      <c r="C66" s="360"/>
      <c r="D66" s="361"/>
      <c r="E66" s="333"/>
      <c r="F66" s="333"/>
      <c r="G66" s="333"/>
      <c r="H66" s="333"/>
      <c r="K66" s="362"/>
      <c r="S66" s="333"/>
    </row>
    <row r="67" spans="1:19" ht="15.75" customHeight="1" x14ac:dyDescent="0.25">
      <c r="A67" s="333"/>
      <c r="C67" s="360"/>
      <c r="D67" s="361"/>
      <c r="E67" s="333"/>
      <c r="F67" s="333"/>
      <c r="G67" s="333"/>
      <c r="H67" s="333"/>
      <c r="K67" s="362"/>
      <c r="S67" s="333"/>
    </row>
    <row r="68" spans="1:19" ht="15.75" customHeight="1" x14ac:dyDescent="0.25">
      <c r="A68" s="333"/>
      <c r="C68" s="360"/>
      <c r="D68" s="361"/>
      <c r="E68" s="333"/>
      <c r="F68" s="333"/>
      <c r="G68" s="333"/>
      <c r="H68" s="333"/>
      <c r="K68" s="362"/>
      <c r="S68" s="333"/>
    </row>
    <row r="69" spans="1:19" ht="15.75" customHeight="1" x14ac:dyDescent="0.25">
      <c r="A69" s="333"/>
      <c r="C69" s="360"/>
      <c r="D69" s="361"/>
      <c r="E69" s="333"/>
      <c r="F69" s="333"/>
      <c r="G69" s="333"/>
      <c r="H69" s="333"/>
      <c r="K69" s="362"/>
      <c r="S69" s="333"/>
    </row>
    <row r="70" spans="1:19" ht="15.75" customHeight="1" x14ac:dyDescent="0.25">
      <c r="A70" s="333"/>
      <c r="C70" s="360"/>
      <c r="D70" s="361"/>
      <c r="E70" s="333"/>
      <c r="F70" s="333"/>
      <c r="G70" s="333"/>
      <c r="H70" s="333"/>
      <c r="K70" s="362"/>
      <c r="S70" s="333"/>
    </row>
    <row r="71" spans="1:19" ht="15.75" customHeight="1" x14ac:dyDescent="0.25">
      <c r="A71" s="333"/>
      <c r="C71" s="360"/>
      <c r="D71" s="361"/>
      <c r="E71" s="333"/>
      <c r="F71" s="333"/>
      <c r="G71" s="333"/>
      <c r="H71" s="333"/>
      <c r="K71" s="362"/>
      <c r="S71" s="333"/>
    </row>
    <row r="72" spans="1:19" ht="15.75" customHeight="1" x14ac:dyDescent="0.25">
      <c r="A72" s="333"/>
      <c r="C72" s="360"/>
      <c r="D72" s="361"/>
      <c r="E72" s="333"/>
      <c r="F72" s="333"/>
      <c r="G72" s="333"/>
      <c r="H72" s="333"/>
      <c r="K72" s="362"/>
      <c r="S72" s="333"/>
    </row>
    <row r="73" spans="1:19" ht="15.75" customHeight="1" x14ac:dyDescent="0.25">
      <c r="A73" s="333"/>
      <c r="C73" s="360"/>
      <c r="D73" s="361"/>
      <c r="E73" s="333"/>
      <c r="F73" s="333"/>
      <c r="G73" s="333"/>
      <c r="H73" s="333"/>
      <c r="K73" s="362"/>
      <c r="S73" s="333"/>
    </row>
    <row r="74" spans="1:19" ht="15.75" customHeight="1" x14ac:dyDescent="0.25">
      <c r="A74" s="333"/>
      <c r="C74" s="360"/>
      <c r="D74" s="361"/>
      <c r="E74" s="333"/>
      <c r="F74" s="333"/>
      <c r="G74" s="333"/>
      <c r="H74" s="333"/>
      <c r="K74" s="362"/>
      <c r="S74" s="333"/>
    </row>
    <row r="75" spans="1:19" ht="15.75" customHeight="1" x14ac:dyDescent="0.25">
      <c r="A75" s="333"/>
      <c r="C75" s="360"/>
      <c r="D75" s="361"/>
      <c r="E75" s="333"/>
      <c r="F75" s="333"/>
      <c r="G75" s="333"/>
      <c r="H75" s="333"/>
      <c r="K75" s="362"/>
      <c r="S75" s="333"/>
    </row>
    <row r="76" spans="1:19" ht="15.75" customHeight="1" x14ac:dyDescent="0.25">
      <c r="A76" s="333"/>
      <c r="C76" s="360"/>
      <c r="D76" s="361"/>
      <c r="E76" s="333"/>
      <c r="F76" s="333"/>
      <c r="G76" s="333"/>
      <c r="H76" s="333"/>
      <c r="K76" s="362"/>
      <c r="S76" s="333"/>
    </row>
    <row r="77" spans="1:19" ht="15.75" customHeight="1" x14ac:dyDescent="0.25">
      <c r="A77" s="333"/>
      <c r="C77" s="360"/>
      <c r="D77" s="361"/>
      <c r="E77" s="333"/>
      <c r="F77" s="333"/>
      <c r="G77" s="333"/>
      <c r="H77" s="333"/>
      <c r="K77" s="362"/>
      <c r="S77" s="333"/>
    </row>
    <row r="78" spans="1:19" ht="15.75" customHeight="1" x14ac:dyDescent="0.25">
      <c r="A78" s="333"/>
      <c r="C78" s="360"/>
      <c r="D78" s="361"/>
      <c r="E78" s="333"/>
      <c r="F78" s="333"/>
      <c r="G78" s="333"/>
      <c r="H78" s="333"/>
      <c r="K78" s="362"/>
      <c r="S78" s="333"/>
    </row>
    <row r="79" spans="1:19" ht="15.75" customHeight="1" x14ac:dyDescent="0.25">
      <c r="A79" s="333"/>
      <c r="C79" s="360"/>
      <c r="D79" s="361"/>
      <c r="E79" s="333"/>
      <c r="F79" s="333"/>
      <c r="G79" s="333"/>
      <c r="H79" s="333"/>
      <c r="K79" s="362"/>
      <c r="S79" s="333"/>
    </row>
    <row r="80" spans="1:19" ht="15.75" customHeight="1" x14ac:dyDescent="0.25">
      <c r="A80" s="333"/>
      <c r="C80" s="360"/>
      <c r="D80" s="361"/>
      <c r="E80" s="333"/>
      <c r="F80" s="333"/>
      <c r="G80" s="333"/>
      <c r="H80" s="333"/>
      <c r="K80" s="362"/>
      <c r="S80" s="333"/>
    </row>
    <row r="81" spans="1:19" ht="15.75" customHeight="1" x14ac:dyDescent="0.25">
      <c r="A81" s="333"/>
      <c r="C81" s="360"/>
      <c r="D81" s="361"/>
      <c r="E81" s="333"/>
      <c r="F81" s="333"/>
      <c r="G81" s="333"/>
      <c r="H81" s="333"/>
      <c r="K81" s="362"/>
      <c r="S81" s="333"/>
    </row>
    <row r="82" spans="1:19" ht="15.75" customHeight="1" x14ac:dyDescent="0.25">
      <c r="A82" s="333"/>
      <c r="C82" s="360"/>
      <c r="D82" s="361"/>
      <c r="E82" s="333"/>
      <c r="F82" s="333"/>
      <c r="G82" s="333"/>
      <c r="H82" s="333"/>
      <c r="K82" s="362"/>
      <c r="S82" s="333"/>
    </row>
    <row r="83" spans="1:19" ht="15.75" customHeight="1" x14ac:dyDescent="0.25">
      <c r="A83" s="333"/>
      <c r="C83" s="360"/>
      <c r="D83" s="361"/>
      <c r="E83" s="333"/>
      <c r="F83" s="333"/>
      <c r="G83" s="333"/>
      <c r="H83" s="333"/>
      <c r="K83" s="362"/>
      <c r="S83" s="333"/>
    </row>
    <row r="84" spans="1:19" ht="15.75" customHeight="1" x14ac:dyDescent="0.25">
      <c r="A84" s="333"/>
      <c r="C84" s="360"/>
      <c r="D84" s="361"/>
      <c r="E84" s="333"/>
      <c r="F84" s="333"/>
      <c r="G84" s="333"/>
      <c r="H84" s="333"/>
      <c r="K84" s="362"/>
      <c r="S84" s="333"/>
    </row>
    <row r="85" spans="1:19" ht="15.75" customHeight="1" x14ac:dyDescent="0.25">
      <c r="A85" s="333"/>
      <c r="C85" s="360"/>
      <c r="D85" s="361"/>
      <c r="E85" s="333"/>
      <c r="F85" s="333"/>
      <c r="G85" s="333"/>
      <c r="H85" s="333"/>
      <c r="K85" s="362"/>
      <c r="S85" s="333"/>
    </row>
    <row r="86" spans="1:19" ht="15.75" customHeight="1" x14ac:dyDescent="0.25">
      <c r="A86" s="333"/>
      <c r="C86" s="360"/>
      <c r="D86" s="361"/>
      <c r="E86" s="333"/>
      <c r="F86" s="333"/>
      <c r="G86" s="333"/>
      <c r="H86" s="333"/>
      <c r="K86" s="362"/>
      <c r="S86" s="333"/>
    </row>
    <row r="87" spans="1:19" ht="15.75" customHeight="1" x14ac:dyDescent="0.25">
      <c r="A87" s="333"/>
      <c r="C87" s="360"/>
      <c r="D87" s="361"/>
      <c r="E87" s="333"/>
      <c r="F87" s="333"/>
      <c r="G87" s="333"/>
      <c r="H87" s="333"/>
      <c r="K87" s="362"/>
      <c r="S87" s="333"/>
    </row>
    <row r="88" spans="1:19" ht="15.75" customHeight="1" x14ac:dyDescent="0.25">
      <c r="A88" s="333"/>
      <c r="C88" s="360"/>
      <c r="D88" s="361"/>
      <c r="E88" s="333"/>
      <c r="F88" s="333"/>
      <c r="G88" s="333"/>
      <c r="H88" s="333"/>
      <c r="K88" s="362"/>
      <c r="S88" s="333"/>
    </row>
    <row r="89" spans="1:19" ht="15.75" customHeight="1" x14ac:dyDescent="0.25">
      <c r="A89" s="333"/>
      <c r="C89" s="360"/>
      <c r="D89" s="361"/>
      <c r="E89" s="333"/>
      <c r="F89" s="333"/>
      <c r="G89" s="333"/>
      <c r="H89" s="333"/>
      <c r="K89" s="362"/>
      <c r="S89" s="333"/>
    </row>
    <row r="90" spans="1:19" ht="15.75" customHeight="1" x14ac:dyDescent="0.25">
      <c r="A90" s="333"/>
      <c r="C90" s="360"/>
      <c r="D90" s="361"/>
      <c r="E90" s="333"/>
      <c r="F90" s="333"/>
      <c r="G90" s="333"/>
      <c r="H90" s="333"/>
      <c r="K90" s="362"/>
      <c r="S90" s="333"/>
    </row>
    <row r="91" spans="1:19" ht="15.75" customHeight="1" x14ac:dyDescent="0.25">
      <c r="A91" s="333"/>
      <c r="C91" s="360"/>
      <c r="D91" s="361"/>
      <c r="E91" s="333"/>
      <c r="F91" s="333"/>
      <c r="G91" s="333"/>
      <c r="H91" s="333"/>
      <c r="K91" s="362"/>
      <c r="S91" s="333"/>
    </row>
    <row r="92" spans="1:19" ht="15.75" customHeight="1" x14ac:dyDescent="0.25">
      <c r="A92" s="333"/>
      <c r="C92" s="360"/>
      <c r="D92" s="361"/>
      <c r="E92" s="333"/>
      <c r="F92" s="333"/>
      <c r="G92" s="333"/>
      <c r="H92" s="333"/>
      <c r="K92" s="362"/>
      <c r="S92" s="333"/>
    </row>
    <row r="93" spans="1:19" ht="15.75" customHeight="1" x14ac:dyDescent="0.25">
      <c r="A93" s="333"/>
      <c r="C93" s="360"/>
      <c r="D93" s="361"/>
      <c r="E93" s="333"/>
      <c r="F93" s="333"/>
      <c r="G93" s="333"/>
      <c r="H93" s="333"/>
      <c r="K93" s="362"/>
      <c r="S93" s="333"/>
    </row>
    <row r="94" spans="1:19" ht="15.75" customHeight="1" x14ac:dyDescent="0.25">
      <c r="A94" s="333"/>
      <c r="C94" s="360"/>
      <c r="D94" s="361"/>
      <c r="E94" s="333"/>
      <c r="F94" s="333"/>
      <c r="G94" s="333"/>
      <c r="H94" s="333"/>
      <c r="K94" s="362"/>
      <c r="S94" s="333"/>
    </row>
    <row r="95" spans="1:19" ht="15.75" customHeight="1" x14ac:dyDescent="0.25">
      <c r="A95" s="333"/>
      <c r="C95" s="360"/>
      <c r="D95" s="361"/>
      <c r="E95" s="333"/>
      <c r="F95" s="333"/>
      <c r="G95" s="333"/>
      <c r="H95" s="333"/>
      <c r="K95" s="362"/>
      <c r="S95" s="333"/>
    </row>
    <row r="96" spans="1:19" ht="15.75" customHeight="1" x14ac:dyDescent="0.25">
      <c r="A96" s="333"/>
      <c r="C96" s="360"/>
      <c r="D96" s="361"/>
      <c r="E96" s="333"/>
      <c r="F96" s="333"/>
      <c r="G96" s="333"/>
      <c r="H96" s="333"/>
      <c r="K96" s="362"/>
      <c r="S96" s="333"/>
    </row>
    <row r="97" spans="1:19" ht="15.75" customHeight="1" x14ac:dyDescent="0.25">
      <c r="A97" s="333"/>
      <c r="C97" s="360"/>
      <c r="D97" s="361"/>
      <c r="E97" s="333"/>
      <c r="F97" s="333"/>
      <c r="G97" s="333"/>
      <c r="H97" s="333"/>
      <c r="K97" s="362"/>
      <c r="S97" s="333"/>
    </row>
    <row r="98" spans="1:19" ht="15.75" customHeight="1" x14ac:dyDescent="0.25">
      <c r="A98" s="333"/>
      <c r="C98" s="360"/>
      <c r="D98" s="361"/>
      <c r="E98" s="333"/>
      <c r="F98" s="333"/>
      <c r="G98" s="333"/>
      <c r="H98" s="333"/>
      <c r="K98" s="362"/>
      <c r="S98" s="333"/>
    </row>
    <row r="99" spans="1:19" ht="15.75" customHeight="1" x14ac:dyDescent="0.25">
      <c r="A99" s="333"/>
      <c r="C99" s="360"/>
      <c r="D99" s="361"/>
      <c r="E99" s="333"/>
      <c r="F99" s="333"/>
      <c r="G99" s="333"/>
      <c r="H99" s="333"/>
      <c r="K99" s="362"/>
      <c r="S99" s="333"/>
    </row>
    <row r="100" spans="1:19" ht="15.75" customHeight="1" x14ac:dyDescent="0.25">
      <c r="A100" s="333"/>
      <c r="C100" s="360"/>
      <c r="D100" s="361"/>
      <c r="E100" s="333"/>
      <c r="F100" s="333"/>
      <c r="G100" s="333"/>
      <c r="H100" s="333"/>
      <c r="K100" s="362"/>
      <c r="S100" s="333"/>
    </row>
    <row r="101" spans="1:19" ht="15.75" customHeight="1" x14ac:dyDescent="0.25">
      <c r="A101" s="333"/>
      <c r="C101" s="360"/>
      <c r="D101" s="361"/>
      <c r="E101" s="333"/>
      <c r="F101" s="333"/>
      <c r="G101" s="333"/>
      <c r="H101" s="333"/>
      <c r="K101" s="362"/>
      <c r="S101" s="333"/>
    </row>
    <row r="102" spans="1:19" ht="15.75" customHeight="1" x14ac:dyDescent="0.25">
      <c r="A102" s="333"/>
      <c r="C102" s="360"/>
      <c r="D102" s="361"/>
      <c r="E102" s="333"/>
      <c r="F102" s="333"/>
      <c r="G102" s="333"/>
      <c r="H102" s="333"/>
      <c r="K102" s="362"/>
      <c r="S102" s="333"/>
    </row>
    <row r="103" spans="1:19" ht="15.75" customHeight="1" x14ac:dyDescent="0.25">
      <c r="A103" s="333"/>
      <c r="C103" s="360"/>
      <c r="D103" s="361"/>
      <c r="E103" s="333"/>
      <c r="F103" s="333"/>
      <c r="G103" s="333"/>
      <c r="H103" s="333"/>
      <c r="K103" s="362"/>
      <c r="S103" s="333"/>
    </row>
    <row r="104" spans="1:19" ht="15.75" customHeight="1" x14ac:dyDescent="0.25">
      <c r="A104" s="333"/>
      <c r="C104" s="360"/>
      <c r="D104" s="361"/>
      <c r="E104" s="333"/>
      <c r="F104" s="333"/>
      <c r="G104" s="333"/>
      <c r="H104" s="333"/>
      <c r="K104" s="362"/>
      <c r="S104" s="333"/>
    </row>
    <row r="105" spans="1:19" ht="15.75" customHeight="1" x14ac:dyDescent="0.25">
      <c r="A105" s="333"/>
      <c r="C105" s="360"/>
      <c r="D105" s="361"/>
      <c r="E105" s="333"/>
      <c r="F105" s="333"/>
      <c r="G105" s="333"/>
      <c r="H105" s="333"/>
      <c r="K105" s="362"/>
      <c r="S105" s="333"/>
    </row>
    <row r="106" spans="1:19" ht="15.75" customHeight="1" x14ac:dyDescent="0.25">
      <c r="A106" s="333"/>
      <c r="C106" s="360"/>
      <c r="D106" s="361"/>
      <c r="E106" s="333"/>
      <c r="F106" s="333"/>
      <c r="G106" s="333"/>
      <c r="H106" s="333"/>
      <c r="K106" s="362"/>
      <c r="S106" s="333"/>
    </row>
    <row r="107" spans="1:19" ht="15.75" customHeight="1" x14ac:dyDescent="0.25">
      <c r="A107" s="333"/>
      <c r="C107" s="360"/>
      <c r="D107" s="361"/>
      <c r="E107" s="333"/>
      <c r="F107" s="333"/>
      <c r="G107" s="333"/>
      <c r="H107" s="333"/>
      <c r="K107" s="362"/>
      <c r="S107" s="333"/>
    </row>
    <row r="108" spans="1:19" ht="15.75" customHeight="1" x14ac:dyDescent="0.25">
      <c r="A108" s="333"/>
      <c r="C108" s="360"/>
      <c r="D108" s="361"/>
      <c r="E108" s="333"/>
      <c r="F108" s="333"/>
      <c r="G108" s="333"/>
      <c r="H108" s="333"/>
      <c r="K108" s="362"/>
      <c r="S108" s="333"/>
    </row>
    <row r="109" spans="1:19" ht="15.75" customHeight="1" x14ac:dyDescent="0.25">
      <c r="A109" s="333"/>
      <c r="C109" s="360"/>
      <c r="D109" s="361"/>
      <c r="E109" s="333"/>
      <c r="F109" s="333"/>
      <c r="G109" s="333"/>
      <c r="H109" s="333"/>
      <c r="K109" s="362"/>
      <c r="S109" s="333"/>
    </row>
    <row r="110" spans="1:19" ht="15.75" customHeight="1" x14ac:dyDescent="0.25">
      <c r="A110" s="333"/>
      <c r="C110" s="360"/>
      <c r="D110" s="361"/>
      <c r="E110" s="333"/>
      <c r="F110" s="333"/>
      <c r="G110" s="333"/>
      <c r="H110" s="333"/>
      <c r="K110" s="362"/>
      <c r="S110" s="333"/>
    </row>
    <row r="111" spans="1:19" ht="15.75" customHeight="1" x14ac:dyDescent="0.25">
      <c r="A111" s="333"/>
      <c r="C111" s="360"/>
      <c r="D111" s="361"/>
      <c r="E111" s="333"/>
      <c r="F111" s="333"/>
      <c r="G111" s="333"/>
      <c r="H111" s="333"/>
      <c r="K111" s="362"/>
      <c r="S111" s="333"/>
    </row>
    <row r="112" spans="1:19" ht="15.75" customHeight="1" x14ac:dyDescent="0.25">
      <c r="A112" s="333"/>
      <c r="C112" s="360"/>
      <c r="D112" s="361"/>
      <c r="E112" s="333"/>
      <c r="F112" s="333"/>
      <c r="G112" s="333"/>
      <c r="H112" s="333"/>
      <c r="K112" s="362"/>
      <c r="S112" s="333"/>
    </row>
    <row r="113" spans="1:19" ht="15.75" customHeight="1" x14ac:dyDescent="0.25">
      <c r="A113" s="333"/>
      <c r="C113" s="360"/>
      <c r="D113" s="361"/>
      <c r="E113" s="333"/>
      <c r="F113" s="333"/>
      <c r="G113" s="333"/>
      <c r="H113" s="333"/>
      <c r="K113" s="362"/>
      <c r="S113" s="333"/>
    </row>
    <row r="114" spans="1:19" ht="15.75" customHeight="1" x14ac:dyDescent="0.25">
      <c r="A114" s="333"/>
      <c r="C114" s="360"/>
      <c r="D114" s="361"/>
      <c r="E114" s="333"/>
      <c r="F114" s="333"/>
      <c r="G114" s="333"/>
      <c r="H114" s="333"/>
      <c r="K114" s="362"/>
      <c r="S114" s="333"/>
    </row>
    <row r="115" spans="1:19" ht="15.75" customHeight="1" x14ac:dyDescent="0.25">
      <c r="A115" s="333"/>
      <c r="C115" s="360"/>
      <c r="D115" s="361"/>
      <c r="E115" s="333"/>
      <c r="F115" s="333"/>
      <c r="G115" s="333"/>
      <c r="H115" s="333"/>
      <c r="K115" s="362"/>
      <c r="S115" s="333"/>
    </row>
    <row r="116" spans="1:19" ht="15.75" customHeight="1" x14ac:dyDescent="0.25">
      <c r="A116" s="333"/>
      <c r="C116" s="360"/>
      <c r="D116" s="361"/>
      <c r="E116" s="333"/>
      <c r="F116" s="333"/>
      <c r="G116" s="333"/>
      <c r="H116" s="333"/>
      <c r="K116" s="362"/>
      <c r="S116" s="333"/>
    </row>
    <row r="117" spans="1:19" ht="15.75" customHeight="1" x14ac:dyDescent="0.25">
      <c r="A117" s="333"/>
      <c r="C117" s="360"/>
      <c r="D117" s="361"/>
      <c r="E117" s="333"/>
      <c r="F117" s="333"/>
      <c r="G117" s="333"/>
      <c r="H117" s="333"/>
      <c r="K117" s="362"/>
      <c r="S117" s="333"/>
    </row>
    <row r="118" spans="1:19" ht="15.75" customHeight="1" x14ac:dyDescent="0.25">
      <c r="A118" s="333"/>
      <c r="C118" s="360"/>
      <c r="D118" s="361"/>
      <c r="E118" s="333"/>
      <c r="F118" s="333"/>
      <c r="G118" s="333"/>
      <c r="H118" s="333"/>
      <c r="K118" s="362"/>
      <c r="S118" s="333"/>
    </row>
    <row r="119" spans="1:19" ht="15.75" customHeight="1" x14ac:dyDescent="0.25">
      <c r="A119" s="333"/>
      <c r="C119" s="360"/>
      <c r="D119" s="361"/>
      <c r="E119" s="333"/>
      <c r="F119" s="333"/>
      <c r="G119" s="333"/>
      <c r="H119" s="333"/>
      <c r="K119" s="362"/>
      <c r="S119" s="333"/>
    </row>
    <row r="120" spans="1:19" ht="15.75" customHeight="1" x14ac:dyDescent="0.25">
      <c r="A120" s="333"/>
      <c r="C120" s="360"/>
      <c r="D120" s="361"/>
      <c r="E120" s="333"/>
      <c r="F120" s="333"/>
      <c r="G120" s="333"/>
      <c r="H120" s="333"/>
      <c r="K120" s="362"/>
      <c r="S120" s="333"/>
    </row>
    <row r="121" spans="1:19" ht="15.75" customHeight="1" x14ac:dyDescent="0.25">
      <c r="A121" s="333"/>
      <c r="C121" s="360"/>
      <c r="D121" s="361"/>
      <c r="E121" s="333"/>
      <c r="F121" s="333"/>
      <c r="G121" s="333"/>
      <c r="H121" s="333"/>
      <c r="K121" s="362"/>
      <c r="S121" s="333"/>
    </row>
    <row r="122" spans="1:19" ht="15.75" customHeight="1" x14ac:dyDescent="0.25">
      <c r="A122" s="333"/>
      <c r="C122" s="360"/>
      <c r="D122" s="361"/>
      <c r="E122" s="333"/>
      <c r="F122" s="333"/>
      <c r="G122" s="333"/>
      <c r="H122" s="333"/>
      <c r="K122" s="362"/>
      <c r="S122" s="333"/>
    </row>
    <row r="123" spans="1:19" ht="15.75" customHeight="1" x14ac:dyDescent="0.25">
      <c r="A123" s="333"/>
      <c r="C123" s="360"/>
      <c r="D123" s="361"/>
      <c r="E123" s="333"/>
      <c r="F123" s="333"/>
      <c r="G123" s="333"/>
      <c r="H123" s="333"/>
      <c r="K123" s="362"/>
      <c r="S123" s="333"/>
    </row>
    <row r="124" spans="1:19" ht="15.75" customHeight="1" x14ac:dyDescent="0.25">
      <c r="A124" s="333"/>
      <c r="C124" s="360"/>
      <c r="D124" s="361"/>
      <c r="E124" s="333"/>
      <c r="F124" s="333"/>
      <c r="G124" s="333"/>
      <c r="H124" s="333"/>
      <c r="K124" s="362"/>
      <c r="S124" s="333"/>
    </row>
    <row r="125" spans="1:19" ht="15.75" customHeight="1" x14ac:dyDescent="0.25">
      <c r="A125" s="333"/>
      <c r="C125" s="360"/>
      <c r="D125" s="361"/>
      <c r="E125" s="333"/>
      <c r="F125" s="333"/>
      <c r="G125" s="333"/>
      <c r="H125" s="333"/>
      <c r="K125" s="362"/>
      <c r="S125" s="333"/>
    </row>
    <row r="126" spans="1:19" ht="15.75" customHeight="1" x14ac:dyDescent="0.25">
      <c r="A126" s="333"/>
      <c r="C126" s="360"/>
      <c r="D126" s="361"/>
      <c r="E126" s="333"/>
      <c r="F126" s="333"/>
      <c r="G126" s="333"/>
      <c r="H126" s="333"/>
      <c r="K126" s="362"/>
      <c r="S126" s="333"/>
    </row>
    <row r="127" spans="1:19" ht="15.75" customHeight="1" x14ac:dyDescent="0.25">
      <c r="A127" s="333"/>
      <c r="C127" s="360"/>
      <c r="D127" s="361"/>
      <c r="E127" s="333"/>
      <c r="F127" s="333"/>
      <c r="G127" s="333"/>
      <c r="H127" s="333"/>
      <c r="K127" s="362"/>
      <c r="S127" s="333"/>
    </row>
    <row r="128" spans="1:19" ht="15.75" customHeight="1" x14ac:dyDescent="0.25">
      <c r="A128" s="333"/>
      <c r="C128" s="360"/>
      <c r="D128" s="361"/>
      <c r="E128" s="333"/>
      <c r="F128" s="333"/>
      <c r="G128" s="333"/>
      <c r="H128" s="333"/>
      <c r="K128" s="362"/>
      <c r="S128" s="333"/>
    </row>
    <row r="129" spans="1:19" ht="15.75" customHeight="1" x14ac:dyDescent="0.25">
      <c r="A129" s="333"/>
      <c r="C129" s="360"/>
      <c r="D129" s="361"/>
      <c r="E129" s="333"/>
      <c r="F129" s="333"/>
      <c r="G129" s="333"/>
      <c r="H129" s="333"/>
      <c r="K129" s="362"/>
      <c r="S129" s="333"/>
    </row>
    <row r="130" spans="1:19" ht="15.75" customHeight="1" x14ac:dyDescent="0.25">
      <c r="A130" s="333"/>
      <c r="C130" s="360"/>
      <c r="D130" s="361"/>
      <c r="E130" s="333"/>
      <c r="F130" s="333"/>
      <c r="G130" s="333"/>
      <c r="H130" s="333"/>
      <c r="K130" s="362"/>
      <c r="S130" s="333"/>
    </row>
    <row r="131" spans="1:19" ht="15.75" customHeight="1" x14ac:dyDescent="0.25">
      <c r="A131" s="333"/>
      <c r="C131" s="360"/>
      <c r="D131" s="361"/>
      <c r="E131" s="333"/>
      <c r="F131" s="333"/>
      <c r="G131" s="333"/>
      <c r="H131" s="333"/>
      <c r="K131" s="362"/>
      <c r="S131" s="333"/>
    </row>
    <row r="132" spans="1:19" ht="15.75" customHeight="1" x14ac:dyDescent="0.25">
      <c r="A132" s="333"/>
      <c r="C132" s="360"/>
      <c r="D132" s="361"/>
      <c r="E132" s="333"/>
      <c r="F132" s="333"/>
      <c r="G132" s="333"/>
      <c r="H132" s="333"/>
      <c r="K132" s="362"/>
      <c r="S132" s="333"/>
    </row>
    <row r="133" spans="1:19" ht="15.75" customHeight="1" x14ac:dyDescent="0.25">
      <c r="A133" s="333"/>
      <c r="C133" s="360"/>
      <c r="D133" s="361"/>
      <c r="E133" s="333"/>
      <c r="F133" s="333"/>
      <c r="G133" s="333"/>
      <c r="H133" s="333"/>
      <c r="K133" s="362"/>
      <c r="S133" s="333"/>
    </row>
    <row r="134" spans="1:19" ht="15.75" customHeight="1" x14ac:dyDescent="0.25">
      <c r="A134" s="333"/>
      <c r="C134" s="360"/>
      <c r="D134" s="361"/>
      <c r="E134" s="333"/>
      <c r="F134" s="333"/>
      <c r="G134" s="333"/>
      <c r="H134" s="333"/>
      <c r="K134" s="362"/>
      <c r="S134" s="333"/>
    </row>
    <row r="135" spans="1:19" ht="15.75" customHeight="1" x14ac:dyDescent="0.25">
      <c r="A135" s="333"/>
      <c r="C135" s="360"/>
      <c r="D135" s="361"/>
      <c r="E135" s="333"/>
      <c r="F135" s="333"/>
      <c r="G135" s="333"/>
      <c r="H135" s="333"/>
      <c r="K135" s="362"/>
      <c r="S135" s="333"/>
    </row>
    <row r="136" spans="1:19" ht="15.75" customHeight="1" x14ac:dyDescent="0.25">
      <c r="A136" s="333"/>
      <c r="C136" s="360"/>
      <c r="D136" s="361"/>
      <c r="E136" s="333"/>
      <c r="F136" s="333"/>
      <c r="G136" s="333"/>
      <c r="H136" s="333"/>
      <c r="K136" s="362"/>
      <c r="S136" s="333"/>
    </row>
    <row r="137" spans="1:19" ht="15.75" customHeight="1" x14ac:dyDescent="0.25">
      <c r="A137" s="333"/>
      <c r="C137" s="360"/>
      <c r="D137" s="361"/>
      <c r="E137" s="333"/>
      <c r="F137" s="333"/>
      <c r="G137" s="333"/>
      <c r="H137" s="333"/>
      <c r="K137" s="362"/>
      <c r="S137" s="333"/>
    </row>
    <row r="138" spans="1:19" ht="15.75" customHeight="1" x14ac:dyDescent="0.25">
      <c r="A138" s="333"/>
      <c r="C138" s="360"/>
      <c r="D138" s="361"/>
      <c r="E138" s="333"/>
      <c r="F138" s="333"/>
      <c r="G138" s="333"/>
      <c r="H138" s="333"/>
      <c r="K138" s="362"/>
      <c r="S138" s="333"/>
    </row>
    <row r="139" spans="1:19" ht="15.75" customHeight="1" x14ac:dyDescent="0.25">
      <c r="A139" s="333"/>
      <c r="C139" s="360"/>
      <c r="D139" s="361"/>
      <c r="E139" s="333"/>
      <c r="F139" s="333"/>
      <c r="G139" s="333"/>
      <c r="H139" s="333"/>
      <c r="K139" s="362"/>
      <c r="S139" s="333"/>
    </row>
    <row r="140" spans="1:19" ht="15.75" customHeight="1" x14ac:dyDescent="0.25">
      <c r="A140" s="333"/>
      <c r="C140" s="360"/>
      <c r="D140" s="361"/>
      <c r="E140" s="333"/>
      <c r="F140" s="333"/>
      <c r="G140" s="333"/>
      <c r="H140" s="333"/>
      <c r="K140" s="362"/>
      <c r="S140" s="333"/>
    </row>
    <row r="141" spans="1:19" ht="15.75" customHeight="1" x14ac:dyDescent="0.25">
      <c r="A141" s="333"/>
      <c r="C141" s="360"/>
      <c r="D141" s="361"/>
      <c r="E141" s="333"/>
      <c r="F141" s="333"/>
      <c r="G141" s="333"/>
      <c r="H141" s="333"/>
      <c r="K141" s="362"/>
      <c r="S141" s="333"/>
    </row>
    <row r="142" spans="1:19" ht="15.75" customHeight="1" x14ac:dyDescent="0.25">
      <c r="A142" s="333"/>
      <c r="C142" s="360"/>
      <c r="D142" s="361"/>
      <c r="E142" s="333"/>
      <c r="F142" s="333"/>
      <c r="G142" s="333"/>
      <c r="H142" s="333"/>
      <c r="K142" s="362"/>
      <c r="S142" s="333"/>
    </row>
    <row r="143" spans="1:19" ht="15.75" customHeight="1" x14ac:dyDescent="0.25">
      <c r="A143" s="333"/>
      <c r="C143" s="360"/>
      <c r="D143" s="361"/>
      <c r="E143" s="333"/>
      <c r="F143" s="333"/>
      <c r="G143" s="333"/>
      <c r="H143" s="333"/>
      <c r="K143" s="362"/>
      <c r="S143" s="333"/>
    </row>
    <row r="144" spans="1:19" ht="15.75" customHeight="1" x14ac:dyDescent="0.25">
      <c r="A144" s="333"/>
      <c r="C144" s="360"/>
      <c r="D144" s="361"/>
      <c r="E144" s="333"/>
      <c r="F144" s="333"/>
      <c r="G144" s="333"/>
      <c r="H144" s="333"/>
      <c r="K144" s="362"/>
      <c r="S144" s="333"/>
    </row>
    <row r="145" spans="1:19" ht="15.75" customHeight="1" x14ac:dyDescent="0.25">
      <c r="A145" s="333"/>
      <c r="C145" s="360"/>
      <c r="D145" s="361"/>
      <c r="E145" s="333"/>
      <c r="F145" s="333"/>
      <c r="G145" s="333"/>
      <c r="H145" s="333"/>
      <c r="K145" s="362"/>
      <c r="S145" s="333"/>
    </row>
    <row r="146" spans="1:19" ht="15.75" customHeight="1" x14ac:dyDescent="0.25">
      <c r="A146" s="333"/>
      <c r="C146" s="360"/>
      <c r="D146" s="361"/>
      <c r="E146" s="333"/>
      <c r="F146" s="333"/>
      <c r="G146" s="333"/>
      <c r="H146" s="333"/>
      <c r="K146" s="362"/>
      <c r="S146" s="333"/>
    </row>
    <row r="147" spans="1:19" ht="15.75" customHeight="1" x14ac:dyDescent="0.25">
      <c r="A147" s="333"/>
      <c r="C147" s="360"/>
      <c r="D147" s="361"/>
      <c r="E147" s="333"/>
      <c r="F147" s="333"/>
      <c r="G147" s="333"/>
      <c r="H147" s="333"/>
      <c r="K147" s="362"/>
      <c r="S147" s="333"/>
    </row>
    <row r="148" spans="1:19" ht="15.75" customHeight="1" x14ac:dyDescent="0.25">
      <c r="A148" s="333"/>
      <c r="C148" s="360"/>
      <c r="D148" s="361"/>
      <c r="E148" s="333"/>
      <c r="F148" s="333"/>
      <c r="G148" s="333"/>
      <c r="H148" s="333"/>
      <c r="K148" s="362"/>
      <c r="S148" s="333"/>
    </row>
    <row r="149" spans="1:19" ht="15.75" customHeight="1" x14ac:dyDescent="0.25">
      <c r="A149" s="333"/>
      <c r="C149" s="360"/>
      <c r="D149" s="361"/>
      <c r="E149" s="333"/>
      <c r="F149" s="333"/>
      <c r="G149" s="333"/>
      <c r="H149" s="333"/>
      <c r="K149" s="362"/>
      <c r="S149" s="333"/>
    </row>
    <row r="150" spans="1:19" ht="15.75" customHeight="1" x14ac:dyDescent="0.25">
      <c r="A150" s="333"/>
      <c r="C150" s="360"/>
      <c r="D150" s="361"/>
      <c r="E150" s="333"/>
      <c r="F150" s="333"/>
      <c r="G150" s="333"/>
      <c r="H150" s="333"/>
      <c r="K150" s="362"/>
      <c r="S150" s="333"/>
    </row>
    <row r="151" spans="1:19" ht="15.75" customHeight="1" x14ac:dyDescent="0.25">
      <c r="A151" s="333"/>
      <c r="C151" s="360"/>
      <c r="D151" s="361"/>
      <c r="E151" s="333"/>
      <c r="F151" s="333"/>
      <c r="G151" s="333"/>
      <c r="H151" s="333"/>
      <c r="K151" s="362"/>
      <c r="S151" s="333"/>
    </row>
    <row r="152" spans="1:19" ht="15.75" customHeight="1" x14ac:dyDescent="0.25">
      <c r="A152" s="333"/>
      <c r="C152" s="360"/>
      <c r="D152" s="361"/>
      <c r="E152" s="333"/>
      <c r="F152" s="333"/>
      <c r="G152" s="333"/>
      <c r="H152" s="333"/>
      <c r="K152" s="362"/>
      <c r="S152" s="333"/>
    </row>
    <row r="153" spans="1:19" ht="15.75" customHeight="1" x14ac:dyDescent="0.25">
      <c r="A153" s="333"/>
      <c r="C153" s="360"/>
      <c r="D153" s="361"/>
      <c r="E153" s="333"/>
      <c r="F153" s="333"/>
      <c r="G153" s="333"/>
      <c r="H153" s="333"/>
      <c r="K153" s="362"/>
      <c r="S153" s="333"/>
    </row>
    <row r="154" spans="1:19" ht="15.75" customHeight="1" x14ac:dyDescent="0.25">
      <c r="A154" s="333"/>
      <c r="C154" s="360"/>
      <c r="D154" s="361"/>
      <c r="E154" s="333"/>
      <c r="F154" s="333"/>
      <c r="G154" s="333"/>
      <c r="H154" s="333"/>
      <c r="K154" s="362"/>
      <c r="S154" s="333"/>
    </row>
    <row r="155" spans="1:19" ht="15.75" customHeight="1" x14ac:dyDescent="0.25">
      <c r="A155" s="333"/>
      <c r="C155" s="360"/>
      <c r="D155" s="361"/>
      <c r="E155" s="333"/>
      <c r="F155" s="333"/>
      <c r="G155" s="333"/>
      <c r="H155" s="333"/>
      <c r="K155" s="362"/>
      <c r="S155" s="333"/>
    </row>
    <row r="156" spans="1:19" ht="15.75" customHeight="1" x14ac:dyDescent="0.25">
      <c r="A156" s="333"/>
      <c r="C156" s="360"/>
      <c r="D156" s="361"/>
      <c r="E156" s="333"/>
      <c r="F156" s="333"/>
      <c r="G156" s="333"/>
      <c r="H156" s="333"/>
      <c r="K156" s="362"/>
      <c r="S156" s="333"/>
    </row>
    <row r="157" spans="1:19" ht="15.75" customHeight="1" x14ac:dyDescent="0.25">
      <c r="A157" s="333"/>
      <c r="C157" s="360"/>
      <c r="D157" s="361"/>
      <c r="E157" s="333"/>
      <c r="F157" s="333"/>
      <c r="G157" s="333"/>
      <c r="H157" s="333"/>
      <c r="K157" s="362"/>
      <c r="S157" s="333"/>
    </row>
    <row r="158" spans="1:19" ht="15.75" customHeight="1" x14ac:dyDescent="0.25">
      <c r="A158" s="333"/>
      <c r="C158" s="360"/>
      <c r="D158" s="361"/>
      <c r="E158" s="333"/>
      <c r="F158" s="333"/>
      <c r="G158" s="333"/>
      <c r="H158" s="333"/>
      <c r="K158" s="362"/>
      <c r="S158" s="333"/>
    </row>
    <row r="159" spans="1:19" ht="15.75" customHeight="1" x14ac:dyDescent="0.25">
      <c r="A159" s="333"/>
      <c r="C159" s="360"/>
      <c r="D159" s="361"/>
      <c r="E159" s="333"/>
      <c r="F159" s="333"/>
      <c r="G159" s="333"/>
      <c r="H159" s="333"/>
      <c r="K159" s="362"/>
      <c r="S159" s="333"/>
    </row>
    <row r="160" spans="1:19" ht="15.75" customHeight="1" x14ac:dyDescent="0.25">
      <c r="A160" s="333"/>
      <c r="C160" s="360"/>
      <c r="D160" s="361"/>
      <c r="E160" s="333"/>
      <c r="F160" s="333"/>
      <c r="G160" s="333"/>
      <c r="H160" s="333"/>
      <c r="K160" s="362"/>
      <c r="S160" s="333"/>
    </row>
    <row r="161" spans="1:19" ht="15.75" customHeight="1" x14ac:dyDescent="0.25">
      <c r="A161" s="333"/>
      <c r="C161" s="360"/>
      <c r="D161" s="361"/>
      <c r="E161" s="333"/>
      <c r="F161" s="333"/>
      <c r="G161" s="333"/>
      <c r="H161" s="333"/>
      <c r="K161" s="362"/>
      <c r="S161" s="333"/>
    </row>
    <row r="162" spans="1:19" ht="15.75" customHeight="1" x14ac:dyDescent="0.25">
      <c r="A162" s="333"/>
      <c r="C162" s="360"/>
      <c r="D162" s="361"/>
      <c r="E162" s="333"/>
      <c r="F162" s="333"/>
      <c r="G162" s="333"/>
      <c r="H162" s="333"/>
      <c r="K162" s="362"/>
      <c r="S162" s="333"/>
    </row>
    <row r="163" spans="1:19" ht="15.75" customHeight="1" x14ac:dyDescent="0.25">
      <c r="A163" s="333"/>
      <c r="C163" s="360"/>
      <c r="D163" s="361"/>
      <c r="E163" s="333"/>
      <c r="F163" s="333"/>
      <c r="G163" s="333"/>
      <c r="H163" s="333"/>
      <c r="K163" s="362"/>
      <c r="S163" s="333"/>
    </row>
    <row r="164" spans="1:19" ht="15.75" customHeight="1" x14ac:dyDescent="0.25">
      <c r="A164" s="333"/>
      <c r="C164" s="360"/>
      <c r="D164" s="361"/>
      <c r="E164" s="333"/>
      <c r="F164" s="333"/>
      <c r="G164" s="333"/>
      <c r="H164" s="333"/>
      <c r="K164" s="362"/>
      <c r="S164" s="333"/>
    </row>
    <row r="165" spans="1:19" ht="15.75" customHeight="1" x14ac:dyDescent="0.25">
      <c r="A165" s="333"/>
      <c r="C165" s="360"/>
      <c r="D165" s="361"/>
      <c r="E165" s="333"/>
      <c r="F165" s="333"/>
      <c r="G165" s="333"/>
      <c r="H165" s="333"/>
      <c r="K165" s="362"/>
      <c r="S165" s="333"/>
    </row>
    <row r="166" spans="1:19" ht="15.75" customHeight="1" x14ac:dyDescent="0.25">
      <c r="A166" s="333"/>
      <c r="C166" s="360"/>
      <c r="D166" s="361"/>
      <c r="E166" s="333"/>
      <c r="F166" s="333"/>
      <c r="G166" s="333"/>
      <c r="H166" s="333"/>
      <c r="K166" s="362"/>
      <c r="S166" s="333"/>
    </row>
    <row r="167" spans="1:19" ht="15.75" customHeight="1" x14ac:dyDescent="0.25">
      <c r="A167" s="333"/>
      <c r="C167" s="360"/>
      <c r="D167" s="361"/>
      <c r="E167" s="333"/>
      <c r="F167" s="333"/>
      <c r="G167" s="333"/>
      <c r="H167" s="333"/>
      <c r="K167" s="362"/>
      <c r="S167" s="333"/>
    </row>
    <row r="168" spans="1:19" ht="15.75" customHeight="1" x14ac:dyDescent="0.25">
      <c r="A168" s="333"/>
      <c r="C168" s="360"/>
      <c r="D168" s="361"/>
      <c r="E168" s="333"/>
      <c r="F168" s="333"/>
      <c r="G168" s="333"/>
      <c r="H168" s="333"/>
      <c r="K168" s="362"/>
      <c r="S168" s="333"/>
    </row>
    <row r="169" spans="1:19" ht="15.75" customHeight="1" x14ac:dyDescent="0.25">
      <c r="A169" s="333"/>
      <c r="C169" s="360"/>
      <c r="D169" s="361"/>
      <c r="E169" s="333"/>
      <c r="F169" s="333"/>
      <c r="G169" s="333"/>
      <c r="H169" s="333"/>
      <c r="K169" s="362"/>
      <c r="S169" s="333"/>
    </row>
    <row r="170" spans="1:19" ht="15.75" customHeight="1" x14ac:dyDescent="0.25">
      <c r="A170" s="333"/>
      <c r="C170" s="360"/>
      <c r="D170" s="361"/>
      <c r="E170" s="333"/>
      <c r="F170" s="333"/>
      <c r="G170" s="333"/>
      <c r="H170" s="333"/>
      <c r="K170" s="362"/>
      <c r="S170" s="333"/>
    </row>
    <row r="171" spans="1:19" ht="15.75" customHeight="1" x14ac:dyDescent="0.25">
      <c r="A171" s="333"/>
      <c r="C171" s="360"/>
      <c r="D171" s="361"/>
      <c r="E171" s="333"/>
      <c r="F171" s="333"/>
      <c r="G171" s="333"/>
      <c r="H171" s="333"/>
      <c r="K171" s="362"/>
      <c r="S171" s="333"/>
    </row>
    <row r="172" spans="1:19" ht="15.75" customHeight="1" x14ac:dyDescent="0.25">
      <c r="A172" s="333"/>
      <c r="C172" s="360"/>
      <c r="D172" s="361"/>
      <c r="E172" s="333"/>
      <c r="F172" s="333"/>
      <c r="G172" s="333"/>
      <c r="H172" s="333"/>
      <c r="K172" s="362"/>
      <c r="S172" s="333"/>
    </row>
    <row r="173" spans="1:19" ht="15.75" customHeight="1" x14ac:dyDescent="0.25">
      <c r="A173" s="333"/>
      <c r="C173" s="360"/>
      <c r="D173" s="361"/>
      <c r="E173" s="333"/>
      <c r="F173" s="333"/>
      <c r="G173" s="333"/>
      <c r="H173" s="333"/>
      <c r="K173" s="362"/>
      <c r="S173" s="333"/>
    </row>
    <row r="174" spans="1:19" ht="15.75" customHeight="1" x14ac:dyDescent="0.25">
      <c r="A174" s="333"/>
      <c r="C174" s="360"/>
      <c r="D174" s="361"/>
      <c r="E174" s="333"/>
      <c r="F174" s="333"/>
      <c r="G174" s="333"/>
      <c r="H174" s="333"/>
      <c r="K174" s="362"/>
      <c r="S174" s="333"/>
    </row>
    <row r="175" spans="1:19" ht="15.75" customHeight="1" x14ac:dyDescent="0.25">
      <c r="A175" s="333"/>
      <c r="C175" s="360"/>
      <c r="D175" s="361"/>
      <c r="E175" s="333"/>
      <c r="F175" s="333"/>
      <c r="G175" s="333"/>
      <c r="H175" s="333"/>
      <c r="K175" s="362"/>
      <c r="S175" s="333"/>
    </row>
    <row r="176" spans="1:19" ht="15.75" customHeight="1" x14ac:dyDescent="0.25">
      <c r="A176" s="333"/>
      <c r="C176" s="360"/>
      <c r="D176" s="361"/>
      <c r="E176" s="333"/>
      <c r="F176" s="333"/>
      <c r="G176" s="333"/>
      <c r="H176" s="333"/>
      <c r="K176" s="362"/>
      <c r="S176" s="333"/>
    </row>
    <row r="177" spans="1:19" ht="15.75" customHeight="1" x14ac:dyDescent="0.25">
      <c r="A177" s="333"/>
      <c r="C177" s="360"/>
      <c r="D177" s="361"/>
      <c r="E177" s="333"/>
      <c r="F177" s="333"/>
      <c r="G177" s="333"/>
      <c r="H177" s="333"/>
      <c r="K177" s="362"/>
      <c r="S177" s="333"/>
    </row>
    <row r="178" spans="1:19" ht="15.75" customHeight="1" x14ac:dyDescent="0.25">
      <c r="A178" s="333"/>
      <c r="C178" s="360"/>
      <c r="D178" s="361"/>
      <c r="E178" s="333"/>
      <c r="F178" s="333"/>
      <c r="G178" s="333"/>
      <c r="H178" s="333"/>
      <c r="K178" s="362"/>
      <c r="S178" s="333"/>
    </row>
    <row r="179" spans="1:19" ht="15.75" customHeight="1" x14ac:dyDescent="0.25">
      <c r="A179" s="333"/>
      <c r="C179" s="360"/>
      <c r="D179" s="361"/>
      <c r="E179" s="333"/>
      <c r="F179" s="333"/>
      <c r="G179" s="333"/>
      <c r="H179" s="333"/>
      <c r="K179" s="362"/>
      <c r="S179" s="333"/>
    </row>
    <row r="180" spans="1:19" ht="15.75" customHeight="1" x14ac:dyDescent="0.25">
      <c r="A180" s="333"/>
      <c r="C180" s="360"/>
      <c r="D180" s="361"/>
      <c r="E180" s="333"/>
      <c r="F180" s="333"/>
      <c r="G180" s="333"/>
      <c r="H180" s="333"/>
      <c r="K180" s="362"/>
      <c r="S180" s="333"/>
    </row>
    <row r="181" spans="1:19" ht="15.75" customHeight="1" x14ac:dyDescent="0.25">
      <c r="A181" s="333"/>
      <c r="C181" s="360"/>
      <c r="D181" s="361"/>
      <c r="E181" s="333"/>
      <c r="F181" s="333"/>
      <c r="G181" s="333"/>
      <c r="H181" s="333"/>
      <c r="K181" s="362"/>
      <c r="S181" s="333"/>
    </row>
    <row r="182" spans="1:19" ht="15.75" customHeight="1" x14ac:dyDescent="0.25">
      <c r="A182" s="333"/>
      <c r="C182" s="360"/>
      <c r="D182" s="361"/>
      <c r="E182" s="333"/>
      <c r="F182" s="333"/>
      <c r="G182" s="333"/>
      <c r="H182" s="333"/>
      <c r="K182" s="362"/>
      <c r="S182" s="333"/>
    </row>
    <row r="183" spans="1:19" ht="15.75" customHeight="1" x14ac:dyDescent="0.25">
      <c r="A183" s="333"/>
      <c r="C183" s="360"/>
      <c r="D183" s="361"/>
      <c r="E183" s="333"/>
      <c r="F183" s="333"/>
      <c r="G183" s="333"/>
      <c r="H183" s="333"/>
      <c r="K183" s="362"/>
      <c r="S183" s="333"/>
    </row>
    <row r="184" spans="1:19" ht="15.75" customHeight="1" x14ac:dyDescent="0.25">
      <c r="A184" s="333"/>
      <c r="C184" s="360"/>
      <c r="D184" s="361"/>
      <c r="E184" s="333"/>
      <c r="F184" s="333"/>
      <c r="G184" s="333"/>
      <c r="H184" s="333"/>
      <c r="K184" s="362"/>
      <c r="S184" s="333"/>
    </row>
    <row r="185" spans="1:19" ht="15.75" customHeight="1" x14ac:dyDescent="0.25">
      <c r="A185" s="333"/>
      <c r="C185" s="360"/>
      <c r="D185" s="361"/>
      <c r="E185" s="333"/>
      <c r="F185" s="333"/>
      <c r="G185" s="333"/>
      <c r="H185" s="333"/>
      <c r="K185" s="362"/>
      <c r="S185" s="333"/>
    </row>
    <row r="186" spans="1:19" ht="15.75" customHeight="1" x14ac:dyDescent="0.25">
      <c r="A186" s="333"/>
      <c r="C186" s="360"/>
      <c r="D186" s="361"/>
      <c r="E186" s="333"/>
      <c r="F186" s="333"/>
      <c r="G186" s="333"/>
      <c r="H186" s="333"/>
      <c r="K186" s="362"/>
      <c r="S186" s="333"/>
    </row>
    <row r="187" spans="1:19" ht="15.75" customHeight="1" x14ac:dyDescent="0.25">
      <c r="A187" s="333"/>
      <c r="C187" s="360"/>
      <c r="D187" s="361"/>
      <c r="E187" s="333"/>
      <c r="F187" s="333"/>
      <c r="G187" s="333"/>
      <c r="H187" s="333"/>
      <c r="K187" s="362"/>
      <c r="S187" s="333"/>
    </row>
    <row r="188" spans="1:19" ht="15.75" customHeight="1" x14ac:dyDescent="0.25">
      <c r="A188" s="333"/>
      <c r="C188" s="360"/>
      <c r="D188" s="361"/>
      <c r="E188" s="333"/>
      <c r="F188" s="333"/>
      <c r="G188" s="333"/>
      <c r="H188" s="333"/>
      <c r="K188" s="362"/>
      <c r="S188" s="333"/>
    </row>
    <row r="189" spans="1:19" ht="15.75" customHeight="1" x14ac:dyDescent="0.25">
      <c r="A189" s="333"/>
      <c r="C189" s="360"/>
      <c r="D189" s="361"/>
      <c r="E189" s="333"/>
      <c r="F189" s="333"/>
      <c r="G189" s="333"/>
      <c r="H189" s="333"/>
      <c r="K189" s="362"/>
      <c r="S189" s="333"/>
    </row>
    <row r="190" spans="1:19" ht="15.75" customHeight="1" x14ac:dyDescent="0.25">
      <c r="A190" s="333"/>
      <c r="C190" s="360"/>
      <c r="D190" s="361"/>
      <c r="E190" s="333"/>
      <c r="F190" s="333"/>
      <c r="G190" s="333"/>
      <c r="H190" s="333"/>
      <c r="K190" s="362"/>
      <c r="S190" s="333"/>
    </row>
    <row r="191" spans="1:19" ht="15.75" customHeight="1" x14ac:dyDescent="0.25">
      <c r="A191" s="333"/>
      <c r="C191" s="360"/>
      <c r="D191" s="361"/>
      <c r="E191" s="333"/>
      <c r="F191" s="333"/>
      <c r="G191" s="333"/>
      <c r="H191" s="333"/>
      <c r="K191" s="362"/>
      <c r="S191" s="333"/>
    </row>
    <row r="192" spans="1:19" ht="15.75" customHeight="1" x14ac:dyDescent="0.25">
      <c r="A192" s="333"/>
      <c r="C192" s="360"/>
      <c r="D192" s="361"/>
      <c r="E192" s="333"/>
      <c r="F192" s="333"/>
      <c r="G192" s="333"/>
      <c r="H192" s="333"/>
      <c r="K192" s="362"/>
      <c r="S192" s="333"/>
    </row>
    <row r="193" spans="1:19" ht="15.75" customHeight="1" x14ac:dyDescent="0.25">
      <c r="A193" s="333"/>
      <c r="C193" s="360"/>
      <c r="D193" s="361"/>
      <c r="E193" s="333"/>
      <c r="F193" s="333"/>
      <c r="G193" s="333"/>
      <c r="H193" s="333"/>
      <c r="K193" s="362"/>
      <c r="S193" s="333"/>
    </row>
    <row r="194" spans="1:19" ht="15.75" customHeight="1" x14ac:dyDescent="0.25">
      <c r="A194" s="333"/>
      <c r="C194" s="360"/>
      <c r="D194" s="361"/>
      <c r="E194" s="333"/>
      <c r="F194" s="333"/>
      <c r="G194" s="333"/>
      <c r="H194" s="333"/>
      <c r="K194" s="362"/>
      <c r="S194" s="333"/>
    </row>
    <row r="195" spans="1:19" ht="15.75" customHeight="1" x14ac:dyDescent="0.25">
      <c r="A195" s="333"/>
      <c r="C195" s="360"/>
      <c r="D195" s="361"/>
      <c r="E195" s="333"/>
      <c r="F195" s="333"/>
      <c r="G195" s="333"/>
      <c r="H195" s="333"/>
      <c r="K195" s="362"/>
      <c r="S195" s="333"/>
    </row>
    <row r="196" spans="1:19" ht="15.75" customHeight="1" x14ac:dyDescent="0.25">
      <c r="A196" s="333"/>
      <c r="C196" s="360"/>
      <c r="D196" s="361"/>
      <c r="E196" s="333"/>
      <c r="F196" s="333"/>
      <c r="G196" s="333"/>
      <c r="H196" s="333"/>
      <c r="K196" s="362"/>
      <c r="S196" s="333"/>
    </row>
    <row r="197" spans="1:19" ht="15.75" customHeight="1" x14ac:dyDescent="0.25">
      <c r="A197" s="333"/>
      <c r="C197" s="360"/>
      <c r="D197" s="361"/>
      <c r="E197" s="333"/>
      <c r="F197" s="333"/>
      <c r="G197" s="333"/>
      <c r="H197" s="333"/>
      <c r="K197" s="362"/>
      <c r="S197" s="333"/>
    </row>
    <row r="198" spans="1:19" ht="15.75" customHeight="1" x14ac:dyDescent="0.25">
      <c r="A198" s="333"/>
      <c r="C198" s="360"/>
      <c r="D198" s="361"/>
      <c r="E198" s="333"/>
      <c r="F198" s="333"/>
      <c r="G198" s="333"/>
      <c r="H198" s="333"/>
      <c r="K198" s="362"/>
      <c r="S198" s="333"/>
    </row>
    <row r="199" spans="1:19" ht="15.75" customHeight="1" x14ac:dyDescent="0.25">
      <c r="A199" s="333"/>
      <c r="C199" s="360"/>
      <c r="D199" s="361"/>
      <c r="E199" s="333"/>
      <c r="F199" s="333"/>
      <c r="G199" s="333"/>
      <c r="H199" s="333"/>
      <c r="K199" s="362"/>
      <c r="S199" s="333"/>
    </row>
    <row r="200" spans="1:19" ht="15.75" customHeight="1" x14ac:dyDescent="0.25">
      <c r="A200" s="333"/>
      <c r="C200" s="360"/>
      <c r="D200" s="361"/>
      <c r="E200" s="333"/>
      <c r="F200" s="333"/>
      <c r="G200" s="333"/>
      <c r="H200" s="333"/>
      <c r="K200" s="362"/>
      <c r="S200" s="333"/>
    </row>
    <row r="201" spans="1:19" ht="15.75" customHeight="1" x14ac:dyDescent="0.25">
      <c r="A201" s="333"/>
      <c r="C201" s="360"/>
      <c r="D201" s="361"/>
      <c r="E201" s="333"/>
      <c r="F201" s="333"/>
      <c r="G201" s="333"/>
      <c r="H201" s="333"/>
      <c r="K201" s="362"/>
      <c r="S201" s="333"/>
    </row>
    <row r="202" spans="1:19" ht="15.75" customHeight="1" x14ac:dyDescent="0.25">
      <c r="A202" s="333"/>
      <c r="C202" s="360"/>
      <c r="D202" s="361"/>
      <c r="E202" s="333"/>
      <c r="F202" s="333"/>
      <c r="G202" s="333"/>
      <c r="H202" s="333"/>
      <c r="K202" s="362"/>
      <c r="S202" s="333"/>
    </row>
    <row r="203" spans="1:19" ht="15.75" customHeight="1" x14ac:dyDescent="0.25">
      <c r="A203" s="333"/>
      <c r="C203" s="360"/>
      <c r="D203" s="361"/>
      <c r="E203" s="333"/>
      <c r="F203" s="333"/>
      <c r="G203" s="333"/>
      <c r="H203" s="333"/>
      <c r="K203" s="362"/>
      <c r="S203" s="333"/>
    </row>
    <row r="204" spans="1:19" ht="15.75" customHeight="1" x14ac:dyDescent="0.25">
      <c r="A204" s="333"/>
      <c r="C204" s="360"/>
      <c r="D204" s="361"/>
      <c r="E204" s="333"/>
      <c r="F204" s="333"/>
      <c r="G204" s="333"/>
      <c r="H204" s="333"/>
      <c r="K204" s="362"/>
      <c r="S204" s="333"/>
    </row>
    <row r="205" spans="1:19" ht="15.75" customHeight="1" x14ac:dyDescent="0.25">
      <c r="A205" s="333"/>
      <c r="C205" s="360"/>
      <c r="D205" s="361"/>
      <c r="E205" s="333"/>
      <c r="F205" s="333"/>
      <c r="G205" s="333"/>
      <c r="H205" s="333"/>
      <c r="K205" s="362"/>
      <c r="S205" s="333"/>
    </row>
    <row r="206" spans="1:19" ht="15.75" customHeight="1" x14ac:dyDescent="0.25">
      <c r="A206" s="333"/>
      <c r="C206" s="360"/>
      <c r="D206" s="361"/>
      <c r="E206" s="333"/>
      <c r="F206" s="333"/>
      <c r="G206" s="333"/>
      <c r="H206" s="333"/>
      <c r="K206" s="362"/>
      <c r="S206" s="333"/>
    </row>
    <row r="207" spans="1:19" ht="15.75" customHeight="1" x14ac:dyDescent="0.25">
      <c r="A207" s="333"/>
      <c r="C207" s="360"/>
      <c r="D207" s="361"/>
      <c r="E207" s="333"/>
      <c r="F207" s="333"/>
      <c r="G207" s="333"/>
      <c r="H207" s="333"/>
      <c r="K207" s="362"/>
      <c r="S207" s="333"/>
    </row>
    <row r="208" spans="1:19" ht="15.75" customHeight="1" x14ac:dyDescent="0.25">
      <c r="A208" s="333"/>
      <c r="C208" s="360"/>
      <c r="D208" s="361"/>
      <c r="E208" s="333"/>
      <c r="F208" s="333"/>
      <c r="G208" s="333"/>
      <c r="H208" s="333"/>
      <c r="K208" s="362"/>
      <c r="S208" s="333"/>
    </row>
    <row r="209" spans="1:19" ht="15.75" customHeight="1" x14ac:dyDescent="0.25">
      <c r="A209" s="333"/>
      <c r="C209" s="360"/>
      <c r="D209" s="361"/>
      <c r="E209" s="333"/>
      <c r="F209" s="333"/>
      <c r="G209" s="333"/>
      <c r="H209" s="333"/>
      <c r="K209" s="362"/>
      <c r="S209" s="333"/>
    </row>
    <row r="210" spans="1:19" ht="15.75" customHeight="1" x14ac:dyDescent="0.25">
      <c r="A210" s="333"/>
      <c r="C210" s="360"/>
      <c r="D210" s="361"/>
      <c r="E210" s="333"/>
      <c r="F210" s="333"/>
      <c r="G210" s="333"/>
      <c r="H210" s="333"/>
      <c r="K210" s="362"/>
      <c r="S210" s="333"/>
    </row>
    <row r="211" spans="1:19" ht="15.75" customHeight="1" x14ac:dyDescent="0.25">
      <c r="A211" s="333"/>
      <c r="C211" s="360"/>
      <c r="D211" s="361"/>
      <c r="E211" s="333"/>
      <c r="F211" s="333"/>
      <c r="G211" s="333"/>
      <c r="H211" s="333"/>
      <c r="K211" s="362"/>
      <c r="S211" s="333"/>
    </row>
    <row r="212" spans="1:19" ht="15.75" customHeight="1" x14ac:dyDescent="0.25">
      <c r="A212" s="333"/>
      <c r="C212" s="360"/>
      <c r="D212" s="361"/>
      <c r="E212" s="333"/>
      <c r="F212" s="333"/>
      <c r="G212" s="333"/>
      <c r="H212" s="333"/>
      <c r="K212" s="362"/>
      <c r="S212" s="333"/>
    </row>
    <row r="213" spans="1:19" ht="15.75" customHeight="1" x14ac:dyDescent="0.25">
      <c r="A213" s="333"/>
      <c r="C213" s="360"/>
      <c r="D213" s="361"/>
      <c r="E213" s="333"/>
      <c r="F213" s="333"/>
      <c r="G213" s="333"/>
      <c r="H213" s="333"/>
      <c r="K213" s="362"/>
      <c r="S213" s="333"/>
    </row>
    <row r="214" spans="1:19" ht="15.75" customHeight="1" x14ac:dyDescent="0.25">
      <c r="A214" s="333"/>
      <c r="C214" s="360"/>
      <c r="D214" s="361"/>
      <c r="E214" s="333"/>
      <c r="F214" s="333"/>
      <c r="G214" s="333"/>
      <c r="H214" s="333"/>
      <c r="K214" s="362"/>
      <c r="S214" s="333"/>
    </row>
    <row r="215" spans="1:19" ht="15.75" customHeight="1" x14ac:dyDescent="0.25">
      <c r="A215" s="333"/>
      <c r="C215" s="360"/>
      <c r="D215" s="361"/>
      <c r="E215" s="333"/>
      <c r="F215" s="333"/>
      <c r="G215" s="333"/>
      <c r="H215" s="333"/>
      <c r="K215" s="362"/>
      <c r="S215" s="333"/>
    </row>
    <row r="216" spans="1:19" ht="15.75" customHeight="1" x14ac:dyDescent="0.25">
      <c r="A216" s="333"/>
      <c r="C216" s="360"/>
      <c r="D216" s="361"/>
      <c r="E216" s="333"/>
      <c r="F216" s="333"/>
      <c r="G216" s="333"/>
      <c r="H216" s="333"/>
      <c r="K216" s="362"/>
      <c r="S216" s="333"/>
    </row>
    <row r="217" spans="1:19" ht="15.75" customHeight="1" x14ac:dyDescent="0.25">
      <c r="A217" s="333"/>
      <c r="C217" s="360"/>
      <c r="D217" s="361"/>
      <c r="E217" s="333"/>
      <c r="F217" s="333"/>
      <c r="G217" s="333"/>
      <c r="H217" s="333"/>
      <c r="K217" s="362"/>
      <c r="S217" s="333"/>
    </row>
    <row r="218" spans="1:19" ht="15.75" customHeight="1" x14ac:dyDescent="0.25">
      <c r="A218" s="333"/>
      <c r="C218" s="360"/>
      <c r="D218" s="361"/>
      <c r="E218" s="333"/>
      <c r="F218" s="333"/>
      <c r="G218" s="333"/>
      <c r="H218" s="333"/>
      <c r="K218" s="362"/>
      <c r="S218" s="333"/>
    </row>
    <row r="219" spans="1:19" ht="15.75" customHeight="1" x14ac:dyDescent="0.25">
      <c r="A219" s="333"/>
      <c r="C219" s="360"/>
      <c r="D219" s="361"/>
      <c r="E219" s="333"/>
      <c r="F219" s="333"/>
      <c r="G219" s="333"/>
      <c r="H219" s="333"/>
      <c r="K219" s="362"/>
      <c r="S219" s="333"/>
    </row>
    <row r="220" spans="1:19" ht="15.75" customHeight="1" x14ac:dyDescent="0.25">
      <c r="A220" s="333"/>
      <c r="C220" s="360"/>
      <c r="D220" s="361"/>
      <c r="E220" s="333"/>
      <c r="F220" s="333"/>
      <c r="G220" s="333"/>
      <c r="H220" s="333"/>
      <c r="K220" s="362"/>
      <c r="S220" s="333"/>
    </row>
    <row r="221" spans="1:19" ht="15.75" customHeight="1" x14ac:dyDescent="0.25">
      <c r="A221" s="333"/>
      <c r="C221" s="360"/>
      <c r="D221" s="361"/>
      <c r="E221" s="333"/>
      <c r="F221" s="333"/>
      <c r="G221" s="333"/>
      <c r="H221" s="333"/>
      <c r="K221" s="362"/>
      <c r="S221" s="333"/>
    </row>
    <row r="222" spans="1:19" ht="15.75" customHeight="1" x14ac:dyDescent="0.25">
      <c r="A222" s="333"/>
      <c r="C222" s="360"/>
      <c r="D222" s="361"/>
      <c r="E222" s="333"/>
      <c r="F222" s="333"/>
      <c r="G222" s="333"/>
      <c r="H222" s="333"/>
      <c r="K222" s="362"/>
      <c r="S222" s="333"/>
    </row>
    <row r="223" spans="1:19" ht="15.75" customHeight="1" x14ac:dyDescent="0.25">
      <c r="A223" s="333"/>
      <c r="C223" s="360"/>
      <c r="D223" s="361"/>
      <c r="E223" s="333"/>
      <c r="F223" s="333"/>
      <c r="G223" s="333"/>
      <c r="H223" s="333"/>
      <c r="K223" s="362"/>
      <c r="S223" s="333"/>
    </row>
    <row r="224" spans="1:19" ht="15.75" customHeight="1" x14ac:dyDescent="0.25">
      <c r="A224" s="333"/>
      <c r="C224" s="360"/>
      <c r="D224" s="361"/>
      <c r="E224" s="333"/>
      <c r="F224" s="333"/>
      <c r="G224" s="333"/>
      <c r="H224" s="333"/>
      <c r="K224" s="362"/>
      <c r="S224" s="333"/>
    </row>
    <row r="225" spans="1:19" ht="15.75" customHeight="1" x14ac:dyDescent="0.25">
      <c r="A225" s="333"/>
      <c r="C225" s="360"/>
      <c r="D225" s="361"/>
      <c r="E225" s="333"/>
      <c r="F225" s="333"/>
      <c r="G225" s="333"/>
      <c r="H225" s="333"/>
      <c r="K225" s="362"/>
      <c r="S225" s="333"/>
    </row>
    <row r="226" spans="1:19" ht="15.75" customHeight="1" x14ac:dyDescent="0.25">
      <c r="A226" s="333"/>
      <c r="C226" s="360"/>
      <c r="D226" s="361"/>
      <c r="E226" s="333"/>
      <c r="F226" s="333"/>
      <c r="G226" s="333"/>
      <c r="H226" s="333"/>
      <c r="K226" s="362"/>
      <c r="S226" s="333"/>
    </row>
    <row r="227" spans="1:19" ht="15.75" customHeight="1" x14ac:dyDescent="0.25">
      <c r="A227" s="333"/>
      <c r="C227" s="360"/>
      <c r="D227" s="361"/>
      <c r="E227" s="333"/>
      <c r="F227" s="333"/>
      <c r="G227" s="333"/>
      <c r="H227" s="333"/>
      <c r="K227" s="362"/>
      <c r="S227" s="333"/>
    </row>
    <row r="228" spans="1:19" ht="15.75" customHeight="1" x14ac:dyDescent="0.25">
      <c r="A228" s="333"/>
      <c r="C228" s="360"/>
      <c r="D228" s="361"/>
      <c r="E228" s="333"/>
      <c r="F228" s="333"/>
      <c r="G228" s="333"/>
      <c r="H228" s="333"/>
      <c r="K228" s="362"/>
      <c r="S228" s="333"/>
    </row>
    <row r="229" spans="1:19" ht="15.75" customHeight="1" x14ac:dyDescent="0.25">
      <c r="A229" s="333"/>
      <c r="C229" s="360"/>
      <c r="D229" s="361"/>
      <c r="E229" s="333"/>
      <c r="F229" s="333"/>
      <c r="G229" s="333"/>
      <c r="H229" s="333"/>
      <c r="K229" s="362"/>
      <c r="S229" s="333"/>
    </row>
    <row r="230" spans="1:19" ht="15.75" customHeight="1" x14ac:dyDescent="0.25">
      <c r="A230" s="333"/>
      <c r="C230" s="360"/>
      <c r="D230" s="361"/>
      <c r="E230" s="333"/>
      <c r="F230" s="333"/>
      <c r="G230" s="333"/>
      <c r="H230" s="333"/>
      <c r="K230" s="362"/>
      <c r="S230" s="333"/>
    </row>
    <row r="231" spans="1:19" ht="15.75" customHeight="1" x14ac:dyDescent="0.25">
      <c r="A231" s="333"/>
      <c r="C231" s="360"/>
      <c r="D231" s="361"/>
      <c r="E231" s="333"/>
      <c r="F231" s="333"/>
      <c r="G231" s="333"/>
      <c r="H231" s="333"/>
      <c r="K231" s="362"/>
      <c r="S231" s="333"/>
    </row>
    <row r="232" spans="1:19" ht="15.75" customHeight="1" x14ac:dyDescent="0.25">
      <c r="A232" s="333"/>
      <c r="C232" s="360"/>
      <c r="D232" s="361"/>
      <c r="E232" s="333"/>
      <c r="F232" s="333"/>
      <c r="G232" s="333"/>
      <c r="H232" s="333"/>
      <c r="K232" s="362"/>
      <c r="S232" s="333"/>
    </row>
    <row r="233" spans="1:19" ht="15.75" customHeight="1" x14ac:dyDescent="0.25">
      <c r="A233" s="333"/>
      <c r="C233" s="360"/>
      <c r="D233" s="361"/>
      <c r="E233" s="333"/>
      <c r="F233" s="333"/>
      <c r="G233" s="333"/>
      <c r="H233" s="333"/>
      <c r="K233" s="362"/>
      <c r="S233" s="333"/>
    </row>
    <row r="234" spans="1:19" ht="15.75" customHeight="1" x14ac:dyDescent="0.25">
      <c r="A234" s="333"/>
      <c r="C234" s="360"/>
      <c r="D234" s="361"/>
      <c r="E234" s="333"/>
      <c r="F234" s="333"/>
      <c r="G234" s="333"/>
      <c r="H234" s="333"/>
      <c r="K234" s="362"/>
      <c r="S234" s="333"/>
    </row>
    <row r="235" spans="1:19" ht="15.75" customHeight="1" x14ac:dyDescent="0.25">
      <c r="A235" s="333"/>
      <c r="C235" s="360"/>
      <c r="D235" s="361"/>
      <c r="E235" s="333"/>
      <c r="F235" s="333"/>
      <c r="G235" s="333"/>
      <c r="H235" s="333"/>
      <c r="K235" s="362"/>
      <c r="S235" s="333"/>
    </row>
    <row r="236" spans="1:19" ht="15.75" customHeight="1" x14ac:dyDescent="0.25">
      <c r="A236" s="333"/>
      <c r="C236" s="360"/>
      <c r="D236" s="361"/>
      <c r="E236" s="333"/>
      <c r="F236" s="333"/>
      <c r="G236" s="333"/>
      <c r="H236" s="333"/>
      <c r="K236" s="362"/>
      <c r="S236" s="333"/>
    </row>
    <row r="237" spans="1:19" ht="15.75" customHeight="1" x14ac:dyDescent="0.25">
      <c r="A237" s="333"/>
      <c r="C237" s="360"/>
      <c r="D237" s="361"/>
      <c r="E237" s="333"/>
      <c r="F237" s="333"/>
      <c r="G237" s="333"/>
      <c r="H237" s="333"/>
      <c r="K237" s="362"/>
      <c r="S237" s="333"/>
    </row>
    <row r="238" spans="1:19" ht="15.75" customHeight="1" x14ac:dyDescent="0.25">
      <c r="A238" s="333"/>
      <c r="C238" s="360"/>
      <c r="D238" s="361"/>
      <c r="E238" s="333"/>
      <c r="F238" s="333"/>
      <c r="G238" s="333"/>
      <c r="H238" s="333"/>
      <c r="K238" s="362"/>
      <c r="S238" s="333"/>
    </row>
    <row r="239" spans="1:19" ht="15.75" customHeight="1" x14ac:dyDescent="0.25">
      <c r="A239" s="333"/>
      <c r="C239" s="360"/>
      <c r="D239" s="361"/>
      <c r="E239" s="333"/>
      <c r="F239" s="333"/>
      <c r="G239" s="333"/>
      <c r="H239" s="333"/>
      <c r="K239" s="362"/>
      <c r="S239" s="333"/>
    </row>
    <row r="240" spans="1:19" ht="15.75" customHeight="1" x14ac:dyDescent="0.25">
      <c r="A240" s="333"/>
      <c r="C240" s="360"/>
      <c r="D240" s="361"/>
      <c r="E240" s="333"/>
      <c r="F240" s="333"/>
      <c r="G240" s="333"/>
      <c r="H240" s="333"/>
      <c r="K240" s="362"/>
      <c r="S240" s="333"/>
    </row>
    <row r="241" spans="1:19" ht="15.75" customHeight="1" x14ac:dyDescent="0.25">
      <c r="A241" s="333"/>
      <c r="C241" s="360"/>
      <c r="D241" s="361"/>
      <c r="E241" s="333"/>
      <c r="F241" s="333"/>
      <c r="G241" s="333"/>
      <c r="H241" s="333"/>
      <c r="K241" s="362"/>
      <c r="S241" s="333"/>
    </row>
    <row r="242" spans="1:19" ht="15.75" customHeight="1" x14ac:dyDescent="0.25">
      <c r="A242" s="333"/>
      <c r="C242" s="360"/>
      <c r="D242" s="361"/>
      <c r="E242" s="333"/>
      <c r="F242" s="333"/>
      <c r="G242" s="333"/>
      <c r="H242" s="333"/>
      <c r="K242" s="362"/>
      <c r="S242" s="333"/>
    </row>
    <row r="243" spans="1:19" ht="15.75" customHeight="1" x14ac:dyDescent="0.25">
      <c r="A243" s="333"/>
      <c r="C243" s="360"/>
      <c r="D243" s="361"/>
      <c r="E243" s="333"/>
      <c r="F243" s="333"/>
      <c r="G243" s="333"/>
      <c r="H243" s="333"/>
      <c r="K243" s="362"/>
      <c r="S243" s="333"/>
    </row>
    <row r="244" spans="1:19" ht="15.75" customHeight="1" x14ac:dyDescent="0.25">
      <c r="A244" s="333"/>
      <c r="C244" s="360"/>
      <c r="D244" s="361"/>
      <c r="E244" s="333"/>
      <c r="F244" s="333"/>
      <c r="G244" s="333"/>
      <c r="H244" s="333"/>
      <c r="K244" s="362"/>
      <c r="S244" s="333"/>
    </row>
    <row r="245" spans="1:19" ht="15.75" customHeight="1" x14ac:dyDescent="0.25">
      <c r="A245" s="333"/>
      <c r="C245" s="360"/>
      <c r="D245" s="361"/>
      <c r="E245" s="333"/>
      <c r="F245" s="333"/>
      <c r="G245" s="333"/>
      <c r="H245" s="333"/>
      <c r="K245" s="362"/>
      <c r="S245" s="333"/>
    </row>
    <row r="246" spans="1:19" ht="15.75" customHeight="1" x14ac:dyDescent="0.25">
      <c r="A246" s="333"/>
      <c r="C246" s="360"/>
      <c r="D246" s="361"/>
      <c r="E246" s="333"/>
      <c r="F246" s="333"/>
      <c r="G246" s="333"/>
      <c r="H246" s="333"/>
      <c r="K246" s="362"/>
      <c r="S246" s="333"/>
    </row>
    <row r="247" spans="1:19" ht="15.75" customHeight="1" x14ac:dyDescent="0.25">
      <c r="A247" s="333"/>
      <c r="C247" s="360"/>
      <c r="D247" s="361"/>
      <c r="E247" s="333"/>
      <c r="F247" s="333"/>
      <c r="G247" s="333"/>
      <c r="H247" s="333"/>
      <c r="K247" s="362"/>
      <c r="S247" s="333"/>
    </row>
    <row r="248" spans="1:19" ht="15.75" customHeight="1" x14ac:dyDescent="0.25">
      <c r="A248" s="333"/>
      <c r="C248" s="360"/>
      <c r="D248" s="361"/>
      <c r="E248" s="333"/>
      <c r="F248" s="333"/>
      <c r="G248" s="333"/>
      <c r="H248" s="333"/>
      <c r="K248" s="362"/>
      <c r="S248" s="333"/>
    </row>
    <row r="249" spans="1:19" ht="15.75" customHeight="1" x14ac:dyDescent="0.25">
      <c r="A249" s="333"/>
      <c r="C249" s="360"/>
      <c r="D249" s="361"/>
      <c r="E249" s="333"/>
      <c r="F249" s="333"/>
      <c r="G249" s="333"/>
      <c r="H249" s="333"/>
      <c r="K249" s="362"/>
      <c r="S249" s="333"/>
    </row>
    <row r="250" spans="1:19" ht="15.75" customHeight="1" x14ac:dyDescent="0.25">
      <c r="A250" s="333"/>
      <c r="C250" s="360"/>
      <c r="D250" s="361"/>
      <c r="E250" s="333"/>
      <c r="F250" s="333"/>
      <c r="G250" s="333"/>
      <c r="H250" s="333"/>
      <c r="K250" s="362"/>
      <c r="S250" s="333"/>
    </row>
    <row r="251" spans="1:19" ht="15.75" customHeight="1" x14ac:dyDescent="0.25">
      <c r="A251" s="333"/>
      <c r="C251" s="360"/>
      <c r="D251" s="361"/>
      <c r="E251" s="333"/>
      <c r="F251" s="333"/>
      <c r="G251" s="333"/>
      <c r="H251" s="333"/>
      <c r="K251" s="362"/>
      <c r="S251" s="333"/>
    </row>
    <row r="252" spans="1:19" ht="15.75" customHeight="1" x14ac:dyDescent="0.25">
      <c r="A252" s="333"/>
      <c r="C252" s="360"/>
      <c r="D252" s="361"/>
      <c r="E252" s="333"/>
      <c r="F252" s="333"/>
      <c r="G252" s="333"/>
      <c r="H252" s="333"/>
      <c r="K252" s="362"/>
      <c r="S252" s="333"/>
    </row>
    <row r="253" spans="1:19" ht="15.75" customHeight="1" x14ac:dyDescent="0.25">
      <c r="A253" s="333"/>
      <c r="C253" s="360"/>
      <c r="D253" s="361"/>
      <c r="E253" s="333"/>
      <c r="F253" s="333"/>
      <c r="G253" s="333"/>
      <c r="H253" s="333"/>
      <c r="K253" s="362"/>
      <c r="S253" s="333"/>
    </row>
    <row r="254" spans="1:19" ht="15.75" customHeight="1" x14ac:dyDescent="0.25">
      <c r="A254" s="333"/>
      <c r="C254" s="360"/>
      <c r="D254" s="361"/>
      <c r="E254" s="333"/>
      <c r="F254" s="333"/>
      <c r="G254" s="333"/>
      <c r="H254" s="333"/>
      <c r="K254" s="362"/>
      <c r="S254" s="333"/>
    </row>
    <row r="255" spans="1:19" ht="15.75" customHeight="1" x14ac:dyDescent="0.25">
      <c r="A255" s="333"/>
      <c r="C255" s="360"/>
      <c r="D255" s="361"/>
      <c r="E255" s="333"/>
      <c r="F255" s="333"/>
      <c r="G255" s="333"/>
      <c r="H255" s="333"/>
      <c r="K255" s="362"/>
      <c r="S255" s="333"/>
    </row>
    <row r="256" spans="1:19" ht="15.75" customHeight="1" x14ac:dyDescent="0.25">
      <c r="A256" s="333"/>
      <c r="C256" s="360"/>
      <c r="D256" s="361"/>
      <c r="E256" s="333"/>
      <c r="F256" s="333"/>
      <c r="G256" s="333"/>
      <c r="H256" s="333"/>
      <c r="K256" s="362"/>
      <c r="S256" s="333"/>
    </row>
    <row r="257" spans="1:19" ht="15.75" customHeight="1" x14ac:dyDescent="0.25">
      <c r="A257" s="333"/>
      <c r="C257" s="360"/>
      <c r="D257" s="361"/>
      <c r="E257" s="333"/>
      <c r="F257" s="333"/>
      <c r="G257" s="333"/>
      <c r="H257" s="333"/>
      <c r="K257" s="362"/>
      <c r="S257" s="333"/>
    </row>
    <row r="258" spans="1:19" ht="15.75" customHeight="1" x14ac:dyDescent="0.25">
      <c r="A258" s="333"/>
      <c r="C258" s="360"/>
      <c r="D258" s="361"/>
      <c r="E258" s="333"/>
      <c r="F258" s="333"/>
      <c r="G258" s="333"/>
      <c r="H258" s="333"/>
      <c r="K258" s="362"/>
      <c r="S258" s="333"/>
    </row>
    <row r="259" spans="1:19" ht="15.75" customHeight="1" x14ac:dyDescent="0.25">
      <c r="A259" s="333"/>
      <c r="C259" s="360"/>
      <c r="D259" s="361"/>
      <c r="E259" s="333"/>
      <c r="F259" s="333"/>
      <c r="G259" s="333"/>
      <c r="H259" s="333"/>
      <c r="K259" s="362"/>
      <c r="S259" s="333"/>
    </row>
    <row r="260" spans="1:19" ht="15.75" customHeight="1" x14ac:dyDescent="0.25">
      <c r="A260" s="333"/>
      <c r="C260" s="360"/>
      <c r="D260" s="361"/>
      <c r="E260" s="333"/>
      <c r="F260" s="333"/>
      <c r="G260" s="333"/>
      <c r="H260" s="333"/>
      <c r="K260" s="362"/>
      <c r="S260" s="333"/>
    </row>
    <row r="261" spans="1:19" ht="15.75" customHeight="1" x14ac:dyDescent="0.25">
      <c r="A261" s="333"/>
      <c r="C261" s="360"/>
      <c r="D261" s="361"/>
      <c r="E261" s="333"/>
      <c r="F261" s="333"/>
      <c r="G261" s="333"/>
      <c r="H261" s="333"/>
      <c r="K261" s="362"/>
      <c r="S261" s="333"/>
    </row>
    <row r="262" spans="1:19" ht="15.75" customHeight="1" x14ac:dyDescent="0.25">
      <c r="A262" s="333"/>
      <c r="C262" s="360"/>
      <c r="D262" s="361"/>
      <c r="E262" s="333"/>
      <c r="F262" s="333"/>
      <c r="G262" s="333"/>
      <c r="H262" s="333"/>
      <c r="K262" s="362"/>
      <c r="S262" s="333"/>
    </row>
    <row r="263" spans="1:19" ht="15.75" customHeight="1" x14ac:dyDescent="0.25">
      <c r="A263" s="333"/>
      <c r="C263" s="360"/>
      <c r="D263" s="361"/>
      <c r="E263" s="333"/>
      <c r="F263" s="333"/>
      <c r="G263" s="333"/>
      <c r="H263" s="333"/>
      <c r="K263" s="362"/>
      <c r="S263" s="333"/>
    </row>
    <row r="264" spans="1:19" ht="15.75" customHeight="1" x14ac:dyDescent="0.25">
      <c r="A264" s="333"/>
      <c r="C264" s="360"/>
      <c r="D264" s="361"/>
      <c r="E264" s="333"/>
      <c r="F264" s="333"/>
      <c r="G264" s="333"/>
      <c r="H264" s="333"/>
      <c r="K264" s="362"/>
      <c r="S264" s="333"/>
    </row>
    <row r="265" spans="1:19" ht="15.75" customHeight="1" x14ac:dyDescent="0.25">
      <c r="A265" s="333"/>
      <c r="C265" s="360"/>
      <c r="D265" s="361"/>
      <c r="E265" s="333"/>
      <c r="F265" s="333"/>
      <c r="G265" s="333"/>
      <c r="H265" s="333"/>
      <c r="K265" s="362"/>
      <c r="S265" s="333"/>
    </row>
    <row r="266" spans="1:19" ht="15.75" customHeight="1" x14ac:dyDescent="0.25">
      <c r="A266" s="333"/>
      <c r="C266" s="360"/>
      <c r="D266" s="361"/>
      <c r="E266" s="333"/>
      <c r="F266" s="333"/>
      <c r="G266" s="333"/>
      <c r="H266" s="333"/>
      <c r="K266" s="362"/>
      <c r="S266" s="333"/>
    </row>
    <row r="267" spans="1:19" ht="15.75" customHeight="1" x14ac:dyDescent="0.25">
      <c r="A267" s="333"/>
      <c r="C267" s="360"/>
      <c r="D267" s="361"/>
      <c r="E267" s="333"/>
      <c r="F267" s="333"/>
      <c r="G267" s="333"/>
      <c r="H267" s="333"/>
      <c r="K267" s="362"/>
      <c r="S267" s="333"/>
    </row>
    <row r="268" spans="1:19" ht="15.75" customHeight="1" x14ac:dyDescent="0.25">
      <c r="A268" s="333"/>
      <c r="C268" s="360"/>
      <c r="D268" s="361"/>
      <c r="E268" s="333"/>
      <c r="F268" s="333"/>
      <c r="G268" s="333"/>
      <c r="H268" s="333"/>
      <c r="K268" s="362"/>
      <c r="S268" s="333"/>
    </row>
    <row r="269" spans="1:19" ht="15.75" customHeight="1" x14ac:dyDescent="0.25">
      <c r="A269" s="333"/>
      <c r="C269" s="360"/>
      <c r="D269" s="361"/>
      <c r="E269" s="333"/>
      <c r="F269" s="333"/>
      <c r="G269" s="333"/>
      <c r="H269" s="333"/>
      <c r="K269" s="362"/>
      <c r="S269" s="333"/>
    </row>
    <row r="270" spans="1:19" ht="15.75" customHeight="1" x14ac:dyDescent="0.25">
      <c r="A270" s="333"/>
      <c r="C270" s="360"/>
      <c r="D270" s="361"/>
      <c r="E270" s="333"/>
      <c r="F270" s="333"/>
      <c r="G270" s="333"/>
      <c r="H270" s="333"/>
      <c r="K270" s="362"/>
      <c r="S270" s="333"/>
    </row>
    <row r="271" spans="1:19" ht="15.75" customHeight="1" x14ac:dyDescent="0.25">
      <c r="A271" s="333"/>
      <c r="C271" s="360"/>
      <c r="D271" s="361"/>
      <c r="E271" s="333"/>
      <c r="F271" s="333"/>
      <c r="G271" s="333"/>
      <c r="H271" s="333"/>
      <c r="K271" s="362"/>
      <c r="S271" s="333"/>
    </row>
    <row r="272" spans="1:19" ht="15.75" customHeight="1" x14ac:dyDescent="0.25">
      <c r="A272" s="333"/>
      <c r="C272" s="360"/>
      <c r="D272" s="361"/>
      <c r="E272" s="333"/>
      <c r="F272" s="333"/>
      <c r="G272" s="333"/>
      <c r="H272" s="333"/>
      <c r="K272" s="362"/>
      <c r="S272" s="333"/>
    </row>
    <row r="273" spans="1:19" ht="15.75" customHeight="1" x14ac:dyDescent="0.25">
      <c r="A273" s="333"/>
      <c r="C273" s="360"/>
      <c r="D273" s="361"/>
      <c r="E273" s="333"/>
      <c r="F273" s="333"/>
      <c r="G273" s="333"/>
      <c r="H273" s="333"/>
      <c r="K273" s="362"/>
      <c r="S273" s="333"/>
    </row>
    <row r="274" spans="1:19" ht="15.75" customHeight="1" x14ac:dyDescent="0.25">
      <c r="A274" s="333"/>
      <c r="C274" s="360"/>
      <c r="D274" s="361"/>
      <c r="E274" s="333"/>
      <c r="F274" s="333"/>
      <c r="G274" s="333"/>
      <c r="H274" s="333"/>
      <c r="K274" s="362"/>
      <c r="S274" s="333"/>
    </row>
    <row r="275" spans="1:19" ht="15.75" customHeight="1" x14ac:dyDescent="0.25">
      <c r="A275" s="333"/>
      <c r="C275" s="360"/>
      <c r="D275" s="361"/>
      <c r="E275" s="333"/>
      <c r="F275" s="333"/>
      <c r="G275" s="333"/>
      <c r="H275" s="333"/>
      <c r="K275" s="362"/>
      <c r="S275" s="333"/>
    </row>
    <row r="276" spans="1:19" ht="15.75" customHeight="1" x14ac:dyDescent="0.25">
      <c r="A276" s="333"/>
      <c r="C276" s="360"/>
      <c r="D276" s="361"/>
      <c r="E276" s="333"/>
      <c r="F276" s="333"/>
      <c r="G276" s="333"/>
      <c r="H276" s="333"/>
      <c r="K276" s="362"/>
      <c r="S276" s="333"/>
    </row>
    <row r="277" spans="1:19" ht="15.75" customHeight="1" x14ac:dyDescent="0.25">
      <c r="A277" s="333"/>
      <c r="C277" s="360"/>
      <c r="D277" s="361"/>
      <c r="E277" s="333"/>
      <c r="F277" s="333"/>
      <c r="G277" s="333"/>
      <c r="H277" s="333"/>
      <c r="K277" s="362"/>
      <c r="S277" s="333"/>
    </row>
    <row r="278" spans="1:19" ht="15.75" customHeight="1" x14ac:dyDescent="0.25">
      <c r="A278" s="333"/>
      <c r="C278" s="360"/>
      <c r="D278" s="361"/>
      <c r="E278" s="333"/>
      <c r="F278" s="333"/>
      <c r="G278" s="333"/>
      <c r="H278" s="333"/>
      <c r="K278" s="362"/>
      <c r="S278" s="333"/>
    </row>
    <row r="279" spans="1:19" ht="15.75" customHeight="1" x14ac:dyDescent="0.25">
      <c r="A279" s="333"/>
      <c r="C279" s="360"/>
      <c r="D279" s="361"/>
      <c r="E279" s="333"/>
      <c r="F279" s="333"/>
      <c r="G279" s="333"/>
      <c r="H279" s="333"/>
      <c r="K279" s="362"/>
      <c r="S279" s="333"/>
    </row>
    <row r="280" spans="1:19" ht="15.75" customHeight="1" x14ac:dyDescent="0.25">
      <c r="A280" s="333"/>
      <c r="C280" s="360"/>
      <c r="D280" s="361"/>
      <c r="E280" s="333"/>
      <c r="F280" s="333"/>
      <c r="G280" s="333"/>
      <c r="H280" s="333"/>
      <c r="K280" s="362"/>
      <c r="S280" s="333"/>
    </row>
    <row r="281" spans="1:19" ht="15.75" customHeight="1" x14ac:dyDescent="0.25">
      <c r="A281" s="333"/>
      <c r="C281" s="360"/>
      <c r="D281" s="361"/>
      <c r="E281" s="333"/>
      <c r="F281" s="333"/>
      <c r="G281" s="333"/>
      <c r="H281" s="333"/>
      <c r="K281" s="362"/>
      <c r="S281" s="333"/>
    </row>
    <row r="282" spans="1:19" ht="15.75" customHeight="1" x14ac:dyDescent="0.25">
      <c r="A282" s="333"/>
      <c r="C282" s="360"/>
      <c r="D282" s="361"/>
      <c r="E282" s="333"/>
      <c r="F282" s="333"/>
      <c r="G282" s="333"/>
      <c r="H282" s="333"/>
      <c r="K282" s="362"/>
      <c r="S282" s="333"/>
    </row>
    <row r="283" spans="1:19" ht="15.75" customHeight="1" x14ac:dyDescent="0.25">
      <c r="A283" s="333"/>
      <c r="C283" s="360"/>
      <c r="D283" s="361"/>
      <c r="E283" s="333"/>
      <c r="F283" s="333"/>
      <c r="G283" s="333"/>
      <c r="H283" s="333"/>
      <c r="K283" s="362"/>
      <c r="S283" s="333"/>
    </row>
    <row r="284" spans="1:19" ht="15.75" customHeight="1" x14ac:dyDescent="0.25">
      <c r="A284" s="333"/>
      <c r="C284" s="360"/>
      <c r="D284" s="361"/>
      <c r="E284" s="333"/>
      <c r="F284" s="333"/>
      <c r="G284" s="333"/>
      <c r="H284" s="333"/>
      <c r="K284" s="362"/>
      <c r="S284" s="333"/>
    </row>
    <row r="285" spans="1:19" ht="15.75" customHeight="1" x14ac:dyDescent="0.25">
      <c r="A285" s="333"/>
      <c r="C285" s="360"/>
      <c r="D285" s="361"/>
      <c r="E285" s="333"/>
      <c r="F285" s="333"/>
      <c r="G285" s="333"/>
      <c r="H285" s="333"/>
      <c r="K285" s="362"/>
      <c r="S285" s="333"/>
    </row>
    <row r="286" spans="1:19" ht="15.75" customHeight="1" x14ac:dyDescent="0.25">
      <c r="A286" s="333"/>
      <c r="C286" s="360"/>
      <c r="D286" s="361"/>
      <c r="E286" s="333"/>
      <c r="F286" s="333"/>
      <c r="G286" s="333"/>
      <c r="H286" s="333"/>
      <c r="K286" s="362"/>
      <c r="S286" s="333"/>
    </row>
    <row r="287" spans="1:19" ht="15.75" customHeight="1" x14ac:dyDescent="0.25">
      <c r="A287" s="333"/>
      <c r="C287" s="360"/>
      <c r="D287" s="361"/>
      <c r="E287" s="333"/>
      <c r="F287" s="333"/>
      <c r="G287" s="333"/>
      <c r="H287" s="333"/>
      <c r="K287" s="362"/>
      <c r="S287" s="333"/>
    </row>
    <row r="288" spans="1:19" ht="15.75" customHeight="1" x14ac:dyDescent="0.25">
      <c r="A288" s="333"/>
      <c r="C288" s="360"/>
      <c r="D288" s="361"/>
      <c r="E288" s="333"/>
      <c r="F288" s="333"/>
      <c r="G288" s="333"/>
      <c r="H288" s="333"/>
      <c r="K288" s="362"/>
      <c r="S288" s="333"/>
    </row>
    <row r="289" spans="1:19" ht="15.75" customHeight="1" x14ac:dyDescent="0.25">
      <c r="A289" s="333"/>
      <c r="C289" s="360"/>
      <c r="D289" s="361"/>
      <c r="E289" s="333"/>
      <c r="F289" s="333"/>
      <c r="G289" s="333"/>
      <c r="H289" s="333"/>
      <c r="K289" s="362"/>
      <c r="S289" s="333"/>
    </row>
    <row r="290" spans="1:19" ht="15.75" customHeight="1" x14ac:dyDescent="0.25">
      <c r="A290" s="333"/>
      <c r="C290" s="360"/>
      <c r="D290" s="361"/>
      <c r="E290" s="333"/>
      <c r="F290" s="333"/>
      <c r="G290" s="333"/>
      <c r="H290" s="333"/>
      <c r="K290" s="362"/>
      <c r="S290" s="333"/>
    </row>
    <row r="291" spans="1:19" ht="15.75" customHeight="1" x14ac:dyDescent="0.25">
      <c r="A291" s="333"/>
      <c r="C291" s="360"/>
      <c r="D291" s="361"/>
      <c r="E291" s="333"/>
      <c r="F291" s="333"/>
      <c r="G291" s="333"/>
      <c r="H291" s="333"/>
      <c r="K291" s="362"/>
      <c r="S291" s="333"/>
    </row>
    <row r="292" spans="1:19" ht="15.75" customHeight="1" x14ac:dyDescent="0.25">
      <c r="A292" s="333"/>
      <c r="C292" s="360"/>
      <c r="D292" s="361"/>
      <c r="E292" s="333"/>
      <c r="F292" s="333"/>
      <c r="G292" s="333"/>
      <c r="H292" s="333"/>
      <c r="K292" s="362"/>
      <c r="S292" s="333"/>
    </row>
    <row r="293" spans="1:19" ht="15.75" customHeight="1" x14ac:dyDescent="0.25">
      <c r="A293" s="333"/>
      <c r="C293" s="360"/>
      <c r="D293" s="361"/>
      <c r="E293" s="333"/>
      <c r="F293" s="333"/>
      <c r="G293" s="333"/>
      <c r="H293" s="333"/>
      <c r="K293" s="362"/>
      <c r="S293" s="333"/>
    </row>
    <row r="294" spans="1:19" ht="15.75" customHeight="1" x14ac:dyDescent="0.25">
      <c r="A294" s="333"/>
      <c r="C294" s="360"/>
      <c r="D294" s="361"/>
      <c r="E294" s="333"/>
      <c r="F294" s="333"/>
      <c r="G294" s="333"/>
      <c r="H294" s="333"/>
      <c r="K294" s="362"/>
      <c r="S294" s="333"/>
    </row>
    <row r="295" spans="1:19" ht="15.75" customHeight="1" x14ac:dyDescent="0.25">
      <c r="A295" s="333"/>
      <c r="C295" s="360"/>
      <c r="D295" s="361"/>
      <c r="E295" s="333"/>
      <c r="F295" s="333"/>
      <c r="G295" s="333"/>
      <c r="H295" s="333"/>
      <c r="K295" s="362"/>
      <c r="S295" s="333"/>
    </row>
    <row r="296" spans="1:19" ht="15.75" customHeight="1" x14ac:dyDescent="0.25">
      <c r="A296" s="333"/>
      <c r="C296" s="360"/>
      <c r="D296" s="361"/>
      <c r="E296" s="333"/>
      <c r="F296" s="333"/>
      <c r="G296" s="333"/>
      <c r="H296" s="333"/>
      <c r="K296" s="362"/>
      <c r="S296" s="333"/>
    </row>
    <row r="297" spans="1:19" ht="15.75" customHeight="1" x14ac:dyDescent="0.25">
      <c r="A297" s="333"/>
      <c r="C297" s="360"/>
      <c r="D297" s="361"/>
      <c r="E297" s="333"/>
      <c r="F297" s="333"/>
      <c r="G297" s="333"/>
      <c r="H297" s="333"/>
      <c r="K297" s="362"/>
      <c r="S297" s="333"/>
    </row>
    <row r="298" spans="1:19" ht="15.75" customHeight="1" x14ac:dyDescent="0.25">
      <c r="A298" s="333"/>
      <c r="C298" s="360"/>
      <c r="D298" s="361"/>
      <c r="E298" s="333"/>
      <c r="F298" s="333"/>
      <c r="G298" s="333"/>
      <c r="H298" s="333"/>
      <c r="K298" s="362"/>
      <c r="S298" s="333"/>
    </row>
    <row r="299" spans="1:19" ht="15.75" customHeight="1" x14ac:dyDescent="0.25">
      <c r="A299" s="333"/>
      <c r="C299" s="360"/>
      <c r="D299" s="361"/>
      <c r="E299" s="333"/>
      <c r="F299" s="333"/>
      <c r="G299" s="333"/>
      <c r="H299" s="333"/>
      <c r="K299" s="362"/>
      <c r="S299" s="333"/>
    </row>
    <row r="300" spans="1:19" ht="15.75" customHeight="1" x14ac:dyDescent="0.25">
      <c r="A300" s="333"/>
      <c r="C300" s="360"/>
      <c r="D300" s="361"/>
      <c r="E300" s="333"/>
      <c r="F300" s="333"/>
      <c r="G300" s="333"/>
      <c r="H300" s="333"/>
      <c r="K300" s="362"/>
      <c r="S300" s="333"/>
    </row>
    <row r="301" spans="1:19" ht="15.75" customHeight="1" x14ac:dyDescent="0.25">
      <c r="A301" s="333"/>
      <c r="C301" s="360"/>
      <c r="D301" s="361"/>
      <c r="E301" s="333"/>
      <c r="F301" s="333"/>
      <c r="G301" s="333"/>
      <c r="H301" s="333"/>
      <c r="K301" s="362"/>
      <c r="S301" s="333"/>
    </row>
    <row r="302" spans="1:19" ht="15.75" customHeight="1" x14ac:dyDescent="0.25">
      <c r="A302" s="333"/>
      <c r="C302" s="360"/>
      <c r="D302" s="361"/>
      <c r="E302" s="333"/>
      <c r="F302" s="333"/>
      <c r="G302" s="333"/>
      <c r="H302" s="333"/>
      <c r="K302" s="362"/>
      <c r="S302" s="333"/>
    </row>
    <row r="303" spans="1:19" ht="15.75" customHeight="1" x14ac:dyDescent="0.25">
      <c r="A303" s="333"/>
      <c r="C303" s="360"/>
      <c r="D303" s="361"/>
      <c r="E303" s="333"/>
      <c r="F303" s="333"/>
      <c r="G303" s="333"/>
      <c r="H303" s="333"/>
      <c r="K303" s="362"/>
      <c r="S303" s="333"/>
    </row>
    <row r="304" spans="1:19" ht="15.75" customHeight="1" x14ac:dyDescent="0.25">
      <c r="A304" s="333"/>
      <c r="C304" s="360"/>
      <c r="D304" s="361"/>
      <c r="E304" s="333"/>
      <c r="F304" s="333"/>
      <c r="G304" s="333"/>
      <c r="H304" s="333"/>
      <c r="K304" s="362"/>
      <c r="S304" s="333"/>
    </row>
    <row r="305" spans="1:19" ht="15.75" customHeight="1" x14ac:dyDescent="0.25">
      <c r="A305" s="333"/>
      <c r="C305" s="360"/>
      <c r="D305" s="361"/>
      <c r="E305" s="333"/>
      <c r="F305" s="333"/>
      <c r="G305" s="333"/>
      <c r="H305" s="333"/>
      <c r="K305" s="362"/>
      <c r="S305" s="333"/>
    </row>
    <row r="306" spans="1:19" ht="15.75" customHeight="1" x14ac:dyDescent="0.25">
      <c r="A306" s="333"/>
      <c r="C306" s="360"/>
      <c r="D306" s="361"/>
      <c r="E306" s="333"/>
      <c r="F306" s="333"/>
      <c r="G306" s="333"/>
      <c r="H306" s="333"/>
      <c r="K306" s="362"/>
      <c r="S306" s="333"/>
    </row>
    <row r="307" spans="1:19" ht="15.75" customHeight="1" x14ac:dyDescent="0.25">
      <c r="A307" s="333"/>
      <c r="C307" s="360"/>
      <c r="D307" s="361"/>
      <c r="E307" s="333"/>
      <c r="F307" s="333"/>
      <c r="G307" s="333"/>
      <c r="H307" s="333"/>
      <c r="K307" s="362"/>
      <c r="S307" s="333"/>
    </row>
    <row r="308" spans="1:19" ht="15.75" customHeight="1" x14ac:dyDescent="0.25">
      <c r="A308" s="333"/>
      <c r="C308" s="360"/>
      <c r="D308" s="361"/>
      <c r="E308" s="333"/>
      <c r="F308" s="333"/>
      <c r="G308" s="333"/>
      <c r="H308" s="333"/>
      <c r="K308" s="362"/>
      <c r="S308" s="333"/>
    </row>
    <row r="309" spans="1:19" ht="15.75" customHeight="1" x14ac:dyDescent="0.25">
      <c r="A309" s="333"/>
      <c r="C309" s="360"/>
      <c r="D309" s="361"/>
      <c r="E309" s="333"/>
      <c r="F309" s="333"/>
      <c r="G309" s="333"/>
      <c r="H309" s="333"/>
      <c r="K309" s="362"/>
      <c r="S309" s="333"/>
    </row>
    <row r="310" spans="1:19" ht="15.75" customHeight="1" x14ac:dyDescent="0.25">
      <c r="A310" s="333"/>
      <c r="C310" s="360"/>
      <c r="D310" s="361"/>
      <c r="E310" s="333"/>
      <c r="F310" s="333"/>
      <c r="G310" s="333"/>
      <c r="H310" s="333"/>
      <c r="K310" s="362"/>
      <c r="S310" s="333"/>
    </row>
    <row r="311" spans="1:19" ht="15.75" customHeight="1" x14ac:dyDescent="0.25">
      <c r="A311" s="333"/>
      <c r="C311" s="360"/>
      <c r="D311" s="361"/>
      <c r="E311" s="333"/>
      <c r="F311" s="333"/>
      <c r="G311" s="333"/>
      <c r="H311" s="333"/>
      <c r="K311" s="362"/>
      <c r="S311" s="333"/>
    </row>
    <row r="312" spans="1:19" ht="15.75" customHeight="1" x14ac:dyDescent="0.25">
      <c r="A312" s="333"/>
      <c r="C312" s="360"/>
      <c r="D312" s="361"/>
      <c r="E312" s="333"/>
      <c r="F312" s="333"/>
      <c r="G312" s="333"/>
      <c r="H312" s="333"/>
      <c r="K312" s="362"/>
      <c r="S312" s="333"/>
    </row>
    <row r="313" spans="1:19" ht="15.75" customHeight="1" x14ac:dyDescent="0.25">
      <c r="A313" s="333"/>
      <c r="C313" s="360"/>
      <c r="D313" s="361"/>
      <c r="E313" s="333"/>
      <c r="F313" s="333"/>
      <c r="G313" s="333"/>
      <c r="H313" s="333"/>
      <c r="K313" s="362"/>
      <c r="S313" s="333"/>
    </row>
    <row r="314" spans="1:19" ht="15.75" customHeight="1" x14ac:dyDescent="0.25">
      <c r="A314" s="333"/>
      <c r="C314" s="360"/>
      <c r="D314" s="361"/>
      <c r="E314" s="333"/>
      <c r="F314" s="333"/>
      <c r="G314" s="333"/>
      <c r="H314" s="333"/>
      <c r="K314" s="362"/>
      <c r="S314" s="333"/>
    </row>
    <row r="315" spans="1:19" ht="15.75" customHeight="1" x14ac:dyDescent="0.25">
      <c r="A315" s="333"/>
      <c r="C315" s="360"/>
      <c r="D315" s="361"/>
      <c r="E315" s="333"/>
      <c r="F315" s="333"/>
      <c r="G315" s="333"/>
      <c r="H315" s="333"/>
      <c r="K315" s="362"/>
      <c r="S315" s="333"/>
    </row>
    <row r="316" spans="1:19" ht="15.75" customHeight="1" x14ac:dyDescent="0.25">
      <c r="A316" s="333"/>
      <c r="C316" s="360"/>
      <c r="D316" s="361"/>
      <c r="E316" s="333"/>
      <c r="F316" s="333"/>
      <c r="G316" s="333"/>
      <c r="H316" s="333"/>
      <c r="K316" s="362"/>
      <c r="S316" s="333"/>
    </row>
    <row r="317" spans="1:19" ht="15.75" customHeight="1" x14ac:dyDescent="0.25">
      <c r="A317" s="333"/>
      <c r="C317" s="360"/>
      <c r="D317" s="361"/>
      <c r="E317" s="333"/>
      <c r="F317" s="333"/>
      <c r="G317" s="333"/>
      <c r="H317" s="333"/>
      <c r="K317" s="362"/>
      <c r="S317" s="333"/>
    </row>
    <row r="318" spans="1:19" ht="15.75" customHeight="1" x14ac:dyDescent="0.25">
      <c r="A318" s="333"/>
      <c r="C318" s="360"/>
      <c r="D318" s="361"/>
      <c r="E318" s="333"/>
      <c r="F318" s="333"/>
      <c r="G318" s="333"/>
      <c r="H318" s="333"/>
      <c r="K318" s="362"/>
      <c r="S318" s="333"/>
    </row>
    <row r="319" spans="1:19" ht="15.75" customHeight="1" x14ac:dyDescent="0.25">
      <c r="A319" s="333"/>
      <c r="C319" s="360"/>
      <c r="D319" s="361"/>
      <c r="E319" s="333"/>
      <c r="F319" s="333"/>
      <c r="G319" s="333"/>
      <c r="H319" s="333"/>
      <c r="K319" s="362"/>
      <c r="S319" s="333"/>
    </row>
    <row r="320" spans="1:19" ht="15.75" customHeight="1" x14ac:dyDescent="0.25">
      <c r="A320" s="333"/>
      <c r="C320" s="360"/>
      <c r="D320" s="361"/>
      <c r="E320" s="333"/>
      <c r="F320" s="333"/>
      <c r="G320" s="333"/>
      <c r="H320" s="333"/>
      <c r="K320" s="362"/>
      <c r="S320" s="333"/>
    </row>
    <row r="321" spans="1:19" ht="15.75" customHeight="1" x14ac:dyDescent="0.25">
      <c r="A321" s="333"/>
      <c r="C321" s="360"/>
      <c r="D321" s="361"/>
      <c r="E321" s="333"/>
      <c r="F321" s="333"/>
      <c r="G321" s="333"/>
      <c r="H321" s="333"/>
      <c r="K321" s="362"/>
      <c r="S321" s="333"/>
    </row>
    <row r="322" spans="1:19" ht="15.75" customHeight="1" x14ac:dyDescent="0.25">
      <c r="A322" s="333"/>
      <c r="C322" s="360"/>
      <c r="D322" s="361"/>
      <c r="E322" s="333"/>
      <c r="F322" s="333"/>
      <c r="G322" s="333"/>
      <c r="H322" s="333"/>
      <c r="K322" s="362"/>
      <c r="S322" s="333"/>
    </row>
    <row r="323" spans="1:19" ht="15.75" customHeight="1" x14ac:dyDescent="0.25">
      <c r="A323" s="333"/>
      <c r="C323" s="360"/>
      <c r="D323" s="361"/>
      <c r="E323" s="333"/>
      <c r="F323" s="333"/>
      <c r="G323" s="333"/>
      <c r="H323" s="333"/>
      <c r="K323" s="362"/>
      <c r="S323" s="333"/>
    </row>
    <row r="324" spans="1:19" ht="15.75" customHeight="1" x14ac:dyDescent="0.25">
      <c r="A324" s="333"/>
      <c r="C324" s="360"/>
      <c r="D324" s="361"/>
      <c r="E324" s="333"/>
      <c r="F324" s="333"/>
      <c r="G324" s="333"/>
      <c r="H324" s="333"/>
      <c r="K324" s="362"/>
      <c r="S324" s="333"/>
    </row>
    <row r="325" spans="1:19" ht="15.75" customHeight="1" x14ac:dyDescent="0.25">
      <c r="A325" s="333"/>
      <c r="C325" s="360"/>
      <c r="D325" s="361"/>
      <c r="E325" s="333"/>
      <c r="F325" s="333"/>
      <c r="G325" s="333"/>
      <c r="H325" s="333"/>
      <c r="K325" s="362"/>
      <c r="S325" s="333"/>
    </row>
    <row r="326" spans="1:19" ht="15.75" customHeight="1" x14ac:dyDescent="0.25">
      <c r="A326" s="333"/>
      <c r="C326" s="360"/>
      <c r="D326" s="361"/>
      <c r="E326" s="333"/>
      <c r="F326" s="333"/>
      <c r="G326" s="333"/>
      <c r="H326" s="333"/>
      <c r="K326" s="362"/>
      <c r="S326" s="333"/>
    </row>
    <row r="327" spans="1:19" ht="15.75" customHeight="1" x14ac:dyDescent="0.25">
      <c r="A327" s="333"/>
      <c r="C327" s="360"/>
      <c r="D327" s="361"/>
      <c r="E327" s="333"/>
      <c r="F327" s="333"/>
      <c r="G327" s="333"/>
      <c r="H327" s="333"/>
      <c r="K327" s="362"/>
      <c r="S327" s="333"/>
    </row>
    <row r="328" spans="1:19" ht="15.75" customHeight="1" x14ac:dyDescent="0.25">
      <c r="A328" s="333"/>
      <c r="C328" s="360"/>
      <c r="D328" s="361"/>
      <c r="E328" s="333"/>
      <c r="F328" s="333"/>
      <c r="G328" s="333"/>
      <c r="H328" s="333"/>
      <c r="K328" s="362"/>
      <c r="S328" s="333"/>
    </row>
    <row r="329" spans="1:19" ht="15.75" customHeight="1" x14ac:dyDescent="0.25">
      <c r="A329" s="333"/>
      <c r="C329" s="360"/>
      <c r="D329" s="361"/>
      <c r="E329" s="333"/>
      <c r="F329" s="333"/>
      <c r="G329" s="333"/>
      <c r="H329" s="333"/>
      <c r="K329" s="362"/>
      <c r="S329" s="333"/>
    </row>
    <row r="330" spans="1:19" ht="15.75" customHeight="1" x14ac:dyDescent="0.25">
      <c r="A330" s="333"/>
      <c r="C330" s="360"/>
      <c r="D330" s="361"/>
      <c r="E330" s="333"/>
      <c r="F330" s="333"/>
      <c r="G330" s="333"/>
      <c r="H330" s="333"/>
      <c r="K330" s="362"/>
      <c r="S330" s="333"/>
    </row>
    <row r="331" spans="1:19" ht="15.75" customHeight="1" x14ac:dyDescent="0.25">
      <c r="A331" s="333"/>
      <c r="C331" s="360"/>
      <c r="D331" s="361"/>
      <c r="E331" s="333"/>
      <c r="F331" s="333"/>
      <c r="G331" s="333"/>
      <c r="H331" s="333"/>
      <c r="K331" s="362"/>
      <c r="S331" s="333"/>
    </row>
    <row r="332" spans="1:19" ht="15.75" customHeight="1" x14ac:dyDescent="0.25">
      <c r="A332" s="333"/>
      <c r="C332" s="360"/>
      <c r="D332" s="361"/>
      <c r="E332" s="333"/>
      <c r="F332" s="333"/>
      <c r="G332" s="333"/>
      <c r="H332" s="333"/>
      <c r="K332" s="362"/>
      <c r="S332" s="333"/>
    </row>
    <row r="333" spans="1:19" ht="15.75" customHeight="1" x14ac:dyDescent="0.25">
      <c r="A333" s="333"/>
      <c r="C333" s="360"/>
      <c r="D333" s="361"/>
      <c r="E333" s="333"/>
      <c r="F333" s="333"/>
      <c r="G333" s="333"/>
      <c r="H333" s="333"/>
      <c r="K333" s="362"/>
      <c r="S333" s="333"/>
    </row>
    <row r="334" spans="1:19" ht="15.75" customHeight="1" x14ac:dyDescent="0.25">
      <c r="A334" s="333"/>
      <c r="C334" s="360"/>
      <c r="D334" s="361"/>
      <c r="E334" s="333"/>
      <c r="F334" s="333"/>
      <c r="G334" s="333"/>
      <c r="H334" s="333"/>
      <c r="K334" s="362"/>
      <c r="S334" s="333"/>
    </row>
    <row r="335" spans="1:19" ht="15.75" customHeight="1" x14ac:dyDescent="0.25">
      <c r="A335" s="333"/>
      <c r="C335" s="360"/>
      <c r="D335" s="361"/>
      <c r="E335" s="333"/>
      <c r="F335" s="333"/>
      <c r="G335" s="333"/>
      <c r="H335" s="333"/>
      <c r="K335" s="362"/>
      <c r="S335" s="333"/>
    </row>
    <row r="336" spans="1:19" ht="15.75" customHeight="1" x14ac:dyDescent="0.25">
      <c r="A336" s="333"/>
      <c r="C336" s="360"/>
      <c r="D336" s="361"/>
      <c r="E336" s="333"/>
      <c r="F336" s="333"/>
      <c r="G336" s="333"/>
      <c r="H336" s="333"/>
      <c r="K336" s="362"/>
      <c r="S336" s="333"/>
    </row>
    <row r="337" spans="1:19" ht="15.75" customHeight="1" x14ac:dyDescent="0.25">
      <c r="A337" s="333"/>
      <c r="C337" s="360"/>
      <c r="D337" s="361"/>
      <c r="E337" s="333"/>
      <c r="F337" s="333"/>
      <c r="G337" s="333"/>
      <c r="H337" s="333"/>
      <c r="K337" s="362"/>
      <c r="S337" s="333"/>
    </row>
    <row r="338" spans="1:19" ht="15.75" customHeight="1" x14ac:dyDescent="0.25">
      <c r="A338" s="333"/>
      <c r="C338" s="360"/>
      <c r="D338" s="361"/>
      <c r="E338" s="333"/>
      <c r="F338" s="333"/>
      <c r="G338" s="333"/>
      <c r="H338" s="333"/>
      <c r="K338" s="362"/>
      <c r="S338" s="333"/>
    </row>
    <row r="339" spans="1:19" ht="15.75" customHeight="1" x14ac:dyDescent="0.25">
      <c r="A339" s="333"/>
      <c r="C339" s="360"/>
      <c r="D339" s="361"/>
      <c r="E339" s="333"/>
      <c r="F339" s="333"/>
      <c r="G339" s="333"/>
      <c r="H339" s="333"/>
      <c r="K339" s="362"/>
      <c r="S339" s="333"/>
    </row>
    <row r="340" spans="1:19" ht="15.75" customHeight="1" x14ac:dyDescent="0.25">
      <c r="A340" s="333"/>
      <c r="C340" s="360"/>
      <c r="D340" s="361"/>
      <c r="E340" s="333"/>
      <c r="F340" s="333"/>
      <c r="G340" s="333"/>
      <c r="H340" s="333"/>
      <c r="K340" s="362"/>
      <c r="S340" s="333"/>
    </row>
    <row r="341" spans="1:19" ht="15.75" customHeight="1" x14ac:dyDescent="0.25">
      <c r="A341" s="333"/>
      <c r="C341" s="360"/>
      <c r="D341" s="361"/>
      <c r="E341" s="333"/>
      <c r="F341" s="333"/>
      <c r="G341" s="333"/>
      <c r="H341" s="333"/>
      <c r="K341" s="362"/>
      <c r="S341" s="333"/>
    </row>
    <row r="342" spans="1:19" ht="15.75" customHeight="1" x14ac:dyDescent="0.25">
      <c r="A342" s="333"/>
      <c r="C342" s="360"/>
      <c r="D342" s="361"/>
      <c r="E342" s="333"/>
      <c r="F342" s="333"/>
      <c r="G342" s="333"/>
      <c r="H342" s="333"/>
      <c r="K342" s="362"/>
      <c r="S342" s="333"/>
    </row>
    <row r="343" spans="1:19" ht="15.75" customHeight="1" x14ac:dyDescent="0.25">
      <c r="A343" s="333"/>
      <c r="C343" s="360"/>
      <c r="D343" s="361"/>
      <c r="E343" s="333"/>
      <c r="F343" s="333"/>
      <c r="G343" s="333"/>
      <c r="H343" s="333"/>
      <c r="K343" s="362"/>
      <c r="S343" s="333"/>
    </row>
    <row r="344" spans="1:19" ht="15.75" customHeight="1" x14ac:dyDescent="0.25">
      <c r="A344" s="333"/>
      <c r="C344" s="360"/>
      <c r="D344" s="361"/>
      <c r="E344" s="333"/>
      <c r="F344" s="333"/>
      <c r="G344" s="333"/>
      <c r="H344" s="333"/>
      <c r="K344" s="362"/>
      <c r="S344" s="333"/>
    </row>
    <row r="345" spans="1:19" ht="15.75" customHeight="1" x14ac:dyDescent="0.25">
      <c r="A345" s="333"/>
      <c r="C345" s="360"/>
      <c r="D345" s="361"/>
      <c r="E345" s="333"/>
      <c r="F345" s="333"/>
      <c r="G345" s="333"/>
      <c r="H345" s="333"/>
      <c r="K345" s="362"/>
      <c r="S345" s="333"/>
    </row>
    <row r="346" spans="1:19" ht="15.75" customHeight="1" x14ac:dyDescent="0.25">
      <c r="A346" s="333"/>
      <c r="C346" s="360"/>
      <c r="D346" s="361"/>
      <c r="E346" s="333"/>
      <c r="F346" s="333"/>
      <c r="G346" s="333"/>
      <c r="H346" s="333"/>
      <c r="K346" s="362"/>
      <c r="S346" s="333"/>
    </row>
    <row r="347" spans="1:19" ht="15.75" customHeight="1" x14ac:dyDescent="0.25">
      <c r="A347" s="333"/>
      <c r="C347" s="360"/>
      <c r="D347" s="361"/>
      <c r="E347" s="333"/>
      <c r="F347" s="333"/>
      <c r="G347" s="333"/>
      <c r="H347" s="333"/>
      <c r="K347" s="362"/>
      <c r="S347" s="333"/>
    </row>
    <row r="348" spans="1:19" ht="15.75" customHeight="1" x14ac:dyDescent="0.25">
      <c r="A348" s="333"/>
      <c r="C348" s="360"/>
      <c r="D348" s="361"/>
      <c r="E348" s="333"/>
      <c r="F348" s="333"/>
      <c r="G348" s="333"/>
      <c r="H348" s="333"/>
      <c r="K348" s="362"/>
      <c r="S348" s="333"/>
    </row>
    <row r="349" spans="1:19" ht="15.75" customHeight="1" x14ac:dyDescent="0.25">
      <c r="A349" s="333"/>
      <c r="C349" s="360"/>
      <c r="D349" s="361"/>
      <c r="E349" s="333"/>
      <c r="F349" s="333"/>
      <c r="G349" s="333"/>
      <c r="H349" s="333"/>
      <c r="K349" s="362"/>
      <c r="S349" s="333"/>
    </row>
    <row r="350" spans="1:19" ht="15.75" customHeight="1" x14ac:dyDescent="0.25">
      <c r="A350" s="333"/>
      <c r="C350" s="360"/>
      <c r="D350" s="361"/>
      <c r="E350" s="333"/>
      <c r="F350" s="333"/>
      <c r="G350" s="333"/>
      <c r="H350" s="333"/>
      <c r="K350" s="362"/>
      <c r="S350" s="333"/>
    </row>
    <row r="351" spans="1:19" ht="15.75" customHeight="1" x14ac:dyDescent="0.25">
      <c r="A351" s="333"/>
      <c r="C351" s="360"/>
      <c r="D351" s="361"/>
      <c r="E351" s="333"/>
      <c r="F351" s="333"/>
      <c r="G351" s="333"/>
      <c r="H351" s="333"/>
      <c r="K351" s="362"/>
      <c r="S351" s="333"/>
    </row>
    <row r="352" spans="1:19" ht="15.75" customHeight="1" x14ac:dyDescent="0.25">
      <c r="A352" s="333"/>
      <c r="C352" s="360"/>
      <c r="D352" s="361"/>
      <c r="E352" s="333"/>
      <c r="F352" s="333"/>
      <c r="G352" s="333"/>
      <c r="H352" s="333"/>
      <c r="K352" s="362"/>
      <c r="S352" s="333"/>
    </row>
    <row r="353" spans="1:19" ht="15.75" customHeight="1" x14ac:dyDescent="0.25">
      <c r="A353" s="333"/>
      <c r="C353" s="360"/>
      <c r="D353" s="361"/>
      <c r="E353" s="333"/>
      <c r="F353" s="333"/>
      <c r="G353" s="333"/>
      <c r="H353" s="333"/>
      <c r="K353" s="362"/>
      <c r="S353" s="333"/>
    </row>
    <row r="354" spans="1:19" ht="15.75" customHeight="1" x14ac:dyDescent="0.25">
      <c r="A354" s="333"/>
      <c r="C354" s="360"/>
      <c r="D354" s="361"/>
      <c r="E354" s="333"/>
      <c r="F354" s="333"/>
      <c r="G354" s="333"/>
      <c r="H354" s="333"/>
      <c r="K354" s="362"/>
      <c r="S354" s="333"/>
    </row>
    <row r="355" spans="1:19" ht="15.75" customHeight="1" x14ac:dyDescent="0.25">
      <c r="A355" s="333"/>
      <c r="C355" s="360"/>
      <c r="D355" s="361"/>
      <c r="E355" s="333"/>
      <c r="F355" s="333"/>
      <c r="G355" s="333"/>
      <c r="H355" s="333"/>
      <c r="K355" s="362"/>
      <c r="S355" s="333"/>
    </row>
    <row r="356" spans="1:19" ht="15.75" customHeight="1" x14ac:dyDescent="0.25">
      <c r="A356" s="333"/>
      <c r="C356" s="360"/>
      <c r="D356" s="361"/>
      <c r="E356" s="333"/>
      <c r="F356" s="333"/>
      <c r="G356" s="333"/>
      <c r="H356" s="333"/>
      <c r="K356" s="362"/>
      <c r="S356" s="333"/>
    </row>
    <row r="357" spans="1:19" ht="15.75" customHeight="1" x14ac:dyDescent="0.25">
      <c r="A357" s="333"/>
      <c r="C357" s="360"/>
      <c r="D357" s="361"/>
      <c r="E357" s="333"/>
      <c r="F357" s="333"/>
      <c r="G357" s="333"/>
      <c r="H357" s="333"/>
      <c r="K357" s="362"/>
      <c r="S357" s="333"/>
    </row>
    <row r="358" spans="1:19" ht="15.75" customHeight="1" x14ac:dyDescent="0.25">
      <c r="A358" s="333"/>
      <c r="C358" s="360"/>
      <c r="D358" s="361"/>
      <c r="E358" s="333"/>
      <c r="F358" s="333"/>
      <c r="G358" s="333"/>
      <c r="H358" s="333"/>
      <c r="K358" s="362"/>
      <c r="S358" s="333"/>
    </row>
    <row r="359" spans="1:19" ht="15.75" customHeight="1" x14ac:dyDescent="0.25">
      <c r="A359" s="333"/>
      <c r="C359" s="360"/>
      <c r="D359" s="361"/>
      <c r="E359" s="333"/>
      <c r="F359" s="333"/>
      <c r="G359" s="333"/>
      <c r="H359" s="333"/>
      <c r="K359" s="362"/>
      <c r="S359" s="333"/>
    </row>
    <row r="360" spans="1:19" ht="15.75" customHeight="1" x14ac:dyDescent="0.25">
      <c r="A360" s="333"/>
      <c r="C360" s="360"/>
      <c r="D360" s="361"/>
      <c r="E360" s="333"/>
      <c r="F360" s="333"/>
      <c r="G360" s="333"/>
      <c r="H360" s="333"/>
      <c r="K360" s="362"/>
      <c r="S360" s="333"/>
    </row>
    <row r="361" spans="1:19" ht="15.75" customHeight="1" x14ac:dyDescent="0.25">
      <c r="A361" s="333"/>
      <c r="C361" s="360"/>
      <c r="D361" s="361"/>
      <c r="E361" s="333"/>
      <c r="F361" s="333"/>
      <c r="G361" s="333"/>
      <c r="H361" s="333"/>
      <c r="K361" s="362"/>
      <c r="S361" s="333"/>
    </row>
    <row r="362" spans="1:19" ht="15.75" customHeight="1" x14ac:dyDescent="0.25">
      <c r="A362" s="333"/>
      <c r="C362" s="360"/>
      <c r="D362" s="361"/>
      <c r="E362" s="333"/>
      <c r="F362" s="333"/>
      <c r="G362" s="333"/>
      <c r="H362" s="333"/>
      <c r="K362" s="362"/>
      <c r="S362" s="333"/>
    </row>
    <row r="363" spans="1:19" ht="15.75" customHeight="1" x14ac:dyDescent="0.25">
      <c r="A363" s="333"/>
      <c r="C363" s="360"/>
      <c r="D363" s="361"/>
      <c r="E363" s="333"/>
      <c r="F363" s="333"/>
      <c r="G363" s="333"/>
      <c r="H363" s="333"/>
      <c r="K363" s="362"/>
      <c r="S363" s="333"/>
    </row>
    <row r="364" spans="1:19" ht="15.75" customHeight="1" x14ac:dyDescent="0.25">
      <c r="A364" s="333"/>
      <c r="C364" s="360"/>
      <c r="D364" s="361"/>
      <c r="E364" s="333"/>
      <c r="F364" s="333"/>
      <c r="G364" s="333"/>
      <c r="H364" s="333"/>
      <c r="K364" s="362"/>
      <c r="S364" s="333"/>
    </row>
    <row r="365" spans="1:19" ht="15.75" customHeight="1" x14ac:dyDescent="0.25">
      <c r="A365" s="333"/>
      <c r="C365" s="360"/>
      <c r="D365" s="361"/>
      <c r="E365" s="333"/>
      <c r="F365" s="333"/>
      <c r="G365" s="333"/>
      <c r="H365" s="333"/>
      <c r="K365" s="362"/>
      <c r="S365" s="333"/>
    </row>
    <row r="366" spans="1:19" ht="15.75" customHeight="1" x14ac:dyDescent="0.25">
      <c r="A366" s="333"/>
      <c r="C366" s="360"/>
      <c r="D366" s="361"/>
      <c r="E366" s="333"/>
      <c r="F366" s="333"/>
      <c r="G366" s="333"/>
      <c r="H366" s="333"/>
      <c r="K366" s="362"/>
      <c r="S366" s="333"/>
    </row>
    <row r="367" spans="1:19" ht="15.75" customHeight="1" x14ac:dyDescent="0.25">
      <c r="A367" s="333"/>
      <c r="C367" s="360"/>
      <c r="D367" s="361"/>
      <c r="E367" s="333"/>
      <c r="F367" s="333"/>
      <c r="G367" s="333"/>
      <c r="H367" s="333"/>
      <c r="K367" s="362"/>
      <c r="S367" s="333"/>
    </row>
    <row r="368" spans="1:19" ht="15.75" customHeight="1" x14ac:dyDescent="0.25">
      <c r="A368" s="333"/>
      <c r="C368" s="360"/>
      <c r="D368" s="361"/>
      <c r="E368" s="333"/>
      <c r="F368" s="333"/>
      <c r="G368" s="333"/>
      <c r="H368" s="333"/>
      <c r="K368" s="362"/>
      <c r="S368" s="333"/>
    </row>
    <row r="369" spans="1:19" ht="15.75" customHeight="1" x14ac:dyDescent="0.25">
      <c r="A369" s="333"/>
      <c r="C369" s="360"/>
      <c r="D369" s="361"/>
      <c r="E369" s="333"/>
      <c r="F369" s="333"/>
      <c r="G369" s="333"/>
      <c r="H369" s="333"/>
      <c r="K369" s="362"/>
      <c r="S369" s="333"/>
    </row>
    <row r="370" spans="1:19" ht="15.75" customHeight="1" x14ac:dyDescent="0.25">
      <c r="A370" s="333"/>
      <c r="C370" s="360"/>
      <c r="D370" s="361"/>
      <c r="E370" s="333"/>
      <c r="F370" s="333"/>
      <c r="G370" s="333"/>
      <c r="H370" s="333"/>
      <c r="K370" s="362"/>
      <c r="S370" s="333"/>
    </row>
    <row r="371" spans="1:19" ht="15.75" customHeight="1" x14ac:dyDescent="0.25">
      <c r="A371" s="333"/>
      <c r="C371" s="360"/>
      <c r="D371" s="361"/>
      <c r="E371" s="333"/>
      <c r="F371" s="333"/>
      <c r="G371" s="333"/>
      <c r="H371" s="333"/>
      <c r="K371" s="362"/>
      <c r="S371" s="333"/>
    </row>
    <row r="372" spans="1:19" ht="15.75" customHeight="1" x14ac:dyDescent="0.25">
      <c r="A372" s="333"/>
      <c r="C372" s="360"/>
      <c r="D372" s="361"/>
      <c r="E372" s="333"/>
      <c r="F372" s="333"/>
      <c r="G372" s="333"/>
      <c r="H372" s="333"/>
      <c r="K372" s="362"/>
      <c r="S372" s="333"/>
    </row>
    <row r="373" spans="1:19" ht="15.75" customHeight="1" x14ac:dyDescent="0.25">
      <c r="A373" s="333"/>
      <c r="C373" s="360"/>
      <c r="D373" s="361"/>
      <c r="E373" s="333"/>
      <c r="F373" s="333"/>
      <c r="G373" s="333"/>
      <c r="H373" s="333"/>
      <c r="K373" s="362"/>
      <c r="S373" s="333"/>
    </row>
    <row r="374" spans="1:19" ht="15.75" customHeight="1" x14ac:dyDescent="0.25">
      <c r="A374" s="333"/>
      <c r="C374" s="360"/>
      <c r="D374" s="361"/>
      <c r="E374" s="333"/>
      <c r="F374" s="333"/>
      <c r="G374" s="333"/>
      <c r="H374" s="333"/>
      <c r="K374" s="362"/>
      <c r="S374" s="333"/>
    </row>
    <row r="375" spans="1:19" ht="15.75" customHeight="1" x14ac:dyDescent="0.25">
      <c r="A375" s="333"/>
      <c r="C375" s="360"/>
      <c r="D375" s="361"/>
      <c r="E375" s="333"/>
      <c r="F375" s="333"/>
      <c r="G375" s="333"/>
      <c r="H375" s="333"/>
      <c r="K375" s="362"/>
      <c r="S375" s="333"/>
    </row>
    <row r="376" spans="1:19" ht="15.75" customHeight="1" x14ac:dyDescent="0.25">
      <c r="A376" s="333"/>
      <c r="C376" s="360"/>
      <c r="D376" s="361"/>
      <c r="E376" s="333"/>
      <c r="F376" s="333"/>
      <c r="G376" s="333"/>
      <c r="H376" s="333"/>
      <c r="K376" s="362"/>
      <c r="S376" s="333"/>
    </row>
    <row r="377" spans="1:19" ht="15.75" customHeight="1" x14ac:dyDescent="0.25">
      <c r="A377" s="333"/>
      <c r="C377" s="360"/>
      <c r="D377" s="361"/>
      <c r="E377" s="333"/>
      <c r="F377" s="333"/>
      <c r="G377" s="333"/>
      <c r="H377" s="333"/>
      <c r="K377" s="362"/>
      <c r="S377" s="333"/>
    </row>
    <row r="378" spans="1:19" ht="15.75" customHeight="1" x14ac:dyDescent="0.25">
      <c r="A378" s="333"/>
      <c r="C378" s="360"/>
      <c r="D378" s="361"/>
      <c r="E378" s="333"/>
      <c r="F378" s="333"/>
      <c r="G378" s="333"/>
      <c r="H378" s="333"/>
      <c r="K378" s="362"/>
      <c r="S378" s="333"/>
    </row>
    <row r="379" spans="1:19" ht="15.75" customHeight="1" x14ac:dyDescent="0.25">
      <c r="A379" s="333"/>
      <c r="C379" s="360"/>
      <c r="D379" s="361"/>
      <c r="E379" s="333"/>
      <c r="F379" s="333"/>
      <c r="G379" s="333"/>
      <c r="H379" s="333"/>
      <c r="K379" s="362"/>
      <c r="S379" s="333"/>
    </row>
    <row r="380" spans="1:19" ht="15.75" customHeight="1" x14ac:dyDescent="0.25">
      <c r="A380" s="333"/>
      <c r="C380" s="360"/>
      <c r="D380" s="361"/>
      <c r="E380" s="333"/>
      <c r="F380" s="333"/>
      <c r="G380" s="333"/>
      <c r="H380" s="333"/>
      <c r="K380" s="362"/>
      <c r="S380" s="333"/>
    </row>
    <row r="381" spans="1:19" ht="15.75" customHeight="1" x14ac:dyDescent="0.25">
      <c r="A381" s="333"/>
      <c r="C381" s="360"/>
      <c r="D381" s="361"/>
      <c r="E381" s="333"/>
      <c r="F381" s="333"/>
      <c r="G381" s="333"/>
      <c r="H381" s="333"/>
      <c r="K381" s="362"/>
      <c r="S381" s="333"/>
    </row>
    <row r="382" spans="1:19" ht="15.75" customHeight="1" x14ac:dyDescent="0.25">
      <c r="A382" s="333"/>
      <c r="C382" s="360"/>
      <c r="D382" s="361"/>
      <c r="E382" s="333"/>
      <c r="F382" s="333"/>
      <c r="G382" s="333"/>
      <c r="H382" s="333"/>
      <c r="K382" s="362"/>
      <c r="S382" s="333"/>
    </row>
    <row r="383" spans="1:19" ht="15.75" customHeight="1" x14ac:dyDescent="0.25">
      <c r="A383" s="333"/>
      <c r="C383" s="360"/>
      <c r="D383" s="361"/>
      <c r="E383" s="333"/>
      <c r="F383" s="333"/>
      <c r="G383" s="333"/>
      <c r="H383" s="333"/>
      <c r="K383" s="362"/>
      <c r="S383" s="333"/>
    </row>
    <row r="384" spans="1:19" ht="15.75" customHeight="1" x14ac:dyDescent="0.25">
      <c r="A384" s="333"/>
      <c r="C384" s="360"/>
      <c r="D384" s="361"/>
      <c r="E384" s="333"/>
      <c r="F384" s="333"/>
      <c r="G384" s="333"/>
      <c r="H384" s="333"/>
      <c r="K384" s="362"/>
      <c r="S384" s="333"/>
    </row>
    <row r="385" spans="1:19" ht="15.75" customHeight="1" x14ac:dyDescent="0.25">
      <c r="A385" s="333"/>
      <c r="C385" s="360"/>
      <c r="D385" s="361"/>
      <c r="E385" s="333"/>
      <c r="F385" s="333"/>
      <c r="G385" s="333"/>
      <c r="H385" s="333"/>
      <c r="K385" s="362"/>
      <c r="S385" s="333"/>
    </row>
    <row r="386" spans="1:19" ht="15.75" customHeight="1" x14ac:dyDescent="0.25">
      <c r="A386" s="333"/>
      <c r="C386" s="360"/>
      <c r="D386" s="361"/>
      <c r="E386" s="333"/>
      <c r="F386" s="333"/>
      <c r="G386" s="333"/>
      <c r="H386" s="333"/>
      <c r="K386" s="362"/>
      <c r="S386" s="333"/>
    </row>
    <row r="387" spans="1:19" ht="15.75" customHeight="1" x14ac:dyDescent="0.25">
      <c r="A387" s="333"/>
      <c r="C387" s="360"/>
      <c r="D387" s="361"/>
      <c r="E387" s="333"/>
      <c r="F387" s="333"/>
      <c r="G387" s="333"/>
      <c r="H387" s="333"/>
      <c r="K387" s="362"/>
      <c r="S387" s="333"/>
    </row>
    <row r="388" spans="1:19" ht="15.75" customHeight="1" x14ac:dyDescent="0.25">
      <c r="A388" s="333"/>
      <c r="C388" s="360"/>
      <c r="D388" s="361"/>
      <c r="E388" s="333"/>
      <c r="F388" s="333"/>
      <c r="G388" s="333"/>
      <c r="H388" s="333"/>
      <c r="K388" s="362"/>
      <c r="S388" s="333"/>
    </row>
    <row r="389" spans="1:19" ht="15.75" customHeight="1" x14ac:dyDescent="0.25">
      <c r="A389" s="333"/>
      <c r="C389" s="360"/>
      <c r="D389" s="361"/>
      <c r="E389" s="333"/>
      <c r="F389" s="333"/>
      <c r="G389" s="333"/>
      <c r="H389" s="333"/>
      <c r="K389" s="362"/>
      <c r="S389" s="333"/>
    </row>
    <row r="390" spans="1:19" ht="15.75" customHeight="1" x14ac:dyDescent="0.25">
      <c r="A390" s="333"/>
      <c r="C390" s="360"/>
      <c r="D390" s="361"/>
      <c r="E390" s="333"/>
      <c r="F390" s="333"/>
      <c r="G390" s="333"/>
      <c r="H390" s="333"/>
      <c r="K390" s="362"/>
      <c r="S390" s="333"/>
    </row>
    <row r="391" spans="1:19" ht="15.75" customHeight="1" x14ac:dyDescent="0.25">
      <c r="A391" s="333"/>
      <c r="C391" s="360"/>
      <c r="D391" s="361"/>
      <c r="E391" s="333"/>
      <c r="F391" s="333"/>
      <c r="G391" s="333"/>
      <c r="H391" s="333"/>
      <c r="K391" s="362"/>
      <c r="S391" s="333"/>
    </row>
    <row r="392" spans="1:19" ht="15.75" customHeight="1" x14ac:dyDescent="0.25">
      <c r="A392" s="333"/>
      <c r="C392" s="360"/>
      <c r="D392" s="361"/>
      <c r="E392" s="333"/>
      <c r="F392" s="333"/>
      <c r="G392" s="333"/>
      <c r="H392" s="333"/>
      <c r="K392" s="362"/>
      <c r="S392" s="333"/>
    </row>
    <row r="393" spans="1:19" ht="15.75" customHeight="1" x14ac:dyDescent="0.25">
      <c r="A393" s="333"/>
      <c r="C393" s="360"/>
      <c r="D393" s="361"/>
      <c r="E393" s="333"/>
      <c r="F393" s="333"/>
      <c r="G393" s="333"/>
      <c r="H393" s="333"/>
      <c r="K393" s="362"/>
      <c r="S393" s="333"/>
    </row>
    <row r="394" spans="1:19" ht="15.75" customHeight="1" x14ac:dyDescent="0.25">
      <c r="A394" s="333"/>
      <c r="C394" s="360"/>
      <c r="D394" s="361"/>
      <c r="E394" s="333"/>
      <c r="F394" s="333"/>
      <c r="G394" s="333"/>
      <c r="H394" s="333"/>
      <c r="K394" s="362"/>
      <c r="S394" s="333"/>
    </row>
    <row r="395" spans="1:19" ht="15.75" customHeight="1" x14ac:dyDescent="0.25">
      <c r="A395" s="333"/>
      <c r="C395" s="360"/>
      <c r="D395" s="361"/>
      <c r="E395" s="333"/>
      <c r="F395" s="333"/>
      <c r="G395" s="333"/>
      <c r="H395" s="333"/>
      <c r="K395" s="362"/>
      <c r="S395" s="333"/>
    </row>
    <row r="396" spans="1:19" ht="15.75" customHeight="1" x14ac:dyDescent="0.25">
      <c r="A396" s="333"/>
      <c r="C396" s="360"/>
      <c r="D396" s="361"/>
      <c r="E396" s="333"/>
      <c r="F396" s="333"/>
      <c r="G396" s="333"/>
      <c r="H396" s="333"/>
      <c r="K396" s="362"/>
      <c r="S396" s="333"/>
    </row>
    <row r="397" spans="1:19" ht="15.75" customHeight="1" x14ac:dyDescent="0.25">
      <c r="A397" s="333"/>
      <c r="C397" s="360"/>
      <c r="D397" s="361"/>
      <c r="E397" s="333"/>
      <c r="F397" s="333"/>
      <c r="G397" s="333"/>
      <c r="H397" s="333"/>
      <c r="K397" s="362"/>
      <c r="S397" s="333"/>
    </row>
    <row r="398" spans="1:19" ht="15.75" customHeight="1" x14ac:dyDescent="0.25">
      <c r="A398" s="333"/>
      <c r="C398" s="360"/>
      <c r="D398" s="361"/>
      <c r="E398" s="333"/>
      <c r="F398" s="333"/>
      <c r="G398" s="333"/>
      <c r="H398" s="333"/>
      <c r="K398" s="362"/>
      <c r="S398" s="333"/>
    </row>
    <row r="399" spans="1:19" ht="15.75" customHeight="1" x14ac:dyDescent="0.25">
      <c r="A399" s="333"/>
      <c r="C399" s="360"/>
      <c r="D399" s="361"/>
      <c r="E399" s="333"/>
      <c r="F399" s="333"/>
      <c r="G399" s="333"/>
      <c r="H399" s="333"/>
      <c r="K399" s="362"/>
      <c r="S399" s="333"/>
    </row>
    <row r="400" spans="1:19" ht="15.75" customHeight="1" x14ac:dyDescent="0.25">
      <c r="A400" s="333"/>
      <c r="C400" s="360"/>
      <c r="D400" s="361"/>
      <c r="E400" s="333"/>
      <c r="F400" s="333"/>
      <c r="G400" s="333"/>
      <c r="H400" s="333"/>
      <c r="K400" s="362"/>
      <c r="S400" s="333"/>
    </row>
    <row r="401" spans="1:19" ht="15.75" customHeight="1" x14ac:dyDescent="0.25">
      <c r="A401" s="333"/>
      <c r="C401" s="360"/>
      <c r="D401" s="361"/>
      <c r="E401" s="333"/>
      <c r="F401" s="333"/>
      <c r="G401" s="333"/>
      <c r="H401" s="333"/>
      <c r="K401" s="362"/>
      <c r="S401" s="333"/>
    </row>
    <row r="402" spans="1:19" ht="15.75" customHeight="1" x14ac:dyDescent="0.25">
      <c r="A402" s="333"/>
      <c r="C402" s="360"/>
      <c r="D402" s="361"/>
      <c r="E402" s="333"/>
      <c r="F402" s="333"/>
      <c r="G402" s="333"/>
      <c r="H402" s="333"/>
      <c r="K402" s="362"/>
      <c r="S402" s="333"/>
    </row>
    <row r="403" spans="1:19" ht="15.75" customHeight="1" x14ac:dyDescent="0.25">
      <c r="A403" s="333"/>
      <c r="C403" s="360"/>
      <c r="D403" s="361"/>
      <c r="E403" s="333"/>
      <c r="F403" s="333"/>
      <c r="G403" s="333"/>
      <c r="H403" s="333"/>
      <c r="K403" s="362"/>
      <c r="S403" s="333"/>
    </row>
    <row r="404" spans="1:19" ht="15.75" customHeight="1" x14ac:dyDescent="0.25">
      <c r="A404" s="333"/>
      <c r="C404" s="360"/>
      <c r="D404" s="361"/>
      <c r="E404" s="333"/>
      <c r="F404" s="333"/>
      <c r="G404" s="333"/>
      <c r="H404" s="333"/>
      <c r="K404" s="362"/>
      <c r="S404" s="333"/>
    </row>
    <row r="405" spans="1:19" ht="15.75" customHeight="1" x14ac:dyDescent="0.25">
      <c r="A405" s="333"/>
      <c r="C405" s="360"/>
      <c r="D405" s="361"/>
      <c r="E405" s="333"/>
      <c r="F405" s="333"/>
      <c r="G405" s="333"/>
      <c r="H405" s="333"/>
      <c r="K405" s="362"/>
      <c r="S405" s="333"/>
    </row>
    <row r="406" spans="1:19" ht="15.75" customHeight="1" x14ac:dyDescent="0.25">
      <c r="A406" s="333"/>
      <c r="C406" s="360"/>
      <c r="D406" s="361"/>
      <c r="E406" s="333"/>
      <c r="F406" s="333"/>
      <c r="G406" s="333"/>
      <c r="H406" s="333"/>
      <c r="K406" s="362"/>
      <c r="S406" s="333"/>
    </row>
    <row r="407" spans="1:19" ht="15.75" customHeight="1" x14ac:dyDescent="0.25">
      <c r="A407" s="333"/>
      <c r="C407" s="360"/>
      <c r="D407" s="361"/>
      <c r="E407" s="333"/>
      <c r="F407" s="333"/>
      <c r="G407" s="333"/>
      <c r="H407" s="333"/>
      <c r="K407" s="362"/>
      <c r="S407" s="333"/>
    </row>
    <row r="408" spans="1:19" ht="15.75" customHeight="1" x14ac:dyDescent="0.25">
      <c r="A408" s="333"/>
      <c r="C408" s="360"/>
      <c r="D408" s="361"/>
      <c r="E408" s="333"/>
      <c r="F408" s="333"/>
      <c r="G408" s="333"/>
      <c r="H408" s="333"/>
      <c r="K408" s="362"/>
      <c r="S408" s="333"/>
    </row>
    <row r="409" spans="1:19" ht="15.75" customHeight="1" x14ac:dyDescent="0.25">
      <c r="A409" s="333"/>
      <c r="C409" s="360"/>
      <c r="D409" s="361"/>
      <c r="E409" s="333"/>
      <c r="F409" s="333"/>
      <c r="G409" s="333"/>
      <c r="H409" s="333"/>
      <c r="K409" s="362"/>
      <c r="S409" s="333"/>
    </row>
    <row r="410" spans="1:19" ht="15.75" customHeight="1" x14ac:dyDescent="0.25">
      <c r="A410" s="333"/>
      <c r="C410" s="360"/>
      <c r="D410" s="361"/>
      <c r="E410" s="333"/>
      <c r="F410" s="333"/>
      <c r="G410" s="333"/>
      <c r="H410" s="333"/>
      <c r="K410" s="362"/>
      <c r="S410" s="333"/>
    </row>
    <row r="411" spans="1:19" ht="15.75" customHeight="1" x14ac:dyDescent="0.25">
      <c r="A411" s="333"/>
      <c r="C411" s="360"/>
      <c r="D411" s="361"/>
      <c r="E411" s="333"/>
      <c r="F411" s="333"/>
      <c r="G411" s="333"/>
      <c r="H411" s="333"/>
      <c r="K411" s="362"/>
      <c r="S411" s="333"/>
    </row>
    <row r="412" spans="1:19" ht="15.75" customHeight="1" x14ac:dyDescent="0.25">
      <c r="A412" s="333"/>
      <c r="C412" s="360"/>
      <c r="D412" s="361"/>
      <c r="E412" s="333"/>
      <c r="F412" s="333"/>
      <c r="G412" s="333"/>
      <c r="H412" s="333"/>
      <c r="K412" s="362"/>
      <c r="S412" s="333"/>
    </row>
    <row r="413" spans="1:19" ht="15.75" customHeight="1" x14ac:dyDescent="0.25">
      <c r="A413" s="333"/>
      <c r="C413" s="360"/>
      <c r="D413" s="361"/>
      <c r="E413" s="333"/>
      <c r="F413" s="333"/>
      <c r="G413" s="333"/>
      <c r="H413" s="333"/>
      <c r="K413" s="362"/>
      <c r="S413" s="333"/>
    </row>
    <row r="414" spans="1:19" ht="15.75" customHeight="1" x14ac:dyDescent="0.25">
      <c r="A414" s="333"/>
      <c r="C414" s="360"/>
      <c r="D414" s="361"/>
      <c r="E414" s="333"/>
      <c r="F414" s="333"/>
      <c r="G414" s="333"/>
      <c r="H414" s="333"/>
      <c r="K414" s="362"/>
      <c r="S414" s="333"/>
    </row>
    <row r="415" spans="1:19" ht="15.75" customHeight="1" x14ac:dyDescent="0.25">
      <c r="A415" s="333"/>
      <c r="C415" s="360"/>
      <c r="D415" s="361"/>
      <c r="E415" s="333"/>
      <c r="F415" s="333"/>
      <c r="G415" s="333"/>
      <c r="H415" s="333"/>
      <c r="K415" s="362"/>
      <c r="S415" s="333"/>
    </row>
    <row r="416" spans="1:19" ht="15.75" customHeight="1" x14ac:dyDescent="0.25">
      <c r="A416" s="333"/>
      <c r="C416" s="360"/>
      <c r="D416" s="361"/>
      <c r="E416" s="333"/>
      <c r="F416" s="333"/>
      <c r="G416" s="333"/>
      <c r="H416" s="333"/>
      <c r="K416" s="362"/>
      <c r="S416" s="333"/>
    </row>
    <row r="417" spans="1:19" ht="15.75" customHeight="1" x14ac:dyDescent="0.25">
      <c r="A417" s="333"/>
      <c r="C417" s="360"/>
      <c r="D417" s="361"/>
      <c r="E417" s="333"/>
      <c r="F417" s="333"/>
      <c r="G417" s="333"/>
      <c r="H417" s="333"/>
      <c r="K417" s="362"/>
      <c r="S417" s="333"/>
    </row>
    <row r="418" spans="1:19" ht="15.75" customHeight="1" x14ac:dyDescent="0.25">
      <c r="A418" s="333"/>
      <c r="C418" s="360"/>
      <c r="D418" s="361"/>
      <c r="E418" s="333"/>
      <c r="F418" s="333"/>
      <c r="G418" s="333"/>
      <c r="H418" s="333"/>
      <c r="K418" s="362"/>
      <c r="S418" s="333"/>
    </row>
    <row r="419" spans="1:19" ht="15.75" customHeight="1" x14ac:dyDescent="0.25">
      <c r="A419" s="333"/>
      <c r="C419" s="360"/>
      <c r="D419" s="361"/>
      <c r="E419" s="333"/>
      <c r="F419" s="333"/>
      <c r="G419" s="333"/>
      <c r="H419" s="333"/>
      <c r="K419" s="362"/>
      <c r="S419" s="333"/>
    </row>
    <row r="420" spans="1:19" ht="15.75" customHeight="1" x14ac:dyDescent="0.25">
      <c r="A420" s="333"/>
      <c r="C420" s="360"/>
      <c r="D420" s="361"/>
      <c r="E420" s="333"/>
      <c r="F420" s="333"/>
      <c r="G420" s="333"/>
      <c r="H420" s="333"/>
      <c r="K420" s="362"/>
      <c r="S420" s="333"/>
    </row>
    <row r="421" spans="1:19" ht="15.75" customHeight="1" x14ac:dyDescent="0.25">
      <c r="A421" s="333"/>
      <c r="C421" s="360"/>
      <c r="D421" s="361"/>
      <c r="E421" s="333"/>
      <c r="F421" s="333"/>
      <c r="G421" s="333"/>
      <c r="H421" s="333"/>
      <c r="K421" s="362"/>
      <c r="S421" s="333"/>
    </row>
    <row r="422" spans="1:19" ht="15.75" customHeight="1" x14ac:dyDescent="0.25">
      <c r="A422" s="333"/>
      <c r="C422" s="360"/>
      <c r="D422" s="361"/>
      <c r="E422" s="333"/>
      <c r="F422" s="333"/>
      <c r="G422" s="333"/>
      <c r="H422" s="333"/>
      <c r="K422" s="362"/>
      <c r="S422" s="333"/>
    </row>
    <row r="423" spans="1:19" ht="15.75" customHeight="1" x14ac:dyDescent="0.25">
      <c r="A423" s="333"/>
      <c r="C423" s="360"/>
      <c r="D423" s="361"/>
      <c r="E423" s="333"/>
      <c r="F423" s="333"/>
      <c r="G423" s="333"/>
      <c r="H423" s="333"/>
      <c r="K423" s="362"/>
      <c r="S423" s="333"/>
    </row>
    <row r="424" spans="1:19" ht="15.75" customHeight="1" x14ac:dyDescent="0.25">
      <c r="A424" s="333"/>
      <c r="C424" s="360"/>
      <c r="D424" s="361"/>
      <c r="E424" s="333"/>
      <c r="F424" s="333"/>
      <c r="G424" s="333"/>
      <c r="H424" s="333"/>
      <c r="K424" s="362"/>
      <c r="S424" s="333"/>
    </row>
    <row r="425" spans="1:19" ht="15.75" customHeight="1" x14ac:dyDescent="0.25">
      <c r="A425" s="333"/>
      <c r="C425" s="360"/>
      <c r="D425" s="361"/>
      <c r="E425" s="333"/>
      <c r="F425" s="333"/>
      <c r="G425" s="333"/>
      <c r="H425" s="333"/>
      <c r="K425" s="362"/>
      <c r="S425" s="333"/>
    </row>
    <row r="426" spans="1:19" ht="15.75" customHeight="1" x14ac:dyDescent="0.25">
      <c r="A426" s="333"/>
      <c r="C426" s="360"/>
      <c r="D426" s="361"/>
      <c r="E426" s="333"/>
      <c r="F426" s="333"/>
      <c r="G426" s="333"/>
      <c r="H426" s="333"/>
      <c r="K426" s="362"/>
      <c r="S426" s="333"/>
    </row>
    <row r="427" spans="1:19" ht="15.75" customHeight="1" x14ac:dyDescent="0.25">
      <c r="A427" s="333"/>
      <c r="C427" s="360"/>
      <c r="D427" s="361"/>
      <c r="E427" s="333"/>
      <c r="F427" s="333"/>
      <c r="G427" s="333"/>
      <c r="H427" s="333"/>
      <c r="K427" s="362"/>
      <c r="S427" s="333"/>
    </row>
    <row r="428" spans="1:19" ht="15.75" customHeight="1" x14ac:dyDescent="0.25">
      <c r="A428" s="333"/>
      <c r="C428" s="360"/>
      <c r="D428" s="361"/>
      <c r="E428" s="333"/>
      <c r="F428" s="333"/>
      <c r="G428" s="333"/>
      <c r="H428" s="333"/>
      <c r="K428" s="362"/>
      <c r="S428" s="333"/>
    </row>
    <row r="429" spans="1:19" ht="15.75" customHeight="1" x14ac:dyDescent="0.25">
      <c r="A429" s="333"/>
      <c r="C429" s="360"/>
      <c r="D429" s="361"/>
      <c r="E429" s="333"/>
      <c r="F429" s="333"/>
      <c r="G429" s="333"/>
      <c r="H429" s="333"/>
      <c r="K429" s="362"/>
      <c r="S429" s="333"/>
    </row>
    <row r="430" spans="1:19" ht="15.75" customHeight="1" x14ac:dyDescent="0.25">
      <c r="A430" s="333"/>
      <c r="C430" s="360"/>
      <c r="D430" s="361"/>
      <c r="E430" s="333"/>
      <c r="F430" s="333"/>
      <c r="G430" s="333"/>
      <c r="H430" s="333"/>
      <c r="K430" s="362"/>
      <c r="S430" s="333"/>
    </row>
    <row r="431" spans="1:19" ht="15.75" customHeight="1" x14ac:dyDescent="0.25">
      <c r="A431" s="333"/>
      <c r="C431" s="360"/>
      <c r="D431" s="361"/>
      <c r="E431" s="333"/>
      <c r="F431" s="333"/>
      <c r="G431" s="333"/>
      <c r="H431" s="333"/>
      <c r="K431" s="362"/>
      <c r="S431" s="333"/>
    </row>
    <row r="432" spans="1:19" ht="15.75" customHeight="1" x14ac:dyDescent="0.25">
      <c r="A432" s="333"/>
      <c r="C432" s="360"/>
      <c r="D432" s="361"/>
      <c r="E432" s="333"/>
      <c r="F432" s="333"/>
      <c r="G432" s="333"/>
      <c r="H432" s="333"/>
      <c r="K432" s="362"/>
      <c r="S432" s="333"/>
    </row>
    <row r="433" spans="1:19" ht="15.75" customHeight="1" x14ac:dyDescent="0.25">
      <c r="A433" s="333"/>
      <c r="C433" s="360"/>
      <c r="D433" s="361"/>
      <c r="E433" s="333"/>
      <c r="F433" s="333"/>
      <c r="G433" s="333"/>
      <c r="H433" s="333"/>
      <c r="K433" s="362"/>
      <c r="S433" s="333"/>
    </row>
    <row r="434" spans="1:19" ht="15.75" customHeight="1" x14ac:dyDescent="0.25">
      <c r="A434" s="333"/>
      <c r="C434" s="360"/>
      <c r="D434" s="361"/>
      <c r="E434" s="333"/>
      <c r="F434" s="333"/>
      <c r="G434" s="333"/>
      <c r="H434" s="333"/>
      <c r="K434" s="362"/>
      <c r="S434" s="333"/>
    </row>
    <row r="435" spans="1:19" ht="15.75" customHeight="1" x14ac:dyDescent="0.25">
      <c r="A435" s="333"/>
      <c r="C435" s="360"/>
      <c r="D435" s="361"/>
      <c r="E435" s="333"/>
      <c r="F435" s="333"/>
      <c r="G435" s="333"/>
      <c r="H435" s="333"/>
      <c r="K435" s="362"/>
      <c r="S435" s="333"/>
    </row>
    <row r="436" spans="1:19" ht="15.75" customHeight="1" x14ac:dyDescent="0.25">
      <c r="A436" s="333"/>
      <c r="C436" s="360"/>
      <c r="D436" s="361"/>
      <c r="E436" s="333"/>
      <c r="F436" s="333"/>
      <c r="G436" s="333"/>
      <c r="H436" s="333"/>
      <c r="K436" s="362"/>
      <c r="S436" s="333"/>
    </row>
    <row r="437" spans="1:19" ht="15.75" customHeight="1" x14ac:dyDescent="0.25">
      <c r="A437" s="333"/>
      <c r="C437" s="360"/>
      <c r="D437" s="361"/>
      <c r="E437" s="333"/>
      <c r="F437" s="333"/>
      <c r="G437" s="333"/>
      <c r="H437" s="333"/>
      <c r="K437" s="362"/>
      <c r="S437" s="333"/>
    </row>
    <row r="438" spans="1:19" ht="15.75" customHeight="1" x14ac:dyDescent="0.25">
      <c r="A438" s="333"/>
      <c r="C438" s="360"/>
      <c r="D438" s="361"/>
      <c r="E438" s="333"/>
      <c r="F438" s="333"/>
      <c r="G438" s="333"/>
      <c r="H438" s="333"/>
      <c r="K438" s="362"/>
      <c r="S438" s="333"/>
    </row>
    <row r="439" spans="1:19" ht="15.75" customHeight="1" x14ac:dyDescent="0.25">
      <c r="A439" s="333"/>
      <c r="C439" s="360"/>
      <c r="D439" s="361"/>
      <c r="E439" s="333"/>
      <c r="F439" s="333"/>
      <c r="G439" s="333"/>
      <c r="H439" s="333"/>
      <c r="K439" s="362"/>
      <c r="S439" s="333"/>
    </row>
    <row r="440" spans="1:19" ht="15.75" customHeight="1" x14ac:dyDescent="0.25">
      <c r="A440" s="333"/>
      <c r="C440" s="360"/>
      <c r="D440" s="361"/>
      <c r="E440" s="333"/>
      <c r="F440" s="333"/>
      <c r="G440" s="333"/>
      <c r="H440" s="333"/>
      <c r="K440" s="362"/>
      <c r="S440" s="333"/>
    </row>
    <row r="441" spans="1:19" ht="15.75" customHeight="1" x14ac:dyDescent="0.25">
      <c r="A441" s="333"/>
      <c r="C441" s="360"/>
      <c r="D441" s="361"/>
      <c r="E441" s="333"/>
      <c r="F441" s="333"/>
      <c r="G441" s="333"/>
      <c r="H441" s="333"/>
      <c r="K441" s="362"/>
      <c r="S441" s="333"/>
    </row>
    <row r="442" spans="1:19" ht="15.75" customHeight="1" x14ac:dyDescent="0.25">
      <c r="A442" s="333"/>
      <c r="C442" s="360"/>
      <c r="D442" s="361"/>
      <c r="E442" s="333"/>
      <c r="F442" s="333"/>
      <c r="G442" s="333"/>
      <c r="H442" s="333"/>
      <c r="K442" s="362"/>
      <c r="S442" s="333"/>
    </row>
    <row r="443" spans="1:19" ht="15.75" customHeight="1" x14ac:dyDescent="0.25">
      <c r="A443" s="333"/>
      <c r="C443" s="360"/>
      <c r="D443" s="361"/>
      <c r="E443" s="333"/>
      <c r="F443" s="333"/>
      <c r="G443" s="333"/>
      <c r="H443" s="333"/>
      <c r="K443" s="362"/>
      <c r="S443" s="333"/>
    </row>
    <row r="444" spans="1:19" ht="15.75" customHeight="1" x14ac:dyDescent="0.25">
      <c r="A444" s="333"/>
      <c r="C444" s="360"/>
      <c r="D444" s="361"/>
      <c r="E444" s="333"/>
      <c r="F444" s="333"/>
      <c r="G444" s="333"/>
      <c r="H444" s="333"/>
      <c r="K444" s="362"/>
      <c r="S444" s="333"/>
    </row>
    <row r="445" spans="1:19" ht="15.75" customHeight="1" x14ac:dyDescent="0.25">
      <c r="A445" s="333"/>
      <c r="C445" s="360"/>
      <c r="D445" s="361"/>
      <c r="E445" s="333"/>
      <c r="F445" s="333"/>
      <c r="G445" s="333"/>
      <c r="H445" s="333"/>
      <c r="K445" s="362"/>
      <c r="S445" s="333"/>
    </row>
    <row r="446" spans="1:19" ht="15.75" customHeight="1" x14ac:dyDescent="0.25">
      <c r="A446" s="333"/>
      <c r="C446" s="360"/>
      <c r="D446" s="361"/>
      <c r="E446" s="333"/>
      <c r="F446" s="333"/>
      <c r="G446" s="333"/>
      <c r="H446" s="333"/>
      <c r="K446" s="362"/>
      <c r="S446" s="333"/>
    </row>
    <row r="447" spans="1:19" ht="15.75" customHeight="1" x14ac:dyDescent="0.25">
      <c r="A447" s="333"/>
      <c r="C447" s="360"/>
      <c r="D447" s="361"/>
      <c r="E447" s="333"/>
      <c r="F447" s="333"/>
      <c r="G447" s="333"/>
      <c r="H447" s="333"/>
      <c r="K447" s="362"/>
      <c r="S447" s="333"/>
    </row>
    <row r="448" spans="1:19" ht="15.75" customHeight="1" x14ac:dyDescent="0.25">
      <c r="A448" s="333"/>
      <c r="C448" s="360"/>
      <c r="D448" s="361"/>
      <c r="E448" s="333"/>
      <c r="F448" s="333"/>
      <c r="G448" s="333"/>
      <c r="H448" s="333"/>
      <c r="K448" s="362"/>
      <c r="S448" s="333"/>
    </row>
    <row r="449" spans="1:19" ht="15.75" customHeight="1" x14ac:dyDescent="0.25">
      <c r="A449" s="333"/>
      <c r="C449" s="360"/>
      <c r="D449" s="361"/>
      <c r="E449" s="333"/>
      <c r="F449" s="333"/>
      <c r="G449" s="333"/>
      <c r="H449" s="333"/>
      <c r="K449" s="362"/>
      <c r="S449" s="333"/>
    </row>
    <row r="450" spans="1:19" ht="15.75" customHeight="1" x14ac:dyDescent="0.25">
      <c r="A450" s="333"/>
      <c r="C450" s="360"/>
      <c r="D450" s="361"/>
      <c r="E450" s="333"/>
      <c r="F450" s="333"/>
      <c r="G450" s="333"/>
      <c r="H450" s="333"/>
      <c r="K450" s="362"/>
      <c r="S450" s="333"/>
    </row>
    <row r="451" spans="1:19" ht="15.75" customHeight="1" x14ac:dyDescent="0.25">
      <c r="A451" s="333"/>
      <c r="C451" s="360"/>
      <c r="D451" s="361"/>
      <c r="E451" s="333"/>
      <c r="F451" s="333"/>
      <c r="G451" s="333"/>
      <c r="H451" s="333"/>
      <c r="K451" s="362"/>
      <c r="S451" s="333"/>
    </row>
    <row r="452" spans="1:19" ht="15.75" customHeight="1" x14ac:dyDescent="0.25">
      <c r="A452" s="333"/>
      <c r="C452" s="360"/>
      <c r="D452" s="361"/>
      <c r="E452" s="333"/>
      <c r="F452" s="333"/>
      <c r="G452" s="333"/>
      <c r="H452" s="333"/>
      <c r="K452" s="362"/>
      <c r="S452" s="333"/>
    </row>
    <row r="453" spans="1:19" ht="15.75" customHeight="1" x14ac:dyDescent="0.25">
      <c r="A453" s="333"/>
      <c r="C453" s="360"/>
      <c r="D453" s="361"/>
      <c r="E453" s="333"/>
      <c r="F453" s="333"/>
      <c r="G453" s="333"/>
      <c r="H453" s="333"/>
      <c r="K453" s="362"/>
      <c r="S453" s="333"/>
    </row>
    <row r="454" spans="1:19" ht="15.75" customHeight="1" x14ac:dyDescent="0.25">
      <c r="A454" s="333"/>
      <c r="C454" s="360"/>
      <c r="D454" s="361"/>
      <c r="E454" s="333"/>
      <c r="F454" s="333"/>
      <c r="G454" s="333"/>
      <c r="H454" s="333"/>
      <c r="K454" s="362"/>
      <c r="S454" s="333"/>
    </row>
    <row r="455" spans="1:19" ht="15.75" customHeight="1" x14ac:dyDescent="0.25">
      <c r="A455" s="333"/>
      <c r="C455" s="360"/>
      <c r="D455" s="361"/>
      <c r="E455" s="333"/>
      <c r="F455" s="333"/>
      <c r="G455" s="333"/>
      <c r="H455" s="333"/>
      <c r="K455" s="362"/>
      <c r="S455" s="333"/>
    </row>
    <row r="456" spans="1:19" ht="15.75" customHeight="1" x14ac:dyDescent="0.25">
      <c r="A456" s="333"/>
      <c r="C456" s="360"/>
      <c r="D456" s="361"/>
      <c r="E456" s="333"/>
      <c r="F456" s="333"/>
      <c r="G456" s="333"/>
      <c r="H456" s="333"/>
      <c r="K456" s="362"/>
      <c r="S456" s="333"/>
    </row>
    <row r="457" spans="1:19" ht="15.75" customHeight="1" x14ac:dyDescent="0.25">
      <c r="A457" s="333"/>
      <c r="C457" s="360"/>
      <c r="D457" s="361"/>
      <c r="E457" s="333"/>
      <c r="F457" s="333"/>
      <c r="G457" s="333"/>
      <c r="H457" s="333"/>
      <c r="K457" s="362"/>
      <c r="S457" s="333"/>
    </row>
    <row r="458" spans="1:19" ht="15.75" customHeight="1" x14ac:dyDescent="0.25">
      <c r="A458" s="333"/>
      <c r="C458" s="360"/>
      <c r="D458" s="361"/>
      <c r="E458" s="333"/>
      <c r="F458" s="333"/>
      <c r="G458" s="333"/>
      <c r="H458" s="333"/>
      <c r="K458" s="362"/>
      <c r="S458" s="333"/>
    </row>
    <row r="459" spans="1:19" ht="15.75" customHeight="1" x14ac:dyDescent="0.25">
      <c r="A459" s="333"/>
      <c r="C459" s="360"/>
      <c r="D459" s="361"/>
      <c r="E459" s="333"/>
      <c r="F459" s="333"/>
      <c r="G459" s="333"/>
      <c r="H459" s="333"/>
      <c r="K459" s="362"/>
      <c r="S459" s="333"/>
    </row>
    <row r="460" spans="1:19" ht="15.75" customHeight="1" x14ac:dyDescent="0.25">
      <c r="A460" s="333"/>
      <c r="C460" s="360"/>
      <c r="D460" s="361"/>
      <c r="E460" s="333"/>
      <c r="F460" s="333"/>
      <c r="G460" s="333"/>
      <c r="H460" s="333"/>
      <c r="K460" s="362"/>
      <c r="S460" s="333"/>
    </row>
    <row r="461" spans="1:19" ht="15.75" customHeight="1" x14ac:dyDescent="0.25">
      <c r="A461" s="333"/>
      <c r="C461" s="360"/>
      <c r="D461" s="361"/>
      <c r="E461" s="333"/>
      <c r="F461" s="333"/>
      <c r="G461" s="333"/>
      <c r="H461" s="333"/>
      <c r="K461" s="362"/>
      <c r="S461" s="333"/>
    </row>
    <row r="462" spans="1:19" ht="15.75" customHeight="1" x14ac:dyDescent="0.25">
      <c r="A462" s="333"/>
      <c r="C462" s="360"/>
      <c r="D462" s="361"/>
      <c r="E462" s="333"/>
      <c r="F462" s="333"/>
      <c r="G462" s="333"/>
      <c r="H462" s="333"/>
      <c r="K462" s="362"/>
      <c r="S462" s="333"/>
    </row>
    <row r="463" spans="1:19" ht="15.75" customHeight="1" x14ac:dyDescent="0.25">
      <c r="A463" s="333"/>
      <c r="C463" s="360"/>
      <c r="D463" s="361"/>
      <c r="E463" s="333"/>
      <c r="F463" s="333"/>
      <c r="G463" s="333"/>
      <c r="H463" s="333"/>
      <c r="K463" s="362"/>
      <c r="S463" s="333"/>
    </row>
    <row r="464" spans="1:19" ht="15.75" customHeight="1" x14ac:dyDescent="0.25">
      <c r="A464" s="333"/>
      <c r="C464" s="360"/>
      <c r="D464" s="361"/>
      <c r="E464" s="333"/>
      <c r="F464" s="333"/>
      <c r="G464" s="333"/>
      <c r="H464" s="333"/>
      <c r="K464" s="362"/>
      <c r="S464" s="333"/>
    </row>
    <row r="465" spans="1:19" ht="15.75" customHeight="1" x14ac:dyDescent="0.25">
      <c r="A465" s="333"/>
      <c r="C465" s="360"/>
      <c r="D465" s="361"/>
      <c r="E465" s="333"/>
      <c r="F465" s="333"/>
      <c r="G465" s="333"/>
      <c r="H465" s="333"/>
      <c r="K465" s="362"/>
      <c r="S465" s="333"/>
    </row>
    <row r="466" spans="1:19" ht="15.75" customHeight="1" x14ac:dyDescent="0.25">
      <c r="A466" s="333"/>
      <c r="C466" s="360"/>
      <c r="D466" s="361"/>
      <c r="E466" s="333"/>
      <c r="F466" s="333"/>
      <c r="G466" s="333"/>
      <c r="H466" s="333"/>
      <c r="K466" s="362"/>
      <c r="S466" s="333"/>
    </row>
    <row r="467" spans="1:19" ht="15.75" customHeight="1" x14ac:dyDescent="0.25">
      <c r="A467" s="333"/>
      <c r="C467" s="360"/>
      <c r="D467" s="361"/>
      <c r="E467" s="333"/>
      <c r="F467" s="333"/>
      <c r="G467" s="333"/>
      <c r="H467" s="333"/>
      <c r="K467" s="362"/>
      <c r="S467" s="333"/>
    </row>
    <row r="468" spans="1:19" ht="15.75" customHeight="1" x14ac:dyDescent="0.25">
      <c r="A468" s="333"/>
      <c r="C468" s="360"/>
      <c r="D468" s="361"/>
      <c r="E468" s="333"/>
      <c r="F468" s="333"/>
      <c r="G468" s="333"/>
      <c r="H468" s="333"/>
      <c r="K468" s="362"/>
      <c r="S468" s="333"/>
    </row>
    <row r="469" spans="1:19" ht="15.75" customHeight="1" x14ac:dyDescent="0.25">
      <c r="A469" s="333"/>
      <c r="C469" s="360"/>
      <c r="D469" s="361"/>
      <c r="E469" s="333"/>
      <c r="F469" s="333"/>
      <c r="G469" s="333"/>
      <c r="H469" s="333"/>
      <c r="K469" s="362"/>
      <c r="S469" s="333"/>
    </row>
    <row r="470" spans="1:19" ht="15.75" customHeight="1" x14ac:dyDescent="0.25">
      <c r="A470" s="333"/>
      <c r="C470" s="360"/>
      <c r="D470" s="361"/>
      <c r="E470" s="333"/>
      <c r="F470" s="333"/>
      <c r="G470" s="333"/>
      <c r="H470" s="333"/>
      <c r="K470" s="362"/>
      <c r="S470" s="333"/>
    </row>
    <row r="471" spans="1:19" ht="15.75" customHeight="1" x14ac:dyDescent="0.25">
      <c r="A471" s="333"/>
      <c r="C471" s="360"/>
      <c r="D471" s="361"/>
      <c r="E471" s="333"/>
      <c r="F471" s="333"/>
      <c r="G471" s="333"/>
      <c r="H471" s="333"/>
      <c r="K471" s="362"/>
      <c r="S471" s="333"/>
    </row>
    <row r="472" spans="1:19" ht="15.75" customHeight="1" x14ac:dyDescent="0.25">
      <c r="A472" s="333"/>
      <c r="C472" s="360"/>
      <c r="D472" s="361"/>
      <c r="E472" s="333"/>
      <c r="F472" s="333"/>
      <c r="G472" s="333"/>
      <c r="H472" s="333"/>
      <c r="K472" s="362"/>
      <c r="S472" s="333"/>
    </row>
    <row r="473" spans="1:19" ht="15.75" customHeight="1" x14ac:dyDescent="0.25">
      <c r="A473" s="333"/>
      <c r="C473" s="360"/>
      <c r="D473" s="361"/>
      <c r="E473" s="333"/>
      <c r="F473" s="333"/>
      <c r="G473" s="333"/>
      <c r="H473" s="333"/>
      <c r="K473" s="362"/>
      <c r="S473" s="333"/>
    </row>
    <row r="474" spans="1:19" ht="15.75" customHeight="1" x14ac:dyDescent="0.25">
      <c r="A474" s="333"/>
      <c r="C474" s="360"/>
      <c r="D474" s="361"/>
      <c r="E474" s="333"/>
      <c r="F474" s="333"/>
      <c r="G474" s="333"/>
      <c r="H474" s="333"/>
      <c r="K474" s="362"/>
      <c r="S474" s="333"/>
    </row>
    <row r="475" spans="1:19" ht="15.75" customHeight="1" x14ac:dyDescent="0.25">
      <c r="A475" s="333"/>
      <c r="C475" s="360"/>
      <c r="D475" s="361"/>
      <c r="E475" s="333"/>
      <c r="F475" s="333"/>
      <c r="G475" s="333"/>
      <c r="H475" s="333"/>
      <c r="K475" s="362"/>
      <c r="S475" s="333"/>
    </row>
    <row r="476" spans="1:19" ht="15.75" customHeight="1" x14ac:dyDescent="0.25">
      <c r="A476" s="333"/>
      <c r="C476" s="360"/>
      <c r="D476" s="361"/>
      <c r="E476" s="333"/>
      <c r="F476" s="333"/>
      <c r="G476" s="333"/>
      <c r="H476" s="333"/>
      <c r="K476" s="362"/>
      <c r="S476" s="333"/>
    </row>
    <row r="477" spans="1:19" ht="15.75" customHeight="1" x14ac:dyDescent="0.25">
      <c r="A477" s="333"/>
      <c r="C477" s="360"/>
      <c r="D477" s="361"/>
      <c r="E477" s="333"/>
      <c r="F477" s="333"/>
      <c r="G477" s="333"/>
      <c r="H477" s="333"/>
      <c r="K477" s="362"/>
      <c r="S477" s="333"/>
    </row>
    <row r="478" spans="1:19" ht="15.75" customHeight="1" x14ac:dyDescent="0.25">
      <c r="A478" s="333"/>
      <c r="C478" s="360"/>
      <c r="D478" s="361"/>
      <c r="E478" s="333"/>
      <c r="F478" s="333"/>
      <c r="G478" s="333"/>
      <c r="H478" s="333"/>
      <c r="K478" s="362"/>
      <c r="S478" s="333"/>
    </row>
    <row r="479" spans="1:19" ht="15.75" customHeight="1" x14ac:dyDescent="0.25">
      <c r="A479" s="333"/>
      <c r="C479" s="360"/>
      <c r="D479" s="361"/>
      <c r="E479" s="333"/>
      <c r="F479" s="333"/>
      <c r="G479" s="333"/>
      <c r="H479" s="333"/>
      <c r="K479" s="362"/>
      <c r="S479" s="333"/>
    </row>
    <row r="480" spans="1:19" ht="15.75" customHeight="1" x14ac:dyDescent="0.25">
      <c r="A480" s="333"/>
      <c r="C480" s="360"/>
      <c r="D480" s="361"/>
      <c r="E480" s="333"/>
      <c r="F480" s="333"/>
      <c r="G480" s="333"/>
      <c r="H480" s="333"/>
      <c r="K480" s="362"/>
      <c r="S480" s="333"/>
    </row>
    <row r="481" spans="1:19" ht="15.75" customHeight="1" x14ac:dyDescent="0.25">
      <c r="A481" s="333"/>
      <c r="C481" s="360"/>
      <c r="D481" s="361"/>
      <c r="E481" s="333"/>
      <c r="F481" s="333"/>
      <c r="G481" s="333"/>
      <c r="H481" s="333"/>
      <c r="K481" s="362"/>
      <c r="S481" s="333"/>
    </row>
    <row r="482" spans="1:19" ht="15.75" customHeight="1" x14ac:dyDescent="0.25">
      <c r="A482" s="333"/>
      <c r="C482" s="360"/>
      <c r="D482" s="361"/>
      <c r="E482" s="333"/>
      <c r="F482" s="333"/>
      <c r="G482" s="333"/>
      <c r="H482" s="333"/>
      <c r="K482" s="362"/>
      <c r="S482" s="333"/>
    </row>
    <row r="483" spans="1:19" ht="15.75" customHeight="1" x14ac:dyDescent="0.25">
      <c r="A483" s="333"/>
      <c r="C483" s="360"/>
      <c r="D483" s="361"/>
      <c r="E483" s="333"/>
      <c r="F483" s="333"/>
      <c r="G483" s="333"/>
      <c r="H483" s="333"/>
      <c r="K483" s="362"/>
      <c r="S483" s="333"/>
    </row>
    <row r="484" spans="1:19" ht="15.75" customHeight="1" x14ac:dyDescent="0.25">
      <c r="A484" s="333"/>
      <c r="C484" s="360"/>
      <c r="D484" s="361"/>
      <c r="E484" s="333"/>
      <c r="F484" s="333"/>
      <c r="G484" s="333"/>
      <c r="H484" s="333"/>
      <c r="K484" s="362"/>
      <c r="S484" s="333"/>
    </row>
    <row r="485" spans="1:19" ht="15.75" customHeight="1" x14ac:dyDescent="0.25">
      <c r="A485" s="333"/>
      <c r="C485" s="360"/>
      <c r="D485" s="361"/>
      <c r="E485" s="333"/>
      <c r="F485" s="333"/>
      <c r="G485" s="333"/>
      <c r="H485" s="333"/>
      <c r="K485" s="362"/>
      <c r="S485" s="333"/>
    </row>
    <row r="486" spans="1:19" ht="15.75" customHeight="1" x14ac:dyDescent="0.25">
      <c r="A486" s="333"/>
      <c r="C486" s="360"/>
      <c r="D486" s="361"/>
      <c r="E486" s="333"/>
      <c r="F486" s="333"/>
      <c r="G486" s="333"/>
      <c r="H486" s="333"/>
      <c r="K486" s="362"/>
      <c r="S486" s="333"/>
    </row>
    <row r="487" spans="1:19" ht="15.75" customHeight="1" x14ac:dyDescent="0.25">
      <c r="A487" s="333"/>
      <c r="C487" s="360"/>
      <c r="D487" s="361"/>
      <c r="E487" s="333"/>
      <c r="F487" s="333"/>
      <c r="G487" s="333"/>
      <c r="H487" s="333"/>
      <c r="K487" s="362"/>
      <c r="S487" s="333"/>
    </row>
    <row r="488" spans="1:19" ht="15.75" customHeight="1" x14ac:dyDescent="0.25">
      <c r="A488" s="333"/>
      <c r="C488" s="360"/>
      <c r="D488" s="361"/>
      <c r="E488" s="333"/>
      <c r="F488" s="333"/>
      <c r="G488" s="333"/>
      <c r="H488" s="333"/>
      <c r="K488" s="362"/>
      <c r="S488" s="333"/>
    </row>
    <row r="489" spans="1:19" ht="15.75" customHeight="1" x14ac:dyDescent="0.25">
      <c r="A489" s="333"/>
      <c r="C489" s="360"/>
      <c r="D489" s="361"/>
      <c r="E489" s="333"/>
      <c r="F489" s="333"/>
      <c r="G489" s="333"/>
      <c r="H489" s="333"/>
      <c r="K489" s="362"/>
      <c r="S489" s="333"/>
    </row>
    <row r="490" spans="1:19" ht="15.75" customHeight="1" x14ac:dyDescent="0.25">
      <c r="A490" s="333"/>
      <c r="C490" s="360"/>
      <c r="D490" s="361"/>
      <c r="E490" s="333"/>
      <c r="F490" s="333"/>
      <c r="G490" s="333"/>
      <c r="H490" s="333"/>
      <c r="K490" s="362"/>
      <c r="S490" s="333"/>
    </row>
    <row r="491" spans="1:19" ht="15.75" customHeight="1" x14ac:dyDescent="0.25">
      <c r="A491" s="333"/>
      <c r="C491" s="360"/>
      <c r="D491" s="361"/>
      <c r="E491" s="333"/>
      <c r="F491" s="333"/>
      <c r="G491" s="333"/>
      <c r="H491" s="333"/>
      <c r="K491" s="362"/>
      <c r="S491" s="333"/>
    </row>
    <row r="492" spans="1:19" ht="15.75" customHeight="1" x14ac:dyDescent="0.25">
      <c r="A492" s="333"/>
      <c r="C492" s="360"/>
      <c r="D492" s="361"/>
      <c r="E492" s="333"/>
      <c r="F492" s="333"/>
      <c r="G492" s="333"/>
      <c r="H492" s="333"/>
      <c r="K492" s="362"/>
      <c r="S492" s="333"/>
    </row>
    <row r="493" spans="1:19" ht="15.75" customHeight="1" x14ac:dyDescent="0.25">
      <c r="A493" s="333"/>
      <c r="C493" s="360"/>
      <c r="D493" s="361"/>
      <c r="E493" s="333"/>
      <c r="F493" s="333"/>
      <c r="G493" s="333"/>
      <c r="H493" s="333"/>
      <c r="K493" s="362"/>
      <c r="S493" s="333"/>
    </row>
    <row r="494" spans="1:19" ht="15.75" customHeight="1" x14ac:dyDescent="0.25">
      <c r="A494" s="333"/>
      <c r="C494" s="360"/>
      <c r="D494" s="361"/>
      <c r="E494" s="333"/>
      <c r="F494" s="333"/>
      <c r="G494" s="333"/>
      <c r="H494" s="333"/>
      <c r="K494" s="362"/>
      <c r="S494" s="333"/>
    </row>
    <row r="495" spans="1:19" ht="15.75" customHeight="1" x14ac:dyDescent="0.25">
      <c r="A495" s="333"/>
      <c r="C495" s="360"/>
      <c r="D495" s="361"/>
      <c r="E495" s="333"/>
      <c r="F495" s="333"/>
      <c r="G495" s="333"/>
      <c r="H495" s="333"/>
      <c r="K495" s="362"/>
      <c r="S495" s="333"/>
    </row>
    <row r="496" spans="1:19" ht="15.75" customHeight="1" x14ac:dyDescent="0.25">
      <c r="A496" s="333"/>
      <c r="C496" s="360"/>
      <c r="D496" s="361"/>
      <c r="E496" s="333"/>
      <c r="F496" s="333"/>
      <c r="G496" s="333"/>
      <c r="H496" s="333"/>
      <c r="K496" s="362"/>
      <c r="S496" s="333"/>
    </row>
    <row r="497" spans="1:19" ht="15.75" customHeight="1" x14ac:dyDescent="0.25">
      <c r="A497" s="333"/>
      <c r="C497" s="360"/>
      <c r="D497" s="361"/>
      <c r="E497" s="333"/>
      <c r="F497" s="333"/>
      <c r="G497" s="333"/>
      <c r="H497" s="333"/>
      <c r="K497" s="362"/>
      <c r="S497" s="333"/>
    </row>
    <row r="498" spans="1:19" ht="15.75" customHeight="1" x14ac:dyDescent="0.25">
      <c r="A498" s="333"/>
      <c r="C498" s="360"/>
      <c r="D498" s="361"/>
      <c r="E498" s="333"/>
      <c r="F498" s="333"/>
      <c r="G498" s="333"/>
      <c r="H498" s="333"/>
      <c r="K498" s="362"/>
      <c r="S498" s="333"/>
    </row>
    <row r="499" spans="1:19" ht="15.75" customHeight="1" x14ac:dyDescent="0.25">
      <c r="A499" s="333"/>
      <c r="C499" s="360"/>
      <c r="D499" s="361"/>
      <c r="E499" s="333"/>
      <c r="F499" s="333"/>
      <c r="G499" s="333"/>
      <c r="H499" s="333"/>
      <c r="K499" s="362"/>
      <c r="S499" s="333"/>
    </row>
    <row r="500" spans="1:19" ht="15.75" customHeight="1" x14ac:dyDescent="0.25">
      <c r="A500" s="333"/>
      <c r="C500" s="360"/>
      <c r="D500" s="361"/>
      <c r="E500" s="333"/>
      <c r="F500" s="333"/>
      <c r="G500" s="333"/>
      <c r="H500" s="333"/>
      <c r="K500" s="362"/>
      <c r="S500" s="333"/>
    </row>
    <row r="501" spans="1:19" ht="15.75" customHeight="1" x14ac:dyDescent="0.25">
      <c r="A501" s="333"/>
      <c r="C501" s="360"/>
      <c r="D501" s="361"/>
      <c r="E501" s="333"/>
      <c r="F501" s="333"/>
      <c r="G501" s="333"/>
      <c r="H501" s="333"/>
      <c r="K501" s="362"/>
      <c r="S501" s="333"/>
    </row>
    <row r="502" spans="1:19" ht="15.75" customHeight="1" x14ac:dyDescent="0.25">
      <c r="A502" s="333"/>
      <c r="C502" s="360"/>
      <c r="D502" s="361"/>
      <c r="E502" s="333"/>
      <c r="F502" s="333"/>
      <c r="G502" s="333"/>
      <c r="H502" s="333"/>
      <c r="K502" s="362"/>
      <c r="S502" s="333"/>
    </row>
    <row r="503" spans="1:19" ht="15.75" customHeight="1" x14ac:dyDescent="0.25">
      <c r="A503" s="333"/>
      <c r="C503" s="360"/>
      <c r="D503" s="361"/>
      <c r="E503" s="333"/>
      <c r="F503" s="333"/>
      <c r="G503" s="333"/>
      <c r="H503" s="333"/>
      <c r="K503" s="362"/>
      <c r="S503" s="333"/>
    </row>
    <row r="504" spans="1:19" ht="15.75" customHeight="1" x14ac:dyDescent="0.25">
      <c r="A504" s="333"/>
      <c r="C504" s="360"/>
      <c r="D504" s="361"/>
      <c r="E504" s="333"/>
      <c r="F504" s="333"/>
      <c r="G504" s="333"/>
      <c r="H504" s="333"/>
      <c r="K504" s="362"/>
      <c r="S504" s="333"/>
    </row>
    <row r="505" spans="1:19" ht="15.75" customHeight="1" x14ac:dyDescent="0.25">
      <c r="A505" s="333"/>
      <c r="C505" s="360"/>
      <c r="D505" s="361"/>
      <c r="E505" s="333"/>
      <c r="F505" s="333"/>
      <c r="G505" s="333"/>
      <c r="H505" s="333"/>
      <c r="K505" s="362"/>
      <c r="S505" s="333"/>
    </row>
    <row r="506" spans="1:19" ht="15.75" customHeight="1" x14ac:dyDescent="0.25">
      <c r="A506" s="333"/>
      <c r="C506" s="360"/>
      <c r="D506" s="361"/>
      <c r="E506" s="333"/>
      <c r="F506" s="333"/>
      <c r="G506" s="333"/>
      <c r="H506" s="333"/>
      <c r="K506" s="362"/>
      <c r="S506" s="333"/>
    </row>
    <row r="507" spans="1:19" ht="15.75" customHeight="1" x14ac:dyDescent="0.25">
      <c r="A507" s="333"/>
      <c r="C507" s="360"/>
      <c r="D507" s="361"/>
      <c r="E507" s="333"/>
      <c r="F507" s="333"/>
      <c r="G507" s="333"/>
      <c r="H507" s="333"/>
      <c r="K507" s="362"/>
      <c r="S507" s="333"/>
    </row>
    <row r="508" spans="1:19" ht="15.75" customHeight="1" x14ac:dyDescent="0.25">
      <c r="A508" s="333"/>
      <c r="C508" s="360"/>
      <c r="D508" s="361"/>
      <c r="E508" s="333"/>
      <c r="F508" s="333"/>
      <c r="G508" s="333"/>
      <c r="H508" s="333"/>
      <c r="K508" s="362"/>
      <c r="S508" s="333"/>
    </row>
    <row r="509" spans="1:19" ht="15.75" customHeight="1" x14ac:dyDescent="0.25">
      <c r="A509" s="333"/>
      <c r="C509" s="360"/>
      <c r="D509" s="361"/>
      <c r="E509" s="333"/>
      <c r="F509" s="333"/>
      <c r="G509" s="333"/>
      <c r="H509" s="333"/>
      <c r="K509" s="362"/>
      <c r="S509" s="333"/>
    </row>
    <row r="510" spans="1:19" ht="15.75" customHeight="1" x14ac:dyDescent="0.25">
      <c r="A510" s="333"/>
      <c r="C510" s="360"/>
      <c r="D510" s="361"/>
      <c r="E510" s="333"/>
      <c r="F510" s="333"/>
      <c r="G510" s="333"/>
      <c r="H510" s="333"/>
      <c r="K510" s="362"/>
      <c r="S510" s="333"/>
    </row>
    <row r="511" spans="1:19" ht="15.75" customHeight="1" x14ac:dyDescent="0.25">
      <c r="A511" s="333"/>
      <c r="C511" s="360"/>
      <c r="D511" s="361"/>
      <c r="E511" s="333"/>
      <c r="F511" s="333"/>
      <c r="G511" s="333"/>
      <c r="H511" s="333"/>
      <c r="K511" s="362"/>
      <c r="S511" s="333"/>
    </row>
    <row r="512" spans="1:19" ht="15.75" customHeight="1" x14ac:dyDescent="0.25">
      <c r="A512" s="333"/>
      <c r="C512" s="360"/>
      <c r="D512" s="361"/>
      <c r="E512" s="333"/>
      <c r="F512" s="333"/>
      <c r="G512" s="333"/>
      <c r="H512" s="333"/>
      <c r="K512" s="362"/>
      <c r="S512" s="333"/>
    </row>
    <row r="513" spans="1:19" ht="15.75" customHeight="1" x14ac:dyDescent="0.25">
      <c r="A513" s="333"/>
      <c r="C513" s="360"/>
      <c r="D513" s="361"/>
      <c r="E513" s="333"/>
      <c r="F513" s="333"/>
      <c r="G513" s="333"/>
      <c r="H513" s="333"/>
      <c r="K513" s="362"/>
      <c r="S513" s="333"/>
    </row>
    <row r="514" spans="1:19" ht="15.75" customHeight="1" x14ac:dyDescent="0.25">
      <c r="A514" s="333"/>
      <c r="C514" s="360"/>
      <c r="D514" s="361"/>
      <c r="E514" s="333"/>
      <c r="F514" s="333"/>
      <c r="G514" s="333"/>
      <c r="H514" s="333"/>
      <c r="K514" s="362"/>
      <c r="S514" s="333"/>
    </row>
    <row r="515" spans="1:19" ht="15.75" customHeight="1" x14ac:dyDescent="0.25">
      <c r="A515" s="333"/>
      <c r="C515" s="360"/>
      <c r="D515" s="361"/>
      <c r="E515" s="333"/>
      <c r="F515" s="333"/>
      <c r="G515" s="333"/>
      <c r="H515" s="333"/>
      <c r="K515" s="362"/>
      <c r="S515" s="333"/>
    </row>
    <row r="516" spans="1:19" ht="15.75" customHeight="1" x14ac:dyDescent="0.25">
      <c r="A516" s="333"/>
      <c r="C516" s="360"/>
      <c r="D516" s="361"/>
      <c r="E516" s="333"/>
      <c r="F516" s="333"/>
      <c r="G516" s="333"/>
      <c r="H516" s="333"/>
      <c r="K516" s="362"/>
      <c r="S516" s="333"/>
    </row>
    <row r="517" spans="1:19" ht="15.75" customHeight="1" x14ac:dyDescent="0.25">
      <c r="A517" s="333"/>
      <c r="C517" s="360"/>
      <c r="D517" s="361"/>
      <c r="E517" s="333"/>
      <c r="F517" s="333"/>
      <c r="G517" s="333"/>
      <c r="H517" s="333"/>
      <c r="K517" s="362"/>
      <c r="S517" s="333"/>
    </row>
    <row r="518" spans="1:19" ht="15.75" customHeight="1" x14ac:dyDescent="0.25">
      <c r="A518" s="333"/>
      <c r="C518" s="360"/>
      <c r="D518" s="361"/>
      <c r="E518" s="333"/>
      <c r="F518" s="333"/>
      <c r="G518" s="333"/>
      <c r="H518" s="333"/>
      <c r="K518" s="362"/>
      <c r="S518" s="333"/>
    </row>
    <row r="519" spans="1:19" ht="15.75" customHeight="1" x14ac:dyDescent="0.25">
      <c r="A519" s="333"/>
      <c r="C519" s="360"/>
      <c r="D519" s="361"/>
      <c r="E519" s="333"/>
      <c r="F519" s="333"/>
      <c r="G519" s="333"/>
      <c r="H519" s="333"/>
      <c r="K519" s="362"/>
      <c r="S519" s="333"/>
    </row>
    <row r="520" spans="1:19" ht="15.75" customHeight="1" x14ac:dyDescent="0.25">
      <c r="A520" s="333"/>
      <c r="C520" s="360"/>
      <c r="D520" s="361"/>
      <c r="E520" s="333"/>
      <c r="F520" s="333"/>
      <c r="G520" s="333"/>
      <c r="H520" s="333"/>
      <c r="K520" s="362"/>
      <c r="S520" s="333"/>
    </row>
    <row r="521" spans="1:19" ht="15.75" customHeight="1" x14ac:dyDescent="0.25">
      <c r="A521" s="333"/>
      <c r="C521" s="360"/>
      <c r="D521" s="361"/>
      <c r="E521" s="333"/>
      <c r="F521" s="333"/>
      <c r="G521" s="333"/>
      <c r="H521" s="333"/>
      <c r="K521" s="362"/>
      <c r="S521" s="333"/>
    </row>
    <row r="522" spans="1:19" ht="15.75" customHeight="1" x14ac:dyDescent="0.25">
      <c r="A522" s="333"/>
      <c r="C522" s="360"/>
      <c r="D522" s="361"/>
      <c r="E522" s="333"/>
      <c r="F522" s="333"/>
      <c r="G522" s="333"/>
      <c r="H522" s="333"/>
      <c r="K522" s="362"/>
      <c r="S522" s="333"/>
    </row>
    <row r="523" spans="1:19" ht="15.75" customHeight="1" x14ac:dyDescent="0.25">
      <c r="A523" s="333"/>
      <c r="C523" s="360"/>
      <c r="D523" s="361"/>
      <c r="E523" s="333"/>
      <c r="F523" s="333"/>
      <c r="G523" s="333"/>
      <c r="H523" s="333"/>
      <c r="K523" s="362"/>
      <c r="S523" s="333"/>
    </row>
    <row r="524" spans="1:19" ht="15.75" customHeight="1" x14ac:dyDescent="0.25">
      <c r="A524" s="333"/>
      <c r="C524" s="360"/>
      <c r="D524" s="361"/>
      <c r="E524" s="333"/>
      <c r="F524" s="333"/>
      <c r="G524" s="333"/>
      <c r="H524" s="333"/>
      <c r="K524" s="362"/>
      <c r="S524" s="333"/>
    </row>
    <row r="525" spans="1:19" ht="15.75" customHeight="1" x14ac:dyDescent="0.25">
      <c r="A525" s="333"/>
      <c r="C525" s="360"/>
      <c r="D525" s="361"/>
      <c r="E525" s="333"/>
      <c r="F525" s="333"/>
      <c r="G525" s="333"/>
      <c r="H525" s="333"/>
      <c r="K525" s="362"/>
      <c r="S525" s="333"/>
    </row>
    <row r="526" spans="1:19" ht="15.75" customHeight="1" x14ac:dyDescent="0.25">
      <c r="A526" s="333"/>
      <c r="C526" s="360"/>
      <c r="D526" s="361"/>
      <c r="E526" s="333"/>
      <c r="F526" s="333"/>
      <c r="G526" s="333"/>
      <c r="H526" s="333"/>
      <c r="K526" s="362"/>
      <c r="S526" s="333"/>
    </row>
    <row r="527" spans="1:19" ht="15.75" customHeight="1" x14ac:dyDescent="0.25">
      <c r="A527" s="333"/>
      <c r="C527" s="360"/>
      <c r="D527" s="361"/>
      <c r="E527" s="333"/>
      <c r="F527" s="333"/>
      <c r="G527" s="333"/>
      <c r="H527" s="333"/>
      <c r="K527" s="362"/>
      <c r="S527" s="333"/>
    </row>
    <row r="528" spans="1:19" ht="15.75" customHeight="1" x14ac:dyDescent="0.25">
      <c r="A528" s="333"/>
      <c r="C528" s="360"/>
      <c r="D528" s="361"/>
      <c r="E528" s="333"/>
      <c r="F528" s="333"/>
      <c r="G528" s="333"/>
      <c r="H528" s="333"/>
      <c r="K528" s="362"/>
      <c r="S528" s="333"/>
    </row>
    <row r="529" spans="1:19" ht="15.75" customHeight="1" x14ac:dyDescent="0.25">
      <c r="A529" s="333"/>
      <c r="C529" s="360"/>
      <c r="D529" s="361"/>
      <c r="E529" s="333"/>
      <c r="F529" s="333"/>
      <c r="G529" s="333"/>
      <c r="H529" s="333"/>
      <c r="K529" s="362"/>
      <c r="S529" s="333"/>
    </row>
    <row r="530" spans="1:19" ht="15.75" customHeight="1" x14ac:dyDescent="0.25">
      <c r="A530" s="333"/>
      <c r="C530" s="360"/>
      <c r="D530" s="361"/>
      <c r="E530" s="333"/>
      <c r="F530" s="333"/>
      <c r="G530" s="333"/>
      <c r="H530" s="333"/>
      <c r="K530" s="362"/>
      <c r="S530" s="333"/>
    </row>
    <row r="531" spans="1:19" ht="15.75" customHeight="1" x14ac:dyDescent="0.25">
      <c r="A531" s="333"/>
      <c r="C531" s="360"/>
      <c r="D531" s="361"/>
      <c r="E531" s="333"/>
      <c r="F531" s="333"/>
      <c r="G531" s="333"/>
      <c r="H531" s="333"/>
      <c r="K531" s="362"/>
      <c r="S531" s="333"/>
    </row>
    <row r="532" spans="1:19" ht="15.75" customHeight="1" x14ac:dyDescent="0.25">
      <c r="A532" s="333"/>
      <c r="C532" s="360"/>
      <c r="D532" s="361"/>
      <c r="E532" s="333"/>
      <c r="F532" s="333"/>
      <c r="G532" s="333"/>
      <c r="H532" s="333"/>
      <c r="K532" s="362"/>
      <c r="S532" s="333"/>
    </row>
    <row r="533" spans="1:19" ht="15.75" customHeight="1" x14ac:dyDescent="0.25">
      <c r="A533" s="333"/>
      <c r="C533" s="360"/>
      <c r="D533" s="361"/>
      <c r="E533" s="333"/>
      <c r="F533" s="333"/>
      <c r="G533" s="333"/>
      <c r="H533" s="333"/>
      <c r="K533" s="362"/>
      <c r="S533" s="333"/>
    </row>
    <row r="534" spans="1:19" ht="15.75" customHeight="1" x14ac:dyDescent="0.25">
      <c r="A534" s="333"/>
      <c r="C534" s="360"/>
      <c r="D534" s="361"/>
      <c r="E534" s="333"/>
      <c r="F534" s="333"/>
      <c r="G534" s="333"/>
      <c r="H534" s="333"/>
      <c r="K534" s="362"/>
      <c r="S534" s="333"/>
    </row>
    <row r="535" spans="1:19" ht="15.75" customHeight="1" x14ac:dyDescent="0.25">
      <c r="A535" s="333"/>
      <c r="C535" s="360"/>
      <c r="D535" s="361"/>
      <c r="E535" s="333"/>
      <c r="F535" s="333"/>
      <c r="G535" s="333"/>
      <c r="H535" s="333"/>
      <c r="K535" s="362"/>
      <c r="S535" s="333"/>
    </row>
    <row r="536" spans="1:19" ht="15.75" customHeight="1" x14ac:dyDescent="0.25">
      <c r="A536" s="333"/>
      <c r="C536" s="360"/>
      <c r="D536" s="361"/>
      <c r="E536" s="333"/>
      <c r="F536" s="333"/>
      <c r="G536" s="333"/>
      <c r="H536" s="333"/>
      <c r="K536" s="362"/>
      <c r="S536" s="333"/>
    </row>
    <row r="537" spans="1:19" ht="15.75" customHeight="1" x14ac:dyDescent="0.25">
      <c r="A537" s="333"/>
      <c r="C537" s="360"/>
      <c r="D537" s="361"/>
      <c r="E537" s="333"/>
      <c r="F537" s="333"/>
      <c r="G537" s="333"/>
      <c r="H537" s="333"/>
      <c r="K537" s="362"/>
      <c r="S537" s="333"/>
    </row>
    <row r="538" spans="1:19" ht="15.75" customHeight="1" x14ac:dyDescent="0.25">
      <c r="A538" s="333"/>
      <c r="C538" s="360"/>
      <c r="D538" s="361"/>
      <c r="E538" s="333"/>
      <c r="F538" s="333"/>
      <c r="G538" s="333"/>
      <c r="H538" s="333"/>
      <c r="K538" s="362"/>
      <c r="S538" s="333"/>
    </row>
    <row r="539" spans="1:19" ht="15.75" customHeight="1" x14ac:dyDescent="0.25">
      <c r="A539" s="333"/>
      <c r="C539" s="360"/>
      <c r="D539" s="361"/>
      <c r="E539" s="333"/>
      <c r="F539" s="333"/>
      <c r="G539" s="333"/>
      <c r="H539" s="333"/>
      <c r="K539" s="362"/>
      <c r="S539" s="333"/>
    </row>
    <row r="540" spans="1:19" ht="15.75" customHeight="1" x14ac:dyDescent="0.25">
      <c r="A540" s="333"/>
      <c r="C540" s="360"/>
      <c r="D540" s="361"/>
      <c r="E540" s="333"/>
      <c r="F540" s="333"/>
      <c r="G540" s="333"/>
      <c r="H540" s="333"/>
      <c r="K540" s="362"/>
      <c r="S540" s="333"/>
    </row>
    <row r="541" spans="1:19" ht="15.75" customHeight="1" x14ac:dyDescent="0.25">
      <c r="A541" s="333"/>
      <c r="C541" s="360"/>
      <c r="D541" s="361"/>
      <c r="E541" s="333"/>
      <c r="F541" s="333"/>
      <c r="G541" s="333"/>
      <c r="H541" s="333"/>
      <c r="K541" s="362"/>
      <c r="S541" s="333"/>
    </row>
    <row r="542" spans="1:19" ht="15.75" customHeight="1" x14ac:dyDescent="0.25">
      <c r="A542" s="333"/>
      <c r="C542" s="360"/>
      <c r="D542" s="361"/>
      <c r="E542" s="333"/>
      <c r="F542" s="333"/>
      <c r="G542" s="333"/>
      <c r="H542" s="333"/>
      <c r="K542" s="362"/>
      <c r="S542" s="333"/>
    </row>
    <row r="543" spans="1:19" ht="15.75" customHeight="1" x14ac:dyDescent="0.25">
      <c r="A543" s="333"/>
      <c r="C543" s="360"/>
      <c r="D543" s="361"/>
      <c r="E543" s="333"/>
      <c r="F543" s="333"/>
      <c r="G543" s="333"/>
      <c r="H543" s="333"/>
      <c r="K543" s="362"/>
      <c r="S543" s="333"/>
    </row>
    <row r="544" spans="1:19" ht="15.75" customHeight="1" x14ac:dyDescent="0.25">
      <c r="A544" s="333"/>
      <c r="C544" s="360"/>
      <c r="D544" s="361"/>
      <c r="E544" s="333"/>
      <c r="F544" s="333"/>
      <c r="G544" s="333"/>
      <c r="H544" s="333"/>
      <c r="K544" s="362"/>
      <c r="S544" s="333"/>
    </row>
    <row r="545" spans="1:19" ht="15.75" customHeight="1" x14ac:dyDescent="0.25">
      <c r="A545" s="333"/>
      <c r="C545" s="360"/>
      <c r="D545" s="361"/>
      <c r="E545" s="333"/>
      <c r="F545" s="333"/>
      <c r="G545" s="333"/>
      <c r="H545" s="333"/>
      <c r="K545" s="362"/>
      <c r="S545" s="333"/>
    </row>
    <row r="546" spans="1:19" ht="15.75" customHeight="1" x14ac:dyDescent="0.25">
      <c r="A546" s="333"/>
      <c r="C546" s="360"/>
      <c r="D546" s="361"/>
      <c r="E546" s="333"/>
      <c r="F546" s="333"/>
      <c r="G546" s="333"/>
      <c r="H546" s="333"/>
      <c r="K546" s="362"/>
      <c r="S546" s="333"/>
    </row>
    <row r="547" spans="1:19" ht="15.75" customHeight="1" x14ac:dyDescent="0.25">
      <c r="A547" s="333"/>
      <c r="C547" s="360"/>
      <c r="D547" s="361"/>
      <c r="E547" s="333"/>
      <c r="F547" s="333"/>
      <c r="G547" s="333"/>
      <c r="H547" s="333"/>
      <c r="K547" s="362"/>
      <c r="S547" s="333"/>
    </row>
    <row r="548" spans="1:19" ht="15.75" customHeight="1" x14ac:dyDescent="0.25">
      <c r="A548" s="333"/>
      <c r="C548" s="360"/>
      <c r="D548" s="361"/>
      <c r="E548" s="333"/>
      <c r="F548" s="333"/>
      <c r="G548" s="333"/>
      <c r="H548" s="333"/>
      <c r="K548" s="362"/>
      <c r="S548" s="333"/>
    </row>
    <row r="549" spans="1:19" ht="15.75" customHeight="1" x14ac:dyDescent="0.25">
      <c r="A549" s="333"/>
      <c r="C549" s="360"/>
      <c r="D549" s="361"/>
      <c r="E549" s="333"/>
      <c r="F549" s="333"/>
      <c r="G549" s="333"/>
      <c r="H549" s="333"/>
      <c r="K549" s="362"/>
      <c r="S549" s="333"/>
    </row>
    <row r="550" spans="1:19" ht="15.75" customHeight="1" x14ac:dyDescent="0.25">
      <c r="A550" s="333"/>
      <c r="C550" s="360"/>
      <c r="D550" s="361"/>
      <c r="E550" s="333"/>
      <c r="F550" s="333"/>
      <c r="G550" s="333"/>
      <c r="H550" s="333"/>
      <c r="K550" s="362"/>
      <c r="S550" s="333"/>
    </row>
    <row r="551" spans="1:19" ht="15.75" customHeight="1" x14ac:dyDescent="0.25">
      <c r="A551" s="333"/>
      <c r="C551" s="360"/>
      <c r="D551" s="361"/>
      <c r="E551" s="333"/>
      <c r="F551" s="333"/>
      <c r="G551" s="333"/>
      <c r="H551" s="333"/>
      <c r="K551" s="362"/>
      <c r="S551" s="333"/>
    </row>
    <row r="552" spans="1:19" ht="15.75" customHeight="1" x14ac:dyDescent="0.25">
      <c r="A552" s="333"/>
      <c r="C552" s="360"/>
      <c r="D552" s="361"/>
      <c r="E552" s="333"/>
      <c r="F552" s="333"/>
      <c r="G552" s="333"/>
      <c r="H552" s="333"/>
      <c r="K552" s="362"/>
      <c r="S552" s="333"/>
    </row>
    <row r="553" spans="1:19" ht="15.75" customHeight="1" x14ac:dyDescent="0.25">
      <c r="A553" s="333"/>
      <c r="C553" s="360"/>
      <c r="D553" s="361"/>
      <c r="E553" s="333"/>
      <c r="F553" s="333"/>
      <c r="G553" s="333"/>
      <c r="H553" s="333"/>
      <c r="K553" s="362"/>
      <c r="S553" s="333"/>
    </row>
    <row r="554" spans="1:19" ht="15.75" customHeight="1" x14ac:dyDescent="0.25">
      <c r="A554" s="333"/>
      <c r="C554" s="360"/>
      <c r="D554" s="361"/>
      <c r="E554" s="333"/>
      <c r="F554" s="333"/>
      <c r="G554" s="333"/>
      <c r="H554" s="333"/>
      <c r="K554" s="362"/>
      <c r="S554" s="333"/>
    </row>
    <row r="555" spans="1:19" ht="15.75" customHeight="1" x14ac:dyDescent="0.25">
      <c r="A555" s="333"/>
      <c r="C555" s="360"/>
      <c r="D555" s="361"/>
      <c r="E555" s="333"/>
      <c r="F555" s="333"/>
      <c r="G555" s="333"/>
      <c r="H555" s="333"/>
      <c r="K555" s="362"/>
      <c r="S555" s="333"/>
    </row>
    <row r="556" spans="1:19" ht="15.75" customHeight="1" x14ac:dyDescent="0.25">
      <c r="A556" s="333"/>
      <c r="C556" s="360"/>
      <c r="D556" s="361"/>
      <c r="E556" s="333"/>
      <c r="F556" s="333"/>
      <c r="G556" s="333"/>
      <c r="H556" s="333"/>
      <c r="K556" s="362"/>
      <c r="S556" s="333"/>
    </row>
    <row r="557" spans="1:19" ht="15.75" customHeight="1" x14ac:dyDescent="0.25">
      <c r="A557" s="333"/>
      <c r="C557" s="360"/>
      <c r="D557" s="361"/>
      <c r="E557" s="333"/>
      <c r="F557" s="333"/>
      <c r="G557" s="333"/>
      <c r="H557" s="333"/>
      <c r="K557" s="362"/>
      <c r="S557" s="333"/>
    </row>
    <row r="558" spans="1:19" ht="15.75" customHeight="1" x14ac:dyDescent="0.25">
      <c r="A558" s="333"/>
      <c r="C558" s="360"/>
      <c r="D558" s="361"/>
      <c r="E558" s="333"/>
      <c r="F558" s="333"/>
      <c r="G558" s="333"/>
      <c r="H558" s="333"/>
      <c r="K558" s="362"/>
      <c r="S558" s="333"/>
    </row>
    <row r="559" spans="1:19" ht="15.75" customHeight="1" x14ac:dyDescent="0.25">
      <c r="A559" s="333"/>
      <c r="C559" s="360"/>
      <c r="D559" s="361"/>
      <c r="E559" s="333"/>
      <c r="F559" s="333"/>
      <c r="G559" s="333"/>
      <c r="H559" s="333"/>
      <c r="K559" s="362"/>
      <c r="S559" s="333"/>
    </row>
    <row r="560" spans="1:19" ht="15.75" customHeight="1" x14ac:dyDescent="0.25">
      <c r="A560" s="333"/>
      <c r="C560" s="360"/>
      <c r="D560" s="361"/>
      <c r="E560" s="333"/>
      <c r="F560" s="333"/>
      <c r="G560" s="333"/>
      <c r="H560" s="333"/>
      <c r="K560" s="362"/>
      <c r="S560" s="333"/>
    </row>
    <row r="561" spans="1:19" ht="15.75" customHeight="1" x14ac:dyDescent="0.25">
      <c r="A561" s="333"/>
      <c r="C561" s="360"/>
      <c r="D561" s="361"/>
      <c r="E561" s="333"/>
      <c r="F561" s="333"/>
      <c r="G561" s="333"/>
      <c r="H561" s="333"/>
      <c r="K561" s="362"/>
      <c r="S561" s="333"/>
    </row>
    <row r="562" spans="1:19" ht="15.75" customHeight="1" x14ac:dyDescent="0.25">
      <c r="A562" s="333"/>
      <c r="C562" s="360"/>
      <c r="D562" s="361"/>
      <c r="E562" s="333"/>
      <c r="F562" s="333"/>
      <c r="G562" s="333"/>
      <c r="H562" s="333"/>
      <c r="K562" s="362"/>
      <c r="S562" s="333"/>
    </row>
    <row r="563" spans="1:19" ht="15.75" customHeight="1" x14ac:dyDescent="0.25">
      <c r="A563" s="333"/>
      <c r="C563" s="360"/>
      <c r="D563" s="361"/>
      <c r="E563" s="333"/>
      <c r="F563" s="333"/>
      <c r="G563" s="333"/>
      <c r="H563" s="333"/>
      <c r="K563" s="362"/>
      <c r="S563" s="333"/>
    </row>
    <row r="564" spans="1:19" ht="15.75" customHeight="1" x14ac:dyDescent="0.25">
      <c r="A564" s="333"/>
      <c r="C564" s="360"/>
      <c r="D564" s="361"/>
      <c r="E564" s="333"/>
      <c r="F564" s="333"/>
      <c r="G564" s="333"/>
      <c r="H564" s="333"/>
      <c r="K564" s="362"/>
      <c r="S564" s="333"/>
    </row>
    <row r="565" spans="1:19" ht="15.75" customHeight="1" x14ac:dyDescent="0.25">
      <c r="A565" s="333"/>
      <c r="C565" s="360"/>
      <c r="D565" s="361"/>
      <c r="E565" s="333"/>
      <c r="F565" s="333"/>
      <c r="G565" s="333"/>
      <c r="H565" s="333"/>
      <c r="K565" s="362"/>
      <c r="S565" s="333"/>
    </row>
    <row r="566" spans="1:19" ht="15.75" customHeight="1" x14ac:dyDescent="0.25">
      <c r="A566" s="333"/>
      <c r="C566" s="360"/>
      <c r="D566" s="361"/>
      <c r="E566" s="333"/>
      <c r="F566" s="333"/>
      <c r="G566" s="333"/>
      <c r="H566" s="333"/>
      <c r="K566" s="362"/>
      <c r="S566" s="333"/>
    </row>
    <row r="567" spans="1:19" ht="15.75" customHeight="1" x14ac:dyDescent="0.25">
      <c r="A567" s="333"/>
      <c r="C567" s="360"/>
      <c r="D567" s="361"/>
      <c r="E567" s="333"/>
      <c r="F567" s="333"/>
      <c r="G567" s="333"/>
      <c r="H567" s="333"/>
      <c r="K567" s="362"/>
      <c r="S567" s="333"/>
    </row>
    <row r="568" spans="1:19" ht="15.75" customHeight="1" x14ac:dyDescent="0.25">
      <c r="A568" s="333"/>
      <c r="C568" s="360"/>
      <c r="D568" s="361"/>
      <c r="E568" s="333"/>
      <c r="F568" s="333"/>
      <c r="G568" s="333"/>
      <c r="H568" s="333"/>
      <c r="K568" s="362"/>
      <c r="S568" s="333"/>
    </row>
    <row r="569" spans="1:19" ht="15.75" customHeight="1" x14ac:dyDescent="0.25">
      <c r="A569" s="333"/>
      <c r="C569" s="360"/>
      <c r="D569" s="361"/>
      <c r="E569" s="333"/>
      <c r="F569" s="333"/>
      <c r="G569" s="333"/>
      <c r="H569" s="333"/>
      <c r="K569" s="362"/>
      <c r="S569" s="333"/>
    </row>
    <row r="570" spans="1:19" ht="15.75" customHeight="1" x14ac:dyDescent="0.25">
      <c r="A570" s="333"/>
      <c r="C570" s="360"/>
      <c r="D570" s="361"/>
      <c r="E570" s="333"/>
      <c r="F570" s="333"/>
      <c r="G570" s="333"/>
      <c r="H570" s="333"/>
      <c r="K570" s="362"/>
      <c r="S570" s="333"/>
    </row>
    <row r="571" spans="1:19" ht="15.75" customHeight="1" x14ac:dyDescent="0.25">
      <c r="A571" s="333"/>
      <c r="C571" s="360"/>
      <c r="D571" s="361"/>
      <c r="E571" s="333"/>
      <c r="F571" s="333"/>
      <c r="G571" s="333"/>
      <c r="H571" s="333"/>
      <c r="K571" s="362"/>
      <c r="S571" s="333"/>
    </row>
    <row r="572" spans="1:19" ht="15.75" customHeight="1" x14ac:dyDescent="0.25">
      <c r="A572" s="333"/>
      <c r="C572" s="360"/>
      <c r="D572" s="361"/>
      <c r="E572" s="333"/>
      <c r="F572" s="333"/>
      <c r="G572" s="333"/>
      <c r="H572" s="333"/>
      <c r="K572" s="362"/>
      <c r="S572" s="333"/>
    </row>
    <row r="573" spans="1:19" ht="15.75" customHeight="1" x14ac:dyDescent="0.25">
      <c r="A573" s="333"/>
      <c r="C573" s="360"/>
      <c r="D573" s="361"/>
      <c r="E573" s="333"/>
      <c r="F573" s="333"/>
      <c r="G573" s="333"/>
      <c r="H573" s="333"/>
      <c r="K573" s="362"/>
      <c r="S573" s="333"/>
    </row>
    <row r="574" spans="1:19" ht="15.75" customHeight="1" x14ac:dyDescent="0.25">
      <c r="A574" s="333"/>
      <c r="C574" s="360"/>
      <c r="D574" s="361"/>
      <c r="E574" s="333"/>
      <c r="F574" s="333"/>
      <c r="G574" s="333"/>
      <c r="H574" s="333"/>
      <c r="K574" s="362"/>
      <c r="S574" s="333"/>
    </row>
    <row r="575" spans="1:19" ht="15.75" customHeight="1" x14ac:dyDescent="0.25">
      <c r="A575" s="333"/>
      <c r="C575" s="360"/>
      <c r="D575" s="361"/>
      <c r="E575" s="333"/>
      <c r="F575" s="333"/>
      <c r="G575" s="333"/>
      <c r="H575" s="333"/>
      <c r="K575" s="362"/>
      <c r="S575" s="333"/>
    </row>
    <row r="576" spans="1:19" ht="15.75" customHeight="1" x14ac:dyDescent="0.25">
      <c r="A576" s="333"/>
      <c r="C576" s="360"/>
      <c r="D576" s="361"/>
      <c r="E576" s="333"/>
      <c r="F576" s="333"/>
      <c r="G576" s="333"/>
      <c r="H576" s="333"/>
      <c r="K576" s="362"/>
      <c r="S576" s="333"/>
    </row>
    <row r="577" spans="1:19" ht="15.75" customHeight="1" x14ac:dyDescent="0.25">
      <c r="A577" s="333"/>
      <c r="C577" s="360"/>
      <c r="D577" s="361"/>
      <c r="E577" s="333"/>
      <c r="F577" s="333"/>
      <c r="G577" s="333"/>
      <c r="H577" s="333"/>
      <c r="K577" s="362"/>
      <c r="S577" s="333"/>
    </row>
    <row r="578" spans="1:19" ht="15.75" customHeight="1" x14ac:dyDescent="0.25">
      <c r="A578" s="333"/>
      <c r="C578" s="360"/>
      <c r="D578" s="361"/>
      <c r="E578" s="333"/>
      <c r="F578" s="333"/>
      <c r="G578" s="333"/>
      <c r="H578" s="333"/>
      <c r="K578" s="362"/>
      <c r="S578" s="333"/>
    </row>
    <row r="579" spans="1:19" ht="15.75" customHeight="1" x14ac:dyDescent="0.25">
      <c r="A579" s="333"/>
      <c r="C579" s="360"/>
      <c r="D579" s="361"/>
      <c r="E579" s="333"/>
      <c r="F579" s="333"/>
      <c r="G579" s="333"/>
      <c r="H579" s="333"/>
      <c r="K579" s="362"/>
      <c r="S579" s="333"/>
    </row>
    <row r="580" spans="1:19" ht="15.75" customHeight="1" x14ac:dyDescent="0.25">
      <c r="A580" s="333"/>
      <c r="C580" s="360"/>
      <c r="D580" s="361"/>
      <c r="E580" s="333"/>
      <c r="F580" s="333"/>
      <c r="G580" s="333"/>
      <c r="H580" s="333"/>
      <c r="K580" s="362"/>
      <c r="S580" s="333"/>
    </row>
    <row r="581" spans="1:19" ht="15.75" customHeight="1" x14ac:dyDescent="0.25">
      <c r="A581" s="333"/>
      <c r="C581" s="360"/>
      <c r="D581" s="361"/>
      <c r="E581" s="333"/>
      <c r="F581" s="333"/>
      <c r="G581" s="333"/>
      <c r="H581" s="333"/>
      <c r="K581" s="362"/>
      <c r="S581" s="333"/>
    </row>
    <row r="582" spans="1:19" ht="15.75" customHeight="1" x14ac:dyDescent="0.25">
      <c r="A582" s="333"/>
      <c r="C582" s="360"/>
      <c r="D582" s="361"/>
      <c r="E582" s="333"/>
      <c r="F582" s="333"/>
      <c r="G582" s="333"/>
      <c r="H582" s="333"/>
      <c r="K582" s="362"/>
      <c r="S582" s="333"/>
    </row>
    <row r="583" spans="1:19" ht="15.75" customHeight="1" x14ac:dyDescent="0.25">
      <c r="A583" s="333"/>
      <c r="C583" s="360"/>
      <c r="D583" s="361"/>
      <c r="E583" s="333"/>
      <c r="F583" s="333"/>
      <c r="G583" s="333"/>
      <c r="H583" s="333"/>
      <c r="K583" s="362"/>
      <c r="S583" s="333"/>
    </row>
    <row r="584" spans="1:19" ht="15.75" customHeight="1" x14ac:dyDescent="0.25">
      <c r="A584" s="333"/>
      <c r="C584" s="360"/>
      <c r="D584" s="361"/>
      <c r="E584" s="333"/>
      <c r="F584" s="333"/>
      <c r="G584" s="333"/>
      <c r="H584" s="333"/>
      <c r="K584" s="362"/>
      <c r="S584" s="333"/>
    </row>
    <row r="585" spans="1:19" ht="15.75" customHeight="1" x14ac:dyDescent="0.25">
      <c r="A585" s="333"/>
      <c r="C585" s="360"/>
      <c r="D585" s="361"/>
      <c r="E585" s="333"/>
      <c r="F585" s="333"/>
      <c r="G585" s="333"/>
      <c r="H585" s="333"/>
      <c r="K585" s="362"/>
      <c r="S585" s="333"/>
    </row>
    <row r="586" spans="1:19" ht="15.75" customHeight="1" x14ac:dyDescent="0.25">
      <c r="A586" s="333"/>
      <c r="C586" s="360"/>
      <c r="D586" s="361"/>
      <c r="E586" s="333"/>
      <c r="F586" s="333"/>
      <c r="G586" s="333"/>
      <c r="H586" s="333"/>
      <c r="K586" s="362"/>
      <c r="S586" s="333"/>
    </row>
    <row r="587" spans="1:19" ht="15.75" customHeight="1" x14ac:dyDescent="0.25">
      <c r="A587" s="333"/>
      <c r="C587" s="360"/>
      <c r="D587" s="361"/>
      <c r="E587" s="333"/>
      <c r="F587" s="333"/>
      <c r="G587" s="333"/>
      <c r="H587" s="333"/>
      <c r="K587" s="362"/>
      <c r="S587" s="333"/>
    </row>
    <row r="588" spans="1:19" ht="15.75" customHeight="1" x14ac:dyDescent="0.25">
      <c r="A588" s="333"/>
      <c r="C588" s="360"/>
      <c r="D588" s="361"/>
      <c r="E588" s="333"/>
      <c r="F588" s="333"/>
      <c r="G588" s="333"/>
      <c r="H588" s="333"/>
      <c r="K588" s="362"/>
      <c r="S588" s="333"/>
    </row>
    <row r="589" spans="1:19" ht="15.75" customHeight="1" x14ac:dyDescent="0.25">
      <c r="A589" s="333"/>
      <c r="C589" s="360"/>
      <c r="D589" s="361"/>
      <c r="E589" s="333"/>
      <c r="F589" s="333"/>
      <c r="G589" s="333"/>
      <c r="H589" s="333"/>
      <c r="K589" s="362"/>
      <c r="S589" s="333"/>
    </row>
    <row r="590" spans="1:19" ht="15.75" customHeight="1" x14ac:dyDescent="0.25">
      <c r="A590" s="333"/>
      <c r="C590" s="360"/>
      <c r="D590" s="361"/>
      <c r="E590" s="333"/>
      <c r="F590" s="333"/>
      <c r="G590" s="333"/>
      <c r="H590" s="333"/>
      <c r="K590" s="362"/>
      <c r="S590" s="333"/>
    </row>
    <row r="591" spans="1:19" ht="15.75" customHeight="1" x14ac:dyDescent="0.25">
      <c r="A591" s="333"/>
      <c r="C591" s="360"/>
      <c r="D591" s="361"/>
      <c r="E591" s="333"/>
      <c r="F591" s="333"/>
      <c r="G591" s="333"/>
      <c r="H591" s="333"/>
      <c r="K591" s="362"/>
      <c r="S591" s="333"/>
    </row>
    <row r="592" spans="1:19" ht="15.75" customHeight="1" x14ac:dyDescent="0.25">
      <c r="A592" s="333"/>
      <c r="C592" s="360"/>
      <c r="D592" s="361"/>
      <c r="E592" s="333"/>
      <c r="F592" s="333"/>
      <c r="G592" s="333"/>
      <c r="H592" s="333"/>
      <c r="K592" s="362"/>
      <c r="S592" s="333"/>
    </row>
    <row r="593" spans="1:19" ht="15.75" customHeight="1" x14ac:dyDescent="0.25">
      <c r="A593" s="333"/>
      <c r="C593" s="360"/>
      <c r="D593" s="361"/>
      <c r="E593" s="333"/>
      <c r="F593" s="333"/>
      <c r="G593" s="333"/>
      <c r="H593" s="333"/>
      <c r="K593" s="362"/>
      <c r="S593" s="333"/>
    </row>
    <row r="594" spans="1:19" ht="15.75" customHeight="1" x14ac:dyDescent="0.25">
      <c r="A594" s="333"/>
      <c r="C594" s="360"/>
      <c r="D594" s="361"/>
      <c r="E594" s="333"/>
      <c r="F594" s="333"/>
      <c r="G594" s="333"/>
      <c r="H594" s="333"/>
      <c r="K594" s="362"/>
      <c r="S594" s="333"/>
    </row>
    <row r="595" spans="1:19" ht="15.75" customHeight="1" x14ac:dyDescent="0.25">
      <c r="A595" s="333"/>
      <c r="C595" s="360"/>
      <c r="D595" s="361"/>
      <c r="E595" s="333"/>
      <c r="F595" s="333"/>
      <c r="G595" s="333"/>
      <c r="H595" s="333"/>
      <c r="K595" s="362"/>
      <c r="S595" s="333"/>
    </row>
    <row r="596" spans="1:19" ht="15.75" customHeight="1" x14ac:dyDescent="0.25">
      <c r="A596" s="333"/>
      <c r="C596" s="360"/>
      <c r="D596" s="361"/>
      <c r="E596" s="333"/>
      <c r="F596" s="333"/>
      <c r="G596" s="333"/>
      <c r="H596" s="333"/>
      <c r="K596" s="362"/>
      <c r="S596" s="333"/>
    </row>
    <row r="597" spans="1:19" ht="15.75" customHeight="1" x14ac:dyDescent="0.25">
      <c r="A597" s="333"/>
      <c r="C597" s="360"/>
      <c r="D597" s="361"/>
      <c r="E597" s="333"/>
      <c r="F597" s="333"/>
      <c r="G597" s="333"/>
      <c r="H597" s="333"/>
      <c r="K597" s="362"/>
      <c r="S597" s="333"/>
    </row>
    <row r="598" spans="1:19" ht="15.75" customHeight="1" x14ac:dyDescent="0.25">
      <c r="A598" s="333"/>
      <c r="C598" s="360"/>
      <c r="D598" s="361"/>
      <c r="E598" s="333"/>
      <c r="F598" s="333"/>
      <c r="G598" s="333"/>
      <c r="H598" s="333"/>
      <c r="K598" s="362"/>
      <c r="S598" s="333"/>
    </row>
    <row r="599" spans="1:19" ht="15.75" customHeight="1" x14ac:dyDescent="0.25">
      <c r="A599" s="333"/>
      <c r="C599" s="360"/>
      <c r="D599" s="361"/>
      <c r="E599" s="333"/>
      <c r="F599" s="333"/>
      <c r="G599" s="333"/>
      <c r="H599" s="333"/>
      <c r="K599" s="362"/>
      <c r="S599" s="333"/>
    </row>
    <row r="600" spans="1:19" ht="15.75" customHeight="1" x14ac:dyDescent="0.25">
      <c r="A600" s="333"/>
      <c r="C600" s="360"/>
      <c r="D600" s="361"/>
      <c r="E600" s="333"/>
      <c r="F600" s="333"/>
      <c r="G600" s="333"/>
      <c r="H600" s="333"/>
      <c r="K600" s="362"/>
      <c r="S600" s="333"/>
    </row>
    <row r="601" spans="1:19" ht="15.75" customHeight="1" x14ac:dyDescent="0.25">
      <c r="A601" s="333"/>
      <c r="C601" s="360"/>
      <c r="D601" s="361"/>
      <c r="E601" s="333"/>
      <c r="F601" s="333"/>
      <c r="G601" s="333"/>
      <c r="H601" s="333"/>
      <c r="K601" s="362"/>
      <c r="S601" s="333"/>
    </row>
    <row r="602" spans="1:19" ht="15.75" customHeight="1" x14ac:dyDescent="0.25">
      <c r="A602" s="333"/>
      <c r="C602" s="360"/>
      <c r="D602" s="361"/>
      <c r="E602" s="333"/>
      <c r="F602" s="333"/>
      <c r="G602" s="333"/>
      <c r="H602" s="333"/>
      <c r="K602" s="362"/>
      <c r="S602" s="333"/>
    </row>
    <row r="603" spans="1:19" ht="15.75" customHeight="1" x14ac:dyDescent="0.25">
      <c r="A603" s="333"/>
      <c r="C603" s="360"/>
      <c r="D603" s="361"/>
      <c r="E603" s="333"/>
      <c r="F603" s="333"/>
      <c r="G603" s="333"/>
      <c r="H603" s="333"/>
      <c r="K603" s="362"/>
      <c r="S603" s="333"/>
    </row>
    <row r="604" spans="1:19" ht="15.75" customHeight="1" x14ac:dyDescent="0.25">
      <c r="A604" s="333"/>
      <c r="C604" s="360"/>
      <c r="D604" s="361"/>
      <c r="E604" s="333"/>
      <c r="F604" s="333"/>
      <c r="G604" s="333"/>
      <c r="H604" s="333"/>
      <c r="K604" s="362"/>
      <c r="S604" s="333"/>
    </row>
    <row r="605" spans="1:19" ht="15.75" customHeight="1" x14ac:dyDescent="0.25">
      <c r="A605" s="333"/>
      <c r="C605" s="360"/>
      <c r="D605" s="361"/>
      <c r="E605" s="333"/>
      <c r="F605" s="333"/>
      <c r="G605" s="333"/>
      <c r="H605" s="333"/>
      <c r="K605" s="362"/>
      <c r="S605" s="333"/>
    </row>
    <row r="606" spans="1:19" ht="15.75" customHeight="1" x14ac:dyDescent="0.25">
      <c r="A606" s="333"/>
      <c r="C606" s="360"/>
      <c r="D606" s="361"/>
      <c r="E606" s="333"/>
      <c r="F606" s="333"/>
      <c r="G606" s="333"/>
      <c r="H606" s="333"/>
      <c r="K606" s="362"/>
      <c r="S606" s="333"/>
    </row>
    <row r="607" spans="1:19" ht="15.75" customHeight="1" x14ac:dyDescent="0.25">
      <c r="A607" s="333"/>
      <c r="C607" s="360"/>
      <c r="D607" s="361"/>
      <c r="E607" s="333"/>
      <c r="F607" s="333"/>
      <c r="G607" s="333"/>
      <c r="H607" s="333"/>
      <c r="K607" s="362"/>
      <c r="S607" s="333"/>
    </row>
    <row r="608" spans="1:19" ht="15.75" customHeight="1" x14ac:dyDescent="0.25">
      <c r="A608" s="333"/>
      <c r="C608" s="360"/>
      <c r="D608" s="361"/>
      <c r="E608" s="333"/>
      <c r="F608" s="333"/>
      <c r="G608" s="333"/>
      <c r="H608" s="333"/>
      <c r="K608" s="362"/>
      <c r="S608" s="333"/>
    </row>
    <row r="609" spans="1:19" ht="15.75" customHeight="1" x14ac:dyDescent="0.25">
      <c r="A609" s="333"/>
      <c r="C609" s="360"/>
      <c r="D609" s="361"/>
      <c r="E609" s="333"/>
      <c r="F609" s="333"/>
      <c r="G609" s="333"/>
      <c r="H609" s="333"/>
      <c r="K609" s="362"/>
      <c r="S609" s="333"/>
    </row>
    <row r="610" spans="1:19" ht="15.75" customHeight="1" x14ac:dyDescent="0.25">
      <c r="A610" s="333"/>
      <c r="C610" s="360"/>
      <c r="D610" s="361"/>
      <c r="E610" s="333"/>
      <c r="F610" s="333"/>
      <c r="G610" s="333"/>
      <c r="H610" s="333"/>
      <c r="K610" s="362"/>
      <c r="S610" s="333"/>
    </row>
    <row r="611" spans="1:19" ht="15.75" customHeight="1" x14ac:dyDescent="0.25">
      <c r="A611" s="333"/>
      <c r="C611" s="360"/>
      <c r="D611" s="361"/>
      <c r="E611" s="333"/>
      <c r="F611" s="333"/>
      <c r="G611" s="333"/>
      <c r="H611" s="333"/>
      <c r="K611" s="362"/>
      <c r="S611" s="333"/>
    </row>
    <row r="612" spans="1:19" ht="15.75" customHeight="1" x14ac:dyDescent="0.25">
      <c r="A612" s="333"/>
      <c r="C612" s="360"/>
      <c r="D612" s="361"/>
      <c r="E612" s="333"/>
      <c r="F612" s="333"/>
      <c r="G612" s="333"/>
      <c r="H612" s="333"/>
      <c r="K612" s="362"/>
      <c r="S612" s="333"/>
    </row>
    <row r="613" spans="1:19" ht="15.75" customHeight="1" x14ac:dyDescent="0.25">
      <c r="A613" s="333"/>
      <c r="C613" s="360"/>
      <c r="D613" s="361"/>
      <c r="E613" s="333"/>
      <c r="F613" s="333"/>
      <c r="G613" s="333"/>
      <c r="H613" s="333"/>
      <c r="K613" s="362"/>
      <c r="S613" s="333"/>
    </row>
    <row r="614" spans="1:19" ht="15.75" customHeight="1" x14ac:dyDescent="0.25">
      <c r="A614" s="333"/>
      <c r="C614" s="360"/>
      <c r="D614" s="361"/>
      <c r="E614" s="333"/>
      <c r="F614" s="333"/>
      <c r="G614" s="333"/>
      <c r="H614" s="333"/>
      <c r="K614" s="362"/>
      <c r="S614" s="333"/>
    </row>
    <row r="615" spans="1:19" ht="15.75" customHeight="1" x14ac:dyDescent="0.25">
      <c r="A615" s="333"/>
      <c r="C615" s="360"/>
      <c r="D615" s="361"/>
      <c r="E615" s="333"/>
      <c r="F615" s="333"/>
      <c r="G615" s="333"/>
      <c r="H615" s="333"/>
      <c r="K615" s="362"/>
      <c r="S615" s="333"/>
    </row>
    <row r="616" spans="1:19" ht="15.75" customHeight="1" x14ac:dyDescent="0.25">
      <c r="A616" s="333"/>
      <c r="C616" s="360"/>
      <c r="D616" s="361"/>
      <c r="E616" s="333"/>
      <c r="F616" s="333"/>
      <c r="G616" s="333"/>
      <c r="H616" s="333"/>
      <c r="K616" s="362"/>
      <c r="S616" s="333"/>
    </row>
    <row r="617" spans="1:19" ht="15.75" customHeight="1" x14ac:dyDescent="0.25">
      <c r="A617" s="333"/>
      <c r="C617" s="360"/>
      <c r="D617" s="361"/>
      <c r="E617" s="333"/>
      <c r="F617" s="333"/>
      <c r="G617" s="333"/>
      <c r="H617" s="333"/>
      <c r="K617" s="362"/>
      <c r="S617" s="333"/>
    </row>
    <row r="618" spans="1:19" ht="15.75" customHeight="1" x14ac:dyDescent="0.25">
      <c r="A618" s="333"/>
      <c r="C618" s="360"/>
      <c r="D618" s="361"/>
      <c r="E618" s="333"/>
      <c r="F618" s="333"/>
      <c r="G618" s="333"/>
      <c r="H618" s="333"/>
      <c r="K618" s="362"/>
      <c r="S618" s="333"/>
    </row>
    <row r="619" spans="1:19" ht="15.75" customHeight="1" x14ac:dyDescent="0.25">
      <c r="A619" s="333"/>
      <c r="C619" s="360"/>
      <c r="D619" s="361"/>
      <c r="E619" s="333"/>
      <c r="F619" s="333"/>
      <c r="G619" s="333"/>
      <c r="H619" s="333"/>
      <c r="K619" s="362"/>
      <c r="S619" s="333"/>
    </row>
    <row r="620" spans="1:19" ht="15.75" customHeight="1" x14ac:dyDescent="0.25">
      <c r="A620" s="333"/>
      <c r="C620" s="360"/>
      <c r="D620" s="361"/>
      <c r="E620" s="333"/>
      <c r="F620" s="333"/>
      <c r="G620" s="333"/>
      <c r="H620" s="333"/>
      <c r="K620" s="362"/>
      <c r="S620" s="333"/>
    </row>
    <row r="621" spans="1:19" ht="15.75" customHeight="1" x14ac:dyDescent="0.25">
      <c r="A621" s="333"/>
      <c r="C621" s="360"/>
      <c r="D621" s="361"/>
      <c r="E621" s="333"/>
      <c r="F621" s="333"/>
      <c r="G621" s="333"/>
      <c r="H621" s="333"/>
      <c r="K621" s="362"/>
      <c r="S621" s="333"/>
    </row>
    <row r="622" spans="1:19" ht="15.75" customHeight="1" x14ac:dyDescent="0.25">
      <c r="A622" s="333"/>
      <c r="C622" s="360"/>
      <c r="D622" s="361"/>
      <c r="E622" s="333"/>
      <c r="F622" s="333"/>
      <c r="G622" s="333"/>
      <c r="H622" s="333"/>
      <c r="K622" s="362"/>
      <c r="S622" s="333"/>
    </row>
    <row r="623" spans="1:19" ht="15.75" customHeight="1" x14ac:dyDescent="0.25">
      <c r="A623" s="333"/>
      <c r="C623" s="360"/>
      <c r="D623" s="361"/>
      <c r="E623" s="333"/>
      <c r="F623" s="333"/>
      <c r="G623" s="333"/>
      <c r="H623" s="333"/>
      <c r="K623" s="362"/>
      <c r="S623" s="333"/>
    </row>
    <row r="624" spans="1:19" ht="15.75" customHeight="1" x14ac:dyDescent="0.25">
      <c r="A624" s="333"/>
      <c r="C624" s="360"/>
      <c r="D624" s="361"/>
      <c r="E624" s="333"/>
      <c r="F624" s="333"/>
      <c r="G624" s="333"/>
      <c r="H624" s="333"/>
      <c r="K624" s="362"/>
      <c r="S624" s="333"/>
    </row>
    <row r="625" spans="1:19" ht="15.75" customHeight="1" x14ac:dyDescent="0.25">
      <c r="A625" s="333"/>
      <c r="C625" s="360"/>
      <c r="D625" s="361"/>
      <c r="E625" s="333"/>
      <c r="F625" s="333"/>
      <c r="G625" s="333"/>
      <c r="H625" s="333"/>
      <c r="K625" s="362"/>
      <c r="S625" s="333"/>
    </row>
    <row r="626" spans="1:19" ht="15.75" customHeight="1" x14ac:dyDescent="0.25">
      <c r="A626" s="333"/>
      <c r="C626" s="360"/>
      <c r="D626" s="361"/>
      <c r="E626" s="333"/>
      <c r="F626" s="333"/>
      <c r="G626" s="333"/>
      <c r="H626" s="333"/>
      <c r="K626" s="362"/>
      <c r="S626" s="333"/>
    </row>
    <row r="627" spans="1:19" ht="15.75" customHeight="1" x14ac:dyDescent="0.25">
      <c r="A627" s="333"/>
      <c r="C627" s="360"/>
      <c r="D627" s="361"/>
      <c r="E627" s="333"/>
      <c r="F627" s="333"/>
      <c r="G627" s="333"/>
      <c r="H627" s="333"/>
      <c r="K627" s="362"/>
      <c r="S627" s="333"/>
    </row>
    <row r="628" spans="1:19" ht="15.75" customHeight="1" x14ac:dyDescent="0.25">
      <c r="A628" s="333"/>
      <c r="C628" s="360"/>
      <c r="D628" s="361"/>
      <c r="E628" s="333"/>
      <c r="F628" s="333"/>
      <c r="G628" s="333"/>
      <c r="H628" s="333"/>
      <c r="K628" s="362"/>
      <c r="S628" s="333"/>
    </row>
    <row r="629" spans="1:19" ht="15.75" customHeight="1" x14ac:dyDescent="0.25">
      <c r="A629" s="333"/>
      <c r="C629" s="360"/>
      <c r="D629" s="361"/>
      <c r="E629" s="333"/>
      <c r="F629" s="333"/>
      <c r="G629" s="333"/>
      <c r="H629" s="333"/>
      <c r="K629" s="362"/>
      <c r="S629" s="333"/>
    </row>
    <row r="630" spans="1:19" ht="15.75" customHeight="1" x14ac:dyDescent="0.25">
      <c r="A630" s="333"/>
      <c r="C630" s="360"/>
      <c r="D630" s="361"/>
      <c r="E630" s="333"/>
      <c r="F630" s="333"/>
      <c r="G630" s="333"/>
      <c r="H630" s="333"/>
      <c r="K630" s="362"/>
      <c r="S630" s="333"/>
    </row>
    <row r="631" spans="1:19" ht="15.75" customHeight="1" x14ac:dyDescent="0.25">
      <c r="A631" s="333"/>
      <c r="C631" s="360"/>
      <c r="D631" s="361"/>
      <c r="E631" s="333"/>
      <c r="F631" s="333"/>
      <c r="G631" s="333"/>
      <c r="H631" s="333"/>
      <c r="K631" s="362"/>
      <c r="S631" s="333"/>
    </row>
    <row r="632" spans="1:19" ht="15.75" customHeight="1" x14ac:dyDescent="0.25">
      <c r="A632" s="333"/>
      <c r="C632" s="360"/>
      <c r="D632" s="361"/>
      <c r="E632" s="333"/>
      <c r="F632" s="333"/>
      <c r="G632" s="333"/>
      <c r="H632" s="333"/>
      <c r="K632" s="362"/>
      <c r="S632" s="333"/>
    </row>
    <row r="633" spans="1:19" ht="15.75" customHeight="1" x14ac:dyDescent="0.25">
      <c r="A633" s="333"/>
      <c r="C633" s="360"/>
      <c r="D633" s="361"/>
      <c r="E633" s="333"/>
      <c r="F633" s="333"/>
      <c r="G633" s="333"/>
      <c r="H633" s="333"/>
      <c r="K633" s="362"/>
      <c r="S633" s="333"/>
    </row>
    <row r="634" spans="1:19" ht="15.75" customHeight="1" x14ac:dyDescent="0.25">
      <c r="A634" s="333"/>
      <c r="C634" s="360"/>
      <c r="D634" s="361"/>
      <c r="E634" s="333"/>
      <c r="F634" s="333"/>
      <c r="G634" s="333"/>
      <c r="H634" s="333"/>
      <c r="K634" s="362"/>
      <c r="S634" s="333"/>
    </row>
    <row r="635" spans="1:19" ht="15.75" customHeight="1" x14ac:dyDescent="0.25">
      <c r="A635" s="333"/>
      <c r="C635" s="360"/>
      <c r="D635" s="361"/>
      <c r="E635" s="333"/>
      <c r="F635" s="333"/>
      <c r="G635" s="333"/>
      <c r="H635" s="333"/>
      <c r="K635" s="362"/>
      <c r="S635" s="333"/>
    </row>
    <row r="636" spans="1:19" ht="15.75" customHeight="1" x14ac:dyDescent="0.25">
      <c r="A636" s="333"/>
      <c r="C636" s="360"/>
      <c r="D636" s="361"/>
      <c r="E636" s="333"/>
      <c r="F636" s="333"/>
      <c r="G636" s="333"/>
      <c r="H636" s="333"/>
      <c r="K636" s="362"/>
      <c r="S636" s="333"/>
    </row>
    <row r="637" spans="1:19" ht="15.75" customHeight="1" x14ac:dyDescent="0.25">
      <c r="A637" s="333"/>
      <c r="C637" s="360"/>
      <c r="D637" s="361"/>
      <c r="E637" s="333"/>
      <c r="F637" s="333"/>
      <c r="G637" s="333"/>
      <c r="H637" s="333"/>
      <c r="K637" s="362"/>
      <c r="S637" s="333"/>
    </row>
    <row r="638" spans="1:19" ht="15.75" customHeight="1" x14ac:dyDescent="0.25">
      <c r="A638" s="333"/>
      <c r="C638" s="360"/>
      <c r="D638" s="361"/>
      <c r="E638" s="333"/>
      <c r="F638" s="333"/>
      <c r="G638" s="333"/>
      <c r="H638" s="333"/>
      <c r="K638" s="362"/>
      <c r="S638" s="333"/>
    </row>
    <row r="639" spans="1:19" ht="15.75" customHeight="1" x14ac:dyDescent="0.25">
      <c r="A639" s="333"/>
      <c r="C639" s="360"/>
      <c r="D639" s="361"/>
      <c r="E639" s="333"/>
      <c r="F639" s="333"/>
      <c r="G639" s="333"/>
      <c r="H639" s="333"/>
      <c r="K639" s="362"/>
      <c r="S639" s="333"/>
    </row>
    <row r="640" spans="1:19" ht="15.75" customHeight="1" x14ac:dyDescent="0.25">
      <c r="A640" s="333"/>
      <c r="C640" s="360"/>
      <c r="D640" s="361"/>
      <c r="E640" s="333"/>
      <c r="F640" s="333"/>
      <c r="G640" s="333"/>
      <c r="H640" s="333"/>
      <c r="K640" s="362"/>
      <c r="S640" s="333"/>
    </row>
    <row r="641" spans="1:19" ht="15.75" customHeight="1" x14ac:dyDescent="0.25">
      <c r="A641" s="333"/>
      <c r="C641" s="360"/>
      <c r="D641" s="361"/>
      <c r="E641" s="333"/>
      <c r="F641" s="333"/>
      <c r="G641" s="333"/>
      <c r="H641" s="333"/>
      <c r="K641" s="362"/>
      <c r="S641" s="333"/>
    </row>
    <row r="642" spans="1:19" ht="15.75" customHeight="1" x14ac:dyDescent="0.25">
      <c r="A642" s="333"/>
      <c r="C642" s="360"/>
      <c r="D642" s="361"/>
      <c r="E642" s="333"/>
      <c r="F642" s="333"/>
      <c r="G642" s="333"/>
      <c r="H642" s="333"/>
      <c r="K642" s="362"/>
      <c r="S642" s="333"/>
    </row>
    <row r="643" spans="1:19" ht="15.75" customHeight="1" x14ac:dyDescent="0.25">
      <c r="A643" s="333"/>
      <c r="C643" s="360"/>
      <c r="D643" s="361"/>
      <c r="E643" s="333"/>
      <c r="F643" s="333"/>
      <c r="G643" s="333"/>
      <c r="H643" s="333"/>
      <c r="K643" s="362"/>
      <c r="S643" s="333"/>
    </row>
    <row r="644" spans="1:19" ht="15.75" customHeight="1" x14ac:dyDescent="0.25">
      <c r="A644" s="333"/>
      <c r="C644" s="360"/>
      <c r="D644" s="361"/>
      <c r="E644" s="333"/>
      <c r="F644" s="333"/>
      <c r="G644" s="333"/>
      <c r="H644" s="333"/>
      <c r="K644" s="362"/>
      <c r="S644" s="333"/>
    </row>
    <row r="645" spans="1:19" ht="15.75" customHeight="1" x14ac:dyDescent="0.25">
      <c r="A645" s="333"/>
      <c r="C645" s="360"/>
      <c r="D645" s="361"/>
      <c r="E645" s="333"/>
      <c r="F645" s="333"/>
      <c r="G645" s="333"/>
      <c r="H645" s="333"/>
      <c r="K645" s="362"/>
      <c r="S645" s="333"/>
    </row>
    <row r="646" spans="1:19" ht="15.75" customHeight="1" x14ac:dyDescent="0.25">
      <c r="A646" s="333"/>
      <c r="C646" s="360"/>
      <c r="D646" s="361"/>
      <c r="E646" s="333"/>
      <c r="F646" s="333"/>
      <c r="G646" s="333"/>
      <c r="H646" s="333"/>
      <c r="K646" s="362"/>
      <c r="S646" s="333"/>
    </row>
    <row r="647" spans="1:19" ht="15.75" customHeight="1" x14ac:dyDescent="0.25">
      <c r="A647" s="333"/>
      <c r="C647" s="360"/>
      <c r="D647" s="361"/>
      <c r="E647" s="333"/>
      <c r="F647" s="333"/>
      <c r="G647" s="333"/>
      <c r="H647" s="333"/>
      <c r="K647" s="362"/>
      <c r="S647" s="333"/>
    </row>
    <row r="648" spans="1:19" ht="15.75" customHeight="1" x14ac:dyDescent="0.25">
      <c r="A648" s="333"/>
      <c r="C648" s="360"/>
      <c r="D648" s="361"/>
      <c r="E648" s="333"/>
      <c r="F648" s="333"/>
      <c r="G648" s="333"/>
      <c r="H648" s="333"/>
      <c r="K648" s="362"/>
      <c r="S648" s="333"/>
    </row>
    <row r="649" spans="1:19" ht="15.75" customHeight="1" x14ac:dyDescent="0.25">
      <c r="A649" s="333"/>
      <c r="C649" s="360"/>
      <c r="D649" s="361"/>
      <c r="E649" s="333"/>
      <c r="F649" s="333"/>
      <c r="G649" s="333"/>
      <c r="H649" s="333"/>
      <c r="K649" s="362"/>
      <c r="S649" s="333"/>
    </row>
    <row r="650" spans="1:19" ht="15.75" customHeight="1" x14ac:dyDescent="0.25">
      <c r="A650" s="333"/>
      <c r="C650" s="360"/>
      <c r="D650" s="361"/>
      <c r="E650" s="333"/>
      <c r="F650" s="333"/>
      <c r="G650" s="333"/>
      <c r="H650" s="333"/>
      <c r="K650" s="362"/>
      <c r="S650" s="333"/>
    </row>
    <row r="651" spans="1:19" ht="15.75" customHeight="1" x14ac:dyDescent="0.25">
      <c r="A651" s="333"/>
      <c r="C651" s="360"/>
      <c r="D651" s="361"/>
      <c r="E651" s="333"/>
      <c r="F651" s="333"/>
      <c r="G651" s="333"/>
      <c r="H651" s="333"/>
      <c r="K651" s="362"/>
      <c r="S651" s="333"/>
    </row>
    <row r="652" spans="1:19" ht="15.75" customHeight="1" x14ac:dyDescent="0.25">
      <c r="A652" s="333"/>
      <c r="C652" s="360"/>
      <c r="D652" s="361"/>
      <c r="E652" s="333"/>
      <c r="F652" s="333"/>
      <c r="G652" s="333"/>
      <c r="H652" s="333"/>
      <c r="K652" s="362"/>
      <c r="S652" s="333"/>
    </row>
    <row r="653" spans="1:19" ht="15.75" customHeight="1" x14ac:dyDescent="0.25">
      <c r="A653" s="333"/>
      <c r="C653" s="360"/>
      <c r="D653" s="361"/>
      <c r="E653" s="333"/>
      <c r="F653" s="333"/>
      <c r="G653" s="333"/>
      <c r="H653" s="333"/>
      <c r="K653" s="362"/>
      <c r="S653" s="333"/>
    </row>
    <row r="654" spans="1:19" ht="15.75" customHeight="1" x14ac:dyDescent="0.25">
      <c r="A654" s="333"/>
      <c r="C654" s="360"/>
      <c r="D654" s="361"/>
      <c r="E654" s="333"/>
      <c r="F654" s="333"/>
      <c r="G654" s="333"/>
      <c r="H654" s="333"/>
      <c r="K654" s="362"/>
      <c r="S654" s="333"/>
    </row>
    <row r="655" spans="1:19" ht="15.75" customHeight="1" x14ac:dyDescent="0.25">
      <c r="A655" s="333"/>
      <c r="C655" s="360"/>
      <c r="D655" s="361"/>
      <c r="E655" s="333"/>
      <c r="F655" s="333"/>
      <c r="G655" s="333"/>
      <c r="H655" s="333"/>
      <c r="K655" s="362"/>
      <c r="S655" s="333"/>
    </row>
    <row r="656" spans="1:19" ht="15.75" customHeight="1" x14ac:dyDescent="0.25">
      <c r="A656" s="333"/>
      <c r="C656" s="360"/>
      <c r="D656" s="361"/>
      <c r="E656" s="333"/>
      <c r="F656" s="333"/>
      <c r="G656" s="333"/>
      <c r="H656" s="333"/>
      <c r="K656" s="362"/>
      <c r="S656" s="333"/>
    </row>
    <row r="657" spans="1:19" ht="15.75" customHeight="1" x14ac:dyDescent="0.25">
      <c r="A657" s="333"/>
      <c r="C657" s="360"/>
      <c r="D657" s="361"/>
      <c r="E657" s="333"/>
      <c r="F657" s="333"/>
      <c r="G657" s="333"/>
      <c r="H657" s="333"/>
      <c r="K657" s="362"/>
      <c r="S657" s="333"/>
    </row>
    <row r="658" spans="1:19" ht="15.75" customHeight="1" x14ac:dyDescent="0.25">
      <c r="A658" s="333"/>
      <c r="C658" s="360"/>
      <c r="D658" s="361"/>
      <c r="E658" s="333"/>
      <c r="F658" s="333"/>
      <c r="G658" s="333"/>
      <c r="H658" s="333"/>
      <c r="K658" s="362"/>
      <c r="S658" s="333"/>
    </row>
    <row r="659" spans="1:19" ht="15.75" customHeight="1" x14ac:dyDescent="0.25">
      <c r="A659" s="333"/>
      <c r="C659" s="360"/>
      <c r="D659" s="361"/>
      <c r="E659" s="333"/>
      <c r="F659" s="333"/>
      <c r="G659" s="333"/>
      <c r="H659" s="333"/>
      <c r="K659" s="362"/>
      <c r="S659" s="333"/>
    </row>
    <row r="660" spans="1:19" ht="15.75" customHeight="1" x14ac:dyDescent="0.25">
      <c r="A660" s="333"/>
      <c r="C660" s="360"/>
      <c r="D660" s="361"/>
      <c r="E660" s="333"/>
      <c r="F660" s="333"/>
      <c r="G660" s="333"/>
      <c r="H660" s="333"/>
      <c r="K660" s="362"/>
      <c r="S660" s="333"/>
    </row>
    <row r="661" spans="1:19" ht="15.75" customHeight="1" x14ac:dyDescent="0.25">
      <c r="A661" s="333"/>
      <c r="C661" s="360"/>
      <c r="D661" s="361"/>
      <c r="E661" s="333"/>
      <c r="F661" s="333"/>
      <c r="G661" s="333"/>
      <c r="H661" s="333"/>
      <c r="K661" s="362"/>
      <c r="S661" s="333"/>
    </row>
    <row r="662" spans="1:19" ht="15.75" customHeight="1" x14ac:dyDescent="0.25">
      <c r="A662" s="333"/>
      <c r="C662" s="360"/>
      <c r="D662" s="361"/>
      <c r="E662" s="333"/>
      <c r="F662" s="333"/>
      <c r="G662" s="333"/>
      <c r="H662" s="333"/>
      <c r="K662" s="362"/>
      <c r="S662" s="333"/>
    </row>
    <row r="663" spans="1:19" ht="15.75" customHeight="1" x14ac:dyDescent="0.25">
      <c r="A663" s="333"/>
      <c r="C663" s="360"/>
      <c r="D663" s="361"/>
      <c r="E663" s="333"/>
      <c r="F663" s="333"/>
      <c r="G663" s="333"/>
      <c r="H663" s="333"/>
      <c r="K663" s="362"/>
      <c r="S663" s="333"/>
    </row>
    <row r="664" spans="1:19" ht="15.75" customHeight="1" x14ac:dyDescent="0.25">
      <c r="A664" s="333"/>
      <c r="C664" s="360"/>
      <c r="D664" s="361"/>
      <c r="E664" s="333"/>
      <c r="F664" s="333"/>
      <c r="G664" s="333"/>
      <c r="H664" s="333"/>
      <c r="K664" s="362"/>
      <c r="S664" s="333"/>
    </row>
    <row r="665" spans="1:19" ht="15.75" customHeight="1" x14ac:dyDescent="0.25">
      <c r="A665" s="333"/>
      <c r="C665" s="360"/>
      <c r="D665" s="361"/>
      <c r="E665" s="333"/>
      <c r="F665" s="333"/>
      <c r="G665" s="333"/>
      <c r="H665" s="333"/>
      <c r="K665" s="362"/>
      <c r="S665" s="333"/>
    </row>
    <row r="666" spans="1:19" ht="15.75" customHeight="1" x14ac:dyDescent="0.25">
      <c r="A666" s="333"/>
      <c r="C666" s="360"/>
      <c r="D666" s="361"/>
      <c r="E666" s="333"/>
      <c r="F666" s="333"/>
      <c r="G666" s="333"/>
      <c r="H666" s="333"/>
      <c r="K666" s="362"/>
      <c r="S666" s="333"/>
    </row>
    <row r="667" spans="1:19" ht="15.75" customHeight="1" x14ac:dyDescent="0.25">
      <c r="A667" s="333"/>
      <c r="C667" s="360"/>
      <c r="D667" s="361"/>
      <c r="E667" s="333"/>
      <c r="F667" s="333"/>
      <c r="G667" s="333"/>
      <c r="H667" s="333"/>
      <c r="K667" s="362"/>
      <c r="S667" s="333"/>
    </row>
    <row r="668" spans="1:19" ht="15.75" customHeight="1" x14ac:dyDescent="0.25">
      <c r="A668" s="333"/>
      <c r="C668" s="360"/>
      <c r="D668" s="361"/>
      <c r="E668" s="333"/>
      <c r="F668" s="333"/>
      <c r="G668" s="333"/>
      <c r="H668" s="333"/>
      <c r="K668" s="362"/>
      <c r="S668" s="333"/>
    </row>
    <row r="669" spans="1:19" ht="15.75" customHeight="1" x14ac:dyDescent="0.25">
      <c r="A669" s="333"/>
      <c r="C669" s="360"/>
      <c r="D669" s="361"/>
      <c r="E669" s="333"/>
      <c r="F669" s="333"/>
      <c r="G669" s="333"/>
      <c r="H669" s="333"/>
      <c r="K669" s="362"/>
      <c r="S669" s="333"/>
    </row>
    <row r="670" spans="1:19" ht="15.75" customHeight="1" x14ac:dyDescent="0.25">
      <c r="A670" s="333"/>
      <c r="C670" s="360"/>
      <c r="D670" s="361"/>
      <c r="E670" s="333"/>
      <c r="F670" s="333"/>
      <c r="G670" s="333"/>
      <c r="H670" s="333"/>
      <c r="K670" s="362"/>
      <c r="S670" s="333"/>
    </row>
    <row r="671" spans="1:19" ht="15.75" customHeight="1" x14ac:dyDescent="0.25">
      <c r="A671" s="333"/>
      <c r="C671" s="360"/>
      <c r="D671" s="361"/>
      <c r="E671" s="333"/>
      <c r="F671" s="333"/>
      <c r="G671" s="333"/>
      <c r="H671" s="333"/>
      <c r="K671" s="362"/>
      <c r="S671" s="333"/>
    </row>
    <row r="672" spans="1:19" ht="15.75" customHeight="1" x14ac:dyDescent="0.25">
      <c r="A672" s="333"/>
      <c r="C672" s="360"/>
      <c r="D672" s="361"/>
      <c r="E672" s="333"/>
      <c r="F672" s="333"/>
      <c r="G672" s="333"/>
      <c r="H672" s="333"/>
      <c r="K672" s="362"/>
      <c r="S672" s="333"/>
    </row>
    <row r="673" spans="1:19" ht="15.75" customHeight="1" x14ac:dyDescent="0.25">
      <c r="A673" s="333"/>
      <c r="C673" s="360"/>
      <c r="D673" s="361"/>
      <c r="E673" s="333"/>
      <c r="F673" s="333"/>
      <c r="G673" s="333"/>
      <c r="H673" s="333"/>
      <c r="K673" s="362"/>
      <c r="S673" s="333"/>
    </row>
    <row r="674" spans="1:19" ht="15.75" customHeight="1" x14ac:dyDescent="0.25">
      <c r="A674" s="333"/>
      <c r="C674" s="360"/>
      <c r="D674" s="361"/>
      <c r="E674" s="333"/>
      <c r="F674" s="333"/>
      <c r="G674" s="333"/>
      <c r="H674" s="333"/>
      <c r="K674" s="362"/>
      <c r="S674" s="333"/>
    </row>
    <row r="675" spans="1:19" ht="15.75" customHeight="1" x14ac:dyDescent="0.25">
      <c r="A675" s="333"/>
      <c r="C675" s="360"/>
      <c r="D675" s="361"/>
      <c r="E675" s="333"/>
      <c r="F675" s="333"/>
      <c r="G675" s="333"/>
      <c r="H675" s="333"/>
      <c r="K675" s="362"/>
      <c r="S675" s="333"/>
    </row>
    <row r="676" spans="1:19" ht="15.75" customHeight="1" x14ac:dyDescent="0.25">
      <c r="A676" s="333"/>
      <c r="C676" s="360"/>
      <c r="D676" s="361"/>
      <c r="E676" s="333"/>
      <c r="F676" s="333"/>
      <c r="G676" s="333"/>
      <c r="H676" s="333"/>
      <c r="K676" s="362"/>
      <c r="S676" s="333"/>
    </row>
    <row r="677" spans="1:19" ht="15.75" customHeight="1" x14ac:dyDescent="0.25">
      <c r="A677" s="333"/>
      <c r="C677" s="360"/>
      <c r="D677" s="361"/>
      <c r="E677" s="333"/>
      <c r="F677" s="333"/>
      <c r="G677" s="333"/>
      <c r="H677" s="333"/>
      <c r="K677" s="362"/>
      <c r="S677" s="333"/>
    </row>
    <row r="678" spans="1:19" ht="15.75" customHeight="1" x14ac:dyDescent="0.25">
      <c r="A678" s="333"/>
      <c r="C678" s="360"/>
      <c r="D678" s="361"/>
      <c r="E678" s="333"/>
      <c r="F678" s="333"/>
      <c r="G678" s="333"/>
      <c r="H678" s="333"/>
      <c r="K678" s="362"/>
      <c r="S678" s="333"/>
    </row>
    <row r="679" spans="1:19" ht="15.75" customHeight="1" x14ac:dyDescent="0.25">
      <c r="A679" s="333"/>
      <c r="C679" s="360"/>
      <c r="D679" s="361"/>
      <c r="E679" s="333"/>
      <c r="F679" s="333"/>
      <c r="G679" s="333"/>
      <c r="H679" s="333"/>
      <c r="K679" s="362"/>
      <c r="S679" s="333"/>
    </row>
    <row r="680" spans="1:19" ht="15.75" customHeight="1" x14ac:dyDescent="0.25">
      <c r="A680" s="333"/>
      <c r="C680" s="360"/>
      <c r="D680" s="361"/>
      <c r="E680" s="333"/>
      <c r="F680" s="333"/>
      <c r="G680" s="333"/>
      <c r="H680" s="333"/>
      <c r="K680" s="362"/>
      <c r="S680" s="333"/>
    </row>
    <row r="681" spans="1:19" ht="15.75" customHeight="1" x14ac:dyDescent="0.25">
      <c r="A681" s="333"/>
      <c r="C681" s="360"/>
      <c r="D681" s="361"/>
      <c r="E681" s="333"/>
      <c r="F681" s="333"/>
      <c r="G681" s="333"/>
      <c r="H681" s="333"/>
      <c r="K681" s="362"/>
      <c r="S681" s="333"/>
    </row>
    <row r="682" spans="1:19" ht="15.75" customHeight="1" x14ac:dyDescent="0.25">
      <c r="A682" s="333"/>
      <c r="C682" s="360"/>
      <c r="D682" s="361"/>
      <c r="E682" s="333"/>
      <c r="F682" s="333"/>
      <c r="G682" s="333"/>
      <c r="H682" s="333"/>
      <c r="K682" s="362"/>
      <c r="S682" s="333"/>
    </row>
    <row r="683" spans="1:19" ht="15.75" customHeight="1" x14ac:dyDescent="0.25">
      <c r="A683" s="333"/>
      <c r="C683" s="360"/>
      <c r="D683" s="361"/>
      <c r="E683" s="333"/>
      <c r="F683" s="333"/>
      <c r="G683" s="333"/>
      <c r="H683" s="333"/>
      <c r="K683" s="362"/>
      <c r="S683" s="333"/>
    </row>
    <row r="684" spans="1:19" ht="15.75" customHeight="1" x14ac:dyDescent="0.25">
      <c r="A684" s="333"/>
      <c r="C684" s="360"/>
      <c r="D684" s="361"/>
      <c r="E684" s="333"/>
      <c r="F684" s="333"/>
      <c r="G684" s="333"/>
      <c r="H684" s="333"/>
      <c r="K684" s="362"/>
      <c r="S684" s="333"/>
    </row>
    <row r="685" spans="1:19" ht="15.75" customHeight="1" x14ac:dyDescent="0.25">
      <c r="A685" s="333"/>
      <c r="C685" s="360"/>
      <c r="D685" s="361"/>
      <c r="E685" s="333"/>
      <c r="F685" s="333"/>
      <c r="G685" s="333"/>
      <c r="H685" s="333"/>
      <c r="K685" s="362"/>
      <c r="S685" s="333"/>
    </row>
    <row r="686" spans="1:19" ht="15.75" customHeight="1" x14ac:dyDescent="0.25">
      <c r="A686" s="333"/>
      <c r="C686" s="360"/>
      <c r="D686" s="361"/>
      <c r="E686" s="333"/>
      <c r="F686" s="333"/>
      <c r="G686" s="333"/>
      <c r="H686" s="333"/>
      <c r="K686" s="362"/>
      <c r="S686" s="333"/>
    </row>
    <row r="687" spans="1:19" ht="15.75" customHeight="1" x14ac:dyDescent="0.25">
      <c r="A687" s="333"/>
      <c r="C687" s="360"/>
      <c r="D687" s="361"/>
      <c r="E687" s="333"/>
      <c r="F687" s="333"/>
      <c r="G687" s="333"/>
      <c r="H687" s="333"/>
      <c r="K687" s="362"/>
      <c r="S687" s="333"/>
    </row>
    <row r="688" spans="1:19" ht="15.75" customHeight="1" x14ac:dyDescent="0.25">
      <c r="A688" s="333"/>
      <c r="C688" s="360"/>
      <c r="D688" s="361"/>
      <c r="E688" s="333"/>
      <c r="F688" s="333"/>
      <c r="G688" s="333"/>
      <c r="H688" s="333"/>
      <c r="K688" s="362"/>
      <c r="S688" s="333"/>
    </row>
    <row r="689" spans="1:19" ht="15.75" customHeight="1" x14ac:dyDescent="0.25">
      <c r="A689" s="333"/>
      <c r="C689" s="360"/>
      <c r="D689" s="361"/>
      <c r="E689" s="333"/>
      <c r="F689" s="333"/>
      <c r="G689" s="333"/>
      <c r="H689" s="333"/>
      <c r="K689" s="362"/>
      <c r="S689" s="333"/>
    </row>
    <row r="690" spans="1:19" ht="15.75" customHeight="1" x14ac:dyDescent="0.25">
      <c r="A690" s="333"/>
      <c r="C690" s="360"/>
      <c r="D690" s="361"/>
      <c r="E690" s="333"/>
      <c r="F690" s="333"/>
      <c r="G690" s="333"/>
      <c r="H690" s="333"/>
      <c r="K690" s="362"/>
      <c r="S690" s="333"/>
    </row>
    <row r="691" spans="1:19" ht="15.75" customHeight="1" x14ac:dyDescent="0.25">
      <c r="A691" s="333"/>
      <c r="C691" s="360"/>
      <c r="D691" s="361"/>
      <c r="E691" s="333"/>
      <c r="F691" s="333"/>
      <c r="G691" s="333"/>
      <c r="H691" s="333"/>
      <c r="K691" s="362"/>
      <c r="S691" s="333"/>
    </row>
    <row r="692" spans="1:19" ht="15.75" customHeight="1" x14ac:dyDescent="0.25">
      <c r="A692" s="333"/>
      <c r="C692" s="360"/>
      <c r="D692" s="361"/>
      <c r="E692" s="333"/>
      <c r="F692" s="333"/>
      <c r="G692" s="333"/>
      <c r="H692" s="333"/>
      <c r="K692" s="362"/>
      <c r="S692" s="333"/>
    </row>
    <row r="693" spans="1:19" ht="15.75" customHeight="1" x14ac:dyDescent="0.25">
      <c r="A693" s="333"/>
      <c r="C693" s="360"/>
      <c r="D693" s="361"/>
      <c r="E693" s="333"/>
      <c r="F693" s="333"/>
      <c r="G693" s="333"/>
      <c r="H693" s="333"/>
      <c r="K693" s="362"/>
      <c r="S693" s="333"/>
    </row>
    <row r="694" spans="1:19" ht="15.75" customHeight="1" x14ac:dyDescent="0.25">
      <c r="A694" s="333"/>
      <c r="C694" s="360"/>
      <c r="D694" s="361"/>
      <c r="E694" s="333"/>
      <c r="F694" s="333"/>
      <c r="G694" s="333"/>
      <c r="H694" s="333"/>
      <c r="K694" s="362"/>
      <c r="S694" s="333"/>
    </row>
    <row r="695" spans="1:19" ht="15.75" customHeight="1" x14ac:dyDescent="0.25">
      <c r="A695" s="333"/>
      <c r="C695" s="360"/>
      <c r="D695" s="361"/>
      <c r="E695" s="333"/>
      <c r="F695" s="333"/>
      <c r="G695" s="333"/>
      <c r="H695" s="333"/>
      <c r="K695" s="362"/>
      <c r="S695" s="333"/>
    </row>
    <row r="696" spans="1:19" ht="15.75" customHeight="1" x14ac:dyDescent="0.25">
      <c r="A696" s="333"/>
      <c r="C696" s="360"/>
      <c r="D696" s="361"/>
      <c r="E696" s="333"/>
      <c r="F696" s="333"/>
      <c r="G696" s="333"/>
      <c r="H696" s="333"/>
      <c r="K696" s="362"/>
      <c r="S696" s="333"/>
    </row>
    <row r="697" spans="1:19" ht="15.75" customHeight="1" x14ac:dyDescent="0.25">
      <c r="A697" s="333"/>
      <c r="C697" s="360"/>
      <c r="D697" s="361"/>
      <c r="E697" s="333"/>
      <c r="F697" s="333"/>
      <c r="G697" s="333"/>
      <c r="H697" s="333"/>
      <c r="K697" s="362"/>
      <c r="S697" s="333"/>
    </row>
    <row r="698" spans="1:19" ht="15.75" customHeight="1" x14ac:dyDescent="0.25">
      <c r="A698" s="333"/>
      <c r="C698" s="360"/>
      <c r="D698" s="361"/>
      <c r="E698" s="333"/>
      <c r="F698" s="333"/>
      <c r="G698" s="333"/>
      <c r="H698" s="333"/>
      <c r="K698" s="362"/>
      <c r="S698" s="333"/>
    </row>
    <row r="699" spans="1:19" ht="15.75" customHeight="1" x14ac:dyDescent="0.25">
      <c r="A699" s="333"/>
      <c r="C699" s="360"/>
      <c r="D699" s="361"/>
      <c r="E699" s="333"/>
      <c r="F699" s="333"/>
      <c r="G699" s="333"/>
      <c r="H699" s="333"/>
      <c r="K699" s="362"/>
      <c r="S699" s="333"/>
    </row>
    <row r="700" spans="1:19" ht="15.75" customHeight="1" x14ac:dyDescent="0.25">
      <c r="A700" s="333"/>
      <c r="C700" s="360"/>
      <c r="D700" s="361"/>
      <c r="E700" s="333"/>
      <c r="F700" s="333"/>
      <c r="G700" s="333"/>
      <c r="H700" s="333"/>
      <c r="K700" s="362"/>
      <c r="S700" s="333"/>
    </row>
    <row r="701" spans="1:19" ht="15.75" customHeight="1" x14ac:dyDescent="0.25">
      <c r="A701" s="333"/>
      <c r="C701" s="360"/>
      <c r="D701" s="361"/>
      <c r="E701" s="333"/>
      <c r="F701" s="333"/>
      <c r="G701" s="333"/>
      <c r="H701" s="333"/>
      <c r="K701" s="362"/>
      <c r="S701" s="333"/>
    </row>
    <row r="702" spans="1:19" ht="15.75" customHeight="1" x14ac:dyDescent="0.25">
      <c r="A702" s="333"/>
      <c r="C702" s="360"/>
      <c r="D702" s="361"/>
      <c r="E702" s="333"/>
      <c r="F702" s="333"/>
      <c r="G702" s="333"/>
      <c r="H702" s="333"/>
      <c r="K702" s="362"/>
      <c r="S702" s="333"/>
    </row>
    <row r="703" spans="1:19" ht="15.75" customHeight="1" x14ac:dyDescent="0.25">
      <c r="A703" s="333"/>
      <c r="C703" s="360"/>
      <c r="D703" s="361"/>
      <c r="E703" s="333"/>
      <c r="F703" s="333"/>
      <c r="G703" s="333"/>
      <c r="H703" s="333"/>
      <c r="K703" s="362"/>
      <c r="S703" s="333"/>
    </row>
    <row r="704" spans="1:19" ht="15.75" customHeight="1" x14ac:dyDescent="0.25">
      <c r="A704" s="333"/>
      <c r="C704" s="360"/>
      <c r="D704" s="361"/>
      <c r="E704" s="333"/>
      <c r="F704" s="333"/>
      <c r="G704" s="333"/>
      <c r="H704" s="333"/>
      <c r="K704" s="362"/>
      <c r="S704" s="333"/>
    </row>
    <row r="705" spans="1:19" ht="15.75" customHeight="1" x14ac:dyDescent="0.25">
      <c r="A705" s="333"/>
      <c r="C705" s="360"/>
      <c r="D705" s="361"/>
      <c r="E705" s="333"/>
      <c r="F705" s="333"/>
      <c r="G705" s="333"/>
      <c r="H705" s="333"/>
      <c r="K705" s="362"/>
      <c r="S705" s="333"/>
    </row>
    <row r="706" spans="1:19" ht="15.75" customHeight="1" x14ac:dyDescent="0.25">
      <c r="A706" s="333"/>
      <c r="C706" s="360"/>
      <c r="D706" s="361"/>
      <c r="E706" s="333"/>
      <c r="F706" s="333"/>
      <c r="G706" s="333"/>
      <c r="H706" s="333"/>
      <c r="K706" s="362"/>
      <c r="S706" s="333"/>
    </row>
    <row r="707" spans="1:19" ht="15.75" customHeight="1" x14ac:dyDescent="0.25">
      <c r="A707" s="333"/>
      <c r="C707" s="360"/>
      <c r="D707" s="361"/>
      <c r="E707" s="333"/>
      <c r="F707" s="333"/>
      <c r="G707" s="333"/>
      <c r="H707" s="333"/>
      <c r="K707" s="362"/>
      <c r="S707" s="333"/>
    </row>
    <row r="708" spans="1:19" ht="15.75" customHeight="1" x14ac:dyDescent="0.25">
      <c r="A708" s="333"/>
      <c r="C708" s="360"/>
      <c r="D708" s="361"/>
      <c r="E708" s="333"/>
      <c r="F708" s="333"/>
      <c r="G708" s="333"/>
      <c r="H708" s="333"/>
      <c r="K708" s="362"/>
      <c r="S708" s="333"/>
    </row>
    <row r="709" spans="1:19" ht="15.75" customHeight="1" x14ac:dyDescent="0.25">
      <c r="A709" s="333"/>
      <c r="C709" s="360"/>
      <c r="D709" s="361"/>
      <c r="E709" s="333"/>
      <c r="F709" s="333"/>
      <c r="G709" s="333"/>
      <c r="H709" s="333"/>
      <c r="K709" s="362"/>
      <c r="S709" s="333"/>
    </row>
    <row r="710" spans="1:19" ht="15.75" customHeight="1" x14ac:dyDescent="0.25">
      <c r="A710" s="333"/>
      <c r="C710" s="360"/>
      <c r="D710" s="361"/>
      <c r="E710" s="333"/>
      <c r="F710" s="333"/>
      <c r="G710" s="333"/>
      <c r="H710" s="333"/>
      <c r="K710" s="362"/>
      <c r="S710" s="333"/>
    </row>
    <row r="711" spans="1:19" ht="15.75" customHeight="1" x14ac:dyDescent="0.25">
      <c r="A711" s="333"/>
      <c r="C711" s="360"/>
      <c r="D711" s="361"/>
      <c r="E711" s="333"/>
      <c r="F711" s="333"/>
      <c r="G711" s="333"/>
      <c r="H711" s="333"/>
      <c r="K711" s="362"/>
      <c r="S711" s="333"/>
    </row>
    <row r="712" spans="1:19" ht="15.75" customHeight="1" x14ac:dyDescent="0.25">
      <c r="A712" s="333"/>
      <c r="C712" s="360"/>
      <c r="D712" s="361"/>
      <c r="E712" s="333"/>
      <c r="F712" s="333"/>
      <c r="G712" s="333"/>
      <c r="H712" s="333"/>
      <c r="K712" s="362"/>
      <c r="S712" s="333"/>
    </row>
    <row r="713" spans="1:19" ht="15.75" customHeight="1" x14ac:dyDescent="0.25">
      <c r="A713" s="333"/>
      <c r="C713" s="360"/>
      <c r="D713" s="361"/>
      <c r="E713" s="333"/>
      <c r="F713" s="333"/>
      <c r="G713" s="333"/>
      <c r="H713" s="333"/>
      <c r="K713" s="362"/>
      <c r="S713" s="333"/>
    </row>
    <row r="714" spans="1:19" ht="15.75" customHeight="1" x14ac:dyDescent="0.25">
      <c r="A714" s="333"/>
      <c r="C714" s="360"/>
      <c r="D714" s="361"/>
      <c r="E714" s="333"/>
      <c r="F714" s="333"/>
      <c r="G714" s="333"/>
      <c r="H714" s="333"/>
      <c r="K714" s="362"/>
      <c r="S714" s="333"/>
    </row>
    <row r="715" spans="1:19" ht="15.75" customHeight="1" x14ac:dyDescent="0.25">
      <c r="A715" s="333"/>
      <c r="C715" s="360"/>
      <c r="D715" s="361"/>
      <c r="E715" s="333"/>
      <c r="F715" s="333"/>
      <c r="G715" s="333"/>
      <c r="H715" s="333"/>
      <c r="K715" s="362"/>
      <c r="S715" s="333"/>
    </row>
    <row r="716" spans="1:19" ht="15.75" customHeight="1" x14ac:dyDescent="0.25">
      <c r="A716" s="333"/>
      <c r="C716" s="360"/>
      <c r="D716" s="361"/>
      <c r="E716" s="333"/>
      <c r="F716" s="333"/>
      <c r="G716" s="333"/>
      <c r="H716" s="333"/>
      <c r="K716" s="362"/>
      <c r="S716" s="333"/>
    </row>
    <row r="717" spans="1:19" ht="15.75" customHeight="1" x14ac:dyDescent="0.25">
      <c r="A717" s="333"/>
      <c r="C717" s="360"/>
      <c r="D717" s="361"/>
      <c r="E717" s="333"/>
      <c r="F717" s="333"/>
      <c r="G717" s="333"/>
      <c r="H717" s="333"/>
      <c r="K717" s="362"/>
      <c r="S717" s="333"/>
    </row>
    <row r="718" spans="1:19" ht="15.75" customHeight="1" x14ac:dyDescent="0.25">
      <c r="A718" s="333"/>
      <c r="C718" s="360"/>
      <c r="D718" s="361"/>
      <c r="E718" s="333"/>
      <c r="F718" s="333"/>
      <c r="G718" s="333"/>
      <c r="H718" s="333"/>
      <c r="K718" s="362"/>
      <c r="S718" s="333"/>
    </row>
    <row r="719" spans="1:19" ht="15.75" customHeight="1" x14ac:dyDescent="0.25">
      <c r="A719" s="333"/>
      <c r="C719" s="360"/>
      <c r="D719" s="361"/>
      <c r="E719" s="333"/>
      <c r="F719" s="333"/>
      <c r="G719" s="333"/>
      <c r="H719" s="333"/>
      <c r="K719" s="362"/>
      <c r="S719" s="333"/>
    </row>
    <row r="720" spans="1:19" ht="15.75" customHeight="1" x14ac:dyDescent="0.25">
      <c r="A720" s="333"/>
      <c r="C720" s="360"/>
      <c r="D720" s="361"/>
      <c r="E720" s="333"/>
      <c r="F720" s="333"/>
      <c r="G720" s="333"/>
      <c r="H720" s="333"/>
      <c r="K720" s="362"/>
      <c r="S720" s="333"/>
    </row>
    <row r="721" spans="1:19" ht="15.75" customHeight="1" x14ac:dyDescent="0.25">
      <c r="A721" s="333"/>
      <c r="C721" s="360"/>
      <c r="D721" s="361"/>
      <c r="E721" s="333"/>
      <c r="F721" s="333"/>
      <c r="G721" s="333"/>
      <c r="H721" s="333"/>
      <c r="K721" s="362"/>
      <c r="S721" s="333"/>
    </row>
    <row r="722" spans="1:19" ht="15.75" customHeight="1" x14ac:dyDescent="0.25">
      <c r="A722" s="333"/>
      <c r="C722" s="360"/>
      <c r="D722" s="361"/>
      <c r="E722" s="333"/>
      <c r="F722" s="333"/>
      <c r="G722" s="333"/>
      <c r="H722" s="333"/>
      <c r="K722" s="362"/>
      <c r="S722" s="333"/>
    </row>
    <row r="723" spans="1:19" ht="15.75" customHeight="1" x14ac:dyDescent="0.25">
      <c r="A723" s="333"/>
      <c r="C723" s="360"/>
      <c r="D723" s="361"/>
      <c r="E723" s="333"/>
      <c r="F723" s="333"/>
      <c r="G723" s="333"/>
      <c r="H723" s="333"/>
      <c r="K723" s="362"/>
      <c r="S723" s="333"/>
    </row>
    <row r="724" spans="1:19" ht="15.75" customHeight="1" x14ac:dyDescent="0.25">
      <c r="A724" s="333"/>
      <c r="C724" s="360"/>
      <c r="D724" s="361"/>
      <c r="E724" s="333"/>
      <c r="F724" s="333"/>
      <c r="G724" s="333"/>
      <c r="H724" s="333"/>
      <c r="K724" s="362"/>
      <c r="S724" s="333"/>
    </row>
    <row r="725" spans="1:19" ht="15.75" customHeight="1" x14ac:dyDescent="0.25">
      <c r="A725" s="333"/>
      <c r="C725" s="360"/>
      <c r="D725" s="361"/>
      <c r="E725" s="333"/>
      <c r="F725" s="333"/>
      <c r="G725" s="333"/>
      <c r="H725" s="333"/>
      <c r="K725" s="362"/>
      <c r="S725" s="333"/>
    </row>
    <row r="726" spans="1:19" ht="15.75" customHeight="1" x14ac:dyDescent="0.25">
      <c r="A726" s="333"/>
      <c r="C726" s="360"/>
      <c r="D726" s="361"/>
      <c r="E726" s="333"/>
      <c r="F726" s="333"/>
      <c r="G726" s="333"/>
      <c r="H726" s="333"/>
      <c r="K726" s="362"/>
      <c r="S726" s="333"/>
    </row>
    <row r="727" spans="1:19" ht="15.75" customHeight="1" x14ac:dyDescent="0.25">
      <c r="A727" s="333"/>
      <c r="C727" s="360"/>
      <c r="D727" s="361"/>
      <c r="E727" s="333"/>
      <c r="F727" s="333"/>
      <c r="G727" s="333"/>
      <c r="H727" s="333"/>
      <c r="K727" s="362"/>
      <c r="S727" s="333"/>
    </row>
    <row r="728" spans="1:19" ht="15.75" customHeight="1" x14ac:dyDescent="0.25">
      <c r="A728" s="333"/>
      <c r="C728" s="360"/>
      <c r="D728" s="361"/>
      <c r="E728" s="333"/>
      <c r="F728" s="333"/>
      <c r="G728" s="333"/>
      <c r="H728" s="333"/>
      <c r="K728" s="362"/>
      <c r="S728" s="333"/>
    </row>
    <row r="729" spans="1:19" ht="15.75" customHeight="1" x14ac:dyDescent="0.25">
      <c r="A729" s="333"/>
      <c r="C729" s="360"/>
      <c r="D729" s="361"/>
      <c r="E729" s="333"/>
      <c r="F729" s="333"/>
      <c r="G729" s="333"/>
      <c r="H729" s="333"/>
      <c r="K729" s="362"/>
      <c r="S729" s="333"/>
    </row>
    <row r="730" spans="1:19" ht="15.75" customHeight="1" x14ac:dyDescent="0.25">
      <c r="A730" s="333"/>
      <c r="C730" s="360"/>
      <c r="D730" s="361"/>
      <c r="E730" s="333"/>
      <c r="F730" s="333"/>
      <c r="G730" s="333"/>
      <c r="H730" s="333"/>
      <c r="K730" s="362"/>
      <c r="S730" s="333"/>
    </row>
    <row r="731" spans="1:19" ht="15.75" customHeight="1" x14ac:dyDescent="0.25">
      <c r="A731" s="333"/>
      <c r="C731" s="360"/>
      <c r="D731" s="361"/>
      <c r="E731" s="333"/>
      <c r="F731" s="333"/>
      <c r="G731" s="333"/>
      <c r="H731" s="333"/>
      <c r="K731" s="362"/>
      <c r="S731" s="333"/>
    </row>
    <row r="732" spans="1:19" ht="15.75" customHeight="1" x14ac:dyDescent="0.25">
      <c r="A732" s="333"/>
      <c r="C732" s="360"/>
      <c r="D732" s="361"/>
      <c r="E732" s="333"/>
      <c r="F732" s="333"/>
      <c r="G732" s="333"/>
      <c r="H732" s="333"/>
      <c r="K732" s="362"/>
      <c r="S732" s="333"/>
    </row>
    <row r="733" spans="1:19" ht="15.75" customHeight="1" x14ac:dyDescent="0.25">
      <c r="A733" s="333"/>
      <c r="C733" s="360"/>
      <c r="D733" s="361"/>
      <c r="E733" s="333"/>
      <c r="F733" s="333"/>
      <c r="G733" s="333"/>
      <c r="H733" s="333"/>
      <c r="K733" s="362"/>
      <c r="S733" s="333"/>
    </row>
    <row r="734" spans="1:19" ht="15.75" customHeight="1" x14ac:dyDescent="0.25">
      <c r="A734" s="333"/>
      <c r="C734" s="360"/>
      <c r="D734" s="361"/>
      <c r="E734" s="333"/>
      <c r="F734" s="333"/>
      <c r="G734" s="333"/>
      <c r="H734" s="333"/>
      <c r="K734" s="362"/>
      <c r="S734" s="333"/>
    </row>
    <row r="735" spans="1:19" ht="15.75" customHeight="1" x14ac:dyDescent="0.25">
      <c r="A735" s="333"/>
      <c r="C735" s="360"/>
      <c r="D735" s="361"/>
      <c r="E735" s="333"/>
      <c r="F735" s="333"/>
      <c r="G735" s="333"/>
      <c r="H735" s="333"/>
      <c r="K735" s="362"/>
      <c r="S735" s="333"/>
    </row>
    <row r="736" spans="1:19" ht="15.75" customHeight="1" x14ac:dyDescent="0.25">
      <c r="A736" s="333"/>
      <c r="C736" s="360"/>
      <c r="D736" s="361"/>
      <c r="E736" s="333"/>
      <c r="F736" s="333"/>
      <c r="G736" s="333"/>
      <c r="H736" s="333"/>
      <c r="K736" s="362"/>
      <c r="S736" s="333"/>
    </row>
    <row r="737" spans="1:19" ht="15.75" customHeight="1" x14ac:dyDescent="0.25">
      <c r="A737" s="333"/>
      <c r="C737" s="360"/>
      <c r="D737" s="361"/>
      <c r="E737" s="333"/>
      <c r="F737" s="333"/>
      <c r="G737" s="333"/>
      <c r="H737" s="333"/>
      <c r="K737" s="362"/>
      <c r="S737" s="333"/>
    </row>
    <row r="738" spans="1:19" ht="15.75" customHeight="1" x14ac:dyDescent="0.25">
      <c r="A738" s="333"/>
      <c r="C738" s="360"/>
      <c r="D738" s="361"/>
      <c r="E738" s="333"/>
      <c r="F738" s="333"/>
      <c r="G738" s="333"/>
      <c r="H738" s="333"/>
      <c r="K738" s="362"/>
      <c r="S738" s="333"/>
    </row>
    <row r="739" spans="1:19" ht="15.75" customHeight="1" x14ac:dyDescent="0.25">
      <c r="A739" s="333"/>
      <c r="C739" s="360"/>
      <c r="D739" s="361"/>
      <c r="E739" s="333"/>
      <c r="F739" s="333"/>
      <c r="G739" s="333"/>
      <c r="H739" s="333"/>
      <c r="K739" s="362"/>
      <c r="S739" s="333"/>
    </row>
    <row r="740" spans="1:19" ht="15.75" customHeight="1" x14ac:dyDescent="0.25">
      <c r="A740" s="333"/>
      <c r="C740" s="360"/>
      <c r="D740" s="361"/>
      <c r="E740" s="333"/>
      <c r="F740" s="333"/>
      <c r="G740" s="333"/>
      <c r="H740" s="333"/>
      <c r="K740" s="362"/>
      <c r="S740" s="333"/>
    </row>
    <row r="741" spans="1:19" ht="15.75" customHeight="1" x14ac:dyDescent="0.25">
      <c r="A741" s="333"/>
      <c r="C741" s="360"/>
      <c r="D741" s="361"/>
      <c r="E741" s="333"/>
      <c r="F741" s="333"/>
      <c r="G741" s="333"/>
      <c r="H741" s="333"/>
      <c r="K741" s="362"/>
      <c r="S741" s="333"/>
    </row>
    <row r="742" spans="1:19" ht="15.75" customHeight="1" x14ac:dyDescent="0.25">
      <c r="A742" s="333"/>
      <c r="C742" s="360"/>
      <c r="D742" s="361"/>
      <c r="E742" s="333"/>
      <c r="F742" s="333"/>
      <c r="G742" s="333"/>
      <c r="H742" s="333"/>
      <c r="K742" s="362"/>
      <c r="S742" s="333"/>
    </row>
    <row r="743" spans="1:19" ht="15.75" customHeight="1" x14ac:dyDescent="0.25">
      <c r="A743" s="333"/>
      <c r="C743" s="360"/>
      <c r="D743" s="361"/>
      <c r="E743" s="333"/>
      <c r="F743" s="333"/>
      <c r="G743" s="333"/>
      <c r="H743" s="333"/>
      <c r="K743" s="362"/>
      <c r="S743" s="333"/>
    </row>
    <row r="744" spans="1:19" ht="15.75" customHeight="1" x14ac:dyDescent="0.25">
      <c r="A744" s="333"/>
      <c r="C744" s="360"/>
      <c r="D744" s="361"/>
      <c r="E744" s="333"/>
      <c r="F744" s="333"/>
      <c r="G744" s="333"/>
      <c r="H744" s="333"/>
      <c r="K744" s="362"/>
      <c r="S744" s="333"/>
    </row>
    <row r="745" spans="1:19" ht="15.75" customHeight="1" x14ac:dyDescent="0.25">
      <c r="A745" s="333"/>
      <c r="C745" s="360"/>
      <c r="D745" s="361"/>
      <c r="E745" s="333"/>
      <c r="F745" s="333"/>
      <c r="G745" s="333"/>
      <c r="H745" s="333"/>
      <c r="K745" s="362"/>
      <c r="S745" s="333"/>
    </row>
    <row r="746" spans="1:19" ht="15.75" customHeight="1" x14ac:dyDescent="0.25">
      <c r="A746" s="333"/>
      <c r="C746" s="360"/>
      <c r="D746" s="361"/>
      <c r="E746" s="333"/>
      <c r="F746" s="333"/>
      <c r="G746" s="333"/>
      <c r="H746" s="333"/>
      <c r="K746" s="362"/>
      <c r="S746" s="333"/>
    </row>
    <row r="747" spans="1:19" ht="15.75" customHeight="1" x14ac:dyDescent="0.25">
      <c r="A747" s="333"/>
      <c r="C747" s="360"/>
      <c r="D747" s="361"/>
      <c r="E747" s="333"/>
      <c r="F747" s="333"/>
      <c r="G747" s="333"/>
      <c r="H747" s="333"/>
      <c r="K747" s="362"/>
      <c r="S747" s="333"/>
    </row>
    <row r="748" spans="1:19" ht="15.75" customHeight="1" x14ac:dyDescent="0.25">
      <c r="A748" s="333"/>
      <c r="C748" s="360"/>
      <c r="D748" s="361"/>
      <c r="E748" s="333"/>
      <c r="F748" s="333"/>
      <c r="G748" s="333"/>
      <c r="H748" s="333"/>
      <c r="K748" s="362"/>
      <c r="S748" s="333"/>
    </row>
    <row r="749" spans="1:19" ht="15.75" customHeight="1" x14ac:dyDescent="0.25">
      <c r="A749" s="333"/>
      <c r="C749" s="360"/>
      <c r="D749" s="361"/>
      <c r="E749" s="333"/>
      <c r="F749" s="333"/>
      <c r="G749" s="333"/>
      <c r="H749" s="333"/>
      <c r="K749" s="362"/>
      <c r="S749" s="333"/>
    </row>
    <row r="750" spans="1:19" ht="15.75" customHeight="1" x14ac:dyDescent="0.25">
      <c r="A750" s="333"/>
      <c r="C750" s="360"/>
      <c r="D750" s="361"/>
      <c r="E750" s="333"/>
      <c r="F750" s="333"/>
      <c r="G750" s="333"/>
      <c r="H750" s="333"/>
      <c r="K750" s="362"/>
      <c r="S750" s="333"/>
    </row>
    <row r="751" spans="1:19" ht="15.75" customHeight="1" x14ac:dyDescent="0.25">
      <c r="A751" s="333"/>
      <c r="C751" s="360"/>
      <c r="D751" s="361"/>
      <c r="E751" s="333"/>
      <c r="F751" s="333"/>
      <c r="G751" s="333"/>
      <c r="H751" s="333"/>
      <c r="K751" s="362"/>
      <c r="S751" s="333"/>
    </row>
    <row r="752" spans="1:19" ht="15.75" customHeight="1" x14ac:dyDescent="0.25">
      <c r="A752" s="333"/>
      <c r="C752" s="360"/>
      <c r="D752" s="361"/>
      <c r="E752" s="333"/>
      <c r="F752" s="333"/>
      <c r="G752" s="333"/>
      <c r="H752" s="333"/>
      <c r="K752" s="362"/>
      <c r="S752" s="333"/>
    </row>
    <row r="753" spans="1:19" ht="15.75" customHeight="1" x14ac:dyDescent="0.25">
      <c r="A753" s="333"/>
      <c r="C753" s="360"/>
      <c r="D753" s="361"/>
      <c r="E753" s="333"/>
      <c r="F753" s="333"/>
      <c r="G753" s="333"/>
      <c r="H753" s="333"/>
      <c r="K753" s="362"/>
      <c r="S753" s="333"/>
    </row>
    <row r="754" spans="1:19" ht="15.75" customHeight="1" x14ac:dyDescent="0.25">
      <c r="A754" s="333"/>
      <c r="C754" s="360"/>
      <c r="D754" s="361"/>
      <c r="E754" s="333"/>
      <c r="F754" s="333"/>
      <c r="G754" s="333"/>
      <c r="H754" s="333"/>
      <c r="K754" s="362"/>
      <c r="S754" s="333"/>
    </row>
    <row r="755" spans="1:19" ht="15.75" customHeight="1" x14ac:dyDescent="0.25">
      <c r="A755" s="333"/>
      <c r="C755" s="360"/>
      <c r="D755" s="361"/>
      <c r="E755" s="333"/>
      <c r="F755" s="333"/>
      <c r="G755" s="333"/>
      <c r="H755" s="333"/>
      <c r="K755" s="362"/>
      <c r="S755" s="333"/>
    </row>
    <row r="756" spans="1:19" ht="15.75" customHeight="1" x14ac:dyDescent="0.25">
      <c r="A756" s="333"/>
      <c r="C756" s="360"/>
      <c r="D756" s="361"/>
      <c r="E756" s="333"/>
      <c r="F756" s="333"/>
      <c r="G756" s="333"/>
      <c r="H756" s="333"/>
      <c r="K756" s="362"/>
      <c r="S756" s="333"/>
    </row>
    <row r="757" spans="1:19" ht="15.75" customHeight="1" x14ac:dyDescent="0.25">
      <c r="A757" s="333"/>
      <c r="C757" s="360"/>
      <c r="D757" s="361"/>
      <c r="E757" s="333"/>
      <c r="F757" s="333"/>
      <c r="G757" s="333"/>
      <c r="H757" s="333"/>
      <c r="K757" s="362"/>
      <c r="S757" s="333"/>
    </row>
    <row r="758" spans="1:19" ht="15.75" customHeight="1" x14ac:dyDescent="0.25">
      <c r="A758" s="333"/>
      <c r="C758" s="360"/>
      <c r="D758" s="361"/>
      <c r="E758" s="333"/>
      <c r="F758" s="333"/>
      <c r="G758" s="333"/>
      <c r="H758" s="333"/>
      <c r="K758" s="362"/>
      <c r="S758" s="333"/>
    </row>
    <row r="759" spans="1:19" ht="15.75" customHeight="1" x14ac:dyDescent="0.25">
      <c r="A759" s="333"/>
      <c r="C759" s="360"/>
      <c r="D759" s="361"/>
      <c r="E759" s="333"/>
      <c r="F759" s="333"/>
      <c r="G759" s="333"/>
      <c r="H759" s="333"/>
      <c r="K759" s="362"/>
      <c r="S759" s="333"/>
    </row>
    <row r="760" spans="1:19" ht="15.75" customHeight="1" x14ac:dyDescent="0.25">
      <c r="A760" s="333"/>
      <c r="C760" s="360"/>
      <c r="D760" s="361"/>
      <c r="E760" s="333"/>
      <c r="F760" s="333"/>
      <c r="G760" s="333"/>
      <c r="H760" s="333"/>
      <c r="K760" s="362"/>
      <c r="S760" s="333"/>
    </row>
    <row r="761" spans="1:19" ht="15.75" customHeight="1" x14ac:dyDescent="0.25">
      <c r="A761" s="333"/>
      <c r="C761" s="360"/>
      <c r="D761" s="361"/>
      <c r="E761" s="333"/>
      <c r="F761" s="333"/>
      <c r="G761" s="333"/>
      <c r="H761" s="333"/>
      <c r="K761" s="362"/>
      <c r="S761" s="333"/>
    </row>
    <row r="762" spans="1:19" ht="15.75" customHeight="1" x14ac:dyDescent="0.25">
      <c r="A762" s="333"/>
      <c r="C762" s="360"/>
      <c r="D762" s="361"/>
      <c r="E762" s="333"/>
      <c r="F762" s="333"/>
      <c r="G762" s="333"/>
      <c r="H762" s="333"/>
      <c r="K762" s="362"/>
      <c r="S762" s="333"/>
    </row>
    <row r="763" spans="1:19" ht="15.75" customHeight="1" x14ac:dyDescent="0.25">
      <c r="A763" s="333"/>
      <c r="C763" s="360"/>
      <c r="D763" s="361"/>
      <c r="E763" s="333"/>
      <c r="F763" s="333"/>
      <c r="G763" s="333"/>
      <c r="H763" s="333"/>
      <c r="K763" s="362"/>
      <c r="S763" s="333"/>
    </row>
    <row r="764" spans="1:19" ht="15.75" customHeight="1" x14ac:dyDescent="0.25">
      <c r="A764" s="333"/>
      <c r="C764" s="360"/>
      <c r="D764" s="361"/>
      <c r="E764" s="333"/>
      <c r="F764" s="333"/>
      <c r="G764" s="333"/>
      <c r="H764" s="333"/>
      <c r="K764" s="362"/>
      <c r="S764" s="333"/>
    </row>
    <row r="765" spans="1:19" ht="15.75" customHeight="1" x14ac:dyDescent="0.25">
      <c r="A765" s="333"/>
      <c r="C765" s="360"/>
      <c r="D765" s="361"/>
      <c r="E765" s="333"/>
      <c r="F765" s="333"/>
      <c r="G765" s="333"/>
      <c r="H765" s="333"/>
      <c r="K765" s="362"/>
      <c r="S765" s="333"/>
    </row>
    <row r="766" spans="1:19" ht="15.75" customHeight="1" x14ac:dyDescent="0.25">
      <c r="A766" s="333"/>
      <c r="C766" s="360"/>
      <c r="D766" s="361"/>
      <c r="E766" s="333"/>
      <c r="F766" s="333"/>
      <c r="G766" s="333"/>
      <c r="H766" s="333"/>
      <c r="K766" s="362"/>
      <c r="S766" s="333"/>
    </row>
    <row r="767" spans="1:19" ht="15.75" customHeight="1" x14ac:dyDescent="0.25">
      <c r="A767" s="333"/>
      <c r="C767" s="360"/>
      <c r="D767" s="361"/>
      <c r="E767" s="333"/>
      <c r="F767" s="333"/>
      <c r="G767" s="333"/>
      <c r="H767" s="333"/>
      <c r="K767" s="362"/>
      <c r="S767" s="333"/>
    </row>
    <row r="768" spans="1:19" ht="15.75" customHeight="1" x14ac:dyDescent="0.25">
      <c r="A768" s="333"/>
      <c r="C768" s="360"/>
      <c r="D768" s="361"/>
      <c r="E768" s="333"/>
      <c r="F768" s="333"/>
      <c r="G768" s="333"/>
      <c r="H768" s="333"/>
      <c r="K768" s="362"/>
      <c r="S768" s="333"/>
    </row>
    <row r="769" spans="1:19" ht="15.75" customHeight="1" x14ac:dyDescent="0.25">
      <c r="A769" s="333"/>
      <c r="C769" s="360"/>
      <c r="D769" s="361"/>
      <c r="E769" s="333"/>
      <c r="F769" s="333"/>
      <c r="G769" s="333"/>
      <c r="H769" s="333"/>
      <c r="K769" s="362"/>
      <c r="S769" s="333"/>
    </row>
    <row r="770" spans="1:19" ht="15.75" customHeight="1" x14ac:dyDescent="0.25">
      <c r="A770" s="333"/>
      <c r="C770" s="360"/>
      <c r="D770" s="361"/>
      <c r="E770" s="333"/>
      <c r="F770" s="333"/>
      <c r="G770" s="333"/>
      <c r="H770" s="333"/>
      <c r="K770" s="362"/>
      <c r="S770" s="333"/>
    </row>
    <row r="771" spans="1:19" ht="15.75" customHeight="1" x14ac:dyDescent="0.25">
      <c r="A771" s="333"/>
      <c r="C771" s="360"/>
      <c r="D771" s="361"/>
      <c r="E771" s="333"/>
      <c r="F771" s="333"/>
      <c r="G771" s="333"/>
      <c r="H771" s="333"/>
      <c r="K771" s="362"/>
      <c r="S771" s="333"/>
    </row>
    <row r="772" spans="1:19" ht="15.75" customHeight="1" x14ac:dyDescent="0.25">
      <c r="A772" s="333"/>
      <c r="C772" s="360"/>
      <c r="D772" s="361"/>
      <c r="E772" s="333"/>
      <c r="F772" s="333"/>
      <c r="G772" s="333"/>
      <c r="H772" s="333"/>
      <c r="K772" s="362"/>
      <c r="S772" s="333"/>
    </row>
    <row r="773" spans="1:19" ht="15.75" customHeight="1" x14ac:dyDescent="0.25">
      <c r="A773" s="333"/>
      <c r="C773" s="360"/>
      <c r="D773" s="361"/>
      <c r="E773" s="333"/>
      <c r="F773" s="333"/>
      <c r="G773" s="333"/>
      <c r="H773" s="333"/>
      <c r="K773" s="362"/>
      <c r="S773" s="333"/>
    </row>
    <row r="774" spans="1:19" ht="15.75" customHeight="1" x14ac:dyDescent="0.25">
      <c r="A774" s="333"/>
      <c r="C774" s="360"/>
      <c r="D774" s="361"/>
      <c r="E774" s="333"/>
      <c r="F774" s="333"/>
      <c r="G774" s="333"/>
      <c r="H774" s="333"/>
      <c r="K774" s="362"/>
      <c r="S774" s="333"/>
    </row>
    <row r="775" spans="1:19" ht="15.75" customHeight="1" x14ac:dyDescent="0.25">
      <c r="A775" s="333"/>
      <c r="C775" s="360"/>
      <c r="D775" s="361"/>
      <c r="E775" s="333"/>
      <c r="F775" s="333"/>
      <c r="G775" s="333"/>
      <c r="H775" s="333"/>
      <c r="K775" s="362"/>
      <c r="S775" s="333"/>
    </row>
    <row r="776" spans="1:19" ht="15.75" customHeight="1" x14ac:dyDescent="0.25">
      <c r="A776" s="333"/>
      <c r="C776" s="360"/>
      <c r="D776" s="361"/>
      <c r="E776" s="333"/>
      <c r="F776" s="333"/>
      <c r="G776" s="333"/>
      <c r="H776" s="333"/>
      <c r="K776" s="362"/>
      <c r="S776" s="333"/>
    </row>
    <row r="777" spans="1:19" ht="15.75" customHeight="1" x14ac:dyDescent="0.25">
      <c r="A777" s="333"/>
      <c r="C777" s="360"/>
      <c r="D777" s="361"/>
      <c r="E777" s="333"/>
      <c r="F777" s="333"/>
      <c r="G777" s="333"/>
      <c r="H777" s="333"/>
      <c r="K777" s="362"/>
      <c r="S777" s="333"/>
    </row>
    <row r="778" spans="1:19" ht="15.75" customHeight="1" x14ac:dyDescent="0.25">
      <c r="A778" s="333"/>
      <c r="C778" s="360"/>
      <c r="D778" s="361"/>
      <c r="E778" s="333"/>
      <c r="F778" s="333"/>
      <c r="G778" s="333"/>
      <c r="H778" s="333"/>
      <c r="K778" s="362"/>
      <c r="S778" s="333"/>
    </row>
    <row r="779" spans="1:19" ht="15.75" customHeight="1" x14ac:dyDescent="0.25">
      <c r="A779" s="333"/>
      <c r="C779" s="360"/>
      <c r="D779" s="361"/>
      <c r="E779" s="333"/>
      <c r="F779" s="333"/>
      <c r="G779" s="333"/>
      <c r="H779" s="333"/>
      <c r="K779" s="362"/>
      <c r="S779" s="333"/>
    </row>
    <row r="780" spans="1:19" ht="15.75" customHeight="1" x14ac:dyDescent="0.25">
      <c r="A780" s="333"/>
      <c r="C780" s="360"/>
      <c r="D780" s="361"/>
      <c r="E780" s="333"/>
      <c r="F780" s="333"/>
      <c r="G780" s="333"/>
      <c r="H780" s="333"/>
      <c r="K780" s="362"/>
      <c r="S780" s="333"/>
    </row>
    <row r="781" spans="1:19" ht="15.75" customHeight="1" x14ac:dyDescent="0.25">
      <c r="A781" s="333"/>
      <c r="C781" s="360"/>
      <c r="D781" s="361"/>
      <c r="E781" s="333"/>
      <c r="F781" s="333"/>
      <c r="G781" s="333"/>
      <c r="H781" s="333"/>
      <c r="K781" s="362"/>
      <c r="S781" s="333"/>
    </row>
    <row r="782" spans="1:19" ht="15.75" customHeight="1" x14ac:dyDescent="0.25">
      <c r="A782" s="333"/>
      <c r="C782" s="360"/>
      <c r="D782" s="361"/>
      <c r="E782" s="333"/>
      <c r="F782" s="333"/>
      <c r="G782" s="333"/>
      <c r="H782" s="333"/>
      <c r="K782" s="362"/>
      <c r="S782" s="333"/>
    </row>
    <row r="783" spans="1:19" ht="15.75" customHeight="1" x14ac:dyDescent="0.25">
      <c r="A783" s="333"/>
      <c r="C783" s="360"/>
      <c r="D783" s="361"/>
      <c r="E783" s="333"/>
      <c r="F783" s="333"/>
      <c r="G783" s="333"/>
      <c r="H783" s="333"/>
      <c r="K783" s="362"/>
      <c r="S783" s="333"/>
    </row>
    <row r="784" spans="1:19" ht="15.75" customHeight="1" x14ac:dyDescent="0.25">
      <c r="A784" s="333"/>
      <c r="C784" s="360"/>
      <c r="D784" s="361"/>
      <c r="E784" s="333"/>
      <c r="F784" s="333"/>
      <c r="G784" s="333"/>
      <c r="H784" s="333"/>
      <c r="K784" s="362"/>
      <c r="S784" s="333"/>
    </row>
    <row r="785" spans="1:19" ht="15.75" customHeight="1" x14ac:dyDescent="0.25">
      <c r="A785" s="333"/>
      <c r="C785" s="360"/>
      <c r="D785" s="361"/>
      <c r="E785" s="333"/>
      <c r="F785" s="333"/>
      <c r="G785" s="333"/>
      <c r="H785" s="333"/>
      <c r="K785" s="362"/>
      <c r="S785" s="333"/>
    </row>
    <row r="786" spans="1:19" ht="15.75" customHeight="1" x14ac:dyDescent="0.25">
      <c r="A786" s="333"/>
      <c r="C786" s="360"/>
      <c r="D786" s="361"/>
      <c r="E786" s="333"/>
      <c r="F786" s="333"/>
      <c r="G786" s="333"/>
      <c r="H786" s="333"/>
      <c r="K786" s="362"/>
      <c r="S786" s="333"/>
    </row>
    <row r="787" spans="1:19" ht="15.75" customHeight="1" x14ac:dyDescent="0.25">
      <c r="A787" s="333"/>
      <c r="C787" s="360"/>
      <c r="D787" s="361"/>
      <c r="E787" s="333"/>
      <c r="F787" s="333"/>
      <c r="G787" s="333"/>
      <c r="H787" s="333"/>
      <c r="K787" s="362"/>
      <c r="S787" s="333"/>
    </row>
    <row r="788" spans="1:19" ht="15.75" customHeight="1" x14ac:dyDescent="0.25">
      <c r="A788" s="333"/>
      <c r="C788" s="360"/>
      <c r="D788" s="361"/>
      <c r="E788" s="333"/>
      <c r="F788" s="333"/>
      <c r="G788" s="333"/>
      <c r="H788" s="333"/>
      <c r="K788" s="362"/>
      <c r="S788" s="333"/>
    </row>
    <row r="789" spans="1:19" ht="15.75" customHeight="1" x14ac:dyDescent="0.25">
      <c r="A789" s="333"/>
      <c r="C789" s="360"/>
      <c r="D789" s="361"/>
      <c r="E789" s="333"/>
      <c r="F789" s="333"/>
      <c r="G789" s="333"/>
      <c r="H789" s="333"/>
      <c r="K789" s="362"/>
      <c r="S789" s="333"/>
    </row>
    <row r="790" spans="1:19" ht="15.75" customHeight="1" x14ac:dyDescent="0.25">
      <c r="A790" s="333"/>
      <c r="C790" s="360"/>
      <c r="D790" s="361"/>
      <c r="E790" s="333"/>
      <c r="F790" s="333"/>
      <c r="G790" s="333"/>
      <c r="H790" s="333"/>
      <c r="K790" s="362"/>
      <c r="S790" s="333"/>
    </row>
    <row r="791" spans="1:19" ht="15.75" customHeight="1" x14ac:dyDescent="0.25">
      <c r="A791" s="333"/>
      <c r="C791" s="360"/>
      <c r="D791" s="361"/>
      <c r="E791" s="333"/>
      <c r="F791" s="333"/>
      <c r="G791" s="333"/>
      <c r="H791" s="333"/>
      <c r="K791" s="362"/>
      <c r="S791" s="333"/>
    </row>
    <row r="792" spans="1:19" ht="15.75" customHeight="1" x14ac:dyDescent="0.25">
      <c r="A792" s="333"/>
      <c r="C792" s="360"/>
      <c r="D792" s="361"/>
      <c r="E792" s="333"/>
      <c r="F792" s="333"/>
      <c r="G792" s="333"/>
      <c r="H792" s="333"/>
      <c r="K792" s="362"/>
      <c r="S792" s="333"/>
    </row>
    <row r="793" spans="1:19" ht="15.75" customHeight="1" x14ac:dyDescent="0.25">
      <c r="A793" s="333"/>
      <c r="C793" s="360"/>
      <c r="D793" s="361"/>
      <c r="E793" s="333"/>
      <c r="F793" s="333"/>
      <c r="G793" s="333"/>
      <c r="H793" s="333"/>
      <c r="K793" s="362"/>
      <c r="S793" s="333"/>
    </row>
    <row r="794" spans="1:19" ht="15.75" customHeight="1" x14ac:dyDescent="0.25">
      <c r="A794" s="333"/>
      <c r="C794" s="360"/>
      <c r="D794" s="361"/>
      <c r="E794" s="333"/>
      <c r="F794" s="333"/>
      <c r="G794" s="333"/>
      <c r="H794" s="333"/>
      <c r="K794" s="362"/>
      <c r="S794" s="333"/>
    </row>
    <row r="795" spans="1:19" ht="15.75" customHeight="1" x14ac:dyDescent="0.25">
      <c r="A795" s="333"/>
      <c r="C795" s="360"/>
      <c r="D795" s="361"/>
      <c r="E795" s="333"/>
      <c r="F795" s="333"/>
      <c r="G795" s="333"/>
      <c r="H795" s="333"/>
      <c r="K795" s="362"/>
      <c r="S795" s="333"/>
    </row>
    <row r="796" spans="1:19" ht="15.75" customHeight="1" x14ac:dyDescent="0.25">
      <c r="A796" s="333"/>
      <c r="C796" s="360"/>
      <c r="D796" s="361"/>
      <c r="E796" s="333"/>
      <c r="F796" s="333"/>
      <c r="G796" s="333"/>
      <c r="H796" s="333"/>
      <c r="K796" s="362"/>
      <c r="S796" s="333"/>
    </row>
    <row r="797" spans="1:19" ht="15.75" customHeight="1" x14ac:dyDescent="0.25">
      <c r="A797" s="333"/>
      <c r="C797" s="360"/>
      <c r="D797" s="361"/>
      <c r="E797" s="333"/>
      <c r="F797" s="333"/>
      <c r="G797" s="333"/>
      <c r="H797" s="333"/>
      <c r="K797" s="362"/>
      <c r="S797" s="333"/>
    </row>
    <row r="798" spans="1:19" ht="15.75" customHeight="1" x14ac:dyDescent="0.25">
      <c r="A798" s="333"/>
      <c r="C798" s="360"/>
      <c r="D798" s="361"/>
      <c r="E798" s="333"/>
      <c r="F798" s="333"/>
      <c r="G798" s="333"/>
      <c r="H798" s="333"/>
      <c r="K798" s="362"/>
      <c r="S798" s="333"/>
    </row>
    <row r="799" spans="1:19" ht="15.75" customHeight="1" x14ac:dyDescent="0.25">
      <c r="A799" s="333"/>
      <c r="C799" s="360"/>
      <c r="D799" s="361"/>
      <c r="E799" s="333"/>
      <c r="F799" s="333"/>
      <c r="G799" s="333"/>
      <c r="H799" s="333"/>
      <c r="K799" s="362"/>
      <c r="S799" s="333"/>
    </row>
    <row r="800" spans="1:19" ht="15.75" customHeight="1" x14ac:dyDescent="0.25">
      <c r="A800" s="333"/>
      <c r="C800" s="360"/>
      <c r="D800" s="361"/>
      <c r="E800" s="333"/>
      <c r="F800" s="333"/>
      <c r="G800" s="333"/>
      <c r="H800" s="333"/>
      <c r="K800" s="362"/>
      <c r="S800" s="333"/>
    </row>
    <row r="801" spans="1:19" ht="15.75" customHeight="1" x14ac:dyDescent="0.25">
      <c r="A801" s="333"/>
      <c r="C801" s="360"/>
      <c r="D801" s="361"/>
      <c r="E801" s="333"/>
      <c r="F801" s="333"/>
      <c r="G801" s="333"/>
      <c r="H801" s="333"/>
      <c r="K801" s="362"/>
      <c r="S801" s="333"/>
    </row>
    <row r="802" spans="1:19" ht="15.75" customHeight="1" x14ac:dyDescent="0.25">
      <c r="A802" s="333"/>
      <c r="C802" s="360"/>
      <c r="D802" s="361"/>
      <c r="E802" s="333"/>
      <c r="F802" s="333"/>
      <c r="G802" s="333"/>
      <c r="H802" s="333"/>
      <c r="K802" s="362"/>
      <c r="S802" s="333"/>
    </row>
    <row r="803" spans="1:19" ht="15.75" customHeight="1" x14ac:dyDescent="0.25">
      <c r="A803" s="333"/>
      <c r="C803" s="360"/>
      <c r="D803" s="361"/>
      <c r="E803" s="333"/>
      <c r="F803" s="333"/>
      <c r="G803" s="333"/>
      <c r="H803" s="333"/>
      <c r="K803" s="362"/>
      <c r="S803" s="333"/>
    </row>
    <row r="804" spans="1:19" ht="15.75" customHeight="1" x14ac:dyDescent="0.25">
      <c r="A804" s="333"/>
      <c r="C804" s="360"/>
      <c r="D804" s="361"/>
      <c r="E804" s="333"/>
      <c r="F804" s="333"/>
      <c r="G804" s="333"/>
      <c r="H804" s="333"/>
      <c r="K804" s="362"/>
      <c r="S804" s="333"/>
    </row>
    <row r="805" spans="1:19" ht="15.75" customHeight="1" x14ac:dyDescent="0.25">
      <c r="A805" s="333"/>
      <c r="C805" s="360"/>
      <c r="D805" s="361"/>
      <c r="E805" s="333"/>
      <c r="F805" s="333"/>
      <c r="G805" s="333"/>
      <c r="H805" s="333"/>
      <c r="K805" s="362"/>
      <c r="S805" s="333"/>
    </row>
    <row r="806" spans="1:19" ht="15.75" customHeight="1" x14ac:dyDescent="0.25">
      <c r="A806" s="333"/>
      <c r="C806" s="360"/>
      <c r="D806" s="361"/>
      <c r="E806" s="333"/>
      <c r="F806" s="333"/>
      <c r="G806" s="333"/>
      <c r="H806" s="333"/>
      <c r="K806" s="362"/>
      <c r="S806" s="333"/>
    </row>
    <row r="807" spans="1:19" ht="15.75" customHeight="1" x14ac:dyDescent="0.25">
      <c r="A807" s="333"/>
      <c r="C807" s="360"/>
      <c r="D807" s="361"/>
      <c r="E807" s="333"/>
      <c r="F807" s="333"/>
      <c r="G807" s="333"/>
      <c r="H807" s="333"/>
      <c r="K807" s="362"/>
      <c r="S807" s="333"/>
    </row>
    <row r="808" spans="1:19" ht="15.75" customHeight="1" x14ac:dyDescent="0.25">
      <c r="A808" s="333"/>
      <c r="C808" s="360"/>
      <c r="D808" s="361"/>
      <c r="E808" s="333"/>
      <c r="F808" s="333"/>
      <c r="G808" s="333"/>
      <c r="H808" s="333"/>
      <c r="K808" s="362"/>
      <c r="S808" s="333"/>
    </row>
    <row r="809" spans="1:19" ht="15.75" customHeight="1" x14ac:dyDescent="0.25">
      <c r="A809" s="333"/>
      <c r="C809" s="360"/>
      <c r="D809" s="361"/>
      <c r="E809" s="333"/>
      <c r="F809" s="333"/>
      <c r="G809" s="333"/>
      <c r="H809" s="333"/>
      <c r="K809" s="362"/>
      <c r="S809" s="333"/>
    </row>
    <row r="810" spans="1:19" ht="15.75" customHeight="1" x14ac:dyDescent="0.25">
      <c r="A810" s="333"/>
      <c r="C810" s="360"/>
      <c r="D810" s="361"/>
      <c r="E810" s="333"/>
      <c r="F810" s="333"/>
      <c r="G810" s="333"/>
      <c r="H810" s="333"/>
      <c r="K810" s="362"/>
      <c r="S810" s="333"/>
    </row>
    <row r="811" spans="1:19" ht="15.75" customHeight="1" x14ac:dyDescent="0.25">
      <c r="A811" s="333"/>
      <c r="C811" s="360"/>
      <c r="D811" s="361"/>
      <c r="E811" s="333"/>
      <c r="F811" s="333"/>
      <c r="G811" s="333"/>
      <c r="H811" s="333"/>
      <c r="K811" s="362"/>
      <c r="S811" s="333"/>
    </row>
    <row r="812" spans="1:19" ht="15.75" customHeight="1" x14ac:dyDescent="0.25">
      <c r="A812" s="333"/>
      <c r="C812" s="360"/>
      <c r="D812" s="361"/>
      <c r="E812" s="333"/>
      <c r="F812" s="333"/>
      <c r="G812" s="333"/>
      <c r="H812" s="333"/>
      <c r="K812" s="362"/>
      <c r="S812" s="333"/>
    </row>
    <row r="813" spans="1:19" ht="15.75" customHeight="1" x14ac:dyDescent="0.25">
      <c r="A813" s="333"/>
      <c r="C813" s="360"/>
      <c r="D813" s="361"/>
      <c r="E813" s="333"/>
      <c r="F813" s="333"/>
      <c r="G813" s="333"/>
      <c r="H813" s="333"/>
      <c r="K813" s="362"/>
      <c r="S813" s="333"/>
    </row>
    <row r="814" spans="1:19" ht="15.75" customHeight="1" x14ac:dyDescent="0.25">
      <c r="A814" s="333"/>
      <c r="C814" s="360"/>
      <c r="D814" s="361"/>
      <c r="E814" s="333"/>
      <c r="F814" s="333"/>
      <c r="G814" s="333"/>
      <c r="H814" s="333"/>
      <c r="K814" s="362"/>
      <c r="S814" s="333"/>
    </row>
    <row r="815" spans="1:19" ht="15.75" customHeight="1" x14ac:dyDescent="0.25">
      <c r="A815" s="333"/>
      <c r="C815" s="360"/>
      <c r="D815" s="361"/>
      <c r="E815" s="333"/>
      <c r="F815" s="333"/>
      <c r="G815" s="333"/>
      <c r="H815" s="333"/>
      <c r="K815" s="362"/>
      <c r="S815" s="333"/>
    </row>
    <row r="816" spans="1:19" ht="15.75" customHeight="1" x14ac:dyDescent="0.25">
      <c r="A816" s="333"/>
      <c r="C816" s="360"/>
      <c r="D816" s="361"/>
      <c r="E816" s="333"/>
      <c r="F816" s="333"/>
      <c r="G816" s="333"/>
      <c r="H816" s="333"/>
      <c r="K816" s="362"/>
      <c r="S816" s="333"/>
    </row>
    <row r="817" spans="1:19" ht="15.75" customHeight="1" x14ac:dyDescent="0.25">
      <c r="A817" s="333"/>
      <c r="C817" s="360"/>
      <c r="D817" s="361"/>
      <c r="E817" s="333"/>
      <c r="F817" s="333"/>
      <c r="G817" s="333"/>
      <c r="H817" s="333"/>
      <c r="K817" s="362"/>
      <c r="S817" s="333"/>
    </row>
    <row r="818" spans="1:19" ht="15.75" customHeight="1" x14ac:dyDescent="0.25">
      <c r="A818" s="333"/>
      <c r="C818" s="360"/>
      <c r="D818" s="361"/>
      <c r="E818" s="333"/>
      <c r="F818" s="333"/>
      <c r="G818" s="333"/>
      <c r="H818" s="333"/>
      <c r="K818" s="362"/>
      <c r="S818" s="333"/>
    </row>
    <row r="819" spans="1:19" ht="15.75" customHeight="1" x14ac:dyDescent="0.25">
      <c r="A819" s="333"/>
      <c r="C819" s="360"/>
      <c r="D819" s="361"/>
      <c r="E819" s="333"/>
      <c r="F819" s="333"/>
      <c r="G819" s="333"/>
      <c r="H819" s="333"/>
      <c r="K819" s="362"/>
      <c r="S819" s="333"/>
    </row>
    <row r="820" spans="1:19" ht="15.75" customHeight="1" x14ac:dyDescent="0.25">
      <c r="A820" s="333"/>
      <c r="C820" s="360"/>
      <c r="D820" s="361"/>
      <c r="E820" s="333"/>
      <c r="F820" s="333"/>
      <c r="G820" s="333"/>
      <c r="H820" s="333"/>
      <c r="K820" s="362"/>
      <c r="S820" s="333"/>
    </row>
    <row r="821" spans="1:19" ht="15.75" customHeight="1" x14ac:dyDescent="0.25">
      <c r="A821" s="333"/>
      <c r="C821" s="360"/>
      <c r="D821" s="361"/>
      <c r="E821" s="333"/>
      <c r="F821" s="333"/>
      <c r="G821" s="333"/>
      <c r="H821" s="333"/>
      <c r="K821" s="362"/>
      <c r="S821" s="333"/>
    </row>
    <row r="822" spans="1:19" ht="15.75" customHeight="1" x14ac:dyDescent="0.25">
      <c r="A822" s="333"/>
      <c r="C822" s="360"/>
      <c r="D822" s="361"/>
      <c r="E822" s="333"/>
      <c r="F822" s="333"/>
      <c r="G822" s="333"/>
      <c r="H822" s="333"/>
      <c r="K822" s="362"/>
      <c r="S822" s="333"/>
    </row>
    <row r="823" spans="1:19" ht="15.75" customHeight="1" x14ac:dyDescent="0.25">
      <c r="A823" s="333"/>
      <c r="C823" s="360"/>
      <c r="D823" s="361"/>
      <c r="E823" s="333"/>
      <c r="F823" s="333"/>
      <c r="G823" s="333"/>
      <c r="H823" s="333"/>
      <c r="K823" s="362"/>
      <c r="S823" s="333"/>
    </row>
    <row r="824" spans="1:19" ht="15.75" customHeight="1" x14ac:dyDescent="0.25">
      <c r="A824" s="333"/>
      <c r="C824" s="360"/>
      <c r="D824" s="361"/>
      <c r="E824" s="333"/>
      <c r="F824" s="333"/>
      <c r="G824" s="333"/>
      <c r="H824" s="333"/>
      <c r="K824" s="362"/>
      <c r="S824" s="333"/>
    </row>
    <row r="825" spans="1:19" ht="15.75" customHeight="1" x14ac:dyDescent="0.25">
      <c r="A825" s="333"/>
      <c r="C825" s="360"/>
      <c r="D825" s="361"/>
      <c r="E825" s="333"/>
      <c r="F825" s="333"/>
      <c r="G825" s="333"/>
      <c r="H825" s="333"/>
      <c r="K825" s="362"/>
      <c r="S825" s="333"/>
    </row>
    <row r="826" spans="1:19" ht="15.75" customHeight="1" x14ac:dyDescent="0.25">
      <c r="A826" s="333"/>
      <c r="C826" s="360"/>
      <c r="D826" s="361"/>
      <c r="E826" s="333"/>
      <c r="F826" s="333"/>
      <c r="G826" s="333"/>
      <c r="H826" s="333"/>
      <c r="K826" s="362"/>
      <c r="S826" s="333"/>
    </row>
    <row r="827" spans="1:19" ht="15.75" customHeight="1" x14ac:dyDescent="0.25">
      <c r="A827" s="333"/>
      <c r="C827" s="360"/>
      <c r="D827" s="361"/>
      <c r="E827" s="333"/>
      <c r="F827" s="333"/>
      <c r="G827" s="333"/>
      <c r="H827" s="333"/>
      <c r="K827" s="362"/>
      <c r="S827" s="333"/>
    </row>
    <row r="828" spans="1:19" ht="15.75" customHeight="1" x14ac:dyDescent="0.25">
      <c r="A828" s="333"/>
      <c r="C828" s="360"/>
      <c r="D828" s="361"/>
      <c r="E828" s="333"/>
      <c r="F828" s="333"/>
      <c r="G828" s="333"/>
      <c r="H828" s="333"/>
      <c r="K828" s="362"/>
      <c r="S828" s="333"/>
    </row>
    <row r="829" spans="1:19" ht="15.75" customHeight="1" x14ac:dyDescent="0.25">
      <c r="A829" s="333"/>
      <c r="C829" s="360"/>
      <c r="D829" s="361"/>
      <c r="E829" s="333"/>
      <c r="F829" s="333"/>
      <c r="G829" s="333"/>
      <c r="H829" s="333"/>
      <c r="K829" s="362"/>
      <c r="S829" s="333"/>
    </row>
    <row r="830" spans="1:19" ht="15.75" customHeight="1" x14ac:dyDescent="0.25">
      <c r="A830" s="333"/>
      <c r="C830" s="360"/>
      <c r="D830" s="361"/>
      <c r="E830" s="333"/>
      <c r="F830" s="333"/>
      <c r="G830" s="333"/>
      <c r="H830" s="333"/>
      <c r="K830" s="362"/>
      <c r="S830" s="333"/>
    </row>
    <row r="831" spans="1:19" ht="15.75" customHeight="1" x14ac:dyDescent="0.25">
      <c r="A831" s="333"/>
      <c r="C831" s="360"/>
      <c r="D831" s="361"/>
      <c r="E831" s="333"/>
      <c r="F831" s="333"/>
      <c r="G831" s="333"/>
      <c r="H831" s="333"/>
      <c r="K831" s="362"/>
      <c r="S831" s="333"/>
    </row>
    <row r="832" spans="1:19" ht="15.75" customHeight="1" x14ac:dyDescent="0.25">
      <c r="A832" s="333"/>
      <c r="C832" s="360"/>
      <c r="D832" s="361"/>
      <c r="E832" s="333"/>
      <c r="F832" s="333"/>
      <c r="G832" s="333"/>
      <c r="H832" s="333"/>
      <c r="K832" s="362"/>
      <c r="S832" s="333"/>
    </row>
    <row r="833" spans="1:19" ht="15.75" customHeight="1" x14ac:dyDescent="0.25">
      <c r="A833" s="333"/>
      <c r="C833" s="360"/>
      <c r="D833" s="361"/>
      <c r="E833" s="333"/>
      <c r="F833" s="333"/>
      <c r="G833" s="333"/>
      <c r="H833" s="333"/>
      <c r="K833" s="362"/>
      <c r="S833" s="333"/>
    </row>
    <row r="834" spans="1:19" ht="15.75" customHeight="1" x14ac:dyDescent="0.25">
      <c r="A834" s="333"/>
      <c r="C834" s="360"/>
      <c r="D834" s="361"/>
      <c r="E834" s="333"/>
      <c r="F834" s="333"/>
      <c r="G834" s="333"/>
      <c r="H834" s="333"/>
      <c r="K834" s="362"/>
      <c r="S834" s="333"/>
    </row>
    <row r="835" spans="1:19" ht="15.75" customHeight="1" x14ac:dyDescent="0.25">
      <c r="A835" s="333"/>
      <c r="C835" s="360"/>
      <c r="D835" s="361"/>
      <c r="E835" s="333"/>
      <c r="F835" s="333"/>
      <c r="G835" s="333"/>
      <c r="H835" s="333"/>
      <c r="K835" s="362"/>
      <c r="S835" s="333"/>
    </row>
    <row r="836" spans="1:19" ht="15.75" customHeight="1" x14ac:dyDescent="0.25">
      <c r="A836" s="333"/>
      <c r="C836" s="360"/>
      <c r="D836" s="361"/>
      <c r="E836" s="333"/>
      <c r="F836" s="333"/>
      <c r="G836" s="333"/>
      <c r="H836" s="333"/>
      <c r="K836" s="362"/>
      <c r="S836" s="333"/>
    </row>
    <row r="837" spans="1:19" ht="15.75" customHeight="1" x14ac:dyDescent="0.25">
      <c r="A837" s="333"/>
      <c r="C837" s="360"/>
      <c r="D837" s="361"/>
      <c r="E837" s="333"/>
      <c r="F837" s="333"/>
      <c r="G837" s="333"/>
      <c r="H837" s="333"/>
      <c r="K837" s="362"/>
      <c r="S837" s="333"/>
    </row>
    <row r="838" spans="1:19" ht="15.75" customHeight="1" x14ac:dyDescent="0.25">
      <c r="A838" s="333"/>
      <c r="C838" s="360"/>
      <c r="D838" s="361"/>
      <c r="E838" s="333"/>
      <c r="F838" s="333"/>
      <c r="G838" s="333"/>
      <c r="H838" s="333"/>
      <c r="K838" s="362"/>
      <c r="S838" s="333"/>
    </row>
    <row r="839" spans="1:19" ht="15.75" customHeight="1" x14ac:dyDescent="0.25">
      <c r="A839" s="333"/>
      <c r="C839" s="360"/>
      <c r="D839" s="361"/>
      <c r="E839" s="333"/>
      <c r="F839" s="333"/>
      <c r="G839" s="333"/>
      <c r="H839" s="333"/>
      <c r="K839" s="362"/>
      <c r="S839" s="333"/>
    </row>
    <row r="840" spans="1:19" ht="15.75" customHeight="1" x14ac:dyDescent="0.25">
      <c r="A840" s="333"/>
      <c r="C840" s="360"/>
      <c r="D840" s="361"/>
      <c r="E840" s="333"/>
      <c r="F840" s="333"/>
      <c r="G840" s="333"/>
      <c r="H840" s="333"/>
      <c r="K840" s="362"/>
      <c r="S840" s="333"/>
    </row>
    <row r="841" spans="1:19" ht="15.75" customHeight="1" x14ac:dyDescent="0.25">
      <c r="A841" s="333"/>
      <c r="C841" s="360"/>
      <c r="D841" s="361"/>
      <c r="E841" s="333"/>
      <c r="F841" s="333"/>
      <c r="G841" s="333"/>
      <c r="H841" s="333"/>
      <c r="K841" s="362"/>
      <c r="S841" s="333"/>
    </row>
    <row r="842" spans="1:19" ht="15.75" customHeight="1" x14ac:dyDescent="0.25">
      <c r="A842" s="333"/>
      <c r="C842" s="360"/>
      <c r="D842" s="361"/>
      <c r="E842" s="333"/>
      <c r="F842" s="333"/>
      <c r="G842" s="333"/>
      <c r="H842" s="333"/>
      <c r="K842" s="362"/>
      <c r="S842" s="333"/>
    </row>
    <row r="843" spans="1:19" ht="15.75" customHeight="1" x14ac:dyDescent="0.25">
      <c r="A843" s="333"/>
      <c r="C843" s="360"/>
      <c r="D843" s="361"/>
      <c r="E843" s="333"/>
      <c r="F843" s="333"/>
      <c r="G843" s="333"/>
      <c r="H843" s="333"/>
      <c r="K843" s="362"/>
      <c r="S843" s="333"/>
    </row>
    <row r="844" spans="1:19" ht="15.75" customHeight="1" x14ac:dyDescent="0.25">
      <c r="A844" s="333"/>
      <c r="C844" s="360"/>
      <c r="D844" s="361"/>
      <c r="E844" s="333"/>
      <c r="F844" s="333"/>
      <c r="G844" s="333"/>
      <c r="H844" s="333"/>
      <c r="K844" s="362"/>
      <c r="S844" s="333"/>
    </row>
    <row r="845" spans="1:19" ht="15.75" customHeight="1" x14ac:dyDescent="0.25">
      <c r="A845" s="333"/>
      <c r="C845" s="360"/>
      <c r="D845" s="361"/>
      <c r="E845" s="333"/>
      <c r="F845" s="333"/>
      <c r="G845" s="333"/>
      <c r="H845" s="333"/>
      <c r="K845" s="362"/>
      <c r="S845" s="333"/>
    </row>
    <row r="846" spans="1:19" ht="15.75" customHeight="1" x14ac:dyDescent="0.25">
      <c r="A846" s="333"/>
      <c r="C846" s="360"/>
      <c r="D846" s="361"/>
      <c r="E846" s="333"/>
      <c r="F846" s="333"/>
      <c r="G846" s="333"/>
      <c r="H846" s="333"/>
      <c r="K846" s="362"/>
      <c r="S846" s="333"/>
    </row>
    <row r="847" spans="1:19" ht="15.75" customHeight="1" x14ac:dyDescent="0.25">
      <c r="A847" s="333"/>
      <c r="C847" s="360"/>
      <c r="D847" s="361"/>
      <c r="E847" s="333"/>
      <c r="F847" s="333"/>
      <c r="G847" s="333"/>
      <c r="H847" s="333"/>
      <c r="K847" s="362"/>
      <c r="S847" s="333"/>
    </row>
    <row r="848" spans="1:19" ht="15.75" customHeight="1" x14ac:dyDescent="0.25">
      <c r="A848" s="333"/>
      <c r="C848" s="360"/>
      <c r="D848" s="361"/>
      <c r="E848" s="333"/>
      <c r="F848" s="333"/>
      <c r="G848" s="333"/>
      <c r="H848" s="333"/>
      <c r="K848" s="362"/>
      <c r="S848" s="333"/>
    </row>
    <row r="849" spans="1:19" ht="15.75" customHeight="1" x14ac:dyDescent="0.25">
      <c r="A849" s="333"/>
      <c r="C849" s="360"/>
      <c r="D849" s="361"/>
      <c r="E849" s="333"/>
      <c r="F849" s="333"/>
      <c r="G849" s="333"/>
      <c r="H849" s="333"/>
      <c r="K849" s="362"/>
      <c r="S849" s="333"/>
    </row>
    <row r="850" spans="1:19" ht="15.75" customHeight="1" x14ac:dyDescent="0.25">
      <c r="A850" s="333"/>
      <c r="C850" s="360"/>
      <c r="D850" s="361"/>
      <c r="E850" s="333"/>
      <c r="F850" s="333"/>
      <c r="G850" s="333"/>
      <c r="H850" s="333"/>
      <c r="K850" s="362"/>
      <c r="S850" s="333"/>
    </row>
    <row r="851" spans="1:19" ht="15.75" customHeight="1" x14ac:dyDescent="0.25">
      <c r="A851" s="333"/>
      <c r="C851" s="360"/>
      <c r="D851" s="361"/>
      <c r="E851" s="333"/>
      <c r="F851" s="333"/>
      <c r="G851" s="333"/>
      <c r="H851" s="333"/>
      <c r="K851" s="362"/>
      <c r="S851" s="333"/>
    </row>
    <row r="852" spans="1:19" ht="15.75" customHeight="1" x14ac:dyDescent="0.25">
      <c r="A852" s="333"/>
      <c r="C852" s="360"/>
      <c r="D852" s="361"/>
      <c r="E852" s="333"/>
      <c r="F852" s="333"/>
      <c r="G852" s="333"/>
      <c r="H852" s="333"/>
      <c r="K852" s="362"/>
      <c r="S852" s="333"/>
    </row>
    <row r="853" spans="1:19" ht="15.75" customHeight="1" x14ac:dyDescent="0.25">
      <c r="A853" s="333"/>
      <c r="C853" s="360"/>
      <c r="D853" s="361"/>
      <c r="E853" s="333"/>
      <c r="F853" s="333"/>
      <c r="G853" s="333"/>
      <c r="H853" s="333"/>
      <c r="K853" s="362"/>
      <c r="S853" s="333"/>
    </row>
    <row r="854" spans="1:19" ht="15.75" customHeight="1" x14ac:dyDescent="0.25">
      <c r="A854" s="333"/>
      <c r="C854" s="360"/>
      <c r="D854" s="361"/>
      <c r="E854" s="333"/>
      <c r="F854" s="333"/>
      <c r="G854" s="333"/>
      <c r="H854" s="333"/>
      <c r="K854" s="362"/>
      <c r="S854" s="333"/>
    </row>
    <row r="855" spans="1:19" ht="15.75" customHeight="1" x14ac:dyDescent="0.25">
      <c r="A855" s="333"/>
      <c r="C855" s="360"/>
      <c r="D855" s="361"/>
      <c r="E855" s="333"/>
      <c r="F855" s="333"/>
      <c r="G855" s="333"/>
      <c r="H855" s="333"/>
      <c r="K855" s="362"/>
      <c r="S855" s="333"/>
    </row>
    <row r="856" spans="1:19" ht="15.75" customHeight="1" x14ac:dyDescent="0.25">
      <c r="A856" s="333"/>
      <c r="C856" s="360"/>
      <c r="D856" s="361"/>
      <c r="E856" s="333"/>
      <c r="F856" s="333"/>
      <c r="G856" s="333"/>
      <c r="H856" s="333"/>
      <c r="K856" s="362"/>
      <c r="S856" s="333"/>
    </row>
    <row r="857" spans="1:19" ht="15.75" customHeight="1" x14ac:dyDescent="0.25">
      <c r="A857" s="333"/>
      <c r="C857" s="360"/>
      <c r="D857" s="361"/>
      <c r="E857" s="333"/>
      <c r="F857" s="333"/>
      <c r="G857" s="333"/>
      <c r="H857" s="333"/>
      <c r="K857" s="362"/>
      <c r="S857" s="333"/>
    </row>
    <row r="858" spans="1:19" ht="15.75" customHeight="1" x14ac:dyDescent="0.25">
      <c r="A858" s="333"/>
      <c r="C858" s="360"/>
      <c r="D858" s="361"/>
      <c r="E858" s="333"/>
      <c r="F858" s="333"/>
      <c r="G858" s="333"/>
      <c r="H858" s="333"/>
      <c r="K858" s="362"/>
      <c r="S858" s="333"/>
    </row>
    <row r="859" spans="1:19" ht="15.75" customHeight="1" x14ac:dyDescent="0.25">
      <c r="A859" s="333"/>
      <c r="C859" s="360"/>
      <c r="D859" s="361"/>
      <c r="E859" s="333"/>
      <c r="F859" s="333"/>
      <c r="G859" s="333"/>
      <c r="H859" s="333"/>
      <c r="K859" s="362"/>
      <c r="S859" s="333"/>
    </row>
    <row r="860" spans="1:19" ht="15.75" customHeight="1" x14ac:dyDescent="0.25">
      <c r="A860" s="333"/>
      <c r="C860" s="360"/>
      <c r="D860" s="361"/>
      <c r="E860" s="333"/>
      <c r="F860" s="333"/>
      <c r="G860" s="333"/>
      <c r="H860" s="333"/>
      <c r="K860" s="362"/>
      <c r="S860" s="333"/>
    </row>
    <row r="861" spans="1:19" ht="15.75" customHeight="1" x14ac:dyDescent="0.25">
      <c r="A861" s="333"/>
      <c r="C861" s="360"/>
      <c r="D861" s="361"/>
      <c r="E861" s="333"/>
      <c r="F861" s="333"/>
      <c r="G861" s="333"/>
      <c r="H861" s="333"/>
      <c r="K861" s="362"/>
      <c r="S861" s="333"/>
    </row>
    <row r="862" spans="1:19" ht="15.75" customHeight="1" x14ac:dyDescent="0.25">
      <c r="A862" s="333"/>
      <c r="C862" s="360"/>
      <c r="D862" s="361"/>
      <c r="E862" s="333"/>
      <c r="F862" s="333"/>
      <c r="G862" s="333"/>
      <c r="H862" s="333"/>
      <c r="K862" s="362"/>
      <c r="S862" s="333"/>
    </row>
    <row r="863" spans="1:19" ht="15.75" customHeight="1" x14ac:dyDescent="0.25">
      <c r="A863" s="333"/>
      <c r="C863" s="360"/>
      <c r="D863" s="361"/>
      <c r="E863" s="333"/>
      <c r="F863" s="333"/>
      <c r="G863" s="333"/>
      <c r="H863" s="333"/>
      <c r="K863" s="362"/>
      <c r="S863" s="333"/>
    </row>
    <row r="864" spans="1:19" ht="15.75" customHeight="1" x14ac:dyDescent="0.25">
      <c r="A864" s="333"/>
      <c r="C864" s="360"/>
      <c r="D864" s="361"/>
      <c r="E864" s="333"/>
      <c r="F864" s="333"/>
      <c r="G864" s="333"/>
      <c r="H864" s="333"/>
      <c r="K864" s="362"/>
      <c r="S864" s="333"/>
    </row>
    <row r="865" spans="1:19" ht="15.75" customHeight="1" x14ac:dyDescent="0.25">
      <c r="A865" s="333"/>
      <c r="C865" s="360"/>
      <c r="D865" s="361"/>
      <c r="E865" s="333"/>
      <c r="F865" s="333"/>
      <c r="G865" s="333"/>
      <c r="H865" s="333"/>
      <c r="K865" s="362"/>
      <c r="S865" s="333"/>
    </row>
    <row r="866" spans="1:19" ht="15.75" customHeight="1" x14ac:dyDescent="0.25">
      <c r="A866" s="333"/>
      <c r="C866" s="360"/>
      <c r="D866" s="361"/>
      <c r="E866" s="333"/>
      <c r="F866" s="333"/>
      <c r="G866" s="333"/>
      <c r="H866" s="333"/>
      <c r="K866" s="362"/>
      <c r="S866" s="333"/>
    </row>
    <row r="867" spans="1:19" ht="15.75" customHeight="1" x14ac:dyDescent="0.25">
      <c r="A867" s="333"/>
      <c r="C867" s="360"/>
      <c r="D867" s="361"/>
      <c r="E867" s="333"/>
      <c r="F867" s="333"/>
      <c r="G867" s="333"/>
      <c r="H867" s="333"/>
      <c r="K867" s="362"/>
      <c r="S867" s="333"/>
    </row>
    <row r="868" spans="1:19" ht="15.75" customHeight="1" x14ac:dyDescent="0.25">
      <c r="A868" s="333"/>
      <c r="C868" s="360"/>
      <c r="D868" s="361"/>
      <c r="E868" s="333"/>
      <c r="F868" s="333"/>
      <c r="G868" s="333"/>
      <c r="H868" s="333"/>
      <c r="K868" s="362"/>
      <c r="S868" s="333"/>
    </row>
    <row r="869" spans="1:19" ht="15.75" customHeight="1" x14ac:dyDescent="0.25">
      <c r="A869" s="333"/>
      <c r="C869" s="360"/>
      <c r="D869" s="361"/>
      <c r="E869" s="333"/>
      <c r="F869" s="333"/>
      <c r="G869" s="333"/>
      <c r="H869" s="333"/>
      <c r="K869" s="362"/>
      <c r="S869" s="333"/>
    </row>
    <row r="870" spans="1:19" ht="15.75" customHeight="1" x14ac:dyDescent="0.25">
      <c r="A870" s="333"/>
      <c r="C870" s="360"/>
      <c r="D870" s="361"/>
      <c r="E870" s="333"/>
      <c r="F870" s="333"/>
      <c r="G870" s="333"/>
      <c r="H870" s="333"/>
      <c r="K870" s="362"/>
      <c r="S870" s="333"/>
    </row>
    <row r="871" spans="1:19" ht="15.75" customHeight="1" x14ac:dyDescent="0.25">
      <c r="A871" s="333"/>
      <c r="C871" s="360"/>
      <c r="D871" s="361"/>
      <c r="E871" s="333"/>
      <c r="F871" s="333"/>
      <c r="G871" s="333"/>
      <c r="H871" s="333"/>
      <c r="K871" s="362"/>
      <c r="S871" s="333"/>
    </row>
    <row r="872" spans="1:19" ht="15.75" customHeight="1" x14ac:dyDescent="0.25">
      <c r="A872" s="333"/>
      <c r="C872" s="360"/>
      <c r="D872" s="361"/>
      <c r="E872" s="333"/>
      <c r="F872" s="333"/>
      <c r="G872" s="333"/>
      <c r="H872" s="333"/>
      <c r="K872" s="362"/>
      <c r="S872" s="333"/>
    </row>
    <row r="873" spans="1:19" ht="15.75" customHeight="1" x14ac:dyDescent="0.25">
      <c r="A873" s="333"/>
      <c r="C873" s="360"/>
      <c r="D873" s="361"/>
      <c r="E873" s="333"/>
      <c r="F873" s="333"/>
      <c r="G873" s="333"/>
      <c r="H873" s="333"/>
      <c r="K873" s="362"/>
      <c r="S873" s="333"/>
    </row>
    <row r="874" spans="1:19" ht="15.75" customHeight="1" x14ac:dyDescent="0.25">
      <c r="A874" s="333"/>
      <c r="C874" s="360"/>
      <c r="D874" s="361"/>
      <c r="E874" s="333"/>
      <c r="F874" s="333"/>
      <c r="G874" s="333"/>
      <c r="H874" s="333"/>
      <c r="K874" s="362"/>
      <c r="S874" s="333"/>
    </row>
    <row r="875" spans="1:19" ht="15.75" customHeight="1" x14ac:dyDescent="0.25">
      <c r="A875" s="333"/>
      <c r="C875" s="360"/>
      <c r="D875" s="361"/>
      <c r="E875" s="333"/>
      <c r="F875" s="333"/>
      <c r="G875" s="333"/>
      <c r="H875" s="333"/>
      <c r="K875" s="362"/>
      <c r="S875" s="333"/>
    </row>
    <row r="876" spans="1:19" ht="15.75" customHeight="1" x14ac:dyDescent="0.25">
      <c r="A876" s="333"/>
      <c r="C876" s="360"/>
      <c r="D876" s="361"/>
      <c r="E876" s="333"/>
      <c r="F876" s="333"/>
      <c r="G876" s="333"/>
      <c r="H876" s="333"/>
      <c r="K876" s="362"/>
      <c r="S876" s="333"/>
    </row>
    <row r="877" spans="1:19" ht="15.75" customHeight="1" x14ac:dyDescent="0.25">
      <c r="A877" s="333"/>
      <c r="C877" s="360"/>
      <c r="D877" s="361"/>
      <c r="E877" s="333"/>
      <c r="F877" s="333"/>
      <c r="G877" s="333"/>
      <c r="H877" s="333"/>
      <c r="K877" s="362"/>
      <c r="S877" s="333"/>
    </row>
    <row r="878" spans="1:19" ht="15.75" customHeight="1" x14ac:dyDescent="0.25">
      <c r="A878" s="333"/>
      <c r="C878" s="360"/>
      <c r="D878" s="361"/>
      <c r="E878" s="333"/>
      <c r="F878" s="333"/>
      <c r="G878" s="333"/>
      <c r="H878" s="333"/>
      <c r="K878" s="362"/>
      <c r="S878" s="333"/>
    </row>
    <row r="879" spans="1:19" ht="15.75" customHeight="1" x14ac:dyDescent="0.25">
      <c r="A879" s="333"/>
      <c r="C879" s="360"/>
      <c r="D879" s="361"/>
      <c r="E879" s="333"/>
      <c r="F879" s="333"/>
      <c r="G879" s="333"/>
      <c r="H879" s="333"/>
      <c r="K879" s="362"/>
      <c r="S879" s="333"/>
    </row>
    <row r="880" spans="1:19" ht="15.75" customHeight="1" x14ac:dyDescent="0.25">
      <c r="A880" s="333"/>
      <c r="C880" s="360"/>
      <c r="D880" s="361"/>
      <c r="E880" s="333"/>
      <c r="F880" s="333"/>
      <c r="G880" s="333"/>
      <c r="H880" s="333"/>
      <c r="K880" s="362"/>
      <c r="S880" s="333"/>
    </row>
    <row r="881" spans="1:19" ht="15.75" customHeight="1" x14ac:dyDescent="0.25">
      <c r="A881" s="333"/>
      <c r="C881" s="360"/>
      <c r="D881" s="361"/>
      <c r="E881" s="333"/>
      <c r="F881" s="333"/>
      <c r="G881" s="333"/>
      <c r="H881" s="333"/>
      <c r="K881" s="362"/>
      <c r="S881" s="333"/>
    </row>
    <row r="882" spans="1:19" ht="15.75" customHeight="1" x14ac:dyDescent="0.25">
      <c r="A882" s="333"/>
      <c r="C882" s="360"/>
      <c r="D882" s="361"/>
      <c r="E882" s="333"/>
      <c r="F882" s="333"/>
      <c r="G882" s="333"/>
      <c r="H882" s="333"/>
      <c r="K882" s="362"/>
      <c r="S882" s="333"/>
    </row>
    <row r="883" spans="1:19" ht="15.75" customHeight="1" x14ac:dyDescent="0.25">
      <c r="A883" s="333"/>
      <c r="C883" s="360"/>
      <c r="D883" s="361"/>
      <c r="E883" s="333"/>
      <c r="F883" s="333"/>
      <c r="G883" s="333"/>
      <c r="H883" s="333"/>
      <c r="K883" s="362"/>
      <c r="S883" s="333"/>
    </row>
    <row r="884" spans="1:19" ht="15.75" customHeight="1" x14ac:dyDescent="0.25">
      <c r="A884" s="333"/>
      <c r="C884" s="360"/>
      <c r="D884" s="361"/>
      <c r="E884" s="333"/>
      <c r="F884" s="333"/>
      <c r="G884" s="333"/>
      <c r="H884" s="333"/>
      <c r="K884" s="362"/>
      <c r="S884" s="333"/>
    </row>
    <row r="885" spans="1:19" ht="15.75" customHeight="1" x14ac:dyDescent="0.25">
      <c r="A885" s="333"/>
      <c r="C885" s="360"/>
      <c r="D885" s="361"/>
      <c r="E885" s="333"/>
      <c r="F885" s="333"/>
      <c r="G885" s="333"/>
      <c r="H885" s="333"/>
      <c r="K885" s="362"/>
      <c r="S885" s="333"/>
    </row>
    <row r="886" spans="1:19" ht="15.75" customHeight="1" x14ac:dyDescent="0.25">
      <c r="A886" s="333"/>
      <c r="C886" s="360"/>
      <c r="D886" s="361"/>
      <c r="E886" s="333"/>
      <c r="F886" s="333"/>
      <c r="G886" s="333"/>
      <c r="H886" s="333"/>
      <c r="K886" s="362"/>
      <c r="S886" s="333"/>
    </row>
    <row r="887" spans="1:19" ht="15.75" customHeight="1" x14ac:dyDescent="0.25">
      <c r="A887" s="333"/>
      <c r="C887" s="360"/>
      <c r="D887" s="361"/>
      <c r="E887" s="333"/>
      <c r="F887" s="333"/>
      <c r="G887" s="333"/>
      <c r="H887" s="333"/>
      <c r="K887" s="362"/>
      <c r="S887" s="333"/>
    </row>
    <row r="888" spans="1:19" ht="15.75" customHeight="1" x14ac:dyDescent="0.25">
      <c r="A888" s="333"/>
      <c r="C888" s="360"/>
      <c r="D888" s="361"/>
      <c r="E888" s="333"/>
      <c r="F888" s="333"/>
      <c r="G888" s="333"/>
      <c r="H888" s="333"/>
      <c r="K888" s="362"/>
      <c r="S888" s="333"/>
    </row>
    <row r="889" spans="1:19" ht="15.75" customHeight="1" x14ac:dyDescent="0.25">
      <c r="A889" s="333"/>
      <c r="C889" s="360"/>
      <c r="D889" s="361"/>
      <c r="E889" s="333"/>
      <c r="F889" s="333"/>
      <c r="G889" s="333"/>
      <c r="H889" s="333"/>
      <c r="K889" s="362"/>
      <c r="S889" s="333"/>
    </row>
    <row r="890" spans="1:19" ht="15.75" customHeight="1" x14ac:dyDescent="0.25">
      <c r="A890" s="333"/>
      <c r="C890" s="360"/>
      <c r="D890" s="361"/>
      <c r="E890" s="333"/>
      <c r="F890" s="333"/>
      <c r="G890" s="333"/>
      <c r="H890" s="333"/>
      <c r="K890" s="362"/>
      <c r="S890" s="333"/>
    </row>
    <row r="891" spans="1:19" ht="15.75" customHeight="1" x14ac:dyDescent="0.25">
      <c r="A891" s="333"/>
      <c r="C891" s="360"/>
      <c r="D891" s="361"/>
      <c r="E891" s="333"/>
      <c r="F891" s="333"/>
      <c r="G891" s="333"/>
      <c r="H891" s="333"/>
      <c r="K891" s="362"/>
      <c r="S891" s="333"/>
    </row>
    <row r="892" spans="1:19" ht="15.75" customHeight="1" x14ac:dyDescent="0.25">
      <c r="A892" s="333"/>
      <c r="C892" s="360"/>
      <c r="D892" s="361"/>
      <c r="E892" s="333"/>
      <c r="F892" s="333"/>
      <c r="G892" s="333"/>
      <c r="H892" s="333"/>
      <c r="K892" s="362"/>
      <c r="S892" s="333"/>
    </row>
    <row r="893" spans="1:19" ht="15.75" customHeight="1" x14ac:dyDescent="0.25">
      <c r="A893" s="333"/>
      <c r="C893" s="360"/>
      <c r="D893" s="361"/>
      <c r="E893" s="333"/>
      <c r="F893" s="333"/>
      <c r="G893" s="333"/>
      <c r="H893" s="333"/>
      <c r="K893" s="362"/>
      <c r="S893" s="333"/>
    </row>
    <row r="894" spans="1:19" ht="15.75" customHeight="1" x14ac:dyDescent="0.25">
      <c r="A894" s="333"/>
      <c r="C894" s="360"/>
      <c r="D894" s="361"/>
      <c r="E894" s="333"/>
      <c r="F894" s="333"/>
      <c r="G894" s="333"/>
      <c r="H894" s="333"/>
      <c r="K894" s="362"/>
      <c r="S894" s="333"/>
    </row>
    <row r="895" spans="1:19" ht="15.75" customHeight="1" x14ac:dyDescent="0.25">
      <c r="A895" s="333"/>
      <c r="C895" s="360"/>
      <c r="D895" s="361"/>
      <c r="E895" s="333"/>
      <c r="F895" s="333"/>
      <c r="G895" s="333"/>
      <c r="H895" s="333"/>
      <c r="K895" s="362"/>
      <c r="S895" s="333"/>
    </row>
    <row r="896" spans="1:19" ht="15.75" customHeight="1" x14ac:dyDescent="0.25">
      <c r="A896" s="333"/>
      <c r="C896" s="360"/>
      <c r="D896" s="361"/>
      <c r="E896" s="333"/>
      <c r="F896" s="333"/>
      <c r="G896" s="333"/>
      <c r="H896" s="333"/>
      <c r="K896" s="362"/>
      <c r="S896" s="333"/>
    </row>
    <row r="897" spans="1:19" ht="15.75" customHeight="1" x14ac:dyDescent="0.25">
      <c r="A897" s="333"/>
      <c r="C897" s="360"/>
      <c r="D897" s="361"/>
      <c r="E897" s="333"/>
      <c r="F897" s="333"/>
      <c r="G897" s="333"/>
      <c r="H897" s="333"/>
      <c r="K897" s="362"/>
      <c r="S897" s="333"/>
    </row>
    <row r="898" spans="1:19" ht="15.75" customHeight="1" x14ac:dyDescent="0.25">
      <c r="A898" s="333"/>
      <c r="C898" s="360"/>
      <c r="D898" s="361"/>
      <c r="E898" s="333"/>
      <c r="F898" s="333"/>
      <c r="G898" s="333"/>
      <c r="H898" s="333"/>
      <c r="K898" s="362"/>
      <c r="S898" s="333"/>
    </row>
    <row r="899" spans="1:19" ht="15.75" customHeight="1" x14ac:dyDescent="0.25">
      <c r="A899" s="333"/>
      <c r="C899" s="360"/>
      <c r="D899" s="361"/>
      <c r="E899" s="333"/>
      <c r="F899" s="333"/>
      <c r="G899" s="333"/>
      <c r="H899" s="333"/>
      <c r="K899" s="362"/>
      <c r="S899" s="333"/>
    </row>
    <row r="900" spans="1:19" ht="15.75" customHeight="1" x14ac:dyDescent="0.25">
      <c r="A900" s="333"/>
      <c r="C900" s="360"/>
      <c r="D900" s="361"/>
      <c r="E900" s="333"/>
      <c r="F900" s="333"/>
      <c r="G900" s="333"/>
      <c r="H900" s="333"/>
      <c r="K900" s="362"/>
      <c r="S900" s="333"/>
    </row>
    <row r="901" spans="1:19" ht="15.75" customHeight="1" x14ac:dyDescent="0.25">
      <c r="A901" s="333"/>
      <c r="C901" s="360"/>
      <c r="D901" s="361"/>
      <c r="E901" s="333"/>
      <c r="F901" s="333"/>
      <c r="G901" s="333"/>
      <c r="H901" s="333"/>
      <c r="K901" s="362"/>
      <c r="S901" s="333"/>
    </row>
    <row r="902" spans="1:19" ht="15.75" customHeight="1" x14ac:dyDescent="0.25">
      <c r="A902" s="333"/>
      <c r="C902" s="360"/>
      <c r="D902" s="361"/>
      <c r="E902" s="333"/>
      <c r="F902" s="333"/>
      <c r="G902" s="333"/>
      <c r="H902" s="333"/>
      <c r="K902" s="362"/>
      <c r="S902" s="333"/>
    </row>
    <row r="903" spans="1:19" ht="15.75" customHeight="1" x14ac:dyDescent="0.25">
      <c r="A903" s="333"/>
      <c r="C903" s="360"/>
      <c r="D903" s="361"/>
      <c r="E903" s="333"/>
      <c r="F903" s="333"/>
      <c r="G903" s="333"/>
      <c r="H903" s="333"/>
      <c r="K903" s="362"/>
      <c r="S903" s="333"/>
    </row>
    <row r="904" spans="1:19" ht="15.75" customHeight="1" x14ac:dyDescent="0.25">
      <c r="A904" s="333"/>
      <c r="C904" s="360"/>
      <c r="D904" s="361"/>
      <c r="E904" s="333"/>
      <c r="F904" s="333"/>
      <c r="G904" s="333"/>
      <c r="H904" s="333"/>
      <c r="K904" s="362"/>
      <c r="S904" s="333"/>
    </row>
    <row r="905" spans="1:19" ht="15.75" customHeight="1" x14ac:dyDescent="0.25">
      <c r="A905" s="333"/>
      <c r="C905" s="360"/>
      <c r="D905" s="361"/>
      <c r="E905" s="333"/>
      <c r="F905" s="333"/>
      <c r="G905" s="333"/>
      <c r="H905" s="333"/>
      <c r="K905" s="362"/>
      <c r="S905" s="333"/>
    </row>
    <row r="906" spans="1:19" ht="15.75" customHeight="1" x14ac:dyDescent="0.25">
      <c r="A906" s="333"/>
      <c r="C906" s="360"/>
      <c r="D906" s="361"/>
      <c r="E906" s="333"/>
      <c r="F906" s="333"/>
      <c r="G906" s="333"/>
      <c r="H906" s="333"/>
      <c r="K906" s="362"/>
      <c r="S906" s="333"/>
    </row>
    <row r="907" spans="1:19" ht="15.75" customHeight="1" x14ac:dyDescent="0.25">
      <c r="A907" s="333"/>
      <c r="C907" s="360"/>
      <c r="D907" s="361"/>
      <c r="E907" s="333"/>
      <c r="F907" s="333"/>
      <c r="G907" s="333"/>
      <c r="H907" s="333"/>
      <c r="K907" s="362"/>
      <c r="S907" s="333"/>
    </row>
    <row r="908" spans="1:19" ht="15.75" customHeight="1" x14ac:dyDescent="0.25">
      <c r="A908" s="333"/>
      <c r="C908" s="360"/>
      <c r="D908" s="361"/>
      <c r="E908" s="333"/>
      <c r="F908" s="333"/>
      <c r="G908" s="333"/>
      <c r="H908" s="333"/>
      <c r="K908" s="362"/>
      <c r="S908" s="333"/>
    </row>
    <row r="909" spans="1:19" ht="15.75" customHeight="1" x14ac:dyDescent="0.25">
      <c r="A909" s="333"/>
      <c r="C909" s="360"/>
      <c r="D909" s="361"/>
      <c r="E909" s="333"/>
      <c r="F909" s="333"/>
      <c r="G909" s="333"/>
      <c r="H909" s="333"/>
      <c r="K909" s="362"/>
      <c r="S909" s="333"/>
    </row>
    <row r="910" spans="1:19" ht="15.75" customHeight="1" x14ac:dyDescent="0.25">
      <c r="A910" s="333"/>
      <c r="C910" s="360"/>
      <c r="D910" s="361"/>
      <c r="E910" s="333"/>
      <c r="F910" s="333"/>
      <c r="G910" s="333"/>
      <c r="H910" s="333"/>
      <c r="K910" s="362"/>
      <c r="S910" s="333"/>
    </row>
    <row r="911" spans="1:19" ht="15.75" customHeight="1" x14ac:dyDescent="0.25">
      <c r="A911" s="333"/>
      <c r="C911" s="360"/>
      <c r="D911" s="361"/>
      <c r="E911" s="333"/>
      <c r="F911" s="333"/>
      <c r="G911" s="333"/>
      <c r="H911" s="333"/>
      <c r="K911" s="362"/>
      <c r="S911" s="333"/>
    </row>
    <row r="912" spans="1:19" ht="15.75" customHeight="1" x14ac:dyDescent="0.25">
      <c r="A912" s="333"/>
      <c r="C912" s="360"/>
      <c r="D912" s="361"/>
      <c r="E912" s="333"/>
      <c r="F912" s="333"/>
      <c r="G912" s="333"/>
      <c r="H912" s="333"/>
      <c r="K912" s="362"/>
      <c r="S912" s="333"/>
    </row>
    <row r="913" spans="1:19" ht="15.75" customHeight="1" x14ac:dyDescent="0.25">
      <c r="A913" s="333"/>
      <c r="C913" s="360"/>
      <c r="D913" s="361"/>
      <c r="E913" s="333"/>
      <c r="F913" s="333"/>
      <c r="G913" s="333"/>
      <c r="H913" s="333"/>
      <c r="K913" s="362"/>
      <c r="S913" s="333"/>
    </row>
    <row r="914" spans="1:19" ht="15.75" customHeight="1" x14ac:dyDescent="0.25">
      <c r="A914" s="333"/>
      <c r="C914" s="360"/>
      <c r="D914" s="361"/>
      <c r="E914" s="333"/>
      <c r="F914" s="333"/>
      <c r="G914" s="333"/>
      <c r="H914" s="333"/>
      <c r="K914" s="362"/>
      <c r="S914" s="333"/>
    </row>
    <row r="915" spans="1:19" ht="15.75" customHeight="1" x14ac:dyDescent="0.25">
      <c r="A915" s="333"/>
      <c r="C915" s="360"/>
      <c r="D915" s="361"/>
      <c r="E915" s="333"/>
      <c r="F915" s="333"/>
      <c r="G915" s="333"/>
      <c r="H915" s="333"/>
      <c r="K915" s="362"/>
      <c r="S915" s="333"/>
    </row>
    <row r="916" spans="1:19" ht="15.75" customHeight="1" x14ac:dyDescent="0.25">
      <c r="A916" s="333"/>
      <c r="C916" s="360"/>
      <c r="D916" s="361"/>
      <c r="E916" s="333"/>
      <c r="F916" s="333"/>
      <c r="G916" s="333"/>
      <c r="H916" s="333"/>
      <c r="K916" s="362"/>
      <c r="S916" s="333"/>
    </row>
    <row r="917" spans="1:19" ht="15.75" customHeight="1" x14ac:dyDescent="0.25">
      <c r="A917" s="333"/>
      <c r="C917" s="360"/>
      <c r="D917" s="361"/>
      <c r="E917" s="333"/>
      <c r="F917" s="333"/>
      <c r="G917" s="333"/>
      <c r="H917" s="333"/>
      <c r="K917" s="362"/>
      <c r="S917" s="333"/>
    </row>
    <row r="918" spans="1:19" ht="15.75" customHeight="1" x14ac:dyDescent="0.25">
      <c r="A918" s="333"/>
      <c r="C918" s="360"/>
      <c r="D918" s="361"/>
      <c r="E918" s="333"/>
      <c r="F918" s="333"/>
      <c r="G918" s="333"/>
      <c r="H918" s="333"/>
      <c r="K918" s="362"/>
      <c r="S918" s="333"/>
    </row>
    <row r="919" spans="1:19" ht="15.75" customHeight="1" x14ac:dyDescent="0.25">
      <c r="A919" s="333"/>
      <c r="C919" s="360"/>
      <c r="D919" s="361"/>
      <c r="E919" s="333"/>
      <c r="F919" s="333"/>
      <c r="G919" s="333"/>
      <c r="H919" s="333"/>
      <c r="K919" s="362"/>
      <c r="S919" s="333"/>
    </row>
    <row r="920" spans="1:19" ht="15.75" customHeight="1" x14ac:dyDescent="0.25">
      <c r="A920" s="333"/>
      <c r="C920" s="360"/>
      <c r="D920" s="361"/>
      <c r="E920" s="333"/>
      <c r="F920" s="333"/>
      <c r="G920" s="333"/>
      <c r="H920" s="333"/>
      <c r="K920" s="362"/>
      <c r="S920" s="333"/>
    </row>
    <row r="921" spans="1:19" ht="15.75" customHeight="1" x14ac:dyDescent="0.25">
      <c r="A921" s="333"/>
      <c r="C921" s="360"/>
      <c r="D921" s="361"/>
      <c r="E921" s="333"/>
      <c r="F921" s="333"/>
      <c r="G921" s="333"/>
      <c r="H921" s="333"/>
      <c r="K921" s="362"/>
      <c r="S921" s="333"/>
    </row>
    <row r="922" spans="1:19" ht="15.75" customHeight="1" x14ac:dyDescent="0.25">
      <c r="A922" s="333"/>
      <c r="C922" s="360"/>
      <c r="D922" s="361"/>
      <c r="E922" s="333"/>
      <c r="F922" s="333"/>
      <c r="G922" s="333"/>
      <c r="H922" s="333"/>
      <c r="K922" s="362"/>
      <c r="S922" s="333"/>
    </row>
    <row r="923" spans="1:19" ht="15.75" customHeight="1" x14ac:dyDescent="0.25">
      <c r="A923" s="333"/>
      <c r="C923" s="360"/>
      <c r="D923" s="361"/>
      <c r="E923" s="333"/>
      <c r="F923" s="333"/>
      <c r="G923" s="333"/>
      <c r="H923" s="333"/>
      <c r="K923" s="362"/>
      <c r="S923" s="333"/>
    </row>
    <row r="924" spans="1:19" ht="15.75" customHeight="1" x14ac:dyDescent="0.25">
      <c r="A924" s="333"/>
      <c r="C924" s="360"/>
      <c r="D924" s="361"/>
      <c r="E924" s="333"/>
      <c r="F924" s="333"/>
      <c r="G924" s="333"/>
      <c r="H924" s="333"/>
      <c r="K924" s="362"/>
      <c r="S924" s="333"/>
    </row>
    <row r="925" spans="1:19" ht="15.75" customHeight="1" x14ac:dyDescent="0.25">
      <c r="A925" s="333"/>
      <c r="C925" s="360"/>
      <c r="D925" s="361"/>
      <c r="E925" s="333"/>
      <c r="F925" s="333"/>
      <c r="G925" s="333"/>
      <c r="H925" s="333"/>
      <c r="K925" s="362"/>
      <c r="S925" s="333"/>
    </row>
    <row r="926" spans="1:19" ht="15.75" customHeight="1" x14ac:dyDescent="0.25">
      <c r="A926" s="333"/>
      <c r="C926" s="360"/>
      <c r="D926" s="361"/>
      <c r="E926" s="333"/>
      <c r="F926" s="333"/>
      <c r="G926" s="333"/>
      <c r="H926" s="333"/>
      <c r="K926" s="362"/>
      <c r="S926" s="333"/>
    </row>
    <row r="927" spans="1:19" ht="15.75" customHeight="1" x14ac:dyDescent="0.25">
      <c r="A927" s="333"/>
      <c r="C927" s="360"/>
      <c r="D927" s="361"/>
      <c r="E927" s="333"/>
      <c r="F927" s="333"/>
      <c r="G927" s="333"/>
      <c r="H927" s="333"/>
      <c r="K927" s="362"/>
      <c r="S927" s="333"/>
    </row>
    <row r="928" spans="1:19" ht="15.75" customHeight="1" x14ac:dyDescent="0.25">
      <c r="A928" s="333"/>
      <c r="C928" s="360"/>
      <c r="D928" s="361"/>
      <c r="E928" s="333"/>
      <c r="F928" s="333"/>
      <c r="G928" s="333"/>
      <c r="H928" s="333"/>
      <c r="K928" s="362"/>
      <c r="S928" s="333"/>
    </row>
    <row r="929" spans="1:19" ht="15.75" customHeight="1" x14ac:dyDescent="0.25">
      <c r="A929" s="333"/>
      <c r="C929" s="360"/>
      <c r="D929" s="361"/>
      <c r="E929" s="333"/>
      <c r="F929" s="333"/>
      <c r="G929" s="333"/>
      <c r="H929" s="333"/>
      <c r="K929" s="362"/>
      <c r="S929" s="333"/>
    </row>
    <row r="930" spans="1:19" ht="15.75" customHeight="1" x14ac:dyDescent="0.25">
      <c r="A930" s="333"/>
      <c r="C930" s="360"/>
      <c r="D930" s="361"/>
      <c r="E930" s="333"/>
      <c r="F930" s="333"/>
      <c r="G930" s="333"/>
      <c r="H930" s="333"/>
      <c r="K930" s="362"/>
      <c r="S930" s="333"/>
    </row>
    <row r="931" spans="1:19" ht="15.75" customHeight="1" x14ac:dyDescent="0.25">
      <c r="A931" s="333"/>
      <c r="C931" s="360"/>
      <c r="D931" s="361"/>
      <c r="E931" s="333"/>
      <c r="F931" s="333"/>
      <c r="G931" s="333"/>
      <c r="H931" s="333"/>
      <c r="K931" s="362"/>
      <c r="S931" s="333"/>
    </row>
    <row r="932" spans="1:19" ht="15.75" customHeight="1" x14ac:dyDescent="0.25">
      <c r="A932" s="333"/>
      <c r="C932" s="360"/>
      <c r="D932" s="361"/>
      <c r="E932" s="333"/>
      <c r="F932" s="333"/>
      <c r="G932" s="333"/>
      <c r="H932" s="333"/>
      <c r="K932" s="362"/>
      <c r="S932" s="333"/>
    </row>
    <row r="933" spans="1:19" ht="15.75" customHeight="1" x14ac:dyDescent="0.25">
      <c r="A933" s="333"/>
      <c r="C933" s="360"/>
      <c r="D933" s="361"/>
      <c r="E933" s="333"/>
      <c r="F933" s="333"/>
      <c r="G933" s="333"/>
      <c r="H933" s="333"/>
      <c r="K933" s="362"/>
      <c r="S933" s="333"/>
    </row>
    <row r="934" spans="1:19" ht="15.75" customHeight="1" x14ac:dyDescent="0.25">
      <c r="A934" s="333"/>
      <c r="C934" s="360"/>
      <c r="D934" s="361"/>
      <c r="E934" s="333"/>
      <c r="F934" s="333"/>
      <c r="G934" s="333"/>
      <c r="H934" s="333"/>
      <c r="K934" s="362"/>
      <c r="S934" s="333"/>
    </row>
    <row r="935" spans="1:19" ht="15.75" customHeight="1" x14ac:dyDescent="0.25">
      <c r="A935" s="333"/>
      <c r="C935" s="360"/>
      <c r="D935" s="361"/>
      <c r="E935" s="333"/>
      <c r="F935" s="333"/>
      <c r="G935" s="333"/>
      <c r="H935" s="333"/>
      <c r="K935" s="362"/>
      <c r="S935" s="333"/>
    </row>
    <row r="936" spans="1:19" ht="15.75" customHeight="1" x14ac:dyDescent="0.25">
      <c r="A936" s="333"/>
      <c r="C936" s="360"/>
      <c r="D936" s="361"/>
      <c r="E936" s="333"/>
      <c r="F936" s="333"/>
      <c r="G936" s="333"/>
      <c r="H936" s="333"/>
      <c r="K936" s="362"/>
      <c r="S936" s="333"/>
    </row>
    <row r="937" spans="1:19" ht="15.75" customHeight="1" x14ac:dyDescent="0.25">
      <c r="A937" s="333"/>
      <c r="C937" s="360"/>
      <c r="D937" s="361"/>
      <c r="E937" s="333"/>
      <c r="F937" s="333"/>
      <c r="G937" s="333"/>
      <c r="H937" s="333"/>
      <c r="K937" s="362"/>
      <c r="S937" s="333"/>
    </row>
    <row r="938" spans="1:19" ht="15.75" customHeight="1" x14ac:dyDescent="0.25">
      <c r="A938" s="333"/>
      <c r="C938" s="360"/>
      <c r="D938" s="361"/>
      <c r="E938" s="333"/>
      <c r="F938" s="333"/>
      <c r="G938" s="333"/>
      <c r="H938" s="333"/>
      <c r="K938" s="362"/>
      <c r="S938" s="333"/>
    </row>
    <row r="939" spans="1:19" ht="15.75" customHeight="1" x14ac:dyDescent="0.25">
      <c r="A939" s="333"/>
      <c r="C939" s="360"/>
      <c r="D939" s="361"/>
      <c r="E939" s="333"/>
      <c r="F939" s="333"/>
      <c r="G939" s="333"/>
      <c r="H939" s="333"/>
      <c r="K939" s="362"/>
      <c r="S939" s="333"/>
    </row>
    <row r="940" spans="1:19" ht="15.75" customHeight="1" x14ac:dyDescent="0.25">
      <c r="A940" s="333"/>
      <c r="C940" s="360"/>
      <c r="D940" s="361"/>
      <c r="E940" s="333"/>
      <c r="F940" s="333"/>
      <c r="G940" s="333"/>
      <c r="H940" s="333"/>
      <c r="K940" s="362"/>
      <c r="S940" s="333"/>
    </row>
    <row r="941" spans="1:19" ht="15.75" customHeight="1" x14ac:dyDescent="0.25">
      <c r="A941" s="333"/>
      <c r="C941" s="360"/>
      <c r="D941" s="361"/>
      <c r="E941" s="333"/>
      <c r="F941" s="333"/>
      <c r="G941" s="333"/>
      <c r="H941" s="333"/>
      <c r="K941" s="362"/>
      <c r="S941" s="333"/>
    </row>
    <row r="942" spans="1:19" ht="15.75" customHeight="1" x14ac:dyDescent="0.25">
      <c r="A942" s="333"/>
      <c r="C942" s="360"/>
      <c r="D942" s="361"/>
      <c r="E942" s="333"/>
      <c r="F942" s="333"/>
      <c r="G942" s="333"/>
      <c r="H942" s="333"/>
      <c r="K942" s="362"/>
      <c r="S942" s="333"/>
    </row>
    <row r="943" spans="1:19" ht="15.75" customHeight="1" x14ac:dyDescent="0.25">
      <c r="A943" s="333"/>
      <c r="C943" s="360"/>
      <c r="D943" s="361"/>
      <c r="E943" s="333"/>
      <c r="F943" s="333"/>
      <c r="G943" s="333"/>
      <c r="H943" s="333"/>
      <c r="K943" s="362"/>
      <c r="S943" s="333"/>
    </row>
    <row r="944" spans="1:19" ht="15.75" customHeight="1" x14ac:dyDescent="0.25">
      <c r="A944" s="333"/>
      <c r="C944" s="360"/>
      <c r="D944" s="361"/>
      <c r="E944" s="333"/>
      <c r="F944" s="333"/>
      <c r="G944" s="333"/>
      <c r="H944" s="333"/>
      <c r="K944" s="362"/>
      <c r="S944" s="333"/>
    </row>
    <row r="945" spans="1:19" ht="15.75" customHeight="1" x14ac:dyDescent="0.25">
      <c r="A945" s="333"/>
      <c r="C945" s="360"/>
      <c r="D945" s="361"/>
      <c r="E945" s="333"/>
      <c r="F945" s="333"/>
      <c r="G945" s="333"/>
      <c r="H945" s="333"/>
      <c r="K945" s="362"/>
      <c r="S945" s="333"/>
    </row>
    <row r="946" spans="1:19" ht="15.75" customHeight="1" x14ac:dyDescent="0.25">
      <c r="A946" s="333"/>
      <c r="C946" s="360"/>
      <c r="D946" s="361"/>
      <c r="E946" s="333"/>
      <c r="F946" s="333"/>
      <c r="G946" s="333"/>
      <c r="H946" s="333"/>
      <c r="K946" s="362"/>
      <c r="S946" s="333"/>
    </row>
    <row r="947" spans="1:19" ht="15.75" customHeight="1" x14ac:dyDescent="0.25">
      <c r="A947" s="333"/>
      <c r="C947" s="360"/>
      <c r="D947" s="361"/>
      <c r="E947" s="333"/>
      <c r="F947" s="333"/>
      <c r="G947" s="333"/>
      <c r="H947" s="333"/>
      <c r="K947" s="362"/>
      <c r="S947" s="333"/>
    </row>
    <row r="948" spans="1:19" ht="15.75" customHeight="1" x14ac:dyDescent="0.25">
      <c r="A948" s="333"/>
      <c r="C948" s="360"/>
      <c r="D948" s="361"/>
      <c r="E948" s="333"/>
      <c r="F948" s="333"/>
      <c r="G948" s="333"/>
      <c r="H948" s="333"/>
      <c r="K948" s="362"/>
      <c r="S948" s="333"/>
    </row>
    <row r="949" spans="1:19" ht="15.75" customHeight="1" x14ac:dyDescent="0.25">
      <c r="A949" s="333"/>
      <c r="C949" s="360"/>
      <c r="D949" s="361"/>
      <c r="E949" s="333"/>
      <c r="F949" s="333"/>
      <c r="G949" s="333"/>
      <c r="H949" s="333"/>
      <c r="K949" s="362"/>
      <c r="S949" s="333"/>
    </row>
    <row r="950" spans="1:19" ht="15.75" customHeight="1" x14ac:dyDescent="0.25">
      <c r="A950" s="333"/>
      <c r="C950" s="360"/>
      <c r="D950" s="361"/>
      <c r="E950" s="333"/>
      <c r="F950" s="333"/>
      <c r="G950" s="333"/>
      <c r="H950" s="333"/>
      <c r="K950" s="362"/>
      <c r="S950" s="333"/>
    </row>
    <row r="951" spans="1:19" ht="15.75" customHeight="1" x14ac:dyDescent="0.25">
      <c r="A951" s="333"/>
      <c r="C951" s="360"/>
      <c r="D951" s="361"/>
      <c r="E951" s="333"/>
      <c r="F951" s="333"/>
      <c r="G951" s="333"/>
      <c r="H951" s="333"/>
      <c r="K951" s="362"/>
      <c r="S951" s="333"/>
    </row>
    <row r="952" spans="1:19" ht="15.75" customHeight="1" x14ac:dyDescent="0.25">
      <c r="A952" s="333"/>
      <c r="C952" s="360"/>
      <c r="D952" s="361"/>
      <c r="E952" s="333"/>
      <c r="F952" s="333"/>
      <c r="G952" s="333"/>
      <c r="H952" s="333"/>
      <c r="K952" s="362"/>
      <c r="S952" s="333"/>
    </row>
    <row r="953" spans="1:19" ht="15.75" customHeight="1" x14ac:dyDescent="0.25">
      <c r="A953" s="333"/>
      <c r="C953" s="360"/>
      <c r="D953" s="361"/>
      <c r="E953" s="333"/>
      <c r="F953" s="333"/>
      <c r="G953" s="333"/>
      <c r="H953" s="333"/>
      <c r="K953" s="362"/>
      <c r="S953" s="333"/>
    </row>
    <row r="954" spans="1:19" ht="15.75" customHeight="1" x14ac:dyDescent="0.25">
      <c r="A954" s="333"/>
      <c r="C954" s="360"/>
      <c r="D954" s="361"/>
      <c r="E954" s="333"/>
      <c r="F954" s="333"/>
      <c r="G954" s="333"/>
      <c r="H954" s="333"/>
      <c r="K954" s="362"/>
      <c r="S954" s="333"/>
    </row>
    <row r="955" spans="1:19" ht="15.75" customHeight="1" x14ac:dyDescent="0.25">
      <c r="A955" s="333"/>
      <c r="C955" s="360"/>
      <c r="D955" s="361"/>
      <c r="E955" s="333"/>
      <c r="F955" s="333"/>
      <c r="G955" s="333"/>
      <c r="H955" s="333"/>
      <c r="K955" s="362"/>
      <c r="S955" s="333"/>
    </row>
    <row r="956" spans="1:19" ht="15.75" customHeight="1" x14ac:dyDescent="0.25">
      <c r="A956" s="333"/>
      <c r="C956" s="360"/>
      <c r="D956" s="361"/>
      <c r="E956" s="333"/>
      <c r="F956" s="333"/>
      <c r="G956" s="333"/>
      <c r="H956" s="333"/>
      <c r="K956" s="362"/>
      <c r="S956" s="333"/>
    </row>
    <row r="957" spans="1:19" ht="15.75" customHeight="1" x14ac:dyDescent="0.25">
      <c r="A957" s="333"/>
      <c r="C957" s="360"/>
      <c r="D957" s="361"/>
      <c r="E957" s="333"/>
      <c r="F957" s="333"/>
      <c r="G957" s="333"/>
      <c r="H957" s="333"/>
      <c r="K957" s="362"/>
      <c r="S957" s="333"/>
    </row>
    <row r="958" spans="1:19" ht="15.75" customHeight="1" x14ac:dyDescent="0.25">
      <c r="A958" s="333"/>
      <c r="C958" s="360"/>
      <c r="D958" s="361"/>
      <c r="E958" s="333"/>
      <c r="F958" s="333"/>
      <c r="G958" s="333"/>
      <c r="H958" s="333"/>
      <c r="K958" s="362"/>
      <c r="S958" s="333"/>
    </row>
    <row r="959" spans="1:19" ht="15.75" customHeight="1" x14ac:dyDescent="0.25">
      <c r="A959" s="333"/>
      <c r="C959" s="360"/>
      <c r="D959" s="361"/>
      <c r="E959" s="333"/>
      <c r="F959" s="333"/>
      <c r="G959" s="333"/>
      <c r="H959" s="333"/>
      <c r="K959" s="362"/>
      <c r="S959" s="333"/>
    </row>
    <row r="960" spans="1:19" ht="15.75" customHeight="1" x14ac:dyDescent="0.25">
      <c r="A960" s="333"/>
      <c r="C960" s="360"/>
      <c r="D960" s="361"/>
      <c r="E960" s="333"/>
      <c r="F960" s="333"/>
      <c r="G960" s="333"/>
      <c r="H960" s="333"/>
      <c r="K960" s="362"/>
      <c r="S960" s="333"/>
    </row>
    <row r="961" spans="1:19" ht="15.75" customHeight="1" x14ac:dyDescent="0.25">
      <c r="A961" s="333"/>
      <c r="C961" s="360"/>
      <c r="D961" s="361"/>
      <c r="E961" s="333"/>
      <c r="F961" s="333"/>
      <c r="G961" s="333"/>
      <c r="H961" s="333"/>
      <c r="K961" s="362"/>
      <c r="S961" s="333"/>
    </row>
    <row r="962" spans="1:19" ht="15.75" customHeight="1" x14ac:dyDescent="0.25">
      <c r="A962" s="333"/>
      <c r="C962" s="360"/>
      <c r="D962" s="361"/>
      <c r="E962" s="333"/>
      <c r="F962" s="333"/>
      <c r="G962" s="333"/>
      <c r="H962" s="333"/>
      <c r="K962" s="362"/>
      <c r="S962" s="333"/>
    </row>
    <row r="963" spans="1:19" ht="15.75" customHeight="1" x14ac:dyDescent="0.25">
      <c r="A963" s="333"/>
      <c r="C963" s="360"/>
      <c r="D963" s="361"/>
      <c r="E963" s="333"/>
      <c r="F963" s="333"/>
      <c r="G963" s="333"/>
      <c r="H963" s="333"/>
      <c r="K963" s="362"/>
      <c r="S963" s="333"/>
    </row>
    <row r="964" spans="1:19" ht="15.75" customHeight="1" x14ac:dyDescent="0.25">
      <c r="A964" s="333"/>
      <c r="C964" s="360"/>
      <c r="D964" s="361"/>
      <c r="E964" s="333"/>
      <c r="F964" s="333"/>
      <c r="G964" s="333"/>
      <c r="H964" s="333"/>
      <c r="K964" s="362"/>
      <c r="S964" s="333"/>
    </row>
    <row r="965" spans="1:19" ht="15.75" customHeight="1" x14ac:dyDescent="0.25">
      <c r="A965" s="333"/>
      <c r="C965" s="360"/>
      <c r="D965" s="361"/>
      <c r="E965" s="333"/>
      <c r="F965" s="333"/>
      <c r="G965" s="333"/>
      <c r="H965" s="333"/>
      <c r="K965" s="362"/>
      <c r="S965" s="333"/>
    </row>
    <row r="966" spans="1:19" ht="15.75" customHeight="1" x14ac:dyDescent="0.25">
      <c r="A966" s="333"/>
      <c r="C966" s="360"/>
      <c r="D966" s="361"/>
      <c r="E966" s="333"/>
      <c r="F966" s="333"/>
      <c r="G966" s="333"/>
      <c r="H966" s="333"/>
      <c r="K966" s="362"/>
      <c r="S966" s="333"/>
    </row>
    <row r="967" spans="1:19" ht="15.75" customHeight="1" x14ac:dyDescent="0.25">
      <c r="A967" s="333"/>
      <c r="C967" s="360"/>
      <c r="D967" s="361"/>
      <c r="E967" s="333"/>
      <c r="F967" s="333"/>
      <c r="G967" s="333"/>
      <c r="H967" s="333"/>
      <c r="K967" s="362"/>
      <c r="S967" s="333"/>
    </row>
    <row r="968" spans="1:19" ht="15.75" customHeight="1" x14ac:dyDescent="0.25">
      <c r="A968" s="333"/>
      <c r="C968" s="360"/>
      <c r="D968" s="361"/>
      <c r="E968" s="333"/>
      <c r="F968" s="333"/>
      <c r="G968" s="333"/>
      <c r="H968" s="333"/>
      <c r="K968" s="362"/>
      <c r="S968" s="333"/>
    </row>
    <row r="969" spans="1:19" ht="15.75" customHeight="1" x14ac:dyDescent="0.25">
      <c r="A969" s="333"/>
      <c r="C969" s="360"/>
      <c r="D969" s="361"/>
      <c r="E969" s="333"/>
      <c r="F969" s="333"/>
      <c r="G969" s="333"/>
      <c r="H969" s="333"/>
      <c r="K969" s="362"/>
      <c r="S969" s="333"/>
    </row>
    <row r="970" spans="1:19" ht="15.75" customHeight="1" x14ac:dyDescent="0.25">
      <c r="A970" s="333"/>
      <c r="C970" s="360"/>
      <c r="D970" s="361"/>
      <c r="E970" s="333"/>
      <c r="F970" s="333"/>
      <c r="G970" s="333"/>
      <c r="H970" s="333"/>
      <c r="K970" s="362"/>
      <c r="S970" s="333"/>
    </row>
    <row r="971" spans="1:19" ht="15.75" customHeight="1" x14ac:dyDescent="0.25">
      <c r="A971" s="333"/>
      <c r="C971" s="360"/>
      <c r="D971" s="361"/>
      <c r="E971" s="333"/>
      <c r="F971" s="333"/>
      <c r="G971" s="333"/>
      <c r="H971" s="333"/>
      <c r="K971" s="362"/>
      <c r="S971" s="333"/>
    </row>
    <row r="972" spans="1:19" ht="15.75" customHeight="1" x14ac:dyDescent="0.25">
      <c r="A972" s="333"/>
      <c r="C972" s="360"/>
      <c r="D972" s="361"/>
      <c r="E972" s="333"/>
      <c r="F972" s="333"/>
      <c r="G972" s="333"/>
      <c r="H972" s="333"/>
      <c r="K972" s="362"/>
      <c r="S972" s="333"/>
    </row>
    <row r="973" spans="1:19" ht="15.75" customHeight="1" x14ac:dyDescent="0.25">
      <c r="A973" s="333"/>
      <c r="C973" s="360"/>
      <c r="D973" s="361"/>
      <c r="E973" s="333"/>
      <c r="F973" s="333"/>
      <c r="G973" s="333"/>
      <c r="H973" s="333"/>
      <c r="K973" s="362"/>
      <c r="S973" s="333"/>
    </row>
    <row r="974" spans="1:19" ht="15.75" customHeight="1" x14ac:dyDescent="0.25">
      <c r="A974" s="333"/>
      <c r="C974" s="360"/>
      <c r="D974" s="361"/>
      <c r="E974" s="333"/>
      <c r="F974" s="333"/>
      <c r="G974" s="333"/>
      <c r="H974" s="333"/>
      <c r="K974" s="362"/>
      <c r="S974" s="333"/>
    </row>
    <row r="975" spans="1:19" ht="15.75" customHeight="1" x14ac:dyDescent="0.25">
      <c r="A975" s="333"/>
      <c r="C975" s="360"/>
      <c r="D975" s="361"/>
      <c r="E975" s="333"/>
      <c r="F975" s="333"/>
      <c r="G975" s="333"/>
      <c r="H975" s="333"/>
      <c r="K975" s="362"/>
      <c r="S975" s="333"/>
    </row>
    <row r="976" spans="1:19" ht="15.75" customHeight="1" x14ac:dyDescent="0.25">
      <c r="A976" s="333"/>
      <c r="C976" s="360"/>
      <c r="D976" s="361"/>
      <c r="E976" s="333"/>
      <c r="F976" s="333"/>
      <c r="G976" s="333"/>
      <c r="H976" s="333"/>
      <c r="K976" s="362"/>
      <c r="S976" s="333"/>
    </row>
    <row r="977" spans="1:19" ht="15.75" customHeight="1" x14ac:dyDescent="0.25">
      <c r="A977" s="333"/>
      <c r="C977" s="360"/>
      <c r="D977" s="361"/>
      <c r="E977" s="333"/>
      <c r="F977" s="333"/>
      <c r="G977" s="333"/>
      <c r="H977" s="333"/>
      <c r="K977" s="362"/>
      <c r="S977" s="333"/>
    </row>
    <row r="978" spans="1:19" ht="15.75" customHeight="1" x14ac:dyDescent="0.25">
      <c r="A978" s="333"/>
      <c r="C978" s="360"/>
      <c r="D978" s="361"/>
      <c r="E978" s="333"/>
      <c r="F978" s="333"/>
      <c r="G978" s="333"/>
      <c r="H978" s="333"/>
      <c r="K978" s="362"/>
      <c r="S978" s="333"/>
    </row>
    <row r="979" spans="1:19" ht="15.75" customHeight="1" x14ac:dyDescent="0.25">
      <c r="A979" s="333"/>
      <c r="C979" s="360"/>
      <c r="D979" s="361"/>
      <c r="E979" s="333"/>
      <c r="F979" s="333"/>
      <c r="G979" s="333"/>
      <c r="H979" s="333"/>
      <c r="K979" s="362"/>
      <c r="S979" s="333"/>
    </row>
    <row r="980" spans="1:19" ht="15.75" customHeight="1" x14ac:dyDescent="0.25">
      <c r="A980" s="333"/>
      <c r="C980" s="360"/>
      <c r="D980" s="361"/>
      <c r="E980" s="333"/>
      <c r="F980" s="333"/>
      <c r="G980" s="333"/>
      <c r="H980" s="333"/>
      <c r="K980" s="362"/>
      <c r="S980" s="333"/>
    </row>
    <row r="981" spans="1:19" ht="15.75" customHeight="1" x14ac:dyDescent="0.25">
      <c r="A981" s="333"/>
      <c r="C981" s="360"/>
      <c r="D981" s="361"/>
      <c r="E981" s="333"/>
      <c r="F981" s="333"/>
      <c r="G981" s="333"/>
      <c r="H981" s="333"/>
      <c r="K981" s="362"/>
      <c r="S981" s="333"/>
    </row>
    <row r="982" spans="1:19" ht="15.75" customHeight="1" x14ac:dyDescent="0.25">
      <c r="A982" s="333"/>
      <c r="C982" s="360"/>
      <c r="D982" s="361"/>
      <c r="E982" s="333"/>
      <c r="F982" s="333"/>
      <c r="G982" s="333"/>
      <c r="H982" s="333"/>
      <c r="K982" s="362"/>
      <c r="S982" s="333"/>
    </row>
    <row r="983" spans="1:19" ht="15.75" customHeight="1" x14ac:dyDescent="0.25">
      <c r="A983" s="333"/>
      <c r="C983" s="360"/>
      <c r="D983" s="361"/>
      <c r="E983" s="333"/>
      <c r="F983" s="333"/>
      <c r="G983" s="333"/>
      <c r="H983" s="333"/>
      <c r="K983" s="362"/>
      <c r="S983" s="333"/>
    </row>
    <row r="984" spans="1:19" ht="15.75" customHeight="1" x14ac:dyDescent="0.25">
      <c r="A984" s="333"/>
      <c r="C984" s="360"/>
      <c r="D984" s="361"/>
      <c r="E984" s="333"/>
      <c r="F984" s="333"/>
      <c r="G984" s="333"/>
      <c r="H984" s="333"/>
      <c r="K984" s="362"/>
      <c r="S984" s="333"/>
    </row>
    <row r="985" spans="1:19" ht="15.75" customHeight="1" x14ac:dyDescent="0.25">
      <c r="A985" s="333"/>
      <c r="C985" s="360"/>
      <c r="D985" s="361"/>
      <c r="E985" s="333"/>
      <c r="F985" s="333"/>
      <c r="G985" s="333"/>
      <c r="H985" s="333"/>
      <c r="K985" s="362"/>
      <c r="S985" s="333"/>
    </row>
    <row r="986" spans="1:19" ht="15.75" customHeight="1" x14ac:dyDescent="0.25">
      <c r="A986" s="333"/>
      <c r="C986" s="360"/>
      <c r="D986" s="361"/>
      <c r="E986" s="333"/>
      <c r="F986" s="333"/>
      <c r="G986" s="333"/>
      <c r="H986" s="333"/>
      <c r="K986" s="362"/>
      <c r="S986" s="333"/>
    </row>
    <row r="987" spans="1:19" ht="15.75" customHeight="1" x14ac:dyDescent="0.25">
      <c r="A987" s="333"/>
      <c r="C987" s="360"/>
      <c r="D987" s="361"/>
      <c r="E987" s="333"/>
      <c r="F987" s="333"/>
      <c r="G987" s="333"/>
      <c r="H987" s="333"/>
      <c r="K987" s="362"/>
      <c r="S987" s="333"/>
    </row>
    <row r="988" spans="1:19" ht="15.75" customHeight="1" x14ac:dyDescent="0.25">
      <c r="A988" s="333"/>
      <c r="C988" s="360"/>
      <c r="D988" s="361"/>
      <c r="E988" s="333"/>
      <c r="F988" s="333"/>
      <c r="G988" s="333"/>
      <c r="H988" s="333"/>
      <c r="K988" s="362"/>
      <c r="S988" s="333"/>
    </row>
    <row r="989" spans="1:19" ht="15.75" customHeight="1" x14ac:dyDescent="0.25">
      <c r="A989" s="333"/>
      <c r="C989" s="360"/>
      <c r="D989" s="361"/>
      <c r="E989" s="333"/>
      <c r="F989" s="333"/>
      <c r="G989" s="333"/>
      <c r="H989" s="333"/>
      <c r="K989" s="362"/>
      <c r="S989" s="333"/>
    </row>
    <row r="990" spans="1:19" ht="15.75" customHeight="1" x14ac:dyDescent="0.25">
      <c r="A990" s="333"/>
      <c r="C990" s="360"/>
      <c r="D990" s="361"/>
      <c r="E990" s="333"/>
      <c r="F990" s="333"/>
      <c r="G990" s="333"/>
      <c r="H990" s="333"/>
      <c r="K990" s="362"/>
      <c r="S990" s="333"/>
    </row>
    <row r="991" spans="1:19" ht="15.75" customHeight="1" x14ac:dyDescent="0.25">
      <c r="A991" s="333"/>
      <c r="C991" s="360"/>
      <c r="D991" s="361"/>
      <c r="E991" s="333"/>
      <c r="F991" s="333"/>
      <c r="G991" s="333"/>
      <c r="H991" s="333"/>
      <c r="K991" s="362"/>
      <c r="S991" s="333"/>
    </row>
    <row r="992" spans="1:19" ht="15.75" customHeight="1" x14ac:dyDescent="0.25">
      <c r="A992" s="333"/>
      <c r="C992" s="360"/>
      <c r="D992" s="361"/>
      <c r="E992" s="333"/>
      <c r="F992" s="333"/>
      <c r="G992" s="333"/>
      <c r="H992" s="333"/>
      <c r="K992" s="362"/>
      <c r="S992" s="333"/>
    </row>
    <row r="993" spans="1:19" ht="15.75" customHeight="1" x14ac:dyDescent="0.25">
      <c r="A993" s="333"/>
      <c r="C993" s="360"/>
      <c r="D993" s="361"/>
      <c r="E993" s="333"/>
      <c r="F993" s="333"/>
      <c r="G993" s="333"/>
      <c r="H993" s="333"/>
      <c r="K993" s="362"/>
      <c r="S993" s="333"/>
    </row>
    <row r="994" spans="1:19" ht="15.75" customHeight="1" x14ac:dyDescent="0.25">
      <c r="A994" s="333"/>
      <c r="C994" s="360"/>
      <c r="D994" s="361"/>
      <c r="E994" s="333"/>
      <c r="F994" s="333"/>
      <c r="G994" s="333"/>
      <c r="H994" s="333"/>
      <c r="K994" s="362"/>
      <c r="S994" s="333"/>
    </row>
    <row r="995" spans="1:19" ht="15.75" customHeight="1" x14ac:dyDescent="0.25">
      <c r="A995" s="333"/>
      <c r="C995" s="360"/>
      <c r="D995" s="361"/>
      <c r="E995" s="333"/>
      <c r="F995" s="333"/>
      <c r="G995" s="333"/>
      <c r="H995" s="333"/>
      <c r="K995" s="362"/>
      <c r="S995" s="333"/>
    </row>
    <row r="996" spans="1:19" ht="15.75" customHeight="1" x14ac:dyDescent="0.25">
      <c r="A996" s="333"/>
      <c r="C996" s="360"/>
      <c r="D996" s="361"/>
      <c r="E996" s="333"/>
      <c r="F996" s="333"/>
      <c r="G996" s="333"/>
      <c r="H996" s="333"/>
      <c r="K996" s="362"/>
      <c r="S996" s="333"/>
    </row>
    <row r="997" spans="1:19" ht="15.75" customHeight="1" x14ac:dyDescent="0.25">
      <c r="A997" s="333"/>
      <c r="C997" s="360"/>
      <c r="D997" s="361"/>
      <c r="E997" s="333"/>
      <c r="F997" s="333"/>
      <c r="G997" s="333"/>
      <c r="H997" s="333"/>
      <c r="K997" s="362"/>
      <c r="S997" s="333"/>
    </row>
    <row r="998" spans="1:19" ht="15.75" customHeight="1" x14ac:dyDescent="0.25">
      <c r="A998" s="333"/>
      <c r="C998" s="360"/>
      <c r="D998" s="361"/>
      <c r="E998" s="333"/>
      <c r="F998" s="333"/>
      <c r="G998" s="333"/>
      <c r="H998" s="333"/>
      <c r="K998" s="362"/>
      <c r="S998" s="333"/>
    </row>
    <row r="999" spans="1:19" ht="15.75" customHeight="1" x14ac:dyDescent="0.25">
      <c r="A999" s="333"/>
      <c r="C999" s="360"/>
      <c r="D999" s="361"/>
      <c r="E999" s="333"/>
      <c r="F999" s="333"/>
      <c r="G999" s="333"/>
      <c r="H999" s="333"/>
      <c r="K999" s="362"/>
      <c r="S999" s="333"/>
    </row>
    <row r="1000" spans="1:19" ht="15.75" customHeight="1" x14ac:dyDescent="0.25">
      <c r="A1000" s="333"/>
      <c r="C1000" s="360"/>
      <c r="D1000" s="361"/>
      <c r="E1000" s="333"/>
      <c r="F1000" s="333"/>
      <c r="G1000" s="333"/>
      <c r="H1000" s="333"/>
      <c r="K1000" s="362"/>
      <c r="S1000" s="333"/>
    </row>
  </sheetData>
  <mergeCells count="63">
    <mergeCell ref="X16:X19"/>
    <mergeCell ref="G16:G19"/>
    <mergeCell ref="H16:H19"/>
    <mergeCell ref="I16:I19"/>
    <mergeCell ref="J16:J19"/>
    <mergeCell ref="Q16:Q19"/>
    <mergeCell ref="R16:R19"/>
    <mergeCell ref="S16:S19"/>
    <mergeCell ref="T16:T19"/>
    <mergeCell ref="U16:U19"/>
    <mergeCell ref="V16:V19"/>
    <mergeCell ref="W16:W19"/>
    <mergeCell ref="A16:A19"/>
    <mergeCell ref="B16:B19"/>
    <mergeCell ref="C16:C19"/>
    <mergeCell ref="D16:D19"/>
    <mergeCell ref="E16:E19"/>
    <mergeCell ref="F16:F19"/>
    <mergeCell ref="S11:S15"/>
    <mergeCell ref="T11:T15"/>
    <mergeCell ref="U11:U15"/>
    <mergeCell ref="V11:V15"/>
    <mergeCell ref="F11:F15"/>
    <mergeCell ref="X11:X15"/>
    <mergeCell ref="G11:G15"/>
    <mergeCell ref="H11:H15"/>
    <mergeCell ref="I11:I15"/>
    <mergeCell ref="J11:J15"/>
    <mergeCell ref="Q11:Q15"/>
    <mergeCell ref="R11:R15"/>
    <mergeCell ref="W11:W15"/>
    <mergeCell ref="R7:R10"/>
    <mergeCell ref="S7:S10"/>
    <mergeCell ref="T7:T10"/>
    <mergeCell ref="U7:U10"/>
    <mergeCell ref="V7:V10"/>
    <mergeCell ref="A11:A15"/>
    <mergeCell ref="B11:B15"/>
    <mergeCell ref="C11:C15"/>
    <mergeCell ref="D11:D15"/>
    <mergeCell ref="E11:E15"/>
    <mergeCell ref="AK1:AK2"/>
    <mergeCell ref="AK3:AK4"/>
    <mergeCell ref="A5:I5"/>
    <mergeCell ref="K5:P5"/>
    <mergeCell ref="Q5:X5"/>
    <mergeCell ref="Y5:AC5"/>
    <mergeCell ref="AD5:AI5"/>
    <mergeCell ref="X7:X10"/>
    <mergeCell ref="Q7:Q10"/>
    <mergeCell ref="F7:F10"/>
    <mergeCell ref="A1:C4"/>
    <mergeCell ref="D1:AJ4"/>
    <mergeCell ref="A7:A10"/>
    <mergeCell ref="B7:B10"/>
    <mergeCell ref="C7:C10"/>
    <mergeCell ref="D7:D10"/>
    <mergeCell ref="E7:E10"/>
    <mergeCell ref="W7:W10"/>
    <mergeCell ref="G7:G10"/>
    <mergeCell ref="H7:H10"/>
    <mergeCell ref="I7:I10"/>
    <mergeCell ref="J7:J10"/>
  </mergeCells>
  <conditionalFormatting sqref="I7:J7 W7:X7 J11:J15 I11 I16:J16 W11:X11 W16:X16">
    <cfRule type="cellIs" dxfId="179" priority="1" operator="equal">
      <formula>"Extremo"</formula>
    </cfRule>
  </conditionalFormatting>
  <conditionalFormatting sqref="I7:J7 W7:X7 J11:J15 I11 I16:J16 W11:X11 W16:X16">
    <cfRule type="cellIs" dxfId="178" priority="2" operator="equal">
      <formula>"Moderado"</formula>
    </cfRule>
  </conditionalFormatting>
  <conditionalFormatting sqref="I7:J7 W7:X7 J11:J15 I11 I16:J16 W11:X11 W16:X16">
    <cfRule type="cellIs" dxfId="177" priority="3" operator="equal">
      <formula>"Bajo"</formula>
    </cfRule>
  </conditionalFormatting>
  <conditionalFormatting sqref="I7:J7 W7:X7 J11:J15 I11 I16:J16 W11:X11 W16:X16">
    <cfRule type="cellIs" dxfId="176" priority="4" operator="equal">
      <formula>"Alto"</formula>
    </cfRule>
  </conditionalFormatting>
  <dataValidations count="1">
    <dataValidation type="list" allowBlank="1" showErrorMessage="1" sqref="J7 J11 J16" xr:uid="{00000000-0002-0000-1F00-000000000000}">
      <formula1>"SI,NO"</formula1>
    </dataValidation>
  </dataValidations>
  <pageMargins left="7.874015748031496E-2" right="7.874015748031496E-2" top="1.1417322834645669" bottom="0.15748031496062992" header="0" footer="0"/>
  <pageSetup orientation="landscape" r:id="rId1"/>
  <headerFooter>
    <oddHeader>&amp;C Matriz de Riesgos</oddHeader>
  </headerFooter>
  <rowBreaks count="1" manualBreakCount="1">
    <brk id="15" man="1"/>
  </rowBreaks>
  <colBreaks count="2" manualBreakCount="2">
    <brk id="16" man="1"/>
    <brk id="29"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ErrorMessage="1" xr:uid="{00000000-0002-0000-1F00-000001000000}">
          <x14:formula1>
            <xm:f>'C:\Users\sgomez.UPME\Documents\UPME 2020\Documents\Mapas de riesgos\[Mapa de riesgos FONDOS ENERGÉTICOS Y PROYECTOS PARA COBERTURA.xlsx]Datos'!#REF!</xm:f>
          </x14:formula1>
          <xm:sqref>G7 G11 G16 X7 X11 X16 D7 D11 D16</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BEAE25"/>
  </sheetPr>
  <dimension ref="A1:Z1000"/>
  <sheetViews>
    <sheetView showGridLines="0" workbookViewId="0">
      <selection activeCell="L7" sqref="L7"/>
    </sheetView>
  </sheetViews>
  <sheetFormatPr baseColWidth="10" defaultColWidth="12.625" defaultRowHeight="15" customHeight="1" x14ac:dyDescent="0.2"/>
  <cols>
    <col min="1" max="1" width="5.625" style="228" customWidth="1"/>
    <col min="2" max="2" width="21.625" style="228" customWidth="1"/>
    <col min="3" max="3" width="15.75" style="228" customWidth="1"/>
    <col min="4" max="4" width="17.875" style="228" customWidth="1"/>
    <col min="5" max="10" width="16.625" style="228" hidden="1" customWidth="1"/>
    <col min="11" max="11" width="16.625" style="228" customWidth="1"/>
    <col min="12" max="12" width="21.375" style="228" customWidth="1"/>
    <col min="13" max="14" width="16.625" style="228" customWidth="1"/>
    <col min="15" max="15" width="18.5" style="228" customWidth="1"/>
    <col min="16" max="16" width="16.625" style="228" customWidth="1"/>
    <col min="17" max="23" width="13.75" style="228" customWidth="1"/>
    <col min="24" max="24" width="9.125" style="228" customWidth="1"/>
    <col min="25" max="26" width="9.375" style="228" customWidth="1"/>
    <col min="27" max="16384" width="12.625" style="228"/>
  </cols>
  <sheetData>
    <row r="1" spans="1:26" ht="15" customHeight="1" x14ac:dyDescent="0.2">
      <c r="A1" s="1372"/>
      <c r="B1" s="1355"/>
      <c r="C1" s="1355"/>
      <c r="D1" s="1356"/>
      <c r="E1" s="1373" t="s">
        <v>0</v>
      </c>
      <c r="F1" s="1355"/>
      <c r="G1" s="1355"/>
      <c r="H1" s="1355"/>
      <c r="I1" s="1355"/>
      <c r="J1" s="1355"/>
      <c r="K1" s="1355"/>
      <c r="L1" s="1355"/>
      <c r="M1" s="1355"/>
      <c r="N1" s="1355"/>
      <c r="O1" s="1355"/>
      <c r="P1" s="1355"/>
      <c r="Q1" s="1355"/>
      <c r="R1" s="1355"/>
      <c r="S1" s="1355"/>
      <c r="T1" s="1356"/>
      <c r="U1" s="1374" t="s">
        <v>98</v>
      </c>
      <c r="V1" s="1355"/>
      <c r="W1" s="1355"/>
      <c r="X1" s="1356"/>
    </row>
    <row r="2" spans="1:26" ht="15" customHeight="1" x14ac:dyDescent="0.2">
      <c r="A2" s="1357"/>
      <c r="B2" s="1203"/>
      <c r="C2" s="1203"/>
      <c r="D2" s="1340"/>
      <c r="E2" s="1357"/>
      <c r="F2" s="1203"/>
      <c r="G2" s="1203"/>
      <c r="H2" s="1203"/>
      <c r="I2" s="1203"/>
      <c r="J2" s="1203"/>
      <c r="K2" s="1203"/>
      <c r="L2" s="1203"/>
      <c r="M2" s="1203"/>
      <c r="N2" s="1203"/>
      <c r="O2" s="1203"/>
      <c r="P2" s="1203"/>
      <c r="Q2" s="1203"/>
      <c r="R2" s="1203"/>
      <c r="S2" s="1203"/>
      <c r="T2" s="1340"/>
      <c r="U2" s="1358"/>
      <c r="V2" s="1338"/>
      <c r="W2" s="1338"/>
      <c r="X2" s="1341"/>
    </row>
    <row r="3" spans="1:26" ht="15" customHeight="1" x14ac:dyDescent="0.2">
      <c r="A3" s="1357"/>
      <c r="B3" s="1203"/>
      <c r="C3" s="1203"/>
      <c r="D3" s="1340"/>
      <c r="E3" s="1357"/>
      <c r="F3" s="1203"/>
      <c r="G3" s="1203"/>
      <c r="H3" s="1203"/>
      <c r="I3" s="1203"/>
      <c r="J3" s="1203"/>
      <c r="K3" s="1203"/>
      <c r="L3" s="1203"/>
      <c r="M3" s="1203"/>
      <c r="N3" s="1203"/>
      <c r="O3" s="1203"/>
      <c r="P3" s="1203"/>
      <c r="Q3" s="1203"/>
      <c r="R3" s="1203"/>
      <c r="S3" s="1203"/>
      <c r="T3" s="1340"/>
      <c r="U3" s="1374" t="s">
        <v>524</v>
      </c>
      <c r="V3" s="1355"/>
      <c r="W3" s="1355"/>
      <c r="X3" s="1355"/>
    </row>
    <row r="4" spans="1:26" ht="15" customHeight="1" x14ac:dyDescent="0.2">
      <c r="A4" s="1357"/>
      <c r="B4" s="1203"/>
      <c r="C4" s="1203"/>
      <c r="D4" s="1340"/>
      <c r="E4" s="1357"/>
      <c r="F4" s="1203"/>
      <c r="G4" s="1203"/>
      <c r="H4" s="1203"/>
      <c r="I4" s="1203"/>
      <c r="J4" s="1203"/>
      <c r="K4" s="1203"/>
      <c r="L4" s="1203"/>
      <c r="M4" s="1203"/>
      <c r="N4" s="1203"/>
      <c r="O4" s="1203"/>
      <c r="P4" s="1203"/>
      <c r="Q4" s="1203"/>
      <c r="R4" s="1203"/>
      <c r="S4" s="1203"/>
      <c r="T4" s="1340"/>
      <c r="U4" s="1357"/>
      <c r="V4" s="1203"/>
      <c r="W4" s="1203"/>
      <c r="X4" s="1203"/>
    </row>
    <row r="5" spans="1:26" ht="15" customHeight="1" x14ac:dyDescent="0.25">
      <c r="A5" s="1375" t="s">
        <v>100</v>
      </c>
      <c r="B5" s="1338"/>
      <c r="C5" s="1338"/>
      <c r="D5" s="1341"/>
      <c r="E5" s="1348" t="s">
        <v>101</v>
      </c>
      <c r="F5" s="1345"/>
      <c r="G5" s="1345"/>
      <c r="H5" s="1345"/>
      <c r="I5" s="1345"/>
      <c r="J5" s="1345"/>
      <c r="K5" s="1345"/>
      <c r="L5" s="1345"/>
      <c r="M5" s="1345"/>
      <c r="N5" s="1345"/>
      <c r="O5" s="1345"/>
      <c r="P5" s="1345"/>
      <c r="Q5" s="1345"/>
      <c r="R5" s="1345"/>
      <c r="S5" s="1345"/>
      <c r="T5" s="1345"/>
      <c r="U5" s="1345"/>
      <c r="V5" s="1345"/>
      <c r="W5" s="1345"/>
      <c r="X5" s="1346"/>
    </row>
    <row r="6" spans="1:26" ht="114.75" customHeight="1" x14ac:dyDescent="0.2">
      <c r="A6" s="324" t="s">
        <v>44</v>
      </c>
      <c r="B6" s="363" t="s">
        <v>64</v>
      </c>
      <c r="C6" s="363" t="s">
        <v>70</v>
      </c>
      <c r="D6" s="363" t="s">
        <v>69</v>
      </c>
      <c r="E6" s="324" t="s">
        <v>102</v>
      </c>
      <c r="F6" s="324" t="s">
        <v>103</v>
      </c>
      <c r="G6" s="324" t="s">
        <v>104</v>
      </c>
      <c r="H6" s="324" t="s">
        <v>105</v>
      </c>
      <c r="I6" s="363" t="s">
        <v>106</v>
      </c>
      <c r="J6" s="363" t="s">
        <v>107</v>
      </c>
      <c r="K6" s="363" t="s">
        <v>108</v>
      </c>
      <c r="L6" s="363" t="s">
        <v>109</v>
      </c>
      <c r="M6" s="363" t="s">
        <v>110</v>
      </c>
      <c r="N6" s="363" t="s">
        <v>111</v>
      </c>
      <c r="O6" s="363" t="s">
        <v>112</v>
      </c>
      <c r="P6" s="363" t="s">
        <v>113</v>
      </c>
      <c r="Q6" s="363" t="s">
        <v>114</v>
      </c>
      <c r="R6" s="363" t="s">
        <v>115</v>
      </c>
      <c r="S6" s="363" t="s">
        <v>116</v>
      </c>
      <c r="T6" s="363" t="s">
        <v>117</v>
      </c>
      <c r="U6" s="363" t="s">
        <v>118</v>
      </c>
      <c r="V6" s="363" t="s">
        <v>119</v>
      </c>
      <c r="W6" s="363" t="s">
        <v>120</v>
      </c>
      <c r="X6" s="363" t="s">
        <v>121</v>
      </c>
      <c r="Y6" s="364"/>
      <c r="Z6" s="364"/>
    </row>
    <row r="7" spans="1:26" ht="99.75" customHeight="1" x14ac:dyDescent="0.2">
      <c r="A7" s="365" t="e">
        <f>#REF!</f>
        <v>#REF!</v>
      </c>
      <c r="B7" s="365" t="e">
        <f>#REF!</f>
        <v>#REF!</v>
      </c>
      <c r="C7" s="365">
        <f>IF(D7="PENDIENTE EVALUAR EL IMPACTO","PENDIENTE EVALUAR EL IMPACTO COLUMNAS H-W",VLOOKUP(D7,[4]Datos!$K$8:$L$12,2,FALSE))</f>
        <v>5</v>
      </c>
      <c r="D7" s="365" t="str">
        <f>IF(X7=0,"PENDIENTE EVALUAR EL IMPACTO",IF(X7&lt;=5,"MODERADO",IF(X7&lt;=11,"MAYOR","CATASTRÓFICO")))</f>
        <v>CATASTRÓFICO</v>
      </c>
      <c r="E7" s="366" t="s">
        <v>122</v>
      </c>
      <c r="F7" s="366" t="s">
        <v>122</v>
      </c>
      <c r="G7" s="366" t="s">
        <v>122</v>
      </c>
      <c r="H7" s="366" t="s">
        <v>122</v>
      </c>
      <c r="I7" s="366" t="s">
        <v>122</v>
      </c>
      <c r="J7" s="366" t="s">
        <v>122</v>
      </c>
      <c r="K7" s="366" t="s">
        <v>122</v>
      </c>
      <c r="L7" s="366" t="s">
        <v>122</v>
      </c>
      <c r="M7" s="366" t="s">
        <v>263</v>
      </c>
      <c r="N7" s="366" t="s">
        <v>122</v>
      </c>
      <c r="O7" s="366" t="s">
        <v>122</v>
      </c>
      <c r="P7" s="366" t="s">
        <v>122</v>
      </c>
      <c r="Q7" s="366" t="s">
        <v>122</v>
      </c>
      <c r="R7" s="366" t="s">
        <v>122</v>
      </c>
      <c r="S7" s="366" t="s">
        <v>122</v>
      </c>
      <c r="T7" s="366" t="s">
        <v>263</v>
      </c>
      <c r="U7" s="366" t="s">
        <v>263</v>
      </c>
      <c r="V7" s="366" t="s">
        <v>122</v>
      </c>
      <c r="W7" s="366" t="s">
        <v>263</v>
      </c>
      <c r="X7" s="367">
        <f>COUNTIF(E7:W7,"SI")</f>
        <v>15</v>
      </c>
      <c r="Y7" s="368"/>
      <c r="Z7" s="368"/>
    </row>
    <row r="8" spans="1:26" x14ac:dyDescent="0.2">
      <c r="X8" s="333"/>
    </row>
    <row r="9" spans="1:26" x14ac:dyDescent="0.2">
      <c r="X9" s="333"/>
    </row>
    <row r="10" spans="1:26" x14ac:dyDescent="0.2">
      <c r="X10" s="333"/>
    </row>
    <row r="11" spans="1:26" x14ac:dyDescent="0.2">
      <c r="X11" s="333"/>
    </row>
    <row r="12" spans="1:26" x14ac:dyDescent="0.2">
      <c r="X12" s="333"/>
    </row>
    <row r="13" spans="1:26" x14ac:dyDescent="0.2">
      <c r="X13" s="333"/>
    </row>
    <row r="14" spans="1:26" x14ac:dyDescent="0.2">
      <c r="X14" s="333"/>
    </row>
    <row r="15" spans="1:26" x14ac:dyDescent="0.2">
      <c r="X15" s="333"/>
    </row>
    <row r="16" spans="1:26" x14ac:dyDescent="0.2">
      <c r="X16" s="333"/>
    </row>
    <row r="17" spans="24:24" x14ac:dyDescent="0.2">
      <c r="X17" s="333"/>
    </row>
    <row r="18" spans="24:24" x14ac:dyDescent="0.2">
      <c r="X18" s="333"/>
    </row>
    <row r="19" spans="24:24" x14ac:dyDescent="0.2">
      <c r="X19" s="333"/>
    </row>
    <row r="20" spans="24:24" x14ac:dyDescent="0.2">
      <c r="X20" s="333"/>
    </row>
    <row r="21" spans="24:24" ht="15.75" customHeight="1" x14ac:dyDescent="0.2">
      <c r="X21" s="333"/>
    </row>
    <row r="22" spans="24:24" ht="15.75" customHeight="1" x14ac:dyDescent="0.2">
      <c r="X22" s="333"/>
    </row>
    <row r="23" spans="24:24" ht="15.75" customHeight="1" x14ac:dyDescent="0.2">
      <c r="X23" s="333"/>
    </row>
    <row r="24" spans="24:24" ht="15.75" customHeight="1" x14ac:dyDescent="0.2">
      <c r="X24" s="333"/>
    </row>
    <row r="25" spans="24:24" ht="15.75" customHeight="1" x14ac:dyDescent="0.2">
      <c r="X25" s="333"/>
    </row>
    <row r="26" spans="24:24" ht="15.75" customHeight="1" x14ac:dyDescent="0.2">
      <c r="X26" s="333"/>
    </row>
    <row r="27" spans="24:24" ht="15.75" customHeight="1" x14ac:dyDescent="0.2">
      <c r="X27" s="333"/>
    </row>
    <row r="28" spans="24:24" ht="15.75" customHeight="1" x14ac:dyDescent="0.2">
      <c r="X28" s="333"/>
    </row>
    <row r="29" spans="24:24" ht="15.75" customHeight="1" x14ac:dyDescent="0.2">
      <c r="X29" s="333"/>
    </row>
    <row r="30" spans="24:24" ht="15.75" customHeight="1" x14ac:dyDescent="0.2">
      <c r="X30" s="333"/>
    </row>
    <row r="31" spans="24:24" ht="15.75" customHeight="1" x14ac:dyDescent="0.2">
      <c r="X31" s="333"/>
    </row>
    <row r="32" spans="24:24" ht="15.75" customHeight="1" x14ac:dyDescent="0.2">
      <c r="X32" s="333"/>
    </row>
    <row r="33" spans="24:24" ht="15.75" customHeight="1" x14ac:dyDescent="0.2">
      <c r="X33" s="333"/>
    </row>
    <row r="34" spans="24:24" ht="15.75" customHeight="1" x14ac:dyDescent="0.2">
      <c r="X34" s="333"/>
    </row>
    <row r="35" spans="24:24" ht="15.75" customHeight="1" x14ac:dyDescent="0.2">
      <c r="X35" s="333"/>
    </row>
    <row r="36" spans="24:24" ht="15.75" customHeight="1" x14ac:dyDescent="0.2">
      <c r="X36" s="333"/>
    </row>
    <row r="37" spans="24:24" ht="15.75" customHeight="1" x14ac:dyDescent="0.2">
      <c r="X37" s="333"/>
    </row>
    <row r="38" spans="24:24" ht="15.75" customHeight="1" x14ac:dyDescent="0.2">
      <c r="X38" s="333"/>
    </row>
    <row r="39" spans="24:24" ht="15.75" customHeight="1" x14ac:dyDescent="0.2">
      <c r="X39" s="333"/>
    </row>
    <row r="40" spans="24:24" ht="15.75" customHeight="1" x14ac:dyDescent="0.2">
      <c r="X40" s="333"/>
    </row>
    <row r="41" spans="24:24" ht="15.75" customHeight="1" x14ac:dyDescent="0.2">
      <c r="X41" s="333"/>
    </row>
    <row r="42" spans="24:24" ht="15.75" customHeight="1" x14ac:dyDescent="0.2">
      <c r="X42" s="333"/>
    </row>
    <row r="43" spans="24:24" ht="15.75" customHeight="1" x14ac:dyDescent="0.2">
      <c r="X43" s="333"/>
    </row>
    <row r="44" spans="24:24" ht="15.75" customHeight="1" x14ac:dyDescent="0.2">
      <c r="X44" s="333"/>
    </row>
    <row r="45" spans="24:24" ht="15.75" customHeight="1" x14ac:dyDescent="0.2">
      <c r="X45" s="333"/>
    </row>
    <row r="46" spans="24:24" ht="15.75" customHeight="1" x14ac:dyDescent="0.2">
      <c r="X46" s="333"/>
    </row>
    <row r="47" spans="24:24" ht="15.75" customHeight="1" x14ac:dyDescent="0.2">
      <c r="X47" s="333"/>
    </row>
    <row r="48" spans="24:24" ht="15.75" customHeight="1" x14ac:dyDescent="0.2">
      <c r="X48" s="333"/>
    </row>
    <row r="49" spans="24:24" ht="15.75" customHeight="1" x14ac:dyDescent="0.2">
      <c r="X49" s="333"/>
    </row>
    <row r="50" spans="24:24" ht="15.75" customHeight="1" x14ac:dyDescent="0.2">
      <c r="X50" s="333"/>
    </row>
    <row r="51" spans="24:24" ht="15.75" customHeight="1" x14ac:dyDescent="0.2">
      <c r="X51" s="333"/>
    </row>
    <row r="52" spans="24:24" ht="15.75" customHeight="1" x14ac:dyDescent="0.2">
      <c r="X52" s="333"/>
    </row>
    <row r="53" spans="24:24" ht="15.75" customHeight="1" x14ac:dyDescent="0.2">
      <c r="X53" s="333"/>
    </row>
    <row r="54" spans="24:24" ht="15.75" customHeight="1" x14ac:dyDescent="0.2">
      <c r="X54" s="333"/>
    </row>
    <row r="55" spans="24:24" ht="15.75" customHeight="1" x14ac:dyDescent="0.2">
      <c r="X55" s="333"/>
    </row>
    <row r="56" spans="24:24" ht="15.75" customHeight="1" x14ac:dyDescent="0.2">
      <c r="X56" s="333"/>
    </row>
    <row r="57" spans="24:24" ht="15.75" customHeight="1" x14ac:dyDescent="0.2">
      <c r="X57" s="333"/>
    </row>
    <row r="58" spans="24:24" ht="15.75" customHeight="1" x14ac:dyDescent="0.2">
      <c r="X58" s="333"/>
    </row>
    <row r="59" spans="24:24" ht="15.75" customHeight="1" x14ac:dyDescent="0.2">
      <c r="X59" s="333"/>
    </row>
    <row r="60" spans="24:24" ht="15.75" customHeight="1" x14ac:dyDescent="0.2">
      <c r="X60" s="333"/>
    </row>
    <row r="61" spans="24:24" ht="15.75" customHeight="1" x14ac:dyDescent="0.2">
      <c r="X61" s="333"/>
    </row>
    <row r="62" spans="24:24" ht="15.75" customHeight="1" x14ac:dyDescent="0.2">
      <c r="X62" s="333"/>
    </row>
    <row r="63" spans="24:24" ht="15.75" customHeight="1" x14ac:dyDescent="0.2">
      <c r="X63" s="333"/>
    </row>
    <row r="64" spans="24:24" ht="15.75" customHeight="1" x14ac:dyDescent="0.2">
      <c r="X64" s="333"/>
    </row>
    <row r="65" spans="24:24" ht="15.75" customHeight="1" x14ac:dyDescent="0.2">
      <c r="X65" s="333"/>
    </row>
    <row r="66" spans="24:24" ht="15.75" customHeight="1" x14ac:dyDescent="0.2">
      <c r="X66" s="333"/>
    </row>
    <row r="67" spans="24:24" ht="15.75" customHeight="1" x14ac:dyDescent="0.2">
      <c r="X67" s="333"/>
    </row>
    <row r="68" spans="24:24" ht="15.75" customHeight="1" x14ac:dyDescent="0.2">
      <c r="X68" s="333"/>
    </row>
    <row r="69" spans="24:24" ht="15.75" customHeight="1" x14ac:dyDescent="0.2">
      <c r="X69" s="333"/>
    </row>
    <row r="70" spans="24:24" ht="15.75" customHeight="1" x14ac:dyDescent="0.2">
      <c r="X70" s="333"/>
    </row>
    <row r="71" spans="24:24" ht="15.75" customHeight="1" x14ac:dyDescent="0.2">
      <c r="X71" s="333"/>
    </row>
    <row r="72" spans="24:24" ht="15.75" customHeight="1" x14ac:dyDescent="0.2">
      <c r="X72" s="333"/>
    </row>
    <row r="73" spans="24:24" ht="15.75" customHeight="1" x14ac:dyDescent="0.2">
      <c r="X73" s="333"/>
    </row>
    <row r="74" spans="24:24" ht="15.75" customHeight="1" x14ac:dyDescent="0.2">
      <c r="X74" s="333"/>
    </row>
    <row r="75" spans="24:24" ht="15.75" customHeight="1" x14ac:dyDescent="0.2">
      <c r="X75" s="333"/>
    </row>
    <row r="76" spans="24:24" ht="15.75" customHeight="1" x14ac:dyDescent="0.2">
      <c r="X76" s="333"/>
    </row>
    <row r="77" spans="24:24" ht="15.75" customHeight="1" x14ac:dyDescent="0.2">
      <c r="X77" s="333"/>
    </row>
    <row r="78" spans="24:24" ht="15.75" customHeight="1" x14ac:dyDescent="0.2">
      <c r="X78" s="333"/>
    </row>
    <row r="79" spans="24:24" ht="15.75" customHeight="1" x14ac:dyDescent="0.2">
      <c r="X79" s="333"/>
    </row>
    <row r="80" spans="24:24" ht="15.75" customHeight="1" x14ac:dyDescent="0.2">
      <c r="X80" s="333"/>
    </row>
    <row r="81" spans="24:24" ht="15.75" customHeight="1" x14ac:dyDescent="0.2">
      <c r="X81" s="333"/>
    </row>
    <row r="82" spans="24:24" ht="15.75" customHeight="1" x14ac:dyDescent="0.2">
      <c r="X82" s="333"/>
    </row>
    <row r="83" spans="24:24" ht="15.75" customHeight="1" x14ac:dyDescent="0.2">
      <c r="X83" s="333"/>
    </row>
    <row r="84" spans="24:24" ht="15.75" customHeight="1" x14ac:dyDescent="0.2">
      <c r="X84" s="333"/>
    </row>
    <row r="85" spans="24:24" ht="15.75" customHeight="1" x14ac:dyDescent="0.2">
      <c r="X85" s="333"/>
    </row>
    <row r="86" spans="24:24" ht="15.75" customHeight="1" x14ac:dyDescent="0.2">
      <c r="X86" s="333"/>
    </row>
    <row r="87" spans="24:24" ht="15.75" customHeight="1" x14ac:dyDescent="0.2">
      <c r="X87" s="333"/>
    </row>
    <row r="88" spans="24:24" ht="15.75" customHeight="1" x14ac:dyDescent="0.2">
      <c r="X88" s="333"/>
    </row>
    <row r="89" spans="24:24" ht="15.75" customHeight="1" x14ac:dyDescent="0.2">
      <c r="X89" s="333"/>
    </row>
    <row r="90" spans="24:24" ht="15.75" customHeight="1" x14ac:dyDescent="0.2">
      <c r="X90" s="333"/>
    </row>
    <row r="91" spans="24:24" ht="15.75" customHeight="1" x14ac:dyDescent="0.2">
      <c r="X91" s="333"/>
    </row>
    <row r="92" spans="24:24" ht="15.75" customHeight="1" x14ac:dyDescent="0.2">
      <c r="X92" s="333"/>
    </row>
    <row r="93" spans="24:24" ht="15.75" customHeight="1" x14ac:dyDescent="0.2">
      <c r="X93" s="333"/>
    </row>
    <row r="94" spans="24:24" ht="15.75" customHeight="1" x14ac:dyDescent="0.2">
      <c r="X94" s="333"/>
    </row>
    <row r="95" spans="24:24" ht="15.75" customHeight="1" x14ac:dyDescent="0.2">
      <c r="X95" s="333"/>
    </row>
    <row r="96" spans="24:24" ht="15.75" customHeight="1" x14ac:dyDescent="0.2">
      <c r="X96" s="333"/>
    </row>
    <row r="97" spans="24:24" ht="15.75" customHeight="1" x14ac:dyDescent="0.2">
      <c r="X97" s="333"/>
    </row>
    <row r="98" spans="24:24" ht="15.75" customHeight="1" x14ac:dyDescent="0.2">
      <c r="X98" s="333"/>
    </row>
    <row r="99" spans="24:24" ht="15.75" customHeight="1" x14ac:dyDescent="0.2">
      <c r="X99" s="333"/>
    </row>
    <row r="100" spans="24:24" ht="15.75" customHeight="1" x14ac:dyDescent="0.2">
      <c r="X100" s="333"/>
    </row>
    <row r="101" spans="24:24" ht="15.75" customHeight="1" x14ac:dyDescent="0.2">
      <c r="X101" s="333"/>
    </row>
    <row r="102" spans="24:24" ht="15.75" customHeight="1" x14ac:dyDescent="0.2">
      <c r="X102" s="333"/>
    </row>
    <row r="103" spans="24:24" ht="15.75" customHeight="1" x14ac:dyDescent="0.2">
      <c r="X103" s="333"/>
    </row>
    <row r="104" spans="24:24" ht="15.75" customHeight="1" x14ac:dyDescent="0.2">
      <c r="X104" s="333"/>
    </row>
    <row r="105" spans="24:24" ht="15.75" customHeight="1" x14ac:dyDescent="0.2">
      <c r="X105" s="333"/>
    </row>
    <row r="106" spans="24:24" ht="15.75" customHeight="1" x14ac:dyDescent="0.2">
      <c r="X106" s="333"/>
    </row>
    <row r="107" spans="24:24" ht="15.75" customHeight="1" x14ac:dyDescent="0.2">
      <c r="X107" s="333"/>
    </row>
    <row r="108" spans="24:24" ht="15.75" customHeight="1" x14ac:dyDescent="0.2">
      <c r="X108" s="333"/>
    </row>
    <row r="109" spans="24:24" ht="15.75" customHeight="1" x14ac:dyDescent="0.2">
      <c r="X109" s="333"/>
    </row>
    <row r="110" spans="24:24" ht="15.75" customHeight="1" x14ac:dyDescent="0.2">
      <c r="X110" s="333"/>
    </row>
    <row r="111" spans="24:24" ht="15.75" customHeight="1" x14ac:dyDescent="0.2">
      <c r="X111" s="333"/>
    </row>
    <row r="112" spans="24:24" ht="15.75" customHeight="1" x14ac:dyDescent="0.2">
      <c r="X112" s="333"/>
    </row>
    <row r="113" spans="24:24" ht="15.75" customHeight="1" x14ac:dyDescent="0.2">
      <c r="X113" s="333"/>
    </row>
    <row r="114" spans="24:24" ht="15.75" customHeight="1" x14ac:dyDescent="0.2">
      <c r="X114" s="333"/>
    </row>
    <row r="115" spans="24:24" ht="15.75" customHeight="1" x14ac:dyDescent="0.2">
      <c r="X115" s="333"/>
    </row>
    <row r="116" spans="24:24" ht="15.75" customHeight="1" x14ac:dyDescent="0.2">
      <c r="X116" s="333"/>
    </row>
    <row r="117" spans="24:24" ht="15.75" customHeight="1" x14ac:dyDescent="0.2">
      <c r="X117" s="333"/>
    </row>
    <row r="118" spans="24:24" ht="15.75" customHeight="1" x14ac:dyDescent="0.2">
      <c r="X118" s="333"/>
    </row>
    <row r="119" spans="24:24" ht="15.75" customHeight="1" x14ac:dyDescent="0.2">
      <c r="X119" s="333"/>
    </row>
    <row r="120" spans="24:24" ht="15.75" customHeight="1" x14ac:dyDescent="0.2">
      <c r="X120" s="333"/>
    </row>
    <row r="121" spans="24:24" ht="15.75" customHeight="1" x14ac:dyDescent="0.2">
      <c r="X121" s="333"/>
    </row>
    <row r="122" spans="24:24" ht="15.75" customHeight="1" x14ac:dyDescent="0.2">
      <c r="X122" s="333"/>
    </row>
    <row r="123" spans="24:24" ht="15.75" customHeight="1" x14ac:dyDescent="0.2">
      <c r="X123" s="333"/>
    </row>
    <row r="124" spans="24:24" ht="15.75" customHeight="1" x14ac:dyDescent="0.2">
      <c r="X124" s="333"/>
    </row>
    <row r="125" spans="24:24" ht="15.75" customHeight="1" x14ac:dyDescent="0.2">
      <c r="X125" s="333"/>
    </row>
    <row r="126" spans="24:24" ht="15.75" customHeight="1" x14ac:dyDescent="0.2">
      <c r="X126" s="333"/>
    </row>
    <row r="127" spans="24:24" ht="15.75" customHeight="1" x14ac:dyDescent="0.2">
      <c r="X127" s="333"/>
    </row>
    <row r="128" spans="24:24" ht="15.75" customHeight="1" x14ac:dyDescent="0.2">
      <c r="X128" s="333"/>
    </row>
    <row r="129" spans="24:24" ht="15.75" customHeight="1" x14ac:dyDescent="0.2">
      <c r="X129" s="333"/>
    </row>
    <row r="130" spans="24:24" ht="15.75" customHeight="1" x14ac:dyDescent="0.2">
      <c r="X130" s="333"/>
    </row>
    <row r="131" spans="24:24" ht="15.75" customHeight="1" x14ac:dyDescent="0.2">
      <c r="X131" s="333"/>
    </row>
    <row r="132" spans="24:24" ht="15.75" customHeight="1" x14ac:dyDescent="0.2">
      <c r="X132" s="333"/>
    </row>
    <row r="133" spans="24:24" ht="15.75" customHeight="1" x14ac:dyDescent="0.2">
      <c r="X133" s="333"/>
    </row>
    <row r="134" spans="24:24" ht="15.75" customHeight="1" x14ac:dyDescent="0.2">
      <c r="X134" s="333"/>
    </row>
    <row r="135" spans="24:24" ht="15.75" customHeight="1" x14ac:dyDescent="0.2">
      <c r="X135" s="333"/>
    </row>
    <row r="136" spans="24:24" ht="15.75" customHeight="1" x14ac:dyDescent="0.2">
      <c r="X136" s="333"/>
    </row>
    <row r="137" spans="24:24" ht="15.75" customHeight="1" x14ac:dyDescent="0.2">
      <c r="X137" s="333"/>
    </row>
    <row r="138" spans="24:24" ht="15.75" customHeight="1" x14ac:dyDescent="0.2">
      <c r="X138" s="333"/>
    </row>
    <row r="139" spans="24:24" ht="15.75" customHeight="1" x14ac:dyDescent="0.2">
      <c r="X139" s="333"/>
    </row>
    <row r="140" spans="24:24" ht="15.75" customHeight="1" x14ac:dyDescent="0.2">
      <c r="X140" s="333"/>
    </row>
    <row r="141" spans="24:24" ht="15.75" customHeight="1" x14ac:dyDescent="0.2">
      <c r="X141" s="333"/>
    </row>
    <row r="142" spans="24:24" ht="15.75" customHeight="1" x14ac:dyDescent="0.2">
      <c r="X142" s="333"/>
    </row>
    <row r="143" spans="24:24" ht="15.75" customHeight="1" x14ac:dyDescent="0.2">
      <c r="X143" s="333"/>
    </row>
    <row r="144" spans="24:24" ht="15.75" customHeight="1" x14ac:dyDescent="0.2">
      <c r="X144" s="333"/>
    </row>
    <row r="145" spans="24:24" ht="15.75" customHeight="1" x14ac:dyDescent="0.2">
      <c r="X145" s="333"/>
    </row>
    <row r="146" spans="24:24" ht="15.75" customHeight="1" x14ac:dyDescent="0.2">
      <c r="X146" s="333"/>
    </row>
    <row r="147" spans="24:24" ht="15.75" customHeight="1" x14ac:dyDescent="0.2">
      <c r="X147" s="333"/>
    </row>
    <row r="148" spans="24:24" ht="15.75" customHeight="1" x14ac:dyDescent="0.2">
      <c r="X148" s="333"/>
    </row>
    <row r="149" spans="24:24" ht="15.75" customHeight="1" x14ac:dyDescent="0.2">
      <c r="X149" s="333"/>
    </row>
    <row r="150" spans="24:24" ht="15.75" customHeight="1" x14ac:dyDescent="0.2">
      <c r="X150" s="333"/>
    </row>
    <row r="151" spans="24:24" ht="15.75" customHeight="1" x14ac:dyDescent="0.2">
      <c r="X151" s="333"/>
    </row>
    <row r="152" spans="24:24" ht="15.75" customHeight="1" x14ac:dyDescent="0.2">
      <c r="X152" s="333"/>
    </row>
    <row r="153" spans="24:24" ht="15.75" customHeight="1" x14ac:dyDescent="0.2">
      <c r="X153" s="333"/>
    </row>
    <row r="154" spans="24:24" ht="15.75" customHeight="1" x14ac:dyDescent="0.2">
      <c r="X154" s="333"/>
    </row>
    <row r="155" spans="24:24" ht="15.75" customHeight="1" x14ac:dyDescent="0.2">
      <c r="X155" s="333"/>
    </row>
    <row r="156" spans="24:24" ht="15.75" customHeight="1" x14ac:dyDescent="0.2">
      <c r="X156" s="333"/>
    </row>
    <row r="157" spans="24:24" ht="15.75" customHeight="1" x14ac:dyDescent="0.2">
      <c r="X157" s="333"/>
    </row>
    <row r="158" spans="24:24" ht="15.75" customHeight="1" x14ac:dyDescent="0.2">
      <c r="X158" s="333"/>
    </row>
    <row r="159" spans="24:24" ht="15.75" customHeight="1" x14ac:dyDescent="0.2">
      <c r="X159" s="333"/>
    </row>
    <row r="160" spans="24:24" ht="15.75" customHeight="1" x14ac:dyDescent="0.2">
      <c r="X160" s="333"/>
    </row>
    <row r="161" spans="24:24" ht="15.75" customHeight="1" x14ac:dyDescent="0.2">
      <c r="X161" s="333"/>
    </row>
    <row r="162" spans="24:24" ht="15.75" customHeight="1" x14ac:dyDescent="0.2">
      <c r="X162" s="333"/>
    </row>
    <row r="163" spans="24:24" ht="15.75" customHeight="1" x14ac:dyDescent="0.2">
      <c r="X163" s="333"/>
    </row>
    <row r="164" spans="24:24" ht="15.75" customHeight="1" x14ac:dyDescent="0.2">
      <c r="X164" s="333"/>
    </row>
    <row r="165" spans="24:24" ht="15.75" customHeight="1" x14ac:dyDescent="0.2">
      <c r="X165" s="333"/>
    </row>
    <row r="166" spans="24:24" ht="15.75" customHeight="1" x14ac:dyDescent="0.2">
      <c r="X166" s="333"/>
    </row>
    <row r="167" spans="24:24" ht="15.75" customHeight="1" x14ac:dyDescent="0.2">
      <c r="X167" s="333"/>
    </row>
    <row r="168" spans="24:24" ht="15.75" customHeight="1" x14ac:dyDescent="0.2">
      <c r="X168" s="333"/>
    </row>
    <row r="169" spans="24:24" ht="15.75" customHeight="1" x14ac:dyDescent="0.2">
      <c r="X169" s="333"/>
    </row>
    <row r="170" spans="24:24" ht="15.75" customHeight="1" x14ac:dyDescent="0.2">
      <c r="X170" s="333"/>
    </row>
    <row r="171" spans="24:24" ht="15.75" customHeight="1" x14ac:dyDescent="0.2">
      <c r="X171" s="333"/>
    </row>
    <row r="172" spans="24:24" ht="15.75" customHeight="1" x14ac:dyDescent="0.2">
      <c r="X172" s="333"/>
    </row>
    <row r="173" spans="24:24" ht="15.75" customHeight="1" x14ac:dyDescent="0.2">
      <c r="X173" s="333"/>
    </row>
    <row r="174" spans="24:24" ht="15.75" customHeight="1" x14ac:dyDescent="0.2">
      <c r="X174" s="333"/>
    </row>
    <row r="175" spans="24:24" ht="15.75" customHeight="1" x14ac:dyDescent="0.2">
      <c r="X175" s="333"/>
    </row>
    <row r="176" spans="24:24" ht="15.75" customHeight="1" x14ac:dyDescent="0.2">
      <c r="X176" s="333"/>
    </row>
    <row r="177" spans="24:24" ht="15.75" customHeight="1" x14ac:dyDescent="0.2">
      <c r="X177" s="333"/>
    </row>
    <row r="178" spans="24:24" ht="15.75" customHeight="1" x14ac:dyDescent="0.2">
      <c r="X178" s="333"/>
    </row>
    <row r="179" spans="24:24" ht="15.75" customHeight="1" x14ac:dyDescent="0.2">
      <c r="X179" s="333"/>
    </row>
    <row r="180" spans="24:24" ht="15.75" customHeight="1" x14ac:dyDescent="0.2">
      <c r="X180" s="333"/>
    </row>
    <row r="181" spans="24:24" ht="15.75" customHeight="1" x14ac:dyDescent="0.2">
      <c r="X181" s="333"/>
    </row>
    <row r="182" spans="24:24" ht="15.75" customHeight="1" x14ac:dyDescent="0.2">
      <c r="X182" s="333"/>
    </row>
    <row r="183" spans="24:24" ht="15.75" customHeight="1" x14ac:dyDescent="0.2">
      <c r="X183" s="333"/>
    </row>
    <row r="184" spans="24:24" ht="15.75" customHeight="1" x14ac:dyDescent="0.2">
      <c r="X184" s="333"/>
    </row>
    <row r="185" spans="24:24" ht="15.75" customHeight="1" x14ac:dyDescent="0.2">
      <c r="X185" s="333"/>
    </row>
    <row r="186" spans="24:24" ht="15.75" customHeight="1" x14ac:dyDescent="0.2">
      <c r="X186" s="333"/>
    </row>
    <row r="187" spans="24:24" ht="15.75" customHeight="1" x14ac:dyDescent="0.2">
      <c r="X187" s="333"/>
    </row>
    <row r="188" spans="24:24" ht="15.75" customHeight="1" x14ac:dyDescent="0.2">
      <c r="X188" s="333"/>
    </row>
    <row r="189" spans="24:24" ht="15.75" customHeight="1" x14ac:dyDescent="0.2">
      <c r="X189" s="333"/>
    </row>
    <row r="190" spans="24:24" ht="15.75" customHeight="1" x14ac:dyDescent="0.2">
      <c r="X190" s="333"/>
    </row>
    <row r="191" spans="24:24" ht="15.75" customHeight="1" x14ac:dyDescent="0.2">
      <c r="X191" s="333"/>
    </row>
    <row r="192" spans="24:24" ht="15.75" customHeight="1" x14ac:dyDescent="0.2">
      <c r="X192" s="333"/>
    </row>
    <row r="193" spans="24:24" ht="15.75" customHeight="1" x14ac:dyDescent="0.2">
      <c r="X193" s="333"/>
    </row>
    <row r="194" spans="24:24" ht="15.75" customHeight="1" x14ac:dyDescent="0.2">
      <c r="X194" s="333"/>
    </row>
    <row r="195" spans="24:24" ht="15.75" customHeight="1" x14ac:dyDescent="0.2">
      <c r="X195" s="333"/>
    </row>
    <row r="196" spans="24:24" ht="15.75" customHeight="1" x14ac:dyDescent="0.2">
      <c r="X196" s="333"/>
    </row>
    <row r="197" spans="24:24" ht="15.75" customHeight="1" x14ac:dyDescent="0.2">
      <c r="X197" s="333"/>
    </row>
    <row r="198" spans="24:24" ht="15.75" customHeight="1" x14ac:dyDescent="0.2">
      <c r="X198" s="333"/>
    </row>
    <row r="199" spans="24:24" ht="15.75" customHeight="1" x14ac:dyDescent="0.2">
      <c r="X199" s="333"/>
    </row>
    <row r="200" spans="24:24" ht="15.75" customHeight="1" x14ac:dyDescent="0.2">
      <c r="X200" s="333"/>
    </row>
    <row r="201" spans="24:24" ht="15.75" customHeight="1" x14ac:dyDescent="0.2">
      <c r="X201" s="333"/>
    </row>
    <row r="202" spans="24:24" ht="15.75" customHeight="1" x14ac:dyDescent="0.2">
      <c r="X202" s="333"/>
    </row>
    <row r="203" spans="24:24" ht="15.75" customHeight="1" x14ac:dyDescent="0.2">
      <c r="X203" s="333"/>
    </row>
    <row r="204" spans="24:24" ht="15.75" customHeight="1" x14ac:dyDescent="0.2">
      <c r="X204" s="333"/>
    </row>
    <row r="205" spans="24:24" ht="15.75" customHeight="1" x14ac:dyDescent="0.2">
      <c r="X205" s="333"/>
    </row>
    <row r="206" spans="24:24" ht="15.75" customHeight="1" x14ac:dyDescent="0.2">
      <c r="X206" s="333"/>
    </row>
    <row r="207" spans="24:24" ht="15.75" customHeight="1" x14ac:dyDescent="0.2">
      <c r="X207" s="333"/>
    </row>
    <row r="208" spans="24:24" ht="15.75" customHeight="1" x14ac:dyDescent="0.2">
      <c r="X208" s="333"/>
    </row>
    <row r="209" spans="24:24" ht="15.75" customHeight="1" x14ac:dyDescent="0.2">
      <c r="X209" s="333"/>
    </row>
    <row r="210" spans="24:24" ht="15.75" customHeight="1" x14ac:dyDescent="0.2">
      <c r="X210" s="333"/>
    </row>
    <row r="211" spans="24:24" ht="15.75" customHeight="1" x14ac:dyDescent="0.2">
      <c r="X211" s="333"/>
    </row>
    <row r="212" spans="24:24" ht="15.75" customHeight="1" x14ac:dyDescent="0.2">
      <c r="X212" s="333"/>
    </row>
    <row r="213" spans="24:24" ht="15.75" customHeight="1" x14ac:dyDescent="0.2">
      <c r="X213" s="333"/>
    </row>
    <row r="214" spans="24:24" ht="15.75" customHeight="1" x14ac:dyDescent="0.2">
      <c r="X214" s="333"/>
    </row>
    <row r="215" spans="24:24" ht="15.75" customHeight="1" x14ac:dyDescent="0.2">
      <c r="X215" s="333"/>
    </row>
    <row r="216" spans="24:24" ht="15.75" customHeight="1" x14ac:dyDescent="0.2">
      <c r="X216" s="333"/>
    </row>
    <row r="217" spans="24:24" ht="15.75" customHeight="1" x14ac:dyDescent="0.2">
      <c r="X217" s="333"/>
    </row>
    <row r="218" spans="24:24" ht="15.75" customHeight="1" x14ac:dyDescent="0.2">
      <c r="X218" s="333"/>
    </row>
    <row r="219" spans="24:24" ht="15.75" customHeight="1" x14ac:dyDescent="0.2">
      <c r="X219" s="333"/>
    </row>
    <row r="220" spans="24:24" ht="15.75" customHeight="1" x14ac:dyDescent="0.2">
      <c r="X220" s="333"/>
    </row>
    <row r="221" spans="24:24" ht="15.75" customHeight="1" x14ac:dyDescent="0.2">
      <c r="X221" s="333"/>
    </row>
    <row r="222" spans="24:24" ht="15.75" customHeight="1" x14ac:dyDescent="0.2">
      <c r="X222" s="333"/>
    </row>
    <row r="223" spans="24:24" ht="15.75" customHeight="1" x14ac:dyDescent="0.2">
      <c r="X223" s="333"/>
    </row>
    <row r="224" spans="24:24" ht="15.75" customHeight="1" x14ac:dyDescent="0.2">
      <c r="X224" s="333"/>
    </row>
    <row r="225" spans="24:24" ht="15.75" customHeight="1" x14ac:dyDescent="0.2">
      <c r="X225" s="333"/>
    </row>
    <row r="226" spans="24:24" ht="15.75" customHeight="1" x14ac:dyDescent="0.2">
      <c r="X226" s="333"/>
    </row>
    <row r="227" spans="24:24" ht="15.75" customHeight="1" x14ac:dyDescent="0.2">
      <c r="X227" s="333"/>
    </row>
    <row r="228" spans="24:24" ht="15.75" customHeight="1" x14ac:dyDescent="0.2">
      <c r="X228" s="333"/>
    </row>
    <row r="229" spans="24:24" ht="15.75" customHeight="1" x14ac:dyDescent="0.2">
      <c r="X229" s="333"/>
    </row>
    <row r="230" spans="24:24" ht="15.75" customHeight="1" x14ac:dyDescent="0.2">
      <c r="X230" s="333"/>
    </row>
    <row r="231" spans="24:24" ht="15.75" customHeight="1" x14ac:dyDescent="0.2">
      <c r="X231" s="333"/>
    </row>
    <row r="232" spans="24:24" ht="15.75" customHeight="1" x14ac:dyDescent="0.2">
      <c r="X232" s="333"/>
    </row>
    <row r="233" spans="24:24" ht="15.75" customHeight="1" x14ac:dyDescent="0.2">
      <c r="X233" s="333"/>
    </row>
    <row r="234" spans="24:24" ht="15.75" customHeight="1" x14ac:dyDescent="0.2">
      <c r="X234" s="333"/>
    </row>
    <row r="235" spans="24:24" ht="15.75" customHeight="1" x14ac:dyDescent="0.2">
      <c r="X235" s="333"/>
    </row>
    <row r="236" spans="24:24" ht="15.75" customHeight="1" x14ac:dyDescent="0.2">
      <c r="X236" s="333"/>
    </row>
    <row r="237" spans="24:24" ht="15.75" customHeight="1" x14ac:dyDescent="0.2">
      <c r="X237" s="333"/>
    </row>
    <row r="238" spans="24:24" ht="15.75" customHeight="1" x14ac:dyDescent="0.2">
      <c r="X238" s="333"/>
    </row>
    <row r="239" spans="24:24" ht="15.75" customHeight="1" x14ac:dyDescent="0.2">
      <c r="X239" s="333"/>
    </row>
    <row r="240" spans="24:24" ht="15.75" customHeight="1" x14ac:dyDescent="0.2">
      <c r="X240" s="333"/>
    </row>
    <row r="241" spans="24:24" ht="15.75" customHeight="1" x14ac:dyDescent="0.2">
      <c r="X241" s="333"/>
    </row>
    <row r="242" spans="24:24" ht="15.75" customHeight="1" x14ac:dyDescent="0.2">
      <c r="X242" s="333"/>
    </row>
    <row r="243" spans="24:24" ht="15.75" customHeight="1" x14ac:dyDescent="0.2">
      <c r="X243" s="333"/>
    </row>
    <row r="244" spans="24:24" ht="15.75" customHeight="1" x14ac:dyDescent="0.2">
      <c r="X244" s="333"/>
    </row>
    <row r="245" spans="24:24" ht="15.75" customHeight="1" x14ac:dyDescent="0.2">
      <c r="X245" s="333"/>
    </row>
    <row r="246" spans="24:24" ht="15.75" customHeight="1" x14ac:dyDescent="0.2">
      <c r="X246" s="333"/>
    </row>
    <row r="247" spans="24:24" ht="15.75" customHeight="1" x14ac:dyDescent="0.2">
      <c r="X247" s="333"/>
    </row>
    <row r="248" spans="24:24" ht="15.75" customHeight="1" x14ac:dyDescent="0.2">
      <c r="X248" s="333"/>
    </row>
    <row r="249" spans="24:24" ht="15.75" customHeight="1" x14ac:dyDescent="0.2">
      <c r="X249" s="333"/>
    </row>
    <row r="250" spans="24:24" ht="15.75" customHeight="1" x14ac:dyDescent="0.2">
      <c r="X250" s="333"/>
    </row>
    <row r="251" spans="24:24" ht="15.75" customHeight="1" x14ac:dyDescent="0.2">
      <c r="X251" s="333"/>
    </row>
    <row r="252" spans="24:24" ht="15.75" customHeight="1" x14ac:dyDescent="0.2">
      <c r="X252" s="333"/>
    </row>
    <row r="253" spans="24:24" ht="15.75" customHeight="1" x14ac:dyDescent="0.2">
      <c r="X253" s="333"/>
    </row>
    <row r="254" spans="24:24" ht="15.75" customHeight="1" x14ac:dyDescent="0.2">
      <c r="X254" s="333"/>
    </row>
    <row r="255" spans="24:24" ht="15.75" customHeight="1" x14ac:dyDescent="0.2">
      <c r="X255" s="333"/>
    </row>
    <row r="256" spans="24:24" ht="15.75" customHeight="1" x14ac:dyDescent="0.2">
      <c r="X256" s="333"/>
    </row>
    <row r="257" spans="24:24" ht="15.75" customHeight="1" x14ac:dyDescent="0.2">
      <c r="X257" s="333"/>
    </row>
    <row r="258" spans="24:24" ht="15.75" customHeight="1" x14ac:dyDescent="0.2">
      <c r="X258" s="333"/>
    </row>
    <row r="259" spans="24:24" ht="15.75" customHeight="1" x14ac:dyDescent="0.2">
      <c r="X259" s="333"/>
    </row>
    <row r="260" spans="24:24" ht="15.75" customHeight="1" x14ac:dyDescent="0.2">
      <c r="X260" s="333"/>
    </row>
    <row r="261" spans="24:24" ht="15.75" customHeight="1" x14ac:dyDescent="0.2">
      <c r="X261" s="333"/>
    </row>
    <row r="262" spans="24:24" ht="15.75" customHeight="1" x14ac:dyDescent="0.2">
      <c r="X262" s="333"/>
    </row>
    <row r="263" spans="24:24" ht="15.75" customHeight="1" x14ac:dyDescent="0.2">
      <c r="X263" s="333"/>
    </row>
    <row r="264" spans="24:24" ht="15.75" customHeight="1" x14ac:dyDescent="0.2">
      <c r="X264" s="333"/>
    </row>
    <row r="265" spans="24:24" ht="15.75" customHeight="1" x14ac:dyDescent="0.2">
      <c r="X265" s="333"/>
    </row>
    <row r="266" spans="24:24" ht="15.75" customHeight="1" x14ac:dyDescent="0.2">
      <c r="X266" s="333"/>
    </row>
    <row r="267" spans="24:24" ht="15.75" customHeight="1" x14ac:dyDescent="0.2">
      <c r="X267" s="333"/>
    </row>
    <row r="268" spans="24:24" ht="15.75" customHeight="1" x14ac:dyDescent="0.2">
      <c r="X268" s="333"/>
    </row>
    <row r="269" spans="24:24" ht="15.75" customHeight="1" x14ac:dyDescent="0.2">
      <c r="X269" s="333"/>
    </row>
    <row r="270" spans="24:24" ht="15.75" customHeight="1" x14ac:dyDescent="0.2">
      <c r="X270" s="333"/>
    </row>
    <row r="271" spans="24:24" ht="15.75" customHeight="1" x14ac:dyDescent="0.2">
      <c r="X271" s="333"/>
    </row>
    <row r="272" spans="24:24" ht="15.75" customHeight="1" x14ac:dyDescent="0.2">
      <c r="X272" s="333"/>
    </row>
    <row r="273" spans="24:24" ht="15.75" customHeight="1" x14ac:dyDescent="0.2">
      <c r="X273" s="333"/>
    </row>
    <row r="274" spans="24:24" ht="15.75" customHeight="1" x14ac:dyDescent="0.2">
      <c r="X274" s="333"/>
    </row>
    <row r="275" spans="24:24" ht="15.75" customHeight="1" x14ac:dyDescent="0.2">
      <c r="X275" s="333"/>
    </row>
    <row r="276" spans="24:24" ht="15.75" customHeight="1" x14ac:dyDescent="0.2">
      <c r="X276" s="333"/>
    </row>
    <row r="277" spans="24:24" ht="15.75" customHeight="1" x14ac:dyDescent="0.2">
      <c r="X277" s="333"/>
    </row>
    <row r="278" spans="24:24" ht="15.75" customHeight="1" x14ac:dyDescent="0.2">
      <c r="X278" s="333"/>
    </row>
    <row r="279" spans="24:24" ht="15.75" customHeight="1" x14ac:dyDescent="0.2">
      <c r="X279" s="333"/>
    </row>
    <row r="280" spans="24:24" ht="15.75" customHeight="1" x14ac:dyDescent="0.2">
      <c r="X280" s="333"/>
    </row>
    <row r="281" spans="24:24" ht="15.75" customHeight="1" x14ac:dyDescent="0.2">
      <c r="X281" s="333"/>
    </row>
    <row r="282" spans="24:24" ht="15.75" customHeight="1" x14ac:dyDescent="0.2">
      <c r="X282" s="333"/>
    </row>
    <row r="283" spans="24:24" ht="15.75" customHeight="1" x14ac:dyDescent="0.2">
      <c r="X283" s="333"/>
    </row>
    <row r="284" spans="24:24" ht="15.75" customHeight="1" x14ac:dyDescent="0.2">
      <c r="X284" s="333"/>
    </row>
    <row r="285" spans="24:24" ht="15.75" customHeight="1" x14ac:dyDescent="0.2">
      <c r="X285" s="333"/>
    </row>
    <row r="286" spans="24:24" ht="15.75" customHeight="1" x14ac:dyDescent="0.2">
      <c r="X286" s="333"/>
    </row>
    <row r="287" spans="24:24" ht="15.75" customHeight="1" x14ac:dyDescent="0.2">
      <c r="X287" s="333"/>
    </row>
    <row r="288" spans="24:24" ht="15.75" customHeight="1" x14ac:dyDescent="0.2">
      <c r="X288" s="333"/>
    </row>
    <row r="289" spans="24:24" ht="15.75" customHeight="1" x14ac:dyDescent="0.2">
      <c r="X289" s="333"/>
    </row>
    <row r="290" spans="24:24" ht="15.75" customHeight="1" x14ac:dyDescent="0.2">
      <c r="X290" s="333"/>
    </row>
    <row r="291" spans="24:24" ht="15.75" customHeight="1" x14ac:dyDescent="0.2">
      <c r="X291" s="333"/>
    </row>
    <row r="292" spans="24:24" ht="15.75" customHeight="1" x14ac:dyDescent="0.2">
      <c r="X292" s="333"/>
    </row>
    <row r="293" spans="24:24" ht="15.75" customHeight="1" x14ac:dyDescent="0.2">
      <c r="X293" s="333"/>
    </row>
    <row r="294" spans="24:24" ht="15.75" customHeight="1" x14ac:dyDescent="0.2">
      <c r="X294" s="333"/>
    </row>
    <row r="295" spans="24:24" ht="15.75" customHeight="1" x14ac:dyDescent="0.2">
      <c r="X295" s="333"/>
    </row>
    <row r="296" spans="24:24" ht="15.75" customHeight="1" x14ac:dyDescent="0.2">
      <c r="X296" s="333"/>
    </row>
    <row r="297" spans="24:24" ht="15.75" customHeight="1" x14ac:dyDescent="0.2">
      <c r="X297" s="333"/>
    </row>
    <row r="298" spans="24:24" ht="15.75" customHeight="1" x14ac:dyDescent="0.2">
      <c r="X298" s="333"/>
    </row>
    <row r="299" spans="24:24" ht="15.75" customHeight="1" x14ac:dyDescent="0.2">
      <c r="X299" s="333"/>
    </row>
    <row r="300" spans="24:24" ht="15.75" customHeight="1" x14ac:dyDescent="0.2">
      <c r="X300" s="333"/>
    </row>
    <row r="301" spans="24:24" ht="15.75" customHeight="1" x14ac:dyDescent="0.2">
      <c r="X301" s="333"/>
    </row>
    <row r="302" spans="24:24" ht="15.75" customHeight="1" x14ac:dyDescent="0.2">
      <c r="X302" s="333"/>
    </row>
    <row r="303" spans="24:24" ht="15.75" customHeight="1" x14ac:dyDescent="0.2">
      <c r="X303" s="333"/>
    </row>
    <row r="304" spans="24:24" ht="15.75" customHeight="1" x14ac:dyDescent="0.2">
      <c r="X304" s="333"/>
    </row>
    <row r="305" spans="24:24" ht="15.75" customHeight="1" x14ac:dyDescent="0.2">
      <c r="X305" s="333"/>
    </row>
    <row r="306" spans="24:24" ht="15.75" customHeight="1" x14ac:dyDescent="0.2">
      <c r="X306" s="333"/>
    </row>
    <row r="307" spans="24:24" ht="15.75" customHeight="1" x14ac:dyDescent="0.2">
      <c r="X307" s="333"/>
    </row>
    <row r="308" spans="24:24" ht="15.75" customHeight="1" x14ac:dyDescent="0.2">
      <c r="X308" s="333"/>
    </row>
    <row r="309" spans="24:24" ht="15.75" customHeight="1" x14ac:dyDescent="0.2">
      <c r="X309" s="333"/>
    </row>
    <row r="310" spans="24:24" ht="15.75" customHeight="1" x14ac:dyDescent="0.2">
      <c r="X310" s="333"/>
    </row>
    <row r="311" spans="24:24" ht="15.75" customHeight="1" x14ac:dyDescent="0.2">
      <c r="X311" s="333"/>
    </row>
    <row r="312" spans="24:24" ht="15.75" customHeight="1" x14ac:dyDescent="0.2">
      <c r="X312" s="333"/>
    </row>
    <row r="313" spans="24:24" ht="15.75" customHeight="1" x14ac:dyDescent="0.2">
      <c r="X313" s="333"/>
    </row>
    <row r="314" spans="24:24" ht="15.75" customHeight="1" x14ac:dyDescent="0.2">
      <c r="X314" s="333"/>
    </row>
    <row r="315" spans="24:24" ht="15.75" customHeight="1" x14ac:dyDescent="0.2">
      <c r="X315" s="333"/>
    </row>
    <row r="316" spans="24:24" ht="15.75" customHeight="1" x14ac:dyDescent="0.2">
      <c r="X316" s="333"/>
    </row>
    <row r="317" spans="24:24" ht="15.75" customHeight="1" x14ac:dyDescent="0.2">
      <c r="X317" s="333"/>
    </row>
    <row r="318" spans="24:24" ht="15.75" customHeight="1" x14ac:dyDescent="0.2">
      <c r="X318" s="333"/>
    </row>
    <row r="319" spans="24:24" ht="15.75" customHeight="1" x14ac:dyDescent="0.2">
      <c r="X319" s="333"/>
    </row>
    <row r="320" spans="24:24" ht="15.75" customHeight="1" x14ac:dyDescent="0.2">
      <c r="X320" s="333"/>
    </row>
    <row r="321" spans="24:24" ht="15.75" customHeight="1" x14ac:dyDescent="0.2">
      <c r="X321" s="333"/>
    </row>
    <row r="322" spans="24:24" ht="15.75" customHeight="1" x14ac:dyDescent="0.2">
      <c r="X322" s="333"/>
    </row>
    <row r="323" spans="24:24" ht="15.75" customHeight="1" x14ac:dyDescent="0.2">
      <c r="X323" s="333"/>
    </row>
    <row r="324" spans="24:24" ht="15.75" customHeight="1" x14ac:dyDescent="0.2">
      <c r="X324" s="333"/>
    </row>
    <row r="325" spans="24:24" ht="15.75" customHeight="1" x14ac:dyDescent="0.2">
      <c r="X325" s="333"/>
    </row>
    <row r="326" spans="24:24" ht="15.75" customHeight="1" x14ac:dyDescent="0.2">
      <c r="X326" s="333"/>
    </row>
    <row r="327" spans="24:24" ht="15.75" customHeight="1" x14ac:dyDescent="0.2">
      <c r="X327" s="333"/>
    </row>
    <row r="328" spans="24:24" ht="15.75" customHeight="1" x14ac:dyDescent="0.2">
      <c r="X328" s="333"/>
    </row>
    <row r="329" spans="24:24" ht="15.75" customHeight="1" x14ac:dyDescent="0.2">
      <c r="X329" s="333"/>
    </row>
    <row r="330" spans="24:24" ht="15.75" customHeight="1" x14ac:dyDescent="0.2">
      <c r="X330" s="333"/>
    </row>
    <row r="331" spans="24:24" ht="15.75" customHeight="1" x14ac:dyDescent="0.2">
      <c r="X331" s="333"/>
    </row>
    <row r="332" spans="24:24" ht="15.75" customHeight="1" x14ac:dyDescent="0.2">
      <c r="X332" s="333"/>
    </row>
    <row r="333" spans="24:24" ht="15.75" customHeight="1" x14ac:dyDescent="0.2">
      <c r="X333" s="333"/>
    </row>
    <row r="334" spans="24:24" ht="15.75" customHeight="1" x14ac:dyDescent="0.2">
      <c r="X334" s="333"/>
    </row>
    <row r="335" spans="24:24" ht="15.75" customHeight="1" x14ac:dyDescent="0.2">
      <c r="X335" s="333"/>
    </row>
    <row r="336" spans="24:24" ht="15.75" customHeight="1" x14ac:dyDescent="0.2">
      <c r="X336" s="333"/>
    </row>
    <row r="337" spans="24:24" ht="15.75" customHeight="1" x14ac:dyDescent="0.2">
      <c r="X337" s="333"/>
    </row>
    <row r="338" spans="24:24" ht="15.75" customHeight="1" x14ac:dyDescent="0.2">
      <c r="X338" s="333"/>
    </row>
    <row r="339" spans="24:24" ht="15.75" customHeight="1" x14ac:dyDescent="0.2">
      <c r="X339" s="333"/>
    </row>
    <row r="340" spans="24:24" ht="15.75" customHeight="1" x14ac:dyDescent="0.2">
      <c r="X340" s="333"/>
    </row>
    <row r="341" spans="24:24" ht="15.75" customHeight="1" x14ac:dyDescent="0.2">
      <c r="X341" s="333"/>
    </row>
    <row r="342" spans="24:24" ht="15.75" customHeight="1" x14ac:dyDescent="0.2">
      <c r="X342" s="333"/>
    </row>
    <row r="343" spans="24:24" ht="15.75" customHeight="1" x14ac:dyDescent="0.2">
      <c r="X343" s="333"/>
    </row>
    <row r="344" spans="24:24" ht="15.75" customHeight="1" x14ac:dyDescent="0.2">
      <c r="X344" s="333"/>
    </row>
    <row r="345" spans="24:24" ht="15.75" customHeight="1" x14ac:dyDescent="0.2">
      <c r="X345" s="333"/>
    </row>
    <row r="346" spans="24:24" ht="15.75" customHeight="1" x14ac:dyDescent="0.2">
      <c r="X346" s="333"/>
    </row>
    <row r="347" spans="24:24" ht="15.75" customHeight="1" x14ac:dyDescent="0.2">
      <c r="X347" s="333"/>
    </row>
    <row r="348" spans="24:24" ht="15.75" customHeight="1" x14ac:dyDescent="0.2">
      <c r="X348" s="333"/>
    </row>
    <row r="349" spans="24:24" ht="15.75" customHeight="1" x14ac:dyDescent="0.2">
      <c r="X349" s="333"/>
    </row>
    <row r="350" spans="24:24" ht="15.75" customHeight="1" x14ac:dyDescent="0.2">
      <c r="X350" s="333"/>
    </row>
    <row r="351" spans="24:24" ht="15.75" customHeight="1" x14ac:dyDescent="0.2">
      <c r="X351" s="333"/>
    </row>
    <row r="352" spans="24:24" ht="15.75" customHeight="1" x14ac:dyDescent="0.2">
      <c r="X352" s="333"/>
    </row>
    <row r="353" spans="24:24" ht="15.75" customHeight="1" x14ac:dyDescent="0.2">
      <c r="X353" s="333"/>
    </row>
    <row r="354" spans="24:24" ht="15.75" customHeight="1" x14ac:dyDescent="0.2">
      <c r="X354" s="333"/>
    </row>
    <row r="355" spans="24:24" ht="15.75" customHeight="1" x14ac:dyDescent="0.2">
      <c r="X355" s="333"/>
    </row>
    <row r="356" spans="24:24" ht="15.75" customHeight="1" x14ac:dyDescent="0.2">
      <c r="X356" s="333"/>
    </row>
    <row r="357" spans="24:24" ht="15.75" customHeight="1" x14ac:dyDescent="0.2">
      <c r="X357" s="333"/>
    </row>
    <row r="358" spans="24:24" ht="15.75" customHeight="1" x14ac:dyDescent="0.2">
      <c r="X358" s="333"/>
    </row>
    <row r="359" spans="24:24" ht="15.75" customHeight="1" x14ac:dyDescent="0.2">
      <c r="X359" s="333"/>
    </row>
    <row r="360" spans="24:24" ht="15.75" customHeight="1" x14ac:dyDescent="0.2">
      <c r="X360" s="333"/>
    </row>
    <row r="361" spans="24:24" ht="15.75" customHeight="1" x14ac:dyDescent="0.2">
      <c r="X361" s="333"/>
    </row>
    <row r="362" spans="24:24" ht="15.75" customHeight="1" x14ac:dyDescent="0.2">
      <c r="X362" s="333"/>
    </row>
    <row r="363" spans="24:24" ht="15.75" customHeight="1" x14ac:dyDescent="0.2">
      <c r="X363" s="333"/>
    </row>
    <row r="364" spans="24:24" ht="15.75" customHeight="1" x14ac:dyDescent="0.2">
      <c r="X364" s="333"/>
    </row>
    <row r="365" spans="24:24" ht="15.75" customHeight="1" x14ac:dyDescent="0.2">
      <c r="X365" s="333"/>
    </row>
    <row r="366" spans="24:24" ht="15.75" customHeight="1" x14ac:dyDescent="0.2">
      <c r="X366" s="333"/>
    </row>
    <row r="367" spans="24:24" ht="15.75" customHeight="1" x14ac:dyDescent="0.2">
      <c r="X367" s="333"/>
    </row>
    <row r="368" spans="24:24" ht="15.75" customHeight="1" x14ac:dyDescent="0.2">
      <c r="X368" s="333"/>
    </row>
    <row r="369" spans="24:24" ht="15.75" customHeight="1" x14ac:dyDescent="0.2">
      <c r="X369" s="333"/>
    </row>
    <row r="370" spans="24:24" ht="15.75" customHeight="1" x14ac:dyDescent="0.2">
      <c r="X370" s="333"/>
    </row>
    <row r="371" spans="24:24" ht="15.75" customHeight="1" x14ac:dyDescent="0.2">
      <c r="X371" s="333"/>
    </row>
    <row r="372" spans="24:24" ht="15.75" customHeight="1" x14ac:dyDescent="0.2">
      <c r="X372" s="333"/>
    </row>
    <row r="373" spans="24:24" ht="15.75" customHeight="1" x14ac:dyDescent="0.2">
      <c r="X373" s="333"/>
    </row>
    <row r="374" spans="24:24" ht="15.75" customHeight="1" x14ac:dyDescent="0.2">
      <c r="X374" s="333"/>
    </row>
    <row r="375" spans="24:24" ht="15.75" customHeight="1" x14ac:dyDescent="0.2">
      <c r="X375" s="333"/>
    </row>
    <row r="376" spans="24:24" ht="15.75" customHeight="1" x14ac:dyDescent="0.2">
      <c r="X376" s="333"/>
    </row>
    <row r="377" spans="24:24" ht="15.75" customHeight="1" x14ac:dyDescent="0.2">
      <c r="X377" s="333"/>
    </row>
    <row r="378" spans="24:24" ht="15.75" customHeight="1" x14ac:dyDescent="0.2">
      <c r="X378" s="333"/>
    </row>
    <row r="379" spans="24:24" ht="15.75" customHeight="1" x14ac:dyDescent="0.2">
      <c r="X379" s="333"/>
    </row>
    <row r="380" spans="24:24" ht="15.75" customHeight="1" x14ac:dyDescent="0.2">
      <c r="X380" s="333"/>
    </row>
    <row r="381" spans="24:24" ht="15.75" customHeight="1" x14ac:dyDescent="0.2">
      <c r="X381" s="333"/>
    </row>
    <row r="382" spans="24:24" ht="15.75" customHeight="1" x14ac:dyDescent="0.2">
      <c r="X382" s="333"/>
    </row>
    <row r="383" spans="24:24" ht="15.75" customHeight="1" x14ac:dyDescent="0.2">
      <c r="X383" s="333"/>
    </row>
    <row r="384" spans="24:24" ht="15.75" customHeight="1" x14ac:dyDescent="0.2">
      <c r="X384" s="333"/>
    </row>
    <row r="385" spans="24:24" ht="15.75" customHeight="1" x14ac:dyDescent="0.2">
      <c r="X385" s="333"/>
    </row>
    <row r="386" spans="24:24" ht="15.75" customHeight="1" x14ac:dyDescent="0.2">
      <c r="X386" s="333"/>
    </row>
    <row r="387" spans="24:24" ht="15.75" customHeight="1" x14ac:dyDescent="0.2">
      <c r="X387" s="333"/>
    </row>
    <row r="388" spans="24:24" ht="15.75" customHeight="1" x14ac:dyDescent="0.2">
      <c r="X388" s="333"/>
    </row>
    <row r="389" spans="24:24" ht="15.75" customHeight="1" x14ac:dyDescent="0.2">
      <c r="X389" s="333"/>
    </row>
    <row r="390" spans="24:24" ht="15.75" customHeight="1" x14ac:dyDescent="0.2">
      <c r="X390" s="333"/>
    </row>
    <row r="391" spans="24:24" ht="15.75" customHeight="1" x14ac:dyDescent="0.2">
      <c r="X391" s="333"/>
    </row>
    <row r="392" spans="24:24" ht="15.75" customHeight="1" x14ac:dyDescent="0.2">
      <c r="X392" s="333"/>
    </row>
    <row r="393" spans="24:24" ht="15.75" customHeight="1" x14ac:dyDescent="0.2">
      <c r="X393" s="333"/>
    </row>
    <row r="394" spans="24:24" ht="15.75" customHeight="1" x14ac:dyDescent="0.2">
      <c r="X394" s="333"/>
    </row>
    <row r="395" spans="24:24" ht="15.75" customHeight="1" x14ac:dyDescent="0.2">
      <c r="X395" s="333"/>
    </row>
    <row r="396" spans="24:24" ht="15.75" customHeight="1" x14ac:dyDescent="0.2">
      <c r="X396" s="333"/>
    </row>
    <row r="397" spans="24:24" ht="15.75" customHeight="1" x14ac:dyDescent="0.2">
      <c r="X397" s="333"/>
    </row>
    <row r="398" spans="24:24" ht="15.75" customHeight="1" x14ac:dyDescent="0.2">
      <c r="X398" s="333"/>
    </row>
    <row r="399" spans="24:24" ht="15.75" customHeight="1" x14ac:dyDescent="0.2">
      <c r="X399" s="333"/>
    </row>
    <row r="400" spans="24:24" ht="15.75" customHeight="1" x14ac:dyDescent="0.2">
      <c r="X400" s="333"/>
    </row>
    <row r="401" spans="24:24" ht="15.75" customHeight="1" x14ac:dyDescent="0.2">
      <c r="X401" s="333"/>
    </row>
    <row r="402" spans="24:24" ht="15.75" customHeight="1" x14ac:dyDescent="0.2">
      <c r="X402" s="333"/>
    </row>
    <row r="403" spans="24:24" ht="15.75" customHeight="1" x14ac:dyDescent="0.2">
      <c r="X403" s="333"/>
    </row>
    <row r="404" spans="24:24" ht="15.75" customHeight="1" x14ac:dyDescent="0.2">
      <c r="X404" s="333"/>
    </row>
    <row r="405" spans="24:24" ht="15.75" customHeight="1" x14ac:dyDescent="0.2">
      <c r="X405" s="333"/>
    </row>
    <row r="406" spans="24:24" ht="15.75" customHeight="1" x14ac:dyDescent="0.2">
      <c r="X406" s="333"/>
    </row>
    <row r="407" spans="24:24" ht="15.75" customHeight="1" x14ac:dyDescent="0.2">
      <c r="X407" s="333"/>
    </row>
    <row r="408" spans="24:24" ht="15.75" customHeight="1" x14ac:dyDescent="0.2">
      <c r="X408" s="333"/>
    </row>
    <row r="409" spans="24:24" ht="15.75" customHeight="1" x14ac:dyDescent="0.2">
      <c r="X409" s="333"/>
    </row>
    <row r="410" spans="24:24" ht="15.75" customHeight="1" x14ac:dyDescent="0.2">
      <c r="X410" s="333"/>
    </row>
    <row r="411" spans="24:24" ht="15.75" customHeight="1" x14ac:dyDescent="0.2">
      <c r="X411" s="333"/>
    </row>
    <row r="412" spans="24:24" ht="15.75" customHeight="1" x14ac:dyDescent="0.2">
      <c r="X412" s="333"/>
    </row>
    <row r="413" spans="24:24" ht="15.75" customHeight="1" x14ac:dyDescent="0.2">
      <c r="X413" s="333"/>
    </row>
    <row r="414" spans="24:24" ht="15.75" customHeight="1" x14ac:dyDescent="0.2">
      <c r="X414" s="333"/>
    </row>
    <row r="415" spans="24:24" ht="15.75" customHeight="1" x14ac:dyDescent="0.2">
      <c r="X415" s="333"/>
    </row>
    <row r="416" spans="24:24" ht="15.75" customHeight="1" x14ac:dyDescent="0.2">
      <c r="X416" s="333"/>
    </row>
    <row r="417" spans="24:24" ht="15.75" customHeight="1" x14ac:dyDescent="0.2">
      <c r="X417" s="333"/>
    </row>
    <row r="418" spans="24:24" ht="15.75" customHeight="1" x14ac:dyDescent="0.2">
      <c r="X418" s="333"/>
    </row>
    <row r="419" spans="24:24" ht="15.75" customHeight="1" x14ac:dyDescent="0.2">
      <c r="X419" s="333"/>
    </row>
    <row r="420" spans="24:24" ht="15.75" customHeight="1" x14ac:dyDescent="0.2">
      <c r="X420" s="333"/>
    </row>
    <row r="421" spans="24:24" ht="15.75" customHeight="1" x14ac:dyDescent="0.2">
      <c r="X421" s="333"/>
    </row>
    <row r="422" spans="24:24" ht="15.75" customHeight="1" x14ac:dyDescent="0.2">
      <c r="X422" s="333"/>
    </row>
    <row r="423" spans="24:24" ht="15.75" customHeight="1" x14ac:dyDescent="0.2">
      <c r="X423" s="333"/>
    </row>
    <row r="424" spans="24:24" ht="15.75" customHeight="1" x14ac:dyDescent="0.2">
      <c r="X424" s="333"/>
    </row>
    <row r="425" spans="24:24" ht="15.75" customHeight="1" x14ac:dyDescent="0.2">
      <c r="X425" s="333"/>
    </row>
    <row r="426" spans="24:24" ht="15.75" customHeight="1" x14ac:dyDescent="0.2">
      <c r="X426" s="333"/>
    </row>
    <row r="427" spans="24:24" ht="15.75" customHeight="1" x14ac:dyDescent="0.2">
      <c r="X427" s="333"/>
    </row>
    <row r="428" spans="24:24" ht="15.75" customHeight="1" x14ac:dyDescent="0.2">
      <c r="X428" s="333"/>
    </row>
    <row r="429" spans="24:24" ht="15.75" customHeight="1" x14ac:dyDescent="0.2">
      <c r="X429" s="333"/>
    </row>
    <row r="430" spans="24:24" ht="15.75" customHeight="1" x14ac:dyDescent="0.2">
      <c r="X430" s="333"/>
    </row>
    <row r="431" spans="24:24" ht="15.75" customHeight="1" x14ac:dyDescent="0.2">
      <c r="X431" s="333"/>
    </row>
    <row r="432" spans="24:24" ht="15.75" customHeight="1" x14ac:dyDescent="0.2">
      <c r="X432" s="333"/>
    </row>
    <row r="433" spans="24:24" ht="15.75" customHeight="1" x14ac:dyDescent="0.2">
      <c r="X433" s="333"/>
    </row>
    <row r="434" spans="24:24" ht="15.75" customHeight="1" x14ac:dyDescent="0.2">
      <c r="X434" s="333"/>
    </row>
    <row r="435" spans="24:24" ht="15.75" customHeight="1" x14ac:dyDescent="0.2">
      <c r="X435" s="333"/>
    </row>
    <row r="436" spans="24:24" ht="15.75" customHeight="1" x14ac:dyDescent="0.2">
      <c r="X436" s="333"/>
    </row>
    <row r="437" spans="24:24" ht="15.75" customHeight="1" x14ac:dyDescent="0.2">
      <c r="X437" s="333"/>
    </row>
    <row r="438" spans="24:24" ht="15.75" customHeight="1" x14ac:dyDescent="0.2">
      <c r="X438" s="333"/>
    </row>
    <row r="439" spans="24:24" ht="15.75" customHeight="1" x14ac:dyDescent="0.2">
      <c r="X439" s="333"/>
    </row>
    <row r="440" spans="24:24" ht="15.75" customHeight="1" x14ac:dyDescent="0.2">
      <c r="X440" s="333"/>
    </row>
    <row r="441" spans="24:24" ht="15.75" customHeight="1" x14ac:dyDescent="0.2">
      <c r="X441" s="333"/>
    </row>
    <row r="442" spans="24:24" ht="15.75" customHeight="1" x14ac:dyDescent="0.2">
      <c r="X442" s="333"/>
    </row>
    <row r="443" spans="24:24" ht="15.75" customHeight="1" x14ac:dyDescent="0.2">
      <c r="X443" s="333"/>
    </row>
    <row r="444" spans="24:24" ht="15.75" customHeight="1" x14ac:dyDescent="0.2">
      <c r="X444" s="333"/>
    </row>
    <row r="445" spans="24:24" ht="15.75" customHeight="1" x14ac:dyDescent="0.2">
      <c r="X445" s="333"/>
    </row>
    <row r="446" spans="24:24" ht="15.75" customHeight="1" x14ac:dyDescent="0.2">
      <c r="X446" s="333"/>
    </row>
    <row r="447" spans="24:24" ht="15.75" customHeight="1" x14ac:dyDescent="0.2">
      <c r="X447" s="333"/>
    </row>
    <row r="448" spans="24:24" ht="15.75" customHeight="1" x14ac:dyDescent="0.2">
      <c r="X448" s="333"/>
    </row>
    <row r="449" spans="24:24" ht="15.75" customHeight="1" x14ac:dyDescent="0.2">
      <c r="X449" s="333"/>
    </row>
    <row r="450" spans="24:24" ht="15.75" customHeight="1" x14ac:dyDescent="0.2">
      <c r="X450" s="333"/>
    </row>
    <row r="451" spans="24:24" ht="15.75" customHeight="1" x14ac:dyDescent="0.2">
      <c r="X451" s="333"/>
    </row>
    <row r="452" spans="24:24" ht="15.75" customHeight="1" x14ac:dyDescent="0.2">
      <c r="X452" s="333"/>
    </row>
    <row r="453" spans="24:24" ht="15.75" customHeight="1" x14ac:dyDescent="0.2">
      <c r="X453" s="333"/>
    </row>
    <row r="454" spans="24:24" ht="15.75" customHeight="1" x14ac:dyDescent="0.2">
      <c r="X454" s="333"/>
    </row>
    <row r="455" spans="24:24" ht="15.75" customHeight="1" x14ac:dyDescent="0.2">
      <c r="X455" s="333"/>
    </row>
    <row r="456" spans="24:24" ht="15.75" customHeight="1" x14ac:dyDescent="0.2">
      <c r="X456" s="333"/>
    </row>
    <row r="457" spans="24:24" ht="15.75" customHeight="1" x14ac:dyDescent="0.2">
      <c r="X457" s="333"/>
    </row>
    <row r="458" spans="24:24" ht="15.75" customHeight="1" x14ac:dyDescent="0.2">
      <c r="X458" s="333"/>
    </row>
    <row r="459" spans="24:24" ht="15.75" customHeight="1" x14ac:dyDescent="0.2">
      <c r="X459" s="333"/>
    </row>
    <row r="460" spans="24:24" ht="15.75" customHeight="1" x14ac:dyDescent="0.2">
      <c r="X460" s="333"/>
    </row>
    <row r="461" spans="24:24" ht="15.75" customHeight="1" x14ac:dyDescent="0.2">
      <c r="X461" s="333"/>
    </row>
    <row r="462" spans="24:24" ht="15.75" customHeight="1" x14ac:dyDescent="0.2">
      <c r="X462" s="333"/>
    </row>
    <row r="463" spans="24:24" ht="15.75" customHeight="1" x14ac:dyDescent="0.2">
      <c r="X463" s="333"/>
    </row>
    <row r="464" spans="24:24" ht="15.75" customHeight="1" x14ac:dyDescent="0.2">
      <c r="X464" s="333"/>
    </row>
    <row r="465" spans="24:24" ht="15.75" customHeight="1" x14ac:dyDescent="0.2">
      <c r="X465" s="333"/>
    </row>
    <row r="466" spans="24:24" ht="15.75" customHeight="1" x14ac:dyDescent="0.2">
      <c r="X466" s="333"/>
    </row>
    <row r="467" spans="24:24" ht="15.75" customHeight="1" x14ac:dyDescent="0.2">
      <c r="X467" s="333"/>
    </row>
    <row r="468" spans="24:24" ht="15.75" customHeight="1" x14ac:dyDescent="0.2">
      <c r="X468" s="333"/>
    </row>
    <row r="469" spans="24:24" ht="15.75" customHeight="1" x14ac:dyDescent="0.2">
      <c r="X469" s="333"/>
    </row>
    <row r="470" spans="24:24" ht="15.75" customHeight="1" x14ac:dyDescent="0.2">
      <c r="X470" s="333"/>
    </row>
    <row r="471" spans="24:24" ht="15.75" customHeight="1" x14ac:dyDescent="0.2">
      <c r="X471" s="333"/>
    </row>
    <row r="472" spans="24:24" ht="15.75" customHeight="1" x14ac:dyDescent="0.2">
      <c r="X472" s="333"/>
    </row>
    <row r="473" spans="24:24" ht="15.75" customHeight="1" x14ac:dyDescent="0.2">
      <c r="X473" s="333"/>
    </row>
    <row r="474" spans="24:24" ht="15.75" customHeight="1" x14ac:dyDescent="0.2">
      <c r="X474" s="333"/>
    </row>
    <row r="475" spans="24:24" ht="15.75" customHeight="1" x14ac:dyDescent="0.2">
      <c r="X475" s="333"/>
    </row>
    <row r="476" spans="24:24" ht="15.75" customHeight="1" x14ac:dyDescent="0.2">
      <c r="X476" s="333"/>
    </row>
    <row r="477" spans="24:24" ht="15.75" customHeight="1" x14ac:dyDescent="0.2">
      <c r="X477" s="333"/>
    </row>
    <row r="478" spans="24:24" ht="15.75" customHeight="1" x14ac:dyDescent="0.2">
      <c r="X478" s="333"/>
    </row>
    <row r="479" spans="24:24" ht="15.75" customHeight="1" x14ac:dyDescent="0.2">
      <c r="X479" s="333"/>
    </row>
    <row r="480" spans="24:24" ht="15.75" customHeight="1" x14ac:dyDescent="0.2">
      <c r="X480" s="333"/>
    </row>
    <row r="481" spans="24:24" ht="15.75" customHeight="1" x14ac:dyDescent="0.2">
      <c r="X481" s="333"/>
    </row>
    <row r="482" spans="24:24" ht="15.75" customHeight="1" x14ac:dyDescent="0.2">
      <c r="X482" s="333"/>
    </row>
    <row r="483" spans="24:24" ht="15.75" customHeight="1" x14ac:dyDescent="0.2">
      <c r="X483" s="333"/>
    </row>
    <row r="484" spans="24:24" ht="15.75" customHeight="1" x14ac:dyDescent="0.2">
      <c r="X484" s="333"/>
    </row>
    <row r="485" spans="24:24" ht="15.75" customHeight="1" x14ac:dyDescent="0.2">
      <c r="X485" s="333"/>
    </row>
    <row r="486" spans="24:24" ht="15.75" customHeight="1" x14ac:dyDescent="0.2">
      <c r="X486" s="333"/>
    </row>
    <row r="487" spans="24:24" ht="15.75" customHeight="1" x14ac:dyDescent="0.2">
      <c r="X487" s="333"/>
    </row>
    <row r="488" spans="24:24" ht="15.75" customHeight="1" x14ac:dyDescent="0.2">
      <c r="X488" s="333"/>
    </row>
    <row r="489" spans="24:24" ht="15.75" customHeight="1" x14ac:dyDescent="0.2">
      <c r="X489" s="333"/>
    </row>
    <row r="490" spans="24:24" ht="15.75" customHeight="1" x14ac:dyDescent="0.2">
      <c r="X490" s="333"/>
    </row>
    <row r="491" spans="24:24" ht="15.75" customHeight="1" x14ac:dyDescent="0.2">
      <c r="X491" s="333"/>
    </row>
    <row r="492" spans="24:24" ht="15.75" customHeight="1" x14ac:dyDescent="0.2">
      <c r="X492" s="333"/>
    </row>
    <row r="493" spans="24:24" ht="15.75" customHeight="1" x14ac:dyDescent="0.2">
      <c r="X493" s="333"/>
    </row>
    <row r="494" spans="24:24" ht="15.75" customHeight="1" x14ac:dyDescent="0.2">
      <c r="X494" s="333"/>
    </row>
    <row r="495" spans="24:24" ht="15.75" customHeight="1" x14ac:dyDescent="0.2">
      <c r="X495" s="333"/>
    </row>
    <row r="496" spans="24:24" ht="15.75" customHeight="1" x14ac:dyDescent="0.2">
      <c r="X496" s="333"/>
    </row>
    <row r="497" spans="24:24" ht="15.75" customHeight="1" x14ac:dyDescent="0.2">
      <c r="X497" s="333"/>
    </row>
    <row r="498" spans="24:24" ht="15.75" customHeight="1" x14ac:dyDescent="0.2">
      <c r="X498" s="333"/>
    </row>
    <row r="499" spans="24:24" ht="15.75" customHeight="1" x14ac:dyDescent="0.2">
      <c r="X499" s="333"/>
    </row>
    <row r="500" spans="24:24" ht="15.75" customHeight="1" x14ac:dyDescent="0.2">
      <c r="X500" s="333"/>
    </row>
    <row r="501" spans="24:24" ht="15.75" customHeight="1" x14ac:dyDescent="0.2">
      <c r="X501" s="333"/>
    </row>
    <row r="502" spans="24:24" ht="15.75" customHeight="1" x14ac:dyDescent="0.2">
      <c r="X502" s="333"/>
    </row>
    <row r="503" spans="24:24" ht="15.75" customHeight="1" x14ac:dyDescent="0.2">
      <c r="X503" s="333"/>
    </row>
    <row r="504" spans="24:24" ht="15.75" customHeight="1" x14ac:dyDescent="0.2">
      <c r="X504" s="333"/>
    </row>
    <row r="505" spans="24:24" ht="15.75" customHeight="1" x14ac:dyDescent="0.2">
      <c r="X505" s="333"/>
    </row>
    <row r="506" spans="24:24" ht="15.75" customHeight="1" x14ac:dyDescent="0.2">
      <c r="X506" s="333"/>
    </row>
    <row r="507" spans="24:24" ht="15.75" customHeight="1" x14ac:dyDescent="0.2">
      <c r="X507" s="333"/>
    </row>
    <row r="508" spans="24:24" ht="15.75" customHeight="1" x14ac:dyDescent="0.2">
      <c r="X508" s="333"/>
    </row>
    <row r="509" spans="24:24" ht="15.75" customHeight="1" x14ac:dyDescent="0.2">
      <c r="X509" s="333"/>
    </row>
    <row r="510" spans="24:24" ht="15.75" customHeight="1" x14ac:dyDescent="0.2">
      <c r="X510" s="333"/>
    </row>
    <row r="511" spans="24:24" ht="15.75" customHeight="1" x14ac:dyDescent="0.2">
      <c r="X511" s="333"/>
    </row>
    <row r="512" spans="24:24" ht="15.75" customHeight="1" x14ac:dyDescent="0.2">
      <c r="X512" s="333"/>
    </row>
    <row r="513" spans="24:24" ht="15.75" customHeight="1" x14ac:dyDescent="0.2">
      <c r="X513" s="333"/>
    </row>
    <row r="514" spans="24:24" ht="15.75" customHeight="1" x14ac:dyDescent="0.2">
      <c r="X514" s="333"/>
    </row>
    <row r="515" spans="24:24" ht="15.75" customHeight="1" x14ac:dyDescent="0.2">
      <c r="X515" s="333"/>
    </row>
    <row r="516" spans="24:24" ht="15.75" customHeight="1" x14ac:dyDescent="0.2">
      <c r="X516" s="333"/>
    </row>
    <row r="517" spans="24:24" ht="15.75" customHeight="1" x14ac:dyDescent="0.2">
      <c r="X517" s="333"/>
    </row>
    <row r="518" spans="24:24" ht="15.75" customHeight="1" x14ac:dyDescent="0.2">
      <c r="X518" s="333"/>
    </row>
    <row r="519" spans="24:24" ht="15.75" customHeight="1" x14ac:dyDescent="0.2">
      <c r="X519" s="333"/>
    </row>
    <row r="520" spans="24:24" ht="15.75" customHeight="1" x14ac:dyDescent="0.2">
      <c r="X520" s="333"/>
    </row>
    <row r="521" spans="24:24" ht="15.75" customHeight="1" x14ac:dyDescent="0.2">
      <c r="X521" s="333"/>
    </row>
    <row r="522" spans="24:24" ht="15.75" customHeight="1" x14ac:dyDescent="0.2">
      <c r="X522" s="333"/>
    </row>
    <row r="523" spans="24:24" ht="15.75" customHeight="1" x14ac:dyDescent="0.2">
      <c r="X523" s="333"/>
    </row>
    <row r="524" spans="24:24" ht="15.75" customHeight="1" x14ac:dyDescent="0.2">
      <c r="X524" s="333"/>
    </row>
    <row r="525" spans="24:24" ht="15.75" customHeight="1" x14ac:dyDescent="0.2">
      <c r="X525" s="333"/>
    </row>
    <row r="526" spans="24:24" ht="15.75" customHeight="1" x14ac:dyDescent="0.2">
      <c r="X526" s="333"/>
    </row>
    <row r="527" spans="24:24" ht="15.75" customHeight="1" x14ac:dyDescent="0.2">
      <c r="X527" s="333"/>
    </row>
    <row r="528" spans="24:24" ht="15.75" customHeight="1" x14ac:dyDescent="0.2">
      <c r="X528" s="333"/>
    </row>
    <row r="529" spans="24:24" ht="15.75" customHeight="1" x14ac:dyDescent="0.2">
      <c r="X529" s="333"/>
    </row>
    <row r="530" spans="24:24" ht="15.75" customHeight="1" x14ac:dyDescent="0.2">
      <c r="X530" s="333"/>
    </row>
    <row r="531" spans="24:24" ht="15.75" customHeight="1" x14ac:dyDescent="0.2">
      <c r="X531" s="333"/>
    </row>
    <row r="532" spans="24:24" ht="15.75" customHeight="1" x14ac:dyDescent="0.2">
      <c r="X532" s="333"/>
    </row>
    <row r="533" spans="24:24" ht="15.75" customHeight="1" x14ac:dyDescent="0.2">
      <c r="X533" s="333"/>
    </row>
    <row r="534" spans="24:24" ht="15.75" customHeight="1" x14ac:dyDescent="0.2">
      <c r="X534" s="333"/>
    </row>
    <row r="535" spans="24:24" ht="15.75" customHeight="1" x14ac:dyDescent="0.2">
      <c r="X535" s="333"/>
    </row>
    <row r="536" spans="24:24" ht="15.75" customHeight="1" x14ac:dyDescent="0.2">
      <c r="X536" s="333"/>
    </row>
    <row r="537" spans="24:24" ht="15.75" customHeight="1" x14ac:dyDescent="0.2">
      <c r="X537" s="333"/>
    </row>
    <row r="538" spans="24:24" ht="15.75" customHeight="1" x14ac:dyDescent="0.2">
      <c r="X538" s="333"/>
    </row>
    <row r="539" spans="24:24" ht="15.75" customHeight="1" x14ac:dyDescent="0.2">
      <c r="X539" s="333"/>
    </row>
    <row r="540" spans="24:24" ht="15.75" customHeight="1" x14ac:dyDescent="0.2">
      <c r="X540" s="333"/>
    </row>
    <row r="541" spans="24:24" ht="15.75" customHeight="1" x14ac:dyDescent="0.2">
      <c r="X541" s="333"/>
    </row>
    <row r="542" spans="24:24" ht="15.75" customHeight="1" x14ac:dyDescent="0.2">
      <c r="X542" s="333"/>
    </row>
    <row r="543" spans="24:24" ht="15.75" customHeight="1" x14ac:dyDescent="0.2">
      <c r="X543" s="333"/>
    </row>
    <row r="544" spans="24:24" ht="15.75" customHeight="1" x14ac:dyDescent="0.2">
      <c r="X544" s="333"/>
    </row>
    <row r="545" spans="24:24" ht="15.75" customHeight="1" x14ac:dyDescent="0.2">
      <c r="X545" s="333"/>
    </row>
    <row r="546" spans="24:24" ht="15.75" customHeight="1" x14ac:dyDescent="0.2">
      <c r="X546" s="333"/>
    </row>
    <row r="547" spans="24:24" ht="15.75" customHeight="1" x14ac:dyDescent="0.2">
      <c r="X547" s="333"/>
    </row>
    <row r="548" spans="24:24" ht="15.75" customHeight="1" x14ac:dyDescent="0.2">
      <c r="X548" s="333"/>
    </row>
    <row r="549" spans="24:24" ht="15.75" customHeight="1" x14ac:dyDescent="0.2">
      <c r="X549" s="333"/>
    </row>
    <row r="550" spans="24:24" ht="15.75" customHeight="1" x14ac:dyDescent="0.2">
      <c r="X550" s="333"/>
    </row>
    <row r="551" spans="24:24" ht="15.75" customHeight="1" x14ac:dyDescent="0.2">
      <c r="X551" s="333"/>
    </row>
    <row r="552" spans="24:24" ht="15.75" customHeight="1" x14ac:dyDescent="0.2">
      <c r="X552" s="333"/>
    </row>
    <row r="553" spans="24:24" ht="15.75" customHeight="1" x14ac:dyDescent="0.2">
      <c r="X553" s="333"/>
    </row>
    <row r="554" spans="24:24" ht="15.75" customHeight="1" x14ac:dyDescent="0.2">
      <c r="X554" s="333"/>
    </row>
    <row r="555" spans="24:24" ht="15.75" customHeight="1" x14ac:dyDescent="0.2">
      <c r="X555" s="333"/>
    </row>
    <row r="556" spans="24:24" ht="15.75" customHeight="1" x14ac:dyDescent="0.2">
      <c r="X556" s="333"/>
    </row>
    <row r="557" spans="24:24" ht="15.75" customHeight="1" x14ac:dyDescent="0.2">
      <c r="X557" s="333"/>
    </row>
    <row r="558" spans="24:24" ht="15.75" customHeight="1" x14ac:dyDescent="0.2">
      <c r="X558" s="333"/>
    </row>
    <row r="559" spans="24:24" ht="15.75" customHeight="1" x14ac:dyDescent="0.2">
      <c r="X559" s="333"/>
    </row>
    <row r="560" spans="24:24" ht="15.75" customHeight="1" x14ac:dyDescent="0.2">
      <c r="X560" s="333"/>
    </row>
    <row r="561" spans="24:24" ht="15.75" customHeight="1" x14ac:dyDescent="0.2">
      <c r="X561" s="333"/>
    </row>
    <row r="562" spans="24:24" ht="15.75" customHeight="1" x14ac:dyDescent="0.2">
      <c r="X562" s="333"/>
    </row>
    <row r="563" spans="24:24" ht="15.75" customHeight="1" x14ac:dyDescent="0.2">
      <c r="X563" s="333"/>
    </row>
    <row r="564" spans="24:24" ht="15.75" customHeight="1" x14ac:dyDescent="0.2">
      <c r="X564" s="333"/>
    </row>
    <row r="565" spans="24:24" ht="15.75" customHeight="1" x14ac:dyDescent="0.2">
      <c r="X565" s="333"/>
    </row>
    <row r="566" spans="24:24" ht="15.75" customHeight="1" x14ac:dyDescent="0.2">
      <c r="X566" s="333"/>
    </row>
    <row r="567" spans="24:24" ht="15.75" customHeight="1" x14ac:dyDescent="0.2">
      <c r="X567" s="333"/>
    </row>
    <row r="568" spans="24:24" ht="15.75" customHeight="1" x14ac:dyDescent="0.2">
      <c r="X568" s="333"/>
    </row>
    <row r="569" spans="24:24" ht="15.75" customHeight="1" x14ac:dyDescent="0.2">
      <c r="X569" s="333"/>
    </row>
    <row r="570" spans="24:24" ht="15.75" customHeight="1" x14ac:dyDescent="0.2">
      <c r="X570" s="333"/>
    </row>
    <row r="571" spans="24:24" ht="15.75" customHeight="1" x14ac:dyDescent="0.2">
      <c r="X571" s="333"/>
    </row>
    <row r="572" spans="24:24" ht="15.75" customHeight="1" x14ac:dyDescent="0.2">
      <c r="X572" s="333"/>
    </row>
    <row r="573" spans="24:24" ht="15.75" customHeight="1" x14ac:dyDescent="0.2">
      <c r="X573" s="333"/>
    </row>
    <row r="574" spans="24:24" ht="15.75" customHeight="1" x14ac:dyDescent="0.2">
      <c r="X574" s="333"/>
    </row>
    <row r="575" spans="24:24" ht="15.75" customHeight="1" x14ac:dyDescent="0.2">
      <c r="X575" s="333"/>
    </row>
    <row r="576" spans="24:24" ht="15.75" customHeight="1" x14ac:dyDescent="0.2">
      <c r="X576" s="333"/>
    </row>
    <row r="577" spans="24:24" ht="15.75" customHeight="1" x14ac:dyDescent="0.2">
      <c r="X577" s="333"/>
    </row>
    <row r="578" spans="24:24" ht="15.75" customHeight="1" x14ac:dyDescent="0.2">
      <c r="X578" s="333"/>
    </row>
    <row r="579" spans="24:24" ht="15.75" customHeight="1" x14ac:dyDescent="0.2">
      <c r="X579" s="333"/>
    </row>
    <row r="580" spans="24:24" ht="15.75" customHeight="1" x14ac:dyDescent="0.2">
      <c r="X580" s="333"/>
    </row>
    <row r="581" spans="24:24" ht="15.75" customHeight="1" x14ac:dyDescent="0.2">
      <c r="X581" s="333"/>
    </row>
    <row r="582" spans="24:24" ht="15.75" customHeight="1" x14ac:dyDescent="0.2">
      <c r="X582" s="333"/>
    </row>
    <row r="583" spans="24:24" ht="15.75" customHeight="1" x14ac:dyDescent="0.2">
      <c r="X583" s="333"/>
    </row>
    <row r="584" spans="24:24" ht="15.75" customHeight="1" x14ac:dyDescent="0.2">
      <c r="X584" s="333"/>
    </row>
    <row r="585" spans="24:24" ht="15.75" customHeight="1" x14ac:dyDescent="0.2">
      <c r="X585" s="333"/>
    </row>
    <row r="586" spans="24:24" ht="15.75" customHeight="1" x14ac:dyDescent="0.2">
      <c r="X586" s="333"/>
    </row>
    <row r="587" spans="24:24" ht="15.75" customHeight="1" x14ac:dyDescent="0.2">
      <c r="X587" s="333"/>
    </row>
    <row r="588" spans="24:24" ht="15.75" customHeight="1" x14ac:dyDescent="0.2">
      <c r="X588" s="333"/>
    </row>
    <row r="589" spans="24:24" ht="15.75" customHeight="1" x14ac:dyDescent="0.2">
      <c r="X589" s="333"/>
    </row>
    <row r="590" spans="24:24" ht="15.75" customHeight="1" x14ac:dyDescent="0.2">
      <c r="X590" s="333"/>
    </row>
    <row r="591" spans="24:24" ht="15.75" customHeight="1" x14ac:dyDescent="0.2">
      <c r="X591" s="333"/>
    </row>
    <row r="592" spans="24:24" ht="15.75" customHeight="1" x14ac:dyDescent="0.2">
      <c r="X592" s="333"/>
    </row>
    <row r="593" spans="24:24" ht="15.75" customHeight="1" x14ac:dyDescent="0.2">
      <c r="X593" s="333"/>
    </row>
    <row r="594" spans="24:24" ht="15.75" customHeight="1" x14ac:dyDescent="0.2">
      <c r="X594" s="333"/>
    </row>
    <row r="595" spans="24:24" ht="15.75" customHeight="1" x14ac:dyDescent="0.2">
      <c r="X595" s="333"/>
    </row>
    <row r="596" spans="24:24" ht="15.75" customHeight="1" x14ac:dyDescent="0.2">
      <c r="X596" s="333"/>
    </row>
    <row r="597" spans="24:24" ht="15.75" customHeight="1" x14ac:dyDescent="0.2">
      <c r="X597" s="333"/>
    </row>
    <row r="598" spans="24:24" ht="15.75" customHeight="1" x14ac:dyDescent="0.2">
      <c r="X598" s="333"/>
    </row>
    <row r="599" spans="24:24" ht="15.75" customHeight="1" x14ac:dyDescent="0.2">
      <c r="X599" s="333"/>
    </row>
    <row r="600" spans="24:24" ht="15.75" customHeight="1" x14ac:dyDescent="0.2">
      <c r="X600" s="333"/>
    </row>
    <row r="601" spans="24:24" ht="15.75" customHeight="1" x14ac:dyDescent="0.2">
      <c r="X601" s="333"/>
    </row>
    <row r="602" spans="24:24" ht="15.75" customHeight="1" x14ac:dyDescent="0.2">
      <c r="X602" s="333"/>
    </row>
    <row r="603" spans="24:24" ht="15.75" customHeight="1" x14ac:dyDescent="0.2">
      <c r="X603" s="333"/>
    </row>
    <row r="604" spans="24:24" ht="15.75" customHeight="1" x14ac:dyDescent="0.2">
      <c r="X604" s="333"/>
    </row>
    <row r="605" spans="24:24" ht="15.75" customHeight="1" x14ac:dyDescent="0.2">
      <c r="X605" s="333"/>
    </row>
    <row r="606" spans="24:24" ht="15.75" customHeight="1" x14ac:dyDescent="0.2">
      <c r="X606" s="333"/>
    </row>
    <row r="607" spans="24:24" ht="15.75" customHeight="1" x14ac:dyDescent="0.2">
      <c r="X607" s="333"/>
    </row>
    <row r="608" spans="24:24" ht="15.75" customHeight="1" x14ac:dyDescent="0.2">
      <c r="X608" s="333"/>
    </row>
    <row r="609" spans="24:24" ht="15.75" customHeight="1" x14ac:dyDescent="0.2">
      <c r="X609" s="333"/>
    </row>
    <row r="610" spans="24:24" ht="15.75" customHeight="1" x14ac:dyDescent="0.2">
      <c r="X610" s="333"/>
    </row>
    <row r="611" spans="24:24" ht="15.75" customHeight="1" x14ac:dyDescent="0.2">
      <c r="X611" s="333"/>
    </row>
    <row r="612" spans="24:24" ht="15.75" customHeight="1" x14ac:dyDescent="0.2">
      <c r="X612" s="333"/>
    </row>
    <row r="613" spans="24:24" ht="15.75" customHeight="1" x14ac:dyDescent="0.2">
      <c r="X613" s="333"/>
    </row>
    <row r="614" spans="24:24" ht="15.75" customHeight="1" x14ac:dyDescent="0.2">
      <c r="X614" s="333"/>
    </row>
    <row r="615" spans="24:24" ht="15.75" customHeight="1" x14ac:dyDescent="0.2">
      <c r="X615" s="333"/>
    </row>
    <row r="616" spans="24:24" ht="15.75" customHeight="1" x14ac:dyDescent="0.2">
      <c r="X616" s="333"/>
    </row>
    <row r="617" spans="24:24" ht="15.75" customHeight="1" x14ac:dyDescent="0.2">
      <c r="X617" s="333"/>
    </row>
    <row r="618" spans="24:24" ht="15.75" customHeight="1" x14ac:dyDescent="0.2">
      <c r="X618" s="333"/>
    </row>
    <row r="619" spans="24:24" ht="15.75" customHeight="1" x14ac:dyDescent="0.2">
      <c r="X619" s="333"/>
    </row>
    <row r="620" spans="24:24" ht="15.75" customHeight="1" x14ac:dyDescent="0.2">
      <c r="X620" s="333"/>
    </row>
    <row r="621" spans="24:24" ht="15.75" customHeight="1" x14ac:dyDescent="0.2">
      <c r="X621" s="333"/>
    </row>
    <row r="622" spans="24:24" ht="15.75" customHeight="1" x14ac:dyDescent="0.2">
      <c r="X622" s="333"/>
    </row>
    <row r="623" spans="24:24" ht="15.75" customHeight="1" x14ac:dyDescent="0.2">
      <c r="X623" s="333"/>
    </row>
    <row r="624" spans="24:24" ht="15.75" customHeight="1" x14ac:dyDescent="0.2">
      <c r="X624" s="333"/>
    </row>
    <row r="625" spans="24:24" ht="15.75" customHeight="1" x14ac:dyDescent="0.2">
      <c r="X625" s="333"/>
    </row>
    <row r="626" spans="24:24" ht="15.75" customHeight="1" x14ac:dyDescent="0.2">
      <c r="X626" s="333"/>
    </row>
    <row r="627" spans="24:24" ht="15.75" customHeight="1" x14ac:dyDescent="0.2">
      <c r="X627" s="333"/>
    </row>
    <row r="628" spans="24:24" ht="15.75" customHeight="1" x14ac:dyDescent="0.2">
      <c r="X628" s="333"/>
    </row>
    <row r="629" spans="24:24" ht="15.75" customHeight="1" x14ac:dyDescent="0.2">
      <c r="X629" s="333"/>
    </row>
    <row r="630" spans="24:24" ht="15.75" customHeight="1" x14ac:dyDescent="0.2">
      <c r="X630" s="333"/>
    </row>
    <row r="631" spans="24:24" ht="15.75" customHeight="1" x14ac:dyDescent="0.2">
      <c r="X631" s="333"/>
    </row>
    <row r="632" spans="24:24" ht="15.75" customHeight="1" x14ac:dyDescent="0.2">
      <c r="X632" s="333"/>
    </row>
    <row r="633" spans="24:24" ht="15.75" customHeight="1" x14ac:dyDescent="0.2">
      <c r="X633" s="333"/>
    </row>
    <row r="634" spans="24:24" ht="15.75" customHeight="1" x14ac:dyDescent="0.2">
      <c r="X634" s="333"/>
    </row>
    <row r="635" spans="24:24" ht="15.75" customHeight="1" x14ac:dyDescent="0.2">
      <c r="X635" s="333"/>
    </row>
    <row r="636" spans="24:24" ht="15.75" customHeight="1" x14ac:dyDescent="0.2">
      <c r="X636" s="333"/>
    </row>
    <row r="637" spans="24:24" ht="15.75" customHeight="1" x14ac:dyDescent="0.2">
      <c r="X637" s="333"/>
    </row>
    <row r="638" spans="24:24" ht="15.75" customHeight="1" x14ac:dyDescent="0.2">
      <c r="X638" s="333"/>
    </row>
    <row r="639" spans="24:24" ht="15.75" customHeight="1" x14ac:dyDescent="0.2">
      <c r="X639" s="333"/>
    </row>
    <row r="640" spans="24:24" ht="15.75" customHeight="1" x14ac:dyDescent="0.2">
      <c r="X640" s="333"/>
    </row>
    <row r="641" spans="24:24" ht="15.75" customHeight="1" x14ac:dyDescent="0.2">
      <c r="X641" s="333"/>
    </row>
    <row r="642" spans="24:24" ht="15.75" customHeight="1" x14ac:dyDescent="0.2">
      <c r="X642" s="333"/>
    </row>
    <row r="643" spans="24:24" ht="15.75" customHeight="1" x14ac:dyDescent="0.2">
      <c r="X643" s="333"/>
    </row>
    <row r="644" spans="24:24" ht="15.75" customHeight="1" x14ac:dyDescent="0.2">
      <c r="X644" s="333"/>
    </row>
    <row r="645" spans="24:24" ht="15.75" customHeight="1" x14ac:dyDescent="0.2">
      <c r="X645" s="333"/>
    </row>
    <row r="646" spans="24:24" ht="15.75" customHeight="1" x14ac:dyDescent="0.2">
      <c r="X646" s="333"/>
    </row>
    <row r="647" spans="24:24" ht="15.75" customHeight="1" x14ac:dyDescent="0.2">
      <c r="X647" s="333"/>
    </row>
    <row r="648" spans="24:24" ht="15.75" customHeight="1" x14ac:dyDescent="0.2">
      <c r="X648" s="333"/>
    </row>
    <row r="649" spans="24:24" ht="15.75" customHeight="1" x14ac:dyDescent="0.2">
      <c r="X649" s="333"/>
    </row>
    <row r="650" spans="24:24" ht="15.75" customHeight="1" x14ac:dyDescent="0.2">
      <c r="X650" s="333"/>
    </row>
    <row r="651" spans="24:24" ht="15.75" customHeight="1" x14ac:dyDescent="0.2">
      <c r="X651" s="333"/>
    </row>
    <row r="652" spans="24:24" ht="15.75" customHeight="1" x14ac:dyDescent="0.2">
      <c r="X652" s="333"/>
    </row>
    <row r="653" spans="24:24" ht="15.75" customHeight="1" x14ac:dyDescent="0.2">
      <c r="X653" s="333"/>
    </row>
    <row r="654" spans="24:24" ht="15.75" customHeight="1" x14ac:dyDescent="0.2">
      <c r="X654" s="333"/>
    </row>
    <row r="655" spans="24:24" ht="15.75" customHeight="1" x14ac:dyDescent="0.2">
      <c r="X655" s="333"/>
    </row>
    <row r="656" spans="24:24" ht="15.75" customHeight="1" x14ac:dyDescent="0.2">
      <c r="X656" s="333"/>
    </row>
    <row r="657" spans="24:24" ht="15.75" customHeight="1" x14ac:dyDescent="0.2">
      <c r="X657" s="333"/>
    </row>
    <row r="658" spans="24:24" ht="15.75" customHeight="1" x14ac:dyDescent="0.2">
      <c r="X658" s="333"/>
    </row>
    <row r="659" spans="24:24" ht="15.75" customHeight="1" x14ac:dyDescent="0.2">
      <c r="X659" s="333"/>
    </row>
    <row r="660" spans="24:24" ht="15.75" customHeight="1" x14ac:dyDescent="0.2">
      <c r="X660" s="333"/>
    </row>
    <row r="661" spans="24:24" ht="15.75" customHeight="1" x14ac:dyDescent="0.2">
      <c r="X661" s="333"/>
    </row>
    <row r="662" spans="24:24" ht="15.75" customHeight="1" x14ac:dyDescent="0.2">
      <c r="X662" s="333"/>
    </row>
    <row r="663" spans="24:24" ht="15.75" customHeight="1" x14ac:dyDescent="0.2">
      <c r="X663" s="333"/>
    </row>
    <row r="664" spans="24:24" ht="15.75" customHeight="1" x14ac:dyDescent="0.2">
      <c r="X664" s="333"/>
    </row>
    <row r="665" spans="24:24" ht="15.75" customHeight="1" x14ac:dyDescent="0.2">
      <c r="X665" s="333"/>
    </row>
    <row r="666" spans="24:24" ht="15.75" customHeight="1" x14ac:dyDescent="0.2">
      <c r="X666" s="333"/>
    </row>
    <row r="667" spans="24:24" ht="15.75" customHeight="1" x14ac:dyDescent="0.2">
      <c r="X667" s="333"/>
    </row>
    <row r="668" spans="24:24" ht="15.75" customHeight="1" x14ac:dyDescent="0.2">
      <c r="X668" s="333"/>
    </row>
    <row r="669" spans="24:24" ht="15.75" customHeight="1" x14ac:dyDescent="0.2">
      <c r="X669" s="333"/>
    </row>
    <row r="670" spans="24:24" ht="15.75" customHeight="1" x14ac:dyDescent="0.2">
      <c r="X670" s="333"/>
    </row>
    <row r="671" spans="24:24" ht="15.75" customHeight="1" x14ac:dyDescent="0.2">
      <c r="X671" s="333"/>
    </row>
    <row r="672" spans="24:24" ht="15.75" customHeight="1" x14ac:dyDescent="0.2">
      <c r="X672" s="333"/>
    </row>
    <row r="673" spans="24:24" ht="15.75" customHeight="1" x14ac:dyDescent="0.2">
      <c r="X673" s="333"/>
    </row>
    <row r="674" spans="24:24" ht="15.75" customHeight="1" x14ac:dyDescent="0.2">
      <c r="X674" s="333"/>
    </row>
    <row r="675" spans="24:24" ht="15.75" customHeight="1" x14ac:dyDescent="0.2">
      <c r="X675" s="333"/>
    </row>
    <row r="676" spans="24:24" ht="15.75" customHeight="1" x14ac:dyDescent="0.2">
      <c r="X676" s="333"/>
    </row>
    <row r="677" spans="24:24" ht="15.75" customHeight="1" x14ac:dyDescent="0.2">
      <c r="X677" s="333"/>
    </row>
    <row r="678" spans="24:24" ht="15.75" customHeight="1" x14ac:dyDescent="0.2">
      <c r="X678" s="333"/>
    </row>
    <row r="679" spans="24:24" ht="15.75" customHeight="1" x14ac:dyDescent="0.2">
      <c r="X679" s="333"/>
    </row>
    <row r="680" spans="24:24" ht="15.75" customHeight="1" x14ac:dyDescent="0.2">
      <c r="X680" s="333"/>
    </row>
    <row r="681" spans="24:24" ht="15.75" customHeight="1" x14ac:dyDescent="0.2">
      <c r="X681" s="333"/>
    </row>
    <row r="682" spans="24:24" ht="15.75" customHeight="1" x14ac:dyDescent="0.2">
      <c r="X682" s="333"/>
    </row>
    <row r="683" spans="24:24" ht="15.75" customHeight="1" x14ac:dyDescent="0.2">
      <c r="X683" s="333"/>
    </row>
    <row r="684" spans="24:24" ht="15.75" customHeight="1" x14ac:dyDescent="0.2">
      <c r="X684" s="333"/>
    </row>
    <row r="685" spans="24:24" ht="15.75" customHeight="1" x14ac:dyDescent="0.2">
      <c r="X685" s="333"/>
    </row>
    <row r="686" spans="24:24" ht="15.75" customHeight="1" x14ac:dyDescent="0.2">
      <c r="X686" s="333"/>
    </row>
    <row r="687" spans="24:24" ht="15.75" customHeight="1" x14ac:dyDescent="0.2">
      <c r="X687" s="333"/>
    </row>
    <row r="688" spans="24:24" ht="15.75" customHeight="1" x14ac:dyDescent="0.2">
      <c r="X688" s="333"/>
    </row>
    <row r="689" spans="24:24" ht="15.75" customHeight="1" x14ac:dyDescent="0.2">
      <c r="X689" s="333"/>
    </row>
    <row r="690" spans="24:24" ht="15.75" customHeight="1" x14ac:dyDescent="0.2">
      <c r="X690" s="333"/>
    </row>
    <row r="691" spans="24:24" ht="15.75" customHeight="1" x14ac:dyDescent="0.2">
      <c r="X691" s="333"/>
    </row>
    <row r="692" spans="24:24" ht="15.75" customHeight="1" x14ac:dyDescent="0.2">
      <c r="X692" s="333"/>
    </row>
    <row r="693" spans="24:24" ht="15.75" customHeight="1" x14ac:dyDescent="0.2">
      <c r="X693" s="333"/>
    </row>
    <row r="694" spans="24:24" ht="15.75" customHeight="1" x14ac:dyDescent="0.2">
      <c r="X694" s="333"/>
    </row>
    <row r="695" spans="24:24" ht="15.75" customHeight="1" x14ac:dyDescent="0.2">
      <c r="X695" s="333"/>
    </row>
    <row r="696" spans="24:24" ht="15.75" customHeight="1" x14ac:dyDescent="0.2">
      <c r="X696" s="333"/>
    </row>
    <row r="697" spans="24:24" ht="15.75" customHeight="1" x14ac:dyDescent="0.2">
      <c r="X697" s="333"/>
    </row>
    <row r="698" spans="24:24" ht="15.75" customHeight="1" x14ac:dyDescent="0.2">
      <c r="X698" s="333"/>
    </row>
    <row r="699" spans="24:24" ht="15.75" customHeight="1" x14ac:dyDescent="0.2">
      <c r="X699" s="333"/>
    </row>
    <row r="700" spans="24:24" ht="15.75" customHeight="1" x14ac:dyDescent="0.2">
      <c r="X700" s="333"/>
    </row>
    <row r="701" spans="24:24" ht="15.75" customHeight="1" x14ac:dyDescent="0.2">
      <c r="X701" s="333"/>
    </row>
    <row r="702" spans="24:24" ht="15.75" customHeight="1" x14ac:dyDescent="0.2">
      <c r="X702" s="333"/>
    </row>
    <row r="703" spans="24:24" ht="15.75" customHeight="1" x14ac:dyDescent="0.2">
      <c r="X703" s="333"/>
    </row>
    <row r="704" spans="24:24" ht="15.75" customHeight="1" x14ac:dyDescent="0.2">
      <c r="X704" s="333"/>
    </row>
    <row r="705" spans="24:24" ht="15.75" customHeight="1" x14ac:dyDescent="0.2">
      <c r="X705" s="333"/>
    </row>
    <row r="706" spans="24:24" ht="15.75" customHeight="1" x14ac:dyDescent="0.2">
      <c r="X706" s="333"/>
    </row>
    <row r="707" spans="24:24" ht="15.75" customHeight="1" x14ac:dyDescent="0.2">
      <c r="X707" s="333"/>
    </row>
    <row r="708" spans="24:24" ht="15.75" customHeight="1" x14ac:dyDescent="0.2">
      <c r="X708" s="333"/>
    </row>
    <row r="709" spans="24:24" ht="15.75" customHeight="1" x14ac:dyDescent="0.2">
      <c r="X709" s="333"/>
    </row>
    <row r="710" spans="24:24" ht="15.75" customHeight="1" x14ac:dyDescent="0.2">
      <c r="X710" s="333"/>
    </row>
    <row r="711" spans="24:24" ht="15.75" customHeight="1" x14ac:dyDescent="0.2">
      <c r="X711" s="333"/>
    </row>
    <row r="712" spans="24:24" ht="15.75" customHeight="1" x14ac:dyDescent="0.2">
      <c r="X712" s="333"/>
    </row>
    <row r="713" spans="24:24" ht="15.75" customHeight="1" x14ac:dyDescent="0.2">
      <c r="X713" s="333"/>
    </row>
    <row r="714" spans="24:24" ht="15.75" customHeight="1" x14ac:dyDescent="0.2">
      <c r="X714" s="333"/>
    </row>
    <row r="715" spans="24:24" ht="15.75" customHeight="1" x14ac:dyDescent="0.2">
      <c r="X715" s="333"/>
    </row>
    <row r="716" spans="24:24" ht="15.75" customHeight="1" x14ac:dyDescent="0.2">
      <c r="X716" s="333"/>
    </row>
    <row r="717" spans="24:24" ht="15.75" customHeight="1" x14ac:dyDescent="0.2">
      <c r="X717" s="333"/>
    </row>
    <row r="718" spans="24:24" ht="15.75" customHeight="1" x14ac:dyDescent="0.2">
      <c r="X718" s="333"/>
    </row>
    <row r="719" spans="24:24" ht="15.75" customHeight="1" x14ac:dyDescent="0.2">
      <c r="X719" s="333"/>
    </row>
    <row r="720" spans="24:24" ht="15.75" customHeight="1" x14ac:dyDescent="0.2">
      <c r="X720" s="333"/>
    </row>
    <row r="721" spans="24:24" ht="15.75" customHeight="1" x14ac:dyDescent="0.2">
      <c r="X721" s="333"/>
    </row>
    <row r="722" spans="24:24" ht="15.75" customHeight="1" x14ac:dyDescent="0.2">
      <c r="X722" s="333"/>
    </row>
    <row r="723" spans="24:24" ht="15.75" customHeight="1" x14ac:dyDescent="0.2">
      <c r="X723" s="333"/>
    </row>
    <row r="724" spans="24:24" ht="15.75" customHeight="1" x14ac:dyDescent="0.2">
      <c r="X724" s="333"/>
    </row>
    <row r="725" spans="24:24" ht="15.75" customHeight="1" x14ac:dyDescent="0.2">
      <c r="X725" s="333"/>
    </row>
    <row r="726" spans="24:24" ht="15.75" customHeight="1" x14ac:dyDescent="0.2">
      <c r="X726" s="333"/>
    </row>
    <row r="727" spans="24:24" ht="15.75" customHeight="1" x14ac:dyDescent="0.2">
      <c r="X727" s="333"/>
    </row>
    <row r="728" spans="24:24" ht="15.75" customHeight="1" x14ac:dyDescent="0.2">
      <c r="X728" s="333"/>
    </row>
    <row r="729" spans="24:24" ht="15.75" customHeight="1" x14ac:dyDescent="0.2">
      <c r="X729" s="333"/>
    </row>
    <row r="730" spans="24:24" ht="15.75" customHeight="1" x14ac:dyDescent="0.2">
      <c r="X730" s="333"/>
    </row>
    <row r="731" spans="24:24" ht="15.75" customHeight="1" x14ac:dyDescent="0.2">
      <c r="X731" s="333"/>
    </row>
    <row r="732" spans="24:24" ht="15.75" customHeight="1" x14ac:dyDescent="0.2">
      <c r="X732" s="333"/>
    </row>
    <row r="733" spans="24:24" ht="15.75" customHeight="1" x14ac:dyDescent="0.2">
      <c r="X733" s="333"/>
    </row>
    <row r="734" spans="24:24" ht="15.75" customHeight="1" x14ac:dyDescent="0.2">
      <c r="X734" s="333"/>
    </row>
    <row r="735" spans="24:24" ht="15.75" customHeight="1" x14ac:dyDescent="0.2">
      <c r="X735" s="333"/>
    </row>
    <row r="736" spans="24:24" ht="15.75" customHeight="1" x14ac:dyDescent="0.2">
      <c r="X736" s="333"/>
    </row>
    <row r="737" spans="24:24" ht="15.75" customHeight="1" x14ac:dyDescent="0.2">
      <c r="X737" s="333"/>
    </row>
    <row r="738" spans="24:24" ht="15.75" customHeight="1" x14ac:dyDescent="0.2">
      <c r="X738" s="333"/>
    </row>
    <row r="739" spans="24:24" ht="15.75" customHeight="1" x14ac:dyDescent="0.2">
      <c r="X739" s="333"/>
    </row>
    <row r="740" spans="24:24" ht="15.75" customHeight="1" x14ac:dyDescent="0.2">
      <c r="X740" s="333"/>
    </row>
    <row r="741" spans="24:24" ht="15.75" customHeight="1" x14ac:dyDescent="0.2">
      <c r="X741" s="333"/>
    </row>
    <row r="742" spans="24:24" ht="15.75" customHeight="1" x14ac:dyDescent="0.2">
      <c r="X742" s="333"/>
    </row>
    <row r="743" spans="24:24" ht="15.75" customHeight="1" x14ac:dyDescent="0.2">
      <c r="X743" s="333"/>
    </row>
    <row r="744" spans="24:24" ht="15.75" customHeight="1" x14ac:dyDescent="0.2">
      <c r="X744" s="333"/>
    </row>
    <row r="745" spans="24:24" ht="15.75" customHeight="1" x14ac:dyDescent="0.2">
      <c r="X745" s="333"/>
    </row>
    <row r="746" spans="24:24" ht="15.75" customHeight="1" x14ac:dyDescent="0.2">
      <c r="X746" s="333"/>
    </row>
    <row r="747" spans="24:24" ht="15.75" customHeight="1" x14ac:dyDescent="0.2">
      <c r="X747" s="333"/>
    </row>
    <row r="748" spans="24:24" ht="15.75" customHeight="1" x14ac:dyDescent="0.2">
      <c r="X748" s="333"/>
    </row>
    <row r="749" spans="24:24" ht="15.75" customHeight="1" x14ac:dyDescent="0.2">
      <c r="X749" s="333"/>
    </row>
    <row r="750" spans="24:24" ht="15.75" customHeight="1" x14ac:dyDescent="0.2">
      <c r="X750" s="333"/>
    </row>
    <row r="751" spans="24:24" ht="15.75" customHeight="1" x14ac:dyDescent="0.2">
      <c r="X751" s="333"/>
    </row>
    <row r="752" spans="24:24" ht="15.75" customHeight="1" x14ac:dyDescent="0.2">
      <c r="X752" s="333"/>
    </row>
    <row r="753" spans="24:24" ht="15.75" customHeight="1" x14ac:dyDescent="0.2">
      <c r="X753" s="333"/>
    </row>
    <row r="754" spans="24:24" ht="15.75" customHeight="1" x14ac:dyDescent="0.2">
      <c r="X754" s="333"/>
    </row>
    <row r="755" spans="24:24" ht="15.75" customHeight="1" x14ac:dyDescent="0.2">
      <c r="X755" s="333"/>
    </row>
    <row r="756" spans="24:24" ht="15.75" customHeight="1" x14ac:dyDescent="0.2">
      <c r="X756" s="333"/>
    </row>
    <row r="757" spans="24:24" ht="15.75" customHeight="1" x14ac:dyDescent="0.2">
      <c r="X757" s="333"/>
    </row>
    <row r="758" spans="24:24" ht="15.75" customHeight="1" x14ac:dyDescent="0.2">
      <c r="X758" s="333"/>
    </row>
    <row r="759" spans="24:24" ht="15.75" customHeight="1" x14ac:dyDescent="0.2">
      <c r="X759" s="333"/>
    </row>
    <row r="760" spans="24:24" ht="15.75" customHeight="1" x14ac:dyDescent="0.2">
      <c r="X760" s="333"/>
    </row>
    <row r="761" spans="24:24" ht="15.75" customHeight="1" x14ac:dyDescent="0.2">
      <c r="X761" s="333"/>
    </row>
    <row r="762" spans="24:24" ht="15.75" customHeight="1" x14ac:dyDescent="0.2">
      <c r="X762" s="333"/>
    </row>
    <row r="763" spans="24:24" ht="15.75" customHeight="1" x14ac:dyDescent="0.2">
      <c r="X763" s="333"/>
    </row>
    <row r="764" spans="24:24" ht="15.75" customHeight="1" x14ac:dyDescent="0.2">
      <c r="X764" s="333"/>
    </row>
    <row r="765" spans="24:24" ht="15.75" customHeight="1" x14ac:dyDescent="0.2">
      <c r="X765" s="333"/>
    </row>
    <row r="766" spans="24:24" ht="15.75" customHeight="1" x14ac:dyDescent="0.2">
      <c r="X766" s="333"/>
    </row>
    <row r="767" spans="24:24" ht="15.75" customHeight="1" x14ac:dyDescent="0.2">
      <c r="X767" s="333"/>
    </row>
    <row r="768" spans="24:24" ht="15.75" customHeight="1" x14ac:dyDescent="0.2">
      <c r="X768" s="333"/>
    </row>
    <row r="769" spans="24:24" ht="15.75" customHeight="1" x14ac:dyDescent="0.2">
      <c r="X769" s="333"/>
    </row>
    <row r="770" spans="24:24" ht="15.75" customHeight="1" x14ac:dyDescent="0.2">
      <c r="X770" s="333"/>
    </row>
    <row r="771" spans="24:24" ht="15.75" customHeight="1" x14ac:dyDescent="0.2">
      <c r="X771" s="333"/>
    </row>
    <row r="772" spans="24:24" ht="15.75" customHeight="1" x14ac:dyDescent="0.2">
      <c r="X772" s="333"/>
    </row>
    <row r="773" spans="24:24" ht="15.75" customHeight="1" x14ac:dyDescent="0.2">
      <c r="X773" s="333"/>
    </row>
    <row r="774" spans="24:24" ht="15.75" customHeight="1" x14ac:dyDescent="0.2">
      <c r="X774" s="333"/>
    </row>
    <row r="775" spans="24:24" ht="15.75" customHeight="1" x14ac:dyDescent="0.2">
      <c r="X775" s="333"/>
    </row>
    <row r="776" spans="24:24" ht="15.75" customHeight="1" x14ac:dyDescent="0.2">
      <c r="X776" s="333"/>
    </row>
    <row r="777" spans="24:24" ht="15.75" customHeight="1" x14ac:dyDescent="0.2">
      <c r="X777" s="333"/>
    </row>
    <row r="778" spans="24:24" ht="15.75" customHeight="1" x14ac:dyDescent="0.2">
      <c r="X778" s="333"/>
    </row>
    <row r="779" spans="24:24" ht="15.75" customHeight="1" x14ac:dyDescent="0.2">
      <c r="X779" s="333"/>
    </row>
    <row r="780" spans="24:24" ht="15.75" customHeight="1" x14ac:dyDescent="0.2">
      <c r="X780" s="333"/>
    </row>
    <row r="781" spans="24:24" ht="15.75" customHeight="1" x14ac:dyDescent="0.2">
      <c r="X781" s="333"/>
    </row>
    <row r="782" spans="24:24" ht="15.75" customHeight="1" x14ac:dyDescent="0.2">
      <c r="X782" s="333"/>
    </row>
    <row r="783" spans="24:24" ht="15.75" customHeight="1" x14ac:dyDescent="0.2">
      <c r="X783" s="333"/>
    </row>
    <row r="784" spans="24:24" ht="15.75" customHeight="1" x14ac:dyDescent="0.2">
      <c r="X784" s="333"/>
    </row>
    <row r="785" spans="24:24" ht="15.75" customHeight="1" x14ac:dyDescent="0.2">
      <c r="X785" s="333"/>
    </row>
    <row r="786" spans="24:24" ht="15.75" customHeight="1" x14ac:dyDescent="0.2">
      <c r="X786" s="333"/>
    </row>
    <row r="787" spans="24:24" ht="15.75" customHeight="1" x14ac:dyDescent="0.2">
      <c r="X787" s="333"/>
    </row>
    <row r="788" spans="24:24" ht="15.75" customHeight="1" x14ac:dyDescent="0.2">
      <c r="X788" s="333"/>
    </row>
    <row r="789" spans="24:24" ht="15.75" customHeight="1" x14ac:dyDescent="0.2">
      <c r="X789" s="333"/>
    </row>
    <row r="790" spans="24:24" ht="15.75" customHeight="1" x14ac:dyDescent="0.2">
      <c r="X790" s="333"/>
    </row>
    <row r="791" spans="24:24" ht="15.75" customHeight="1" x14ac:dyDescent="0.2">
      <c r="X791" s="333"/>
    </row>
    <row r="792" spans="24:24" ht="15.75" customHeight="1" x14ac:dyDescent="0.2">
      <c r="X792" s="333"/>
    </row>
    <row r="793" spans="24:24" ht="15.75" customHeight="1" x14ac:dyDescent="0.2">
      <c r="X793" s="333"/>
    </row>
    <row r="794" spans="24:24" ht="15.75" customHeight="1" x14ac:dyDescent="0.2">
      <c r="X794" s="333"/>
    </row>
    <row r="795" spans="24:24" ht="15.75" customHeight="1" x14ac:dyDescent="0.2">
      <c r="X795" s="333"/>
    </row>
    <row r="796" spans="24:24" ht="15.75" customHeight="1" x14ac:dyDescent="0.2">
      <c r="X796" s="333"/>
    </row>
    <row r="797" spans="24:24" ht="15.75" customHeight="1" x14ac:dyDescent="0.2">
      <c r="X797" s="333"/>
    </row>
    <row r="798" spans="24:24" ht="15.75" customHeight="1" x14ac:dyDescent="0.2">
      <c r="X798" s="333"/>
    </row>
    <row r="799" spans="24:24" ht="15.75" customHeight="1" x14ac:dyDescent="0.2">
      <c r="X799" s="333"/>
    </row>
    <row r="800" spans="24:24" ht="15.75" customHeight="1" x14ac:dyDescent="0.2">
      <c r="X800" s="333"/>
    </row>
    <row r="801" spans="24:24" ht="15.75" customHeight="1" x14ac:dyDescent="0.2">
      <c r="X801" s="333"/>
    </row>
    <row r="802" spans="24:24" ht="15.75" customHeight="1" x14ac:dyDescent="0.2">
      <c r="X802" s="333"/>
    </row>
    <row r="803" spans="24:24" ht="15.75" customHeight="1" x14ac:dyDescent="0.2">
      <c r="X803" s="333"/>
    </row>
    <row r="804" spans="24:24" ht="15.75" customHeight="1" x14ac:dyDescent="0.2">
      <c r="X804" s="333"/>
    </row>
    <row r="805" spans="24:24" ht="15.75" customHeight="1" x14ac:dyDescent="0.2">
      <c r="X805" s="333"/>
    </row>
    <row r="806" spans="24:24" ht="15.75" customHeight="1" x14ac:dyDescent="0.2">
      <c r="X806" s="333"/>
    </row>
    <row r="807" spans="24:24" ht="15.75" customHeight="1" x14ac:dyDescent="0.2">
      <c r="X807" s="333"/>
    </row>
    <row r="808" spans="24:24" ht="15.75" customHeight="1" x14ac:dyDescent="0.2">
      <c r="X808" s="333"/>
    </row>
    <row r="809" spans="24:24" ht="15.75" customHeight="1" x14ac:dyDescent="0.2">
      <c r="X809" s="333"/>
    </row>
    <row r="810" spans="24:24" ht="15.75" customHeight="1" x14ac:dyDescent="0.2">
      <c r="X810" s="333"/>
    </row>
    <row r="811" spans="24:24" ht="15.75" customHeight="1" x14ac:dyDescent="0.2">
      <c r="X811" s="333"/>
    </row>
    <row r="812" spans="24:24" ht="15.75" customHeight="1" x14ac:dyDescent="0.2">
      <c r="X812" s="333"/>
    </row>
    <row r="813" spans="24:24" ht="15.75" customHeight="1" x14ac:dyDescent="0.2">
      <c r="X813" s="333"/>
    </row>
    <row r="814" spans="24:24" ht="15.75" customHeight="1" x14ac:dyDescent="0.2">
      <c r="X814" s="333"/>
    </row>
    <row r="815" spans="24:24" ht="15.75" customHeight="1" x14ac:dyDescent="0.2">
      <c r="X815" s="333"/>
    </row>
    <row r="816" spans="24:24" ht="15.75" customHeight="1" x14ac:dyDescent="0.2">
      <c r="X816" s="333"/>
    </row>
    <row r="817" spans="24:24" ht="15.75" customHeight="1" x14ac:dyDescent="0.2">
      <c r="X817" s="333"/>
    </row>
    <row r="818" spans="24:24" ht="15.75" customHeight="1" x14ac:dyDescent="0.2">
      <c r="X818" s="333"/>
    </row>
    <row r="819" spans="24:24" ht="15.75" customHeight="1" x14ac:dyDescent="0.2">
      <c r="X819" s="333"/>
    </row>
    <row r="820" spans="24:24" ht="15.75" customHeight="1" x14ac:dyDescent="0.2">
      <c r="X820" s="333"/>
    </row>
    <row r="821" spans="24:24" ht="15.75" customHeight="1" x14ac:dyDescent="0.2">
      <c r="X821" s="333"/>
    </row>
    <row r="822" spans="24:24" ht="15.75" customHeight="1" x14ac:dyDescent="0.2">
      <c r="X822" s="333"/>
    </row>
    <row r="823" spans="24:24" ht="15.75" customHeight="1" x14ac:dyDescent="0.2">
      <c r="X823" s="333"/>
    </row>
    <row r="824" spans="24:24" ht="15.75" customHeight="1" x14ac:dyDescent="0.2">
      <c r="X824" s="333"/>
    </row>
    <row r="825" spans="24:24" ht="15.75" customHeight="1" x14ac:dyDescent="0.2">
      <c r="X825" s="333"/>
    </row>
    <row r="826" spans="24:24" ht="15.75" customHeight="1" x14ac:dyDescent="0.2">
      <c r="X826" s="333"/>
    </row>
    <row r="827" spans="24:24" ht="15.75" customHeight="1" x14ac:dyDescent="0.2">
      <c r="X827" s="333"/>
    </row>
    <row r="828" spans="24:24" ht="15.75" customHeight="1" x14ac:dyDescent="0.2">
      <c r="X828" s="333"/>
    </row>
    <row r="829" spans="24:24" ht="15.75" customHeight="1" x14ac:dyDescent="0.2">
      <c r="X829" s="333"/>
    </row>
    <row r="830" spans="24:24" ht="15.75" customHeight="1" x14ac:dyDescent="0.2">
      <c r="X830" s="333"/>
    </row>
    <row r="831" spans="24:24" ht="15.75" customHeight="1" x14ac:dyDescent="0.2">
      <c r="X831" s="333"/>
    </row>
    <row r="832" spans="24:24" ht="15.75" customHeight="1" x14ac:dyDescent="0.2">
      <c r="X832" s="333"/>
    </row>
    <row r="833" spans="24:24" ht="15.75" customHeight="1" x14ac:dyDescent="0.2">
      <c r="X833" s="333"/>
    </row>
    <row r="834" spans="24:24" ht="15.75" customHeight="1" x14ac:dyDescent="0.2">
      <c r="X834" s="333"/>
    </row>
    <row r="835" spans="24:24" ht="15.75" customHeight="1" x14ac:dyDescent="0.2">
      <c r="X835" s="333"/>
    </row>
    <row r="836" spans="24:24" ht="15.75" customHeight="1" x14ac:dyDescent="0.2">
      <c r="X836" s="333"/>
    </row>
    <row r="837" spans="24:24" ht="15.75" customHeight="1" x14ac:dyDescent="0.2">
      <c r="X837" s="333"/>
    </row>
    <row r="838" spans="24:24" ht="15.75" customHeight="1" x14ac:dyDescent="0.2">
      <c r="X838" s="333"/>
    </row>
    <row r="839" spans="24:24" ht="15.75" customHeight="1" x14ac:dyDescent="0.2">
      <c r="X839" s="333"/>
    </row>
    <row r="840" spans="24:24" ht="15.75" customHeight="1" x14ac:dyDescent="0.2">
      <c r="X840" s="333"/>
    </row>
    <row r="841" spans="24:24" ht="15.75" customHeight="1" x14ac:dyDescent="0.2">
      <c r="X841" s="333"/>
    </row>
    <row r="842" spans="24:24" ht="15.75" customHeight="1" x14ac:dyDescent="0.2">
      <c r="X842" s="333"/>
    </row>
    <row r="843" spans="24:24" ht="15.75" customHeight="1" x14ac:dyDescent="0.2">
      <c r="X843" s="333"/>
    </row>
    <row r="844" spans="24:24" ht="15.75" customHeight="1" x14ac:dyDescent="0.2">
      <c r="X844" s="333"/>
    </row>
    <row r="845" spans="24:24" ht="15.75" customHeight="1" x14ac:dyDescent="0.2">
      <c r="X845" s="333"/>
    </row>
    <row r="846" spans="24:24" ht="15.75" customHeight="1" x14ac:dyDescent="0.2">
      <c r="X846" s="333"/>
    </row>
    <row r="847" spans="24:24" ht="15.75" customHeight="1" x14ac:dyDescent="0.2">
      <c r="X847" s="333"/>
    </row>
    <row r="848" spans="24:24" ht="15.75" customHeight="1" x14ac:dyDescent="0.2">
      <c r="X848" s="333"/>
    </row>
    <row r="849" spans="24:24" ht="15.75" customHeight="1" x14ac:dyDescent="0.2">
      <c r="X849" s="333"/>
    </row>
    <row r="850" spans="24:24" ht="15.75" customHeight="1" x14ac:dyDescent="0.2">
      <c r="X850" s="333"/>
    </row>
    <row r="851" spans="24:24" ht="15.75" customHeight="1" x14ac:dyDescent="0.2">
      <c r="X851" s="333"/>
    </row>
    <row r="852" spans="24:24" ht="15.75" customHeight="1" x14ac:dyDescent="0.2">
      <c r="X852" s="333"/>
    </row>
    <row r="853" spans="24:24" ht="15.75" customHeight="1" x14ac:dyDescent="0.2">
      <c r="X853" s="333"/>
    </row>
    <row r="854" spans="24:24" ht="15.75" customHeight="1" x14ac:dyDescent="0.2">
      <c r="X854" s="333"/>
    </row>
    <row r="855" spans="24:24" ht="15.75" customHeight="1" x14ac:dyDescent="0.2">
      <c r="X855" s="333"/>
    </row>
    <row r="856" spans="24:24" ht="15.75" customHeight="1" x14ac:dyDescent="0.2">
      <c r="X856" s="333"/>
    </row>
    <row r="857" spans="24:24" ht="15.75" customHeight="1" x14ac:dyDescent="0.2">
      <c r="X857" s="333"/>
    </row>
    <row r="858" spans="24:24" ht="15.75" customHeight="1" x14ac:dyDescent="0.2">
      <c r="X858" s="333"/>
    </row>
    <row r="859" spans="24:24" ht="15.75" customHeight="1" x14ac:dyDescent="0.2">
      <c r="X859" s="333"/>
    </row>
    <row r="860" spans="24:24" ht="15.75" customHeight="1" x14ac:dyDescent="0.2">
      <c r="X860" s="333"/>
    </row>
    <row r="861" spans="24:24" ht="15.75" customHeight="1" x14ac:dyDescent="0.2">
      <c r="X861" s="333"/>
    </row>
    <row r="862" spans="24:24" ht="15.75" customHeight="1" x14ac:dyDescent="0.2">
      <c r="X862" s="333"/>
    </row>
    <row r="863" spans="24:24" ht="15.75" customHeight="1" x14ac:dyDescent="0.2">
      <c r="X863" s="333"/>
    </row>
    <row r="864" spans="24:24" ht="15.75" customHeight="1" x14ac:dyDescent="0.2">
      <c r="X864" s="333"/>
    </row>
    <row r="865" spans="24:24" ht="15.75" customHeight="1" x14ac:dyDescent="0.2">
      <c r="X865" s="333"/>
    </row>
    <row r="866" spans="24:24" ht="15.75" customHeight="1" x14ac:dyDescent="0.2">
      <c r="X866" s="333"/>
    </row>
    <row r="867" spans="24:24" ht="15.75" customHeight="1" x14ac:dyDescent="0.2">
      <c r="X867" s="333"/>
    </row>
    <row r="868" spans="24:24" ht="15.75" customHeight="1" x14ac:dyDescent="0.2">
      <c r="X868" s="333"/>
    </row>
    <row r="869" spans="24:24" ht="15.75" customHeight="1" x14ac:dyDescent="0.2">
      <c r="X869" s="333"/>
    </row>
    <row r="870" spans="24:24" ht="15.75" customHeight="1" x14ac:dyDescent="0.2">
      <c r="X870" s="333"/>
    </row>
    <row r="871" spans="24:24" ht="15.75" customHeight="1" x14ac:dyDescent="0.2">
      <c r="X871" s="333"/>
    </row>
    <row r="872" spans="24:24" ht="15.75" customHeight="1" x14ac:dyDescent="0.2">
      <c r="X872" s="333"/>
    </row>
    <row r="873" spans="24:24" ht="15.75" customHeight="1" x14ac:dyDescent="0.2">
      <c r="X873" s="333"/>
    </row>
    <row r="874" spans="24:24" ht="15.75" customHeight="1" x14ac:dyDescent="0.2">
      <c r="X874" s="333"/>
    </row>
    <row r="875" spans="24:24" ht="15.75" customHeight="1" x14ac:dyDescent="0.2">
      <c r="X875" s="333"/>
    </row>
    <row r="876" spans="24:24" ht="15.75" customHeight="1" x14ac:dyDescent="0.2">
      <c r="X876" s="333"/>
    </row>
    <row r="877" spans="24:24" ht="15.75" customHeight="1" x14ac:dyDescent="0.2">
      <c r="X877" s="333"/>
    </row>
    <row r="878" spans="24:24" ht="15.75" customHeight="1" x14ac:dyDescent="0.2">
      <c r="X878" s="333"/>
    </row>
    <row r="879" spans="24:24" ht="15.75" customHeight="1" x14ac:dyDescent="0.2">
      <c r="X879" s="333"/>
    </row>
    <row r="880" spans="24:24" ht="15.75" customHeight="1" x14ac:dyDescent="0.2">
      <c r="X880" s="333"/>
    </row>
    <row r="881" spans="24:24" ht="15.75" customHeight="1" x14ac:dyDescent="0.2">
      <c r="X881" s="333"/>
    </row>
    <row r="882" spans="24:24" ht="15.75" customHeight="1" x14ac:dyDescent="0.2">
      <c r="X882" s="333"/>
    </row>
    <row r="883" spans="24:24" ht="15.75" customHeight="1" x14ac:dyDescent="0.2">
      <c r="X883" s="333"/>
    </row>
    <row r="884" spans="24:24" ht="15.75" customHeight="1" x14ac:dyDescent="0.2">
      <c r="X884" s="333"/>
    </row>
    <row r="885" spans="24:24" ht="15.75" customHeight="1" x14ac:dyDescent="0.2">
      <c r="X885" s="333"/>
    </row>
    <row r="886" spans="24:24" ht="15.75" customHeight="1" x14ac:dyDescent="0.2">
      <c r="X886" s="333"/>
    </row>
    <row r="887" spans="24:24" ht="15.75" customHeight="1" x14ac:dyDescent="0.2">
      <c r="X887" s="333"/>
    </row>
    <row r="888" spans="24:24" ht="15.75" customHeight="1" x14ac:dyDescent="0.2">
      <c r="X888" s="333"/>
    </row>
    <row r="889" spans="24:24" ht="15.75" customHeight="1" x14ac:dyDescent="0.2">
      <c r="X889" s="333"/>
    </row>
    <row r="890" spans="24:24" ht="15.75" customHeight="1" x14ac:dyDescent="0.2">
      <c r="X890" s="333"/>
    </row>
    <row r="891" spans="24:24" ht="15.75" customHeight="1" x14ac:dyDescent="0.2">
      <c r="X891" s="333"/>
    </row>
    <row r="892" spans="24:24" ht="15.75" customHeight="1" x14ac:dyDescent="0.2">
      <c r="X892" s="333"/>
    </row>
    <row r="893" spans="24:24" ht="15.75" customHeight="1" x14ac:dyDescent="0.2">
      <c r="X893" s="333"/>
    </row>
    <row r="894" spans="24:24" ht="15.75" customHeight="1" x14ac:dyDescent="0.2">
      <c r="X894" s="333"/>
    </row>
    <row r="895" spans="24:24" ht="15.75" customHeight="1" x14ac:dyDescent="0.2">
      <c r="X895" s="333"/>
    </row>
    <row r="896" spans="24:24" ht="15.75" customHeight="1" x14ac:dyDescent="0.2">
      <c r="X896" s="333"/>
    </row>
    <row r="897" spans="24:24" ht="15.75" customHeight="1" x14ac:dyDescent="0.2">
      <c r="X897" s="333"/>
    </row>
    <row r="898" spans="24:24" ht="15.75" customHeight="1" x14ac:dyDescent="0.2">
      <c r="X898" s="333"/>
    </row>
    <row r="899" spans="24:24" ht="15.75" customHeight="1" x14ac:dyDescent="0.2">
      <c r="X899" s="333"/>
    </row>
    <row r="900" spans="24:24" ht="15.75" customHeight="1" x14ac:dyDescent="0.2">
      <c r="X900" s="333"/>
    </row>
    <row r="901" spans="24:24" ht="15.75" customHeight="1" x14ac:dyDescent="0.2">
      <c r="X901" s="333"/>
    </row>
    <row r="902" spans="24:24" ht="15.75" customHeight="1" x14ac:dyDescent="0.2">
      <c r="X902" s="333"/>
    </row>
    <row r="903" spans="24:24" ht="15.75" customHeight="1" x14ac:dyDescent="0.2">
      <c r="X903" s="333"/>
    </row>
    <row r="904" spans="24:24" ht="15.75" customHeight="1" x14ac:dyDescent="0.2">
      <c r="X904" s="333"/>
    </row>
    <row r="905" spans="24:24" ht="15.75" customHeight="1" x14ac:dyDescent="0.2">
      <c r="X905" s="333"/>
    </row>
    <row r="906" spans="24:24" ht="15.75" customHeight="1" x14ac:dyDescent="0.2">
      <c r="X906" s="333"/>
    </row>
    <row r="907" spans="24:24" ht="15.75" customHeight="1" x14ac:dyDescent="0.2">
      <c r="X907" s="333"/>
    </row>
    <row r="908" spans="24:24" ht="15.75" customHeight="1" x14ac:dyDescent="0.2">
      <c r="X908" s="333"/>
    </row>
    <row r="909" spans="24:24" ht="15.75" customHeight="1" x14ac:dyDescent="0.2">
      <c r="X909" s="333"/>
    </row>
    <row r="910" spans="24:24" ht="15.75" customHeight="1" x14ac:dyDescent="0.2">
      <c r="X910" s="333"/>
    </row>
    <row r="911" spans="24:24" ht="15.75" customHeight="1" x14ac:dyDescent="0.2">
      <c r="X911" s="333"/>
    </row>
    <row r="912" spans="24:24" ht="15.75" customHeight="1" x14ac:dyDescent="0.2">
      <c r="X912" s="333"/>
    </row>
    <row r="913" spans="24:24" ht="15.75" customHeight="1" x14ac:dyDescent="0.2">
      <c r="X913" s="333"/>
    </row>
    <row r="914" spans="24:24" ht="15.75" customHeight="1" x14ac:dyDescent="0.2">
      <c r="X914" s="333"/>
    </row>
    <row r="915" spans="24:24" ht="15.75" customHeight="1" x14ac:dyDescent="0.2">
      <c r="X915" s="333"/>
    </row>
    <row r="916" spans="24:24" ht="15.75" customHeight="1" x14ac:dyDescent="0.2">
      <c r="X916" s="333"/>
    </row>
    <row r="917" spans="24:24" ht="15.75" customHeight="1" x14ac:dyDescent="0.2">
      <c r="X917" s="333"/>
    </row>
    <row r="918" spans="24:24" ht="15.75" customHeight="1" x14ac:dyDescent="0.2">
      <c r="X918" s="333"/>
    </row>
    <row r="919" spans="24:24" ht="15.75" customHeight="1" x14ac:dyDescent="0.2">
      <c r="X919" s="333"/>
    </row>
    <row r="920" spans="24:24" ht="15.75" customHeight="1" x14ac:dyDescent="0.2">
      <c r="X920" s="333"/>
    </row>
    <row r="921" spans="24:24" ht="15.75" customHeight="1" x14ac:dyDescent="0.2">
      <c r="X921" s="333"/>
    </row>
    <row r="922" spans="24:24" ht="15.75" customHeight="1" x14ac:dyDescent="0.2">
      <c r="X922" s="333"/>
    </row>
    <row r="923" spans="24:24" ht="15.75" customHeight="1" x14ac:dyDescent="0.2">
      <c r="X923" s="333"/>
    </row>
    <row r="924" spans="24:24" ht="15.75" customHeight="1" x14ac:dyDescent="0.2">
      <c r="X924" s="333"/>
    </row>
    <row r="925" spans="24:24" ht="15.75" customHeight="1" x14ac:dyDescent="0.2">
      <c r="X925" s="333"/>
    </row>
    <row r="926" spans="24:24" ht="15.75" customHeight="1" x14ac:dyDescent="0.2">
      <c r="X926" s="333"/>
    </row>
    <row r="927" spans="24:24" ht="15.75" customHeight="1" x14ac:dyDescent="0.2">
      <c r="X927" s="333"/>
    </row>
    <row r="928" spans="24:24" ht="15.75" customHeight="1" x14ac:dyDescent="0.2">
      <c r="X928" s="333"/>
    </row>
    <row r="929" spans="24:24" ht="15.75" customHeight="1" x14ac:dyDescent="0.2">
      <c r="X929" s="333"/>
    </row>
    <row r="930" spans="24:24" ht="15.75" customHeight="1" x14ac:dyDescent="0.2">
      <c r="X930" s="333"/>
    </row>
    <row r="931" spans="24:24" ht="15.75" customHeight="1" x14ac:dyDescent="0.2">
      <c r="X931" s="333"/>
    </row>
    <row r="932" spans="24:24" ht="15.75" customHeight="1" x14ac:dyDescent="0.2">
      <c r="X932" s="333"/>
    </row>
    <row r="933" spans="24:24" ht="15.75" customHeight="1" x14ac:dyDescent="0.2">
      <c r="X933" s="333"/>
    </row>
    <row r="934" spans="24:24" ht="15.75" customHeight="1" x14ac:dyDescent="0.2">
      <c r="X934" s="333"/>
    </row>
    <row r="935" spans="24:24" ht="15.75" customHeight="1" x14ac:dyDescent="0.2">
      <c r="X935" s="333"/>
    </row>
    <row r="936" spans="24:24" ht="15.75" customHeight="1" x14ac:dyDescent="0.2">
      <c r="X936" s="333"/>
    </row>
    <row r="937" spans="24:24" ht="15.75" customHeight="1" x14ac:dyDescent="0.2">
      <c r="X937" s="333"/>
    </row>
    <row r="938" spans="24:24" ht="15.75" customHeight="1" x14ac:dyDescent="0.2">
      <c r="X938" s="333"/>
    </row>
    <row r="939" spans="24:24" ht="15.75" customHeight="1" x14ac:dyDescent="0.2">
      <c r="X939" s="333"/>
    </row>
    <row r="940" spans="24:24" ht="15.75" customHeight="1" x14ac:dyDescent="0.2">
      <c r="X940" s="333"/>
    </row>
    <row r="941" spans="24:24" ht="15.75" customHeight="1" x14ac:dyDescent="0.2">
      <c r="X941" s="333"/>
    </row>
    <row r="942" spans="24:24" ht="15.75" customHeight="1" x14ac:dyDescent="0.2">
      <c r="X942" s="333"/>
    </row>
    <row r="943" spans="24:24" ht="15.75" customHeight="1" x14ac:dyDescent="0.2">
      <c r="X943" s="333"/>
    </row>
    <row r="944" spans="24:24" ht="15.75" customHeight="1" x14ac:dyDescent="0.2">
      <c r="X944" s="333"/>
    </row>
    <row r="945" spans="24:24" ht="15.75" customHeight="1" x14ac:dyDescent="0.2">
      <c r="X945" s="333"/>
    </row>
    <row r="946" spans="24:24" ht="15.75" customHeight="1" x14ac:dyDescent="0.2">
      <c r="X946" s="333"/>
    </row>
    <row r="947" spans="24:24" ht="15.75" customHeight="1" x14ac:dyDescent="0.2">
      <c r="X947" s="333"/>
    </row>
    <row r="948" spans="24:24" ht="15.75" customHeight="1" x14ac:dyDescent="0.2">
      <c r="X948" s="333"/>
    </row>
    <row r="949" spans="24:24" ht="15.75" customHeight="1" x14ac:dyDescent="0.2">
      <c r="X949" s="333"/>
    </row>
    <row r="950" spans="24:24" ht="15.75" customHeight="1" x14ac:dyDescent="0.2">
      <c r="X950" s="333"/>
    </row>
    <row r="951" spans="24:24" ht="15.75" customHeight="1" x14ac:dyDescent="0.2">
      <c r="X951" s="333"/>
    </row>
    <row r="952" spans="24:24" ht="15.75" customHeight="1" x14ac:dyDescent="0.2">
      <c r="X952" s="333"/>
    </row>
    <row r="953" spans="24:24" ht="15.75" customHeight="1" x14ac:dyDescent="0.2">
      <c r="X953" s="333"/>
    </row>
    <row r="954" spans="24:24" ht="15.75" customHeight="1" x14ac:dyDescent="0.2">
      <c r="X954" s="333"/>
    </row>
    <row r="955" spans="24:24" ht="15.75" customHeight="1" x14ac:dyDescent="0.2">
      <c r="X955" s="333"/>
    </row>
    <row r="956" spans="24:24" ht="15.75" customHeight="1" x14ac:dyDescent="0.2">
      <c r="X956" s="333"/>
    </row>
    <row r="957" spans="24:24" ht="15.75" customHeight="1" x14ac:dyDescent="0.2">
      <c r="X957" s="333"/>
    </row>
    <row r="958" spans="24:24" ht="15.75" customHeight="1" x14ac:dyDescent="0.2">
      <c r="X958" s="333"/>
    </row>
    <row r="959" spans="24:24" ht="15.75" customHeight="1" x14ac:dyDescent="0.2">
      <c r="X959" s="333"/>
    </row>
    <row r="960" spans="24:24" ht="15.75" customHeight="1" x14ac:dyDescent="0.2">
      <c r="X960" s="333"/>
    </row>
    <row r="961" spans="24:24" ht="15.75" customHeight="1" x14ac:dyDescent="0.2">
      <c r="X961" s="333"/>
    </row>
    <row r="962" spans="24:24" ht="15.75" customHeight="1" x14ac:dyDescent="0.2">
      <c r="X962" s="333"/>
    </row>
    <row r="963" spans="24:24" ht="15.75" customHeight="1" x14ac:dyDescent="0.2">
      <c r="X963" s="333"/>
    </row>
    <row r="964" spans="24:24" ht="15.75" customHeight="1" x14ac:dyDescent="0.2">
      <c r="X964" s="333"/>
    </row>
    <row r="965" spans="24:24" ht="15.75" customHeight="1" x14ac:dyDescent="0.2">
      <c r="X965" s="333"/>
    </row>
    <row r="966" spans="24:24" ht="15.75" customHeight="1" x14ac:dyDescent="0.2">
      <c r="X966" s="333"/>
    </row>
    <row r="967" spans="24:24" ht="15.75" customHeight="1" x14ac:dyDescent="0.2">
      <c r="X967" s="333"/>
    </row>
    <row r="968" spans="24:24" ht="15.75" customHeight="1" x14ac:dyDescent="0.2">
      <c r="X968" s="333"/>
    </row>
    <row r="969" spans="24:24" ht="15.75" customHeight="1" x14ac:dyDescent="0.2">
      <c r="X969" s="333"/>
    </row>
    <row r="970" spans="24:24" ht="15.75" customHeight="1" x14ac:dyDescent="0.2">
      <c r="X970" s="333"/>
    </row>
    <row r="971" spans="24:24" ht="15.75" customHeight="1" x14ac:dyDescent="0.2">
      <c r="X971" s="333"/>
    </row>
    <row r="972" spans="24:24" ht="15.75" customHeight="1" x14ac:dyDescent="0.2">
      <c r="X972" s="333"/>
    </row>
    <row r="973" spans="24:24" ht="15.75" customHeight="1" x14ac:dyDescent="0.2">
      <c r="X973" s="333"/>
    </row>
    <row r="974" spans="24:24" ht="15.75" customHeight="1" x14ac:dyDescent="0.2">
      <c r="X974" s="333"/>
    </row>
    <row r="975" spans="24:24" ht="15.75" customHeight="1" x14ac:dyDescent="0.2">
      <c r="X975" s="333"/>
    </row>
    <row r="976" spans="24:24" ht="15.75" customHeight="1" x14ac:dyDescent="0.2">
      <c r="X976" s="333"/>
    </row>
    <row r="977" spans="24:24" ht="15.75" customHeight="1" x14ac:dyDescent="0.2">
      <c r="X977" s="333"/>
    </row>
    <row r="978" spans="24:24" ht="15.75" customHeight="1" x14ac:dyDescent="0.2">
      <c r="X978" s="333"/>
    </row>
    <row r="979" spans="24:24" ht="15.75" customHeight="1" x14ac:dyDescent="0.2">
      <c r="X979" s="333"/>
    </row>
    <row r="980" spans="24:24" ht="15.75" customHeight="1" x14ac:dyDescent="0.2">
      <c r="X980" s="333"/>
    </row>
    <row r="981" spans="24:24" ht="15.75" customHeight="1" x14ac:dyDescent="0.2">
      <c r="X981" s="333"/>
    </row>
    <row r="982" spans="24:24" ht="15.75" customHeight="1" x14ac:dyDescent="0.2">
      <c r="X982" s="333"/>
    </row>
    <row r="983" spans="24:24" ht="15.75" customHeight="1" x14ac:dyDescent="0.2">
      <c r="X983" s="333"/>
    </row>
    <row r="984" spans="24:24" ht="15.75" customHeight="1" x14ac:dyDescent="0.2">
      <c r="X984" s="333"/>
    </row>
    <row r="985" spans="24:24" ht="15.75" customHeight="1" x14ac:dyDescent="0.2">
      <c r="X985" s="333"/>
    </row>
    <row r="986" spans="24:24" ht="15.75" customHeight="1" x14ac:dyDescent="0.2">
      <c r="X986" s="333"/>
    </row>
    <row r="987" spans="24:24" ht="15.75" customHeight="1" x14ac:dyDescent="0.2">
      <c r="X987" s="333"/>
    </row>
    <row r="988" spans="24:24" ht="15.75" customHeight="1" x14ac:dyDescent="0.2">
      <c r="X988" s="333"/>
    </row>
    <row r="989" spans="24:24" ht="15.75" customHeight="1" x14ac:dyDescent="0.2">
      <c r="X989" s="333"/>
    </row>
    <row r="990" spans="24:24" ht="15.75" customHeight="1" x14ac:dyDescent="0.2">
      <c r="X990" s="333"/>
    </row>
    <row r="991" spans="24:24" ht="15.75" customHeight="1" x14ac:dyDescent="0.2">
      <c r="X991" s="333"/>
    </row>
    <row r="992" spans="24:24" ht="15.75" customHeight="1" x14ac:dyDescent="0.2">
      <c r="X992" s="333"/>
    </row>
    <row r="993" spans="24:24" ht="15.75" customHeight="1" x14ac:dyDescent="0.2">
      <c r="X993" s="333"/>
    </row>
    <row r="994" spans="24:24" ht="15.75" customHeight="1" x14ac:dyDescent="0.2">
      <c r="X994" s="333"/>
    </row>
    <row r="995" spans="24:24" ht="15.75" customHeight="1" x14ac:dyDescent="0.2">
      <c r="X995" s="333"/>
    </row>
    <row r="996" spans="24:24" ht="15.75" customHeight="1" x14ac:dyDescent="0.2">
      <c r="X996" s="333"/>
    </row>
    <row r="997" spans="24:24" ht="15.75" customHeight="1" x14ac:dyDescent="0.2">
      <c r="X997" s="333"/>
    </row>
    <row r="998" spans="24:24" ht="15.75" customHeight="1" x14ac:dyDescent="0.2">
      <c r="X998" s="333"/>
    </row>
    <row r="999" spans="24:24" ht="15.75" customHeight="1" x14ac:dyDescent="0.2">
      <c r="X999" s="333"/>
    </row>
    <row r="1000" spans="24:24" ht="15.75" customHeight="1" x14ac:dyDescent="0.2">
      <c r="X1000" s="333"/>
    </row>
  </sheetData>
  <mergeCells count="6">
    <mergeCell ref="A1:D4"/>
    <mergeCell ref="E1:T4"/>
    <mergeCell ref="U1:X2"/>
    <mergeCell ref="U3:X4"/>
    <mergeCell ref="A5:D5"/>
    <mergeCell ref="E5:X5"/>
  </mergeCells>
  <dataValidations count="1">
    <dataValidation type="list" allowBlank="1" showErrorMessage="1" sqref="E7:W7" xr:uid="{00000000-0002-0000-2000-000000000000}">
      <formula1>"SI,NO"</formula1>
    </dataValidation>
  </dataValidations>
  <pageMargins left="0.51181102362204722" right="0.70866141732283472" top="1.1417322834645669" bottom="0.74803149606299213" header="0" footer="0"/>
  <pageSetup orientation="landscape" r:id="rId1"/>
  <headerFooter>
    <oddHeader>&amp;C Matriz de Riesgos</oddHeader>
  </headerFooter>
  <colBreaks count="1" manualBreakCount="1">
    <brk id="4" man="1"/>
  </colBreaks>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D1000"/>
  <sheetViews>
    <sheetView showGridLines="0" workbookViewId="0">
      <selection sqref="A1:C4"/>
    </sheetView>
  </sheetViews>
  <sheetFormatPr baseColWidth="10" defaultColWidth="12.625" defaultRowHeight="15" customHeight="1" x14ac:dyDescent="0.2"/>
  <cols>
    <col min="1" max="1" width="6.625" style="228" customWidth="1"/>
    <col min="2" max="2" width="16.75" style="228" customWidth="1"/>
    <col min="3" max="3" width="33.25" style="228" customWidth="1"/>
    <col min="4" max="4" width="22" style="228" customWidth="1"/>
    <col min="5" max="5" width="42" style="228" customWidth="1"/>
    <col min="6" max="10" width="21.75" style="228" customWidth="1"/>
    <col min="11" max="11" width="33.875" style="228" customWidth="1"/>
    <col min="12" max="12" width="21.75" style="228" customWidth="1"/>
    <col min="13" max="17" width="19.25" style="228" customWidth="1"/>
    <col min="18" max="18" width="22.625" style="228" customWidth="1"/>
    <col min="19" max="19" width="19.25" style="228" customWidth="1"/>
    <col min="20" max="20" width="8" style="228" customWidth="1"/>
    <col min="21" max="22" width="18.125" style="228" customWidth="1"/>
    <col min="23" max="23" width="17.75" style="228" customWidth="1"/>
    <col min="24" max="24" width="16.25" style="228" customWidth="1"/>
    <col min="25" max="25" width="15.25" style="228" customWidth="1"/>
    <col min="26" max="26" width="18.875" style="228" customWidth="1"/>
    <col min="27" max="27" width="15.625" style="228" customWidth="1"/>
    <col min="28" max="28" width="23.125" style="228" customWidth="1"/>
    <col min="29" max="29" width="22.25" style="228" customWidth="1"/>
    <col min="30" max="30" width="38.5" style="228" customWidth="1"/>
    <col min="31" max="16384" width="12.625" style="228"/>
  </cols>
  <sheetData>
    <row r="1" spans="1:30" ht="15.75" customHeight="1" x14ac:dyDescent="0.2">
      <c r="A1" s="1376"/>
      <c r="B1" s="1355"/>
      <c r="C1" s="1356"/>
      <c r="D1" s="1373" t="s">
        <v>0</v>
      </c>
      <c r="E1" s="1355"/>
      <c r="F1" s="1355"/>
      <c r="G1" s="1355"/>
      <c r="H1" s="1355"/>
      <c r="I1" s="1355"/>
      <c r="J1" s="1355"/>
      <c r="K1" s="1355"/>
      <c r="L1" s="1355"/>
      <c r="M1" s="1355"/>
      <c r="N1" s="1355"/>
      <c r="O1" s="1355"/>
      <c r="P1" s="1355"/>
      <c r="Q1" s="1355"/>
      <c r="R1" s="1355"/>
      <c r="S1" s="1355"/>
      <c r="T1" s="1355"/>
      <c r="U1" s="1355"/>
      <c r="V1" s="1355"/>
      <c r="W1" s="1355"/>
      <c r="X1" s="1355"/>
      <c r="Y1" s="1355"/>
      <c r="Z1" s="1355"/>
      <c r="AA1" s="1355"/>
      <c r="AB1" s="1356"/>
      <c r="AC1" s="1377" t="s">
        <v>128</v>
      </c>
      <c r="AD1" s="1356"/>
    </row>
    <row r="2" spans="1:30" ht="15.75" customHeight="1" x14ac:dyDescent="0.2">
      <c r="A2" s="1357"/>
      <c r="B2" s="1203"/>
      <c r="C2" s="1340"/>
      <c r="D2" s="1357"/>
      <c r="E2" s="1203"/>
      <c r="F2" s="1203"/>
      <c r="G2" s="1203"/>
      <c r="H2" s="1203"/>
      <c r="I2" s="1203"/>
      <c r="J2" s="1203"/>
      <c r="K2" s="1203"/>
      <c r="L2" s="1203"/>
      <c r="M2" s="1203"/>
      <c r="N2" s="1203"/>
      <c r="O2" s="1203"/>
      <c r="P2" s="1203"/>
      <c r="Q2" s="1203"/>
      <c r="R2" s="1203"/>
      <c r="S2" s="1203"/>
      <c r="T2" s="1203"/>
      <c r="U2" s="1203"/>
      <c r="V2" s="1203"/>
      <c r="W2" s="1203"/>
      <c r="X2" s="1203"/>
      <c r="Y2" s="1203"/>
      <c r="Z2" s="1203"/>
      <c r="AA2" s="1203"/>
      <c r="AB2" s="1340"/>
      <c r="AC2" s="1358"/>
      <c r="AD2" s="1341"/>
    </row>
    <row r="3" spans="1:30" ht="15.75" customHeight="1" x14ac:dyDescent="0.2">
      <c r="A3" s="1357"/>
      <c r="B3" s="1203"/>
      <c r="C3" s="1340"/>
      <c r="D3" s="1357"/>
      <c r="E3" s="1203"/>
      <c r="F3" s="1203"/>
      <c r="G3" s="1203"/>
      <c r="H3" s="1203"/>
      <c r="I3" s="1203"/>
      <c r="J3" s="1203"/>
      <c r="K3" s="1203"/>
      <c r="L3" s="1203"/>
      <c r="M3" s="1203"/>
      <c r="N3" s="1203"/>
      <c r="O3" s="1203"/>
      <c r="P3" s="1203"/>
      <c r="Q3" s="1203"/>
      <c r="R3" s="1203"/>
      <c r="S3" s="1203"/>
      <c r="T3" s="1203"/>
      <c r="U3" s="1203"/>
      <c r="V3" s="1203"/>
      <c r="W3" s="1203"/>
      <c r="X3" s="1203"/>
      <c r="Y3" s="1203"/>
      <c r="Z3" s="1203"/>
      <c r="AA3" s="1203"/>
      <c r="AB3" s="1340"/>
      <c r="AC3" s="1377" t="s">
        <v>2</v>
      </c>
      <c r="AD3" s="1356"/>
    </row>
    <row r="4" spans="1:30" ht="15.75" customHeight="1" x14ac:dyDescent="0.2">
      <c r="A4" s="1358"/>
      <c r="B4" s="1338"/>
      <c r="C4" s="1341"/>
      <c r="D4" s="1358"/>
      <c r="E4" s="1338"/>
      <c r="F4" s="1338"/>
      <c r="G4" s="1338"/>
      <c r="H4" s="1338"/>
      <c r="I4" s="1338"/>
      <c r="J4" s="1338"/>
      <c r="K4" s="1338"/>
      <c r="L4" s="1338"/>
      <c r="M4" s="1338"/>
      <c r="N4" s="1338"/>
      <c r="O4" s="1338"/>
      <c r="P4" s="1338"/>
      <c r="Q4" s="1338"/>
      <c r="R4" s="1338"/>
      <c r="S4" s="1338"/>
      <c r="T4" s="1338"/>
      <c r="U4" s="1338"/>
      <c r="V4" s="1338"/>
      <c r="W4" s="1338"/>
      <c r="X4" s="1338"/>
      <c r="Y4" s="1338"/>
      <c r="Z4" s="1338"/>
      <c r="AA4" s="1338"/>
      <c r="AB4" s="1341"/>
      <c r="AC4" s="1358"/>
      <c r="AD4" s="1341"/>
    </row>
    <row r="5" spans="1:30" ht="15.75" customHeight="1" x14ac:dyDescent="0.2">
      <c r="A5" s="1344" t="s">
        <v>36</v>
      </c>
      <c r="B5" s="1345"/>
      <c r="C5" s="1346"/>
      <c r="D5" s="1248" t="e">
        <f t="array" ref="D5">+#REF!</f>
        <v>#REF!</v>
      </c>
      <c r="E5" s="1345"/>
      <c r="F5" s="1345"/>
      <c r="G5" s="1345"/>
      <c r="H5" s="1345"/>
      <c r="I5" s="1345"/>
      <c r="J5" s="1345"/>
      <c r="K5" s="1345"/>
      <c r="L5" s="1345"/>
      <c r="M5" s="1345"/>
      <c r="N5" s="1345"/>
      <c r="O5" s="1345"/>
      <c r="P5" s="1345"/>
      <c r="Q5" s="1345"/>
      <c r="R5" s="1345"/>
      <c r="S5" s="1345"/>
      <c r="T5" s="1345"/>
      <c r="U5" s="1345"/>
      <c r="V5" s="1345"/>
      <c r="W5" s="1345"/>
      <c r="X5" s="1345"/>
      <c r="Y5" s="1345"/>
      <c r="Z5" s="1345"/>
      <c r="AA5" s="1345"/>
      <c r="AB5" s="1345"/>
      <c r="AC5" s="1345"/>
      <c r="AD5" s="1345"/>
    </row>
    <row r="6" spans="1:30" ht="15.75" customHeight="1" thickBot="1" x14ac:dyDescent="0.25">
      <c r="A6" s="1344" t="s">
        <v>37</v>
      </c>
      <c r="B6" s="1345"/>
      <c r="C6" s="1346"/>
      <c r="D6" s="1248" t="e">
        <f t="array" ref="D6">+#REF!</f>
        <v>#REF!</v>
      </c>
      <c r="E6" s="1345"/>
      <c r="F6" s="1345"/>
      <c r="G6" s="1345"/>
      <c r="H6" s="1345"/>
      <c r="I6" s="1345"/>
      <c r="J6" s="1345"/>
      <c r="K6" s="1345"/>
      <c r="L6" s="1345"/>
      <c r="M6" s="1345"/>
      <c r="N6" s="1345"/>
      <c r="O6" s="1345"/>
      <c r="P6" s="1345"/>
      <c r="Q6" s="1345"/>
      <c r="R6" s="1345"/>
      <c r="S6" s="1345"/>
      <c r="T6" s="1345"/>
      <c r="U6" s="1345"/>
      <c r="V6" s="1345"/>
      <c r="W6" s="1345"/>
      <c r="X6" s="1345"/>
      <c r="Y6" s="1345"/>
      <c r="Z6" s="1345"/>
      <c r="AA6" s="1345"/>
      <c r="AB6" s="1345"/>
      <c r="AC6" s="1345"/>
      <c r="AD6" s="1345"/>
    </row>
    <row r="7" spans="1:30" ht="15" customHeight="1" x14ac:dyDescent="0.2">
      <c r="A7" s="1378" t="s">
        <v>129</v>
      </c>
      <c r="B7" s="1363"/>
      <c r="C7" s="1363"/>
      <c r="D7" s="1363"/>
      <c r="E7" s="1363"/>
      <c r="F7" s="1363"/>
      <c r="G7" s="1363"/>
      <c r="H7" s="1363"/>
      <c r="I7" s="1363"/>
      <c r="J7" s="1363"/>
      <c r="K7" s="1363"/>
      <c r="L7" s="1379"/>
      <c r="M7" s="1380" t="s">
        <v>75</v>
      </c>
      <c r="N7" s="1363"/>
      <c r="O7" s="1363"/>
      <c r="P7" s="1363"/>
      <c r="Q7" s="1363"/>
      <c r="R7" s="1363"/>
      <c r="S7" s="1363"/>
      <c r="T7" s="1363"/>
      <c r="U7" s="1363"/>
      <c r="V7" s="1363"/>
      <c r="W7" s="1363"/>
      <c r="X7" s="1363"/>
      <c r="Y7" s="1379"/>
      <c r="Z7" s="1381" t="s">
        <v>130</v>
      </c>
      <c r="AA7" s="1363"/>
      <c r="AB7" s="1379"/>
      <c r="AC7" s="1382" t="s">
        <v>131</v>
      </c>
      <c r="AD7" s="1364"/>
    </row>
    <row r="8" spans="1:30" ht="12.75" customHeight="1" x14ac:dyDescent="0.2">
      <c r="A8" s="369" t="s">
        <v>44</v>
      </c>
      <c r="B8" s="335" t="s">
        <v>64</v>
      </c>
      <c r="C8" s="335" t="s">
        <v>132</v>
      </c>
      <c r="D8" s="370" t="s">
        <v>73</v>
      </c>
      <c r="E8" s="335" t="s">
        <v>133</v>
      </c>
      <c r="F8" s="335" t="s">
        <v>134</v>
      </c>
      <c r="G8" s="335" t="s">
        <v>135</v>
      </c>
      <c r="H8" s="335" t="s">
        <v>136</v>
      </c>
      <c r="I8" s="335" t="s">
        <v>137</v>
      </c>
      <c r="J8" s="335" t="s">
        <v>138</v>
      </c>
      <c r="K8" s="335" t="s">
        <v>139</v>
      </c>
      <c r="L8" s="335" t="s">
        <v>140</v>
      </c>
      <c r="M8" s="335" t="s">
        <v>134</v>
      </c>
      <c r="N8" s="335" t="s">
        <v>135</v>
      </c>
      <c r="O8" s="335" t="s">
        <v>141</v>
      </c>
      <c r="P8" s="335" t="s">
        <v>137</v>
      </c>
      <c r="Q8" s="335" t="s">
        <v>138</v>
      </c>
      <c r="R8" s="335" t="s">
        <v>139</v>
      </c>
      <c r="S8" s="335" t="s">
        <v>140</v>
      </c>
      <c r="T8" s="336" t="s">
        <v>121</v>
      </c>
      <c r="U8" s="335" t="s">
        <v>142</v>
      </c>
      <c r="V8" s="335" t="s">
        <v>143</v>
      </c>
      <c r="W8" s="335" t="s">
        <v>142</v>
      </c>
      <c r="X8" s="335" t="s">
        <v>143</v>
      </c>
      <c r="Y8" s="335" t="s">
        <v>144</v>
      </c>
      <c r="Z8" s="335" t="s">
        <v>145</v>
      </c>
      <c r="AA8" s="335" t="s">
        <v>146</v>
      </c>
      <c r="AB8" s="335" t="s">
        <v>76</v>
      </c>
      <c r="AC8" s="335" t="s">
        <v>147</v>
      </c>
      <c r="AD8" s="371" t="s">
        <v>148</v>
      </c>
    </row>
    <row r="9" spans="1:30" ht="119.25" customHeight="1" x14ac:dyDescent="0.2">
      <c r="A9" s="1255" t="e">
        <f>#REF!</f>
        <v>#REF!</v>
      </c>
      <c r="B9" s="1258" t="e">
        <f>#REF!</f>
        <v>#REF!</v>
      </c>
      <c r="C9" s="1258" t="e">
        <f>#REF!</f>
        <v>#REF!</v>
      </c>
      <c r="D9" s="372" t="str">
        <f>'[4]Analisis Riesgo'!K7</f>
        <v>Contratar personal de apoyo para aumentar la capacidad del proceso.</v>
      </c>
      <c r="E9" s="274" t="str">
        <f>'[4]Analisis Riesgo'!L7</f>
        <v>Cada vez que se requiere y se determina la necesidad de realizar contratación de personal para la evaluación de proyectos, en quienes se distribuye la carga de trabajo de acuerdo con el número de solicitudes presentadas a la UPME. Este control tiene como propósito aumentar la capacidad del proceso ante un alto volumen de solicitudes permitiendo al proceso cumplir con oportunidad.</v>
      </c>
      <c r="F9" s="276" t="s">
        <v>296</v>
      </c>
      <c r="G9" s="276" t="s">
        <v>299</v>
      </c>
      <c r="H9" s="276" t="s">
        <v>300</v>
      </c>
      <c r="I9" s="276" t="s">
        <v>301</v>
      </c>
      <c r="J9" s="276" t="s">
        <v>302</v>
      </c>
      <c r="K9" s="277" t="s">
        <v>303</v>
      </c>
      <c r="L9" s="276" t="s">
        <v>304</v>
      </c>
      <c r="M9" s="278">
        <f t="shared" ref="M9:M21" si="0">IF(F9="Asignado", 15,0)</f>
        <v>15</v>
      </c>
      <c r="N9" s="278">
        <f t="shared" ref="N9:N21" si="1">IF(G9="Adecuado",15,0)</f>
        <v>15</v>
      </c>
      <c r="O9" s="278">
        <f t="shared" ref="O9:O21" si="2">IF(H9="Oportuna",15,0)</f>
        <v>15</v>
      </c>
      <c r="P9" s="278">
        <f t="shared" ref="P9:P21" si="3">IF(I9="Prevenir",15,IF(I9="Detectar",10,0))</f>
        <v>15</v>
      </c>
      <c r="Q9" s="278">
        <f t="shared" ref="Q9:Q21" si="4">IF(J9="Confiable", 15,0)</f>
        <v>15</v>
      </c>
      <c r="R9" s="278">
        <f t="shared" ref="R9:R21" si="5">IF(K9="Se investigan y resuelven oportunamente",15,0)</f>
        <v>15</v>
      </c>
      <c r="S9" s="278">
        <f t="shared" ref="S9:S21" si="6">IF(L9="Completa",10,IF(L9="Incompleta",5,0))</f>
        <v>10</v>
      </c>
      <c r="T9" s="278">
        <f t="shared" ref="T9:T21" si="7">SUM(M9:S9)</f>
        <v>100</v>
      </c>
      <c r="U9" s="276" t="s">
        <v>122</v>
      </c>
      <c r="V9" s="276" t="s">
        <v>263</v>
      </c>
      <c r="W9" s="278">
        <f t="shared" ref="W9:W21" si="8">IF(U9="SI",1,0)*T9/100</f>
        <v>1</v>
      </c>
      <c r="X9" s="278">
        <f t="shared" ref="X9:X21" si="9">IF(V9="SI",1,0)*T9/100</f>
        <v>0</v>
      </c>
      <c r="Y9" s="278" t="str">
        <f t="shared" ref="Y9:Y21" si="10">IF(W9&gt;=0.96,"Fuerte",IF(W9&gt;=0.86,"Moderado","Debil"))</f>
        <v>Fuerte</v>
      </c>
      <c r="Z9" s="276" t="s">
        <v>305</v>
      </c>
      <c r="AA9" s="278" t="str">
        <f t="shared" ref="AA9:AA21" si="11">IF(Z9="Siempre se ejecuta","Fuerte",IF(Z9="Algunas veces se ejecuta","Moderado","Debil"))</f>
        <v>Fuerte</v>
      </c>
      <c r="AB9" s="278" t="str">
        <f t="shared" ref="AB9:AB21" si="12">IF(Y9="Fuerte",IF(AA9="Fuerte","No","SI"),"SI")</f>
        <v>No</v>
      </c>
      <c r="AC9" s="373"/>
      <c r="AD9" s="374"/>
    </row>
    <row r="10" spans="1:30" ht="57.75" customHeight="1" x14ac:dyDescent="0.2">
      <c r="A10" s="1383"/>
      <c r="B10" s="1351"/>
      <c r="C10" s="1351"/>
      <c r="D10" s="372" t="str">
        <f>'[4]Analisis Riesgo'!K8</f>
        <v>Usar herramientas tecnológicas para la evaluación del proyecto.</v>
      </c>
      <c r="E10" s="274" t="str">
        <f>'[4]Analisis Riesgo'!L8</f>
        <v>Para cada evaluación de proyectos es requerido utilizar herramientas de apoyo que permitan agilizar el procesamiento y análisis de información que permitan cumplir con oportunidad la entrega de los resultados. Entre estas herramientas se destacan el uso de Autocad para la revisiòn de planos, el uso de excel, el uso de la herramienta Orfeo para el control de los registros y solicitudes y el aplicativo de fondos (base de datos oracle) todos brindan herramientas para el control de la informaciòn del proceso.</v>
      </c>
      <c r="F10" s="276" t="s">
        <v>296</v>
      </c>
      <c r="G10" s="276" t="s">
        <v>299</v>
      </c>
      <c r="H10" s="276" t="s">
        <v>300</v>
      </c>
      <c r="I10" s="276" t="s">
        <v>301</v>
      </c>
      <c r="J10" s="276" t="s">
        <v>302</v>
      </c>
      <c r="K10" s="277" t="s">
        <v>303</v>
      </c>
      <c r="L10" s="276" t="s">
        <v>304</v>
      </c>
      <c r="M10" s="278">
        <f t="shared" si="0"/>
        <v>15</v>
      </c>
      <c r="N10" s="278">
        <f t="shared" si="1"/>
        <v>15</v>
      </c>
      <c r="O10" s="278">
        <f t="shared" si="2"/>
        <v>15</v>
      </c>
      <c r="P10" s="278">
        <f t="shared" si="3"/>
        <v>15</v>
      </c>
      <c r="Q10" s="278">
        <f t="shared" si="4"/>
        <v>15</v>
      </c>
      <c r="R10" s="278">
        <f t="shared" si="5"/>
        <v>15</v>
      </c>
      <c r="S10" s="278">
        <f t="shared" si="6"/>
        <v>10</v>
      </c>
      <c r="T10" s="278">
        <f t="shared" si="7"/>
        <v>100</v>
      </c>
      <c r="U10" s="276" t="s">
        <v>122</v>
      </c>
      <c r="V10" s="276" t="s">
        <v>263</v>
      </c>
      <c r="W10" s="278">
        <f t="shared" si="8"/>
        <v>1</v>
      </c>
      <c r="X10" s="278">
        <f t="shared" si="9"/>
        <v>0</v>
      </c>
      <c r="Y10" s="278" t="str">
        <f t="shared" si="10"/>
        <v>Fuerte</v>
      </c>
      <c r="Z10" s="276" t="s">
        <v>305</v>
      </c>
      <c r="AA10" s="278" t="str">
        <f t="shared" si="11"/>
        <v>Fuerte</v>
      </c>
      <c r="AB10" s="278" t="str">
        <f t="shared" si="12"/>
        <v>No</v>
      </c>
      <c r="AC10" s="373"/>
      <c r="AD10" s="374"/>
    </row>
    <row r="11" spans="1:30" ht="57.75" customHeight="1" x14ac:dyDescent="0.2">
      <c r="A11" s="1383"/>
      <c r="B11" s="1351"/>
      <c r="C11" s="1351"/>
      <c r="D11" s="372" t="str">
        <f>'[4]Analisis Riesgo'!K9</f>
        <v>Usar la matriz de seguimiento de proyectos.</v>
      </c>
      <c r="E11" s="274" t="str">
        <f>'[4]Analisis Riesgo'!L9</f>
        <v>Existe como contro una herramienta de seguimiento de proyectos, la cual permite realizar la asignación de evaluadores y el seguimiento al tiempo de evaluación para cada proyecto.</v>
      </c>
      <c r="F11" s="276" t="s">
        <v>296</v>
      </c>
      <c r="G11" s="276" t="s">
        <v>299</v>
      </c>
      <c r="H11" s="276" t="s">
        <v>300</v>
      </c>
      <c r="I11" s="276" t="s">
        <v>301</v>
      </c>
      <c r="J11" s="276" t="s">
        <v>302</v>
      </c>
      <c r="K11" s="277" t="s">
        <v>303</v>
      </c>
      <c r="L11" s="276" t="s">
        <v>304</v>
      </c>
      <c r="M11" s="278">
        <f t="shared" si="0"/>
        <v>15</v>
      </c>
      <c r="N11" s="278">
        <f t="shared" si="1"/>
        <v>15</v>
      </c>
      <c r="O11" s="278">
        <f t="shared" si="2"/>
        <v>15</v>
      </c>
      <c r="P11" s="278">
        <f t="shared" si="3"/>
        <v>15</v>
      </c>
      <c r="Q11" s="278">
        <f t="shared" si="4"/>
        <v>15</v>
      </c>
      <c r="R11" s="278">
        <f t="shared" si="5"/>
        <v>15</v>
      </c>
      <c r="S11" s="278">
        <f t="shared" si="6"/>
        <v>10</v>
      </c>
      <c r="T11" s="278">
        <f t="shared" si="7"/>
        <v>100</v>
      </c>
      <c r="U11" s="276" t="s">
        <v>122</v>
      </c>
      <c r="V11" s="276" t="s">
        <v>263</v>
      </c>
      <c r="W11" s="278">
        <f t="shared" si="8"/>
        <v>1</v>
      </c>
      <c r="X11" s="278">
        <f t="shared" si="9"/>
        <v>0</v>
      </c>
      <c r="Y11" s="278" t="str">
        <f t="shared" si="10"/>
        <v>Fuerte</v>
      </c>
      <c r="Z11" s="276" t="s">
        <v>305</v>
      </c>
      <c r="AA11" s="278" t="str">
        <f t="shared" si="11"/>
        <v>Fuerte</v>
      </c>
      <c r="AB11" s="278" t="str">
        <f t="shared" si="12"/>
        <v>No</v>
      </c>
      <c r="AC11" s="373"/>
      <c r="AD11" s="374"/>
    </row>
    <row r="12" spans="1:30" ht="73.5" customHeight="1" x14ac:dyDescent="0.2">
      <c r="A12" s="1384"/>
      <c r="B12" s="1343"/>
      <c r="C12" s="1343"/>
      <c r="D12" s="372" t="str">
        <f>'[4]Analisis Riesgo'!K10</f>
        <v>Realizar seguimiento a los indicadores de oportunidad del proceso.</v>
      </c>
      <c r="E12" s="274" t="str">
        <f>'[4]Analisis Riesgo'!L10</f>
        <v>Se realiza seguimiento trimestral a la gestiòn del proceso mediante el uso de indicadores de gestión al cumplimiento en la oportunidad de la emisión de conceptos, desarrollada la mediciòn, evaluaciòn y anàlisis permite la toma de decisiones frente a desviaciones que allì sean detectadas.</v>
      </c>
      <c r="F12" s="276" t="s">
        <v>296</v>
      </c>
      <c r="G12" s="276" t="s">
        <v>299</v>
      </c>
      <c r="H12" s="276" t="s">
        <v>300</v>
      </c>
      <c r="I12" s="276" t="s">
        <v>301</v>
      </c>
      <c r="J12" s="276" t="s">
        <v>302</v>
      </c>
      <c r="K12" s="277" t="s">
        <v>303</v>
      </c>
      <c r="L12" s="276" t="s">
        <v>304</v>
      </c>
      <c r="M12" s="278">
        <f t="shared" si="0"/>
        <v>15</v>
      </c>
      <c r="N12" s="278">
        <f t="shared" si="1"/>
        <v>15</v>
      </c>
      <c r="O12" s="278">
        <f t="shared" si="2"/>
        <v>15</v>
      </c>
      <c r="P12" s="278">
        <f t="shared" si="3"/>
        <v>15</v>
      </c>
      <c r="Q12" s="278">
        <f t="shared" si="4"/>
        <v>15</v>
      </c>
      <c r="R12" s="278">
        <f t="shared" si="5"/>
        <v>15</v>
      </c>
      <c r="S12" s="278">
        <f t="shared" si="6"/>
        <v>10</v>
      </c>
      <c r="T12" s="278">
        <f t="shared" si="7"/>
        <v>100</v>
      </c>
      <c r="U12" s="276" t="s">
        <v>263</v>
      </c>
      <c r="V12" s="276" t="s">
        <v>122</v>
      </c>
      <c r="W12" s="278">
        <f t="shared" si="8"/>
        <v>0</v>
      </c>
      <c r="X12" s="278">
        <f t="shared" si="9"/>
        <v>1</v>
      </c>
      <c r="Y12" s="278" t="str">
        <f t="shared" si="10"/>
        <v>Debil</v>
      </c>
      <c r="Z12" s="276" t="s">
        <v>305</v>
      </c>
      <c r="AA12" s="278" t="str">
        <f t="shared" si="11"/>
        <v>Fuerte</v>
      </c>
      <c r="AB12" s="375" t="str">
        <f t="shared" si="12"/>
        <v>SI</v>
      </c>
      <c r="AC12" s="373"/>
      <c r="AD12" s="374"/>
    </row>
    <row r="13" spans="1:30" ht="66.75" customHeight="1" x14ac:dyDescent="0.2">
      <c r="A13" s="1255" t="e">
        <f>#REF!</f>
        <v>#REF!</v>
      </c>
      <c r="B13" s="1258" t="e">
        <f>#REF!</f>
        <v>#REF!</v>
      </c>
      <c r="C13" s="1258" t="e">
        <f>#REF!</f>
        <v>#REF!</v>
      </c>
      <c r="D13" s="372" t="str">
        <f>'[4]Analisis Riesgo'!K11</f>
        <v>Actualizar la información de la base de datos de precios asociada a costos de proyecto.</v>
      </c>
      <c r="E13" s="274" t="str">
        <f>'[4]Analisis Riesgo'!L11</f>
        <v>Esta herramienta permite comparar los precios presentado por el solicitante vs los precios de mercado permitiendo identificar distorsiones en los costos del proyecto.</v>
      </c>
      <c r="F13" s="276" t="s">
        <v>296</v>
      </c>
      <c r="G13" s="276" t="s">
        <v>299</v>
      </c>
      <c r="H13" s="276" t="s">
        <v>300</v>
      </c>
      <c r="I13" s="276" t="s">
        <v>301</v>
      </c>
      <c r="J13" s="276" t="s">
        <v>302</v>
      </c>
      <c r="K13" s="277" t="s">
        <v>303</v>
      </c>
      <c r="L13" s="276" t="s">
        <v>304</v>
      </c>
      <c r="M13" s="278">
        <f t="shared" si="0"/>
        <v>15</v>
      </c>
      <c r="N13" s="278">
        <f t="shared" si="1"/>
        <v>15</v>
      </c>
      <c r="O13" s="278">
        <f t="shared" si="2"/>
        <v>15</v>
      </c>
      <c r="P13" s="278">
        <f t="shared" si="3"/>
        <v>15</v>
      </c>
      <c r="Q13" s="278">
        <f t="shared" si="4"/>
        <v>15</v>
      </c>
      <c r="R13" s="278">
        <f t="shared" si="5"/>
        <v>15</v>
      </c>
      <c r="S13" s="278">
        <f t="shared" si="6"/>
        <v>10</v>
      </c>
      <c r="T13" s="278">
        <f t="shared" si="7"/>
        <v>100</v>
      </c>
      <c r="U13" s="276" t="s">
        <v>122</v>
      </c>
      <c r="V13" s="276" t="s">
        <v>263</v>
      </c>
      <c r="W13" s="278">
        <f t="shared" si="8"/>
        <v>1</v>
      </c>
      <c r="X13" s="278">
        <f t="shared" si="9"/>
        <v>0</v>
      </c>
      <c r="Y13" s="278" t="str">
        <f t="shared" si="10"/>
        <v>Fuerte</v>
      </c>
      <c r="Z13" s="276" t="s">
        <v>305</v>
      </c>
      <c r="AA13" s="278" t="str">
        <f t="shared" si="11"/>
        <v>Fuerte</v>
      </c>
      <c r="AB13" s="278" t="str">
        <f t="shared" si="12"/>
        <v>No</v>
      </c>
      <c r="AC13" s="373"/>
      <c r="AD13" s="374"/>
    </row>
    <row r="14" spans="1:30" ht="81.75" customHeight="1" x14ac:dyDescent="0.2">
      <c r="A14" s="1383"/>
      <c r="B14" s="1351"/>
      <c r="C14" s="1351"/>
      <c r="D14" s="372" t="str">
        <f>'[4]Analisis Riesgo'!K12</f>
        <v>Aplicar las herramientas e instrumentos de evaluación para verificar el cuplimiento de requisitos.</v>
      </c>
      <c r="E14" s="274" t="str">
        <f>'[4]Analisis Riesgo'!L12</f>
        <v>Aplicar los criterios de evaluación definidos en herramienta e instrumentos, lo cual permite verificar el total del cumplimiento de los requisitos definidos para cada Fondo.</v>
      </c>
      <c r="F14" s="276" t="s">
        <v>296</v>
      </c>
      <c r="G14" s="276" t="s">
        <v>299</v>
      </c>
      <c r="H14" s="276" t="s">
        <v>300</v>
      </c>
      <c r="I14" s="276" t="s">
        <v>301</v>
      </c>
      <c r="J14" s="276" t="s">
        <v>302</v>
      </c>
      <c r="K14" s="277" t="s">
        <v>303</v>
      </c>
      <c r="L14" s="276" t="s">
        <v>304</v>
      </c>
      <c r="M14" s="278">
        <f t="shared" si="0"/>
        <v>15</v>
      </c>
      <c r="N14" s="278">
        <f t="shared" si="1"/>
        <v>15</v>
      </c>
      <c r="O14" s="278">
        <f t="shared" si="2"/>
        <v>15</v>
      </c>
      <c r="P14" s="278">
        <f t="shared" si="3"/>
        <v>15</v>
      </c>
      <c r="Q14" s="278">
        <f t="shared" si="4"/>
        <v>15</v>
      </c>
      <c r="R14" s="278">
        <f t="shared" si="5"/>
        <v>15</v>
      </c>
      <c r="S14" s="278">
        <f t="shared" si="6"/>
        <v>10</v>
      </c>
      <c r="T14" s="278">
        <f t="shared" si="7"/>
        <v>100</v>
      </c>
      <c r="U14" s="276" t="s">
        <v>122</v>
      </c>
      <c r="V14" s="276" t="s">
        <v>263</v>
      </c>
      <c r="W14" s="278">
        <f t="shared" si="8"/>
        <v>1</v>
      </c>
      <c r="X14" s="278">
        <f t="shared" si="9"/>
        <v>0</v>
      </c>
      <c r="Y14" s="278" t="str">
        <f t="shared" si="10"/>
        <v>Fuerte</v>
      </c>
      <c r="Z14" s="276" t="s">
        <v>305</v>
      </c>
      <c r="AA14" s="278" t="str">
        <f t="shared" si="11"/>
        <v>Fuerte</v>
      </c>
      <c r="AB14" s="278" t="str">
        <f t="shared" si="12"/>
        <v>No</v>
      </c>
      <c r="AC14" s="373"/>
      <c r="AD14" s="374"/>
    </row>
    <row r="15" spans="1:30" ht="60.75" customHeight="1" x14ac:dyDescent="0.2">
      <c r="A15" s="1383"/>
      <c r="B15" s="1351"/>
      <c r="C15" s="1351"/>
      <c r="D15" s="372" t="str">
        <f>'[4]Analisis Riesgo'!K13</f>
        <v>Participar activamente en la revisión de los proyectos normativos.</v>
      </c>
      <c r="E15" s="274" t="str">
        <f>'[4]Analisis Riesgo'!L13</f>
        <v>La OGPF realiza la revisión y comentarios a la normatividad de carácter general que es es modificada por los entes reguladores de los fondos de apoyo financiero, lo cual tiene como propósito reducir el impacto de los cambios normativos.</v>
      </c>
      <c r="F15" s="276" t="s">
        <v>296</v>
      </c>
      <c r="G15" s="276" t="s">
        <v>299</v>
      </c>
      <c r="H15" s="276" t="s">
        <v>300</v>
      </c>
      <c r="I15" s="276" t="s">
        <v>301</v>
      </c>
      <c r="J15" s="276" t="s">
        <v>302</v>
      </c>
      <c r="K15" s="277" t="s">
        <v>303</v>
      </c>
      <c r="L15" s="276" t="s">
        <v>304</v>
      </c>
      <c r="M15" s="278">
        <f t="shared" si="0"/>
        <v>15</v>
      </c>
      <c r="N15" s="278">
        <f t="shared" si="1"/>
        <v>15</v>
      </c>
      <c r="O15" s="278">
        <f t="shared" si="2"/>
        <v>15</v>
      </c>
      <c r="P15" s="278">
        <f t="shared" si="3"/>
        <v>15</v>
      </c>
      <c r="Q15" s="278">
        <f t="shared" si="4"/>
        <v>15</v>
      </c>
      <c r="R15" s="278">
        <f t="shared" si="5"/>
        <v>15</v>
      </c>
      <c r="S15" s="278">
        <f t="shared" si="6"/>
        <v>10</v>
      </c>
      <c r="T15" s="278">
        <f t="shared" si="7"/>
        <v>100</v>
      </c>
      <c r="U15" s="276" t="s">
        <v>122</v>
      </c>
      <c r="V15" s="276" t="s">
        <v>263</v>
      </c>
      <c r="W15" s="278">
        <f t="shared" si="8"/>
        <v>1</v>
      </c>
      <c r="X15" s="278">
        <f t="shared" si="9"/>
        <v>0</v>
      </c>
      <c r="Y15" s="278" t="str">
        <f t="shared" si="10"/>
        <v>Fuerte</v>
      </c>
      <c r="Z15" s="276" t="s">
        <v>305</v>
      </c>
      <c r="AA15" s="278" t="str">
        <f t="shared" si="11"/>
        <v>Fuerte</v>
      </c>
      <c r="AB15" s="278" t="str">
        <f t="shared" si="12"/>
        <v>No</v>
      </c>
      <c r="AC15" s="373"/>
      <c r="AD15" s="374"/>
    </row>
    <row r="16" spans="1:30" ht="105" customHeight="1" x14ac:dyDescent="0.2">
      <c r="A16" s="1383"/>
      <c r="B16" s="1351"/>
      <c r="C16" s="1351"/>
      <c r="D16" s="372" t="str">
        <f>'[4]Analisis Riesgo'!K14</f>
        <v>Aplicar niveles de autorización para la emisión de conceptos de evaluación de proyectos solicitantes de recursos en los fondos de apoyo financiero.</v>
      </c>
      <c r="E16" s="274" t="str">
        <f>'[4]Analisis Riesgo'!L14</f>
        <v>Existe una cadena de elaboración, revisión y aprobación de los conceptos de evaluación de  proyectos solicitantes de recursos en los fondos de apoyo financiero, que de acuerdo al volumen se ejecuta en actividades clave y de forma aleatoria a itéms clave de la evaluación, tiene como propòsito garantizar la calidad del proceso e identificar posibles desviaciones.</v>
      </c>
      <c r="F16" s="276" t="s">
        <v>296</v>
      </c>
      <c r="G16" s="276" t="s">
        <v>299</v>
      </c>
      <c r="H16" s="276" t="s">
        <v>300</v>
      </c>
      <c r="I16" s="276" t="s">
        <v>301</v>
      </c>
      <c r="J16" s="276" t="s">
        <v>302</v>
      </c>
      <c r="K16" s="277" t="s">
        <v>303</v>
      </c>
      <c r="L16" s="276" t="s">
        <v>304</v>
      </c>
      <c r="M16" s="278">
        <f t="shared" si="0"/>
        <v>15</v>
      </c>
      <c r="N16" s="278">
        <f t="shared" si="1"/>
        <v>15</v>
      </c>
      <c r="O16" s="278">
        <f t="shared" si="2"/>
        <v>15</v>
      </c>
      <c r="P16" s="278">
        <f t="shared" si="3"/>
        <v>15</v>
      </c>
      <c r="Q16" s="278">
        <f t="shared" si="4"/>
        <v>15</v>
      </c>
      <c r="R16" s="278">
        <f t="shared" si="5"/>
        <v>15</v>
      </c>
      <c r="S16" s="278">
        <f t="shared" si="6"/>
        <v>10</v>
      </c>
      <c r="T16" s="278">
        <f t="shared" si="7"/>
        <v>100</v>
      </c>
      <c r="U16" s="276" t="s">
        <v>263</v>
      </c>
      <c r="V16" s="276" t="s">
        <v>122</v>
      </c>
      <c r="W16" s="278">
        <f t="shared" si="8"/>
        <v>0</v>
      </c>
      <c r="X16" s="278">
        <f t="shared" si="9"/>
        <v>1</v>
      </c>
      <c r="Y16" s="278" t="str">
        <f t="shared" si="10"/>
        <v>Debil</v>
      </c>
      <c r="Z16" s="276" t="s">
        <v>305</v>
      </c>
      <c r="AA16" s="278" t="str">
        <f t="shared" si="11"/>
        <v>Fuerte</v>
      </c>
      <c r="AB16" s="375" t="str">
        <f t="shared" si="12"/>
        <v>SI</v>
      </c>
      <c r="AC16" s="373"/>
      <c r="AD16" s="374"/>
    </row>
    <row r="17" spans="1:30" ht="104.25" customHeight="1" x14ac:dyDescent="0.2">
      <c r="A17" s="1384"/>
      <c r="B17" s="1343"/>
      <c r="C17" s="1343"/>
      <c r="D17" s="372" t="str">
        <f>'[4]Analisis Riesgo'!K15</f>
        <v>Participar activamente en jornadas de formación y sensibilización en tema de evaluación de proyectos de fondos.</v>
      </c>
      <c r="E17" s="274" t="str">
        <f>'[4]Analisis Riesgo'!L15</f>
        <v>La OGPF participa en actividades de capacitación con el propósito de reducir las brechas de conocimiento existentes, aumentar la capacidad del proceso y reducir fallos por desconocimiento de los mètodos de evaluaciòn y la normatividad aplicable al proceso.</v>
      </c>
      <c r="F17" s="276" t="s">
        <v>296</v>
      </c>
      <c r="G17" s="276" t="s">
        <v>299</v>
      </c>
      <c r="H17" s="276" t="s">
        <v>300</v>
      </c>
      <c r="I17" s="276" t="s">
        <v>301</v>
      </c>
      <c r="J17" s="276" t="s">
        <v>302</v>
      </c>
      <c r="K17" s="277" t="s">
        <v>303</v>
      </c>
      <c r="L17" s="276" t="s">
        <v>304</v>
      </c>
      <c r="M17" s="278">
        <f t="shared" si="0"/>
        <v>15</v>
      </c>
      <c r="N17" s="278">
        <f t="shared" si="1"/>
        <v>15</v>
      </c>
      <c r="O17" s="278">
        <f t="shared" si="2"/>
        <v>15</v>
      </c>
      <c r="P17" s="278">
        <f t="shared" si="3"/>
        <v>15</v>
      </c>
      <c r="Q17" s="278">
        <f t="shared" si="4"/>
        <v>15</v>
      </c>
      <c r="R17" s="278">
        <f t="shared" si="5"/>
        <v>15</v>
      </c>
      <c r="S17" s="278">
        <f t="shared" si="6"/>
        <v>10</v>
      </c>
      <c r="T17" s="278">
        <f t="shared" si="7"/>
        <v>100</v>
      </c>
      <c r="U17" s="276" t="s">
        <v>122</v>
      </c>
      <c r="V17" s="276" t="s">
        <v>122</v>
      </c>
      <c r="W17" s="278">
        <f t="shared" si="8"/>
        <v>1</v>
      </c>
      <c r="X17" s="278">
        <f t="shared" si="9"/>
        <v>1</v>
      </c>
      <c r="Y17" s="278" t="str">
        <f t="shared" si="10"/>
        <v>Fuerte</v>
      </c>
      <c r="Z17" s="276" t="s">
        <v>305</v>
      </c>
      <c r="AA17" s="278" t="str">
        <f t="shared" si="11"/>
        <v>Fuerte</v>
      </c>
      <c r="AB17" s="278" t="str">
        <f t="shared" si="12"/>
        <v>No</v>
      </c>
      <c r="AC17" s="373"/>
      <c r="AD17" s="374"/>
    </row>
    <row r="18" spans="1:30" ht="85.5" customHeight="1" x14ac:dyDescent="0.2">
      <c r="A18" s="1255" t="e">
        <f>#REF!</f>
        <v>#REF!</v>
      </c>
      <c r="B18" s="1258" t="e">
        <f>#REF!</f>
        <v>#REF!</v>
      </c>
      <c r="C18" s="1385" t="e">
        <f>#REF!</f>
        <v>#REF!</v>
      </c>
      <c r="D18" s="372" t="str">
        <f>'[4]Analisis Riesgo'!K16</f>
        <v>Realizar seguimiento al cumplimiento de las obligaciones de contratistas de OGPF.</v>
      </c>
      <c r="E18" s="274" t="str">
        <f>'[4]Analisis Riesgo'!L16</f>
        <v>Se realiza seguimiento al avance en la evaluación de los proyectos y al cumplimiento de las obligaciones contractuales ejecutados a través de los mecanismos de supervisión de los contratos.</v>
      </c>
      <c r="F18" s="276" t="s">
        <v>296</v>
      </c>
      <c r="G18" s="276" t="s">
        <v>299</v>
      </c>
      <c r="H18" s="276" t="s">
        <v>300</v>
      </c>
      <c r="I18" s="276" t="s">
        <v>301</v>
      </c>
      <c r="J18" s="276" t="s">
        <v>302</v>
      </c>
      <c r="K18" s="277" t="s">
        <v>303</v>
      </c>
      <c r="L18" s="276" t="s">
        <v>304</v>
      </c>
      <c r="M18" s="278">
        <f t="shared" si="0"/>
        <v>15</v>
      </c>
      <c r="N18" s="278">
        <f t="shared" si="1"/>
        <v>15</v>
      </c>
      <c r="O18" s="278">
        <f t="shared" si="2"/>
        <v>15</v>
      </c>
      <c r="P18" s="278">
        <f t="shared" si="3"/>
        <v>15</v>
      </c>
      <c r="Q18" s="278">
        <f t="shared" si="4"/>
        <v>15</v>
      </c>
      <c r="R18" s="278">
        <f t="shared" si="5"/>
        <v>15</v>
      </c>
      <c r="S18" s="278">
        <f t="shared" si="6"/>
        <v>10</v>
      </c>
      <c r="T18" s="278">
        <f t="shared" si="7"/>
        <v>100</v>
      </c>
      <c r="U18" s="276" t="s">
        <v>122</v>
      </c>
      <c r="V18" s="276" t="s">
        <v>263</v>
      </c>
      <c r="W18" s="278">
        <f t="shared" si="8"/>
        <v>1</v>
      </c>
      <c r="X18" s="278">
        <f t="shared" si="9"/>
        <v>0</v>
      </c>
      <c r="Y18" s="278" t="str">
        <f t="shared" si="10"/>
        <v>Fuerte</v>
      </c>
      <c r="Z18" s="276" t="s">
        <v>305</v>
      </c>
      <c r="AA18" s="278" t="str">
        <f t="shared" si="11"/>
        <v>Fuerte</v>
      </c>
      <c r="AB18" s="278" t="str">
        <f t="shared" si="12"/>
        <v>No</v>
      </c>
      <c r="AC18" s="376"/>
      <c r="AD18" s="374"/>
    </row>
    <row r="19" spans="1:30" ht="100.5" customHeight="1" x14ac:dyDescent="0.2">
      <c r="A19" s="1383"/>
      <c r="B19" s="1351"/>
      <c r="C19" s="1351"/>
      <c r="D19" s="372" t="str">
        <f>'[4]Analisis Riesgo'!K17</f>
        <v>Aplicar niveles de autorización para la emisión de conceptos de evaluación de proyectos solicitantes de recursos en los fondos de apoyo financiero.</v>
      </c>
      <c r="E19" s="274" t="str">
        <f>'[4]Analisis Riesgo'!L17</f>
        <v>Existe una cadena de elaboración, revisión y aprobación de los conceptos de evaluación de  proyectos solicitantes de recursos en los fondos de apoyo financiero, que de acuerdo al volumen se ejecuta en actividades clave y de forma aleatoria a itéms clave de la evaluación, tiene como propòsito garantizar la calidad del proceso e identificar posibles desviaciones.</v>
      </c>
      <c r="F19" s="276" t="s">
        <v>296</v>
      </c>
      <c r="G19" s="276" t="s">
        <v>299</v>
      </c>
      <c r="H19" s="276" t="s">
        <v>300</v>
      </c>
      <c r="I19" s="276" t="s">
        <v>301</v>
      </c>
      <c r="J19" s="276" t="s">
        <v>302</v>
      </c>
      <c r="K19" s="277" t="s">
        <v>303</v>
      </c>
      <c r="L19" s="276" t="s">
        <v>304</v>
      </c>
      <c r="M19" s="278">
        <f t="shared" si="0"/>
        <v>15</v>
      </c>
      <c r="N19" s="278">
        <f t="shared" si="1"/>
        <v>15</v>
      </c>
      <c r="O19" s="278">
        <f t="shared" si="2"/>
        <v>15</v>
      </c>
      <c r="P19" s="278">
        <f t="shared" si="3"/>
        <v>15</v>
      </c>
      <c r="Q19" s="278">
        <f t="shared" si="4"/>
        <v>15</v>
      </c>
      <c r="R19" s="278">
        <f t="shared" si="5"/>
        <v>15</v>
      </c>
      <c r="S19" s="278">
        <f t="shared" si="6"/>
        <v>10</v>
      </c>
      <c r="T19" s="278">
        <f t="shared" si="7"/>
        <v>100</v>
      </c>
      <c r="U19" s="276" t="s">
        <v>263</v>
      </c>
      <c r="V19" s="276" t="s">
        <v>122</v>
      </c>
      <c r="W19" s="278">
        <f t="shared" si="8"/>
        <v>0</v>
      </c>
      <c r="X19" s="278">
        <f t="shared" si="9"/>
        <v>1</v>
      </c>
      <c r="Y19" s="278" t="str">
        <f t="shared" si="10"/>
        <v>Debil</v>
      </c>
      <c r="Z19" s="276" t="s">
        <v>305</v>
      </c>
      <c r="AA19" s="278" t="str">
        <f t="shared" si="11"/>
        <v>Fuerte</v>
      </c>
      <c r="AB19" s="278" t="str">
        <f t="shared" si="12"/>
        <v>SI</v>
      </c>
      <c r="AC19" s="377"/>
      <c r="AD19" s="374"/>
    </row>
    <row r="20" spans="1:30" ht="83.25" customHeight="1" x14ac:dyDescent="0.2">
      <c r="A20" s="1383"/>
      <c r="B20" s="1351"/>
      <c r="C20" s="1351"/>
      <c r="D20" s="372" t="str">
        <f>'[4]Analisis Riesgo'!K18</f>
        <v>Aplicar formato resumen de visita (acta reuniones).</v>
      </c>
      <c r="E20" s="274" t="str">
        <f>'[4]Analisis Riesgo'!L18</f>
        <v>Existe el método de control mediante el cual no se participa de manera individual en la atención con clientes externos del proceso,  asistiendo mínimo dos personas de la OGPF a cada reunión, con el propósito de evitar las presiones indebidas y los ofrecimientos indebidos por parte de terceros.</v>
      </c>
      <c r="F20" s="276" t="s">
        <v>296</v>
      </c>
      <c r="G20" s="276" t="s">
        <v>299</v>
      </c>
      <c r="H20" s="276" t="s">
        <v>300</v>
      </c>
      <c r="I20" s="276" t="s">
        <v>301</v>
      </c>
      <c r="J20" s="276" t="s">
        <v>302</v>
      </c>
      <c r="K20" s="277" t="s">
        <v>303</v>
      </c>
      <c r="L20" s="276" t="s">
        <v>304</v>
      </c>
      <c r="M20" s="278">
        <f t="shared" si="0"/>
        <v>15</v>
      </c>
      <c r="N20" s="278">
        <f t="shared" si="1"/>
        <v>15</v>
      </c>
      <c r="O20" s="278">
        <f t="shared" si="2"/>
        <v>15</v>
      </c>
      <c r="P20" s="278">
        <f t="shared" si="3"/>
        <v>15</v>
      </c>
      <c r="Q20" s="278">
        <f t="shared" si="4"/>
        <v>15</v>
      </c>
      <c r="R20" s="278">
        <f t="shared" si="5"/>
        <v>15</v>
      </c>
      <c r="S20" s="278">
        <f t="shared" si="6"/>
        <v>10</v>
      </c>
      <c r="T20" s="278">
        <f t="shared" si="7"/>
        <v>100</v>
      </c>
      <c r="U20" s="276" t="s">
        <v>122</v>
      </c>
      <c r="V20" s="276" t="s">
        <v>263</v>
      </c>
      <c r="W20" s="278">
        <f t="shared" si="8"/>
        <v>1</v>
      </c>
      <c r="X20" s="278">
        <f t="shared" si="9"/>
        <v>0</v>
      </c>
      <c r="Y20" s="278" t="str">
        <f t="shared" si="10"/>
        <v>Fuerte</v>
      </c>
      <c r="Z20" s="276" t="s">
        <v>305</v>
      </c>
      <c r="AA20" s="278" t="str">
        <f t="shared" si="11"/>
        <v>Fuerte</v>
      </c>
      <c r="AB20" s="278" t="str">
        <f t="shared" si="12"/>
        <v>No</v>
      </c>
      <c r="AC20" s="377"/>
      <c r="AD20" s="374"/>
    </row>
    <row r="21" spans="1:30" ht="12.75" customHeight="1" x14ac:dyDescent="0.2">
      <c r="A21" s="1384"/>
      <c r="B21" s="1343"/>
      <c r="C21" s="1343"/>
      <c r="D21" s="372" t="str">
        <f>'[4]Analisis Riesgo'!K19</f>
        <v>Participar en actividades de socialización y divulgación del Código de Integridad.</v>
      </c>
      <c r="E21" s="274" t="str">
        <f>'[4]Analisis Riesgo'!L19</f>
        <v>Participar en las actividades de formación, socialización y divulgación del Código de Integridad, Transparencia y Lucha Contra la Corrupción, que permitan la concientización de los servidores públicos.</v>
      </c>
      <c r="F21" s="276" t="s">
        <v>296</v>
      </c>
      <c r="G21" s="276" t="s">
        <v>299</v>
      </c>
      <c r="H21" s="276" t="s">
        <v>300</v>
      </c>
      <c r="I21" s="276" t="s">
        <v>301</v>
      </c>
      <c r="J21" s="276" t="s">
        <v>302</v>
      </c>
      <c r="K21" s="277" t="s">
        <v>303</v>
      </c>
      <c r="L21" s="276" t="s">
        <v>304</v>
      </c>
      <c r="M21" s="278">
        <f t="shared" si="0"/>
        <v>15</v>
      </c>
      <c r="N21" s="278">
        <f t="shared" si="1"/>
        <v>15</v>
      </c>
      <c r="O21" s="278">
        <f t="shared" si="2"/>
        <v>15</v>
      </c>
      <c r="P21" s="278">
        <f t="shared" si="3"/>
        <v>15</v>
      </c>
      <c r="Q21" s="278">
        <f t="shared" si="4"/>
        <v>15</v>
      </c>
      <c r="R21" s="278">
        <f t="shared" si="5"/>
        <v>15</v>
      </c>
      <c r="S21" s="278">
        <f t="shared" si="6"/>
        <v>10</v>
      </c>
      <c r="T21" s="278">
        <f t="shared" si="7"/>
        <v>100</v>
      </c>
      <c r="U21" s="276" t="s">
        <v>263</v>
      </c>
      <c r="V21" s="276" t="s">
        <v>122</v>
      </c>
      <c r="W21" s="278">
        <f t="shared" si="8"/>
        <v>0</v>
      </c>
      <c r="X21" s="278">
        <f t="shared" si="9"/>
        <v>1</v>
      </c>
      <c r="Y21" s="278" t="str">
        <f t="shared" si="10"/>
        <v>Debil</v>
      </c>
      <c r="Z21" s="276" t="s">
        <v>305</v>
      </c>
      <c r="AA21" s="278" t="str">
        <f t="shared" si="11"/>
        <v>Fuerte</v>
      </c>
      <c r="AB21" s="375" t="str">
        <f t="shared" si="12"/>
        <v>SI</v>
      </c>
      <c r="AC21" s="377"/>
      <c r="AD21" s="374"/>
    </row>
    <row r="22" spans="1:30" ht="12.75" customHeight="1" x14ac:dyDescent="0.2">
      <c r="A22" s="378"/>
      <c r="B22" s="378"/>
      <c r="C22" s="378"/>
      <c r="D22" s="379"/>
      <c r="E22" s="380"/>
      <c r="F22" s="378"/>
      <c r="G22" s="378"/>
      <c r="H22" s="378"/>
      <c r="I22" s="378"/>
      <c r="J22" s="378"/>
      <c r="K22" s="378"/>
      <c r="L22" s="378"/>
      <c r="M22" s="381"/>
      <c r="N22" s="381"/>
      <c r="O22" s="381"/>
      <c r="P22" s="381"/>
      <c r="Q22" s="381"/>
      <c r="R22" s="381"/>
      <c r="S22" s="381"/>
      <c r="T22" s="381"/>
      <c r="U22" s="381"/>
      <c r="V22" s="381"/>
      <c r="W22" s="381"/>
      <c r="X22" s="381"/>
      <c r="Y22" s="381"/>
      <c r="Z22" s="381"/>
      <c r="AA22" s="381"/>
      <c r="AB22" s="381"/>
      <c r="AC22" s="382"/>
      <c r="AD22" s="382"/>
    </row>
    <row r="23" spans="1:30" ht="12.75" customHeight="1" x14ac:dyDescent="0.2">
      <c r="A23" s="378"/>
      <c r="B23" s="378"/>
      <c r="C23" s="378"/>
      <c r="D23" s="379"/>
      <c r="E23" s="380"/>
      <c r="F23" s="378"/>
      <c r="G23" s="378"/>
      <c r="H23" s="378"/>
      <c r="I23" s="378"/>
      <c r="J23" s="378"/>
      <c r="K23" s="378"/>
      <c r="L23" s="378"/>
      <c r="M23" s="381"/>
      <c r="N23" s="381"/>
      <c r="O23" s="381"/>
      <c r="P23" s="381"/>
      <c r="Q23" s="381"/>
      <c r="R23" s="381"/>
      <c r="S23" s="381"/>
      <c r="T23" s="381"/>
      <c r="U23" s="381"/>
      <c r="V23" s="381"/>
      <c r="W23" s="381"/>
      <c r="X23" s="381"/>
      <c r="Y23" s="381"/>
      <c r="Z23" s="381"/>
      <c r="AA23" s="381"/>
      <c r="AB23" s="381"/>
      <c r="AC23" s="382"/>
      <c r="AD23" s="382"/>
    </row>
    <row r="24" spans="1:30" ht="12.75" customHeight="1" x14ac:dyDescent="0.2">
      <c r="A24" s="378"/>
      <c r="B24" s="378"/>
      <c r="C24" s="378"/>
      <c r="D24" s="379"/>
      <c r="E24" s="380"/>
      <c r="F24" s="378"/>
      <c r="G24" s="378"/>
      <c r="H24" s="378"/>
      <c r="I24" s="378"/>
      <c r="J24" s="378"/>
      <c r="K24" s="378"/>
      <c r="L24" s="378"/>
      <c r="M24" s="381"/>
      <c r="N24" s="381"/>
      <c r="O24" s="381"/>
      <c r="P24" s="381"/>
      <c r="Q24" s="381"/>
      <c r="R24" s="381"/>
      <c r="S24" s="381"/>
      <c r="T24" s="381"/>
      <c r="U24" s="381"/>
      <c r="V24" s="381"/>
      <c r="W24" s="381"/>
      <c r="X24" s="381"/>
      <c r="Y24" s="381"/>
      <c r="Z24" s="381"/>
      <c r="AA24" s="381"/>
      <c r="AB24" s="381"/>
      <c r="AC24" s="382"/>
      <c r="AD24" s="382"/>
    </row>
    <row r="25" spans="1:30" ht="12.75" customHeight="1" x14ac:dyDescent="0.2">
      <c r="A25" s="378"/>
      <c r="B25" s="378"/>
      <c r="C25" s="378"/>
      <c r="D25" s="379"/>
      <c r="E25" s="380"/>
      <c r="F25" s="378"/>
      <c r="G25" s="378"/>
      <c r="H25" s="378"/>
      <c r="I25" s="378"/>
      <c r="J25" s="378"/>
      <c r="K25" s="378"/>
      <c r="L25" s="378"/>
      <c r="M25" s="381"/>
      <c r="N25" s="381"/>
      <c r="O25" s="381"/>
      <c r="P25" s="381"/>
      <c r="Q25" s="381"/>
      <c r="R25" s="381"/>
      <c r="S25" s="381"/>
      <c r="T25" s="381"/>
      <c r="U25" s="381"/>
      <c r="V25" s="381"/>
      <c r="W25" s="381"/>
      <c r="X25" s="381"/>
      <c r="Y25" s="381"/>
      <c r="Z25" s="381"/>
      <c r="AA25" s="381"/>
      <c r="AB25" s="381"/>
      <c r="AC25" s="382"/>
      <c r="AD25" s="382"/>
    </row>
    <row r="26" spans="1:30" ht="12.75" customHeight="1" x14ac:dyDescent="0.2">
      <c r="A26" s="378"/>
      <c r="B26" s="378"/>
      <c r="C26" s="378"/>
      <c r="D26" s="379"/>
      <c r="E26" s="380"/>
      <c r="F26" s="378"/>
      <c r="G26" s="378"/>
      <c r="H26" s="378"/>
      <c r="I26" s="378"/>
      <c r="J26" s="378"/>
      <c r="K26" s="378"/>
      <c r="L26" s="378"/>
      <c r="M26" s="381"/>
      <c r="N26" s="381"/>
      <c r="O26" s="381"/>
      <c r="P26" s="381"/>
      <c r="Q26" s="381"/>
      <c r="R26" s="381"/>
      <c r="S26" s="381"/>
      <c r="T26" s="381"/>
      <c r="U26" s="381"/>
      <c r="V26" s="381"/>
      <c r="W26" s="381"/>
      <c r="X26" s="381"/>
      <c r="Y26" s="381"/>
      <c r="Z26" s="381"/>
      <c r="AA26" s="381"/>
      <c r="AB26" s="381"/>
      <c r="AC26" s="382"/>
      <c r="AD26" s="382"/>
    </row>
    <row r="27" spans="1:30" ht="12.75" customHeight="1" x14ac:dyDescent="0.2">
      <c r="A27" s="378"/>
      <c r="B27" s="378"/>
      <c r="C27" s="378"/>
      <c r="D27" s="379"/>
      <c r="E27" s="380"/>
      <c r="F27" s="378"/>
      <c r="G27" s="378"/>
      <c r="H27" s="378"/>
      <c r="I27" s="378"/>
      <c r="J27" s="378"/>
      <c r="K27" s="378"/>
      <c r="L27" s="378"/>
      <c r="M27" s="381"/>
      <c r="N27" s="381"/>
      <c r="O27" s="381"/>
      <c r="P27" s="381"/>
      <c r="Q27" s="381"/>
      <c r="R27" s="381"/>
      <c r="S27" s="381"/>
      <c r="T27" s="381"/>
      <c r="U27" s="381"/>
      <c r="V27" s="381"/>
      <c r="W27" s="381"/>
      <c r="X27" s="381"/>
      <c r="Y27" s="381"/>
      <c r="Z27" s="381"/>
      <c r="AA27" s="381"/>
      <c r="AB27" s="381"/>
      <c r="AC27" s="382"/>
      <c r="AD27" s="382"/>
    </row>
    <row r="28" spans="1:30" ht="12.75" customHeight="1" x14ac:dyDescent="0.2">
      <c r="A28" s="378"/>
      <c r="B28" s="378"/>
      <c r="C28" s="378"/>
      <c r="D28" s="379"/>
      <c r="E28" s="380"/>
      <c r="F28" s="378"/>
      <c r="G28" s="378"/>
      <c r="H28" s="378"/>
      <c r="I28" s="378"/>
      <c r="J28" s="378"/>
      <c r="K28" s="378"/>
      <c r="L28" s="378"/>
      <c r="M28" s="381"/>
      <c r="N28" s="381"/>
      <c r="O28" s="381"/>
      <c r="P28" s="381"/>
      <c r="Q28" s="381"/>
      <c r="R28" s="381"/>
      <c r="S28" s="381"/>
      <c r="T28" s="381"/>
      <c r="U28" s="381"/>
      <c r="V28" s="381"/>
      <c r="W28" s="381"/>
      <c r="X28" s="381"/>
      <c r="Y28" s="381"/>
      <c r="Z28" s="381"/>
      <c r="AA28" s="381"/>
      <c r="AB28" s="381"/>
      <c r="AC28" s="382"/>
      <c r="AD28" s="382"/>
    </row>
    <row r="29" spans="1:30" ht="12.75" customHeight="1" x14ac:dyDescent="0.2">
      <c r="A29" s="378"/>
      <c r="B29" s="378"/>
      <c r="C29" s="378"/>
      <c r="D29" s="379"/>
      <c r="E29" s="380"/>
      <c r="F29" s="378"/>
      <c r="G29" s="378"/>
      <c r="H29" s="378"/>
      <c r="I29" s="378"/>
      <c r="J29" s="378"/>
      <c r="K29" s="378"/>
      <c r="L29" s="378"/>
      <c r="M29" s="381"/>
      <c r="N29" s="381"/>
      <c r="O29" s="381"/>
      <c r="P29" s="381"/>
      <c r="Q29" s="381"/>
      <c r="R29" s="381"/>
      <c r="S29" s="381"/>
      <c r="T29" s="381"/>
      <c r="U29" s="381"/>
      <c r="V29" s="381"/>
      <c r="W29" s="381"/>
      <c r="X29" s="381"/>
      <c r="Y29" s="381"/>
      <c r="Z29" s="381"/>
      <c r="AA29" s="381"/>
      <c r="AB29" s="381"/>
      <c r="AC29" s="382"/>
      <c r="AD29" s="382"/>
    </row>
    <row r="30" spans="1:30" ht="12.75" customHeight="1" x14ac:dyDescent="0.2">
      <c r="A30" s="378"/>
      <c r="B30" s="378"/>
      <c r="C30" s="378"/>
      <c r="D30" s="379"/>
      <c r="E30" s="380"/>
      <c r="F30" s="378"/>
      <c r="G30" s="378"/>
      <c r="H30" s="378"/>
      <c r="I30" s="378"/>
      <c r="J30" s="378"/>
      <c r="K30" s="378"/>
      <c r="L30" s="378"/>
      <c r="M30" s="381"/>
      <c r="N30" s="381"/>
      <c r="O30" s="381"/>
      <c r="P30" s="381"/>
      <c r="Q30" s="381"/>
      <c r="R30" s="381"/>
      <c r="S30" s="381"/>
      <c r="T30" s="381"/>
      <c r="U30" s="381"/>
      <c r="V30" s="381"/>
      <c r="W30" s="381"/>
      <c r="X30" s="381"/>
      <c r="Y30" s="381"/>
      <c r="Z30" s="381"/>
      <c r="AA30" s="381"/>
      <c r="AB30" s="381"/>
      <c r="AC30" s="382"/>
      <c r="AD30" s="382"/>
    </row>
    <row r="31" spans="1:30" ht="12.75" customHeight="1" x14ac:dyDescent="0.2">
      <c r="A31" s="378"/>
      <c r="B31" s="378"/>
      <c r="C31" s="378"/>
      <c r="D31" s="379"/>
      <c r="E31" s="380"/>
      <c r="F31" s="378"/>
      <c r="G31" s="378"/>
      <c r="H31" s="378"/>
      <c r="I31" s="378"/>
      <c r="J31" s="378"/>
      <c r="K31" s="378"/>
      <c r="L31" s="378"/>
      <c r="M31" s="381"/>
      <c r="N31" s="381"/>
      <c r="O31" s="381"/>
      <c r="P31" s="381"/>
      <c r="Q31" s="381"/>
      <c r="R31" s="381"/>
      <c r="S31" s="381"/>
      <c r="T31" s="381"/>
      <c r="U31" s="381"/>
      <c r="V31" s="381"/>
      <c r="W31" s="381"/>
      <c r="X31" s="381"/>
      <c r="Y31" s="381"/>
      <c r="Z31" s="381"/>
      <c r="AA31" s="381"/>
      <c r="AB31" s="381"/>
      <c r="AC31" s="382"/>
      <c r="AD31" s="382"/>
    </row>
    <row r="32" spans="1:30" ht="12.75" customHeight="1" x14ac:dyDescent="0.2">
      <c r="A32" s="378"/>
      <c r="B32" s="378"/>
      <c r="C32" s="378"/>
      <c r="D32" s="379"/>
      <c r="E32" s="380"/>
      <c r="F32" s="378"/>
      <c r="G32" s="378"/>
      <c r="H32" s="378"/>
      <c r="I32" s="378"/>
      <c r="J32" s="378"/>
      <c r="K32" s="378"/>
      <c r="L32" s="378"/>
      <c r="M32" s="381"/>
      <c r="N32" s="381"/>
      <c r="O32" s="381"/>
      <c r="P32" s="381"/>
      <c r="Q32" s="381"/>
      <c r="R32" s="381"/>
      <c r="S32" s="381"/>
      <c r="T32" s="381"/>
      <c r="U32" s="381"/>
      <c r="V32" s="381"/>
      <c r="W32" s="381"/>
      <c r="X32" s="381"/>
      <c r="Y32" s="381"/>
      <c r="Z32" s="381"/>
      <c r="AA32" s="381"/>
      <c r="AB32" s="381"/>
      <c r="AC32" s="382"/>
      <c r="AD32" s="382"/>
    </row>
    <row r="33" spans="1:30" ht="12.75" customHeight="1" x14ac:dyDescent="0.2">
      <c r="A33" s="378"/>
      <c r="B33" s="378"/>
      <c r="C33" s="378"/>
      <c r="D33" s="379"/>
      <c r="E33" s="380"/>
      <c r="F33" s="378"/>
      <c r="G33" s="378"/>
      <c r="H33" s="378"/>
      <c r="I33" s="378"/>
      <c r="J33" s="378"/>
      <c r="K33" s="378"/>
      <c r="L33" s="378"/>
      <c r="M33" s="381"/>
      <c r="N33" s="381"/>
      <c r="O33" s="381"/>
      <c r="P33" s="381"/>
      <c r="Q33" s="381"/>
      <c r="R33" s="381"/>
      <c r="S33" s="381"/>
      <c r="T33" s="381"/>
      <c r="U33" s="381"/>
      <c r="V33" s="381"/>
      <c r="W33" s="381"/>
      <c r="X33" s="381"/>
      <c r="Y33" s="381"/>
      <c r="Z33" s="381"/>
      <c r="AA33" s="381"/>
      <c r="AB33" s="381"/>
      <c r="AC33" s="382"/>
      <c r="AD33" s="382"/>
    </row>
    <row r="34" spans="1:30" ht="12.75" customHeight="1" x14ac:dyDescent="0.2">
      <c r="A34" s="378"/>
      <c r="B34" s="378"/>
      <c r="C34" s="378"/>
      <c r="D34" s="379"/>
      <c r="E34" s="380"/>
      <c r="F34" s="378"/>
      <c r="G34" s="378"/>
      <c r="H34" s="378"/>
      <c r="I34" s="378"/>
      <c r="J34" s="378"/>
      <c r="K34" s="378"/>
      <c r="L34" s="378"/>
      <c r="M34" s="381"/>
      <c r="N34" s="381"/>
      <c r="O34" s="381"/>
      <c r="P34" s="381"/>
      <c r="Q34" s="381"/>
      <c r="R34" s="381"/>
      <c r="S34" s="381"/>
      <c r="T34" s="381"/>
      <c r="U34" s="381"/>
      <c r="V34" s="381"/>
      <c r="W34" s="381"/>
      <c r="X34" s="381"/>
      <c r="Y34" s="381"/>
      <c r="Z34" s="381"/>
      <c r="AA34" s="381"/>
      <c r="AB34" s="381"/>
      <c r="AC34" s="382"/>
      <c r="AD34" s="382"/>
    </row>
    <row r="35" spans="1:30" ht="12.75" customHeight="1" x14ac:dyDescent="0.2">
      <c r="A35" s="378"/>
      <c r="B35" s="378"/>
      <c r="C35" s="378"/>
      <c r="D35" s="379"/>
      <c r="E35" s="380"/>
      <c r="F35" s="378"/>
      <c r="G35" s="378"/>
      <c r="H35" s="378"/>
      <c r="I35" s="378"/>
      <c r="J35" s="378"/>
      <c r="K35" s="378"/>
      <c r="L35" s="378"/>
      <c r="M35" s="381"/>
      <c r="N35" s="381"/>
      <c r="O35" s="381"/>
      <c r="P35" s="381"/>
      <c r="Q35" s="381"/>
      <c r="R35" s="381"/>
      <c r="S35" s="381"/>
      <c r="T35" s="381"/>
      <c r="U35" s="381"/>
      <c r="V35" s="381"/>
      <c r="W35" s="381"/>
      <c r="X35" s="381"/>
      <c r="Y35" s="381"/>
      <c r="Z35" s="381"/>
      <c r="AA35" s="381"/>
      <c r="AB35" s="381"/>
      <c r="AC35" s="382"/>
      <c r="AD35" s="382"/>
    </row>
    <row r="36" spans="1:30" ht="12.75" customHeight="1" x14ac:dyDescent="0.2">
      <c r="A36" s="378"/>
      <c r="B36" s="378"/>
      <c r="C36" s="378"/>
      <c r="D36" s="379"/>
      <c r="E36" s="380"/>
      <c r="F36" s="378"/>
      <c r="G36" s="378"/>
      <c r="H36" s="378"/>
      <c r="I36" s="378"/>
      <c r="J36" s="378"/>
      <c r="K36" s="378"/>
      <c r="L36" s="378"/>
      <c r="M36" s="381"/>
      <c r="N36" s="381"/>
      <c r="O36" s="381"/>
      <c r="P36" s="381"/>
      <c r="Q36" s="381"/>
      <c r="R36" s="381"/>
      <c r="S36" s="381"/>
      <c r="T36" s="381"/>
      <c r="U36" s="381"/>
      <c r="V36" s="381"/>
      <c r="W36" s="381"/>
      <c r="X36" s="381"/>
      <c r="Y36" s="381"/>
      <c r="Z36" s="381"/>
      <c r="AA36" s="381"/>
      <c r="AB36" s="381"/>
      <c r="AC36" s="382"/>
      <c r="AD36" s="382"/>
    </row>
    <row r="37" spans="1:30" ht="12.75" customHeight="1" x14ac:dyDescent="0.2">
      <c r="A37" s="378"/>
      <c r="B37" s="378"/>
      <c r="C37" s="378"/>
      <c r="D37" s="379"/>
      <c r="E37" s="380"/>
      <c r="F37" s="378"/>
      <c r="G37" s="378"/>
      <c r="H37" s="378"/>
      <c r="I37" s="378"/>
      <c r="J37" s="378"/>
      <c r="K37" s="378"/>
      <c r="L37" s="378"/>
      <c r="M37" s="381"/>
      <c r="N37" s="381"/>
      <c r="O37" s="381"/>
      <c r="P37" s="381"/>
      <c r="Q37" s="381"/>
      <c r="R37" s="381"/>
      <c r="S37" s="381"/>
      <c r="T37" s="381"/>
      <c r="U37" s="381"/>
      <c r="V37" s="381"/>
      <c r="W37" s="381"/>
      <c r="X37" s="381"/>
      <c r="Y37" s="381"/>
      <c r="Z37" s="381"/>
      <c r="AA37" s="381"/>
      <c r="AB37" s="381"/>
      <c r="AC37" s="382"/>
      <c r="AD37" s="382"/>
    </row>
    <row r="38" spans="1:30" ht="12.75" customHeight="1" x14ac:dyDescent="0.2">
      <c r="A38" s="378"/>
      <c r="B38" s="378"/>
      <c r="C38" s="378"/>
      <c r="D38" s="379"/>
      <c r="E38" s="380"/>
      <c r="F38" s="378"/>
      <c r="G38" s="378"/>
      <c r="H38" s="378"/>
      <c r="I38" s="378"/>
      <c r="J38" s="378"/>
      <c r="K38" s="378"/>
      <c r="L38" s="378"/>
      <c r="M38" s="381"/>
      <c r="N38" s="381"/>
      <c r="O38" s="381"/>
      <c r="P38" s="381"/>
      <c r="Q38" s="381"/>
      <c r="R38" s="381"/>
      <c r="S38" s="381"/>
      <c r="T38" s="381"/>
      <c r="U38" s="381"/>
      <c r="V38" s="381"/>
      <c r="W38" s="381"/>
      <c r="X38" s="381"/>
      <c r="Y38" s="381"/>
      <c r="Z38" s="381"/>
      <c r="AA38" s="381"/>
      <c r="AB38" s="381"/>
      <c r="AC38" s="382"/>
      <c r="AD38" s="382"/>
    </row>
    <row r="39" spans="1:30" ht="12.75" customHeight="1" x14ac:dyDescent="0.2">
      <c r="A39" s="378"/>
      <c r="B39" s="378"/>
      <c r="C39" s="378"/>
      <c r="D39" s="379"/>
      <c r="E39" s="380"/>
      <c r="F39" s="378"/>
      <c r="G39" s="378"/>
      <c r="H39" s="378"/>
      <c r="I39" s="378"/>
      <c r="J39" s="378"/>
      <c r="K39" s="378"/>
      <c r="L39" s="378"/>
      <c r="M39" s="381"/>
      <c r="N39" s="381"/>
      <c r="O39" s="381"/>
      <c r="P39" s="381"/>
      <c r="Q39" s="381"/>
      <c r="R39" s="381"/>
      <c r="S39" s="381"/>
      <c r="T39" s="381"/>
      <c r="U39" s="381"/>
      <c r="V39" s="381"/>
      <c r="W39" s="381"/>
      <c r="X39" s="381"/>
      <c r="Y39" s="381"/>
      <c r="Z39" s="381"/>
      <c r="AA39" s="381"/>
      <c r="AB39" s="381"/>
      <c r="AC39" s="382"/>
      <c r="AD39" s="382"/>
    </row>
    <row r="40" spans="1:30" ht="12.75" customHeight="1" x14ac:dyDescent="0.2">
      <c r="A40" s="378"/>
      <c r="B40" s="378"/>
      <c r="C40" s="378"/>
      <c r="D40" s="379"/>
      <c r="E40" s="380"/>
      <c r="F40" s="378"/>
      <c r="G40" s="378"/>
      <c r="H40" s="378"/>
      <c r="I40" s="378"/>
      <c r="J40" s="378"/>
      <c r="K40" s="378"/>
      <c r="L40" s="378"/>
      <c r="M40" s="381"/>
      <c r="N40" s="381"/>
      <c r="O40" s="381"/>
      <c r="P40" s="381"/>
      <c r="Q40" s="381"/>
      <c r="R40" s="381"/>
      <c r="S40" s="381"/>
      <c r="T40" s="381"/>
      <c r="U40" s="381"/>
      <c r="V40" s="381"/>
      <c r="W40" s="381"/>
      <c r="X40" s="381"/>
      <c r="Y40" s="381"/>
      <c r="Z40" s="381"/>
      <c r="AA40" s="381"/>
      <c r="AB40" s="381"/>
      <c r="AC40" s="382"/>
      <c r="AD40" s="382"/>
    </row>
    <row r="41" spans="1:30" ht="12.75" customHeight="1" x14ac:dyDescent="0.2">
      <c r="A41" s="378"/>
      <c r="B41" s="378"/>
      <c r="C41" s="378"/>
      <c r="D41" s="379"/>
      <c r="E41" s="380"/>
      <c r="F41" s="378"/>
      <c r="G41" s="378"/>
      <c r="H41" s="378"/>
      <c r="I41" s="378"/>
      <c r="J41" s="378"/>
      <c r="K41" s="378"/>
      <c r="L41" s="378"/>
      <c r="M41" s="381"/>
      <c r="N41" s="381"/>
      <c r="O41" s="381"/>
      <c r="P41" s="381"/>
      <c r="Q41" s="381"/>
      <c r="R41" s="381"/>
      <c r="S41" s="381"/>
      <c r="T41" s="381"/>
      <c r="U41" s="381"/>
      <c r="V41" s="381"/>
      <c r="W41" s="381"/>
      <c r="X41" s="381"/>
      <c r="Y41" s="381"/>
      <c r="Z41" s="381"/>
      <c r="AA41" s="381"/>
      <c r="AB41" s="381"/>
      <c r="AC41" s="382"/>
      <c r="AD41" s="382"/>
    </row>
    <row r="42" spans="1:30" ht="12.75" customHeight="1" x14ac:dyDescent="0.2">
      <c r="A42" s="378"/>
      <c r="B42" s="378"/>
      <c r="C42" s="378"/>
      <c r="D42" s="379"/>
      <c r="E42" s="380"/>
      <c r="F42" s="378"/>
      <c r="G42" s="378"/>
      <c r="H42" s="378"/>
      <c r="I42" s="378"/>
      <c r="J42" s="378"/>
      <c r="K42" s="378"/>
      <c r="L42" s="378"/>
      <c r="M42" s="381"/>
      <c r="N42" s="381"/>
      <c r="O42" s="381"/>
      <c r="P42" s="381"/>
      <c r="Q42" s="381"/>
      <c r="R42" s="381"/>
      <c r="S42" s="381"/>
      <c r="T42" s="381"/>
      <c r="U42" s="381"/>
      <c r="V42" s="381"/>
      <c r="W42" s="381"/>
      <c r="X42" s="381"/>
      <c r="Y42" s="381"/>
      <c r="Z42" s="381"/>
      <c r="AA42" s="381"/>
      <c r="AB42" s="381"/>
      <c r="AC42" s="382"/>
      <c r="AD42" s="382"/>
    </row>
    <row r="43" spans="1:30" ht="12.75" customHeight="1" x14ac:dyDescent="0.2">
      <c r="A43" s="378"/>
      <c r="B43" s="378"/>
      <c r="C43" s="378"/>
      <c r="D43" s="379"/>
      <c r="E43" s="380"/>
      <c r="F43" s="378"/>
      <c r="G43" s="378"/>
      <c r="H43" s="378"/>
      <c r="I43" s="378"/>
      <c r="J43" s="378"/>
      <c r="K43" s="378"/>
      <c r="L43" s="378"/>
      <c r="M43" s="381"/>
      <c r="N43" s="381"/>
      <c r="O43" s="381"/>
      <c r="P43" s="381"/>
      <c r="Q43" s="381"/>
      <c r="R43" s="381"/>
      <c r="S43" s="381"/>
      <c r="T43" s="381"/>
      <c r="U43" s="381"/>
      <c r="V43" s="381"/>
      <c r="W43" s="381"/>
      <c r="X43" s="381"/>
      <c r="Y43" s="381"/>
      <c r="Z43" s="381"/>
      <c r="AA43" s="381"/>
      <c r="AB43" s="381"/>
      <c r="AC43" s="382"/>
      <c r="AD43" s="382"/>
    </row>
    <row r="44" spans="1:30" ht="12.75" customHeight="1" x14ac:dyDescent="0.2">
      <c r="A44" s="378"/>
      <c r="B44" s="378"/>
      <c r="C44" s="378"/>
      <c r="D44" s="379"/>
      <c r="E44" s="380"/>
      <c r="F44" s="378"/>
      <c r="G44" s="378"/>
      <c r="H44" s="378"/>
      <c r="I44" s="378"/>
      <c r="J44" s="378"/>
      <c r="K44" s="378"/>
      <c r="L44" s="378"/>
      <c r="M44" s="381"/>
      <c r="N44" s="381"/>
      <c r="O44" s="381"/>
      <c r="P44" s="381"/>
      <c r="Q44" s="381"/>
      <c r="R44" s="381"/>
      <c r="S44" s="381"/>
      <c r="T44" s="381"/>
      <c r="U44" s="381"/>
      <c r="V44" s="381"/>
      <c r="W44" s="381"/>
      <c r="X44" s="381"/>
      <c r="Y44" s="381"/>
      <c r="Z44" s="381"/>
      <c r="AA44" s="381"/>
      <c r="AB44" s="381"/>
      <c r="AC44" s="382"/>
      <c r="AD44" s="382"/>
    </row>
    <row r="45" spans="1:30" ht="12.75" customHeight="1" x14ac:dyDescent="0.2">
      <c r="A45" s="378"/>
      <c r="B45" s="378"/>
      <c r="C45" s="378"/>
      <c r="D45" s="379"/>
      <c r="E45" s="380"/>
      <c r="F45" s="378"/>
      <c r="G45" s="378"/>
      <c r="H45" s="378"/>
      <c r="I45" s="378"/>
      <c r="J45" s="378"/>
      <c r="K45" s="378"/>
      <c r="L45" s="378"/>
      <c r="M45" s="381"/>
      <c r="N45" s="381"/>
      <c r="O45" s="381"/>
      <c r="P45" s="381"/>
      <c r="Q45" s="381"/>
      <c r="R45" s="381"/>
      <c r="S45" s="381"/>
      <c r="T45" s="381"/>
      <c r="U45" s="381"/>
      <c r="V45" s="381"/>
      <c r="W45" s="381"/>
      <c r="X45" s="381"/>
      <c r="Y45" s="381"/>
      <c r="Z45" s="381"/>
      <c r="AA45" s="381"/>
      <c r="AB45" s="381"/>
      <c r="AC45" s="382"/>
      <c r="AD45" s="382"/>
    </row>
    <row r="46" spans="1:30" ht="12.75" customHeight="1" x14ac:dyDescent="0.2">
      <c r="A46" s="378"/>
      <c r="B46" s="378"/>
      <c r="C46" s="378"/>
      <c r="D46" s="379"/>
      <c r="E46" s="380"/>
      <c r="F46" s="378"/>
      <c r="G46" s="378"/>
      <c r="H46" s="378"/>
      <c r="I46" s="378"/>
      <c r="J46" s="378"/>
      <c r="K46" s="378"/>
      <c r="L46" s="378"/>
      <c r="M46" s="381"/>
      <c r="N46" s="381"/>
      <c r="O46" s="381"/>
      <c r="P46" s="381"/>
      <c r="Q46" s="381"/>
      <c r="R46" s="381"/>
      <c r="S46" s="381"/>
      <c r="T46" s="381"/>
      <c r="U46" s="381"/>
      <c r="V46" s="381"/>
      <c r="W46" s="381"/>
      <c r="X46" s="381"/>
      <c r="Y46" s="381"/>
      <c r="Z46" s="381"/>
      <c r="AA46" s="381"/>
      <c r="AB46" s="381"/>
      <c r="AC46" s="382"/>
      <c r="AD46" s="382"/>
    </row>
    <row r="47" spans="1:30" ht="12.75" customHeight="1" x14ac:dyDescent="0.2">
      <c r="A47" s="378"/>
      <c r="B47" s="378"/>
      <c r="C47" s="378"/>
      <c r="D47" s="379"/>
      <c r="E47" s="380"/>
      <c r="F47" s="378"/>
      <c r="G47" s="378"/>
      <c r="H47" s="378"/>
      <c r="I47" s="378"/>
      <c r="J47" s="378"/>
      <c r="K47" s="378"/>
      <c r="L47" s="378"/>
      <c r="M47" s="381"/>
      <c r="N47" s="381"/>
      <c r="O47" s="381"/>
      <c r="P47" s="381"/>
      <c r="Q47" s="381"/>
      <c r="R47" s="381"/>
      <c r="S47" s="381"/>
      <c r="T47" s="381"/>
      <c r="U47" s="381"/>
      <c r="V47" s="381"/>
      <c r="W47" s="381"/>
      <c r="X47" s="381"/>
      <c r="Y47" s="381"/>
      <c r="Z47" s="381"/>
      <c r="AA47" s="381"/>
      <c r="AB47" s="381"/>
      <c r="AC47" s="382"/>
      <c r="AD47" s="382"/>
    </row>
    <row r="48" spans="1:30" ht="12.75" customHeight="1" x14ac:dyDescent="0.2">
      <c r="A48" s="378"/>
      <c r="B48" s="378"/>
      <c r="C48" s="378"/>
      <c r="D48" s="379"/>
      <c r="E48" s="380"/>
      <c r="F48" s="378"/>
      <c r="G48" s="378"/>
      <c r="H48" s="378"/>
      <c r="I48" s="378"/>
      <c r="J48" s="378"/>
      <c r="K48" s="378"/>
      <c r="L48" s="378"/>
      <c r="M48" s="381"/>
      <c r="N48" s="381"/>
      <c r="O48" s="381"/>
      <c r="P48" s="381"/>
      <c r="Q48" s="381"/>
      <c r="R48" s="381"/>
      <c r="S48" s="381"/>
      <c r="T48" s="381"/>
      <c r="U48" s="381"/>
      <c r="V48" s="381"/>
      <c r="W48" s="381"/>
      <c r="X48" s="381"/>
      <c r="Y48" s="381"/>
      <c r="Z48" s="381"/>
      <c r="AA48" s="381"/>
      <c r="AB48" s="381"/>
      <c r="AC48" s="382"/>
      <c r="AD48" s="382"/>
    </row>
    <row r="49" spans="1:30" ht="12.75" customHeight="1" x14ac:dyDescent="0.2">
      <c r="A49" s="378"/>
      <c r="B49" s="378"/>
      <c r="C49" s="378"/>
      <c r="D49" s="379"/>
      <c r="E49" s="380"/>
      <c r="F49" s="378"/>
      <c r="G49" s="378"/>
      <c r="H49" s="378"/>
      <c r="I49" s="378"/>
      <c r="J49" s="378"/>
      <c r="K49" s="378"/>
      <c r="L49" s="378"/>
      <c r="M49" s="381"/>
      <c r="N49" s="381"/>
      <c r="O49" s="381"/>
      <c r="P49" s="381"/>
      <c r="Q49" s="381"/>
      <c r="R49" s="381"/>
      <c r="S49" s="381"/>
      <c r="T49" s="381"/>
      <c r="U49" s="381"/>
      <c r="V49" s="381"/>
      <c r="W49" s="381"/>
      <c r="X49" s="381"/>
      <c r="Y49" s="381"/>
      <c r="Z49" s="381"/>
      <c r="AA49" s="381"/>
      <c r="AB49" s="381"/>
      <c r="AC49" s="382"/>
      <c r="AD49" s="382"/>
    </row>
    <row r="50" spans="1:30" ht="12.75" customHeight="1" x14ac:dyDescent="0.2">
      <c r="A50" s="378"/>
      <c r="B50" s="378"/>
      <c r="C50" s="378"/>
      <c r="D50" s="379"/>
      <c r="E50" s="380"/>
      <c r="F50" s="378"/>
      <c r="G50" s="378"/>
      <c r="H50" s="378"/>
      <c r="I50" s="378"/>
      <c r="J50" s="378"/>
      <c r="K50" s="378"/>
      <c r="L50" s="378"/>
      <c r="M50" s="381"/>
      <c r="N50" s="381"/>
      <c r="O50" s="381"/>
      <c r="P50" s="381"/>
      <c r="Q50" s="381"/>
      <c r="R50" s="381"/>
      <c r="S50" s="381"/>
      <c r="T50" s="381"/>
      <c r="U50" s="381"/>
      <c r="V50" s="381"/>
      <c r="W50" s="381"/>
      <c r="X50" s="381"/>
      <c r="Y50" s="381"/>
      <c r="Z50" s="381"/>
      <c r="AA50" s="381"/>
      <c r="AB50" s="381"/>
      <c r="AC50" s="382"/>
      <c r="AD50" s="382"/>
    </row>
    <row r="51" spans="1:30" ht="12.75" customHeight="1" x14ac:dyDescent="0.2">
      <c r="A51" s="378"/>
      <c r="B51" s="378"/>
      <c r="C51" s="378"/>
      <c r="D51" s="379"/>
      <c r="E51" s="380"/>
      <c r="F51" s="378"/>
      <c r="G51" s="378"/>
      <c r="H51" s="378"/>
      <c r="I51" s="378"/>
      <c r="J51" s="378"/>
      <c r="K51" s="378"/>
      <c r="L51" s="378"/>
      <c r="M51" s="381"/>
      <c r="N51" s="381"/>
      <c r="O51" s="381"/>
      <c r="P51" s="381"/>
      <c r="Q51" s="381"/>
      <c r="R51" s="381"/>
      <c r="S51" s="381"/>
      <c r="T51" s="381"/>
      <c r="U51" s="381"/>
      <c r="V51" s="381"/>
      <c r="W51" s="381"/>
      <c r="X51" s="381"/>
      <c r="Y51" s="381"/>
      <c r="Z51" s="381"/>
      <c r="AA51" s="381"/>
      <c r="AB51" s="381"/>
      <c r="AC51" s="382"/>
      <c r="AD51" s="382"/>
    </row>
    <row r="52" spans="1:30" ht="12.75" customHeight="1" x14ac:dyDescent="0.2">
      <c r="A52" s="378"/>
      <c r="B52" s="378"/>
      <c r="C52" s="378"/>
      <c r="D52" s="379"/>
      <c r="E52" s="380"/>
      <c r="F52" s="378"/>
      <c r="G52" s="378"/>
      <c r="H52" s="378"/>
      <c r="I52" s="378"/>
      <c r="J52" s="378"/>
      <c r="K52" s="378"/>
      <c r="L52" s="378"/>
      <c r="M52" s="381"/>
      <c r="N52" s="381"/>
      <c r="O52" s="381"/>
      <c r="P52" s="381"/>
      <c r="Q52" s="381"/>
      <c r="R52" s="381"/>
      <c r="S52" s="381"/>
      <c r="T52" s="381"/>
      <c r="U52" s="381"/>
      <c r="V52" s="381"/>
      <c r="W52" s="381"/>
      <c r="X52" s="381"/>
      <c r="Y52" s="381"/>
      <c r="Z52" s="381"/>
      <c r="AA52" s="381"/>
      <c r="AB52" s="381"/>
      <c r="AC52" s="382"/>
      <c r="AD52" s="382"/>
    </row>
    <row r="53" spans="1:30" ht="12.75" customHeight="1" x14ac:dyDescent="0.2">
      <c r="A53" s="378"/>
      <c r="B53" s="378"/>
      <c r="C53" s="378"/>
      <c r="D53" s="379"/>
      <c r="E53" s="380"/>
      <c r="F53" s="378"/>
      <c r="G53" s="378"/>
      <c r="H53" s="378"/>
      <c r="I53" s="378"/>
      <c r="J53" s="378"/>
      <c r="K53" s="378"/>
      <c r="L53" s="378"/>
      <c r="M53" s="381"/>
      <c r="N53" s="381"/>
      <c r="O53" s="381"/>
      <c r="P53" s="381"/>
      <c r="Q53" s="381"/>
      <c r="R53" s="381"/>
      <c r="S53" s="381"/>
      <c r="T53" s="381"/>
      <c r="U53" s="381"/>
      <c r="V53" s="381"/>
      <c r="W53" s="381"/>
      <c r="X53" s="381"/>
      <c r="Y53" s="381"/>
      <c r="Z53" s="381"/>
      <c r="AA53" s="381"/>
      <c r="AB53" s="381"/>
      <c r="AC53" s="382"/>
      <c r="AD53" s="382"/>
    </row>
    <row r="54" spans="1:30" ht="12.75" customHeight="1" x14ac:dyDescent="0.2">
      <c r="A54" s="378"/>
      <c r="B54" s="378"/>
      <c r="C54" s="378"/>
      <c r="D54" s="379"/>
      <c r="E54" s="380"/>
      <c r="F54" s="378"/>
      <c r="G54" s="378"/>
      <c r="H54" s="378"/>
      <c r="I54" s="378"/>
      <c r="J54" s="378"/>
      <c r="K54" s="378"/>
      <c r="L54" s="378"/>
      <c r="M54" s="381"/>
      <c r="N54" s="381"/>
      <c r="O54" s="381"/>
      <c r="P54" s="381"/>
      <c r="Q54" s="381"/>
      <c r="R54" s="381"/>
      <c r="S54" s="381"/>
      <c r="T54" s="381"/>
      <c r="U54" s="381"/>
      <c r="V54" s="381"/>
      <c r="W54" s="381"/>
      <c r="X54" s="381"/>
      <c r="Y54" s="381"/>
      <c r="Z54" s="381"/>
      <c r="AA54" s="381"/>
      <c r="AB54" s="381"/>
      <c r="AC54" s="382"/>
      <c r="AD54" s="382"/>
    </row>
    <row r="55" spans="1:30" ht="12.75" customHeight="1" x14ac:dyDescent="0.2">
      <c r="A55" s="378"/>
      <c r="B55" s="378"/>
      <c r="C55" s="378"/>
      <c r="D55" s="379"/>
      <c r="E55" s="380"/>
      <c r="F55" s="378"/>
      <c r="G55" s="378"/>
      <c r="H55" s="378"/>
      <c r="I55" s="378"/>
      <c r="J55" s="378"/>
      <c r="K55" s="378"/>
      <c r="L55" s="378"/>
      <c r="M55" s="381"/>
      <c r="N55" s="381"/>
      <c r="O55" s="381"/>
      <c r="P55" s="381"/>
      <c r="Q55" s="381"/>
      <c r="R55" s="381"/>
      <c r="S55" s="381"/>
      <c r="T55" s="381"/>
      <c r="U55" s="381"/>
      <c r="V55" s="381"/>
      <c r="W55" s="381"/>
      <c r="X55" s="381"/>
      <c r="Y55" s="381"/>
      <c r="Z55" s="381"/>
      <c r="AA55" s="381"/>
      <c r="AB55" s="381"/>
      <c r="AC55" s="382"/>
      <c r="AD55" s="382"/>
    </row>
    <row r="56" spans="1:30" ht="12.75" customHeight="1" x14ac:dyDescent="0.2">
      <c r="A56" s="378"/>
      <c r="B56" s="378"/>
      <c r="C56" s="378"/>
      <c r="D56" s="379"/>
      <c r="E56" s="380"/>
      <c r="F56" s="378"/>
      <c r="G56" s="378"/>
      <c r="H56" s="378"/>
      <c r="I56" s="378"/>
      <c r="J56" s="378"/>
      <c r="K56" s="378"/>
      <c r="L56" s="378"/>
      <c r="M56" s="381"/>
      <c r="N56" s="381"/>
      <c r="O56" s="381"/>
      <c r="P56" s="381"/>
      <c r="Q56" s="381"/>
      <c r="R56" s="381"/>
      <c r="S56" s="381"/>
      <c r="T56" s="381"/>
      <c r="U56" s="381"/>
      <c r="V56" s="381"/>
      <c r="W56" s="381"/>
      <c r="X56" s="381"/>
      <c r="Y56" s="381"/>
      <c r="Z56" s="381"/>
      <c r="AA56" s="381"/>
      <c r="AB56" s="381"/>
      <c r="AC56" s="382"/>
      <c r="AD56" s="382"/>
    </row>
    <row r="57" spans="1:30" ht="12.75" customHeight="1" x14ac:dyDescent="0.2">
      <c r="A57" s="378"/>
      <c r="B57" s="378"/>
      <c r="C57" s="378"/>
      <c r="D57" s="379"/>
      <c r="E57" s="380"/>
      <c r="F57" s="378"/>
      <c r="G57" s="378"/>
      <c r="H57" s="378"/>
      <c r="I57" s="378"/>
      <c r="J57" s="378"/>
      <c r="K57" s="378"/>
      <c r="L57" s="378"/>
      <c r="M57" s="381"/>
      <c r="N57" s="381"/>
      <c r="O57" s="381"/>
      <c r="P57" s="381"/>
      <c r="Q57" s="381"/>
      <c r="R57" s="381"/>
      <c r="S57" s="381"/>
      <c r="T57" s="381"/>
      <c r="U57" s="381"/>
      <c r="V57" s="381"/>
      <c r="W57" s="381"/>
      <c r="X57" s="381"/>
      <c r="Y57" s="381"/>
      <c r="Z57" s="381"/>
      <c r="AA57" s="381"/>
      <c r="AB57" s="381"/>
      <c r="AC57" s="382"/>
      <c r="AD57" s="382"/>
    </row>
    <row r="58" spans="1:30" ht="12.75" customHeight="1" x14ac:dyDescent="0.2">
      <c r="A58" s="378"/>
      <c r="B58" s="378"/>
      <c r="C58" s="378"/>
      <c r="D58" s="379"/>
      <c r="E58" s="380"/>
      <c r="F58" s="378"/>
      <c r="G58" s="378"/>
      <c r="H58" s="378"/>
      <c r="I58" s="378"/>
      <c r="J58" s="378"/>
      <c r="K58" s="378"/>
      <c r="L58" s="378"/>
      <c r="M58" s="381"/>
      <c r="N58" s="381"/>
      <c r="O58" s="381"/>
      <c r="P58" s="381"/>
      <c r="Q58" s="381"/>
      <c r="R58" s="381"/>
      <c r="S58" s="381"/>
      <c r="T58" s="381"/>
      <c r="U58" s="381"/>
      <c r="V58" s="381"/>
      <c r="W58" s="381"/>
      <c r="X58" s="381"/>
      <c r="Y58" s="381"/>
      <c r="Z58" s="381"/>
      <c r="AA58" s="381"/>
      <c r="AB58" s="381"/>
      <c r="AC58" s="382"/>
      <c r="AD58" s="382"/>
    </row>
    <row r="59" spans="1:30" ht="12.75" customHeight="1" x14ac:dyDescent="0.2">
      <c r="A59" s="378"/>
      <c r="B59" s="378"/>
      <c r="C59" s="378"/>
      <c r="D59" s="379"/>
      <c r="E59" s="380"/>
      <c r="F59" s="378"/>
      <c r="G59" s="378"/>
      <c r="H59" s="378"/>
      <c r="I59" s="378"/>
      <c r="J59" s="378"/>
      <c r="K59" s="378"/>
      <c r="L59" s="378"/>
      <c r="M59" s="381"/>
      <c r="N59" s="381"/>
      <c r="O59" s="381"/>
      <c r="P59" s="381"/>
      <c r="Q59" s="381"/>
      <c r="R59" s="381"/>
      <c r="S59" s="381"/>
      <c r="T59" s="381"/>
      <c r="U59" s="381"/>
      <c r="V59" s="381"/>
      <c r="W59" s="381"/>
      <c r="X59" s="381"/>
      <c r="Y59" s="381"/>
      <c r="Z59" s="381"/>
      <c r="AA59" s="381"/>
      <c r="AB59" s="381"/>
      <c r="AC59" s="382"/>
      <c r="AD59" s="382"/>
    </row>
    <row r="60" spans="1:30" ht="12.75" customHeight="1" x14ac:dyDescent="0.2">
      <c r="A60" s="378"/>
      <c r="B60" s="378"/>
      <c r="C60" s="378"/>
      <c r="D60" s="379"/>
      <c r="E60" s="380"/>
      <c r="F60" s="378"/>
      <c r="G60" s="378"/>
      <c r="H60" s="378"/>
      <c r="I60" s="378"/>
      <c r="J60" s="378"/>
      <c r="K60" s="378"/>
      <c r="L60" s="378"/>
      <c r="M60" s="381"/>
      <c r="N60" s="381"/>
      <c r="O60" s="381"/>
      <c r="P60" s="381"/>
      <c r="Q60" s="381"/>
      <c r="R60" s="381"/>
      <c r="S60" s="381"/>
      <c r="T60" s="381"/>
      <c r="U60" s="381"/>
      <c r="V60" s="381"/>
      <c r="W60" s="381"/>
      <c r="X60" s="381"/>
      <c r="Y60" s="381"/>
      <c r="Z60" s="381"/>
      <c r="AA60" s="381"/>
      <c r="AB60" s="381"/>
      <c r="AC60" s="382"/>
      <c r="AD60" s="382"/>
    </row>
    <row r="61" spans="1:30" ht="12.75" customHeight="1" x14ac:dyDescent="0.2">
      <c r="A61" s="378"/>
      <c r="B61" s="378"/>
      <c r="C61" s="378"/>
      <c r="D61" s="379"/>
      <c r="E61" s="380"/>
      <c r="F61" s="378"/>
      <c r="G61" s="378"/>
      <c r="H61" s="378"/>
      <c r="I61" s="378"/>
      <c r="J61" s="378"/>
      <c r="K61" s="378"/>
      <c r="L61" s="378"/>
      <c r="M61" s="381"/>
      <c r="N61" s="381"/>
      <c r="O61" s="381"/>
      <c r="P61" s="381"/>
      <c r="Q61" s="381"/>
      <c r="R61" s="381"/>
      <c r="S61" s="381"/>
      <c r="T61" s="381"/>
      <c r="U61" s="381"/>
      <c r="V61" s="381"/>
      <c r="W61" s="381"/>
      <c r="X61" s="381"/>
      <c r="Y61" s="381"/>
      <c r="Z61" s="381"/>
      <c r="AA61" s="381"/>
      <c r="AB61" s="381"/>
      <c r="AC61" s="382"/>
      <c r="AD61" s="382"/>
    </row>
    <row r="62" spans="1:30" ht="12.75" customHeight="1" x14ac:dyDescent="0.2">
      <c r="A62" s="378"/>
      <c r="B62" s="378"/>
      <c r="C62" s="378"/>
      <c r="D62" s="379"/>
      <c r="E62" s="380"/>
      <c r="F62" s="378"/>
      <c r="G62" s="378"/>
      <c r="H62" s="378"/>
      <c r="I62" s="378"/>
      <c r="J62" s="378"/>
      <c r="K62" s="378"/>
      <c r="L62" s="378"/>
      <c r="M62" s="381"/>
      <c r="N62" s="381"/>
      <c r="O62" s="381"/>
      <c r="P62" s="381"/>
      <c r="Q62" s="381"/>
      <c r="R62" s="381"/>
      <c r="S62" s="381"/>
      <c r="T62" s="381"/>
      <c r="U62" s="381"/>
      <c r="V62" s="381"/>
      <c r="W62" s="381"/>
      <c r="X62" s="381"/>
      <c r="Y62" s="381"/>
      <c r="Z62" s="381"/>
      <c r="AA62" s="381"/>
      <c r="AB62" s="381"/>
      <c r="AC62" s="382"/>
      <c r="AD62" s="382"/>
    </row>
    <row r="63" spans="1:30" ht="12.75" customHeight="1" x14ac:dyDescent="0.2">
      <c r="A63" s="378"/>
      <c r="B63" s="378"/>
      <c r="C63" s="378"/>
      <c r="D63" s="379"/>
      <c r="E63" s="380"/>
      <c r="F63" s="378"/>
      <c r="G63" s="378"/>
      <c r="H63" s="378"/>
      <c r="I63" s="378"/>
      <c r="J63" s="378"/>
      <c r="K63" s="378"/>
      <c r="L63" s="378"/>
      <c r="M63" s="381"/>
      <c r="N63" s="381"/>
      <c r="O63" s="381"/>
      <c r="P63" s="381"/>
      <c r="Q63" s="381"/>
      <c r="R63" s="381"/>
      <c r="S63" s="381"/>
      <c r="T63" s="381"/>
      <c r="U63" s="381"/>
      <c r="V63" s="381"/>
      <c r="W63" s="381"/>
      <c r="X63" s="381"/>
      <c r="Y63" s="381"/>
      <c r="Z63" s="381"/>
      <c r="AA63" s="381"/>
      <c r="AB63" s="381"/>
      <c r="AC63" s="382"/>
      <c r="AD63" s="382"/>
    </row>
    <row r="64" spans="1:30" ht="12.75" customHeight="1" x14ac:dyDescent="0.2">
      <c r="A64" s="378"/>
      <c r="B64" s="378"/>
      <c r="C64" s="378"/>
      <c r="D64" s="379"/>
      <c r="E64" s="380"/>
      <c r="F64" s="378"/>
      <c r="G64" s="378"/>
      <c r="H64" s="378"/>
      <c r="I64" s="378"/>
      <c r="J64" s="378"/>
      <c r="K64" s="378"/>
      <c r="L64" s="378"/>
      <c r="M64" s="381"/>
      <c r="N64" s="381"/>
      <c r="O64" s="381"/>
      <c r="P64" s="381"/>
      <c r="Q64" s="381"/>
      <c r="R64" s="381"/>
      <c r="S64" s="381"/>
      <c r="T64" s="381"/>
      <c r="U64" s="381"/>
      <c r="V64" s="381"/>
      <c r="W64" s="381"/>
      <c r="X64" s="381"/>
      <c r="Y64" s="381"/>
      <c r="Z64" s="381"/>
      <c r="AA64" s="381"/>
      <c r="AB64" s="381"/>
      <c r="AC64" s="382"/>
      <c r="AD64" s="382"/>
    </row>
    <row r="65" spans="1:30" ht="12.75" customHeight="1" x14ac:dyDescent="0.2">
      <c r="A65" s="378"/>
      <c r="B65" s="378"/>
      <c r="C65" s="378"/>
      <c r="D65" s="379"/>
      <c r="E65" s="380"/>
      <c r="F65" s="378"/>
      <c r="G65" s="378"/>
      <c r="H65" s="378"/>
      <c r="I65" s="378"/>
      <c r="J65" s="378"/>
      <c r="K65" s="378"/>
      <c r="L65" s="378"/>
      <c r="M65" s="381"/>
      <c r="N65" s="381"/>
      <c r="O65" s="381"/>
      <c r="P65" s="381"/>
      <c r="Q65" s="381"/>
      <c r="R65" s="381"/>
      <c r="S65" s="381"/>
      <c r="T65" s="381"/>
      <c r="U65" s="381"/>
      <c r="V65" s="381"/>
      <c r="W65" s="381"/>
      <c r="X65" s="381"/>
      <c r="Y65" s="381"/>
      <c r="Z65" s="381"/>
      <c r="AA65" s="381"/>
      <c r="AB65" s="381"/>
      <c r="AC65" s="382"/>
      <c r="AD65" s="382"/>
    </row>
    <row r="66" spans="1:30" ht="12.75" customHeight="1" x14ac:dyDescent="0.2">
      <c r="A66" s="378"/>
      <c r="B66" s="378"/>
      <c r="C66" s="378"/>
      <c r="D66" s="379"/>
      <c r="E66" s="380"/>
      <c r="F66" s="378"/>
      <c r="G66" s="378"/>
      <c r="H66" s="378"/>
      <c r="I66" s="378"/>
      <c r="J66" s="378"/>
      <c r="K66" s="378"/>
      <c r="L66" s="378"/>
      <c r="M66" s="381"/>
      <c r="N66" s="381"/>
      <c r="O66" s="381"/>
      <c r="P66" s="381"/>
      <c r="Q66" s="381"/>
      <c r="R66" s="381"/>
      <c r="S66" s="381"/>
      <c r="T66" s="381"/>
      <c r="U66" s="381"/>
      <c r="V66" s="381"/>
      <c r="W66" s="381"/>
      <c r="X66" s="381"/>
      <c r="Y66" s="381"/>
      <c r="Z66" s="381"/>
      <c r="AA66" s="381"/>
      <c r="AB66" s="381"/>
      <c r="AC66" s="382"/>
      <c r="AD66" s="382"/>
    </row>
    <row r="67" spans="1:30" ht="12.75" customHeight="1" x14ac:dyDescent="0.2">
      <c r="A67" s="378"/>
      <c r="B67" s="378"/>
      <c r="C67" s="378"/>
      <c r="D67" s="379"/>
      <c r="E67" s="380"/>
      <c r="F67" s="378"/>
      <c r="G67" s="378"/>
      <c r="H67" s="378"/>
      <c r="I67" s="378"/>
      <c r="J67" s="378"/>
      <c r="K67" s="378"/>
      <c r="L67" s="378"/>
      <c r="M67" s="381"/>
      <c r="N67" s="381"/>
      <c r="O67" s="381"/>
      <c r="P67" s="381"/>
      <c r="Q67" s="381"/>
      <c r="R67" s="381"/>
      <c r="S67" s="381"/>
      <c r="T67" s="381"/>
      <c r="U67" s="381"/>
      <c r="V67" s="381"/>
      <c r="W67" s="381"/>
      <c r="X67" s="381"/>
      <c r="Y67" s="381"/>
      <c r="Z67" s="381"/>
      <c r="AA67" s="381"/>
      <c r="AB67" s="381"/>
      <c r="AC67" s="382"/>
      <c r="AD67" s="382"/>
    </row>
    <row r="68" spans="1:30" ht="12.75" customHeight="1" x14ac:dyDescent="0.2">
      <c r="A68" s="378"/>
      <c r="B68" s="378"/>
      <c r="C68" s="378"/>
      <c r="D68" s="379"/>
      <c r="E68" s="380"/>
      <c r="F68" s="378"/>
      <c r="G68" s="378"/>
      <c r="H68" s="378"/>
      <c r="I68" s="378"/>
      <c r="J68" s="378"/>
      <c r="K68" s="378"/>
      <c r="L68" s="378"/>
      <c r="M68" s="381"/>
      <c r="N68" s="381"/>
      <c r="O68" s="381"/>
      <c r="P68" s="381"/>
      <c r="Q68" s="381"/>
      <c r="R68" s="381"/>
      <c r="S68" s="381"/>
      <c r="T68" s="381"/>
      <c r="U68" s="381"/>
      <c r="V68" s="381"/>
      <c r="W68" s="381"/>
      <c r="X68" s="381"/>
      <c r="Y68" s="381"/>
      <c r="Z68" s="381"/>
      <c r="AA68" s="381"/>
      <c r="AB68" s="381"/>
      <c r="AC68" s="382"/>
      <c r="AD68" s="382"/>
    </row>
    <row r="69" spans="1:30" ht="12.75" customHeight="1" x14ac:dyDescent="0.2">
      <c r="A69" s="378"/>
      <c r="B69" s="378"/>
      <c r="C69" s="378"/>
      <c r="D69" s="379"/>
      <c r="E69" s="380"/>
      <c r="F69" s="378"/>
      <c r="G69" s="378"/>
      <c r="H69" s="378"/>
      <c r="I69" s="378"/>
      <c r="J69" s="378"/>
      <c r="K69" s="378"/>
      <c r="L69" s="378"/>
      <c r="M69" s="381"/>
      <c r="N69" s="381"/>
      <c r="O69" s="381"/>
      <c r="P69" s="381"/>
      <c r="Q69" s="381"/>
      <c r="R69" s="381"/>
      <c r="S69" s="381"/>
      <c r="T69" s="381"/>
      <c r="U69" s="381"/>
      <c r="V69" s="381"/>
      <c r="W69" s="381"/>
      <c r="X69" s="381"/>
      <c r="Y69" s="381"/>
      <c r="Z69" s="381"/>
      <c r="AA69" s="381"/>
      <c r="AB69" s="381"/>
      <c r="AC69" s="382"/>
      <c r="AD69" s="382"/>
    </row>
    <row r="70" spans="1:30" ht="12.75" customHeight="1" x14ac:dyDescent="0.2">
      <c r="A70" s="378"/>
      <c r="B70" s="378"/>
      <c r="C70" s="378"/>
      <c r="D70" s="379"/>
      <c r="E70" s="380"/>
      <c r="F70" s="378"/>
      <c r="G70" s="378"/>
      <c r="H70" s="378"/>
      <c r="I70" s="378"/>
      <c r="J70" s="378"/>
      <c r="K70" s="378"/>
      <c r="L70" s="378"/>
      <c r="M70" s="381"/>
      <c r="N70" s="381"/>
      <c r="O70" s="381"/>
      <c r="P70" s="381"/>
      <c r="Q70" s="381"/>
      <c r="R70" s="381"/>
      <c r="S70" s="381"/>
      <c r="T70" s="381"/>
      <c r="U70" s="381"/>
      <c r="V70" s="381"/>
      <c r="W70" s="381"/>
      <c r="X70" s="381"/>
      <c r="Y70" s="381"/>
      <c r="Z70" s="381"/>
      <c r="AA70" s="381"/>
      <c r="AB70" s="381"/>
      <c r="AC70" s="382"/>
      <c r="AD70" s="382"/>
    </row>
    <row r="71" spans="1:30" ht="12.75" customHeight="1" x14ac:dyDescent="0.2">
      <c r="A71" s="378"/>
      <c r="B71" s="378"/>
      <c r="C71" s="378"/>
      <c r="D71" s="379"/>
      <c r="E71" s="380"/>
      <c r="F71" s="378"/>
      <c r="G71" s="378"/>
      <c r="H71" s="378"/>
      <c r="I71" s="378"/>
      <c r="J71" s="378"/>
      <c r="K71" s="378"/>
      <c r="L71" s="378"/>
      <c r="M71" s="381"/>
      <c r="N71" s="381"/>
      <c r="O71" s="381"/>
      <c r="P71" s="381"/>
      <c r="Q71" s="381"/>
      <c r="R71" s="381"/>
      <c r="S71" s="381"/>
      <c r="T71" s="381"/>
      <c r="U71" s="381"/>
      <c r="V71" s="381"/>
      <c r="W71" s="381"/>
      <c r="X71" s="381"/>
      <c r="Y71" s="381"/>
      <c r="Z71" s="381"/>
      <c r="AA71" s="381"/>
      <c r="AB71" s="381"/>
      <c r="AC71" s="382"/>
      <c r="AD71" s="382"/>
    </row>
    <row r="72" spans="1:30" ht="12.75" customHeight="1" x14ac:dyDescent="0.2">
      <c r="A72" s="378"/>
      <c r="B72" s="378"/>
      <c r="C72" s="378"/>
      <c r="D72" s="379"/>
      <c r="E72" s="380"/>
      <c r="F72" s="378"/>
      <c r="G72" s="378"/>
      <c r="H72" s="378"/>
      <c r="I72" s="378"/>
      <c r="J72" s="378"/>
      <c r="K72" s="378"/>
      <c r="L72" s="378"/>
      <c r="M72" s="381"/>
      <c r="N72" s="381"/>
      <c r="O72" s="381"/>
      <c r="P72" s="381"/>
      <c r="Q72" s="381"/>
      <c r="R72" s="381"/>
      <c r="S72" s="381"/>
      <c r="T72" s="381"/>
      <c r="U72" s="381"/>
      <c r="V72" s="381"/>
      <c r="W72" s="381"/>
      <c r="X72" s="381"/>
      <c r="Y72" s="381"/>
      <c r="Z72" s="381"/>
      <c r="AA72" s="381"/>
      <c r="AB72" s="381"/>
      <c r="AC72" s="382"/>
      <c r="AD72" s="382"/>
    </row>
    <row r="73" spans="1:30" ht="12.75" customHeight="1" x14ac:dyDescent="0.2">
      <c r="A73" s="378"/>
      <c r="B73" s="378"/>
      <c r="C73" s="378"/>
      <c r="D73" s="379"/>
      <c r="E73" s="380"/>
      <c r="F73" s="378"/>
      <c r="G73" s="378"/>
      <c r="H73" s="378"/>
      <c r="I73" s="378"/>
      <c r="J73" s="378"/>
      <c r="K73" s="378"/>
      <c r="L73" s="378"/>
      <c r="M73" s="381"/>
      <c r="N73" s="381"/>
      <c r="O73" s="381"/>
      <c r="P73" s="381"/>
      <c r="Q73" s="381"/>
      <c r="R73" s="381"/>
      <c r="S73" s="381"/>
      <c r="T73" s="381"/>
      <c r="U73" s="381"/>
      <c r="V73" s="381"/>
      <c r="W73" s="381"/>
      <c r="X73" s="381"/>
      <c r="Y73" s="381"/>
      <c r="Z73" s="381"/>
      <c r="AA73" s="381"/>
      <c r="AB73" s="381"/>
      <c r="AC73" s="382"/>
      <c r="AD73" s="382"/>
    </row>
    <row r="74" spans="1:30" ht="12.75" customHeight="1" x14ac:dyDescent="0.2">
      <c r="A74" s="378"/>
      <c r="B74" s="378"/>
      <c r="C74" s="378"/>
      <c r="D74" s="379"/>
      <c r="E74" s="380"/>
      <c r="F74" s="378"/>
      <c r="G74" s="378"/>
      <c r="H74" s="378"/>
      <c r="I74" s="378"/>
      <c r="J74" s="378"/>
      <c r="K74" s="378"/>
      <c r="L74" s="378"/>
      <c r="M74" s="381"/>
      <c r="N74" s="381"/>
      <c r="O74" s="381"/>
      <c r="P74" s="381"/>
      <c r="Q74" s="381"/>
      <c r="R74" s="381"/>
      <c r="S74" s="381"/>
      <c r="T74" s="381"/>
      <c r="U74" s="381"/>
      <c r="V74" s="381"/>
      <c r="W74" s="381"/>
      <c r="X74" s="381"/>
      <c r="Y74" s="381"/>
      <c r="Z74" s="381"/>
      <c r="AA74" s="381"/>
      <c r="AB74" s="381"/>
      <c r="AC74" s="382"/>
      <c r="AD74" s="382"/>
    </row>
    <row r="75" spans="1:30" ht="12.75" customHeight="1" x14ac:dyDescent="0.2">
      <c r="A75" s="378"/>
      <c r="B75" s="378"/>
      <c r="C75" s="378"/>
      <c r="D75" s="379"/>
      <c r="E75" s="380"/>
      <c r="F75" s="378"/>
      <c r="G75" s="378"/>
      <c r="H75" s="378"/>
      <c r="I75" s="378"/>
      <c r="J75" s="378"/>
      <c r="K75" s="378"/>
      <c r="L75" s="378"/>
      <c r="M75" s="381"/>
      <c r="N75" s="381"/>
      <c r="O75" s="381"/>
      <c r="P75" s="381"/>
      <c r="Q75" s="381"/>
      <c r="R75" s="381"/>
      <c r="S75" s="381"/>
      <c r="T75" s="381"/>
      <c r="U75" s="381"/>
      <c r="V75" s="381"/>
      <c r="W75" s="381"/>
      <c r="X75" s="381"/>
      <c r="Y75" s="381"/>
      <c r="Z75" s="381"/>
      <c r="AA75" s="381"/>
      <c r="AB75" s="381"/>
      <c r="AC75" s="382"/>
      <c r="AD75" s="382"/>
    </row>
    <row r="76" spans="1:30" ht="12.75" customHeight="1" x14ac:dyDescent="0.2">
      <c r="A76" s="378"/>
      <c r="B76" s="378"/>
      <c r="C76" s="378"/>
      <c r="D76" s="379"/>
      <c r="E76" s="380"/>
      <c r="F76" s="378"/>
      <c r="G76" s="378"/>
      <c r="H76" s="378"/>
      <c r="I76" s="378"/>
      <c r="J76" s="378"/>
      <c r="K76" s="378"/>
      <c r="L76" s="378"/>
      <c r="M76" s="381"/>
      <c r="N76" s="381"/>
      <c r="O76" s="381"/>
      <c r="P76" s="381"/>
      <c r="Q76" s="381"/>
      <c r="R76" s="381"/>
      <c r="S76" s="381"/>
      <c r="T76" s="381"/>
      <c r="U76" s="381"/>
      <c r="V76" s="381"/>
      <c r="W76" s="381"/>
      <c r="X76" s="381"/>
      <c r="Y76" s="381"/>
      <c r="Z76" s="381"/>
      <c r="AA76" s="381"/>
      <c r="AB76" s="381"/>
      <c r="AC76" s="382"/>
      <c r="AD76" s="382"/>
    </row>
    <row r="77" spans="1:30" ht="12.75" customHeight="1" x14ac:dyDescent="0.2">
      <c r="A77" s="378"/>
      <c r="B77" s="378"/>
      <c r="C77" s="378"/>
      <c r="D77" s="379"/>
      <c r="E77" s="380"/>
      <c r="F77" s="378"/>
      <c r="G77" s="378"/>
      <c r="H77" s="378"/>
      <c r="I77" s="378"/>
      <c r="J77" s="378"/>
      <c r="K77" s="378"/>
      <c r="L77" s="378"/>
      <c r="M77" s="381"/>
      <c r="N77" s="381"/>
      <c r="O77" s="381"/>
      <c r="P77" s="381"/>
      <c r="Q77" s="381"/>
      <c r="R77" s="381"/>
      <c r="S77" s="381"/>
      <c r="T77" s="381"/>
      <c r="U77" s="381"/>
      <c r="V77" s="381"/>
      <c r="W77" s="381"/>
      <c r="X77" s="381"/>
      <c r="Y77" s="381"/>
      <c r="Z77" s="381"/>
      <c r="AA77" s="381"/>
      <c r="AB77" s="381"/>
      <c r="AC77" s="382"/>
      <c r="AD77" s="382"/>
    </row>
    <row r="78" spans="1:30" ht="12.75" customHeight="1" x14ac:dyDescent="0.2">
      <c r="A78" s="378"/>
      <c r="B78" s="378"/>
      <c r="C78" s="378"/>
      <c r="D78" s="379"/>
      <c r="E78" s="380"/>
      <c r="F78" s="378"/>
      <c r="G78" s="378"/>
      <c r="H78" s="378"/>
      <c r="I78" s="378"/>
      <c r="J78" s="378"/>
      <c r="K78" s="378"/>
      <c r="L78" s="378"/>
      <c r="M78" s="381"/>
      <c r="N78" s="381"/>
      <c r="O78" s="381"/>
      <c r="P78" s="381"/>
      <c r="Q78" s="381"/>
      <c r="R78" s="381"/>
      <c r="S78" s="381"/>
      <c r="T78" s="381"/>
      <c r="U78" s="381"/>
      <c r="V78" s="381"/>
      <c r="W78" s="381"/>
      <c r="X78" s="381"/>
      <c r="Y78" s="381"/>
      <c r="Z78" s="381"/>
      <c r="AA78" s="381"/>
      <c r="AB78" s="381"/>
      <c r="AC78" s="382"/>
      <c r="AD78" s="382"/>
    </row>
    <row r="79" spans="1:30" ht="12.75" customHeight="1" x14ac:dyDescent="0.2">
      <c r="A79" s="378"/>
      <c r="B79" s="378"/>
      <c r="C79" s="378"/>
      <c r="D79" s="379"/>
      <c r="E79" s="380"/>
      <c r="F79" s="378"/>
      <c r="G79" s="378"/>
      <c r="H79" s="378"/>
      <c r="I79" s="378"/>
      <c r="J79" s="378"/>
      <c r="K79" s="378"/>
      <c r="L79" s="378"/>
      <c r="M79" s="381"/>
      <c r="N79" s="381"/>
      <c r="O79" s="381"/>
      <c r="P79" s="381"/>
      <c r="Q79" s="381"/>
      <c r="R79" s="381"/>
      <c r="S79" s="381"/>
      <c r="T79" s="381"/>
      <c r="U79" s="381"/>
      <c r="V79" s="381"/>
      <c r="W79" s="381"/>
      <c r="X79" s="381"/>
      <c r="Y79" s="381"/>
      <c r="Z79" s="381"/>
      <c r="AA79" s="381"/>
      <c r="AB79" s="381"/>
      <c r="AC79" s="382"/>
      <c r="AD79" s="382"/>
    </row>
    <row r="80" spans="1:30" ht="12.75" customHeight="1" x14ac:dyDescent="0.2">
      <c r="A80" s="378"/>
      <c r="B80" s="378"/>
      <c r="C80" s="378"/>
      <c r="D80" s="379"/>
      <c r="E80" s="380"/>
      <c r="F80" s="378"/>
      <c r="G80" s="378"/>
      <c r="H80" s="378"/>
      <c r="I80" s="378"/>
      <c r="J80" s="378"/>
      <c r="K80" s="378"/>
      <c r="L80" s="378"/>
      <c r="M80" s="381"/>
      <c r="N80" s="381"/>
      <c r="O80" s="381"/>
      <c r="P80" s="381"/>
      <c r="Q80" s="381"/>
      <c r="R80" s="381"/>
      <c r="S80" s="381"/>
      <c r="T80" s="381"/>
      <c r="U80" s="381"/>
      <c r="V80" s="381"/>
      <c r="W80" s="381"/>
      <c r="X80" s="381"/>
      <c r="Y80" s="381"/>
      <c r="Z80" s="381"/>
      <c r="AA80" s="381"/>
      <c r="AB80" s="381"/>
      <c r="AC80" s="382"/>
      <c r="AD80" s="382"/>
    </row>
    <row r="81" spans="1:30" ht="12.75" customHeight="1" x14ac:dyDescent="0.2">
      <c r="A81" s="378"/>
      <c r="B81" s="378"/>
      <c r="C81" s="378"/>
      <c r="D81" s="379"/>
      <c r="E81" s="380"/>
      <c r="F81" s="378"/>
      <c r="G81" s="378"/>
      <c r="H81" s="378"/>
      <c r="I81" s="378"/>
      <c r="J81" s="378"/>
      <c r="K81" s="378"/>
      <c r="L81" s="378"/>
      <c r="M81" s="381"/>
      <c r="N81" s="381"/>
      <c r="O81" s="381"/>
      <c r="P81" s="381"/>
      <c r="Q81" s="381"/>
      <c r="R81" s="381"/>
      <c r="S81" s="381"/>
      <c r="T81" s="381"/>
      <c r="U81" s="381"/>
      <c r="V81" s="381"/>
      <c r="W81" s="381"/>
      <c r="X81" s="381"/>
      <c r="Y81" s="381"/>
      <c r="Z81" s="381"/>
      <c r="AA81" s="381"/>
      <c r="AB81" s="381"/>
      <c r="AC81" s="382"/>
      <c r="AD81" s="382"/>
    </row>
    <row r="82" spans="1:30" ht="12.75" customHeight="1" x14ac:dyDescent="0.2">
      <c r="A82" s="378"/>
      <c r="B82" s="378"/>
      <c r="C82" s="378"/>
      <c r="D82" s="379"/>
      <c r="E82" s="380"/>
      <c r="F82" s="378"/>
      <c r="G82" s="378"/>
      <c r="H82" s="378"/>
      <c r="I82" s="378"/>
      <c r="J82" s="378"/>
      <c r="K82" s="378"/>
      <c r="L82" s="378"/>
      <c r="M82" s="381"/>
      <c r="N82" s="381"/>
      <c r="O82" s="381"/>
      <c r="P82" s="381"/>
      <c r="Q82" s="381"/>
      <c r="R82" s="381"/>
      <c r="S82" s="381"/>
      <c r="T82" s="381"/>
      <c r="U82" s="381"/>
      <c r="V82" s="381"/>
      <c r="W82" s="381"/>
      <c r="X82" s="381"/>
      <c r="Y82" s="381"/>
      <c r="Z82" s="381"/>
      <c r="AA82" s="381"/>
      <c r="AB82" s="381"/>
      <c r="AC82" s="382"/>
      <c r="AD82" s="382"/>
    </row>
    <row r="83" spans="1:30" ht="12.75" customHeight="1" x14ac:dyDescent="0.2">
      <c r="A83" s="378"/>
      <c r="B83" s="378"/>
      <c r="C83" s="378"/>
      <c r="D83" s="379"/>
      <c r="E83" s="380"/>
      <c r="F83" s="378"/>
      <c r="G83" s="378"/>
      <c r="H83" s="378"/>
      <c r="I83" s="378"/>
      <c r="J83" s="378"/>
      <c r="K83" s="378"/>
      <c r="L83" s="378"/>
      <c r="M83" s="381"/>
      <c r="N83" s="381"/>
      <c r="O83" s="381"/>
      <c r="P83" s="381"/>
      <c r="Q83" s="381"/>
      <c r="R83" s="381"/>
      <c r="S83" s="381"/>
      <c r="T83" s="381"/>
      <c r="U83" s="381"/>
      <c r="V83" s="381"/>
      <c r="W83" s="381"/>
      <c r="X83" s="381"/>
      <c r="Y83" s="381"/>
      <c r="Z83" s="381"/>
      <c r="AA83" s="381"/>
      <c r="AB83" s="381"/>
      <c r="AC83" s="382"/>
      <c r="AD83" s="382"/>
    </row>
    <row r="84" spans="1:30" ht="12.75" customHeight="1" x14ac:dyDescent="0.2">
      <c r="A84" s="378"/>
      <c r="B84" s="378"/>
      <c r="C84" s="378"/>
      <c r="D84" s="379"/>
      <c r="E84" s="380"/>
      <c r="F84" s="378"/>
      <c r="G84" s="378"/>
      <c r="H84" s="378"/>
      <c r="I84" s="378"/>
      <c r="J84" s="378"/>
      <c r="K84" s="378"/>
      <c r="L84" s="378"/>
      <c r="M84" s="381"/>
      <c r="N84" s="381"/>
      <c r="O84" s="381"/>
      <c r="P84" s="381"/>
      <c r="Q84" s="381"/>
      <c r="R84" s="381"/>
      <c r="S84" s="381"/>
      <c r="T84" s="381"/>
      <c r="U84" s="381"/>
      <c r="V84" s="381"/>
      <c r="W84" s="381"/>
      <c r="X84" s="381"/>
      <c r="Y84" s="381"/>
      <c r="Z84" s="381"/>
      <c r="AA84" s="381"/>
      <c r="AB84" s="381"/>
      <c r="AC84" s="382"/>
      <c r="AD84" s="382"/>
    </row>
    <row r="85" spans="1:30" ht="12.75" customHeight="1" x14ac:dyDescent="0.2">
      <c r="A85" s="378"/>
      <c r="B85" s="378"/>
      <c r="C85" s="378"/>
      <c r="D85" s="379"/>
      <c r="E85" s="380"/>
      <c r="F85" s="378"/>
      <c r="G85" s="378"/>
      <c r="H85" s="378"/>
      <c r="I85" s="378"/>
      <c r="J85" s="378"/>
      <c r="K85" s="378"/>
      <c r="L85" s="378"/>
      <c r="M85" s="381"/>
      <c r="N85" s="381"/>
      <c r="O85" s="381"/>
      <c r="P85" s="381"/>
      <c r="Q85" s="381"/>
      <c r="R85" s="381"/>
      <c r="S85" s="381"/>
      <c r="T85" s="381"/>
      <c r="U85" s="381"/>
      <c r="V85" s="381"/>
      <c r="W85" s="381"/>
      <c r="X85" s="381"/>
      <c r="Y85" s="381"/>
      <c r="Z85" s="381"/>
      <c r="AA85" s="381"/>
      <c r="AB85" s="381"/>
      <c r="AC85" s="382"/>
      <c r="AD85" s="382"/>
    </row>
    <row r="86" spans="1:30" ht="12.75" customHeight="1" x14ac:dyDescent="0.2">
      <c r="A86" s="378"/>
      <c r="B86" s="378"/>
      <c r="C86" s="378"/>
      <c r="D86" s="379"/>
      <c r="E86" s="380"/>
      <c r="F86" s="378"/>
      <c r="G86" s="378"/>
      <c r="H86" s="378"/>
      <c r="I86" s="378"/>
      <c r="J86" s="378"/>
      <c r="K86" s="378"/>
      <c r="L86" s="378"/>
      <c r="M86" s="381"/>
      <c r="N86" s="381"/>
      <c r="O86" s="381"/>
      <c r="P86" s="381"/>
      <c r="Q86" s="381"/>
      <c r="R86" s="381"/>
      <c r="S86" s="381"/>
      <c r="T86" s="381"/>
      <c r="U86" s="381"/>
      <c r="V86" s="381"/>
      <c r="W86" s="381"/>
      <c r="X86" s="381"/>
      <c r="Y86" s="381"/>
      <c r="Z86" s="381"/>
      <c r="AA86" s="381"/>
      <c r="AB86" s="381"/>
      <c r="AC86" s="382"/>
      <c r="AD86" s="382"/>
    </row>
    <row r="87" spans="1:30" ht="12.75" customHeight="1" x14ac:dyDescent="0.2">
      <c r="A87" s="378"/>
      <c r="B87" s="378"/>
      <c r="C87" s="378"/>
      <c r="D87" s="379"/>
      <c r="E87" s="380"/>
      <c r="F87" s="378"/>
      <c r="G87" s="378"/>
      <c r="H87" s="378"/>
      <c r="I87" s="378"/>
      <c r="J87" s="378"/>
      <c r="K87" s="378"/>
      <c r="L87" s="378"/>
      <c r="M87" s="381"/>
      <c r="N87" s="381"/>
      <c r="O87" s="381"/>
      <c r="P87" s="381"/>
      <c r="Q87" s="381"/>
      <c r="R87" s="381"/>
      <c r="S87" s="381"/>
      <c r="T87" s="381"/>
      <c r="U87" s="381"/>
      <c r="V87" s="381"/>
      <c r="W87" s="381"/>
      <c r="X87" s="381"/>
      <c r="Y87" s="381"/>
      <c r="Z87" s="381"/>
      <c r="AA87" s="381"/>
      <c r="AB87" s="381"/>
      <c r="AC87" s="382"/>
      <c r="AD87" s="382"/>
    </row>
    <row r="88" spans="1:30" ht="12.75" customHeight="1" x14ac:dyDescent="0.2">
      <c r="A88" s="378"/>
      <c r="B88" s="378"/>
      <c r="C88" s="378"/>
      <c r="D88" s="379"/>
      <c r="E88" s="380"/>
      <c r="F88" s="378"/>
      <c r="G88" s="378"/>
      <c r="H88" s="378"/>
      <c r="I88" s="378"/>
      <c r="J88" s="378"/>
      <c r="K88" s="378"/>
      <c r="L88" s="378"/>
      <c r="M88" s="381"/>
      <c r="N88" s="381"/>
      <c r="O88" s="381"/>
      <c r="P88" s="381"/>
      <c r="Q88" s="381"/>
      <c r="R88" s="381"/>
      <c r="S88" s="381"/>
      <c r="T88" s="381"/>
      <c r="U88" s="381"/>
      <c r="V88" s="381"/>
      <c r="W88" s="381"/>
      <c r="X88" s="381"/>
      <c r="Y88" s="381"/>
      <c r="Z88" s="381"/>
      <c r="AA88" s="381"/>
      <c r="AB88" s="381"/>
      <c r="AC88" s="382"/>
      <c r="AD88" s="382"/>
    </row>
    <row r="89" spans="1:30" ht="12.75" customHeight="1" x14ac:dyDescent="0.2">
      <c r="A89" s="378"/>
      <c r="B89" s="378"/>
      <c r="C89" s="378"/>
      <c r="D89" s="379"/>
      <c r="E89" s="380"/>
      <c r="F89" s="378"/>
      <c r="G89" s="378"/>
      <c r="H89" s="378"/>
      <c r="I89" s="378"/>
      <c r="J89" s="378"/>
      <c r="K89" s="378"/>
      <c r="L89" s="378"/>
      <c r="M89" s="381"/>
      <c r="N89" s="381"/>
      <c r="O89" s="381"/>
      <c r="P89" s="381"/>
      <c r="Q89" s="381"/>
      <c r="R89" s="381"/>
      <c r="S89" s="381"/>
      <c r="T89" s="381"/>
      <c r="U89" s="381"/>
      <c r="V89" s="381"/>
      <c r="W89" s="381"/>
      <c r="X89" s="381"/>
      <c r="Y89" s="381"/>
      <c r="Z89" s="381"/>
      <c r="AA89" s="381"/>
      <c r="AB89" s="381"/>
      <c r="AC89" s="382"/>
      <c r="AD89" s="382"/>
    </row>
    <row r="90" spans="1:30" ht="12.75" customHeight="1" x14ac:dyDescent="0.2">
      <c r="A90" s="378"/>
      <c r="B90" s="378"/>
      <c r="C90" s="378"/>
      <c r="D90" s="379"/>
      <c r="E90" s="380"/>
      <c r="F90" s="378"/>
      <c r="G90" s="378"/>
      <c r="H90" s="378"/>
      <c r="I90" s="378"/>
      <c r="J90" s="378"/>
      <c r="K90" s="378"/>
      <c r="L90" s="378"/>
      <c r="M90" s="381"/>
      <c r="N90" s="381"/>
      <c r="O90" s="381"/>
      <c r="P90" s="381"/>
      <c r="Q90" s="381"/>
      <c r="R90" s="381"/>
      <c r="S90" s="381"/>
      <c r="T90" s="381"/>
      <c r="U90" s="381"/>
      <c r="V90" s="381"/>
      <c r="W90" s="381"/>
      <c r="X90" s="381"/>
      <c r="Y90" s="381"/>
      <c r="Z90" s="381"/>
      <c r="AA90" s="381"/>
      <c r="AB90" s="381"/>
      <c r="AC90" s="382"/>
      <c r="AD90" s="382"/>
    </row>
    <row r="91" spans="1:30" ht="12.75" customHeight="1" x14ac:dyDescent="0.2">
      <c r="A91" s="378"/>
      <c r="B91" s="378"/>
      <c r="C91" s="378"/>
      <c r="D91" s="379"/>
      <c r="E91" s="380"/>
      <c r="F91" s="378"/>
      <c r="G91" s="378"/>
      <c r="H91" s="378"/>
      <c r="I91" s="378"/>
      <c r="J91" s="378"/>
      <c r="K91" s="378"/>
      <c r="L91" s="378"/>
      <c r="M91" s="381"/>
      <c r="N91" s="381"/>
      <c r="O91" s="381"/>
      <c r="P91" s="381"/>
      <c r="Q91" s="381"/>
      <c r="R91" s="381"/>
      <c r="S91" s="381"/>
      <c r="T91" s="381"/>
      <c r="U91" s="381"/>
      <c r="V91" s="381"/>
      <c r="W91" s="381"/>
      <c r="X91" s="381"/>
      <c r="Y91" s="381"/>
      <c r="Z91" s="381"/>
      <c r="AA91" s="381"/>
      <c r="AB91" s="381"/>
      <c r="AC91" s="382"/>
      <c r="AD91" s="382"/>
    </row>
    <row r="92" spans="1:30" ht="12.75" customHeight="1" x14ac:dyDescent="0.2">
      <c r="A92" s="378"/>
      <c r="B92" s="378"/>
      <c r="C92" s="378"/>
      <c r="D92" s="379"/>
      <c r="E92" s="380"/>
      <c r="F92" s="378"/>
      <c r="G92" s="378"/>
      <c r="H92" s="378"/>
      <c r="I92" s="378"/>
      <c r="J92" s="378"/>
      <c r="K92" s="378"/>
      <c r="L92" s="378"/>
      <c r="M92" s="381"/>
      <c r="N92" s="381"/>
      <c r="O92" s="381"/>
      <c r="P92" s="381"/>
      <c r="Q92" s="381"/>
      <c r="R92" s="381"/>
      <c r="S92" s="381"/>
      <c r="T92" s="381"/>
      <c r="U92" s="381"/>
      <c r="V92" s="381"/>
      <c r="W92" s="381"/>
      <c r="X92" s="381"/>
      <c r="Y92" s="381"/>
      <c r="Z92" s="381"/>
      <c r="AA92" s="381"/>
      <c r="AB92" s="381"/>
      <c r="AC92" s="382"/>
      <c r="AD92" s="382"/>
    </row>
    <row r="93" spans="1:30" ht="12.75" customHeight="1" x14ac:dyDescent="0.2">
      <c r="A93" s="378"/>
      <c r="B93" s="378"/>
      <c r="C93" s="378"/>
      <c r="D93" s="379"/>
      <c r="E93" s="380"/>
      <c r="F93" s="378"/>
      <c r="G93" s="378"/>
      <c r="H93" s="378"/>
      <c r="I93" s="378"/>
      <c r="J93" s="378"/>
      <c r="K93" s="378"/>
      <c r="L93" s="378"/>
      <c r="M93" s="381"/>
      <c r="N93" s="381"/>
      <c r="O93" s="381"/>
      <c r="P93" s="381"/>
      <c r="Q93" s="381"/>
      <c r="R93" s="381"/>
      <c r="S93" s="381"/>
      <c r="T93" s="381"/>
      <c r="U93" s="381"/>
      <c r="V93" s="381"/>
      <c r="W93" s="381"/>
      <c r="X93" s="381"/>
      <c r="Y93" s="381"/>
      <c r="Z93" s="381"/>
      <c r="AA93" s="381"/>
      <c r="AB93" s="381"/>
      <c r="AC93" s="382"/>
      <c r="AD93" s="382"/>
    </row>
    <row r="94" spans="1:30" ht="12.75" customHeight="1" x14ac:dyDescent="0.2">
      <c r="A94" s="378"/>
      <c r="B94" s="378"/>
      <c r="C94" s="378"/>
      <c r="D94" s="379"/>
      <c r="E94" s="380"/>
      <c r="F94" s="378"/>
      <c r="G94" s="378"/>
      <c r="H94" s="378"/>
      <c r="I94" s="378"/>
      <c r="J94" s="378"/>
      <c r="K94" s="378"/>
      <c r="L94" s="378"/>
      <c r="M94" s="381"/>
      <c r="N94" s="381"/>
      <c r="O94" s="381"/>
      <c r="P94" s="381"/>
      <c r="Q94" s="381"/>
      <c r="R94" s="381"/>
      <c r="S94" s="381"/>
      <c r="T94" s="381"/>
      <c r="U94" s="381"/>
      <c r="V94" s="381"/>
      <c r="W94" s="381"/>
      <c r="X94" s="381"/>
      <c r="Y94" s="381"/>
      <c r="Z94" s="381"/>
      <c r="AA94" s="381"/>
      <c r="AB94" s="381"/>
      <c r="AC94" s="382"/>
      <c r="AD94" s="382"/>
    </row>
    <row r="95" spans="1:30" ht="12.75" customHeight="1" x14ac:dyDescent="0.2">
      <c r="A95" s="378"/>
      <c r="B95" s="378"/>
      <c r="C95" s="378"/>
      <c r="D95" s="379"/>
      <c r="E95" s="380"/>
      <c r="F95" s="378"/>
      <c r="G95" s="378"/>
      <c r="H95" s="378"/>
      <c r="I95" s="378"/>
      <c r="J95" s="378"/>
      <c r="K95" s="378"/>
      <c r="L95" s="378"/>
      <c r="M95" s="381"/>
      <c r="N95" s="381"/>
      <c r="O95" s="381"/>
      <c r="P95" s="381"/>
      <c r="Q95" s="381"/>
      <c r="R95" s="381"/>
      <c r="S95" s="381"/>
      <c r="T95" s="381"/>
      <c r="U95" s="381"/>
      <c r="V95" s="381"/>
      <c r="W95" s="381"/>
      <c r="X95" s="381"/>
      <c r="Y95" s="381"/>
      <c r="Z95" s="381"/>
      <c r="AA95" s="381"/>
      <c r="AB95" s="381"/>
      <c r="AC95" s="382"/>
      <c r="AD95" s="382"/>
    </row>
    <row r="96" spans="1:30" ht="12.75" customHeight="1" x14ac:dyDescent="0.2">
      <c r="A96" s="378"/>
      <c r="B96" s="378"/>
      <c r="C96" s="378"/>
      <c r="D96" s="379"/>
      <c r="E96" s="380"/>
      <c r="F96" s="378"/>
      <c r="G96" s="378"/>
      <c r="H96" s="378"/>
      <c r="I96" s="378"/>
      <c r="J96" s="378"/>
      <c r="K96" s="378"/>
      <c r="L96" s="378"/>
      <c r="M96" s="381"/>
      <c r="N96" s="381"/>
      <c r="O96" s="381"/>
      <c r="P96" s="381"/>
      <c r="Q96" s="381"/>
      <c r="R96" s="381"/>
      <c r="S96" s="381"/>
      <c r="T96" s="381"/>
      <c r="U96" s="381"/>
      <c r="V96" s="381"/>
      <c r="W96" s="381"/>
      <c r="X96" s="381"/>
      <c r="Y96" s="381"/>
      <c r="Z96" s="381"/>
      <c r="AA96" s="381"/>
      <c r="AB96" s="381"/>
      <c r="AC96" s="382"/>
      <c r="AD96" s="382"/>
    </row>
    <row r="97" spans="1:30" ht="12.75" customHeight="1" x14ac:dyDescent="0.2">
      <c r="A97" s="378"/>
      <c r="B97" s="378"/>
      <c r="C97" s="378"/>
      <c r="D97" s="379"/>
      <c r="E97" s="380"/>
      <c r="F97" s="378"/>
      <c r="G97" s="378"/>
      <c r="H97" s="378"/>
      <c r="I97" s="378"/>
      <c r="J97" s="378"/>
      <c r="K97" s="378"/>
      <c r="L97" s="378"/>
      <c r="M97" s="381"/>
      <c r="N97" s="381"/>
      <c r="O97" s="381"/>
      <c r="P97" s="381"/>
      <c r="Q97" s="381"/>
      <c r="R97" s="381"/>
      <c r="S97" s="381"/>
      <c r="T97" s="381"/>
      <c r="U97" s="381"/>
      <c r="V97" s="381"/>
      <c r="W97" s="381"/>
      <c r="X97" s="381"/>
      <c r="Y97" s="381"/>
      <c r="Z97" s="381"/>
      <c r="AA97" s="381"/>
      <c r="AB97" s="381"/>
      <c r="AC97" s="382"/>
      <c r="AD97" s="382"/>
    </row>
    <row r="98" spans="1:30" ht="12.75" customHeight="1" x14ac:dyDescent="0.2">
      <c r="A98" s="378"/>
      <c r="B98" s="378"/>
      <c r="C98" s="378"/>
      <c r="D98" s="379"/>
      <c r="E98" s="380"/>
      <c r="F98" s="378"/>
      <c r="G98" s="378"/>
      <c r="H98" s="378"/>
      <c r="I98" s="378"/>
      <c r="J98" s="378"/>
      <c r="K98" s="378"/>
      <c r="L98" s="378"/>
      <c r="M98" s="381"/>
      <c r="N98" s="381"/>
      <c r="O98" s="381"/>
      <c r="P98" s="381"/>
      <c r="Q98" s="381"/>
      <c r="R98" s="381"/>
      <c r="S98" s="381"/>
      <c r="T98" s="381"/>
      <c r="U98" s="381"/>
      <c r="V98" s="381"/>
      <c r="W98" s="381"/>
      <c r="X98" s="381"/>
      <c r="Y98" s="381"/>
      <c r="Z98" s="381"/>
      <c r="AA98" s="381"/>
      <c r="AB98" s="381"/>
      <c r="AC98" s="382"/>
      <c r="AD98" s="382"/>
    </row>
    <row r="99" spans="1:30" ht="12.75" customHeight="1" x14ac:dyDescent="0.2">
      <c r="A99" s="378"/>
      <c r="B99" s="378"/>
      <c r="C99" s="378"/>
      <c r="D99" s="379"/>
      <c r="E99" s="380"/>
      <c r="F99" s="378"/>
      <c r="G99" s="378"/>
      <c r="H99" s="378"/>
      <c r="I99" s="378"/>
      <c r="J99" s="378"/>
      <c r="K99" s="378"/>
      <c r="L99" s="378"/>
      <c r="M99" s="381"/>
      <c r="N99" s="381"/>
      <c r="O99" s="381"/>
      <c r="P99" s="381"/>
      <c r="Q99" s="381"/>
      <c r="R99" s="381"/>
      <c r="S99" s="381"/>
      <c r="T99" s="381"/>
      <c r="U99" s="381"/>
      <c r="V99" s="381"/>
      <c r="W99" s="381"/>
      <c r="X99" s="381"/>
      <c r="Y99" s="381"/>
      <c r="Z99" s="381"/>
      <c r="AA99" s="381"/>
      <c r="AB99" s="381"/>
      <c r="AC99" s="382"/>
      <c r="AD99" s="382"/>
    </row>
    <row r="100" spans="1:30" ht="12.75" customHeight="1" x14ac:dyDescent="0.2">
      <c r="A100" s="378"/>
      <c r="B100" s="378"/>
      <c r="C100" s="378"/>
      <c r="D100" s="379"/>
      <c r="E100" s="380"/>
      <c r="F100" s="378"/>
      <c r="G100" s="378"/>
      <c r="H100" s="378"/>
      <c r="I100" s="378"/>
      <c r="J100" s="378"/>
      <c r="K100" s="378"/>
      <c r="L100" s="378"/>
      <c r="M100" s="381"/>
      <c r="N100" s="381"/>
      <c r="O100" s="381"/>
      <c r="P100" s="381"/>
      <c r="Q100" s="381"/>
      <c r="R100" s="381"/>
      <c r="S100" s="381"/>
      <c r="T100" s="381"/>
      <c r="U100" s="381"/>
      <c r="V100" s="381"/>
      <c r="W100" s="381"/>
      <c r="X100" s="381"/>
      <c r="Y100" s="381"/>
      <c r="Z100" s="381"/>
      <c r="AA100" s="381"/>
      <c r="AB100" s="381"/>
      <c r="AC100" s="382"/>
      <c r="AD100" s="382"/>
    </row>
    <row r="101" spans="1:30" ht="12.75" customHeight="1" x14ac:dyDescent="0.2">
      <c r="A101" s="378"/>
      <c r="B101" s="378"/>
      <c r="C101" s="378"/>
      <c r="D101" s="379"/>
      <c r="E101" s="380"/>
      <c r="F101" s="378"/>
      <c r="G101" s="378"/>
      <c r="H101" s="378"/>
      <c r="I101" s="378"/>
      <c r="J101" s="378"/>
      <c r="K101" s="378"/>
      <c r="L101" s="378"/>
      <c r="M101" s="381"/>
      <c r="N101" s="381"/>
      <c r="O101" s="381"/>
      <c r="P101" s="381"/>
      <c r="Q101" s="381"/>
      <c r="R101" s="381"/>
      <c r="S101" s="381"/>
      <c r="T101" s="381"/>
      <c r="U101" s="381"/>
      <c r="V101" s="381"/>
      <c r="W101" s="381"/>
      <c r="X101" s="381"/>
      <c r="Y101" s="381"/>
      <c r="Z101" s="381"/>
      <c r="AA101" s="381"/>
      <c r="AB101" s="381"/>
      <c r="AC101" s="382"/>
      <c r="AD101" s="382"/>
    </row>
    <row r="102" spans="1:30" ht="12.75" customHeight="1" x14ac:dyDescent="0.2">
      <c r="A102" s="378"/>
      <c r="B102" s="378"/>
      <c r="C102" s="378"/>
      <c r="D102" s="379"/>
      <c r="E102" s="380"/>
      <c r="F102" s="378"/>
      <c r="G102" s="378"/>
      <c r="H102" s="378"/>
      <c r="I102" s="378"/>
      <c r="J102" s="378"/>
      <c r="K102" s="378"/>
      <c r="L102" s="378"/>
      <c r="M102" s="381"/>
      <c r="N102" s="381"/>
      <c r="O102" s="381"/>
      <c r="P102" s="381"/>
      <c r="Q102" s="381"/>
      <c r="R102" s="381"/>
      <c r="S102" s="381"/>
      <c r="T102" s="381"/>
      <c r="U102" s="381"/>
      <c r="V102" s="381"/>
      <c r="W102" s="381"/>
      <c r="X102" s="381"/>
      <c r="Y102" s="381"/>
      <c r="Z102" s="381"/>
      <c r="AA102" s="381"/>
      <c r="AB102" s="381"/>
      <c r="AC102" s="382"/>
      <c r="AD102" s="382"/>
    </row>
    <row r="103" spans="1:30" ht="12.75" customHeight="1" x14ac:dyDescent="0.2">
      <c r="A103" s="378"/>
      <c r="B103" s="378"/>
      <c r="C103" s="378"/>
      <c r="D103" s="379"/>
      <c r="E103" s="380"/>
      <c r="F103" s="378"/>
      <c r="G103" s="378"/>
      <c r="H103" s="378"/>
      <c r="I103" s="378"/>
      <c r="J103" s="378"/>
      <c r="K103" s="378"/>
      <c r="L103" s="378"/>
      <c r="M103" s="381"/>
      <c r="N103" s="381"/>
      <c r="O103" s="381"/>
      <c r="P103" s="381"/>
      <c r="Q103" s="381"/>
      <c r="R103" s="381"/>
      <c r="S103" s="381"/>
      <c r="T103" s="381"/>
      <c r="U103" s="381"/>
      <c r="V103" s="381"/>
      <c r="W103" s="381"/>
      <c r="X103" s="381"/>
      <c r="Y103" s="381"/>
      <c r="Z103" s="381"/>
      <c r="AA103" s="381"/>
      <c r="AB103" s="381"/>
      <c r="AC103" s="382"/>
      <c r="AD103" s="382"/>
    </row>
    <row r="104" spans="1:30" ht="12.75" customHeight="1" x14ac:dyDescent="0.2">
      <c r="A104" s="378"/>
      <c r="B104" s="378"/>
      <c r="C104" s="378"/>
      <c r="D104" s="379"/>
      <c r="E104" s="380"/>
      <c r="F104" s="378"/>
      <c r="G104" s="378"/>
      <c r="H104" s="378"/>
      <c r="I104" s="378"/>
      <c r="J104" s="378"/>
      <c r="K104" s="378"/>
      <c r="L104" s="378"/>
      <c r="M104" s="381"/>
      <c r="N104" s="381"/>
      <c r="O104" s="381"/>
      <c r="P104" s="381"/>
      <c r="Q104" s="381"/>
      <c r="R104" s="381"/>
      <c r="S104" s="381"/>
      <c r="T104" s="381"/>
      <c r="U104" s="381"/>
      <c r="V104" s="381"/>
      <c r="W104" s="381"/>
      <c r="X104" s="381"/>
      <c r="Y104" s="381"/>
      <c r="Z104" s="381"/>
      <c r="AA104" s="381"/>
      <c r="AB104" s="381"/>
      <c r="AC104" s="382"/>
      <c r="AD104" s="382"/>
    </row>
    <row r="105" spans="1:30" ht="12.75" customHeight="1" x14ac:dyDescent="0.2">
      <c r="A105" s="378"/>
      <c r="B105" s="378"/>
      <c r="C105" s="378"/>
      <c r="D105" s="379"/>
      <c r="E105" s="380"/>
      <c r="F105" s="378"/>
      <c r="G105" s="378"/>
      <c r="H105" s="378"/>
      <c r="I105" s="378"/>
      <c r="J105" s="378"/>
      <c r="K105" s="378"/>
      <c r="L105" s="378"/>
      <c r="M105" s="381"/>
      <c r="N105" s="381"/>
      <c r="O105" s="381"/>
      <c r="P105" s="381"/>
      <c r="Q105" s="381"/>
      <c r="R105" s="381"/>
      <c r="S105" s="381"/>
      <c r="T105" s="381"/>
      <c r="U105" s="381"/>
      <c r="V105" s="381"/>
      <c r="W105" s="381"/>
      <c r="X105" s="381"/>
      <c r="Y105" s="381"/>
      <c r="Z105" s="381"/>
      <c r="AA105" s="381"/>
      <c r="AB105" s="381"/>
      <c r="AC105" s="382"/>
      <c r="AD105" s="382"/>
    </row>
    <row r="106" spans="1:30" ht="12.75" customHeight="1" x14ac:dyDescent="0.2">
      <c r="A106" s="378"/>
      <c r="B106" s="378"/>
      <c r="C106" s="378"/>
      <c r="D106" s="379"/>
      <c r="E106" s="380"/>
      <c r="F106" s="378"/>
      <c r="G106" s="378"/>
      <c r="H106" s="378"/>
      <c r="I106" s="378"/>
      <c r="J106" s="378"/>
      <c r="K106" s="378"/>
      <c r="L106" s="378"/>
      <c r="M106" s="381"/>
      <c r="N106" s="381"/>
      <c r="O106" s="381"/>
      <c r="P106" s="381"/>
      <c r="Q106" s="381"/>
      <c r="R106" s="381"/>
      <c r="S106" s="381"/>
      <c r="T106" s="381"/>
      <c r="U106" s="381"/>
      <c r="V106" s="381"/>
      <c r="W106" s="381"/>
      <c r="X106" s="381"/>
      <c r="Y106" s="381"/>
      <c r="Z106" s="381"/>
      <c r="AA106" s="381"/>
      <c r="AB106" s="381"/>
      <c r="AC106" s="382"/>
      <c r="AD106" s="382"/>
    </row>
    <row r="107" spans="1:30" ht="12.75" customHeight="1" x14ac:dyDescent="0.2">
      <c r="A107" s="378"/>
      <c r="B107" s="378"/>
      <c r="C107" s="378"/>
      <c r="D107" s="379"/>
      <c r="E107" s="380"/>
      <c r="F107" s="378"/>
      <c r="G107" s="378"/>
      <c r="H107" s="378"/>
      <c r="I107" s="378"/>
      <c r="J107" s="378"/>
      <c r="K107" s="378"/>
      <c r="L107" s="378"/>
      <c r="M107" s="381"/>
      <c r="N107" s="381"/>
      <c r="O107" s="381"/>
      <c r="P107" s="381"/>
      <c r="Q107" s="381"/>
      <c r="R107" s="381"/>
      <c r="S107" s="381"/>
      <c r="T107" s="381"/>
      <c r="U107" s="381"/>
      <c r="V107" s="381"/>
      <c r="W107" s="381"/>
      <c r="X107" s="381"/>
      <c r="Y107" s="381"/>
      <c r="Z107" s="381"/>
      <c r="AA107" s="381"/>
      <c r="AB107" s="381"/>
      <c r="AC107" s="382"/>
      <c r="AD107" s="382"/>
    </row>
    <row r="108" spans="1:30" ht="12.75" customHeight="1" x14ac:dyDescent="0.2">
      <c r="A108" s="378"/>
      <c r="B108" s="378"/>
      <c r="C108" s="378"/>
      <c r="D108" s="379"/>
      <c r="E108" s="380"/>
      <c r="F108" s="378"/>
      <c r="G108" s="378"/>
      <c r="H108" s="378"/>
      <c r="I108" s="378"/>
      <c r="J108" s="378"/>
      <c r="K108" s="378"/>
      <c r="L108" s="378"/>
      <c r="M108" s="381"/>
      <c r="N108" s="381"/>
      <c r="O108" s="381"/>
      <c r="P108" s="381"/>
      <c r="Q108" s="381"/>
      <c r="R108" s="381"/>
      <c r="S108" s="381"/>
      <c r="T108" s="381"/>
      <c r="U108" s="381"/>
      <c r="V108" s="381"/>
      <c r="W108" s="381"/>
      <c r="X108" s="381"/>
      <c r="Y108" s="381"/>
      <c r="Z108" s="381"/>
      <c r="AA108" s="381"/>
      <c r="AB108" s="381"/>
      <c r="AC108" s="382"/>
      <c r="AD108" s="382"/>
    </row>
    <row r="109" spans="1:30" ht="12.75" customHeight="1" x14ac:dyDescent="0.2">
      <c r="A109" s="378"/>
      <c r="B109" s="378"/>
      <c r="C109" s="378"/>
      <c r="D109" s="379"/>
      <c r="E109" s="380"/>
      <c r="F109" s="378"/>
      <c r="G109" s="378"/>
      <c r="H109" s="378"/>
      <c r="I109" s="378"/>
      <c r="J109" s="378"/>
      <c r="K109" s="378"/>
      <c r="L109" s="378"/>
      <c r="M109" s="381"/>
      <c r="N109" s="381"/>
      <c r="O109" s="381"/>
      <c r="P109" s="381"/>
      <c r="Q109" s="381"/>
      <c r="R109" s="381"/>
      <c r="S109" s="381"/>
      <c r="T109" s="381"/>
      <c r="U109" s="381"/>
      <c r="V109" s="381"/>
      <c r="W109" s="381"/>
      <c r="X109" s="381"/>
      <c r="Y109" s="381"/>
      <c r="Z109" s="381"/>
      <c r="AA109" s="381"/>
      <c r="AB109" s="381"/>
      <c r="AC109" s="382"/>
      <c r="AD109" s="382"/>
    </row>
    <row r="110" spans="1:30" ht="12.75" customHeight="1" x14ac:dyDescent="0.2">
      <c r="A110" s="378"/>
      <c r="B110" s="378"/>
      <c r="C110" s="378"/>
      <c r="D110" s="379"/>
      <c r="E110" s="380"/>
      <c r="F110" s="378"/>
      <c r="G110" s="378"/>
      <c r="H110" s="378"/>
      <c r="I110" s="378"/>
      <c r="J110" s="378"/>
      <c r="K110" s="378"/>
      <c r="L110" s="378"/>
      <c r="M110" s="381"/>
      <c r="N110" s="381"/>
      <c r="O110" s="381"/>
      <c r="P110" s="381"/>
      <c r="Q110" s="381"/>
      <c r="R110" s="381"/>
      <c r="S110" s="381"/>
      <c r="T110" s="381"/>
      <c r="U110" s="381"/>
      <c r="V110" s="381"/>
      <c r="W110" s="381"/>
      <c r="X110" s="381"/>
      <c r="Y110" s="381"/>
      <c r="Z110" s="381"/>
      <c r="AA110" s="381"/>
      <c r="AB110" s="381"/>
      <c r="AC110" s="382"/>
      <c r="AD110" s="382"/>
    </row>
    <row r="111" spans="1:30" ht="12.75" customHeight="1" x14ac:dyDescent="0.2">
      <c r="A111" s="378"/>
      <c r="B111" s="378"/>
      <c r="C111" s="378"/>
      <c r="D111" s="379"/>
      <c r="E111" s="380"/>
      <c r="F111" s="378"/>
      <c r="G111" s="378"/>
      <c r="H111" s="378"/>
      <c r="I111" s="378"/>
      <c r="J111" s="378"/>
      <c r="K111" s="378"/>
      <c r="L111" s="378"/>
      <c r="M111" s="381"/>
      <c r="N111" s="381"/>
      <c r="O111" s="381"/>
      <c r="P111" s="381"/>
      <c r="Q111" s="381"/>
      <c r="R111" s="381"/>
      <c r="S111" s="381"/>
      <c r="T111" s="381"/>
      <c r="U111" s="381"/>
      <c r="V111" s="381"/>
      <c r="W111" s="381"/>
      <c r="X111" s="381"/>
      <c r="Y111" s="381"/>
      <c r="Z111" s="381"/>
      <c r="AA111" s="381"/>
      <c r="AB111" s="381"/>
      <c r="AC111" s="382"/>
      <c r="AD111" s="382"/>
    </row>
    <row r="112" spans="1:30" ht="12.75" customHeight="1" x14ac:dyDescent="0.2">
      <c r="A112" s="378"/>
      <c r="B112" s="378"/>
      <c r="C112" s="378"/>
      <c r="D112" s="379"/>
      <c r="E112" s="380"/>
      <c r="F112" s="378"/>
      <c r="G112" s="378"/>
      <c r="H112" s="378"/>
      <c r="I112" s="378"/>
      <c r="J112" s="378"/>
      <c r="K112" s="378"/>
      <c r="L112" s="378"/>
      <c r="M112" s="381"/>
      <c r="N112" s="381"/>
      <c r="O112" s="381"/>
      <c r="P112" s="381"/>
      <c r="Q112" s="381"/>
      <c r="R112" s="381"/>
      <c r="S112" s="381"/>
      <c r="T112" s="381"/>
      <c r="U112" s="381"/>
      <c r="V112" s="381"/>
      <c r="W112" s="381"/>
      <c r="X112" s="381"/>
      <c r="Y112" s="381"/>
      <c r="Z112" s="381"/>
      <c r="AA112" s="381"/>
      <c r="AB112" s="381"/>
      <c r="AC112" s="382"/>
      <c r="AD112" s="382"/>
    </row>
    <row r="113" spans="1:30" ht="12.75" customHeight="1" x14ac:dyDescent="0.2">
      <c r="A113" s="378"/>
      <c r="B113" s="378"/>
      <c r="C113" s="378"/>
      <c r="D113" s="379"/>
      <c r="E113" s="380"/>
      <c r="F113" s="378"/>
      <c r="G113" s="378"/>
      <c r="H113" s="378"/>
      <c r="I113" s="378"/>
      <c r="J113" s="378"/>
      <c r="K113" s="378"/>
      <c r="L113" s="378"/>
      <c r="M113" s="381"/>
      <c r="N113" s="381"/>
      <c r="O113" s="381"/>
      <c r="P113" s="381"/>
      <c r="Q113" s="381"/>
      <c r="R113" s="381"/>
      <c r="S113" s="381"/>
      <c r="T113" s="381"/>
      <c r="U113" s="381"/>
      <c r="V113" s="381"/>
      <c r="W113" s="381"/>
      <c r="X113" s="381"/>
      <c r="Y113" s="381"/>
      <c r="Z113" s="381"/>
      <c r="AA113" s="381"/>
      <c r="AB113" s="381"/>
      <c r="AC113" s="382"/>
      <c r="AD113" s="382"/>
    </row>
    <row r="114" spans="1:30" ht="12.75" customHeight="1" x14ac:dyDescent="0.2">
      <c r="A114" s="378"/>
      <c r="B114" s="378"/>
      <c r="C114" s="378"/>
      <c r="D114" s="379"/>
      <c r="E114" s="380"/>
      <c r="F114" s="378"/>
      <c r="G114" s="378"/>
      <c r="H114" s="378"/>
      <c r="I114" s="378"/>
      <c r="J114" s="378"/>
      <c r="K114" s="378"/>
      <c r="L114" s="378"/>
      <c r="M114" s="381"/>
      <c r="N114" s="381"/>
      <c r="O114" s="381"/>
      <c r="P114" s="381"/>
      <c r="Q114" s="381"/>
      <c r="R114" s="381"/>
      <c r="S114" s="381"/>
      <c r="T114" s="381"/>
      <c r="U114" s="381"/>
      <c r="V114" s="381"/>
      <c r="W114" s="381"/>
      <c r="X114" s="381"/>
      <c r="Y114" s="381"/>
      <c r="Z114" s="381"/>
      <c r="AA114" s="381"/>
      <c r="AB114" s="381"/>
      <c r="AC114" s="382"/>
      <c r="AD114" s="382"/>
    </row>
    <row r="115" spans="1:30" ht="12.75" customHeight="1" x14ac:dyDescent="0.2">
      <c r="A115" s="378"/>
      <c r="B115" s="378"/>
      <c r="C115" s="378"/>
      <c r="D115" s="379"/>
      <c r="E115" s="380"/>
      <c r="F115" s="378"/>
      <c r="G115" s="378"/>
      <c r="H115" s="378"/>
      <c r="I115" s="378"/>
      <c r="J115" s="378"/>
      <c r="K115" s="378"/>
      <c r="L115" s="378"/>
      <c r="M115" s="381"/>
      <c r="N115" s="381"/>
      <c r="O115" s="381"/>
      <c r="P115" s="381"/>
      <c r="Q115" s="381"/>
      <c r="R115" s="381"/>
      <c r="S115" s="381"/>
      <c r="T115" s="381"/>
      <c r="U115" s="381"/>
      <c r="V115" s="381"/>
      <c r="W115" s="381"/>
      <c r="X115" s="381"/>
      <c r="Y115" s="381"/>
      <c r="Z115" s="381"/>
      <c r="AA115" s="381"/>
      <c r="AB115" s="381"/>
      <c r="AC115" s="382"/>
      <c r="AD115" s="382"/>
    </row>
    <row r="116" spans="1:30" ht="12.75" customHeight="1" x14ac:dyDescent="0.2">
      <c r="A116" s="378"/>
      <c r="B116" s="378"/>
      <c r="C116" s="378"/>
      <c r="D116" s="379"/>
      <c r="E116" s="380"/>
      <c r="F116" s="378"/>
      <c r="G116" s="378"/>
      <c r="H116" s="378"/>
      <c r="I116" s="378"/>
      <c r="J116" s="378"/>
      <c r="K116" s="378"/>
      <c r="L116" s="378"/>
      <c r="M116" s="381"/>
      <c r="N116" s="381"/>
      <c r="O116" s="381"/>
      <c r="P116" s="381"/>
      <c r="Q116" s="381"/>
      <c r="R116" s="381"/>
      <c r="S116" s="381"/>
      <c r="T116" s="381"/>
      <c r="U116" s="381"/>
      <c r="V116" s="381"/>
      <c r="W116" s="381"/>
      <c r="X116" s="381"/>
      <c r="Y116" s="381"/>
      <c r="Z116" s="381"/>
      <c r="AA116" s="381"/>
      <c r="AB116" s="381"/>
      <c r="AC116" s="382"/>
      <c r="AD116" s="382"/>
    </row>
    <row r="117" spans="1:30" ht="12.75" customHeight="1" x14ac:dyDescent="0.2">
      <c r="A117" s="378"/>
      <c r="B117" s="378"/>
      <c r="C117" s="378"/>
      <c r="D117" s="379"/>
      <c r="E117" s="380"/>
      <c r="F117" s="378"/>
      <c r="G117" s="378"/>
      <c r="H117" s="378"/>
      <c r="I117" s="378"/>
      <c r="J117" s="378"/>
      <c r="K117" s="378"/>
      <c r="L117" s="378"/>
      <c r="M117" s="381"/>
      <c r="N117" s="381"/>
      <c r="O117" s="381"/>
      <c r="P117" s="381"/>
      <c r="Q117" s="381"/>
      <c r="R117" s="381"/>
      <c r="S117" s="381"/>
      <c r="T117" s="381"/>
      <c r="U117" s="381"/>
      <c r="V117" s="381"/>
      <c r="W117" s="381"/>
      <c r="X117" s="381"/>
      <c r="Y117" s="381"/>
      <c r="Z117" s="381"/>
      <c r="AA117" s="381"/>
      <c r="AB117" s="381"/>
      <c r="AC117" s="382"/>
      <c r="AD117" s="382"/>
    </row>
    <row r="118" spans="1:30" ht="12.75" customHeight="1" x14ac:dyDescent="0.2">
      <c r="A118" s="378"/>
      <c r="B118" s="378"/>
      <c r="C118" s="378"/>
      <c r="D118" s="379"/>
      <c r="E118" s="380"/>
      <c r="F118" s="378"/>
      <c r="G118" s="378"/>
      <c r="H118" s="378"/>
      <c r="I118" s="378"/>
      <c r="J118" s="378"/>
      <c r="K118" s="378"/>
      <c r="L118" s="378"/>
      <c r="M118" s="381"/>
      <c r="N118" s="381"/>
      <c r="O118" s="381"/>
      <c r="P118" s="381"/>
      <c r="Q118" s="381"/>
      <c r="R118" s="381"/>
      <c r="S118" s="381"/>
      <c r="T118" s="381"/>
      <c r="U118" s="381"/>
      <c r="V118" s="381"/>
      <c r="W118" s="381"/>
      <c r="X118" s="381"/>
      <c r="Y118" s="381"/>
      <c r="Z118" s="381"/>
      <c r="AA118" s="381"/>
      <c r="AB118" s="381"/>
      <c r="AC118" s="382"/>
      <c r="AD118" s="382"/>
    </row>
    <row r="119" spans="1:30" ht="12.75" customHeight="1" x14ac:dyDescent="0.2">
      <c r="A119" s="378"/>
      <c r="B119" s="378"/>
      <c r="C119" s="378"/>
      <c r="D119" s="379"/>
      <c r="E119" s="380"/>
      <c r="F119" s="378"/>
      <c r="G119" s="378"/>
      <c r="H119" s="378"/>
      <c r="I119" s="378"/>
      <c r="J119" s="378"/>
      <c r="K119" s="378"/>
      <c r="L119" s="378"/>
      <c r="M119" s="381"/>
      <c r="N119" s="381"/>
      <c r="O119" s="381"/>
      <c r="P119" s="381"/>
      <c r="Q119" s="381"/>
      <c r="R119" s="381"/>
      <c r="S119" s="381"/>
      <c r="T119" s="381"/>
      <c r="U119" s="381"/>
      <c r="V119" s="381"/>
      <c r="W119" s="381"/>
      <c r="X119" s="381"/>
      <c r="Y119" s="381"/>
      <c r="Z119" s="381"/>
      <c r="AA119" s="381"/>
      <c r="AB119" s="381"/>
      <c r="AC119" s="382"/>
      <c r="AD119" s="382"/>
    </row>
    <row r="120" spans="1:30" ht="12.75" customHeight="1" x14ac:dyDescent="0.2">
      <c r="A120" s="378"/>
      <c r="B120" s="378"/>
      <c r="C120" s="378"/>
      <c r="D120" s="379"/>
      <c r="E120" s="380"/>
      <c r="F120" s="378"/>
      <c r="G120" s="378"/>
      <c r="H120" s="378"/>
      <c r="I120" s="378"/>
      <c r="J120" s="378"/>
      <c r="K120" s="378"/>
      <c r="L120" s="378"/>
      <c r="M120" s="381"/>
      <c r="N120" s="381"/>
      <c r="O120" s="381"/>
      <c r="P120" s="381"/>
      <c r="Q120" s="381"/>
      <c r="R120" s="381"/>
      <c r="S120" s="381"/>
      <c r="T120" s="381"/>
      <c r="U120" s="381"/>
      <c r="V120" s="381"/>
      <c r="W120" s="381"/>
      <c r="X120" s="381"/>
      <c r="Y120" s="381"/>
      <c r="Z120" s="381"/>
      <c r="AA120" s="381"/>
      <c r="AB120" s="381"/>
      <c r="AC120" s="382"/>
      <c r="AD120" s="382"/>
    </row>
    <row r="121" spans="1:30" ht="12.75" customHeight="1" x14ac:dyDescent="0.2">
      <c r="A121" s="378"/>
      <c r="B121" s="378"/>
      <c r="C121" s="378"/>
      <c r="D121" s="379"/>
      <c r="E121" s="380"/>
      <c r="F121" s="378"/>
      <c r="G121" s="378"/>
      <c r="H121" s="378"/>
      <c r="I121" s="378"/>
      <c r="J121" s="378"/>
      <c r="K121" s="378"/>
      <c r="L121" s="378"/>
      <c r="M121" s="381"/>
      <c r="N121" s="381"/>
      <c r="O121" s="381"/>
      <c r="P121" s="381"/>
      <c r="Q121" s="381"/>
      <c r="R121" s="381"/>
      <c r="S121" s="381"/>
      <c r="T121" s="381"/>
      <c r="U121" s="381"/>
      <c r="V121" s="381"/>
      <c r="W121" s="381"/>
      <c r="X121" s="381"/>
      <c r="Y121" s="381"/>
      <c r="Z121" s="381"/>
      <c r="AA121" s="381"/>
      <c r="AB121" s="381"/>
      <c r="AC121" s="382"/>
      <c r="AD121" s="382"/>
    </row>
    <row r="122" spans="1:30" ht="12.75" customHeight="1" x14ac:dyDescent="0.2">
      <c r="A122" s="378"/>
      <c r="B122" s="378"/>
      <c r="C122" s="378"/>
      <c r="D122" s="379"/>
      <c r="E122" s="380"/>
      <c r="F122" s="378"/>
      <c r="G122" s="378"/>
      <c r="H122" s="378"/>
      <c r="I122" s="378"/>
      <c r="J122" s="378"/>
      <c r="K122" s="378"/>
      <c r="L122" s="378"/>
      <c r="M122" s="381"/>
      <c r="N122" s="381"/>
      <c r="O122" s="381"/>
      <c r="P122" s="381"/>
      <c r="Q122" s="381"/>
      <c r="R122" s="381"/>
      <c r="S122" s="381"/>
      <c r="T122" s="381"/>
      <c r="U122" s="381"/>
      <c r="V122" s="381"/>
      <c r="W122" s="381"/>
      <c r="X122" s="381"/>
      <c r="Y122" s="381"/>
      <c r="Z122" s="381"/>
      <c r="AA122" s="381"/>
      <c r="AB122" s="381"/>
      <c r="AC122" s="382"/>
      <c r="AD122" s="382"/>
    </row>
    <row r="123" spans="1:30" ht="12.75" customHeight="1" x14ac:dyDescent="0.2">
      <c r="A123" s="378"/>
      <c r="B123" s="378"/>
      <c r="C123" s="378"/>
      <c r="D123" s="379"/>
      <c r="E123" s="380"/>
      <c r="F123" s="378"/>
      <c r="G123" s="378"/>
      <c r="H123" s="378"/>
      <c r="I123" s="378"/>
      <c r="J123" s="378"/>
      <c r="K123" s="378"/>
      <c r="L123" s="378"/>
      <c r="M123" s="381"/>
      <c r="N123" s="381"/>
      <c r="O123" s="381"/>
      <c r="P123" s="381"/>
      <c r="Q123" s="381"/>
      <c r="R123" s="381"/>
      <c r="S123" s="381"/>
      <c r="T123" s="381"/>
      <c r="U123" s="381"/>
      <c r="V123" s="381"/>
      <c r="W123" s="381"/>
      <c r="X123" s="381"/>
      <c r="Y123" s="381"/>
      <c r="Z123" s="381"/>
      <c r="AA123" s="381"/>
      <c r="AB123" s="381"/>
      <c r="AC123" s="382"/>
      <c r="AD123" s="382"/>
    </row>
    <row r="124" spans="1:30" ht="12.75" customHeight="1" x14ac:dyDescent="0.2">
      <c r="A124" s="378"/>
      <c r="B124" s="378"/>
      <c r="C124" s="378"/>
      <c r="D124" s="379"/>
      <c r="E124" s="380"/>
      <c r="F124" s="378"/>
      <c r="G124" s="378"/>
      <c r="H124" s="378"/>
      <c r="I124" s="378"/>
      <c r="J124" s="378"/>
      <c r="K124" s="378"/>
      <c r="L124" s="378"/>
      <c r="M124" s="381"/>
      <c r="N124" s="381"/>
      <c r="O124" s="381"/>
      <c r="P124" s="381"/>
      <c r="Q124" s="381"/>
      <c r="R124" s="381"/>
      <c r="S124" s="381"/>
      <c r="T124" s="381"/>
      <c r="U124" s="381"/>
      <c r="V124" s="381"/>
      <c r="W124" s="381"/>
      <c r="X124" s="381"/>
      <c r="Y124" s="381"/>
      <c r="Z124" s="381"/>
      <c r="AA124" s="381"/>
      <c r="AB124" s="381"/>
      <c r="AC124" s="382"/>
      <c r="AD124" s="382"/>
    </row>
    <row r="125" spans="1:30" ht="12.75" customHeight="1" x14ac:dyDescent="0.2">
      <c r="A125" s="378"/>
      <c r="B125" s="378"/>
      <c r="C125" s="378"/>
      <c r="D125" s="379"/>
      <c r="E125" s="380"/>
      <c r="F125" s="378"/>
      <c r="G125" s="378"/>
      <c r="H125" s="378"/>
      <c r="I125" s="378"/>
      <c r="J125" s="378"/>
      <c r="K125" s="378"/>
      <c r="L125" s="378"/>
      <c r="M125" s="381"/>
      <c r="N125" s="381"/>
      <c r="O125" s="381"/>
      <c r="P125" s="381"/>
      <c r="Q125" s="381"/>
      <c r="R125" s="381"/>
      <c r="S125" s="381"/>
      <c r="T125" s="381"/>
      <c r="U125" s="381"/>
      <c r="V125" s="381"/>
      <c r="W125" s="381"/>
      <c r="X125" s="381"/>
      <c r="Y125" s="381"/>
      <c r="Z125" s="381"/>
      <c r="AA125" s="381"/>
      <c r="AB125" s="381"/>
      <c r="AC125" s="382"/>
      <c r="AD125" s="382"/>
    </row>
    <row r="126" spans="1:30" ht="12.75" customHeight="1" x14ac:dyDescent="0.2">
      <c r="A126" s="378"/>
      <c r="B126" s="378"/>
      <c r="C126" s="378"/>
      <c r="D126" s="379"/>
      <c r="E126" s="380"/>
      <c r="F126" s="378"/>
      <c r="G126" s="378"/>
      <c r="H126" s="378"/>
      <c r="I126" s="378"/>
      <c r="J126" s="378"/>
      <c r="K126" s="378"/>
      <c r="L126" s="378"/>
      <c r="M126" s="381"/>
      <c r="N126" s="381"/>
      <c r="O126" s="381"/>
      <c r="P126" s="381"/>
      <c r="Q126" s="381"/>
      <c r="R126" s="381"/>
      <c r="S126" s="381"/>
      <c r="T126" s="381"/>
      <c r="U126" s="381"/>
      <c r="V126" s="381"/>
      <c r="W126" s="381"/>
      <c r="X126" s="381"/>
      <c r="Y126" s="381"/>
      <c r="Z126" s="381"/>
      <c r="AA126" s="381"/>
      <c r="AB126" s="381"/>
      <c r="AC126" s="382"/>
      <c r="AD126" s="382"/>
    </row>
    <row r="127" spans="1:30" ht="12.75" customHeight="1" x14ac:dyDescent="0.2">
      <c r="A127" s="378"/>
      <c r="B127" s="378"/>
      <c r="C127" s="378"/>
      <c r="D127" s="379"/>
      <c r="E127" s="380"/>
      <c r="F127" s="378"/>
      <c r="G127" s="378"/>
      <c r="H127" s="378"/>
      <c r="I127" s="378"/>
      <c r="J127" s="378"/>
      <c r="K127" s="378"/>
      <c r="L127" s="378"/>
      <c r="M127" s="381"/>
      <c r="N127" s="381"/>
      <c r="O127" s="381"/>
      <c r="P127" s="381"/>
      <c r="Q127" s="381"/>
      <c r="R127" s="381"/>
      <c r="S127" s="381"/>
      <c r="T127" s="381"/>
      <c r="U127" s="381"/>
      <c r="V127" s="381"/>
      <c r="W127" s="381"/>
      <c r="X127" s="381"/>
      <c r="Y127" s="381"/>
      <c r="Z127" s="381"/>
      <c r="AA127" s="381"/>
      <c r="AB127" s="381"/>
      <c r="AC127" s="382"/>
      <c r="AD127" s="382"/>
    </row>
    <row r="128" spans="1:30" ht="12.75" customHeight="1" x14ac:dyDescent="0.2">
      <c r="A128" s="378"/>
      <c r="B128" s="378"/>
      <c r="C128" s="378"/>
      <c r="D128" s="379"/>
      <c r="E128" s="380"/>
      <c r="F128" s="378"/>
      <c r="G128" s="378"/>
      <c r="H128" s="378"/>
      <c r="I128" s="378"/>
      <c r="J128" s="378"/>
      <c r="K128" s="378"/>
      <c r="L128" s="378"/>
      <c r="M128" s="381"/>
      <c r="N128" s="381"/>
      <c r="O128" s="381"/>
      <c r="P128" s="381"/>
      <c r="Q128" s="381"/>
      <c r="R128" s="381"/>
      <c r="S128" s="381"/>
      <c r="T128" s="381"/>
      <c r="U128" s="381"/>
      <c r="V128" s="381"/>
      <c r="W128" s="381"/>
      <c r="X128" s="381"/>
      <c r="Y128" s="381"/>
      <c r="Z128" s="381"/>
      <c r="AA128" s="381"/>
      <c r="AB128" s="381"/>
      <c r="AC128" s="382"/>
      <c r="AD128" s="382"/>
    </row>
    <row r="129" spans="1:30" ht="12.75" customHeight="1" x14ac:dyDescent="0.2">
      <c r="A129" s="378"/>
      <c r="B129" s="378"/>
      <c r="C129" s="378"/>
      <c r="D129" s="379"/>
      <c r="E129" s="380"/>
      <c r="F129" s="378"/>
      <c r="G129" s="378"/>
      <c r="H129" s="378"/>
      <c r="I129" s="378"/>
      <c r="J129" s="378"/>
      <c r="K129" s="378"/>
      <c r="L129" s="378"/>
      <c r="M129" s="381"/>
      <c r="N129" s="381"/>
      <c r="O129" s="381"/>
      <c r="P129" s="381"/>
      <c r="Q129" s="381"/>
      <c r="R129" s="381"/>
      <c r="S129" s="381"/>
      <c r="T129" s="381"/>
      <c r="U129" s="381"/>
      <c r="V129" s="381"/>
      <c r="W129" s="381"/>
      <c r="X129" s="381"/>
      <c r="Y129" s="381"/>
      <c r="Z129" s="381"/>
      <c r="AA129" s="381"/>
      <c r="AB129" s="381"/>
      <c r="AC129" s="382"/>
      <c r="AD129" s="382"/>
    </row>
    <row r="130" spans="1:30" ht="12.75" customHeight="1" x14ac:dyDescent="0.2">
      <c r="A130" s="378"/>
      <c r="B130" s="378"/>
      <c r="C130" s="378"/>
      <c r="D130" s="379"/>
      <c r="E130" s="380"/>
      <c r="F130" s="378"/>
      <c r="G130" s="378"/>
      <c r="H130" s="378"/>
      <c r="I130" s="378"/>
      <c r="J130" s="378"/>
      <c r="K130" s="378"/>
      <c r="L130" s="378"/>
      <c r="M130" s="381"/>
      <c r="N130" s="381"/>
      <c r="O130" s="381"/>
      <c r="P130" s="381"/>
      <c r="Q130" s="381"/>
      <c r="R130" s="381"/>
      <c r="S130" s="381"/>
      <c r="T130" s="381"/>
      <c r="U130" s="381"/>
      <c r="V130" s="381"/>
      <c r="W130" s="381"/>
      <c r="X130" s="381"/>
      <c r="Y130" s="381"/>
      <c r="Z130" s="381"/>
      <c r="AA130" s="381"/>
      <c r="AB130" s="381"/>
      <c r="AC130" s="382"/>
      <c r="AD130" s="382"/>
    </row>
    <row r="131" spans="1:30" ht="12.75" customHeight="1" x14ac:dyDescent="0.2">
      <c r="A131" s="378"/>
      <c r="B131" s="378"/>
      <c r="C131" s="378"/>
      <c r="D131" s="379"/>
      <c r="E131" s="380"/>
      <c r="F131" s="378"/>
      <c r="G131" s="378"/>
      <c r="H131" s="378"/>
      <c r="I131" s="378"/>
      <c r="J131" s="378"/>
      <c r="K131" s="378"/>
      <c r="L131" s="378"/>
      <c r="M131" s="381"/>
      <c r="N131" s="381"/>
      <c r="O131" s="381"/>
      <c r="P131" s="381"/>
      <c r="Q131" s="381"/>
      <c r="R131" s="381"/>
      <c r="S131" s="381"/>
      <c r="T131" s="381"/>
      <c r="U131" s="381"/>
      <c r="V131" s="381"/>
      <c r="W131" s="381"/>
      <c r="X131" s="381"/>
      <c r="Y131" s="381"/>
      <c r="Z131" s="381"/>
      <c r="AA131" s="381"/>
      <c r="AB131" s="381"/>
      <c r="AC131" s="382"/>
      <c r="AD131" s="382"/>
    </row>
    <row r="132" spans="1:30" ht="12.75" customHeight="1" x14ac:dyDescent="0.2">
      <c r="A132" s="378"/>
      <c r="B132" s="378"/>
      <c r="C132" s="378"/>
      <c r="D132" s="379"/>
      <c r="E132" s="380"/>
      <c r="F132" s="378"/>
      <c r="G132" s="378"/>
      <c r="H132" s="378"/>
      <c r="I132" s="378"/>
      <c r="J132" s="378"/>
      <c r="K132" s="378"/>
      <c r="L132" s="378"/>
      <c r="M132" s="381"/>
      <c r="N132" s="381"/>
      <c r="O132" s="381"/>
      <c r="P132" s="381"/>
      <c r="Q132" s="381"/>
      <c r="R132" s="381"/>
      <c r="S132" s="381"/>
      <c r="T132" s="381"/>
      <c r="U132" s="381"/>
      <c r="V132" s="381"/>
      <c r="W132" s="381"/>
      <c r="X132" s="381"/>
      <c r="Y132" s="381"/>
      <c r="Z132" s="381"/>
      <c r="AA132" s="381"/>
      <c r="AB132" s="381"/>
      <c r="AC132" s="382"/>
      <c r="AD132" s="382"/>
    </row>
    <row r="133" spans="1:30" ht="12.75" customHeight="1" x14ac:dyDescent="0.2">
      <c r="A133" s="378"/>
      <c r="B133" s="378"/>
      <c r="C133" s="378"/>
      <c r="D133" s="379"/>
      <c r="E133" s="380"/>
      <c r="F133" s="378"/>
      <c r="G133" s="378"/>
      <c r="H133" s="378"/>
      <c r="I133" s="378"/>
      <c r="J133" s="378"/>
      <c r="K133" s="378"/>
      <c r="L133" s="378"/>
      <c r="M133" s="381"/>
      <c r="N133" s="381"/>
      <c r="O133" s="381"/>
      <c r="P133" s="381"/>
      <c r="Q133" s="381"/>
      <c r="R133" s="381"/>
      <c r="S133" s="381"/>
      <c r="T133" s="381"/>
      <c r="U133" s="381"/>
      <c r="V133" s="381"/>
      <c r="W133" s="381"/>
      <c r="X133" s="381"/>
      <c r="Y133" s="381"/>
      <c r="Z133" s="381"/>
      <c r="AA133" s="381"/>
      <c r="AB133" s="381"/>
      <c r="AC133" s="382"/>
      <c r="AD133" s="382"/>
    </row>
    <row r="134" spans="1:30" ht="12.75" customHeight="1" x14ac:dyDescent="0.2">
      <c r="A134" s="378"/>
      <c r="B134" s="378"/>
      <c r="C134" s="378"/>
      <c r="D134" s="379"/>
      <c r="E134" s="380"/>
      <c r="F134" s="378"/>
      <c r="G134" s="378"/>
      <c r="H134" s="378"/>
      <c r="I134" s="378"/>
      <c r="J134" s="378"/>
      <c r="K134" s="378"/>
      <c r="L134" s="378"/>
      <c r="M134" s="381"/>
      <c r="N134" s="381"/>
      <c r="O134" s="381"/>
      <c r="P134" s="381"/>
      <c r="Q134" s="381"/>
      <c r="R134" s="381"/>
      <c r="S134" s="381"/>
      <c r="T134" s="381"/>
      <c r="U134" s="381"/>
      <c r="V134" s="381"/>
      <c r="W134" s="381"/>
      <c r="X134" s="381"/>
      <c r="Y134" s="381"/>
      <c r="Z134" s="381"/>
      <c r="AA134" s="381"/>
      <c r="AB134" s="381"/>
      <c r="AC134" s="382"/>
      <c r="AD134" s="382"/>
    </row>
    <row r="135" spans="1:30" ht="12.75" customHeight="1" x14ac:dyDescent="0.2">
      <c r="A135" s="378"/>
      <c r="B135" s="378"/>
      <c r="C135" s="378"/>
      <c r="D135" s="379"/>
      <c r="E135" s="380"/>
      <c r="F135" s="378"/>
      <c r="G135" s="378"/>
      <c r="H135" s="378"/>
      <c r="I135" s="378"/>
      <c r="J135" s="378"/>
      <c r="K135" s="378"/>
      <c r="L135" s="378"/>
      <c r="M135" s="381"/>
      <c r="N135" s="381"/>
      <c r="O135" s="381"/>
      <c r="P135" s="381"/>
      <c r="Q135" s="381"/>
      <c r="R135" s="381"/>
      <c r="S135" s="381"/>
      <c r="T135" s="381"/>
      <c r="U135" s="381"/>
      <c r="V135" s="381"/>
      <c r="W135" s="381"/>
      <c r="X135" s="381"/>
      <c r="Y135" s="381"/>
      <c r="Z135" s="381"/>
      <c r="AA135" s="381"/>
      <c r="AB135" s="381"/>
      <c r="AC135" s="382"/>
      <c r="AD135" s="382"/>
    </row>
    <row r="136" spans="1:30" ht="12.75" customHeight="1" x14ac:dyDescent="0.2">
      <c r="A136" s="378"/>
      <c r="B136" s="378"/>
      <c r="C136" s="378"/>
      <c r="D136" s="379"/>
      <c r="E136" s="380"/>
      <c r="F136" s="378"/>
      <c r="G136" s="378"/>
      <c r="H136" s="378"/>
      <c r="I136" s="378"/>
      <c r="J136" s="378"/>
      <c r="K136" s="378"/>
      <c r="L136" s="378"/>
      <c r="M136" s="381"/>
      <c r="N136" s="381"/>
      <c r="O136" s="381"/>
      <c r="P136" s="381"/>
      <c r="Q136" s="381"/>
      <c r="R136" s="381"/>
      <c r="S136" s="381"/>
      <c r="T136" s="381"/>
      <c r="U136" s="381"/>
      <c r="V136" s="381"/>
      <c r="W136" s="381"/>
      <c r="X136" s="381"/>
      <c r="Y136" s="381"/>
      <c r="Z136" s="381"/>
      <c r="AA136" s="381"/>
      <c r="AB136" s="381"/>
      <c r="AC136" s="382"/>
      <c r="AD136" s="382"/>
    </row>
    <row r="137" spans="1:30" ht="12.75" customHeight="1" x14ac:dyDescent="0.2">
      <c r="A137" s="378"/>
      <c r="B137" s="378"/>
      <c r="C137" s="378"/>
      <c r="D137" s="379"/>
      <c r="E137" s="380"/>
      <c r="F137" s="378"/>
      <c r="G137" s="378"/>
      <c r="H137" s="378"/>
      <c r="I137" s="378"/>
      <c r="J137" s="378"/>
      <c r="K137" s="378"/>
      <c r="L137" s="378"/>
      <c r="M137" s="381"/>
      <c r="N137" s="381"/>
      <c r="O137" s="381"/>
      <c r="P137" s="381"/>
      <c r="Q137" s="381"/>
      <c r="R137" s="381"/>
      <c r="S137" s="381"/>
      <c r="T137" s="381"/>
      <c r="U137" s="381"/>
      <c r="V137" s="381"/>
      <c r="W137" s="381"/>
      <c r="X137" s="381"/>
      <c r="Y137" s="381"/>
      <c r="Z137" s="381"/>
      <c r="AA137" s="381"/>
      <c r="AB137" s="381"/>
      <c r="AC137" s="382"/>
      <c r="AD137" s="382"/>
    </row>
    <row r="138" spans="1:30" ht="12.75" customHeight="1" x14ac:dyDescent="0.2">
      <c r="A138" s="378"/>
      <c r="B138" s="378"/>
      <c r="C138" s="378"/>
      <c r="D138" s="379"/>
      <c r="E138" s="380"/>
      <c r="F138" s="378"/>
      <c r="G138" s="378"/>
      <c r="H138" s="378"/>
      <c r="I138" s="378"/>
      <c r="J138" s="378"/>
      <c r="K138" s="378"/>
      <c r="L138" s="378"/>
      <c r="M138" s="381"/>
      <c r="N138" s="381"/>
      <c r="O138" s="381"/>
      <c r="P138" s="381"/>
      <c r="Q138" s="381"/>
      <c r="R138" s="381"/>
      <c r="S138" s="381"/>
      <c r="T138" s="381"/>
      <c r="U138" s="381"/>
      <c r="V138" s="381"/>
      <c r="W138" s="381"/>
      <c r="X138" s="381"/>
      <c r="Y138" s="381"/>
      <c r="Z138" s="381"/>
      <c r="AA138" s="381"/>
      <c r="AB138" s="381"/>
      <c r="AC138" s="382"/>
      <c r="AD138" s="382"/>
    </row>
    <row r="139" spans="1:30" ht="12.75" customHeight="1" x14ac:dyDescent="0.2">
      <c r="A139" s="378"/>
      <c r="B139" s="378"/>
      <c r="C139" s="378"/>
      <c r="D139" s="379"/>
      <c r="E139" s="380"/>
      <c r="F139" s="378"/>
      <c r="G139" s="378"/>
      <c r="H139" s="378"/>
      <c r="I139" s="378"/>
      <c r="J139" s="378"/>
      <c r="K139" s="378"/>
      <c r="L139" s="378"/>
      <c r="M139" s="381"/>
      <c r="N139" s="381"/>
      <c r="O139" s="381"/>
      <c r="P139" s="381"/>
      <c r="Q139" s="381"/>
      <c r="R139" s="381"/>
      <c r="S139" s="381"/>
      <c r="T139" s="381"/>
      <c r="U139" s="381"/>
      <c r="V139" s="381"/>
      <c r="W139" s="381"/>
      <c r="X139" s="381"/>
      <c r="Y139" s="381"/>
      <c r="Z139" s="381"/>
      <c r="AA139" s="381"/>
      <c r="AB139" s="381"/>
      <c r="AC139" s="382"/>
      <c r="AD139" s="382"/>
    </row>
    <row r="140" spans="1:30" ht="12.75" customHeight="1" x14ac:dyDescent="0.2">
      <c r="A140" s="378"/>
      <c r="B140" s="378"/>
      <c r="C140" s="378"/>
      <c r="D140" s="379"/>
      <c r="E140" s="380"/>
      <c r="F140" s="378"/>
      <c r="G140" s="378"/>
      <c r="H140" s="378"/>
      <c r="I140" s="378"/>
      <c r="J140" s="378"/>
      <c r="K140" s="378"/>
      <c r="L140" s="378"/>
      <c r="M140" s="381"/>
      <c r="N140" s="381"/>
      <c r="O140" s="381"/>
      <c r="P140" s="381"/>
      <c r="Q140" s="381"/>
      <c r="R140" s="381"/>
      <c r="S140" s="381"/>
      <c r="T140" s="381"/>
      <c r="U140" s="381"/>
      <c r="V140" s="381"/>
      <c r="W140" s="381"/>
      <c r="X140" s="381"/>
      <c r="Y140" s="381"/>
      <c r="Z140" s="381"/>
      <c r="AA140" s="381"/>
      <c r="AB140" s="381"/>
      <c r="AC140" s="382"/>
      <c r="AD140" s="382"/>
    </row>
    <row r="141" spans="1:30" ht="12.75" customHeight="1" x14ac:dyDescent="0.2">
      <c r="A141" s="378"/>
      <c r="B141" s="378"/>
      <c r="C141" s="378"/>
      <c r="D141" s="379"/>
      <c r="E141" s="380"/>
      <c r="F141" s="378"/>
      <c r="G141" s="378"/>
      <c r="H141" s="378"/>
      <c r="I141" s="378"/>
      <c r="J141" s="378"/>
      <c r="K141" s="378"/>
      <c r="L141" s="378"/>
      <c r="M141" s="381"/>
      <c r="N141" s="381"/>
      <c r="O141" s="381"/>
      <c r="P141" s="381"/>
      <c r="Q141" s="381"/>
      <c r="R141" s="381"/>
      <c r="S141" s="381"/>
      <c r="T141" s="381"/>
      <c r="U141" s="381"/>
      <c r="V141" s="381"/>
      <c r="W141" s="381"/>
      <c r="X141" s="381"/>
      <c r="Y141" s="381"/>
      <c r="Z141" s="381"/>
      <c r="AA141" s="381"/>
      <c r="AB141" s="381"/>
      <c r="AC141" s="382"/>
      <c r="AD141" s="382"/>
    </row>
    <row r="142" spans="1:30" ht="12.75" customHeight="1" x14ac:dyDescent="0.2">
      <c r="A142" s="378"/>
      <c r="B142" s="378"/>
      <c r="C142" s="378"/>
      <c r="D142" s="379"/>
      <c r="E142" s="380"/>
      <c r="F142" s="378"/>
      <c r="G142" s="378"/>
      <c r="H142" s="378"/>
      <c r="I142" s="378"/>
      <c r="J142" s="378"/>
      <c r="K142" s="378"/>
      <c r="L142" s="378"/>
      <c r="M142" s="381"/>
      <c r="N142" s="381"/>
      <c r="O142" s="381"/>
      <c r="P142" s="381"/>
      <c r="Q142" s="381"/>
      <c r="R142" s="381"/>
      <c r="S142" s="381"/>
      <c r="T142" s="381"/>
      <c r="U142" s="381"/>
      <c r="V142" s="381"/>
      <c r="W142" s="381"/>
      <c r="X142" s="381"/>
      <c r="Y142" s="381"/>
      <c r="Z142" s="381"/>
      <c r="AA142" s="381"/>
      <c r="AB142" s="381"/>
      <c r="AC142" s="382"/>
      <c r="AD142" s="382"/>
    </row>
    <row r="143" spans="1:30" ht="12.75" customHeight="1" x14ac:dyDescent="0.2">
      <c r="A143" s="378"/>
      <c r="B143" s="378"/>
      <c r="C143" s="378"/>
      <c r="D143" s="379"/>
      <c r="E143" s="380"/>
      <c r="F143" s="378"/>
      <c r="G143" s="378"/>
      <c r="H143" s="378"/>
      <c r="I143" s="378"/>
      <c r="J143" s="378"/>
      <c r="K143" s="378"/>
      <c r="L143" s="378"/>
      <c r="M143" s="381"/>
      <c r="N143" s="381"/>
      <c r="O143" s="381"/>
      <c r="P143" s="381"/>
      <c r="Q143" s="381"/>
      <c r="R143" s="381"/>
      <c r="S143" s="381"/>
      <c r="T143" s="381"/>
      <c r="U143" s="381"/>
      <c r="V143" s="381"/>
      <c r="W143" s="381"/>
      <c r="X143" s="381"/>
      <c r="Y143" s="381"/>
      <c r="Z143" s="381"/>
      <c r="AA143" s="381"/>
      <c r="AB143" s="381"/>
      <c r="AC143" s="382"/>
      <c r="AD143" s="382"/>
    </row>
    <row r="144" spans="1:30" ht="12.75" customHeight="1" x14ac:dyDescent="0.2">
      <c r="A144" s="378"/>
      <c r="B144" s="378"/>
      <c r="C144" s="378"/>
      <c r="D144" s="379"/>
      <c r="E144" s="380"/>
      <c r="F144" s="378"/>
      <c r="G144" s="378"/>
      <c r="H144" s="378"/>
      <c r="I144" s="378"/>
      <c r="J144" s="378"/>
      <c r="K144" s="378"/>
      <c r="L144" s="378"/>
      <c r="M144" s="381"/>
      <c r="N144" s="381"/>
      <c r="O144" s="381"/>
      <c r="P144" s="381"/>
      <c r="Q144" s="381"/>
      <c r="R144" s="381"/>
      <c r="S144" s="381"/>
      <c r="T144" s="381"/>
      <c r="U144" s="381"/>
      <c r="V144" s="381"/>
      <c r="W144" s="381"/>
      <c r="X144" s="381"/>
      <c r="Y144" s="381"/>
      <c r="Z144" s="381"/>
      <c r="AA144" s="381"/>
      <c r="AB144" s="381"/>
      <c r="AC144" s="382"/>
      <c r="AD144" s="382"/>
    </row>
    <row r="145" spans="1:30" ht="12.75" customHeight="1" x14ac:dyDescent="0.2">
      <c r="A145" s="378"/>
      <c r="B145" s="378"/>
      <c r="C145" s="378"/>
      <c r="D145" s="379"/>
      <c r="E145" s="380"/>
      <c r="F145" s="378"/>
      <c r="G145" s="378"/>
      <c r="H145" s="378"/>
      <c r="I145" s="378"/>
      <c r="J145" s="378"/>
      <c r="K145" s="378"/>
      <c r="L145" s="378"/>
      <c r="M145" s="381"/>
      <c r="N145" s="381"/>
      <c r="O145" s="381"/>
      <c r="P145" s="381"/>
      <c r="Q145" s="381"/>
      <c r="R145" s="381"/>
      <c r="S145" s="381"/>
      <c r="T145" s="381"/>
      <c r="U145" s="381"/>
      <c r="V145" s="381"/>
      <c r="W145" s="381"/>
      <c r="X145" s="381"/>
      <c r="Y145" s="381"/>
      <c r="Z145" s="381"/>
      <c r="AA145" s="381"/>
      <c r="AB145" s="381"/>
      <c r="AC145" s="382"/>
      <c r="AD145" s="382"/>
    </row>
    <row r="146" spans="1:30" ht="12.75" customHeight="1" x14ac:dyDescent="0.2">
      <c r="A146" s="378"/>
      <c r="B146" s="378"/>
      <c r="C146" s="378"/>
      <c r="D146" s="379"/>
      <c r="E146" s="380"/>
      <c r="F146" s="378"/>
      <c r="G146" s="378"/>
      <c r="H146" s="378"/>
      <c r="I146" s="378"/>
      <c r="J146" s="378"/>
      <c r="K146" s="378"/>
      <c r="L146" s="378"/>
      <c r="M146" s="381"/>
      <c r="N146" s="381"/>
      <c r="O146" s="381"/>
      <c r="P146" s="381"/>
      <c r="Q146" s="381"/>
      <c r="R146" s="381"/>
      <c r="S146" s="381"/>
      <c r="T146" s="381"/>
      <c r="U146" s="381"/>
      <c r="V146" s="381"/>
      <c r="W146" s="381"/>
      <c r="X146" s="381"/>
      <c r="Y146" s="381"/>
      <c r="Z146" s="381"/>
      <c r="AA146" s="381"/>
      <c r="AB146" s="381"/>
      <c r="AC146" s="382"/>
      <c r="AD146" s="382"/>
    </row>
    <row r="147" spans="1:30" ht="12.75" customHeight="1" x14ac:dyDescent="0.2">
      <c r="A147" s="378"/>
      <c r="B147" s="378"/>
      <c r="C147" s="378"/>
      <c r="D147" s="379"/>
      <c r="E147" s="380"/>
      <c r="F147" s="378"/>
      <c r="G147" s="378"/>
      <c r="H147" s="378"/>
      <c r="I147" s="378"/>
      <c r="J147" s="378"/>
      <c r="K147" s="378"/>
      <c r="L147" s="378"/>
      <c r="M147" s="381"/>
      <c r="N147" s="381"/>
      <c r="O147" s="381"/>
      <c r="P147" s="381"/>
      <c r="Q147" s="381"/>
      <c r="R147" s="381"/>
      <c r="S147" s="381"/>
      <c r="T147" s="381"/>
      <c r="U147" s="381"/>
      <c r="V147" s="381"/>
      <c r="W147" s="381"/>
      <c r="X147" s="381"/>
      <c r="Y147" s="381"/>
      <c r="Z147" s="381"/>
      <c r="AA147" s="381"/>
      <c r="AB147" s="381"/>
      <c r="AC147" s="382"/>
      <c r="AD147" s="382"/>
    </row>
    <row r="148" spans="1:30" ht="12.75" customHeight="1" x14ac:dyDescent="0.2">
      <c r="A148" s="378"/>
      <c r="B148" s="378"/>
      <c r="C148" s="378"/>
      <c r="D148" s="379"/>
      <c r="E148" s="380"/>
      <c r="F148" s="378"/>
      <c r="G148" s="378"/>
      <c r="H148" s="378"/>
      <c r="I148" s="378"/>
      <c r="J148" s="378"/>
      <c r="K148" s="378"/>
      <c r="L148" s="378"/>
      <c r="M148" s="381"/>
      <c r="N148" s="381"/>
      <c r="O148" s="381"/>
      <c r="P148" s="381"/>
      <c r="Q148" s="381"/>
      <c r="R148" s="381"/>
      <c r="S148" s="381"/>
      <c r="T148" s="381"/>
      <c r="U148" s="381"/>
      <c r="V148" s="381"/>
      <c r="W148" s="381"/>
      <c r="X148" s="381"/>
      <c r="Y148" s="381"/>
      <c r="Z148" s="381"/>
      <c r="AA148" s="381"/>
      <c r="AB148" s="381"/>
      <c r="AC148" s="382"/>
      <c r="AD148" s="382"/>
    </row>
    <row r="149" spans="1:30" ht="12.75" customHeight="1" x14ac:dyDescent="0.2">
      <c r="A149" s="378"/>
      <c r="B149" s="378"/>
      <c r="C149" s="378"/>
      <c r="D149" s="379"/>
      <c r="E149" s="380"/>
      <c r="F149" s="378"/>
      <c r="G149" s="378"/>
      <c r="H149" s="378"/>
      <c r="I149" s="378"/>
      <c r="J149" s="378"/>
      <c r="K149" s="378"/>
      <c r="L149" s="378"/>
      <c r="M149" s="381"/>
      <c r="N149" s="381"/>
      <c r="O149" s="381"/>
      <c r="P149" s="381"/>
      <c r="Q149" s="381"/>
      <c r="R149" s="381"/>
      <c r="S149" s="381"/>
      <c r="T149" s="381"/>
      <c r="U149" s="381"/>
      <c r="V149" s="381"/>
      <c r="W149" s="381"/>
      <c r="X149" s="381"/>
      <c r="Y149" s="381"/>
      <c r="Z149" s="381"/>
      <c r="AA149" s="381"/>
      <c r="AB149" s="381"/>
      <c r="AC149" s="382"/>
      <c r="AD149" s="382"/>
    </row>
    <row r="150" spans="1:30" ht="12.75" customHeight="1" x14ac:dyDescent="0.2">
      <c r="A150" s="378"/>
      <c r="B150" s="378"/>
      <c r="C150" s="378"/>
      <c r="D150" s="379"/>
      <c r="E150" s="380"/>
      <c r="F150" s="378"/>
      <c r="G150" s="378"/>
      <c r="H150" s="378"/>
      <c r="I150" s="378"/>
      <c r="J150" s="378"/>
      <c r="K150" s="378"/>
      <c r="L150" s="378"/>
      <c r="M150" s="381"/>
      <c r="N150" s="381"/>
      <c r="O150" s="381"/>
      <c r="P150" s="381"/>
      <c r="Q150" s="381"/>
      <c r="R150" s="381"/>
      <c r="S150" s="381"/>
      <c r="T150" s="381"/>
      <c r="U150" s="381"/>
      <c r="V150" s="381"/>
      <c r="W150" s="381"/>
      <c r="X150" s="381"/>
      <c r="Y150" s="381"/>
      <c r="Z150" s="381"/>
      <c r="AA150" s="381"/>
      <c r="AB150" s="381"/>
      <c r="AC150" s="382"/>
      <c r="AD150" s="382"/>
    </row>
    <row r="151" spans="1:30" ht="12.75" customHeight="1" x14ac:dyDescent="0.2">
      <c r="A151" s="378"/>
      <c r="B151" s="378"/>
      <c r="C151" s="378"/>
      <c r="D151" s="379"/>
      <c r="E151" s="380"/>
      <c r="F151" s="378"/>
      <c r="G151" s="378"/>
      <c r="H151" s="378"/>
      <c r="I151" s="378"/>
      <c r="J151" s="378"/>
      <c r="K151" s="378"/>
      <c r="L151" s="378"/>
      <c r="M151" s="381"/>
      <c r="N151" s="381"/>
      <c r="O151" s="381"/>
      <c r="P151" s="381"/>
      <c r="Q151" s="381"/>
      <c r="R151" s="381"/>
      <c r="S151" s="381"/>
      <c r="T151" s="381"/>
      <c r="U151" s="381"/>
      <c r="V151" s="381"/>
      <c r="W151" s="381"/>
      <c r="X151" s="381"/>
      <c r="Y151" s="381"/>
      <c r="Z151" s="381"/>
      <c r="AA151" s="381"/>
      <c r="AB151" s="381"/>
      <c r="AC151" s="382"/>
      <c r="AD151" s="382"/>
    </row>
    <row r="152" spans="1:30" ht="12.75" customHeight="1" x14ac:dyDescent="0.2">
      <c r="A152" s="378"/>
      <c r="B152" s="378"/>
      <c r="C152" s="378"/>
      <c r="D152" s="379"/>
      <c r="E152" s="380"/>
      <c r="F152" s="378"/>
      <c r="G152" s="378"/>
      <c r="H152" s="378"/>
      <c r="I152" s="378"/>
      <c r="J152" s="378"/>
      <c r="K152" s="378"/>
      <c r="L152" s="378"/>
      <c r="M152" s="381"/>
      <c r="N152" s="381"/>
      <c r="O152" s="381"/>
      <c r="P152" s="381"/>
      <c r="Q152" s="381"/>
      <c r="R152" s="381"/>
      <c r="S152" s="381"/>
      <c r="T152" s="381"/>
      <c r="U152" s="381"/>
      <c r="V152" s="381"/>
      <c r="W152" s="381"/>
      <c r="X152" s="381"/>
      <c r="Y152" s="381"/>
      <c r="Z152" s="381"/>
      <c r="AA152" s="381"/>
      <c r="AB152" s="381"/>
      <c r="AC152" s="382"/>
      <c r="AD152" s="382"/>
    </row>
    <row r="153" spans="1:30" ht="12.75" customHeight="1" x14ac:dyDescent="0.2">
      <c r="A153" s="378"/>
      <c r="B153" s="378"/>
      <c r="C153" s="378"/>
      <c r="D153" s="379"/>
      <c r="E153" s="380"/>
      <c r="F153" s="378"/>
      <c r="G153" s="378"/>
      <c r="H153" s="378"/>
      <c r="I153" s="378"/>
      <c r="J153" s="378"/>
      <c r="K153" s="378"/>
      <c r="L153" s="378"/>
      <c r="M153" s="381"/>
      <c r="N153" s="381"/>
      <c r="O153" s="381"/>
      <c r="P153" s="381"/>
      <c r="Q153" s="381"/>
      <c r="R153" s="381"/>
      <c r="S153" s="381"/>
      <c r="T153" s="381"/>
      <c r="U153" s="381"/>
      <c r="V153" s="381"/>
      <c r="W153" s="381"/>
      <c r="X153" s="381"/>
      <c r="Y153" s="381"/>
      <c r="Z153" s="381"/>
      <c r="AA153" s="381"/>
      <c r="AB153" s="381"/>
      <c r="AC153" s="382"/>
      <c r="AD153" s="382"/>
    </row>
    <row r="154" spans="1:30" ht="12.75" customHeight="1" x14ac:dyDescent="0.2">
      <c r="A154" s="378"/>
      <c r="B154" s="378"/>
      <c r="C154" s="378"/>
      <c r="D154" s="379"/>
      <c r="E154" s="380"/>
      <c r="F154" s="378"/>
      <c r="G154" s="378"/>
      <c r="H154" s="378"/>
      <c r="I154" s="378"/>
      <c r="J154" s="378"/>
      <c r="K154" s="378"/>
      <c r="L154" s="378"/>
      <c r="M154" s="381"/>
      <c r="N154" s="381"/>
      <c r="O154" s="381"/>
      <c r="P154" s="381"/>
      <c r="Q154" s="381"/>
      <c r="R154" s="381"/>
      <c r="S154" s="381"/>
      <c r="T154" s="381"/>
      <c r="U154" s="381"/>
      <c r="V154" s="381"/>
      <c r="W154" s="381"/>
      <c r="X154" s="381"/>
      <c r="Y154" s="381"/>
      <c r="Z154" s="381"/>
      <c r="AA154" s="381"/>
      <c r="AB154" s="381"/>
      <c r="AC154" s="382"/>
      <c r="AD154" s="382"/>
    </row>
    <row r="155" spans="1:30" ht="12.75" customHeight="1" x14ac:dyDescent="0.2">
      <c r="A155" s="378"/>
      <c r="B155" s="378"/>
      <c r="C155" s="378"/>
      <c r="D155" s="379"/>
      <c r="E155" s="380"/>
      <c r="F155" s="378"/>
      <c r="G155" s="378"/>
      <c r="H155" s="378"/>
      <c r="I155" s="378"/>
      <c r="J155" s="378"/>
      <c r="K155" s="378"/>
      <c r="L155" s="378"/>
      <c r="M155" s="381"/>
      <c r="N155" s="381"/>
      <c r="O155" s="381"/>
      <c r="P155" s="381"/>
      <c r="Q155" s="381"/>
      <c r="R155" s="381"/>
      <c r="S155" s="381"/>
      <c r="T155" s="381"/>
      <c r="U155" s="381"/>
      <c r="V155" s="381"/>
      <c r="W155" s="381"/>
      <c r="X155" s="381"/>
      <c r="Y155" s="381"/>
      <c r="Z155" s="381"/>
      <c r="AA155" s="381"/>
      <c r="AB155" s="381"/>
      <c r="AC155" s="382"/>
      <c r="AD155" s="382"/>
    </row>
    <row r="156" spans="1:30" ht="12.75" customHeight="1" x14ac:dyDescent="0.2">
      <c r="A156" s="378"/>
      <c r="B156" s="378"/>
      <c r="C156" s="378"/>
      <c r="D156" s="379"/>
      <c r="E156" s="380"/>
      <c r="F156" s="378"/>
      <c r="G156" s="378"/>
      <c r="H156" s="378"/>
      <c r="I156" s="378"/>
      <c r="J156" s="378"/>
      <c r="K156" s="378"/>
      <c r="L156" s="378"/>
      <c r="M156" s="381"/>
      <c r="N156" s="381"/>
      <c r="O156" s="381"/>
      <c r="P156" s="381"/>
      <c r="Q156" s="381"/>
      <c r="R156" s="381"/>
      <c r="S156" s="381"/>
      <c r="T156" s="381"/>
      <c r="U156" s="381"/>
      <c r="V156" s="381"/>
      <c r="W156" s="381"/>
      <c r="X156" s="381"/>
      <c r="Y156" s="381"/>
      <c r="Z156" s="381"/>
      <c r="AA156" s="381"/>
      <c r="AB156" s="381"/>
      <c r="AC156" s="382"/>
      <c r="AD156" s="382"/>
    </row>
    <row r="157" spans="1:30" ht="12.75" customHeight="1" x14ac:dyDescent="0.2">
      <c r="A157" s="378"/>
      <c r="B157" s="378"/>
      <c r="C157" s="378"/>
      <c r="D157" s="379"/>
      <c r="E157" s="380"/>
      <c r="F157" s="378"/>
      <c r="G157" s="378"/>
      <c r="H157" s="378"/>
      <c r="I157" s="378"/>
      <c r="J157" s="378"/>
      <c r="K157" s="378"/>
      <c r="L157" s="378"/>
      <c r="M157" s="381"/>
      <c r="N157" s="381"/>
      <c r="O157" s="381"/>
      <c r="P157" s="381"/>
      <c r="Q157" s="381"/>
      <c r="R157" s="381"/>
      <c r="S157" s="381"/>
      <c r="T157" s="381"/>
      <c r="U157" s="381"/>
      <c r="V157" s="381"/>
      <c r="W157" s="381"/>
      <c r="X157" s="381"/>
      <c r="Y157" s="381"/>
      <c r="Z157" s="381"/>
      <c r="AA157" s="381"/>
      <c r="AB157" s="381"/>
      <c r="AC157" s="382"/>
      <c r="AD157" s="382"/>
    </row>
    <row r="158" spans="1:30" ht="12.75" customHeight="1" x14ac:dyDescent="0.2">
      <c r="A158" s="378"/>
      <c r="B158" s="378"/>
      <c r="C158" s="378"/>
      <c r="D158" s="379"/>
      <c r="E158" s="380"/>
      <c r="F158" s="378"/>
      <c r="G158" s="378"/>
      <c r="H158" s="378"/>
      <c r="I158" s="378"/>
      <c r="J158" s="378"/>
      <c r="K158" s="378"/>
      <c r="L158" s="378"/>
      <c r="M158" s="381"/>
      <c r="N158" s="381"/>
      <c r="O158" s="381"/>
      <c r="P158" s="381"/>
      <c r="Q158" s="381"/>
      <c r="R158" s="381"/>
      <c r="S158" s="381"/>
      <c r="T158" s="381"/>
      <c r="U158" s="381"/>
      <c r="V158" s="381"/>
      <c r="W158" s="381"/>
      <c r="X158" s="381"/>
      <c r="Y158" s="381"/>
      <c r="Z158" s="381"/>
      <c r="AA158" s="381"/>
      <c r="AB158" s="381"/>
      <c r="AC158" s="382"/>
      <c r="AD158" s="382"/>
    </row>
    <row r="159" spans="1:30" ht="12.75" customHeight="1" x14ac:dyDescent="0.2">
      <c r="A159" s="378"/>
      <c r="B159" s="378"/>
      <c r="C159" s="378"/>
      <c r="D159" s="379"/>
      <c r="E159" s="380"/>
      <c r="F159" s="378"/>
      <c r="G159" s="378"/>
      <c r="H159" s="378"/>
      <c r="I159" s="378"/>
      <c r="J159" s="378"/>
      <c r="K159" s="378"/>
      <c r="L159" s="378"/>
      <c r="M159" s="381"/>
      <c r="N159" s="381"/>
      <c r="O159" s="381"/>
      <c r="P159" s="381"/>
      <c r="Q159" s="381"/>
      <c r="R159" s="381"/>
      <c r="S159" s="381"/>
      <c r="T159" s="381"/>
      <c r="U159" s="381"/>
      <c r="V159" s="381"/>
      <c r="W159" s="381"/>
      <c r="X159" s="381"/>
      <c r="Y159" s="381"/>
      <c r="Z159" s="381"/>
      <c r="AA159" s="381"/>
      <c r="AB159" s="381"/>
      <c r="AC159" s="382"/>
      <c r="AD159" s="382"/>
    </row>
    <row r="160" spans="1:30" ht="12.75" customHeight="1" x14ac:dyDescent="0.2">
      <c r="A160" s="378"/>
      <c r="B160" s="378"/>
      <c r="C160" s="378"/>
      <c r="D160" s="379"/>
      <c r="E160" s="380"/>
      <c r="F160" s="378"/>
      <c r="G160" s="378"/>
      <c r="H160" s="378"/>
      <c r="I160" s="378"/>
      <c r="J160" s="378"/>
      <c r="K160" s="378"/>
      <c r="L160" s="378"/>
      <c r="M160" s="381"/>
      <c r="N160" s="381"/>
      <c r="O160" s="381"/>
      <c r="P160" s="381"/>
      <c r="Q160" s="381"/>
      <c r="R160" s="381"/>
      <c r="S160" s="381"/>
      <c r="T160" s="381"/>
      <c r="U160" s="381"/>
      <c r="V160" s="381"/>
      <c r="W160" s="381"/>
      <c r="X160" s="381"/>
      <c r="Y160" s="381"/>
      <c r="Z160" s="381"/>
      <c r="AA160" s="381"/>
      <c r="AB160" s="381"/>
      <c r="AC160" s="382"/>
      <c r="AD160" s="382"/>
    </row>
    <row r="161" spans="1:30" ht="12.75" customHeight="1" x14ac:dyDescent="0.2">
      <c r="A161" s="378"/>
      <c r="B161" s="378"/>
      <c r="C161" s="378"/>
      <c r="D161" s="379"/>
      <c r="E161" s="380"/>
      <c r="F161" s="378"/>
      <c r="G161" s="378"/>
      <c r="H161" s="378"/>
      <c r="I161" s="378"/>
      <c r="J161" s="378"/>
      <c r="K161" s="378"/>
      <c r="L161" s="378"/>
      <c r="M161" s="381"/>
      <c r="N161" s="381"/>
      <c r="O161" s="381"/>
      <c r="P161" s="381"/>
      <c r="Q161" s="381"/>
      <c r="R161" s="381"/>
      <c r="S161" s="381"/>
      <c r="T161" s="381"/>
      <c r="U161" s="381"/>
      <c r="V161" s="381"/>
      <c r="W161" s="381"/>
      <c r="X161" s="381"/>
      <c r="Y161" s="381"/>
      <c r="Z161" s="381"/>
      <c r="AA161" s="381"/>
      <c r="AB161" s="381"/>
      <c r="AC161" s="382"/>
      <c r="AD161" s="382"/>
    </row>
    <row r="162" spans="1:30" ht="12.75" customHeight="1" x14ac:dyDescent="0.2">
      <c r="A162" s="378"/>
      <c r="B162" s="378"/>
      <c r="C162" s="378"/>
      <c r="D162" s="379"/>
      <c r="E162" s="380"/>
      <c r="F162" s="378"/>
      <c r="G162" s="378"/>
      <c r="H162" s="378"/>
      <c r="I162" s="378"/>
      <c r="J162" s="378"/>
      <c r="K162" s="378"/>
      <c r="L162" s="378"/>
      <c r="M162" s="381"/>
      <c r="N162" s="381"/>
      <c r="O162" s="381"/>
      <c r="P162" s="381"/>
      <c r="Q162" s="381"/>
      <c r="R162" s="381"/>
      <c r="S162" s="381"/>
      <c r="T162" s="381"/>
      <c r="U162" s="381"/>
      <c r="V162" s="381"/>
      <c r="W162" s="381"/>
      <c r="X162" s="381"/>
      <c r="Y162" s="381"/>
      <c r="Z162" s="381"/>
      <c r="AA162" s="381"/>
      <c r="AB162" s="381"/>
      <c r="AC162" s="382"/>
      <c r="AD162" s="382"/>
    </row>
    <row r="163" spans="1:30" ht="12.75" customHeight="1" x14ac:dyDescent="0.2">
      <c r="A163" s="378"/>
      <c r="B163" s="378"/>
      <c r="C163" s="378"/>
      <c r="D163" s="379"/>
      <c r="E163" s="380"/>
      <c r="F163" s="378"/>
      <c r="G163" s="378"/>
      <c r="H163" s="378"/>
      <c r="I163" s="378"/>
      <c r="J163" s="378"/>
      <c r="K163" s="378"/>
      <c r="L163" s="378"/>
      <c r="M163" s="381"/>
      <c r="N163" s="381"/>
      <c r="O163" s="381"/>
      <c r="P163" s="381"/>
      <c r="Q163" s="381"/>
      <c r="R163" s="381"/>
      <c r="S163" s="381"/>
      <c r="T163" s="381"/>
      <c r="U163" s="381"/>
      <c r="V163" s="381"/>
      <c r="W163" s="381"/>
      <c r="X163" s="381"/>
      <c r="Y163" s="381"/>
      <c r="Z163" s="381"/>
      <c r="AA163" s="381"/>
      <c r="AB163" s="381"/>
      <c r="AC163" s="382"/>
      <c r="AD163" s="382"/>
    </row>
    <row r="164" spans="1:30" ht="12.75" customHeight="1" x14ac:dyDescent="0.2">
      <c r="A164" s="378"/>
      <c r="B164" s="378"/>
      <c r="C164" s="378"/>
      <c r="D164" s="379"/>
      <c r="E164" s="380"/>
      <c r="F164" s="378"/>
      <c r="G164" s="378"/>
      <c r="H164" s="378"/>
      <c r="I164" s="378"/>
      <c r="J164" s="378"/>
      <c r="K164" s="378"/>
      <c r="L164" s="378"/>
      <c r="M164" s="381"/>
      <c r="N164" s="381"/>
      <c r="O164" s="381"/>
      <c r="P164" s="381"/>
      <c r="Q164" s="381"/>
      <c r="R164" s="381"/>
      <c r="S164" s="381"/>
      <c r="T164" s="381"/>
      <c r="U164" s="381"/>
      <c r="V164" s="381"/>
      <c r="W164" s="381"/>
      <c r="X164" s="381"/>
      <c r="Y164" s="381"/>
      <c r="Z164" s="381"/>
      <c r="AA164" s="381"/>
      <c r="AB164" s="381"/>
      <c r="AC164" s="382"/>
      <c r="AD164" s="382"/>
    </row>
    <row r="165" spans="1:30" ht="12.75" customHeight="1" x14ac:dyDescent="0.2">
      <c r="A165" s="378"/>
      <c r="B165" s="378"/>
      <c r="C165" s="378"/>
      <c r="D165" s="379"/>
      <c r="E165" s="380"/>
      <c r="F165" s="378"/>
      <c r="G165" s="378"/>
      <c r="H165" s="378"/>
      <c r="I165" s="378"/>
      <c r="J165" s="378"/>
      <c r="K165" s="378"/>
      <c r="L165" s="378"/>
      <c r="M165" s="381"/>
      <c r="N165" s="381"/>
      <c r="O165" s="381"/>
      <c r="P165" s="381"/>
      <c r="Q165" s="381"/>
      <c r="R165" s="381"/>
      <c r="S165" s="381"/>
      <c r="T165" s="381"/>
      <c r="U165" s="381"/>
      <c r="V165" s="381"/>
      <c r="W165" s="381"/>
      <c r="X165" s="381"/>
      <c r="Y165" s="381"/>
      <c r="Z165" s="381"/>
      <c r="AA165" s="381"/>
      <c r="AB165" s="381"/>
      <c r="AC165" s="382"/>
      <c r="AD165" s="382"/>
    </row>
    <row r="166" spans="1:30" ht="12.75" customHeight="1" x14ac:dyDescent="0.2">
      <c r="A166" s="378"/>
      <c r="B166" s="378"/>
      <c r="C166" s="378"/>
      <c r="D166" s="379"/>
      <c r="E166" s="380"/>
      <c r="F166" s="378"/>
      <c r="G166" s="378"/>
      <c r="H166" s="378"/>
      <c r="I166" s="378"/>
      <c r="J166" s="378"/>
      <c r="K166" s="378"/>
      <c r="L166" s="378"/>
      <c r="M166" s="381"/>
      <c r="N166" s="381"/>
      <c r="O166" s="381"/>
      <c r="P166" s="381"/>
      <c r="Q166" s="381"/>
      <c r="R166" s="381"/>
      <c r="S166" s="381"/>
      <c r="T166" s="381"/>
      <c r="U166" s="381"/>
      <c r="V166" s="381"/>
      <c r="W166" s="381"/>
      <c r="X166" s="381"/>
      <c r="Y166" s="381"/>
      <c r="Z166" s="381"/>
      <c r="AA166" s="381"/>
      <c r="AB166" s="381"/>
      <c r="AC166" s="382"/>
      <c r="AD166" s="382"/>
    </row>
    <row r="167" spans="1:30" ht="12.75" customHeight="1" x14ac:dyDescent="0.2">
      <c r="A167" s="378"/>
      <c r="B167" s="378"/>
      <c r="C167" s="378"/>
      <c r="D167" s="379"/>
      <c r="E167" s="380"/>
      <c r="F167" s="378"/>
      <c r="G167" s="378"/>
      <c r="H167" s="378"/>
      <c r="I167" s="378"/>
      <c r="J167" s="378"/>
      <c r="K167" s="378"/>
      <c r="L167" s="378"/>
      <c r="M167" s="381"/>
      <c r="N167" s="381"/>
      <c r="O167" s="381"/>
      <c r="P167" s="381"/>
      <c r="Q167" s="381"/>
      <c r="R167" s="381"/>
      <c r="S167" s="381"/>
      <c r="T167" s="381"/>
      <c r="U167" s="381"/>
      <c r="V167" s="381"/>
      <c r="W167" s="381"/>
      <c r="X167" s="381"/>
      <c r="Y167" s="381"/>
      <c r="Z167" s="381"/>
      <c r="AA167" s="381"/>
      <c r="AB167" s="381"/>
      <c r="AC167" s="382"/>
      <c r="AD167" s="382"/>
    </row>
    <row r="168" spans="1:30" ht="12.75" customHeight="1" x14ac:dyDescent="0.2">
      <c r="A168" s="378"/>
      <c r="B168" s="378"/>
      <c r="C168" s="378"/>
      <c r="D168" s="379"/>
      <c r="E168" s="380"/>
      <c r="F168" s="378"/>
      <c r="G168" s="378"/>
      <c r="H168" s="378"/>
      <c r="I168" s="378"/>
      <c r="J168" s="378"/>
      <c r="K168" s="378"/>
      <c r="L168" s="378"/>
      <c r="M168" s="381"/>
      <c r="N168" s="381"/>
      <c r="O168" s="381"/>
      <c r="P168" s="381"/>
      <c r="Q168" s="381"/>
      <c r="R168" s="381"/>
      <c r="S168" s="381"/>
      <c r="T168" s="381"/>
      <c r="U168" s="381"/>
      <c r="V168" s="381"/>
      <c r="W168" s="381"/>
      <c r="X168" s="381"/>
      <c r="Y168" s="381"/>
      <c r="Z168" s="381"/>
      <c r="AA168" s="381"/>
      <c r="AB168" s="381"/>
      <c r="AC168" s="382"/>
      <c r="AD168" s="382"/>
    </row>
    <row r="169" spans="1:30" ht="12.75" customHeight="1" x14ac:dyDescent="0.2">
      <c r="A169" s="378"/>
      <c r="B169" s="378"/>
      <c r="C169" s="378"/>
      <c r="D169" s="379"/>
      <c r="E169" s="380"/>
      <c r="F169" s="378"/>
      <c r="G169" s="378"/>
      <c r="H169" s="378"/>
      <c r="I169" s="378"/>
      <c r="J169" s="378"/>
      <c r="K169" s="378"/>
      <c r="L169" s="378"/>
      <c r="M169" s="381"/>
      <c r="N169" s="381"/>
      <c r="O169" s="381"/>
      <c r="P169" s="381"/>
      <c r="Q169" s="381"/>
      <c r="R169" s="381"/>
      <c r="S169" s="381"/>
      <c r="T169" s="381"/>
      <c r="U169" s="381"/>
      <c r="V169" s="381"/>
      <c r="W169" s="381"/>
      <c r="X169" s="381"/>
      <c r="Y169" s="381"/>
      <c r="Z169" s="381"/>
      <c r="AA169" s="381"/>
      <c r="AB169" s="381"/>
      <c r="AC169" s="382"/>
      <c r="AD169" s="382"/>
    </row>
    <row r="170" spans="1:30" ht="12.75" customHeight="1" x14ac:dyDescent="0.2">
      <c r="A170" s="378"/>
      <c r="B170" s="378"/>
      <c r="C170" s="378"/>
      <c r="D170" s="379"/>
      <c r="E170" s="380"/>
      <c r="F170" s="378"/>
      <c r="G170" s="378"/>
      <c r="H170" s="378"/>
      <c r="I170" s="378"/>
      <c r="J170" s="378"/>
      <c r="K170" s="378"/>
      <c r="L170" s="378"/>
      <c r="M170" s="381"/>
      <c r="N170" s="381"/>
      <c r="O170" s="381"/>
      <c r="P170" s="381"/>
      <c r="Q170" s="381"/>
      <c r="R170" s="381"/>
      <c r="S170" s="381"/>
      <c r="T170" s="381"/>
      <c r="U170" s="381"/>
      <c r="V170" s="381"/>
      <c r="W170" s="381"/>
      <c r="X170" s="381"/>
      <c r="Y170" s="381"/>
      <c r="Z170" s="381"/>
      <c r="AA170" s="381"/>
      <c r="AB170" s="381"/>
      <c r="AC170" s="382"/>
      <c r="AD170" s="382"/>
    </row>
    <row r="171" spans="1:30" ht="12.75" customHeight="1" x14ac:dyDescent="0.2">
      <c r="A171" s="378"/>
      <c r="B171" s="378"/>
      <c r="C171" s="378"/>
      <c r="D171" s="379"/>
      <c r="E171" s="380"/>
      <c r="F171" s="378"/>
      <c r="G171" s="378"/>
      <c r="H171" s="378"/>
      <c r="I171" s="378"/>
      <c r="J171" s="378"/>
      <c r="K171" s="378"/>
      <c r="L171" s="378"/>
      <c r="M171" s="381"/>
      <c r="N171" s="381"/>
      <c r="O171" s="381"/>
      <c r="P171" s="381"/>
      <c r="Q171" s="381"/>
      <c r="R171" s="381"/>
      <c r="S171" s="381"/>
      <c r="T171" s="381"/>
      <c r="U171" s="381"/>
      <c r="V171" s="381"/>
      <c r="W171" s="381"/>
      <c r="X171" s="381"/>
      <c r="Y171" s="381"/>
      <c r="Z171" s="381"/>
      <c r="AA171" s="381"/>
      <c r="AB171" s="381"/>
      <c r="AC171" s="382"/>
      <c r="AD171" s="382"/>
    </row>
    <row r="172" spans="1:30" ht="12.75" customHeight="1" x14ac:dyDescent="0.2">
      <c r="A172" s="378"/>
      <c r="B172" s="378"/>
      <c r="C172" s="378"/>
      <c r="D172" s="379"/>
      <c r="E172" s="380"/>
      <c r="F172" s="378"/>
      <c r="G172" s="378"/>
      <c r="H172" s="378"/>
      <c r="I172" s="378"/>
      <c r="J172" s="378"/>
      <c r="K172" s="378"/>
      <c r="L172" s="378"/>
      <c r="M172" s="381"/>
      <c r="N172" s="381"/>
      <c r="O172" s="381"/>
      <c r="P172" s="381"/>
      <c r="Q172" s="381"/>
      <c r="R172" s="381"/>
      <c r="S172" s="381"/>
      <c r="T172" s="381"/>
      <c r="U172" s="381"/>
      <c r="V172" s="381"/>
      <c r="W172" s="381"/>
      <c r="X172" s="381"/>
      <c r="Y172" s="381"/>
      <c r="Z172" s="381"/>
      <c r="AA172" s="381"/>
      <c r="AB172" s="381"/>
      <c r="AC172" s="382"/>
      <c r="AD172" s="382"/>
    </row>
    <row r="173" spans="1:30" ht="12.75" customHeight="1" x14ac:dyDescent="0.2">
      <c r="A173" s="378"/>
      <c r="B173" s="378"/>
      <c r="C173" s="378"/>
      <c r="D173" s="379"/>
      <c r="E173" s="380"/>
      <c r="F173" s="378"/>
      <c r="G173" s="378"/>
      <c r="H173" s="378"/>
      <c r="I173" s="378"/>
      <c r="J173" s="378"/>
      <c r="K173" s="378"/>
      <c r="L173" s="378"/>
      <c r="M173" s="381"/>
      <c r="N173" s="381"/>
      <c r="O173" s="381"/>
      <c r="P173" s="381"/>
      <c r="Q173" s="381"/>
      <c r="R173" s="381"/>
      <c r="S173" s="381"/>
      <c r="T173" s="381"/>
      <c r="U173" s="381"/>
      <c r="V173" s="381"/>
      <c r="W173" s="381"/>
      <c r="X173" s="381"/>
      <c r="Y173" s="381"/>
      <c r="Z173" s="381"/>
      <c r="AA173" s="381"/>
      <c r="AB173" s="381"/>
      <c r="AC173" s="382"/>
      <c r="AD173" s="382"/>
    </row>
    <row r="174" spans="1:30" ht="12.75" customHeight="1" x14ac:dyDescent="0.2">
      <c r="A174" s="378"/>
      <c r="B174" s="378"/>
      <c r="C174" s="378"/>
      <c r="D174" s="379"/>
      <c r="E174" s="380"/>
      <c r="F174" s="378"/>
      <c r="G174" s="378"/>
      <c r="H174" s="378"/>
      <c r="I174" s="378"/>
      <c r="J174" s="378"/>
      <c r="K174" s="378"/>
      <c r="L174" s="378"/>
      <c r="M174" s="381"/>
      <c r="N174" s="381"/>
      <c r="O174" s="381"/>
      <c r="P174" s="381"/>
      <c r="Q174" s="381"/>
      <c r="R174" s="381"/>
      <c r="S174" s="381"/>
      <c r="T174" s="381"/>
      <c r="U174" s="381"/>
      <c r="V174" s="381"/>
      <c r="W174" s="381"/>
      <c r="X174" s="381"/>
      <c r="Y174" s="381"/>
      <c r="Z174" s="381"/>
      <c r="AA174" s="381"/>
      <c r="AB174" s="381"/>
      <c r="AC174" s="382"/>
      <c r="AD174" s="382"/>
    </row>
    <row r="175" spans="1:30" ht="12.75" customHeight="1" x14ac:dyDescent="0.2">
      <c r="A175" s="378"/>
      <c r="B175" s="378"/>
      <c r="C175" s="378"/>
      <c r="D175" s="379"/>
      <c r="E175" s="380"/>
      <c r="F175" s="378"/>
      <c r="G175" s="378"/>
      <c r="H175" s="378"/>
      <c r="I175" s="378"/>
      <c r="J175" s="378"/>
      <c r="K175" s="378"/>
      <c r="L175" s="378"/>
      <c r="M175" s="381"/>
      <c r="N175" s="381"/>
      <c r="O175" s="381"/>
      <c r="P175" s="381"/>
      <c r="Q175" s="381"/>
      <c r="R175" s="381"/>
      <c r="S175" s="381"/>
      <c r="T175" s="381"/>
      <c r="U175" s="381"/>
      <c r="V175" s="381"/>
      <c r="W175" s="381"/>
      <c r="X175" s="381"/>
      <c r="Y175" s="381"/>
      <c r="Z175" s="381"/>
      <c r="AA175" s="381"/>
      <c r="AB175" s="381"/>
      <c r="AC175" s="382"/>
      <c r="AD175" s="382"/>
    </row>
    <row r="176" spans="1:30" ht="12.75" customHeight="1" x14ac:dyDescent="0.2">
      <c r="A176" s="378"/>
      <c r="B176" s="378"/>
      <c r="C176" s="378"/>
      <c r="D176" s="379"/>
      <c r="E176" s="380"/>
      <c r="F176" s="378"/>
      <c r="G176" s="378"/>
      <c r="H176" s="378"/>
      <c r="I176" s="378"/>
      <c r="J176" s="378"/>
      <c r="K176" s="378"/>
      <c r="L176" s="378"/>
      <c r="M176" s="381"/>
      <c r="N176" s="381"/>
      <c r="O176" s="381"/>
      <c r="P176" s="381"/>
      <c r="Q176" s="381"/>
      <c r="R176" s="381"/>
      <c r="S176" s="381"/>
      <c r="T176" s="381"/>
      <c r="U176" s="381"/>
      <c r="V176" s="381"/>
      <c r="W176" s="381"/>
      <c r="X176" s="381"/>
      <c r="Y176" s="381"/>
      <c r="Z176" s="381"/>
      <c r="AA176" s="381"/>
      <c r="AB176" s="381"/>
      <c r="AC176" s="382"/>
      <c r="AD176" s="382"/>
    </row>
    <row r="177" spans="1:30" ht="12.75" customHeight="1" x14ac:dyDescent="0.2">
      <c r="A177" s="378"/>
      <c r="B177" s="378"/>
      <c r="C177" s="378"/>
      <c r="D177" s="379"/>
      <c r="E177" s="380"/>
      <c r="F177" s="378"/>
      <c r="G177" s="378"/>
      <c r="H177" s="378"/>
      <c r="I177" s="378"/>
      <c r="J177" s="378"/>
      <c r="K177" s="378"/>
      <c r="L177" s="378"/>
      <c r="M177" s="381"/>
      <c r="N177" s="381"/>
      <c r="O177" s="381"/>
      <c r="P177" s="381"/>
      <c r="Q177" s="381"/>
      <c r="R177" s="381"/>
      <c r="S177" s="381"/>
      <c r="T177" s="381"/>
      <c r="U177" s="381"/>
      <c r="V177" s="381"/>
      <c r="W177" s="381"/>
      <c r="X177" s="381"/>
      <c r="Y177" s="381"/>
      <c r="Z177" s="381"/>
      <c r="AA177" s="381"/>
      <c r="AB177" s="381"/>
      <c r="AC177" s="382"/>
      <c r="AD177" s="382"/>
    </row>
    <row r="178" spans="1:30" ht="12.75" customHeight="1" x14ac:dyDescent="0.2">
      <c r="A178" s="378"/>
      <c r="B178" s="378"/>
      <c r="C178" s="378"/>
      <c r="D178" s="379"/>
      <c r="E178" s="380"/>
      <c r="F178" s="378"/>
      <c r="G178" s="378"/>
      <c r="H178" s="378"/>
      <c r="I178" s="378"/>
      <c r="J178" s="378"/>
      <c r="K178" s="378"/>
      <c r="L178" s="378"/>
      <c r="M178" s="381"/>
      <c r="N178" s="381"/>
      <c r="O178" s="381"/>
      <c r="P178" s="381"/>
      <c r="Q178" s="381"/>
      <c r="R178" s="381"/>
      <c r="S178" s="381"/>
      <c r="T178" s="381"/>
      <c r="U178" s="381"/>
      <c r="V178" s="381"/>
      <c r="W178" s="381"/>
      <c r="X178" s="381"/>
      <c r="Y178" s="381"/>
      <c r="Z178" s="381"/>
      <c r="AA178" s="381"/>
      <c r="AB178" s="381"/>
      <c r="AC178" s="382"/>
      <c r="AD178" s="382"/>
    </row>
    <row r="179" spans="1:30" ht="12.75" customHeight="1" x14ac:dyDescent="0.2">
      <c r="A179" s="378"/>
      <c r="B179" s="378"/>
      <c r="C179" s="378"/>
      <c r="D179" s="379"/>
      <c r="E179" s="380"/>
      <c r="F179" s="378"/>
      <c r="G179" s="378"/>
      <c r="H179" s="378"/>
      <c r="I179" s="378"/>
      <c r="J179" s="378"/>
      <c r="K179" s="378"/>
      <c r="L179" s="378"/>
      <c r="M179" s="381"/>
      <c r="N179" s="381"/>
      <c r="O179" s="381"/>
      <c r="P179" s="381"/>
      <c r="Q179" s="381"/>
      <c r="R179" s="381"/>
      <c r="S179" s="381"/>
      <c r="T179" s="381"/>
      <c r="U179" s="381"/>
      <c r="V179" s="381"/>
      <c r="W179" s="381"/>
      <c r="X179" s="381"/>
      <c r="Y179" s="381"/>
      <c r="Z179" s="381"/>
      <c r="AA179" s="381"/>
      <c r="AB179" s="381"/>
      <c r="AC179" s="382"/>
      <c r="AD179" s="382"/>
    </row>
    <row r="180" spans="1:30" ht="12.75" customHeight="1" x14ac:dyDescent="0.2">
      <c r="A180" s="378"/>
      <c r="B180" s="378"/>
      <c r="C180" s="378"/>
      <c r="D180" s="379"/>
      <c r="E180" s="380"/>
      <c r="F180" s="378"/>
      <c r="G180" s="378"/>
      <c r="H180" s="378"/>
      <c r="I180" s="378"/>
      <c r="J180" s="378"/>
      <c r="K180" s="378"/>
      <c r="L180" s="378"/>
      <c r="M180" s="381"/>
      <c r="N180" s="381"/>
      <c r="O180" s="381"/>
      <c r="P180" s="381"/>
      <c r="Q180" s="381"/>
      <c r="R180" s="381"/>
      <c r="S180" s="381"/>
      <c r="T180" s="381"/>
      <c r="U180" s="381"/>
      <c r="V180" s="381"/>
      <c r="W180" s="381"/>
      <c r="X180" s="381"/>
      <c r="Y180" s="381"/>
      <c r="Z180" s="381"/>
      <c r="AA180" s="381"/>
      <c r="AB180" s="381"/>
      <c r="AC180" s="382"/>
      <c r="AD180" s="382"/>
    </row>
    <row r="181" spans="1:30" ht="12.75" customHeight="1" x14ac:dyDescent="0.2">
      <c r="A181" s="378"/>
      <c r="B181" s="378"/>
      <c r="C181" s="378"/>
      <c r="D181" s="379"/>
      <c r="E181" s="380"/>
      <c r="F181" s="378"/>
      <c r="G181" s="378"/>
      <c r="H181" s="378"/>
      <c r="I181" s="378"/>
      <c r="J181" s="378"/>
      <c r="K181" s="378"/>
      <c r="L181" s="378"/>
      <c r="M181" s="381"/>
      <c r="N181" s="381"/>
      <c r="O181" s="381"/>
      <c r="P181" s="381"/>
      <c r="Q181" s="381"/>
      <c r="R181" s="381"/>
      <c r="S181" s="381"/>
      <c r="T181" s="381"/>
      <c r="U181" s="381"/>
      <c r="V181" s="381"/>
      <c r="W181" s="381"/>
      <c r="X181" s="381"/>
      <c r="Y181" s="381"/>
      <c r="Z181" s="381"/>
      <c r="AA181" s="381"/>
      <c r="AB181" s="381"/>
      <c r="AC181" s="382"/>
      <c r="AD181" s="382"/>
    </row>
    <row r="182" spans="1:30" ht="12.75" customHeight="1" x14ac:dyDescent="0.2">
      <c r="A182" s="378"/>
      <c r="B182" s="378"/>
      <c r="C182" s="378"/>
      <c r="D182" s="379"/>
      <c r="E182" s="380"/>
      <c r="F182" s="378"/>
      <c r="G182" s="378"/>
      <c r="H182" s="378"/>
      <c r="I182" s="378"/>
      <c r="J182" s="378"/>
      <c r="K182" s="378"/>
      <c r="L182" s="378"/>
      <c r="M182" s="381"/>
      <c r="N182" s="381"/>
      <c r="O182" s="381"/>
      <c r="P182" s="381"/>
      <c r="Q182" s="381"/>
      <c r="R182" s="381"/>
      <c r="S182" s="381"/>
      <c r="T182" s="381"/>
      <c r="U182" s="381"/>
      <c r="V182" s="381"/>
      <c r="W182" s="381"/>
      <c r="X182" s="381"/>
      <c r="Y182" s="381"/>
      <c r="Z182" s="381"/>
      <c r="AA182" s="381"/>
      <c r="AB182" s="381"/>
      <c r="AC182" s="382"/>
      <c r="AD182" s="382"/>
    </row>
    <row r="183" spans="1:30" ht="12.75" customHeight="1" x14ac:dyDescent="0.2">
      <c r="A183" s="378"/>
      <c r="B183" s="378"/>
      <c r="C183" s="378"/>
      <c r="D183" s="379"/>
      <c r="E183" s="380"/>
      <c r="F183" s="378"/>
      <c r="G183" s="378"/>
      <c r="H183" s="378"/>
      <c r="I183" s="378"/>
      <c r="J183" s="378"/>
      <c r="K183" s="378"/>
      <c r="L183" s="378"/>
      <c r="M183" s="381"/>
      <c r="N183" s="381"/>
      <c r="O183" s="381"/>
      <c r="P183" s="381"/>
      <c r="Q183" s="381"/>
      <c r="R183" s="381"/>
      <c r="S183" s="381"/>
      <c r="T183" s="381"/>
      <c r="U183" s="381"/>
      <c r="V183" s="381"/>
      <c r="W183" s="381"/>
      <c r="X183" s="381"/>
      <c r="Y183" s="381"/>
      <c r="Z183" s="381"/>
      <c r="AA183" s="381"/>
      <c r="AB183" s="381"/>
      <c r="AC183" s="382"/>
      <c r="AD183" s="382"/>
    </row>
    <row r="184" spans="1:30" ht="12.75" customHeight="1" x14ac:dyDescent="0.2">
      <c r="A184" s="378"/>
      <c r="B184" s="378"/>
      <c r="C184" s="378"/>
      <c r="D184" s="379"/>
      <c r="E184" s="380"/>
      <c r="F184" s="378"/>
      <c r="G184" s="378"/>
      <c r="H184" s="378"/>
      <c r="I184" s="378"/>
      <c r="J184" s="378"/>
      <c r="K184" s="378"/>
      <c r="L184" s="378"/>
      <c r="M184" s="381"/>
      <c r="N184" s="381"/>
      <c r="O184" s="381"/>
      <c r="P184" s="381"/>
      <c r="Q184" s="381"/>
      <c r="R184" s="381"/>
      <c r="S184" s="381"/>
      <c r="T184" s="381"/>
      <c r="U184" s="381"/>
      <c r="V184" s="381"/>
      <c r="W184" s="381"/>
      <c r="X184" s="381"/>
      <c r="Y184" s="381"/>
      <c r="Z184" s="381"/>
      <c r="AA184" s="381"/>
      <c r="AB184" s="381"/>
      <c r="AC184" s="382"/>
      <c r="AD184" s="382"/>
    </row>
    <row r="185" spans="1:30" ht="12.75" customHeight="1" x14ac:dyDescent="0.2">
      <c r="A185" s="378"/>
      <c r="B185" s="378"/>
      <c r="C185" s="378"/>
      <c r="D185" s="379"/>
      <c r="E185" s="380"/>
      <c r="F185" s="378"/>
      <c r="G185" s="378"/>
      <c r="H185" s="378"/>
      <c r="I185" s="378"/>
      <c r="J185" s="378"/>
      <c r="K185" s="378"/>
      <c r="L185" s="378"/>
      <c r="M185" s="381"/>
      <c r="N185" s="381"/>
      <c r="O185" s="381"/>
      <c r="P185" s="381"/>
      <c r="Q185" s="381"/>
      <c r="R185" s="381"/>
      <c r="S185" s="381"/>
      <c r="T185" s="381"/>
      <c r="U185" s="381"/>
      <c r="V185" s="381"/>
      <c r="W185" s="381"/>
      <c r="X185" s="381"/>
      <c r="Y185" s="381"/>
      <c r="Z185" s="381"/>
      <c r="AA185" s="381"/>
      <c r="AB185" s="381"/>
      <c r="AC185" s="382"/>
      <c r="AD185" s="382"/>
    </row>
    <row r="186" spans="1:30" ht="12.75" customHeight="1" x14ac:dyDescent="0.2">
      <c r="A186" s="378"/>
      <c r="B186" s="378"/>
      <c r="C186" s="378"/>
      <c r="D186" s="379"/>
      <c r="E186" s="380"/>
      <c r="F186" s="378"/>
      <c r="G186" s="378"/>
      <c r="H186" s="378"/>
      <c r="I186" s="378"/>
      <c r="J186" s="378"/>
      <c r="K186" s="378"/>
      <c r="L186" s="378"/>
      <c r="M186" s="381"/>
      <c r="N186" s="381"/>
      <c r="O186" s="381"/>
      <c r="P186" s="381"/>
      <c r="Q186" s="381"/>
      <c r="R186" s="381"/>
      <c r="S186" s="381"/>
      <c r="T186" s="381"/>
      <c r="U186" s="381"/>
      <c r="V186" s="381"/>
      <c r="W186" s="381"/>
      <c r="X186" s="381"/>
      <c r="Y186" s="381"/>
      <c r="Z186" s="381"/>
      <c r="AA186" s="381"/>
      <c r="AB186" s="381"/>
      <c r="AC186" s="382"/>
      <c r="AD186" s="382"/>
    </row>
    <row r="187" spans="1:30" ht="12.75" customHeight="1" x14ac:dyDescent="0.2">
      <c r="A187" s="378"/>
      <c r="B187" s="378"/>
      <c r="C187" s="378"/>
      <c r="D187" s="379"/>
      <c r="E187" s="380"/>
      <c r="F187" s="378"/>
      <c r="G187" s="378"/>
      <c r="H187" s="378"/>
      <c r="I187" s="378"/>
      <c r="J187" s="378"/>
      <c r="K187" s="378"/>
      <c r="L187" s="378"/>
      <c r="M187" s="381"/>
      <c r="N187" s="381"/>
      <c r="O187" s="381"/>
      <c r="P187" s="381"/>
      <c r="Q187" s="381"/>
      <c r="R187" s="381"/>
      <c r="S187" s="381"/>
      <c r="T187" s="381"/>
      <c r="U187" s="381"/>
      <c r="V187" s="381"/>
      <c r="W187" s="381"/>
      <c r="X187" s="381"/>
      <c r="Y187" s="381"/>
      <c r="Z187" s="381"/>
      <c r="AA187" s="381"/>
      <c r="AB187" s="381"/>
      <c r="AC187" s="382"/>
      <c r="AD187" s="382"/>
    </row>
    <row r="188" spans="1:30" ht="12.75" customHeight="1" x14ac:dyDescent="0.2">
      <c r="A188" s="378"/>
      <c r="B188" s="378"/>
      <c r="C188" s="378"/>
      <c r="D188" s="379"/>
      <c r="E188" s="380"/>
      <c r="F188" s="378"/>
      <c r="G188" s="378"/>
      <c r="H188" s="378"/>
      <c r="I188" s="378"/>
      <c r="J188" s="378"/>
      <c r="K188" s="378"/>
      <c r="L188" s="378"/>
      <c r="M188" s="381"/>
      <c r="N188" s="381"/>
      <c r="O188" s="381"/>
      <c r="P188" s="381"/>
      <c r="Q188" s="381"/>
      <c r="R188" s="381"/>
      <c r="S188" s="381"/>
      <c r="T188" s="381"/>
      <c r="U188" s="381"/>
      <c r="V188" s="381"/>
      <c r="W188" s="381"/>
      <c r="X188" s="381"/>
      <c r="Y188" s="381"/>
      <c r="Z188" s="381"/>
      <c r="AA188" s="381"/>
      <c r="AB188" s="381"/>
      <c r="AC188" s="382"/>
      <c r="AD188" s="382"/>
    </row>
    <row r="189" spans="1:30" ht="12.75" customHeight="1" x14ac:dyDescent="0.2">
      <c r="A189" s="378"/>
      <c r="B189" s="378"/>
      <c r="C189" s="378"/>
      <c r="D189" s="379"/>
      <c r="E189" s="380"/>
      <c r="F189" s="378"/>
      <c r="G189" s="378"/>
      <c r="H189" s="378"/>
      <c r="I189" s="378"/>
      <c r="J189" s="378"/>
      <c r="K189" s="378"/>
      <c r="L189" s="378"/>
      <c r="M189" s="381"/>
      <c r="N189" s="381"/>
      <c r="O189" s="381"/>
      <c r="P189" s="381"/>
      <c r="Q189" s="381"/>
      <c r="R189" s="381"/>
      <c r="S189" s="381"/>
      <c r="T189" s="381"/>
      <c r="U189" s="381"/>
      <c r="V189" s="381"/>
      <c r="W189" s="381"/>
      <c r="X189" s="381"/>
      <c r="Y189" s="381"/>
      <c r="Z189" s="381"/>
      <c r="AA189" s="381"/>
      <c r="AB189" s="381"/>
      <c r="AC189" s="382"/>
      <c r="AD189" s="382"/>
    </row>
    <row r="190" spans="1:30" ht="12.75" customHeight="1" x14ac:dyDescent="0.2">
      <c r="A190" s="378"/>
      <c r="B190" s="378"/>
      <c r="C190" s="378"/>
      <c r="D190" s="379"/>
      <c r="E190" s="380"/>
      <c r="F190" s="378"/>
      <c r="G190" s="378"/>
      <c r="H190" s="378"/>
      <c r="I190" s="378"/>
      <c r="J190" s="378"/>
      <c r="K190" s="378"/>
      <c r="L190" s="378"/>
      <c r="M190" s="381"/>
      <c r="N190" s="381"/>
      <c r="O190" s="381"/>
      <c r="P190" s="381"/>
      <c r="Q190" s="381"/>
      <c r="R190" s="381"/>
      <c r="S190" s="381"/>
      <c r="T190" s="381"/>
      <c r="U190" s="381"/>
      <c r="V190" s="381"/>
      <c r="W190" s="381"/>
      <c r="X190" s="381"/>
      <c r="Y190" s="381"/>
      <c r="Z190" s="381"/>
      <c r="AA190" s="381"/>
      <c r="AB190" s="381"/>
      <c r="AC190" s="382"/>
      <c r="AD190" s="382"/>
    </row>
    <row r="191" spans="1:30" ht="12.75" customHeight="1" x14ac:dyDescent="0.2">
      <c r="A191" s="378"/>
      <c r="B191" s="378"/>
      <c r="C191" s="378"/>
      <c r="D191" s="379"/>
      <c r="E191" s="380"/>
      <c r="F191" s="378"/>
      <c r="G191" s="378"/>
      <c r="H191" s="378"/>
      <c r="I191" s="378"/>
      <c r="J191" s="378"/>
      <c r="K191" s="378"/>
      <c r="L191" s="378"/>
      <c r="M191" s="381"/>
      <c r="N191" s="381"/>
      <c r="O191" s="381"/>
      <c r="P191" s="381"/>
      <c r="Q191" s="381"/>
      <c r="R191" s="381"/>
      <c r="S191" s="381"/>
      <c r="T191" s="381"/>
      <c r="U191" s="381"/>
      <c r="V191" s="381"/>
      <c r="W191" s="381"/>
      <c r="X191" s="381"/>
      <c r="Y191" s="381"/>
      <c r="Z191" s="381"/>
      <c r="AA191" s="381"/>
      <c r="AB191" s="381"/>
      <c r="AC191" s="382"/>
      <c r="AD191" s="382"/>
    </row>
    <row r="192" spans="1:30" ht="12.75" customHeight="1" x14ac:dyDescent="0.2">
      <c r="A192" s="378"/>
      <c r="B192" s="378"/>
      <c r="C192" s="378"/>
      <c r="D192" s="379"/>
      <c r="E192" s="380"/>
      <c r="F192" s="378"/>
      <c r="G192" s="378"/>
      <c r="H192" s="378"/>
      <c r="I192" s="378"/>
      <c r="J192" s="378"/>
      <c r="K192" s="378"/>
      <c r="L192" s="378"/>
      <c r="M192" s="381"/>
      <c r="N192" s="381"/>
      <c r="O192" s="381"/>
      <c r="P192" s="381"/>
      <c r="Q192" s="381"/>
      <c r="R192" s="381"/>
      <c r="S192" s="381"/>
      <c r="T192" s="381"/>
      <c r="U192" s="381"/>
      <c r="V192" s="381"/>
      <c r="W192" s="381"/>
      <c r="X192" s="381"/>
      <c r="Y192" s="381"/>
      <c r="Z192" s="381"/>
      <c r="AA192" s="381"/>
      <c r="AB192" s="381"/>
      <c r="AC192" s="382"/>
      <c r="AD192" s="382"/>
    </row>
    <row r="193" spans="1:30" ht="12.75" customHeight="1" x14ac:dyDescent="0.2">
      <c r="A193" s="378"/>
      <c r="B193" s="378"/>
      <c r="C193" s="378"/>
      <c r="D193" s="379"/>
      <c r="E193" s="380"/>
      <c r="F193" s="378"/>
      <c r="G193" s="378"/>
      <c r="H193" s="378"/>
      <c r="I193" s="378"/>
      <c r="J193" s="378"/>
      <c r="K193" s="378"/>
      <c r="L193" s="378"/>
      <c r="M193" s="381"/>
      <c r="N193" s="381"/>
      <c r="O193" s="381"/>
      <c r="P193" s="381"/>
      <c r="Q193" s="381"/>
      <c r="R193" s="381"/>
      <c r="S193" s="381"/>
      <c r="T193" s="381"/>
      <c r="U193" s="381"/>
      <c r="V193" s="381"/>
      <c r="W193" s="381"/>
      <c r="X193" s="381"/>
      <c r="Y193" s="381"/>
      <c r="Z193" s="381"/>
      <c r="AA193" s="381"/>
      <c r="AB193" s="381"/>
      <c r="AC193" s="382"/>
      <c r="AD193" s="382"/>
    </row>
    <row r="194" spans="1:30" ht="12.75" customHeight="1" x14ac:dyDescent="0.2">
      <c r="A194" s="378"/>
      <c r="B194" s="378"/>
      <c r="C194" s="378"/>
      <c r="D194" s="379"/>
      <c r="E194" s="380"/>
      <c r="F194" s="378"/>
      <c r="G194" s="378"/>
      <c r="H194" s="378"/>
      <c r="I194" s="378"/>
      <c r="J194" s="378"/>
      <c r="K194" s="378"/>
      <c r="L194" s="378"/>
      <c r="M194" s="381"/>
      <c r="N194" s="381"/>
      <c r="O194" s="381"/>
      <c r="P194" s="381"/>
      <c r="Q194" s="381"/>
      <c r="R194" s="381"/>
      <c r="S194" s="381"/>
      <c r="T194" s="381"/>
      <c r="U194" s="381"/>
      <c r="V194" s="381"/>
      <c r="W194" s="381"/>
      <c r="X194" s="381"/>
      <c r="Y194" s="381"/>
      <c r="Z194" s="381"/>
      <c r="AA194" s="381"/>
      <c r="AB194" s="381"/>
      <c r="AC194" s="382"/>
      <c r="AD194" s="382"/>
    </row>
    <row r="195" spans="1:30" ht="12.75" customHeight="1" x14ac:dyDescent="0.2">
      <c r="A195" s="378"/>
      <c r="B195" s="378"/>
      <c r="C195" s="378"/>
      <c r="D195" s="379"/>
      <c r="E195" s="380"/>
      <c r="F195" s="378"/>
      <c r="G195" s="378"/>
      <c r="H195" s="378"/>
      <c r="I195" s="378"/>
      <c r="J195" s="378"/>
      <c r="K195" s="378"/>
      <c r="L195" s="378"/>
      <c r="M195" s="381"/>
      <c r="N195" s="381"/>
      <c r="O195" s="381"/>
      <c r="P195" s="381"/>
      <c r="Q195" s="381"/>
      <c r="R195" s="381"/>
      <c r="S195" s="381"/>
      <c r="T195" s="381"/>
      <c r="U195" s="381"/>
      <c r="V195" s="381"/>
      <c r="W195" s="381"/>
      <c r="X195" s="381"/>
      <c r="Y195" s="381"/>
      <c r="Z195" s="381"/>
      <c r="AA195" s="381"/>
      <c r="AB195" s="381"/>
      <c r="AC195" s="382"/>
      <c r="AD195" s="382"/>
    </row>
    <row r="196" spans="1:30" ht="12.75" customHeight="1" x14ac:dyDescent="0.2">
      <c r="A196" s="378"/>
      <c r="B196" s="378"/>
      <c r="C196" s="378"/>
      <c r="D196" s="379"/>
      <c r="E196" s="380"/>
      <c r="F196" s="378"/>
      <c r="G196" s="378"/>
      <c r="H196" s="378"/>
      <c r="I196" s="378"/>
      <c r="J196" s="378"/>
      <c r="K196" s="378"/>
      <c r="L196" s="378"/>
      <c r="M196" s="381"/>
      <c r="N196" s="381"/>
      <c r="O196" s="381"/>
      <c r="P196" s="381"/>
      <c r="Q196" s="381"/>
      <c r="R196" s="381"/>
      <c r="S196" s="381"/>
      <c r="T196" s="381"/>
      <c r="U196" s="381"/>
      <c r="V196" s="381"/>
      <c r="W196" s="381"/>
      <c r="X196" s="381"/>
      <c r="Y196" s="381"/>
      <c r="Z196" s="381"/>
      <c r="AA196" s="381"/>
      <c r="AB196" s="381"/>
      <c r="AC196" s="382"/>
      <c r="AD196" s="382"/>
    </row>
    <row r="197" spans="1:30" ht="12.75" customHeight="1" x14ac:dyDescent="0.2">
      <c r="A197" s="378"/>
      <c r="B197" s="378"/>
      <c r="C197" s="378"/>
      <c r="D197" s="379"/>
      <c r="E197" s="380"/>
      <c r="F197" s="378"/>
      <c r="G197" s="378"/>
      <c r="H197" s="378"/>
      <c r="I197" s="378"/>
      <c r="J197" s="378"/>
      <c r="K197" s="378"/>
      <c r="L197" s="378"/>
      <c r="M197" s="381"/>
      <c r="N197" s="381"/>
      <c r="O197" s="381"/>
      <c r="P197" s="381"/>
      <c r="Q197" s="381"/>
      <c r="R197" s="381"/>
      <c r="S197" s="381"/>
      <c r="T197" s="381"/>
      <c r="U197" s="381"/>
      <c r="V197" s="381"/>
      <c r="W197" s="381"/>
      <c r="X197" s="381"/>
      <c r="Y197" s="381"/>
      <c r="Z197" s="381"/>
      <c r="AA197" s="381"/>
      <c r="AB197" s="381"/>
      <c r="AC197" s="382"/>
      <c r="AD197" s="382"/>
    </row>
    <row r="198" spans="1:30" ht="12.75" customHeight="1" x14ac:dyDescent="0.2">
      <c r="A198" s="378"/>
      <c r="B198" s="378"/>
      <c r="C198" s="378"/>
      <c r="D198" s="379"/>
      <c r="E198" s="380"/>
      <c r="F198" s="378"/>
      <c r="G198" s="378"/>
      <c r="H198" s="378"/>
      <c r="I198" s="378"/>
      <c r="J198" s="378"/>
      <c r="K198" s="378"/>
      <c r="L198" s="378"/>
      <c r="M198" s="381"/>
      <c r="N198" s="381"/>
      <c r="O198" s="381"/>
      <c r="P198" s="381"/>
      <c r="Q198" s="381"/>
      <c r="R198" s="381"/>
      <c r="S198" s="381"/>
      <c r="T198" s="381"/>
      <c r="U198" s="381"/>
      <c r="V198" s="381"/>
      <c r="W198" s="381"/>
      <c r="X198" s="381"/>
      <c r="Y198" s="381"/>
      <c r="Z198" s="381"/>
      <c r="AA198" s="381"/>
      <c r="AB198" s="381"/>
      <c r="AC198" s="382"/>
      <c r="AD198" s="382"/>
    </row>
    <row r="199" spans="1:30" ht="12.75" customHeight="1" x14ac:dyDescent="0.2">
      <c r="A199" s="378"/>
      <c r="B199" s="378"/>
      <c r="C199" s="378"/>
      <c r="D199" s="379"/>
      <c r="E199" s="380"/>
      <c r="F199" s="378"/>
      <c r="G199" s="378"/>
      <c r="H199" s="378"/>
      <c r="I199" s="378"/>
      <c r="J199" s="378"/>
      <c r="K199" s="378"/>
      <c r="L199" s="378"/>
      <c r="M199" s="381"/>
      <c r="N199" s="381"/>
      <c r="O199" s="381"/>
      <c r="P199" s="381"/>
      <c r="Q199" s="381"/>
      <c r="R199" s="381"/>
      <c r="S199" s="381"/>
      <c r="T199" s="381"/>
      <c r="U199" s="381"/>
      <c r="V199" s="381"/>
      <c r="W199" s="381"/>
      <c r="X199" s="381"/>
      <c r="Y199" s="381"/>
      <c r="Z199" s="381"/>
      <c r="AA199" s="381"/>
      <c r="AB199" s="381"/>
      <c r="AC199" s="382"/>
      <c r="AD199" s="382"/>
    </row>
    <row r="200" spans="1:30" ht="12.75" customHeight="1" x14ac:dyDescent="0.2">
      <c r="A200" s="378"/>
      <c r="B200" s="378"/>
      <c r="C200" s="378"/>
      <c r="D200" s="379"/>
      <c r="E200" s="380"/>
      <c r="F200" s="378"/>
      <c r="G200" s="378"/>
      <c r="H200" s="378"/>
      <c r="I200" s="378"/>
      <c r="J200" s="378"/>
      <c r="K200" s="378"/>
      <c r="L200" s="378"/>
      <c r="M200" s="381"/>
      <c r="N200" s="381"/>
      <c r="O200" s="381"/>
      <c r="P200" s="381"/>
      <c r="Q200" s="381"/>
      <c r="R200" s="381"/>
      <c r="S200" s="381"/>
      <c r="T200" s="381"/>
      <c r="U200" s="381"/>
      <c r="V200" s="381"/>
      <c r="W200" s="381"/>
      <c r="X200" s="381"/>
      <c r="Y200" s="381"/>
      <c r="Z200" s="381"/>
      <c r="AA200" s="381"/>
      <c r="AB200" s="381"/>
      <c r="AC200" s="382"/>
      <c r="AD200" s="382"/>
    </row>
    <row r="201" spans="1:30" ht="12.75" customHeight="1" x14ac:dyDescent="0.2">
      <c r="A201" s="378"/>
      <c r="B201" s="378"/>
      <c r="C201" s="378"/>
      <c r="D201" s="379"/>
      <c r="E201" s="380"/>
      <c r="F201" s="378"/>
      <c r="G201" s="378"/>
      <c r="H201" s="378"/>
      <c r="I201" s="378"/>
      <c r="J201" s="378"/>
      <c r="K201" s="378"/>
      <c r="L201" s="378"/>
      <c r="M201" s="381"/>
      <c r="N201" s="381"/>
      <c r="O201" s="381"/>
      <c r="P201" s="381"/>
      <c r="Q201" s="381"/>
      <c r="R201" s="381"/>
      <c r="S201" s="381"/>
      <c r="T201" s="381"/>
      <c r="U201" s="381"/>
      <c r="V201" s="381"/>
      <c r="W201" s="381"/>
      <c r="X201" s="381"/>
      <c r="Y201" s="381"/>
      <c r="Z201" s="381"/>
      <c r="AA201" s="381"/>
      <c r="AB201" s="381"/>
      <c r="AC201" s="382"/>
      <c r="AD201" s="382"/>
    </row>
    <row r="202" spans="1:30" ht="12.75" customHeight="1" x14ac:dyDescent="0.2">
      <c r="A202" s="378"/>
      <c r="B202" s="378"/>
      <c r="C202" s="378"/>
      <c r="D202" s="379"/>
      <c r="E202" s="380"/>
      <c r="F202" s="378"/>
      <c r="G202" s="378"/>
      <c r="H202" s="378"/>
      <c r="I202" s="378"/>
      <c r="J202" s="378"/>
      <c r="K202" s="378"/>
      <c r="L202" s="378"/>
      <c r="M202" s="381"/>
      <c r="N202" s="381"/>
      <c r="O202" s="381"/>
      <c r="P202" s="381"/>
      <c r="Q202" s="381"/>
      <c r="R202" s="381"/>
      <c r="S202" s="381"/>
      <c r="T202" s="381"/>
      <c r="U202" s="381"/>
      <c r="V202" s="381"/>
      <c r="W202" s="381"/>
      <c r="X202" s="381"/>
      <c r="Y202" s="381"/>
      <c r="Z202" s="381"/>
      <c r="AA202" s="381"/>
      <c r="AB202" s="381"/>
      <c r="AC202" s="382"/>
      <c r="AD202" s="382"/>
    </row>
    <row r="203" spans="1:30" ht="12.75" customHeight="1" x14ac:dyDescent="0.2">
      <c r="A203" s="378"/>
      <c r="B203" s="378"/>
      <c r="C203" s="378"/>
      <c r="D203" s="379"/>
      <c r="E203" s="380"/>
      <c r="F203" s="378"/>
      <c r="G203" s="378"/>
      <c r="H203" s="378"/>
      <c r="I203" s="378"/>
      <c r="J203" s="378"/>
      <c r="K203" s="378"/>
      <c r="L203" s="378"/>
      <c r="M203" s="381"/>
      <c r="N203" s="381"/>
      <c r="O203" s="381"/>
      <c r="P203" s="381"/>
      <c r="Q203" s="381"/>
      <c r="R203" s="381"/>
      <c r="S203" s="381"/>
      <c r="T203" s="381"/>
      <c r="U203" s="381"/>
      <c r="V203" s="381"/>
      <c r="W203" s="381"/>
      <c r="X203" s="381"/>
      <c r="Y203" s="381"/>
      <c r="Z203" s="381"/>
      <c r="AA203" s="381"/>
      <c r="AB203" s="381"/>
      <c r="AC203" s="382"/>
      <c r="AD203" s="382"/>
    </row>
    <row r="204" spans="1:30" ht="12.75" customHeight="1" x14ac:dyDescent="0.2">
      <c r="A204" s="378"/>
      <c r="B204" s="378"/>
      <c r="C204" s="378"/>
      <c r="D204" s="379"/>
      <c r="E204" s="380"/>
      <c r="F204" s="378"/>
      <c r="G204" s="378"/>
      <c r="H204" s="378"/>
      <c r="I204" s="378"/>
      <c r="J204" s="378"/>
      <c r="K204" s="378"/>
      <c r="L204" s="378"/>
      <c r="M204" s="381"/>
      <c r="N204" s="381"/>
      <c r="O204" s="381"/>
      <c r="P204" s="381"/>
      <c r="Q204" s="381"/>
      <c r="R204" s="381"/>
      <c r="S204" s="381"/>
      <c r="T204" s="381"/>
      <c r="U204" s="381"/>
      <c r="V204" s="381"/>
      <c r="W204" s="381"/>
      <c r="X204" s="381"/>
      <c r="Y204" s="381"/>
      <c r="Z204" s="381"/>
      <c r="AA204" s="381"/>
      <c r="AB204" s="381"/>
      <c r="AC204" s="382"/>
      <c r="AD204" s="382"/>
    </row>
    <row r="205" spans="1:30" ht="12.75" customHeight="1" x14ac:dyDescent="0.2">
      <c r="A205" s="378"/>
      <c r="B205" s="378"/>
      <c r="C205" s="378"/>
      <c r="D205" s="379"/>
      <c r="E205" s="380"/>
      <c r="F205" s="378"/>
      <c r="G205" s="378"/>
      <c r="H205" s="378"/>
      <c r="I205" s="378"/>
      <c r="J205" s="378"/>
      <c r="K205" s="378"/>
      <c r="L205" s="378"/>
      <c r="M205" s="381"/>
      <c r="N205" s="381"/>
      <c r="O205" s="381"/>
      <c r="P205" s="381"/>
      <c r="Q205" s="381"/>
      <c r="R205" s="381"/>
      <c r="S205" s="381"/>
      <c r="T205" s="381"/>
      <c r="U205" s="381"/>
      <c r="V205" s="381"/>
      <c r="W205" s="381"/>
      <c r="X205" s="381"/>
      <c r="Y205" s="381"/>
      <c r="Z205" s="381"/>
      <c r="AA205" s="381"/>
      <c r="AB205" s="381"/>
      <c r="AC205" s="382"/>
      <c r="AD205" s="382"/>
    </row>
    <row r="206" spans="1:30" ht="12.75" customHeight="1" x14ac:dyDescent="0.2">
      <c r="A206" s="378"/>
      <c r="B206" s="378"/>
      <c r="C206" s="378"/>
      <c r="D206" s="379"/>
      <c r="E206" s="380"/>
      <c r="F206" s="378"/>
      <c r="G206" s="378"/>
      <c r="H206" s="378"/>
      <c r="I206" s="378"/>
      <c r="J206" s="378"/>
      <c r="K206" s="378"/>
      <c r="L206" s="378"/>
      <c r="M206" s="381"/>
      <c r="N206" s="381"/>
      <c r="O206" s="381"/>
      <c r="P206" s="381"/>
      <c r="Q206" s="381"/>
      <c r="R206" s="381"/>
      <c r="S206" s="381"/>
      <c r="T206" s="381"/>
      <c r="U206" s="381"/>
      <c r="V206" s="381"/>
      <c r="W206" s="381"/>
      <c r="X206" s="381"/>
      <c r="Y206" s="381"/>
      <c r="Z206" s="381"/>
      <c r="AA206" s="381"/>
      <c r="AB206" s="381"/>
      <c r="AC206" s="382"/>
      <c r="AD206" s="382"/>
    </row>
    <row r="207" spans="1:30" ht="12.75" customHeight="1" x14ac:dyDescent="0.2">
      <c r="A207" s="378"/>
      <c r="B207" s="378"/>
      <c r="C207" s="378"/>
      <c r="D207" s="379"/>
      <c r="E207" s="380"/>
      <c r="F207" s="378"/>
      <c r="G207" s="378"/>
      <c r="H207" s="378"/>
      <c r="I207" s="378"/>
      <c r="J207" s="378"/>
      <c r="K207" s="378"/>
      <c r="L207" s="378"/>
      <c r="M207" s="381"/>
      <c r="N207" s="381"/>
      <c r="O207" s="381"/>
      <c r="P207" s="381"/>
      <c r="Q207" s="381"/>
      <c r="R207" s="381"/>
      <c r="S207" s="381"/>
      <c r="T207" s="381"/>
      <c r="U207" s="381"/>
      <c r="V207" s="381"/>
      <c r="W207" s="381"/>
      <c r="X207" s="381"/>
      <c r="Y207" s="381"/>
      <c r="Z207" s="381"/>
      <c r="AA207" s="381"/>
      <c r="AB207" s="381"/>
      <c r="AC207" s="382"/>
      <c r="AD207" s="382"/>
    </row>
    <row r="208" spans="1:30" ht="12.75" customHeight="1" x14ac:dyDescent="0.2">
      <c r="A208" s="378"/>
      <c r="B208" s="378"/>
      <c r="C208" s="378"/>
      <c r="D208" s="379"/>
      <c r="E208" s="380"/>
      <c r="F208" s="378"/>
      <c r="G208" s="378"/>
      <c r="H208" s="378"/>
      <c r="I208" s="378"/>
      <c r="J208" s="378"/>
      <c r="K208" s="378"/>
      <c r="L208" s="378"/>
      <c r="M208" s="381"/>
      <c r="N208" s="381"/>
      <c r="O208" s="381"/>
      <c r="P208" s="381"/>
      <c r="Q208" s="381"/>
      <c r="R208" s="381"/>
      <c r="S208" s="381"/>
      <c r="T208" s="381"/>
      <c r="U208" s="381"/>
      <c r="V208" s="381"/>
      <c r="W208" s="381"/>
      <c r="X208" s="381"/>
      <c r="Y208" s="381"/>
      <c r="Z208" s="381"/>
      <c r="AA208" s="381"/>
      <c r="AB208" s="381"/>
      <c r="AC208" s="382"/>
      <c r="AD208" s="382"/>
    </row>
    <row r="209" spans="1:30" ht="12.75" customHeight="1" x14ac:dyDescent="0.2">
      <c r="A209" s="378"/>
      <c r="B209" s="378"/>
      <c r="C209" s="378"/>
      <c r="D209" s="379"/>
      <c r="E209" s="380"/>
      <c r="F209" s="378"/>
      <c r="G209" s="378"/>
      <c r="H209" s="378"/>
      <c r="I209" s="378"/>
      <c r="J209" s="378"/>
      <c r="K209" s="378"/>
      <c r="L209" s="378"/>
      <c r="M209" s="381"/>
      <c r="N209" s="381"/>
      <c r="O209" s="381"/>
      <c r="P209" s="381"/>
      <c r="Q209" s="381"/>
      <c r="R209" s="381"/>
      <c r="S209" s="381"/>
      <c r="T209" s="381"/>
      <c r="U209" s="381"/>
      <c r="V209" s="381"/>
      <c r="W209" s="381"/>
      <c r="X209" s="381"/>
      <c r="Y209" s="381"/>
      <c r="Z209" s="381"/>
      <c r="AA209" s="381"/>
      <c r="AB209" s="381"/>
      <c r="AC209" s="382"/>
      <c r="AD209" s="382"/>
    </row>
    <row r="210" spans="1:30" ht="12.75" customHeight="1" x14ac:dyDescent="0.2">
      <c r="A210" s="378"/>
      <c r="B210" s="378"/>
      <c r="C210" s="378"/>
      <c r="D210" s="379"/>
      <c r="E210" s="380"/>
      <c r="F210" s="378"/>
      <c r="G210" s="378"/>
      <c r="H210" s="378"/>
      <c r="I210" s="378"/>
      <c r="J210" s="378"/>
      <c r="K210" s="378"/>
      <c r="L210" s="378"/>
      <c r="M210" s="381"/>
      <c r="N210" s="381"/>
      <c r="O210" s="381"/>
      <c r="P210" s="381"/>
      <c r="Q210" s="381"/>
      <c r="R210" s="381"/>
      <c r="S210" s="381"/>
      <c r="T210" s="381"/>
      <c r="U210" s="381"/>
      <c r="V210" s="381"/>
      <c r="W210" s="381"/>
      <c r="X210" s="381"/>
      <c r="Y210" s="381"/>
      <c r="Z210" s="381"/>
      <c r="AA210" s="381"/>
      <c r="AB210" s="381"/>
      <c r="AC210" s="382"/>
      <c r="AD210" s="382"/>
    </row>
    <row r="211" spans="1:30" ht="12.75" customHeight="1" x14ac:dyDescent="0.2">
      <c r="A211" s="378"/>
      <c r="B211" s="378"/>
      <c r="C211" s="378"/>
      <c r="D211" s="379"/>
      <c r="E211" s="380"/>
      <c r="F211" s="378"/>
      <c r="G211" s="378"/>
      <c r="H211" s="378"/>
      <c r="I211" s="378"/>
      <c r="J211" s="378"/>
      <c r="K211" s="378"/>
      <c r="L211" s="378"/>
      <c r="M211" s="381"/>
      <c r="N211" s="381"/>
      <c r="O211" s="381"/>
      <c r="P211" s="381"/>
      <c r="Q211" s="381"/>
      <c r="R211" s="381"/>
      <c r="S211" s="381"/>
      <c r="T211" s="381"/>
      <c r="U211" s="381"/>
      <c r="V211" s="381"/>
      <c r="W211" s="381"/>
      <c r="X211" s="381"/>
      <c r="Y211" s="381"/>
      <c r="Z211" s="381"/>
      <c r="AA211" s="381"/>
      <c r="AB211" s="381"/>
      <c r="AC211" s="382"/>
      <c r="AD211" s="382"/>
    </row>
    <row r="212" spans="1:30" ht="12.75" customHeight="1" x14ac:dyDescent="0.2">
      <c r="A212" s="378"/>
      <c r="B212" s="378"/>
      <c r="C212" s="378"/>
      <c r="D212" s="379"/>
      <c r="E212" s="380"/>
      <c r="F212" s="378"/>
      <c r="G212" s="378"/>
      <c r="H212" s="378"/>
      <c r="I212" s="378"/>
      <c r="J212" s="378"/>
      <c r="K212" s="378"/>
      <c r="L212" s="378"/>
      <c r="M212" s="381"/>
      <c r="N212" s="381"/>
      <c r="O212" s="381"/>
      <c r="P212" s="381"/>
      <c r="Q212" s="381"/>
      <c r="R212" s="381"/>
      <c r="S212" s="381"/>
      <c r="T212" s="381"/>
      <c r="U212" s="381"/>
      <c r="V212" s="381"/>
      <c r="W212" s="381"/>
      <c r="X212" s="381"/>
      <c r="Y212" s="381"/>
      <c r="Z212" s="381"/>
      <c r="AA212" s="381"/>
      <c r="AB212" s="381"/>
      <c r="AC212" s="382"/>
      <c r="AD212" s="382"/>
    </row>
    <row r="213" spans="1:30" ht="12.75" customHeight="1" x14ac:dyDescent="0.2">
      <c r="A213" s="378"/>
      <c r="B213" s="378"/>
      <c r="C213" s="378"/>
      <c r="D213" s="379"/>
      <c r="E213" s="380"/>
      <c r="F213" s="378"/>
      <c r="G213" s="378"/>
      <c r="H213" s="378"/>
      <c r="I213" s="378"/>
      <c r="J213" s="378"/>
      <c r="K213" s="378"/>
      <c r="L213" s="378"/>
      <c r="M213" s="381"/>
      <c r="N213" s="381"/>
      <c r="O213" s="381"/>
      <c r="P213" s="381"/>
      <c r="Q213" s="381"/>
      <c r="R213" s="381"/>
      <c r="S213" s="381"/>
      <c r="T213" s="381"/>
      <c r="U213" s="381"/>
      <c r="V213" s="381"/>
      <c r="W213" s="381"/>
      <c r="X213" s="381"/>
      <c r="Y213" s="381"/>
      <c r="Z213" s="381"/>
      <c r="AA213" s="381"/>
      <c r="AB213" s="381"/>
      <c r="AC213" s="382"/>
      <c r="AD213" s="382"/>
    </row>
    <row r="214" spans="1:30" ht="12.75" customHeight="1" x14ac:dyDescent="0.2">
      <c r="A214" s="378"/>
      <c r="B214" s="378"/>
      <c r="C214" s="378"/>
      <c r="D214" s="379"/>
      <c r="E214" s="380"/>
      <c r="F214" s="378"/>
      <c r="G214" s="378"/>
      <c r="H214" s="378"/>
      <c r="I214" s="378"/>
      <c r="J214" s="378"/>
      <c r="K214" s="378"/>
      <c r="L214" s="378"/>
      <c r="M214" s="381"/>
      <c r="N214" s="381"/>
      <c r="O214" s="381"/>
      <c r="P214" s="381"/>
      <c r="Q214" s="381"/>
      <c r="R214" s="381"/>
      <c r="S214" s="381"/>
      <c r="T214" s="381"/>
      <c r="U214" s="381"/>
      <c r="V214" s="381"/>
      <c r="W214" s="381"/>
      <c r="X214" s="381"/>
      <c r="Y214" s="381"/>
      <c r="Z214" s="381"/>
      <c r="AA214" s="381"/>
      <c r="AB214" s="381"/>
      <c r="AC214" s="382"/>
      <c r="AD214" s="382"/>
    </row>
    <row r="215" spans="1:30" ht="12.75" customHeight="1" x14ac:dyDescent="0.2">
      <c r="A215" s="378"/>
      <c r="B215" s="378"/>
      <c r="C215" s="378"/>
      <c r="D215" s="379"/>
      <c r="E215" s="380"/>
      <c r="F215" s="378"/>
      <c r="G215" s="378"/>
      <c r="H215" s="378"/>
      <c r="I215" s="378"/>
      <c r="J215" s="378"/>
      <c r="K215" s="378"/>
      <c r="L215" s="378"/>
      <c r="M215" s="381"/>
      <c r="N215" s="381"/>
      <c r="O215" s="381"/>
      <c r="P215" s="381"/>
      <c r="Q215" s="381"/>
      <c r="R215" s="381"/>
      <c r="S215" s="381"/>
      <c r="T215" s="381"/>
      <c r="U215" s="381"/>
      <c r="V215" s="381"/>
      <c r="W215" s="381"/>
      <c r="X215" s="381"/>
      <c r="Y215" s="381"/>
      <c r="Z215" s="381"/>
      <c r="AA215" s="381"/>
      <c r="AB215" s="381"/>
      <c r="AC215" s="382"/>
      <c r="AD215" s="382"/>
    </row>
    <row r="216" spans="1:30" ht="12.75" customHeight="1" x14ac:dyDescent="0.2">
      <c r="A216" s="378"/>
      <c r="B216" s="378"/>
      <c r="C216" s="378"/>
      <c r="D216" s="379"/>
      <c r="E216" s="380"/>
      <c r="F216" s="378"/>
      <c r="G216" s="378"/>
      <c r="H216" s="378"/>
      <c r="I216" s="378"/>
      <c r="J216" s="378"/>
      <c r="K216" s="378"/>
      <c r="L216" s="378"/>
      <c r="M216" s="381"/>
      <c r="N216" s="381"/>
      <c r="O216" s="381"/>
      <c r="P216" s="381"/>
      <c r="Q216" s="381"/>
      <c r="R216" s="381"/>
      <c r="S216" s="381"/>
      <c r="T216" s="381"/>
      <c r="U216" s="381"/>
      <c r="V216" s="381"/>
      <c r="W216" s="381"/>
      <c r="X216" s="381"/>
      <c r="Y216" s="381"/>
      <c r="Z216" s="381"/>
      <c r="AA216" s="381"/>
      <c r="AB216" s="381"/>
      <c r="AC216" s="382"/>
      <c r="AD216" s="382"/>
    </row>
    <row r="217" spans="1:30" ht="12.75" customHeight="1" x14ac:dyDescent="0.2">
      <c r="A217" s="378"/>
      <c r="B217" s="378"/>
      <c r="C217" s="378"/>
      <c r="D217" s="379"/>
      <c r="E217" s="380"/>
      <c r="F217" s="378"/>
      <c r="G217" s="378"/>
      <c r="H217" s="378"/>
      <c r="I217" s="378"/>
      <c r="J217" s="378"/>
      <c r="K217" s="378"/>
      <c r="L217" s="378"/>
      <c r="M217" s="381"/>
      <c r="N217" s="381"/>
      <c r="O217" s="381"/>
      <c r="P217" s="381"/>
      <c r="Q217" s="381"/>
      <c r="R217" s="381"/>
      <c r="S217" s="381"/>
      <c r="T217" s="381"/>
      <c r="U217" s="381"/>
      <c r="V217" s="381"/>
      <c r="W217" s="381"/>
      <c r="X217" s="381"/>
      <c r="Y217" s="381"/>
      <c r="Z217" s="381"/>
      <c r="AA217" s="381"/>
      <c r="AB217" s="381"/>
      <c r="AC217" s="382"/>
      <c r="AD217" s="382"/>
    </row>
    <row r="218" spans="1:30" ht="12.75" customHeight="1" x14ac:dyDescent="0.2">
      <c r="A218" s="378"/>
      <c r="B218" s="378"/>
      <c r="C218" s="378"/>
      <c r="D218" s="379"/>
      <c r="E218" s="380"/>
      <c r="F218" s="378"/>
      <c r="G218" s="378"/>
      <c r="H218" s="378"/>
      <c r="I218" s="378"/>
      <c r="J218" s="378"/>
      <c r="K218" s="378"/>
      <c r="L218" s="378"/>
      <c r="M218" s="381"/>
      <c r="N218" s="381"/>
      <c r="O218" s="381"/>
      <c r="P218" s="381"/>
      <c r="Q218" s="381"/>
      <c r="R218" s="381"/>
      <c r="S218" s="381"/>
      <c r="T218" s="381"/>
      <c r="U218" s="381"/>
      <c r="V218" s="381"/>
      <c r="W218" s="381"/>
      <c r="X218" s="381"/>
      <c r="Y218" s="381"/>
      <c r="Z218" s="381"/>
      <c r="AA218" s="381"/>
      <c r="AB218" s="381"/>
      <c r="AC218" s="382"/>
      <c r="AD218" s="382"/>
    </row>
    <row r="219" spans="1:30" ht="12.75" customHeight="1" x14ac:dyDescent="0.2">
      <c r="A219" s="378"/>
      <c r="B219" s="378"/>
      <c r="C219" s="378"/>
      <c r="D219" s="379"/>
      <c r="E219" s="380"/>
      <c r="F219" s="378"/>
      <c r="G219" s="378"/>
      <c r="H219" s="378"/>
      <c r="I219" s="378"/>
      <c r="J219" s="378"/>
      <c r="K219" s="378"/>
      <c r="L219" s="378"/>
      <c r="M219" s="381"/>
      <c r="N219" s="381"/>
      <c r="O219" s="381"/>
      <c r="P219" s="381"/>
      <c r="Q219" s="381"/>
      <c r="R219" s="381"/>
      <c r="S219" s="381"/>
      <c r="T219" s="381"/>
      <c r="U219" s="381"/>
      <c r="V219" s="381"/>
      <c r="W219" s="381"/>
      <c r="X219" s="381"/>
      <c r="Y219" s="381"/>
      <c r="Z219" s="381"/>
      <c r="AA219" s="381"/>
      <c r="AB219" s="381"/>
      <c r="AC219" s="382"/>
      <c r="AD219" s="382"/>
    </row>
    <row r="220" spans="1:30" ht="12.75" customHeight="1" x14ac:dyDescent="0.2">
      <c r="A220" s="378"/>
      <c r="B220" s="378"/>
      <c r="C220" s="378"/>
      <c r="D220" s="379"/>
      <c r="E220" s="380"/>
      <c r="F220" s="378"/>
      <c r="G220" s="378"/>
      <c r="H220" s="378"/>
      <c r="I220" s="378"/>
      <c r="J220" s="378"/>
      <c r="K220" s="378"/>
      <c r="L220" s="378"/>
      <c r="M220" s="381"/>
      <c r="N220" s="381"/>
      <c r="O220" s="381"/>
      <c r="P220" s="381"/>
      <c r="Q220" s="381"/>
      <c r="R220" s="381"/>
      <c r="S220" s="381"/>
      <c r="T220" s="381"/>
      <c r="U220" s="381"/>
      <c r="V220" s="381"/>
      <c r="W220" s="381"/>
      <c r="X220" s="381"/>
      <c r="Y220" s="381"/>
      <c r="Z220" s="381"/>
      <c r="AA220" s="381"/>
      <c r="AB220" s="381"/>
      <c r="AC220" s="382"/>
      <c r="AD220" s="382"/>
    </row>
    <row r="221" spans="1:30" ht="12.75" customHeight="1" x14ac:dyDescent="0.2">
      <c r="A221" s="378"/>
      <c r="B221" s="378"/>
      <c r="C221" s="378"/>
      <c r="D221" s="379"/>
      <c r="E221" s="380"/>
      <c r="F221" s="378"/>
      <c r="G221" s="378"/>
      <c r="H221" s="378"/>
      <c r="I221" s="378"/>
      <c r="J221" s="378"/>
      <c r="K221" s="378"/>
      <c r="L221" s="378"/>
      <c r="M221" s="381"/>
      <c r="N221" s="381"/>
      <c r="O221" s="381"/>
      <c r="P221" s="381"/>
      <c r="Q221" s="381"/>
      <c r="R221" s="381"/>
      <c r="S221" s="381"/>
      <c r="T221" s="381"/>
      <c r="U221" s="381"/>
      <c r="V221" s="381"/>
      <c r="W221" s="381"/>
      <c r="X221" s="381"/>
      <c r="Y221" s="381"/>
      <c r="Z221" s="381"/>
      <c r="AA221" s="381"/>
      <c r="AB221" s="381"/>
      <c r="AC221" s="382"/>
      <c r="AD221" s="382"/>
    </row>
    <row r="222" spans="1:30" ht="12.75" customHeight="1" x14ac:dyDescent="0.2">
      <c r="A222" s="378"/>
      <c r="B222" s="378"/>
      <c r="C222" s="378"/>
      <c r="D222" s="379"/>
      <c r="E222" s="380"/>
      <c r="F222" s="378"/>
      <c r="G222" s="378"/>
      <c r="H222" s="378"/>
      <c r="I222" s="378"/>
      <c r="J222" s="378"/>
      <c r="K222" s="378"/>
      <c r="L222" s="378"/>
      <c r="M222" s="381"/>
      <c r="N222" s="381"/>
      <c r="O222" s="381"/>
      <c r="P222" s="381"/>
      <c r="Q222" s="381"/>
      <c r="R222" s="381"/>
      <c r="S222" s="381"/>
      <c r="T222" s="381"/>
      <c r="U222" s="381"/>
      <c r="V222" s="381"/>
      <c r="W222" s="381"/>
      <c r="X222" s="381"/>
      <c r="Y222" s="381"/>
      <c r="Z222" s="381"/>
      <c r="AA222" s="381"/>
      <c r="AB222" s="381"/>
      <c r="AC222" s="382"/>
      <c r="AD222" s="382"/>
    </row>
    <row r="223" spans="1:30" ht="12.75" customHeight="1" x14ac:dyDescent="0.2">
      <c r="A223" s="378"/>
      <c r="B223" s="378"/>
      <c r="C223" s="378"/>
      <c r="D223" s="379"/>
      <c r="E223" s="380"/>
      <c r="F223" s="378"/>
      <c r="G223" s="378"/>
      <c r="H223" s="378"/>
      <c r="I223" s="378"/>
      <c r="J223" s="378"/>
      <c r="K223" s="378"/>
      <c r="L223" s="378"/>
      <c r="M223" s="381"/>
      <c r="N223" s="381"/>
      <c r="O223" s="381"/>
      <c r="P223" s="381"/>
      <c r="Q223" s="381"/>
      <c r="R223" s="381"/>
      <c r="S223" s="381"/>
      <c r="T223" s="381"/>
      <c r="U223" s="381"/>
      <c r="V223" s="381"/>
      <c r="W223" s="381"/>
      <c r="X223" s="381"/>
      <c r="Y223" s="381"/>
      <c r="Z223" s="381"/>
      <c r="AA223" s="381"/>
      <c r="AB223" s="381"/>
      <c r="AC223" s="382"/>
      <c r="AD223" s="382"/>
    </row>
    <row r="224" spans="1:30" ht="12.75" customHeight="1" x14ac:dyDescent="0.2">
      <c r="A224" s="378"/>
      <c r="B224" s="378"/>
      <c r="C224" s="378"/>
      <c r="D224" s="379"/>
      <c r="E224" s="380"/>
      <c r="F224" s="378"/>
      <c r="G224" s="378"/>
      <c r="H224" s="378"/>
      <c r="I224" s="378"/>
      <c r="J224" s="378"/>
      <c r="K224" s="378"/>
      <c r="L224" s="378"/>
      <c r="M224" s="381"/>
      <c r="N224" s="381"/>
      <c r="O224" s="381"/>
      <c r="P224" s="381"/>
      <c r="Q224" s="381"/>
      <c r="R224" s="381"/>
      <c r="S224" s="381"/>
      <c r="T224" s="381"/>
      <c r="U224" s="381"/>
      <c r="V224" s="381"/>
      <c r="W224" s="381"/>
      <c r="X224" s="381"/>
      <c r="Y224" s="381"/>
      <c r="Z224" s="381"/>
      <c r="AA224" s="381"/>
      <c r="AB224" s="381"/>
      <c r="AC224" s="382"/>
      <c r="AD224" s="382"/>
    </row>
    <row r="225" spans="1:30" ht="12.75" customHeight="1" x14ac:dyDescent="0.2">
      <c r="A225" s="378"/>
      <c r="B225" s="378"/>
      <c r="C225" s="378"/>
      <c r="D225" s="379"/>
      <c r="E225" s="380"/>
      <c r="F225" s="378"/>
      <c r="G225" s="378"/>
      <c r="H225" s="378"/>
      <c r="I225" s="378"/>
      <c r="J225" s="378"/>
      <c r="K225" s="378"/>
      <c r="L225" s="378"/>
      <c r="M225" s="381"/>
      <c r="N225" s="381"/>
      <c r="O225" s="381"/>
      <c r="P225" s="381"/>
      <c r="Q225" s="381"/>
      <c r="R225" s="381"/>
      <c r="S225" s="381"/>
      <c r="T225" s="381"/>
      <c r="U225" s="381"/>
      <c r="V225" s="381"/>
      <c r="W225" s="381"/>
      <c r="X225" s="381"/>
      <c r="Y225" s="381"/>
      <c r="Z225" s="381"/>
      <c r="AA225" s="381"/>
      <c r="AB225" s="381"/>
      <c r="AC225" s="382"/>
      <c r="AD225" s="382"/>
    </row>
    <row r="226" spans="1:30" ht="12.75" customHeight="1" x14ac:dyDescent="0.2">
      <c r="A226" s="378"/>
      <c r="B226" s="378"/>
      <c r="C226" s="378"/>
      <c r="D226" s="379"/>
      <c r="E226" s="380"/>
      <c r="F226" s="378"/>
      <c r="G226" s="378"/>
      <c r="H226" s="378"/>
      <c r="I226" s="378"/>
      <c r="J226" s="378"/>
      <c r="K226" s="378"/>
      <c r="L226" s="378"/>
      <c r="M226" s="381"/>
      <c r="N226" s="381"/>
      <c r="O226" s="381"/>
      <c r="P226" s="381"/>
      <c r="Q226" s="381"/>
      <c r="R226" s="381"/>
      <c r="S226" s="381"/>
      <c r="T226" s="381"/>
      <c r="U226" s="381"/>
      <c r="V226" s="381"/>
      <c r="W226" s="381"/>
      <c r="X226" s="381"/>
      <c r="Y226" s="381"/>
      <c r="Z226" s="381"/>
      <c r="AA226" s="381"/>
      <c r="AB226" s="381"/>
      <c r="AC226" s="382"/>
      <c r="AD226" s="382"/>
    </row>
    <row r="227" spans="1:30" ht="12.75" customHeight="1" x14ac:dyDescent="0.2">
      <c r="A227" s="378"/>
      <c r="B227" s="378"/>
      <c r="C227" s="378"/>
      <c r="D227" s="379"/>
      <c r="E227" s="380"/>
      <c r="F227" s="378"/>
      <c r="G227" s="378"/>
      <c r="H227" s="378"/>
      <c r="I227" s="378"/>
      <c r="J227" s="378"/>
      <c r="K227" s="378"/>
      <c r="L227" s="378"/>
      <c r="M227" s="381"/>
      <c r="N227" s="381"/>
      <c r="O227" s="381"/>
      <c r="P227" s="381"/>
      <c r="Q227" s="381"/>
      <c r="R227" s="381"/>
      <c r="S227" s="381"/>
      <c r="T227" s="381"/>
      <c r="U227" s="381"/>
      <c r="V227" s="381"/>
      <c r="W227" s="381"/>
      <c r="X227" s="381"/>
      <c r="Y227" s="381"/>
      <c r="Z227" s="381"/>
      <c r="AA227" s="381"/>
      <c r="AB227" s="381"/>
      <c r="AC227" s="382"/>
      <c r="AD227" s="382"/>
    </row>
    <row r="228" spans="1:30" ht="12.75" customHeight="1" x14ac:dyDescent="0.2">
      <c r="A228" s="378"/>
      <c r="B228" s="378"/>
      <c r="C228" s="378"/>
      <c r="D228" s="379"/>
      <c r="E228" s="380"/>
      <c r="F228" s="378"/>
      <c r="G228" s="378"/>
      <c r="H228" s="378"/>
      <c r="I228" s="378"/>
      <c r="J228" s="378"/>
      <c r="K228" s="378"/>
      <c r="L228" s="378"/>
      <c r="M228" s="381"/>
      <c r="N228" s="381"/>
      <c r="O228" s="381"/>
      <c r="P228" s="381"/>
      <c r="Q228" s="381"/>
      <c r="R228" s="381"/>
      <c r="S228" s="381"/>
      <c r="T228" s="381"/>
      <c r="U228" s="381"/>
      <c r="V228" s="381"/>
      <c r="W228" s="381"/>
      <c r="X228" s="381"/>
      <c r="Y228" s="381"/>
      <c r="Z228" s="381"/>
      <c r="AA228" s="381"/>
      <c r="AB228" s="381"/>
      <c r="AC228" s="382"/>
      <c r="AD228" s="382"/>
    </row>
    <row r="229" spans="1:30" ht="12.75" customHeight="1" x14ac:dyDescent="0.2">
      <c r="A229" s="378"/>
      <c r="B229" s="378"/>
      <c r="C229" s="378"/>
      <c r="D229" s="379"/>
      <c r="E229" s="380"/>
      <c r="F229" s="378"/>
      <c r="G229" s="378"/>
      <c r="H229" s="378"/>
      <c r="I229" s="378"/>
      <c r="J229" s="378"/>
      <c r="K229" s="378"/>
      <c r="L229" s="378"/>
      <c r="M229" s="381"/>
      <c r="N229" s="381"/>
      <c r="O229" s="381"/>
      <c r="P229" s="381"/>
      <c r="Q229" s="381"/>
      <c r="R229" s="381"/>
      <c r="S229" s="381"/>
      <c r="T229" s="381"/>
      <c r="U229" s="381"/>
      <c r="V229" s="381"/>
      <c r="W229" s="381"/>
      <c r="X229" s="381"/>
      <c r="Y229" s="381"/>
      <c r="Z229" s="381"/>
      <c r="AA229" s="381"/>
      <c r="AB229" s="381"/>
      <c r="AC229" s="382"/>
      <c r="AD229" s="382"/>
    </row>
    <row r="230" spans="1:30" ht="12.75" customHeight="1" x14ac:dyDescent="0.2">
      <c r="A230" s="378"/>
      <c r="B230" s="378"/>
      <c r="C230" s="378"/>
      <c r="D230" s="379"/>
      <c r="E230" s="380"/>
      <c r="F230" s="378"/>
      <c r="G230" s="378"/>
      <c r="H230" s="378"/>
      <c r="I230" s="378"/>
      <c r="J230" s="378"/>
      <c r="K230" s="378"/>
      <c r="L230" s="378"/>
      <c r="M230" s="381"/>
      <c r="N230" s="381"/>
      <c r="O230" s="381"/>
      <c r="P230" s="381"/>
      <c r="Q230" s="381"/>
      <c r="R230" s="381"/>
      <c r="S230" s="381"/>
      <c r="T230" s="381"/>
      <c r="U230" s="381"/>
      <c r="V230" s="381"/>
      <c r="W230" s="381"/>
      <c r="X230" s="381"/>
      <c r="Y230" s="381"/>
      <c r="Z230" s="381"/>
      <c r="AA230" s="381"/>
      <c r="AB230" s="381"/>
      <c r="AC230" s="382"/>
      <c r="AD230" s="382"/>
    </row>
    <row r="231" spans="1:30" ht="12.75" customHeight="1" x14ac:dyDescent="0.2">
      <c r="A231" s="378"/>
      <c r="B231" s="378"/>
      <c r="C231" s="378"/>
      <c r="D231" s="379"/>
      <c r="E231" s="380"/>
      <c r="F231" s="378"/>
      <c r="G231" s="378"/>
      <c r="H231" s="378"/>
      <c r="I231" s="378"/>
      <c r="J231" s="378"/>
      <c r="K231" s="378"/>
      <c r="L231" s="378"/>
      <c r="M231" s="381"/>
      <c r="N231" s="381"/>
      <c r="O231" s="381"/>
      <c r="P231" s="381"/>
      <c r="Q231" s="381"/>
      <c r="R231" s="381"/>
      <c r="S231" s="381"/>
      <c r="T231" s="381"/>
      <c r="U231" s="381"/>
      <c r="V231" s="381"/>
      <c r="W231" s="381"/>
      <c r="X231" s="381"/>
      <c r="Y231" s="381"/>
      <c r="Z231" s="381"/>
      <c r="AA231" s="381"/>
      <c r="AB231" s="381"/>
      <c r="AC231" s="382"/>
      <c r="AD231" s="382"/>
    </row>
    <row r="232" spans="1:30" ht="12.75" customHeight="1" x14ac:dyDescent="0.2">
      <c r="A232" s="378"/>
      <c r="B232" s="378"/>
      <c r="C232" s="378"/>
      <c r="D232" s="379"/>
      <c r="E232" s="380"/>
      <c r="F232" s="378"/>
      <c r="G232" s="378"/>
      <c r="H232" s="378"/>
      <c r="I232" s="378"/>
      <c r="J232" s="378"/>
      <c r="K232" s="378"/>
      <c r="L232" s="378"/>
      <c r="M232" s="381"/>
      <c r="N232" s="381"/>
      <c r="O232" s="381"/>
      <c r="P232" s="381"/>
      <c r="Q232" s="381"/>
      <c r="R232" s="381"/>
      <c r="S232" s="381"/>
      <c r="T232" s="381"/>
      <c r="U232" s="381"/>
      <c r="V232" s="381"/>
      <c r="W232" s="381"/>
      <c r="X232" s="381"/>
      <c r="Y232" s="381"/>
      <c r="Z232" s="381"/>
      <c r="AA232" s="381"/>
      <c r="AB232" s="381"/>
      <c r="AC232" s="382"/>
      <c r="AD232" s="382"/>
    </row>
    <row r="233" spans="1:30" ht="12.75" customHeight="1" x14ac:dyDescent="0.2">
      <c r="A233" s="378"/>
      <c r="B233" s="378"/>
      <c r="C233" s="378"/>
      <c r="D233" s="379"/>
      <c r="E233" s="380"/>
      <c r="F233" s="378"/>
      <c r="G233" s="378"/>
      <c r="H233" s="378"/>
      <c r="I233" s="378"/>
      <c r="J233" s="378"/>
      <c r="K233" s="378"/>
      <c r="L233" s="378"/>
      <c r="M233" s="381"/>
      <c r="N233" s="381"/>
      <c r="O233" s="381"/>
      <c r="P233" s="381"/>
      <c r="Q233" s="381"/>
      <c r="R233" s="381"/>
      <c r="S233" s="381"/>
      <c r="T233" s="381"/>
      <c r="U233" s="381"/>
      <c r="V233" s="381"/>
      <c r="W233" s="381"/>
      <c r="X233" s="381"/>
      <c r="Y233" s="381"/>
      <c r="Z233" s="381"/>
      <c r="AA233" s="381"/>
      <c r="AB233" s="381"/>
      <c r="AC233" s="382"/>
      <c r="AD233" s="382"/>
    </row>
    <row r="234" spans="1:30" ht="12.75" customHeight="1" x14ac:dyDescent="0.2">
      <c r="A234" s="378"/>
      <c r="B234" s="378"/>
      <c r="C234" s="378"/>
      <c r="D234" s="379"/>
      <c r="E234" s="380"/>
      <c r="F234" s="378"/>
      <c r="G234" s="378"/>
      <c r="H234" s="378"/>
      <c r="I234" s="378"/>
      <c r="J234" s="378"/>
      <c r="K234" s="378"/>
      <c r="L234" s="378"/>
      <c r="M234" s="381"/>
      <c r="N234" s="381"/>
      <c r="O234" s="381"/>
      <c r="P234" s="381"/>
      <c r="Q234" s="381"/>
      <c r="R234" s="381"/>
      <c r="S234" s="381"/>
      <c r="T234" s="381"/>
      <c r="U234" s="381"/>
      <c r="V234" s="381"/>
      <c r="W234" s="381"/>
      <c r="X234" s="381"/>
      <c r="Y234" s="381"/>
      <c r="Z234" s="381"/>
      <c r="AA234" s="381"/>
      <c r="AB234" s="381"/>
      <c r="AC234" s="382"/>
      <c r="AD234" s="382"/>
    </row>
    <row r="235" spans="1:30" ht="12.75" customHeight="1" x14ac:dyDescent="0.2">
      <c r="A235" s="378"/>
      <c r="B235" s="378"/>
      <c r="C235" s="378"/>
      <c r="D235" s="379"/>
      <c r="E235" s="380"/>
      <c r="F235" s="378"/>
      <c r="G235" s="378"/>
      <c r="H235" s="378"/>
      <c r="I235" s="378"/>
      <c r="J235" s="378"/>
      <c r="K235" s="378"/>
      <c r="L235" s="378"/>
      <c r="M235" s="381"/>
      <c r="N235" s="381"/>
      <c r="O235" s="381"/>
      <c r="P235" s="381"/>
      <c r="Q235" s="381"/>
      <c r="R235" s="381"/>
      <c r="S235" s="381"/>
      <c r="T235" s="381"/>
      <c r="U235" s="381"/>
      <c r="V235" s="381"/>
      <c r="W235" s="381"/>
      <c r="X235" s="381"/>
      <c r="Y235" s="381"/>
      <c r="Z235" s="381"/>
      <c r="AA235" s="381"/>
      <c r="AB235" s="381"/>
      <c r="AC235" s="382"/>
      <c r="AD235" s="382"/>
    </row>
    <row r="236" spans="1:30" ht="12.75" customHeight="1" x14ac:dyDescent="0.2">
      <c r="A236" s="378"/>
      <c r="B236" s="378"/>
      <c r="C236" s="378"/>
      <c r="D236" s="379"/>
      <c r="E236" s="380"/>
      <c r="F236" s="378"/>
      <c r="G236" s="378"/>
      <c r="H236" s="378"/>
      <c r="I236" s="378"/>
      <c r="J236" s="378"/>
      <c r="K236" s="378"/>
      <c r="L236" s="378"/>
      <c r="M236" s="381"/>
      <c r="N236" s="381"/>
      <c r="O236" s="381"/>
      <c r="P236" s="381"/>
      <c r="Q236" s="381"/>
      <c r="R236" s="381"/>
      <c r="S236" s="381"/>
      <c r="T236" s="381"/>
      <c r="U236" s="381"/>
      <c r="V236" s="381"/>
      <c r="W236" s="381"/>
      <c r="X236" s="381"/>
      <c r="Y236" s="381"/>
      <c r="Z236" s="381"/>
      <c r="AA236" s="381"/>
      <c r="AB236" s="381"/>
      <c r="AC236" s="382"/>
      <c r="AD236" s="382"/>
    </row>
    <row r="237" spans="1:30" ht="12.75" customHeight="1" x14ac:dyDescent="0.2">
      <c r="A237" s="378"/>
      <c r="B237" s="378"/>
      <c r="C237" s="378"/>
      <c r="D237" s="379"/>
      <c r="E237" s="380"/>
      <c r="F237" s="378"/>
      <c r="G237" s="378"/>
      <c r="H237" s="378"/>
      <c r="I237" s="378"/>
      <c r="J237" s="378"/>
      <c r="K237" s="378"/>
      <c r="L237" s="378"/>
      <c r="M237" s="381"/>
      <c r="N237" s="381"/>
      <c r="O237" s="381"/>
      <c r="P237" s="381"/>
      <c r="Q237" s="381"/>
      <c r="R237" s="381"/>
      <c r="S237" s="381"/>
      <c r="T237" s="381"/>
      <c r="U237" s="381"/>
      <c r="V237" s="381"/>
      <c r="W237" s="381"/>
      <c r="X237" s="381"/>
      <c r="Y237" s="381"/>
      <c r="Z237" s="381"/>
      <c r="AA237" s="381"/>
      <c r="AB237" s="381"/>
      <c r="AC237" s="382"/>
      <c r="AD237" s="382"/>
    </row>
    <row r="238" spans="1:30" ht="12.75" customHeight="1" x14ac:dyDescent="0.2">
      <c r="A238" s="378"/>
      <c r="B238" s="378"/>
      <c r="C238" s="378"/>
      <c r="D238" s="379"/>
      <c r="E238" s="380"/>
      <c r="F238" s="378"/>
      <c r="G238" s="378"/>
      <c r="H238" s="378"/>
      <c r="I238" s="378"/>
      <c r="J238" s="378"/>
      <c r="K238" s="378"/>
      <c r="L238" s="378"/>
      <c r="M238" s="381"/>
      <c r="N238" s="381"/>
      <c r="O238" s="381"/>
      <c r="P238" s="381"/>
      <c r="Q238" s="381"/>
      <c r="R238" s="381"/>
      <c r="S238" s="381"/>
      <c r="T238" s="381"/>
      <c r="U238" s="381"/>
      <c r="V238" s="381"/>
      <c r="W238" s="381"/>
      <c r="X238" s="381"/>
      <c r="Y238" s="381"/>
      <c r="Z238" s="381"/>
      <c r="AA238" s="381"/>
      <c r="AB238" s="381"/>
      <c r="AC238" s="382"/>
      <c r="AD238" s="382"/>
    </row>
    <row r="239" spans="1:30" ht="12.75" customHeight="1" x14ac:dyDescent="0.2">
      <c r="A239" s="378"/>
      <c r="B239" s="378"/>
      <c r="C239" s="378"/>
      <c r="D239" s="379"/>
      <c r="E239" s="380"/>
      <c r="F239" s="378"/>
      <c r="G239" s="378"/>
      <c r="H239" s="378"/>
      <c r="I239" s="378"/>
      <c r="J239" s="378"/>
      <c r="K239" s="378"/>
      <c r="L239" s="378"/>
      <c r="M239" s="381"/>
      <c r="N239" s="381"/>
      <c r="O239" s="381"/>
      <c r="P239" s="381"/>
      <c r="Q239" s="381"/>
      <c r="R239" s="381"/>
      <c r="S239" s="381"/>
      <c r="T239" s="381"/>
      <c r="U239" s="381"/>
      <c r="V239" s="381"/>
      <c r="W239" s="381"/>
      <c r="X239" s="381"/>
      <c r="Y239" s="381"/>
      <c r="Z239" s="381"/>
      <c r="AA239" s="381"/>
      <c r="AB239" s="381"/>
      <c r="AC239" s="382"/>
      <c r="AD239" s="382"/>
    </row>
    <row r="240" spans="1:30" ht="12.75" customHeight="1" x14ac:dyDescent="0.2">
      <c r="A240" s="378"/>
      <c r="B240" s="378"/>
      <c r="C240" s="378"/>
      <c r="D240" s="379"/>
      <c r="E240" s="380"/>
      <c r="F240" s="378"/>
      <c r="G240" s="378"/>
      <c r="H240" s="378"/>
      <c r="I240" s="378"/>
      <c r="J240" s="378"/>
      <c r="K240" s="378"/>
      <c r="L240" s="378"/>
      <c r="M240" s="381"/>
      <c r="N240" s="381"/>
      <c r="O240" s="381"/>
      <c r="P240" s="381"/>
      <c r="Q240" s="381"/>
      <c r="R240" s="381"/>
      <c r="S240" s="381"/>
      <c r="T240" s="381"/>
      <c r="U240" s="381"/>
      <c r="V240" s="381"/>
      <c r="W240" s="381"/>
      <c r="X240" s="381"/>
      <c r="Y240" s="381"/>
      <c r="Z240" s="381"/>
      <c r="AA240" s="381"/>
      <c r="AB240" s="381"/>
      <c r="AC240" s="382"/>
      <c r="AD240" s="382"/>
    </row>
    <row r="241" spans="1:30" ht="12.75" customHeight="1" x14ac:dyDescent="0.2">
      <c r="A241" s="378"/>
      <c r="B241" s="378"/>
      <c r="C241" s="378"/>
      <c r="D241" s="379"/>
      <c r="E241" s="380"/>
      <c r="F241" s="378"/>
      <c r="G241" s="378"/>
      <c r="H241" s="378"/>
      <c r="I241" s="378"/>
      <c r="J241" s="378"/>
      <c r="K241" s="378"/>
      <c r="L241" s="378"/>
      <c r="M241" s="381"/>
      <c r="N241" s="381"/>
      <c r="O241" s="381"/>
      <c r="P241" s="381"/>
      <c r="Q241" s="381"/>
      <c r="R241" s="381"/>
      <c r="S241" s="381"/>
      <c r="T241" s="381"/>
      <c r="U241" s="381"/>
      <c r="V241" s="381"/>
      <c r="W241" s="381"/>
      <c r="X241" s="381"/>
      <c r="Y241" s="381"/>
      <c r="Z241" s="381"/>
      <c r="AA241" s="381"/>
      <c r="AB241" s="381"/>
      <c r="AC241" s="382"/>
      <c r="AD241" s="382"/>
    </row>
    <row r="242" spans="1:30" ht="12.75" customHeight="1" x14ac:dyDescent="0.2">
      <c r="A242" s="378"/>
      <c r="B242" s="378"/>
      <c r="C242" s="378"/>
      <c r="D242" s="379"/>
      <c r="E242" s="380"/>
      <c r="F242" s="378"/>
      <c r="G242" s="378"/>
      <c r="H242" s="378"/>
      <c r="I242" s="378"/>
      <c r="J242" s="378"/>
      <c r="K242" s="378"/>
      <c r="L242" s="378"/>
      <c r="M242" s="381"/>
      <c r="N242" s="381"/>
      <c r="O242" s="381"/>
      <c r="P242" s="381"/>
      <c r="Q242" s="381"/>
      <c r="R242" s="381"/>
      <c r="S242" s="381"/>
      <c r="T242" s="381"/>
      <c r="U242" s="381"/>
      <c r="V242" s="381"/>
      <c r="W242" s="381"/>
      <c r="X242" s="381"/>
      <c r="Y242" s="381"/>
      <c r="Z242" s="381"/>
      <c r="AA242" s="381"/>
      <c r="AB242" s="381"/>
      <c r="AC242" s="382"/>
      <c r="AD242" s="382"/>
    </row>
    <row r="243" spans="1:30" ht="12.75" customHeight="1" x14ac:dyDescent="0.2">
      <c r="A243" s="378"/>
      <c r="B243" s="378"/>
      <c r="C243" s="378"/>
      <c r="D243" s="379"/>
      <c r="E243" s="380"/>
      <c r="F243" s="378"/>
      <c r="G243" s="378"/>
      <c r="H243" s="378"/>
      <c r="I243" s="378"/>
      <c r="J243" s="378"/>
      <c r="K243" s="378"/>
      <c r="L243" s="378"/>
      <c r="M243" s="381"/>
      <c r="N243" s="381"/>
      <c r="O243" s="381"/>
      <c r="P243" s="381"/>
      <c r="Q243" s="381"/>
      <c r="R243" s="381"/>
      <c r="S243" s="381"/>
      <c r="T243" s="381"/>
      <c r="U243" s="381"/>
      <c r="V243" s="381"/>
      <c r="W243" s="381"/>
      <c r="X243" s="381"/>
      <c r="Y243" s="381"/>
      <c r="Z243" s="381"/>
      <c r="AA243" s="381"/>
      <c r="AB243" s="381"/>
      <c r="AC243" s="382"/>
      <c r="AD243" s="382"/>
    </row>
    <row r="244" spans="1:30" ht="12.75" customHeight="1" x14ac:dyDescent="0.2">
      <c r="A244" s="378"/>
      <c r="B244" s="378"/>
      <c r="C244" s="378"/>
      <c r="D244" s="379"/>
      <c r="E244" s="380"/>
      <c r="F244" s="378"/>
      <c r="G244" s="378"/>
      <c r="H244" s="378"/>
      <c r="I244" s="378"/>
      <c r="J244" s="378"/>
      <c r="K244" s="378"/>
      <c r="L244" s="378"/>
      <c r="M244" s="381"/>
      <c r="N244" s="381"/>
      <c r="O244" s="381"/>
      <c r="P244" s="381"/>
      <c r="Q244" s="381"/>
      <c r="R244" s="381"/>
      <c r="S244" s="381"/>
      <c r="T244" s="381"/>
      <c r="U244" s="381"/>
      <c r="V244" s="381"/>
      <c r="W244" s="381"/>
      <c r="X244" s="381"/>
      <c r="Y244" s="381"/>
      <c r="Z244" s="381"/>
      <c r="AA244" s="381"/>
      <c r="AB244" s="381"/>
      <c r="AC244" s="382"/>
      <c r="AD244" s="382"/>
    </row>
    <row r="245" spans="1:30" ht="12.75" customHeight="1" x14ac:dyDescent="0.2">
      <c r="A245" s="378"/>
      <c r="B245" s="378"/>
      <c r="C245" s="378"/>
      <c r="D245" s="379"/>
      <c r="E245" s="380"/>
      <c r="F245" s="378"/>
      <c r="G245" s="378"/>
      <c r="H245" s="378"/>
      <c r="I245" s="378"/>
      <c r="J245" s="378"/>
      <c r="K245" s="378"/>
      <c r="L245" s="378"/>
      <c r="M245" s="381"/>
      <c r="N245" s="381"/>
      <c r="O245" s="381"/>
      <c r="P245" s="381"/>
      <c r="Q245" s="381"/>
      <c r="R245" s="381"/>
      <c r="S245" s="381"/>
      <c r="T245" s="381"/>
      <c r="U245" s="381"/>
      <c r="V245" s="381"/>
      <c r="W245" s="381"/>
      <c r="X245" s="381"/>
      <c r="Y245" s="381"/>
      <c r="Z245" s="381"/>
      <c r="AA245" s="381"/>
      <c r="AB245" s="381"/>
      <c r="AC245" s="382"/>
      <c r="AD245" s="382"/>
    </row>
    <row r="246" spans="1:30" ht="12.75" customHeight="1" x14ac:dyDescent="0.2">
      <c r="A246" s="378"/>
      <c r="B246" s="378"/>
      <c r="C246" s="378"/>
      <c r="D246" s="379"/>
      <c r="E246" s="380"/>
      <c r="F246" s="378"/>
      <c r="G246" s="378"/>
      <c r="H246" s="378"/>
      <c r="I246" s="378"/>
      <c r="J246" s="378"/>
      <c r="K246" s="378"/>
      <c r="L246" s="378"/>
      <c r="M246" s="381"/>
      <c r="N246" s="381"/>
      <c r="O246" s="381"/>
      <c r="P246" s="381"/>
      <c r="Q246" s="381"/>
      <c r="R246" s="381"/>
      <c r="S246" s="381"/>
      <c r="T246" s="381"/>
      <c r="U246" s="381"/>
      <c r="V246" s="381"/>
      <c r="W246" s="381"/>
      <c r="X246" s="381"/>
      <c r="Y246" s="381"/>
      <c r="Z246" s="381"/>
      <c r="AA246" s="381"/>
      <c r="AB246" s="381"/>
      <c r="AC246" s="382"/>
      <c r="AD246" s="382"/>
    </row>
    <row r="247" spans="1:30" ht="12.75" customHeight="1" x14ac:dyDescent="0.2">
      <c r="A247" s="378"/>
      <c r="B247" s="378"/>
      <c r="C247" s="378"/>
      <c r="D247" s="379"/>
      <c r="E247" s="380"/>
      <c r="F247" s="378"/>
      <c r="G247" s="378"/>
      <c r="H247" s="378"/>
      <c r="I247" s="378"/>
      <c r="J247" s="378"/>
      <c r="K247" s="378"/>
      <c r="L247" s="378"/>
      <c r="M247" s="381"/>
      <c r="N247" s="381"/>
      <c r="O247" s="381"/>
      <c r="P247" s="381"/>
      <c r="Q247" s="381"/>
      <c r="R247" s="381"/>
      <c r="S247" s="381"/>
      <c r="T247" s="381"/>
      <c r="U247" s="381"/>
      <c r="V247" s="381"/>
      <c r="W247" s="381"/>
      <c r="X247" s="381"/>
      <c r="Y247" s="381"/>
      <c r="Z247" s="381"/>
      <c r="AA247" s="381"/>
      <c r="AB247" s="381"/>
      <c r="AC247" s="382"/>
      <c r="AD247" s="382"/>
    </row>
    <row r="248" spans="1:30" ht="12.75" customHeight="1" x14ac:dyDescent="0.2">
      <c r="A248" s="378"/>
      <c r="B248" s="378"/>
      <c r="C248" s="378"/>
      <c r="D248" s="379"/>
      <c r="E248" s="380"/>
      <c r="F248" s="378"/>
      <c r="G248" s="378"/>
      <c r="H248" s="378"/>
      <c r="I248" s="378"/>
      <c r="J248" s="378"/>
      <c r="K248" s="378"/>
      <c r="L248" s="378"/>
      <c r="M248" s="381"/>
      <c r="N248" s="381"/>
      <c r="O248" s="381"/>
      <c r="P248" s="381"/>
      <c r="Q248" s="381"/>
      <c r="R248" s="381"/>
      <c r="S248" s="381"/>
      <c r="T248" s="381"/>
      <c r="U248" s="381"/>
      <c r="V248" s="381"/>
      <c r="W248" s="381"/>
      <c r="X248" s="381"/>
      <c r="Y248" s="381"/>
      <c r="Z248" s="381"/>
      <c r="AA248" s="381"/>
      <c r="AB248" s="381"/>
      <c r="AC248" s="382"/>
      <c r="AD248" s="382"/>
    </row>
    <row r="249" spans="1:30" ht="12.75" customHeight="1" x14ac:dyDescent="0.2">
      <c r="A249" s="378"/>
      <c r="B249" s="378"/>
      <c r="C249" s="378"/>
      <c r="D249" s="379"/>
      <c r="E249" s="380"/>
      <c r="F249" s="378"/>
      <c r="G249" s="378"/>
      <c r="H249" s="378"/>
      <c r="I249" s="378"/>
      <c r="J249" s="378"/>
      <c r="K249" s="378"/>
      <c r="L249" s="378"/>
      <c r="M249" s="381"/>
      <c r="N249" s="381"/>
      <c r="O249" s="381"/>
      <c r="P249" s="381"/>
      <c r="Q249" s="381"/>
      <c r="R249" s="381"/>
      <c r="S249" s="381"/>
      <c r="T249" s="381"/>
      <c r="U249" s="381"/>
      <c r="V249" s="381"/>
      <c r="W249" s="381"/>
      <c r="X249" s="381"/>
      <c r="Y249" s="381"/>
      <c r="Z249" s="381"/>
      <c r="AA249" s="381"/>
      <c r="AB249" s="381"/>
      <c r="AC249" s="382"/>
      <c r="AD249" s="382"/>
    </row>
    <row r="250" spans="1:30" ht="12.75" customHeight="1" x14ac:dyDescent="0.2">
      <c r="A250" s="378"/>
      <c r="B250" s="378"/>
      <c r="C250" s="378"/>
      <c r="D250" s="379"/>
      <c r="E250" s="380"/>
      <c r="F250" s="378"/>
      <c r="G250" s="378"/>
      <c r="H250" s="378"/>
      <c r="I250" s="378"/>
      <c r="J250" s="378"/>
      <c r="K250" s="378"/>
      <c r="L250" s="378"/>
      <c r="M250" s="381"/>
      <c r="N250" s="381"/>
      <c r="O250" s="381"/>
      <c r="P250" s="381"/>
      <c r="Q250" s="381"/>
      <c r="R250" s="381"/>
      <c r="S250" s="381"/>
      <c r="T250" s="381"/>
      <c r="U250" s="381"/>
      <c r="V250" s="381"/>
      <c r="W250" s="381"/>
      <c r="X250" s="381"/>
      <c r="Y250" s="381"/>
      <c r="Z250" s="381"/>
      <c r="AA250" s="381"/>
      <c r="AB250" s="381"/>
      <c r="AC250" s="382"/>
      <c r="AD250" s="382"/>
    </row>
    <row r="251" spans="1:30" ht="12.75" customHeight="1" x14ac:dyDescent="0.2">
      <c r="A251" s="378"/>
      <c r="B251" s="378"/>
      <c r="C251" s="378"/>
      <c r="D251" s="379"/>
      <c r="E251" s="380"/>
      <c r="F251" s="378"/>
      <c r="G251" s="378"/>
      <c r="H251" s="378"/>
      <c r="I251" s="378"/>
      <c r="J251" s="378"/>
      <c r="K251" s="378"/>
      <c r="L251" s="378"/>
      <c r="M251" s="381"/>
      <c r="N251" s="381"/>
      <c r="O251" s="381"/>
      <c r="P251" s="381"/>
      <c r="Q251" s="381"/>
      <c r="R251" s="381"/>
      <c r="S251" s="381"/>
      <c r="T251" s="381"/>
      <c r="U251" s="381"/>
      <c r="V251" s="381"/>
      <c r="W251" s="381"/>
      <c r="X251" s="381"/>
      <c r="Y251" s="381"/>
      <c r="Z251" s="381"/>
      <c r="AA251" s="381"/>
      <c r="AB251" s="381"/>
      <c r="AC251" s="382"/>
      <c r="AD251" s="382"/>
    </row>
    <row r="252" spans="1:30" ht="12.75" customHeight="1" x14ac:dyDescent="0.2">
      <c r="A252" s="378"/>
      <c r="B252" s="378"/>
      <c r="C252" s="378"/>
      <c r="D252" s="379"/>
      <c r="E252" s="380"/>
      <c r="F252" s="378"/>
      <c r="G252" s="378"/>
      <c r="H252" s="378"/>
      <c r="I252" s="378"/>
      <c r="J252" s="378"/>
      <c r="K252" s="378"/>
      <c r="L252" s="378"/>
      <c r="M252" s="381"/>
      <c r="N252" s="381"/>
      <c r="O252" s="381"/>
      <c r="P252" s="381"/>
      <c r="Q252" s="381"/>
      <c r="R252" s="381"/>
      <c r="S252" s="381"/>
      <c r="T252" s="381"/>
      <c r="U252" s="381"/>
      <c r="V252" s="381"/>
      <c r="W252" s="381"/>
      <c r="X252" s="381"/>
      <c r="Y252" s="381"/>
      <c r="Z252" s="381"/>
      <c r="AA252" s="381"/>
      <c r="AB252" s="381"/>
      <c r="AC252" s="382"/>
      <c r="AD252" s="382"/>
    </row>
    <row r="253" spans="1:30" ht="12.75" customHeight="1" x14ac:dyDescent="0.2">
      <c r="A253" s="378"/>
      <c r="B253" s="378"/>
      <c r="C253" s="378"/>
      <c r="D253" s="379"/>
      <c r="E253" s="380"/>
      <c r="F253" s="378"/>
      <c r="G253" s="378"/>
      <c r="H253" s="378"/>
      <c r="I253" s="378"/>
      <c r="J253" s="378"/>
      <c r="K253" s="378"/>
      <c r="L253" s="378"/>
      <c r="M253" s="381"/>
      <c r="N253" s="381"/>
      <c r="O253" s="381"/>
      <c r="P253" s="381"/>
      <c r="Q253" s="381"/>
      <c r="R253" s="381"/>
      <c r="S253" s="381"/>
      <c r="T253" s="381"/>
      <c r="U253" s="381"/>
      <c r="V253" s="381"/>
      <c r="W253" s="381"/>
      <c r="X253" s="381"/>
      <c r="Y253" s="381"/>
      <c r="Z253" s="381"/>
      <c r="AA253" s="381"/>
      <c r="AB253" s="381"/>
      <c r="AC253" s="382"/>
      <c r="AD253" s="382"/>
    </row>
    <row r="254" spans="1:30" ht="12.75" customHeight="1" x14ac:dyDescent="0.2">
      <c r="A254" s="378"/>
      <c r="B254" s="378"/>
      <c r="C254" s="378"/>
      <c r="D254" s="379"/>
      <c r="E254" s="380"/>
      <c r="F254" s="378"/>
      <c r="G254" s="378"/>
      <c r="H254" s="378"/>
      <c r="I254" s="378"/>
      <c r="J254" s="378"/>
      <c r="K254" s="378"/>
      <c r="L254" s="378"/>
      <c r="M254" s="381"/>
      <c r="N254" s="381"/>
      <c r="O254" s="381"/>
      <c r="P254" s="381"/>
      <c r="Q254" s="381"/>
      <c r="R254" s="381"/>
      <c r="S254" s="381"/>
      <c r="T254" s="381"/>
      <c r="U254" s="381"/>
      <c r="V254" s="381"/>
      <c r="W254" s="381"/>
      <c r="X254" s="381"/>
      <c r="Y254" s="381"/>
      <c r="Z254" s="381"/>
      <c r="AA254" s="381"/>
      <c r="AB254" s="381"/>
      <c r="AC254" s="382"/>
      <c r="AD254" s="382"/>
    </row>
    <row r="255" spans="1:30" ht="12.75" customHeight="1" x14ac:dyDescent="0.2">
      <c r="A255" s="378"/>
      <c r="B255" s="378"/>
      <c r="C255" s="378"/>
      <c r="D255" s="379"/>
      <c r="E255" s="380"/>
      <c r="F255" s="378"/>
      <c r="G255" s="378"/>
      <c r="H255" s="378"/>
      <c r="I255" s="378"/>
      <c r="J255" s="378"/>
      <c r="K255" s="378"/>
      <c r="L255" s="378"/>
      <c r="M255" s="381"/>
      <c r="N255" s="381"/>
      <c r="O255" s="381"/>
      <c r="P255" s="381"/>
      <c r="Q255" s="381"/>
      <c r="R255" s="381"/>
      <c r="S255" s="381"/>
      <c r="T255" s="381"/>
      <c r="U255" s="381"/>
      <c r="V255" s="381"/>
      <c r="W255" s="381"/>
      <c r="X255" s="381"/>
      <c r="Y255" s="381"/>
      <c r="Z255" s="381"/>
      <c r="AA255" s="381"/>
      <c r="AB255" s="381"/>
      <c r="AC255" s="382"/>
      <c r="AD255" s="382"/>
    </row>
    <row r="256" spans="1:30" ht="12.75" customHeight="1" x14ac:dyDescent="0.2">
      <c r="A256" s="378"/>
      <c r="B256" s="378"/>
      <c r="C256" s="378"/>
      <c r="D256" s="379"/>
      <c r="E256" s="380"/>
      <c r="F256" s="378"/>
      <c r="G256" s="378"/>
      <c r="H256" s="378"/>
      <c r="I256" s="378"/>
      <c r="J256" s="378"/>
      <c r="K256" s="378"/>
      <c r="L256" s="378"/>
      <c r="M256" s="381"/>
      <c r="N256" s="381"/>
      <c r="O256" s="381"/>
      <c r="P256" s="381"/>
      <c r="Q256" s="381"/>
      <c r="R256" s="381"/>
      <c r="S256" s="381"/>
      <c r="T256" s="381"/>
      <c r="U256" s="381"/>
      <c r="V256" s="381"/>
      <c r="W256" s="381"/>
      <c r="X256" s="381"/>
      <c r="Y256" s="381"/>
      <c r="Z256" s="381"/>
      <c r="AA256" s="381"/>
      <c r="AB256" s="381"/>
      <c r="AC256" s="382"/>
      <c r="AD256" s="382"/>
    </row>
    <row r="257" spans="1:30" ht="12.75" customHeight="1" x14ac:dyDescent="0.2">
      <c r="A257" s="378"/>
      <c r="B257" s="378"/>
      <c r="C257" s="378"/>
      <c r="D257" s="379"/>
      <c r="E257" s="380"/>
      <c r="F257" s="378"/>
      <c r="G257" s="378"/>
      <c r="H257" s="378"/>
      <c r="I257" s="378"/>
      <c r="J257" s="378"/>
      <c r="K257" s="378"/>
      <c r="L257" s="378"/>
      <c r="M257" s="381"/>
      <c r="N257" s="381"/>
      <c r="O257" s="381"/>
      <c r="P257" s="381"/>
      <c r="Q257" s="381"/>
      <c r="R257" s="381"/>
      <c r="S257" s="381"/>
      <c r="T257" s="381"/>
      <c r="U257" s="381"/>
      <c r="V257" s="381"/>
      <c r="W257" s="381"/>
      <c r="X257" s="381"/>
      <c r="Y257" s="381"/>
      <c r="Z257" s="381"/>
      <c r="AA257" s="381"/>
      <c r="AB257" s="381"/>
      <c r="AC257" s="382"/>
      <c r="AD257" s="382"/>
    </row>
    <row r="258" spans="1:30" ht="12.75" customHeight="1" x14ac:dyDescent="0.2">
      <c r="A258" s="378"/>
      <c r="B258" s="378"/>
      <c r="C258" s="378"/>
      <c r="D258" s="379"/>
      <c r="E258" s="380"/>
      <c r="F258" s="378"/>
      <c r="G258" s="378"/>
      <c r="H258" s="378"/>
      <c r="I258" s="378"/>
      <c r="J258" s="378"/>
      <c r="K258" s="378"/>
      <c r="L258" s="378"/>
      <c r="M258" s="381"/>
      <c r="N258" s="381"/>
      <c r="O258" s="381"/>
      <c r="P258" s="381"/>
      <c r="Q258" s="381"/>
      <c r="R258" s="381"/>
      <c r="S258" s="381"/>
      <c r="T258" s="381"/>
      <c r="U258" s="381"/>
      <c r="V258" s="381"/>
      <c r="W258" s="381"/>
      <c r="X258" s="381"/>
      <c r="Y258" s="381"/>
      <c r="Z258" s="381"/>
      <c r="AA258" s="381"/>
      <c r="AB258" s="381"/>
      <c r="AC258" s="382"/>
      <c r="AD258" s="382"/>
    </row>
    <row r="259" spans="1:30" ht="12.75" customHeight="1" x14ac:dyDescent="0.2">
      <c r="A259" s="378"/>
      <c r="B259" s="378"/>
      <c r="C259" s="378"/>
      <c r="D259" s="379"/>
      <c r="E259" s="380"/>
      <c r="F259" s="378"/>
      <c r="G259" s="378"/>
      <c r="H259" s="378"/>
      <c r="I259" s="378"/>
      <c r="J259" s="378"/>
      <c r="K259" s="378"/>
      <c r="L259" s="378"/>
      <c r="M259" s="381"/>
      <c r="N259" s="381"/>
      <c r="O259" s="381"/>
      <c r="P259" s="381"/>
      <c r="Q259" s="381"/>
      <c r="R259" s="381"/>
      <c r="S259" s="381"/>
      <c r="T259" s="381"/>
      <c r="U259" s="381"/>
      <c r="V259" s="381"/>
      <c r="W259" s="381"/>
      <c r="X259" s="381"/>
      <c r="Y259" s="381"/>
      <c r="Z259" s="381"/>
      <c r="AA259" s="381"/>
      <c r="AB259" s="381"/>
      <c r="AC259" s="382"/>
      <c r="AD259" s="382"/>
    </row>
    <row r="260" spans="1:30" ht="12.75" customHeight="1" x14ac:dyDescent="0.2">
      <c r="A260" s="378"/>
      <c r="B260" s="378"/>
      <c r="C260" s="378"/>
      <c r="D260" s="379"/>
      <c r="E260" s="380"/>
      <c r="F260" s="378"/>
      <c r="G260" s="378"/>
      <c r="H260" s="378"/>
      <c r="I260" s="378"/>
      <c r="J260" s="378"/>
      <c r="K260" s="378"/>
      <c r="L260" s="378"/>
      <c r="M260" s="381"/>
      <c r="N260" s="381"/>
      <c r="O260" s="381"/>
      <c r="P260" s="381"/>
      <c r="Q260" s="381"/>
      <c r="R260" s="381"/>
      <c r="S260" s="381"/>
      <c r="T260" s="381"/>
      <c r="U260" s="381"/>
      <c r="V260" s="381"/>
      <c r="W260" s="381"/>
      <c r="X260" s="381"/>
      <c r="Y260" s="381"/>
      <c r="Z260" s="381"/>
      <c r="AA260" s="381"/>
      <c r="AB260" s="381"/>
      <c r="AC260" s="382"/>
      <c r="AD260" s="382"/>
    </row>
    <row r="261" spans="1:30" ht="12.75" customHeight="1" x14ac:dyDescent="0.2">
      <c r="A261" s="378"/>
      <c r="B261" s="378"/>
      <c r="C261" s="378"/>
      <c r="D261" s="379"/>
      <c r="E261" s="380"/>
      <c r="F261" s="378"/>
      <c r="G261" s="378"/>
      <c r="H261" s="378"/>
      <c r="I261" s="378"/>
      <c r="J261" s="378"/>
      <c r="K261" s="378"/>
      <c r="L261" s="378"/>
      <c r="M261" s="381"/>
      <c r="N261" s="381"/>
      <c r="O261" s="381"/>
      <c r="P261" s="381"/>
      <c r="Q261" s="381"/>
      <c r="R261" s="381"/>
      <c r="S261" s="381"/>
      <c r="T261" s="381"/>
      <c r="U261" s="381"/>
      <c r="V261" s="381"/>
      <c r="W261" s="381"/>
      <c r="X261" s="381"/>
      <c r="Y261" s="381"/>
      <c r="Z261" s="381"/>
      <c r="AA261" s="381"/>
      <c r="AB261" s="381"/>
      <c r="AC261" s="382"/>
      <c r="AD261" s="382"/>
    </row>
    <row r="262" spans="1:30" ht="12.75" customHeight="1" x14ac:dyDescent="0.2">
      <c r="A262" s="378"/>
      <c r="B262" s="378"/>
      <c r="C262" s="378"/>
      <c r="D262" s="379"/>
      <c r="E262" s="380"/>
      <c r="F262" s="378"/>
      <c r="G262" s="378"/>
      <c r="H262" s="378"/>
      <c r="I262" s="378"/>
      <c r="J262" s="378"/>
      <c r="K262" s="378"/>
      <c r="L262" s="378"/>
      <c r="M262" s="381"/>
      <c r="N262" s="381"/>
      <c r="O262" s="381"/>
      <c r="P262" s="381"/>
      <c r="Q262" s="381"/>
      <c r="R262" s="381"/>
      <c r="S262" s="381"/>
      <c r="T262" s="381"/>
      <c r="U262" s="381"/>
      <c r="V262" s="381"/>
      <c r="W262" s="381"/>
      <c r="X262" s="381"/>
      <c r="Y262" s="381"/>
      <c r="Z262" s="381"/>
      <c r="AA262" s="381"/>
      <c r="AB262" s="381"/>
      <c r="AC262" s="382"/>
      <c r="AD262" s="382"/>
    </row>
    <row r="263" spans="1:30" ht="12.75" customHeight="1" x14ac:dyDescent="0.2">
      <c r="A263" s="378"/>
      <c r="B263" s="378"/>
      <c r="C263" s="378"/>
      <c r="D263" s="379"/>
      <c r="E263" s="380"/>
      <c r="F263" s="378"/>
      <c r="G263" s="378"/>
      <c r="H263" s="378"/>
      <c r="I263" s="378"/>
      <c r="J263" s="378"/>
      <c r="K263" s="378"/>
      <c r="L263" s="378"/>
      <c r="M263" s="381"/>
      <c r="N263" s="381"/>
      <c r="O263" s="381"/>
      <c r="P263" s="381"/>
      <c r="Q263" s="381"/>
      <c r="R263" s="381"/>
      <c r="S263" s="381"/>
      <c r="T263" s="381"/>
      <c r="U263" s="381"/>
      <c r="V263" s="381"/>
      <c r="W263" s="381"/>
      <c r="X263" s="381"/>
      <c r="Y263" s="381"/>
      <c r="Z263" s="381"/>
      <c r="AA263" s="381"/>
      <c r="AB263" s="381"/>
      <c r="AC263" s="382"/>
      <c r="AD263" s="382"/>
    </row>
    <row r="264" spans="1:30" ht="12.75" customHeight="1" x14ac:dyDescent="0.2">
      <c r="A264" s="378"/>
      <c r="B264" s="378"/>
      <c r="C264" s="378"/>
      <c r="D264" s="379"/>
      <c r="E264" s="380"/>
      <c r="F264" s="378"/>
      <c r="G264" s="378"/>
      <c r="H264" s="378"/>
      <c r="I264" s="378"/>
      <c r="J264" s="378"/>
      <c r="K264" s="378"/>
      <c r="L264" s="378"/>
      <c r="M264" s="381"/>
      <c r="N264" s="381"/>
      <c r="O264" s="381"/>
      <c r="P264" s="381"/>
      <c r="Q264" s="381"/>
      <c r="R264" s="381"/>
      <c r="S264" s="381"/>
      <c r="T264" s="381"/>
      <c r="U264" s="381"/>
      <c r="V264" s="381"/>
      <c r="W264" s="381"/>
      <c r="X264" s="381"/>
      <c r="Y264" s="381"/>
      <c r="Z264" s="381"/>
      <c r="AA264" s="381"/>
      <c r="AB264" s="381"/>
      <c r="AC264" s="382"/>
      <c r="AD264" s="382"/>
    </row>
    <row r="265" spans="1:30" ht="12.75" customHeight="1" x14ac:dyDescent="0.2">
      <c r="A265" s="378"/>
      <c r="B265" s="378"/>
      <c r="C265" s="378"/>
      <c r="D265" s="379"/>
      <c r="E265" s="380"/>
      <c r="F265" s="378"/>
      <c r="G265" s="378"/>
      <c r="H265" s="378"/>
      <c r="I265" s="378"/>
      <c r="J265" s="378"/>
      <c r="K265" s="378"/>
      <c r="L265" s="378"/>
      <c r="M265" s="381"/>
      <c r="N265" s="381"/>
      <c r="O265" s="381"/>
      <c r="P265" s="381"/>
      <c r="Q265" s="381"/>
      <c r="R265" s="381"/>
      <c r="S265" s="381"/>
      <c r="T265" s="381"/>
      <c r="U265" s="381"/>
      <c r="V265" s="381"/>
      <c r="W265" s="381"/>
      <c r="X265" s="381"/>
      <c r="Y265" s="381"/>
      <c r="Z265" s="381"/>
      <c r="AA265" s="381"/>
      <c r="AB265" s="381"/>
      <c r="AC265" s="382"/>
      <c r="AD265" s="382"/>
    </row>
    <row r="266" spans="1:30" ht="12.75" customHeight="1" x14ac:dyDescent="0.2">
      <c r="A266" s="378"/>
      <c r="B266" s="378"/>
      <c r="C266" s="378"/>
      <c r="D266" s="379"/>
      <c r="E266" s="380"/>
      <c r="F266" s="378"/>
      <c r="G266" s="378"/>
      <c r="H266" s="378"/>
      <c r="I266" s="378"/>
      <c r="J266" s="378"/>
      <c r="K266" s="378"/>
      <c r="L266" s="378"/>
      <c r="M266" s="381"/>
      <c r="N266" s="381"/>
      <c r="O266" s="381"/>
      <c r="P266" s="381"/>
      <c r="Q266" s="381"/>
      <c r="R266" s="381"/>
      <c r="S266" s="381"/>
      <c r="T266" s="381"/>
      <c r="U266" s="381"/>
      <c r="V266" s="381"/>
      <c r="W266" s="381"/>
      <c r="X266" s="381"/>
      <c r="Y266" s="381"/>
      <c r="Z266" s="381"/>
      <c r="AA266" s="381"/>
      <c r="AB266" s="381"/>
      <c r="AC266" s="382"/>
      <c r="AD266" s="382"/>
    </row>
    <row r="267" spans="1:30" ht="12.75" customHeight="1" x14ac:dyDescent="0.2">
      <c r="A267" s="378"/>
      <c r="B267" s="378"/>
      <c r="C267" s="378"/>
      <c r="D267" s="379"/>
      <c r="E267" s="380"/>
      <c r="F267" s="378"/>
      <c r="G267" s="378"/>
      <c r="H267" s="378"/>
      <c r="I267" s="378"/>
      <c r="J267" s="378"/>
      <c r="K267" s="378"/>
      <c r="L267" s="378"/>
      <c r="M267" s="381"/>
      <c r="N267" s="381"/>
      <c r="O267" s="381"/>
      <c r="P267" s="381"/>
      <c r="Q267" s="381"/>
      <c r="R267" s="381"/>
      <c r="S267" s="381"/>
      <c r="T267" s="381"/>
      <c r="U267" s="381"/>
      <c r="V267" s="381"/>
      <c r="W267" s="381"/>
      <c r="X267" s="381"/>
      <c r="Y267" s="381"/>
      <c r="Z267" s="381"/>
      <c r="AA267" s="381"/>
      <c r="AB267" s="381"/>
      <c r="AC267" s="382"/>
      <c r="AD267" s="382"/>
    </row>
    <row r="268" spans="1:30" ht="12.75" customHeight="1" x14ac:dyDescent="0.2">
      <c r="A268" s="378"/>
      <c r="B268" s="378"/>
      <c r="C268" s="378"/>
      <c r="D268" s="379"/>
      <c r="E268" s="380"/>
      <c r="F268" s="378"/>
      <c r="G268" s="378"/>
      <c r="H268" s="378"/>
      <c r="I268" s="378"/>
      <c r="J268" s="378"/>
      <c r="K268" s="378"/>
      <c r="L268" s="378"/>
      <c r="M268" s="381"/>
      <c r="N268" s="381"/>
      <c r="O268" s="381"/>
      <c r="P268" s="381"/>
      <c r="Q268" s="381"/>
      <c r="R268" s="381"/>
      <c r="S268" s="381"/>
      <c r="T268" s="381"/>
      <c r="U268" s="381"/>
      <c r="V268" s="381"/>
      <c r="W268" s="381"/>
      <c r="X268" s="381"/>
      <c r="Y268" s="381"/>
      <c r="Z268" s="381"/>
      <c r="AA268" s="381"/>
      <c r="AB268" s="381"/>
      <c r="AC268" s="382"/>
      <c r="AD268" s="382"/>
    </row>
    <row r="269" spans="1:30" ht="12.75" customHeight="1" x14ac:dyDescent="0.2">
      <c r="A269" s="378"/>
      <c r="B269" s="378"/>
      <c r="C269" s="378"/>
      <c r="D269" s="379"/>
      <c r="E269" s="380"/>
      <c r="F269" s="378"/>
      <c r="G269" s="378"/>
      <c r="H269" s="378"/>
      <c r="I269" s="378"/>
      <c r="J269" s="378"/>
      <c r="K269" s="378"/>
      <c r="L269" s="378"/>
      <c r="M269" s="381"/>
      <c r="N269" s="381"/>
      <c r="O269" s="381"/>
      <c r="P269" s="381"/>
      <c r="Q269" s="381"/>
      <c r="R269" s="381"/>
      <c r="S269" s="381"/>
      <c r="T269" s="381"/>
      <c r="U269" s="381"/>
      <c r="V269" s="381"/>
      <c r="W269" s="381"/>
      <c r="X269" s="381"/>
      <c r="Y269" s="381"/>
      <c r="Z269" s="381"/>
      <c r="AA269" s="381"/>
      <c r="AB269" s="381"/>
      <c r="AC269" s="382"/>
      <c r="AD269" s="382"/>
    </row>
    <row r="270" spans="1:30" ht="12.75" customHeight="1" x14ac:dyDescent="0.2">
      <c r="A270" s="378"/>
      <c r="B270" s="378"/>
      <c r="C270" s="378"/>
      <c r="D270" s="379"/>
      <c r="E270" s="380"/>
      <c r="F270" s="378"/>
      <c r="G270" s="378"/>
      <c r="H270" s="378"/>
      <c r="I270" s="378"/>
      <c r="J270" s="378"/>
      <c r="K270" s="378"/>
      <c r="L270" s="378"/>
      <c r="M270" s="381"/>
      <c r="N270" s="381"/>
      <c r="O270" s="381"/>
      <c r="P270" s="381"/>
      <c r="Q270" s="381"/>
      <c r="R270" s="381"/>
      <c r="S270" s="381"/>
      <c r="T270" s="381"/>
      <c r="U270" s="381"/>
      <c r="V270" s="381"/>
      <c r="W270" s="381"/>
      <c r="X270" s="381"/>
      <c r="Y270" s="381"/>
      <c r="Z270" s="381"/>
      <c r="AA270" s="381"/>
      <c r="AB270" s="381"/>
      <c r="AC270" s="382"/>
      <c r="AD270" s="382"/>
    </row>
    <row r="271" spans="1:30" ht="12.75" customHeight="1" x14ac:dyDescent="0.2">
      <c r="A271" s="378"/>
      <c r="B271" s="378"/>
      <c r="C271" s="378"/>
      <c r="D271" s="379"/>
      <c r="E271" s="380"/>
      <c r="F271" s="378"/>
      <c r="G271" s="378"/>
      <c r="H271" s="378"/>
      <c r="I271" s="378"/>
      <c r="J271" s="378"/>
      <c r="K271" s="378"/>
      <c r="L271" s="378"/>
      <c r="M271" s="381"/>
      <c r="N271" s="381"/>
      <c r="O271" s="381"/>
      <c r="P271" s="381"/>
      <c r="Q271" s="381"/>
      <c r="R271" s="381"/>
      <c r="S271" s="381"/>
      <c r="T271" s="381"/>
      <c r="U271" s="381"/>
      <c r="V271" s="381"/>
      <c r="W271" s="381"/>
      <c r="X271" s="381"/>
      <c r="Y271" s="381"/>
      <c r="Z271" s="381"/>
      <c r="AA271" s="381"/>
      <c r="AB271" s="381"/>
      <c r="AC271" s="382"/>
      <c r="AD271" s="382"/>
    </row>
    <row r="272" spans="1:30" ht="12.75" customHeight="1" x14ac:dyDescent="0.2">
      <c r="A272" s="378"/>
      <c r="B272" s="378"/>
      <c r="C272" s="378"/>
      <c r="D272" s="379"/>
      <c r="E272" s="380"/>
      <c r="F272" s="378"/>
      <c r="G272" s="378"/>
      <c r="H272" s="378"/>
      <c r="I272" s="378"/>
      <c r="J272" s="378"/>
      <c r="K272" s="378"/>
      <c r="L272" s="378"/>
      <c r="M272" s="381"/>
      <c r="N272" s="381"/>
      <c r="O272" s="381"/>
      <c r="P272" s="381"/>
      <c r="Q272" s="381"/>
      <c r="R272" s="381"/>
      <c r="S272" s="381"/>
      <c r="T272" s="381"/>
      <c r="U272" s="381"/>
      <c r="V272" s="381"/>
      <c r="W272" s="381"/>
      <c r="X272" s="381"/>
      <c r="Y272" s="381"/>
      <c r="Z272" s="381"/>
      <c r="AA272" s="381"/>
      <c r="AB272" s="381"/>
      <c r="AC272" s="382"/>
      <c r="AD272" s="382"/>
    </row>
    <row r="273" spans="1:30" ht="12.75" customHeight="1" x14ac:dyDescent="0.2">
      <c r="A273" s="378"/>
      <c r="B273" s="378"/>
      <c r="C273" s="378"/>
      <c r="D273" s="379"/>
      <c r="E273" s="380"/>
      <c r="F273" s="378"/>
      <c r="G273" s="378"/>
      <c r="H273" s="378"/>
      <c r="I273" s="378"/>
      <c r="J273" s="378"/>
      <c r="K273" s="378"/>
      <c r="L273" s="378"/>
      <c r="M273" s="381"/>
      <c r="N273" s="381"/>
      <c r="O273" s="381"/>
      <c r="P273" s="381"/>
      <c r="Q273" s="381"/>
      <c r="R273" s="381"/>
      <c r="S273" s="381"/>
      <c r="T273" s="381"/>
      <c r="U273" s="381"/>
      <c r="V273" s="381"/>
      <c r="W273" s="381"/>
      <c r="X273" s="381"/>
      <c r="Y273" s="381"/>
      <c r="Z273" s="381"/>
      <c r="AA273" s="381"/>
      <c r="AB273" s="381"/>
      <c r="AC273" s="382"/>
      <c r="AD273" s="382"/>
    </row>
    <row r="274" spans="1:30" ht="12.75" customHeight="1" x14ac:dyDescent="0.2">
      <c r="A274" s="378"/>
      <c r="B274" s="378"/>
      <c r="C274" s="378"/>
      <c r="D274" s="379"/>
      <c r="E274" s="380"/>
      <c r="F274" s="378"/>
      <c r="G274" s="378"/>
      <c r="H274" s="378"/>
      <c r="I274" s="378"/>
      <c r="J274" s="378"/>
      <c r="K274" s="378"/>
      <c r="L274" s="378"/>
      <c r="M274" s="381"/>
      <c r="N274" s="381"/>
      <c r="O274" s="381"/>
      <c r="P274" s="381"/>
      <c r="Q274" s="381"/>
      <c r="R274" s="381"/>
      <c r="S274" s="381"/>
      <c r="T274" s="381"/>
      <c r="U274" s="381"/>
      <c r="V274" s="381"/>
      <c r="W274" s="381"/>
      <c r="X274" s="381"/>
      <c r="Y274" s="381"/>
      <c r="Z274" s="381"/>
      <c r="AA274" s="381"/>
      <c r="AB274" s="381"/>
      <c r="AC274" s="382"/>
      <c r="AD274" s="382"/>
    </row>
    <row r="275" spans="1:30" ht="12.75" customHeight="1" x14ac:dyDescent="0.2">
      <c r="A275" s="378"/>
      <c r="B275" s="378"/>
      <c r="C275" s="378"/>
      <c r="D275" s="379"/>
      <c r="E275" s="380"/>
      <c r="F275" s="378"/>
      <c r="G275" s="378"/>
      <c r="H275" s="378"/>
      <c r="I275" s="378"/>
      <c r="J275" s="378"/>
      <c r="K275" s="378"/>
      <c r="L275" s="378"/>
      <c r="M275" s="381"/>
      <c r="N275" s="381"/>
      <c r="O275" s="381"/>
      <c r="P275" s="381"/>
      <c r="Q275" s="381"/>
      <c r="R275" s="381"/>
      <c r="S275" s="381"/>
      <c r="T275" s="381"/>
      <c r="U275" s="381"/>
      <c r="V275" s="381"/>
      <c r="W275" s="381"/>
      <c r="X275" s="381"/>
      <c r="Y275" s="381"/>
      <c r="Z275" s="381"/>
      <c r="AA275" s="381"/>
      <c r="AB275" s="381"/>
      <c r="AC275" s="382"/>
      <c r="AD275" s="382"/>
    </row>
    <row r="276" spans="1:30" ht="12.75" customHeight="1" x14ac:dyDescent="0.2">
      <c r="A276" s="378"/>
      <c r="B276" s="378"/>
      <c r="C276" s="378"/>
      <c r="D276" s="379"/>
      <c r="E276" s="380"/>
      <c r="F276" s="378"/>
      <c r="G276" s="378"/>
      <c r="H276" s="378"/>
      <c r="I276" s="378"/>
      <c r="J276" s="378"/>
      <c r="K276" s="378"/>
      <c r="L276" s="378"/>
      <c r="M276" s="381"/>
      <c r="N276" s="381"/>
      <c r="O276" s="381"/>
      <c r="P276" s="381"/>
      <c r="Q276" s="381"/>
      <c r="R276" s="381"/>
      <c r="S276" s="381"/>
      <c r="T276" s="381"/>
      <c r="U276" s="381"/>
      <c r="V276" s="381"/>
      <c r="W276" s="381"/>
      <c r="X276" s="381"/>
      <c r="Y276" s="381"/>
      <c r="Z276" s="381"/>
      <c r="AA276" s="381"/>
      <c r="AB276" s="381"/>
      <c r="AC276" s="382"/>
      <c r="AD276" s="382"/>
    </row>
    <row r="277" spans="1:30" ht="12.75" customHeight="1" x14ac:dyDescent="0.2">
      <c r="A277" s="378"/>
      <c r="B277" s="378"/>
      <c r="C277" s="378"/>
      <c r="D277" s="379"/>
      <c r="E277" s="380"/>
      <c r="F277" s="378"/>
      <c r="G277" s="378"/>
      <c r="H277" s="378"/>
      <c r="I277" s="378"/>
      <c r="J277" s="378"/>
      <c r="K277" s="378"/>
      <c r="L277" s="378"/>
      <c r="M277" s="381"/>
      <c r="N277" s="381"/>
      <c r="O277" s="381"/>
      <c r="P277" s="381"/>
      <c r="Q277" s="381"/>
      <c r="R277" s="381"/>
      <c r="S277" s="381"/>
      <c r="T277" s="381"/>
      <c r="U277" s="381"/>
      <c r="V277" s="381"/>
      <c r="W277" s="381"/>
      <c r="X277" s="381"/>
      <c r="Y277" s="381"/>
      <c r="Z277" s="381"/>
      <c r="AA277" s="381"/>
      <c r="AB277" s="381"/>
      <c r="AC277" s="382"/>
      <c r="AD277" s="382"/>
    </row>
    <row r="278" spans="1:30" ht="12.75" customHeight="1" x14ac:dyDescent="0.2">
      <c r="A278" s="378"/>
      <c r="B278" s="378"/>
      <c r="C278" s="378"/>
      <c r="D278" s="379"/>
      <c r="E278" s="380"/>
      <c r="F278" s="378"/>
      <c r="G278" s="378"/>
      <c r="H278" s="378"/>
      <c r="I278" s="378"/>
      <c r="J278" s="378"/>
      <c r="K278" s="378"/>
      <c r="L278" s="378"/>
      <c r="M278" s="381"/>
      <c r="N278" s="381"/>
      <c r="O278" s="381"/>
      <c r="P278" s="381"/>
      <c r="Q278" s="381"/>
      <c r="R278" s="381"/>
      <c r="S278" s="381"/>
      <c r="T278" s="381"/>
      <c r="U278" s="381"/>
      <c r="V278" s="381"/>
      <c r="W278" s="381"/>
      <c r="X278" s="381"/>
      <c r="Y278" s="381"/>
      <c r="Z278" s="381"/>
      <c r="AA278" s="381"/>
      <c r="AB278" s="381"/>
      <c r="AC278" s="382"/>
      <c r="AD278" s="382"/>
    </row>
    <row r="279" spans="1:30" ht="12.75" customHeight="1" x14ac:dyDescent="0.2">
      <c r="A279" s="378"/>
      <c r="B279" s="378"/>
      <c r="C279" s="378"/>
      <c r="D279" s="379"/>
      <c r="E279" s="380"/>
      <c r="F279" s="378"/>
      <c r="G279" s="378"/>
      <c r="H279" s="378"/>
      <c r="I279" s="378"/>
      <c r="J279" s="378"/>
      <c r="K279" s="378"/>
      <c r="L279" s="378"/>
      <c r="M279" s="381"/>
      <c r="N279" s="381"/>
      <c r="O279" s="381"/>
      <c r="P279" s="381"/>
      <c r="Q279" s="381"/>
      <c r="R279" s="381"/>
      <c r="S279" s="381"/>
      <c r="T279" s="381"/>
      <c r="U279" s="381"/>
      <c r="V279" s="381"/>
      <c r="W279" s="381"/>
      <c r="X279" s="381"/>
      <c r="Y279" s="381"/>
      <c r="Z279" s="381"/>
      <c r="AA279" s="381"/>
      <c r="AB279" s="381"/>
      <c r="AC279" s="382"/>
      <c r="AD279" s="382"/>
    </row>
    <row r="280" spans="1:30" ht="12.75" customHeight="1" x14ac:dyDescent="0.2">
      <c r="A280" s="378"/>
      <c r="B280" s="378"/>
      <c r="C280" s="378"/>
      <c r="D280" s="379"/>
      <c r="E280" s="380"/>
      <c r="F280" s="378"/>
      <c r="G280" s="378"/>
      <c r="H280" s="378"/>
      <c r="I280" s="378"/>
      <c r="J280" s="378"/>
      <c r="K280" s="378"/>
      <c r="L280" s="378"/>
      <c r="M280" s="381"/>
      <c r="N280" s="381"/>
      <c r="O280" s="381"/>
      <c r="P280" s="381"/>
      <c r="Q280" s="381"/>
      <c r="R280" s="381"/>
      <c r="S280" s="381"/>
      <c r="T280" s="381"/>
      <c r="U280" s="381"/>
      <c r="V280" s="381"/>
      <c r="W280" s="381"/>
      <c r="X280" s="381"/>
      <c r="Y280" s="381"/>
      <c r="Z280" s="381"/>
      <c r="AA280" s="381"/>
      <c r="AB280" s="381"/>
      <c r="AC280" s="382"/>
      <c r="AD280" s="382"/>
    </row>
    <row r="281" spans="1:30" ht="12.75" customHeight="1" x14ac:dyDescent="0.2">
      <c r="A281" s="378"/>
      <c r="B281" s="378"/>
      <c r="C281" s="378"/>
      <c r="D281" s="379"/>
      <c r="E281" s="380"/>
      <c r="F281" s="378"/>
      <c r="G281" s="378"/>
      <c r="H281" s="378"/>
      <c r="I281" s="378"/>
      <c r="J281" s="378"/>
      <c r="K281" s="378"/>
      <c r="L281" s="378"/>
      <c r="M281" s="381"/>
      <c r="N281" s="381"/>
      <c r="O281" s="381"/>
      <c r="P281" s="381"/>
      <c r="Q281" s="381"/>
      <c r="R281" s="381"/>
      <c r="S281" s="381"/>
      <c r="T281" s="381"/>
      <c r="U281" s="381"/>
      <c r="V281" s="381"/>
      <c r="W281" s="381"/>
      <c r="X281" s="381"/>
      <c r="Y281" s="381"/>
      <c r="Z281" s="381"/>
      <c r="AA281" s="381"/>
      <c r="AB281" s="381"/>
      <c r="AC281" s="382"/>
      <c r="AD281" s="382"/>
    </row>
    <row r="282" spans="1:30" ht="12.75" customHeight="1" x14ac:dyDescent="0.2">
      <c r="A282" s="378"/>
      <c r="B282" s="378"/>
      <c r="C282" s="378"/>
      <c r="D282" s="379"/>
      <c r="E282" s="380"/>
      <c r="F282" s="378"/>
      <c r="G282" s="378"/>
      <c r="H282" s="378"/>
      <c r="I282" s="378"/>
      <c r="J282" s="378"/>
      <c r="K282" s="378"/>
      <c r="L282" s="378"/>
      <c r="M282" s="381"/>
      <c r="N282" s="381"/>
      <c r="O282" s="381"/>
      <c r="P282" s="381"/>
      <c r="Q282" s="381"/>
      <c r="R282" s="381"/>
      <c r="S282" s="381"/>
      <c r="T282" s="381"/>
      <c r="U282" s="381"/>
      <c r="V282" s="381"/>
      <c r="W282" s="381"/>
      <c r="X282" s="381"/>
      <c r="Y282" s="381"/>
      <c r="Z282" s="381"/>
      <c r="AA282" s="381"/>
      <c r="AB282" s="381"/>
      <c r="AC282" s="382"/>
      <c r="AD282" s="382"/>
    </row>
    <row r="283" spans="1:30" ht="12.75" customHeight="1" x14ac:dyDescent="0.2">
      <c r="A283" s="378"/>
      <c r="B283" s="378"/>
      <c r="C283" s="378"/>
      <c r="D283" s="379"/>
      <c r="E283" s="380"/>
      <c r="F283" s="378"/>
      <c r="G283" s="378"/>
      <c r="H283" s="378"/>
      <c r="I283" s="378"/>
      <c r="J283" s="378"/>
      <c r="K283" s="378"/>
      <c r="L283" s="378"/>
      <c r="M283" s="381"/>
      <c r="N283" s="381"/>
      <c r="O283" s="381"/>
      <c r="P283" s="381"/>
      <c r="Q283" s="381"/>
      <c r="R283" s="381"/>
      <c r="S283" s="381"/>
      <c r="T283" s="381"/>
      <c r="U283" s="381"/>
      <c r="V283" s="381"/>
      <c r="W283" s="381"/>
      <c r="X283" s="381"/>
      <c r="Y283" s="381"/>
      <c r="Z283" s="381"/>
      <c r="AA283" s="381"/>
      <c r="AB283" s="381"/>
      <c r="AC283" s="382"/>
      <c r="AD283" s="382"/>
    </row>
    <row r="284" spans="1:30" ht="12.75" customHeight="1" x14ac:dyDescent="0.2">
      <c r="A284" s="378"/>
      <c r="B284" s="378"/>
      <c r="C284" s="378"/>
      <c r="D284" s="379"/>
      <c r="E284" s="380"/>
      <c r="F284" s="378"/>
      <c r="G284" s="378"/>
      <c r="H284" s="378"/>
      <c r="I284" s="378"/>
      <c r="J284" s="378"/>
      <c r="K284" s="378"/>
      <c r="L284" s="378"/>
      <c r="M284" s="381"/>
      <c r="N284" s="381"/>
      <c r="O284" s="381"/>
      <c r="P284" s="381"/>
      <c r="Q284" s="381"/>
      <c r="R284" s="381"/>
      <c r="S284" s="381"/>
      <c r="T284" s="381"/>
      <c r="U284" s="381"/>
      <c r="V284" s="381"/>
      <c r="W284" s="381"/>
      <c r="X284" s="381"/>
      <c r="Y284" s="381"/>
      <c r="Z284" s="381"/>
      <c r="AA284" s="381"/>
      <c r="AB284" s="381"/>
      <c r="AC284" s="382"/>
      <c r="AD284" s="382"/>
    </row>
    <row r="285" spans="1:30" ht="12.75" customHeight="1" x14ac:dyDescent="0.2">
      <c r="A285" s="378"/>
      <c r="B285" s="378"/>
      <c r="C285" s="378"/>
      <c r="D285" s="379"/>
      <c r="E285" s="380"/>
      <c r="F285" s="378"/>
      <c r="G285" s="378"/>
      <c r="H285" s="378"/>
      <c r="I285" s="378"/>
      <c r="J285" s="378"/>
      <c r="K285" s="378"/>
      <c r="L285" s="378"/>
      <c r="M285" s="381"/>
      <c r="N285" s="381"/>
      <c r="O285" s="381"/>
      <c r="P285" s="381"/>
      <c r="Q285" s="381"/>
      <c r="R285" s="381"/>
      <c r="S285" s="381"/>
      <c r="T285" s="381"/>
      <c r="U285" s="381"/>
      <c r="V285" s="381"/>
      <c r="W285" s="381"/>
      <c r="X285" s="381"/>
      <c r="Y285" s="381"/>
      <c r="Z285" s="381"/>
      <c r="AA285" s="381"/>
      <c r="AB285" s="381"/>
      <c r="AC285" s="382"/>
      <c r="AD285" s="382"/>
    </row>
    <row r="286" spans="1:30" ht="12.75" customHeight="1" x14ac:dyDescent="0.2">
      <c r="A286" s="378"/>
      <c r="B286" s="378"/>
      <c r="C286" s="378"/>
      <c r="D286" s="379"/>
      <c r="E286" s="380"/>
      <c r="F286" s="378"/>
      <c r="G286" s="378"/>
      <c r="H286" s="378"/>
      <c r="I286" s="378"/>
      <c r="J286" s="378"/>
      <c r="K286" s="378"/>
      <c r="L286" s="378"/>
      <c r="M286" s="381"/>
      <c r="N286" s="381"/>
      <c r="O286" s="381"/>
      <c r="P286" s="381"/>
      <c r="Q286" s="381"/>
      <c r="R286" s="381"/>
      <c r="S286" s="381"/>
      <c r="T286" s="381"/>
      <c r="U286" s="381"/>
      <c r="V286" s="381"/>
      <c r="W286" s="381"/>
      <c r="X286" s="381"/>
      <c r="Y286" s="381"/>
      <c r="Z286" s="381"/>
      <c r="AA286" s="381"/>
      <c r="AB286" s="381"/>
      <c r="AC286" s="382"/>
      <c r="AD286" s="382"/>
    </row>
    <row r="287" spans="1:30" ht="12.75" customHeight="1" x14ac:dyDescent="0.2">
      <c r="A287" s="378"/>
      <c r="B287" s="378"/>
      <c r="C287" s="378"/>
      <c r="D287" s="379"/>
      <c r="E287" s="380"/>
      <c r="F287" s="378"/>
      <c r="G287" s="378"/>
      <c r="H287" s="378"/>
      <c r="I287" s="378"/>
      <c r="J287" s="378"/>
      <c r="K287" s="378"/>
      <c r="L287" s="378"/>
      <c r="M287" s="381"/>
      <c r="N287" s="381"/>
      <c r="O287" s="381"/>
      <c r="P287" s="381"/>
      <c r="Q287" s="381"/>
      <c r="R287" s="381"/>
      <c r="S287" s="381"/>
      <c r="T287" s="381"/>
      <c r="U287" s="381"/>
      <c r="V287" s="381"/>
      <c r="W287" s="381"/>
      <c r="X287" s="381"/>
      <c r="Y287" s="381"/>
      <c r="Z287" s="381"/>
      <c r="AA287" s="381"/>
      <c r="AB287" s="381"/>
      <c r="AC287" s="382"/>
      <c r="AD287" s="382"/>
    </row>
    <row r="288" spans="1:30" ht="12.75" customHeight="1" x14ac:dyDescent="0.2">
      <c r="A288" s="378"/>
      <c r="B288" s="378"/>
      <c r="C288" s="378"/>
      <c r="D288" s="379"/>
      <c r="E288" s="380"/>
      <c r="F288" s="378"/>
      <c r="G288" s="378"/>
      <c r="H288" s="378"/>
      <c r="I288" s="378"/>
      <c r="J288" s="378"/>
      <c r="K288" s="378"/>
      <c r="L288" s="378"/>
      <c r="M288" s="381"/>
      <c r="N288" s="381"/>
      <c r="O288" s="381"/>
      <c r="P288" s="381"/>
      <c r="Q288" s="381"/>
      <c r="R288" s="381"/>
      <c r="S288" s="381"/>
      <c r="T288" s="381"/>
      <c r="U288" s="381"/>
      <c r="V288" s="381"/>
      <c r="W288" s="381"/>
      <c r="X288" s="381"/>
      <c r="Y288" s="381"/>
      <c r="Z288" s="381"/>
      <c r="AA288" s="381"/>
      <c r="AB288" s="381"/>
      <c r="AC288" s="382"/>
      <c r="AD288" s="382"/>
    </row>
    <row r="289" spans="1:30" ht="12.75" customHeight="1" x14ac:dyDescent="0.2">
      <c r="A289" s="378"/>
      <c r="B289" s="378"/>
      <c r="C289" s="378"/>
      <c r="D289" s="379"/>
      <c r="E289" s="380"/>
      <c r="F289" s="378"/>
      <c r="G289" s="378"/>
      <c r="H289" s="378"/>
      <c r="I289" s="378"/>
      <c r="J289" s="378"/>
      <c r="K289" s="378"/>
      <c r="L289" s="378"/>
      <c r="M289" s="381"/>
      <c r="N289" s="381"/>
      <c r="O289" s="381"/>
      <c r="P289" s="381"/>
      <c r="Q289" s="381"/>
      <c r="R289" s="381"/>
      <c r="S289" s="381"/>
      <c r="T289" s="381"/>
      <c r="U289" s="381"/>
      <c r="V289" s="381"/>
      <c r="W289" s="381"/>
      <c r="X289" s="381"/>
      <c r="Y289" s="381"/>
      <c r="Z289" s="381"/>
      <c r="AA289" s="381"/>
      <c r="AB289" s="381"/>
      <c r="AC289" s="382"/>
      <c r="AD289" s="382"/>
    </row>
    <row r="290" spans="1:30" ht="12.75" customHeight="1" x14ac:dyDescent="0.2">
      <c r="A290" s="378"/>
      <c r="B290" s="378"/>
      <c r="C290" s="378"/>
      <c r="D290" s="379"/>
      <c r="E290" s="380"/>
      <c r="F290" s="378"/>
      <c r="G290" s="378"/>
      <c r="H290" s="378"/>
      <c r="I290" s="378"/>
      <c r="J290" s="378"/>
      <c r="K290" s="378"/>
      <c r="L290" s="378"/>
      <c r="M290" s="381"/>
      <c r="N290" s="381"/>
      <c r="O290" s="381"/>
      <c r="P290" s="381"/>
      <c r="Q290" s="381"/>
      <c r="R290" s="381"/>
      <c r="S290" s="381"/>
      <c r="T290" s="381"/>
      <c r="U290" s="381"/>
      <c r="V290" s="381"/>
      <c r="W290" s="381"/>
      <c r="X290" s="381"/>
      <c r="Y290" s="381"/>
      <c r="Z290" s="381"/>
      <c r="AA290" s="381"/>
      <c r="AB290" s="381"/>
      <c r="AC290" s="382"/>
      <c r="AD290" s="382"/>
    </row>
    <row r="291" spans="1:30" ht="12.75" customHeight="1" x14ac:dyDescent="0.2">
      <c r="A291" s="378"/>
      <c r="B291" s="378"/>
      <c r="C291" s="378"/>
      <c r="D291" s="379"/>
      <c r="E291" s="380"/>
      <c r="F291" s="378"/>
      <c r="G291" s="378"/>
      <c r="H291" s="378"/>
      <c r="I291" s="378"/>
      <c r="J291" s="378"/>
      <c r="K291" s="378"/>
      <c r="L291" s="378"/>
      <c r="M291" s="381"/>
      <c r="N291" s="381"/>
      <c r="O291" s="381"/>
      <c r="P291" s="381"/>
      <c r="Q291" s="381"/>
      <c r="R291" s="381"/>
      <c r="S291" s="381"/>
      <c r="T291" s="381"/>
      <c r="U291" s="381"/>
      <c r="V291" s="381"/>
      <c r="W291" s="381"/>
      <c r="X291" s="381"/>
      <c r="Y291" s="381"/>
      <c r="Z291" s="381"/>
      <c r="AA291" s="381"/>
      <c r="AB291" s="381"/>
      <c r="AC291" s="382"/>
      <c r="AD291" s="382"/>
    </row>
    <row r="292" spans="1:30" ht="12.75" customHeight="1" x14ac:dyDescent="0.2">
      <c r="A292" s="378"/>
      <c r="B292" s="378"/>
      <c r="C292" s="378"/>
      <c r="D292" s="379"/>
      <c r="E292" s="380"/>
      <c r="F292" s="378"/>
      <c r="G292" s="378"/>
      <c r="H292" s="378"/>
      <c r="I292" s="378"/>
      <c r="J292" s="378"/>
      <c r="K292" s="378"/>
      <c r="L292" s="378"/>
      <c r="M292" s="381"/>
      <c r="N292" s="381"/>
      <c r="O292" s="381"/>
      <c r="P292" s="381"/>
      <c r="Q292" s="381"/>
      <c r="R292" s="381"/>
      <c r="S292" s="381"/>
      <c r="T292" s="381"/>
      <c r="U292" s="381"/>
      <c r="V292" s="381"/>
      <c r="W292" s="381"/>
      <c r="X292" s="381"/>
      <c r="Y292" s="381"/>
      <c r="Z292" s="381"/>
      <c r="AA292" s="381"/>
      <c r="AB292" s="381"/>
      <c r="AC292" s="382"/>
      <c r="AD292" s="382"/>
    </row>
    <row r="293" spans="1:30" ht="12.75" customHeight="1" x14ac:dyDescent="0.2">
      <c r="A293" s="378"/>
      <c r="B293" s="378"/>
      <c r="C293" s="378"/>
      <c r="D293" s="379"/>
      <c r="E293" s="380"/>
      <c r="F293" s="378"/>
      <c r="G293" s="378"/>
      <c r="H293" s="378"/>
      <c r="I293" s="378"/>
      <c r="J293" s="378"/>
      <c r="K293" s="378"/>
      <c r="L293" s="378"/>
      <c r="M293" s="381"/>
      <c r="N293" s="381"/>
      <c r="O293" s="381"/>
      <c r="P293" s="381"/>
      <c r="Q293" s="381"/>
      <c r="R293" s="381"/>
      <c r="S293" s="381"/>
      <c r="T293" s="381"/>
      <c r="U293" s="381"/>
      <c r="V293" s="381"/>
      <c r="W293" s="381"/>
      <c r="X293" s="381"/>
      <c r="Y293" s="381"/>
      <c r="Z293" s="381"/>
      <c r="AA293" s="381"/>
      <c r="AB293" s="381"/>
      <c r="AC293" s="382"/>
      <c r="AD293" s="382"/>
    </row>
    <row r="294" spans="1:30" ht="12.75" customHeight="1" x14ac:dyDescent="0.2">
      <c r="A294" s="378"/>
      <c r="B294" s="378"/>
      <c r="C294" s="378"/>
      <c r="D294" s="379"/>
      <c r="E294" s="380"/>
      <c r="F294" s="378"/>
      <c r="G294" s="378"/>
      <c r="H294" s="378"/>
      <c r="I294" s="378"/>
      <c r="J294" s="378"/>
      <c r="K294" s="378"/>
      <c r="L294" s="378"/>
      <c r="M294" s="381"/>
      <c r="N294" s="381"/>
      <c r="O294" s="381"/>
      <c r="P294" s="381"/>
      <c r="Q294" s="381"/>
      <c r="R294" s="381"/>
      <c r="S294" s="381"/>
      <c r="T294" s="381"/>
      <c r="U294" s="381"/>
      <c r="V294" s="381"/>
      <c r="W294" s="381"/>
      <c r="X294" s="381"/>
      <c r="Y294" s="381"/>
      <c r="Z294" s="381"/>
      <c r="AA294" s="381"/>
      <c r="AB294" s="381"/>
      <c r="AC294" s="382"/>
      <c r="AD294" s="382"/>
    </row>
    <row r="295" spans="1:30" ht="12.75" customHeight="1" x14ac:dyDescent="0.2">
      <c r="A295" s="378"/>
      <c r="B295" s="378"/>
      <c r="C295" s="378"/>
      <c r="D295" s="379"/>
      <c r="E295" s="380"/>
      <c r="F295" s="378"/>
      <c r="G295" s="378"/>
      <c r="H295" s="378"/>
      <c r="I295" s="378"/>
      <c r="J295" s="378"/>
      <c r="K295" s="378"/>
      <c r="L295" s="378"/>
      <c r="M295" s="381"/>
      <c r="N295" s="381"/>
      <c r="O295" s="381"/>
      <c r="P295" s="381"/>
      <c r="Q295" s="381"/>
      <c r="R295" s="381"/>
      <c r="S295" s="381"/>
      <c r="T295" s="381"/>
      <c r="U295" s="381"/>
      <c r="V295" s="381"/>
      <c r="W295" s="381"/>
      <c r="X295" s="381"/>
      <c r="Y295" s="381"/>
      <c r="Z295" s="381"/>
      <c r="AA295" s="381"/>
      <c r="AB295" s="381"/>
      <c r="AC295" s="382"/>
      <c r="AD295" s="382"/>
    </row>
    <row r="296" spans="1:30" ht="12.75" customHeight="1" x14ac:dyDescent="0.2">
      <c r="A296" s="378"/>
      <c r="B296" s="378"/>
      <c r="C296" s="378"/>
      <c r="D296" s="379"/>
      <c r="E296" s="380"/>
      <c r="F296" s="378"/>
      <c r="G296" s="378"/>
      <c r="H296" s="378"/>
      <c r="I296" s="378"/>
      <c r="J296" s="378"/>
      <c r="K296" s="378"/>
      <c r="L296" s="378"/>
      <c r="M296" s="381"/>
      <c r="N296" s="381"/>
      <c r="O296" s="381"/>
      <c r="P296" s="381"/>
      <c r="Q296" s="381"/>
      <c r="R296" s="381"/>
      <c r="S296" s="381"/>
      <c r="T296" s="381"/>
      <c r="U296" s="381"/>
      <c r="V296" s="381"/>
      <c r="W296" s="381"/>
      <c r="X296" s="381"/>
      <c r="Y296" s="381"/>
      <c r="Z296" s="381"/>
      <c r="AA296" s="381"/>
      <c r="AB296" s="381"/>
      <c r="AC296" s="382"/>
      <c r="AD296" s="382"/>
    </row>
    <row r="297" spans="1:30" ht="12.75" customHeight="1" x14ac:dyDescent="0.2">
      <c r="A297" s="378"/>
      <c r="B297" s="378"/>
      <c r="C297" s="378"/>
      <c r="D297" s="379"/>
      <c r="E297" s="380"/>
      <c r="F297" s="378"/>
      <c r="G297" s="378"/>
      <c r="H297" s="378"/>
      <c r="I297" s="378"/>
      <c r="J297" s="378"/>
      <c r="K297" s="378"/>
      <c r="L297" s="378"/>
      <c r="M297" s="381"/>
      <c r="N297" s="381"/>
      <c r="O297" s="381"/>
      <c r="P297" s="381"/>
      <c r="Q297" s="381"/>
      <c r="R297" s="381"/>
      <c r="S297" s="381"/>
      <c r="T297" s="381"/>
      <c r="U297" s="381"/>
      <c r="V297" s="381"/>
      <c r="W297" s="381"/>
      <c r="X297" s="381"/>
      <c r="Y297" s="381"/>
      <c r="Z297" s="381"/>
      <c r="AA297" s="381"/>
      <c r="AB297" s="381"/>
      <c r="AC297" s="382"/>
      <c r="AD297" s="382"/>
    </row>
    <row r="298" spans="1:30" ht="12.75" customHeight="1" x14ac:dyDescent="0.2">
      <c r="A298" s="378"/>
      <c r="B298" s="378"/>
      <c r="C298" s="378"/>
      <c r="D298" s="379"/>
      <c r="E298" s="380"/>
      <c r="F298" s="378"/>
      <c r="G298" s="378"/>
      <c r="H298" s="378"/>
      <c r="I298" s="378"/>
      <c r="J298" s="378"/>
      <c r="K298" s="378"/>
      <c r="L298" s="378"/>
      <c r="M298" s="381"/>
      <c r="N298" s="381"/>
      <c r="O298" s="381"/>
      <c r="P298" s="381"/>
      <c r="Q298" s="381"/>
      <c r="R298" s="381"/>
      <c r="S298" s="381"/>
      <c r="T298" s="381"/>
      <c r="U298" s="381"/>
      <c r="V298" s="381"/>
      <c r="W298" s="381"/>
      <c r="X298" s="381"/>
      <c r="Y298" s="381"/>
      <c r="Z298" s="381"/>
      <c r="AA298" s="381"/>
      <c r="AB298" s="381"/>
      <c r="AC298" s="382"/>
      <c r="AD298" s="382"/>
    </row>
    <row r="299" spans="1:30" ht="12.75" customHeight="1" x14ac:dyDescent="0.2">
      <c r="A299" s="378"/>
      <c r="B299" s="378"/>
      <c r="C299" s="378"/>
      <c r="D299" s="379"/>
      <c r="E299" s="380"/>
      <c r="F299" s="378"/>
      <c r="G299" s="378"/>
      <c r="H299" s="378"/>
      <c r="I299" s="378"/>
      <c r="J299" s="378"/>
      <c r="K299" s="378"/>
      <c r="L299" s="378"/>
      <c r="M299" s="381"/>
      <c r="N299" s="381"/>
      <c r="O299" s="381"/>
      <c r="P299" s="381"/>
      <c r="Q299" s="381"/>
      <c r="R299" s="381"/>
      <c r="S299" s="381"/>
      <c r="T299" s="381"/>
      <c r="U299" s="381"/>
      <c r="V299" s="381"/>
      <c r="W299" s="381"/>
      <c r="X299" s="381"/>
      <c r="Y299" s="381"/>
      <c r="Z299" s="381"/>
      <c r="AA299" s="381"/>
      <c r="AB299" s="381"/>
      <c r="AC299" s="382"/>
      <c r="AD299" s="382"/>
    </row>
    <row r="300" spans="1:30" ht="12.75" customHeight="1" x14ac:dyDescent="0.2">
      <c r="A300" s="378"/>
      <c r="B300" s="378"/>
      <c r="C300" s="378"/>
      <c r="D300" s="379"/>
      <c r="E300" s="380"/>
      <c r="F300" s="378"/>
      <c r="G300" s="378"/>
      <c r="H300" s="378"/>
      <c r="I300" s="378"/>
      <c r="J300" s="378"/>
      <c r="K300" s="378"/>
      <c r="L300" s="378"/>
      <c r="M300" s="381"/>
      <c r="N300" s="381"/>
      <c r="O300" s="381"/>
      <c r="P300" s="381"/>
      <c r="Q300" s="381"/>
      <c r="R300" s="381"/>
      <c r="S300" s="381"/>
      <c r="T300" s="381"/>
      <c r="U300" s="381"/>
      <c r="V300" s="381"/>
      <c r="W300" s="381"/>
      <c r="X300" s="381"/>
      <c r="Y300" s="381"/>
      <c r="Z300" s="381"/>
      <c r="AA300" s="381"/>
      <c r="AB300" s="381"/>
      <c r="AC300" s="382"/>
      <c r="AD300" s="382"/>
    </row>
    <row r="301" spans="1:30" ht="12.75" customHeight="1" x14ac:dyDescent="0.2">
      <c r="A301" s="378"/>
      <c r="B301" s="378"/>
      <c r="C301" s="378"/>
      <c r="D301" s="379"/>
      <c r="E301" s="380"/>
      <c r="F301" s="378"/>
      <c r="G301" s="378"/>
      <c r="H301" s="378"/>
      <c r="I301" s="378"/>
      <c r="J301" s="378"/>
      <c r="K301" s="378"/>
      <c r="L301" s="378"/>
      <c r="M301" s="381"/>
      <c r="N301" s="381"/>
      <c r="O301" s="381"/>
      <c r="P301" s="381"/>
      <c r="Q301" s="381"/>
      <c r="R301" s="381"/>
      <c r="S301" s="381"/>
      <c r="T301" s="381"/>
      <c r="U301" s="381"/>
      <c r="V301" s="381"/>
      <c r="W301" s="381"/>
      <c r="X301" s="381"/>
      <c r="Y301" s="381"/>
      <c r="Z301" s="381"/>
      <c r="AA301" s="381"/>
      <c r="AB301" s="381"/>
      <c r="AC301" s="382"/>
      <c r="AD301" s="382"/>
    </row>
    <row r="302" spans="1:30" ht="12.75" customHeight="1" x14ac:dyDescent="0.2">
      <c r="A302" s="378"/>
      <c r="B302" s="378"/>
      <c r="C302" s="378"/>
      <c r="D302" s="379"/>
      <c r="E302" s="380"/>
      <c r="F302" s="378"/>
      <c r="G302" s="378"/>
      <c r="H302" s="378"/>
      <c r="I302" s="378"/>
      <c r="J302" s="378"/>
      <c r="K302" s="378"/>
      <c r="L302" s="378"/>
      <c r="M302" s="381"/>
      <c r="N302" s="381"/>
      <c r="O302" s="381"/>
      <c r="P302" s="381"/>
      <c r="Q302" s="381"/>
      <c r="R302" s="381"/>
      <c r="S302" s="381"/>
      <c r="T302" s="381"/>
      <c r="U302" s="381"/>
      <c r="V302" s="381"/>
      <c r="W302" s="381"/>
      <c r="X302" s="381"/>
      <c r="Y302" s="381"/>
      <c r="Z302" s="381"/>
      <c r="AA302" s="381"/>
      <c r="AB302" s="381"/>
      <c r="AC302" s="382"/>
      <c r="AD302" s="382"/>
    </row>
    <row r="303" spans="1:30" ht="12.75" customHeight="1" x14ac:dyDescent="0.2">
      <c r="A303" s="378"/>
      <c r="B303" s="378"/>
      <c r="C303" s="378"/>
      <c r="D303" s="379"/>
      <c r="E303" s="380"/>
      <c r="F303" s="378"/>
      <c r="G303" s="378"/>
      <c r="H303" s="378"/>
      <c r="I303" s="378"/>
      <c r="J303" s="378"/>
      <c r="K303" s="378"/>
      <c r="L303" s="378"/>
      <c r="M303" s="381"/>
      <c r="N303" s="381"/>
      <c r="O303" s="381"/>
      <c r="P303" s="381"/>
      <c r="Q303" s="381"/>
      <c r="R303" s="381"/>
      <c r="S303" s="381"/>
      <c r="T303" s="381"/>
      <c r="U303" s="381"/>
      <c r="V303" s="381"/>
      <c r="W303" s="381"/>
      <c r="X303" s="381"/>
      <c r="Y303" s="381"/>
      <c r="Z303" s="381"/>
      <c r="AA303" s="381"/>
      <c r="AB303" s="381"/>
      <c r="AC303" s="382"/>
      <c r="AD303" s="382"/>
    </row>
    <row r="304" spans="1:30" ht="12.75" customHeight="1" x14ac:dyDescent="0.2">
      <c r="A304" s="378"/>
      <c r="B304" s="378"/>
      <c r="C304" s="378"/>
      <c r="D304" s="379"/>
      <c r="E304" s="380"/>
      <c r="F304" s="378"/>
      <c r="G304" s="378"/>
      <c r="H304" s="378"/>
      <c r="I304" s="378"/>
      <c r="J304" s="378"/>
      <c r="K304" s="378"/>
      <c r="L304" s="378"/>
      <c r="M304" s="381"/>
      <c r="N304" s="381"/>
      <c r="O304" s="381"/>
      <c r="P304" s="381"/>
      <c r="Q304" s="381"/>
      <c r="R304" s="381"/>
      <c r="S304" s="381"/>
      <c r="T304" s="381"/>
      <c r="U304" s="381"/>
      <c r="V304" s="381"/>
      <c r="W304" s="381"/>
      <c r="X304" s="381"/>
      <c r="Y304" s="381"/>
      <c r="Z304" s="381"/>
      <c r="AA304" s="381"/>
      <c r="AB304" s="381"/>
      <c r="AC304" s="382"/>
      <c r="AD304" s="382"/>
    </row>
    <row r="305" spans="1:30" ht="12.75" customHeight="1" x14ac:dyDescent="0.2">
      <c r="A305" s="378"/>
      <c r="B305" s="378"/>
      <c r="C305" s="378"/>
      <c r="D305" s="379"/>
      <c r="E305" s="380"/>
      <c r="F305" s="378"/>
      <c r="G305" s="378"/>
      <c r="H305" s="378"/>
      <c r="I305" s="378"/>
      <c r="J305" s="378"/>
      <c r="K305" s="378"/>
      <c r="L305" s="378"/>
      <c r="M305" s="381"/>
      <c r="N305" s="381"/>
      <c r="O305" s="381"/>
      <c r="P305" s="381"/>
      <c r="Q305" s="381"/>
      <c r="R305" s="381"/>
      <c r="S305" s="381"/>
      <c r="T305" s="381"/>
      <c r="U305" s="381"/>
      <c r="V305" s="381"/>
      <c r="W305" s="381"/>
      <c r="X305" s="381"/>
      <c r="Y305" s="381"/>
      <c r="Z305" s="381"/>
      <c r="AA305" s="381"/>
      <c r="AB305" s="381"/>
      <c r="AC305" s="382"/>
      <c r="AD305" s="382"/>
    </row>
    <row r="306" spans="1:30" ht="12.75" customHeight="1" x14ac:dyDescent="0.2">
      <c r="A306" s="378"/>
      <c r="B306" s="378"/>
      <c r="C306" s="378"/>
      <c r="D306" s="379"/>
      <c r="E306" s="380"/>
      <c r="F306" s="378"/>
      <c r="G306" s="378"/>
      <c r="H306" s="378"/>
      <c r="I306" s="378"/>
      <c r="J306" s="378"/>
      <c r="K306" s="378"/>
      <c r="L306" s="378"/>
      <c r="M306" s="381"/>
      <c r="N306" s="381"/>
      <c r="O306" s="381"/>
      <c r="P306" s="381"/>
      <c r="Q306" s="381"/>
      <c r="R306" s="381"/>
      <c r="S306" s="381"/>
      <c r="T306" s="381"/>
      <c r="U306" s="381"/>
      <c r="V306" s="381"/>
      <c r="W306" s="381"/>
      <c r="X306" s="381"/>
      <c r="Y306" s="381"/>
      <c r="Z306" s="381"/>
      <c r="AA306" s="381"/>
      <c r="AB306" s="381"/>
      <c r="AC306" s="382"/>
      <c r="AD306" s="382"/>
    </row>
    <row r="307" spans="1:30" ht="12.75" customHeight="1" x14ac:dyDescent="0.2">
      <c r="A307" s="378"/>
      <c r="B307" s="378"/>
      <c r="C307" s="378"/>
      <c r="D307" s="379"/>
      <c r="E307" s="380"/>
      <c r="F307" s="378"/>
      <c r="G307" s="378"/>
      <c r="H307" s="378"/>
      <c r="I307" s="378"/>
      <c r="J307" s="378"/>
      <c r="K307" s="378"/>
      <c r="L307" s="378"/>
      <c r="M307" s="381"/>
      <c r="N307" s="381"/>
      <c r="O307" s="381"/>
      <c r="P307" s="381"/>
      <c r="Q307" s="381"/>
      <c r="R307" s="381"/>
      <c r="S307" s="381"/>
      <c r="T307" s="381"/>
      <c r="U307" s="381"/>
      <c r="V307" s="381"/>
      <c r="W307" s="381"/>
      <c r="X307" s="381"/>
      <c r="Y307" s="381"/>
      <c r="Z307" s="381"/>
      <c r="AA307" s="381"/>
      <c r="AB307" s="381"/>
      <c r="AC307" s="382"/>
      <c r="AD307" s="382"/>
    </row>
    <row r="308" spans="1:30" ht="12.75" customHeight="1" x14ac:dyDescent="0.2">
      <c r="A308" s="378"/>
      <c r="B308" s="378"/>
      <c r="C308" s="378"/>
      <c r="D308" s="379"/>
      <c r="E308" s="380"/>
      <c r="F308" s="378"/>
      <c r="G308" s="378"/>
      <c r="H308" s="378"/>
      <c r="I308" s="378"/>
      <c r="J308" s="378"/>
      <c r="K308" s="378"/>
      <c r="L308" s="378"/>
      <c r="M308" s="381"/>
      <c r="N308" s="381"/>
      <c r="O308" s="381"/>
      <c r="P308" s="381"/>
      <c r="Q308" s="381"/>
      <c r="R308" s="381"/>
      <c r="S308" s="381"/>
      <c r="T308" s="381"/>
      <c r="U308" s="381"/>
      <c r="V308" s="381"/>
      <c r="W308" s="381"/>
      <c r="X308" s="381"/>
      <c r="Y308" s="381"/>
      <c r="Z308" s="381"/>
      <c r="AA308" s="381"/>
      <c r="AB308" s="381"/>
      <c r="AC308" s="382"/>
      <c r="AD308" s="382"/>
    </row>
    <row r="309" spans="1:30" ht="12.75" customHeight="1" x14ac:dyDescent="0.2">
      <c r="A309" s="378"/>
      <c r="B309" s="378"/>
      <c r="C309" s="378"/>
      <c r="D309" s="379"/>
      <c r="E309" s="380"/>
      <c r="F309" s="378"/>
      <c r="G309" s="378"/>
      <c r="H309" s="378"/>
      <c r="I309" s="378"/>
      <c r="J309" s="378"/>
      <c r="K309" s="378"/>
      <c r="L309" s="378"/>
      <c r="M309" s="381"/>
      <c r="N309" s="381"/>
      <c r="O309" s="381"/>
      <c r="P309" s="381"/>
      <c r="Q309" s="381"/>
      <c r="R309" s="381"/>
      <c r="S309" s="381"/>
      <c r="T309" s="381"/>
      <c r="U309" s="381"/>
      <c r="V309" s="381"/>
      <c r="W309" s="381"/>
      <c r="X309" s="381"/>
      <c r="Y309" s="381"/>
      <c r="Z309" s="381"/>
      <c r="AA309" s="381"/>
      <c r="AB309" s="381"/>
      <c r="AC309" s="382"/>
      <c r="AD309" s="382"/>
    </row>
    <row r="310" spans="1:30" ht="12.75" customHeight="1" x14ac:dyDescent="0.2">
      <c r="A310" s="378"/>
      <c r="B310" s="378"/>
      <c r="C310" s="378"/>
      <c r="D310" s="379"/>
      <c r="E310" s="380"/>
      <c r="F310" s="378"/>
      <c r="G310" s="378"/>
      <c r="H310" s="378"/>
      <c r="I310" s="378"/>
      <c r="J310" s="378"/>
      <c r="K310" s="378"/>
      <c r="L310" s="378"/>
      <c r="M310" s="381"/>
      <c r="N310" s="381"/>
      <c r="O310" s="381"/>
      <c r="P310" s="381"/>
      <c r="Q310" s="381"/>
      <c r="R310" s="381"/>
      <c r="S310" s="381"/>
      <c r="T310" s="381"/>
      <c r="U310" s="381"/>
      <c r="V310" s="381"/>
      <c r="W310" s="381"/>
      <c r="X310" s="381"/>
      <c r="Y310" s="381"/>
      <c r="Z310" s="381"/>
      <c r="AA310" s="381"/>
      <c r="AB310" s="381"/>
      <c r="AC310" s="382"/>
      <c r="AD310" s="382"/>
    </row>
    <row r="311" spans="1:30" ht="12.75" customHeight="1" x14ac:dyDescent="0.2">
      <c r="A311" s="378"/>
      <c r="B311" s="378"/>
      <c r="C311" s="378"/>
      <c r="D311" s="379"/>
      <c r="E311" s="380"/>
      <c r="F311" s="378"/>
      <c r="G311" s="378"/>
      <c r="H311" s="378"/>
      <c r="I311" s="378"/>
      <c r="J311" s="378"/>
      <c r="K311" s="378"/>
      <c r="L311" s="378"/>
      <c r="M311" s="381"/>
      <c r="N311" s="381"/>
      <c r="O311" s="381"/>
      <c r="P311" s="381"/>
      <c r="Q311" s="381"/>
      <c r="R311" s="381"/>
      <c r="S311" s="381"/>
      <c r="T311" s="381"/>
      <c r="U311" s="381"/>
      <c r="V311" s="381"/>
      <c r="W311" s="381"/>
      <c r="X311" s="381"/>
      <c r="Y311" s="381"/>
      <c r="Z311" s="381"/>
      <c r="AA311" s="381"/>
      <c r="AB311" s="381"/>
      <c r="AC311" s="382"/>
      <c r="AD311" s="382"/>
    </row>
    <row r="312" spans="1:30" ht="12.75" customHeight="1" x14ac:dyDescent="0.2">
      <c r="A312" s="378"/>
      <c r="B312" s="378"/>
      <c r="C312" s="378"/>
      <c r="D312" s="379"/>
      <c r="E312" s="380"/>
      <c r="F312" s="378"/>
      <c r="G312" s="378"/>
      <c r="H312" s="378"/>
      <c r="I312" s="378"/>
      <c r="J312" s="378"/>
      <c r="K312" s="378"/>
      <c r="L312" s="378"/>
      <c r="M312" s="381"/>
      <c r="N312" s="381"/>
      <c r="O312" s="381"/>
      <c r="P312" s="381"/>
      <c r="Q312" s="381"/>
      <c r="R312" s="381"/>
      <c r="S312" s="381"/>
      <c r="T312" s="381"/>
      <c r="U312" s="381"/>
      <c r="V312" s="381"/>
      <c r="W312" s="381"/>
      <c r="X312" s="381"/>
      <c r="Y312" s="381"/>
      <c r="Z312" s="381"/>
      <c r="AA312" s="381"/>
      <c r="AB312" s="381"/>
      <c r="AC312" s="382"/>
      <c r="AD312" s="382"/>
    </row>
    <row r="313" spans="1:30" ht="12.75" customHeight="1" x14ac:dyDescent="0.2">
      <c r="A313" s="378"/>
      <c r="B313" s="378"/>
      <c r="C313" s="378"/>
      <c r="D313" s="379"/>
      <c r="E313" s="380"/>
      <c r="F313" s="378"/>
      <c r="G313" s="378"/>
      <c r="H313" s="378"/>
      <c r="I313" s="378"/>
      <c r="J313" s="378"/>
      <c r="K313" s="378"/>
      <c r="L313" s="378"/>
      <c r="M313" s="381"/>
      <c r="N313" s="381"/>
      <c r="O313" s="381"/>
      <c r="P313" s="381"/>
      <c r="Q313" s="381"/>
      <c r="R313" s="381"/>
      <c r="S313" s="381"/>
      <c r="T313" s="381"/>
      <c r="U313" s="381"/>
      <c r="V313" s="381"/>
      <c r="W313" s="381"/>
      <c r="X313" s="381"/>
      <c r="Y313" s="381"/>
      <c r="Z313" s="381"/>
      <c r="AA313" s="381"/>
      <c r="AB313" s="381"/>
      <c r="AC313" s="382"/>
      <c r="AD313" s="382"/>
    </row>
    <row r="314" spans="1:30" ht="12.75" customHeight="1" x14ac:dyDescent="0.2">
      <c r="A314" s="378"/>
      <c r="B314" s="378"/>
      <c r="C314" s="378"/>
      <c r="D314" s="379"/>
      <c r="E314" s="380"/>
      <c r="F314" s="378"/>
      <c r="G314" s="378"/>
      <c r="H314" s="378"/>
      <c r="I314" s="378"/>
      <c r="J314" s="378"/>
      <c r="K314" s="378"/>
      <c r="L314" s="378"/>
      <c r="M314" s="381"/>
      <c r="N314" s="381"/>
      <c r="O314" s="381"/>
      <c r="P314" s="381"/>
      <c r="Q314" s="381"/>
      <c r="R314" s="381"/>
      <c r="S314" s="381"/>
      <c r="T314" s="381"/>
      <c r="U314" s="381"/>
      <c r="V314" s="381"/>
      <c r="W314" s="381"/>
      <c r="X314" s="381"/>
      <c r="Y314" s="381"/>
      <c r="Z314" s="381"/>
      <c r="AA314" s="381"/>
      <c r="AB314" s="381"/>
      <c r="AC314" s="382"/>
      <c r="AD314" s="382"/>
    </row>
    <row r="315" spans="1:30" ht="12.75" customHeight="1" x14ac:dyDescent="0.2">
      <c r="A315" s="378"/>
      <c r="B315" s="378"/>
      <c r="C315" s="378"/>
      <c r="D315" s="379"/>
      <c r="E315" s="380"/>
      <c r="F315" s="378"/>
      <c r="G315" s="378"/>
      <c r="H315" s="378"/>
      <c r="I315" s="378"/>
      <c r="J315" s="378"/>
      <c r="K315" s="378"/>
      <c r="L315" s="378"/>
      <c r="M315" s="381"/>
      <c r="N315" s="381"/>
      <c r="O315" s="381"/>
      <c r="P315" s="381"/>
      <c r="Q315" s="381"/>
      <c r="R315" s="381"/>
      <c r="S315" s="381"/>
      <c r="T315" s="381"/>
      <c r="U315" s="381"/>
      <c r="V315" s="381"/>
      <c r="W315" s="381"/>
      <c r="X315" s="381"/>
      <c r="Y315" s="381"/>
      <c r="Z315" s="381"/>
      <c r="AA315" s="381"/>
      <c r="AB315" s="381"/>
      <c r="AC315" s="382"/>
      <c r="AD315" s="382"/>
    </row>
    <row r="316" spans="1:30" ht="12.75" customHeight="1" x14ac:dyDescent="0.2">
      <c r="A316" s="378"/>
      <c r="B316" s="378"/>
      <c r="C316" s="378"/>
      <c r="D316" s="379"/>
      <c r="E316" s="380"/>
      <c r="F316" s="378"/>
      <c r="G316" s="378"/>
      <c r="H316" s="378"/>
      <c r="I316" s="378"/>
      <c r="J316" s="378"/>
      <c r="K316" s="378"/>
      <c r="L316" s="378"/>
      <c r="M316" s="381"/>
      <c r="N316" s="381"/>
      <c r="O316" s="381"/>
      <c r="P316" s="381"/>
      <c r="Q316" s="381"/>
      <c r="R316" s="381"/>
      <c r="S316" s="381"/>
      <c r="T316" s="381"/>
      <c r="U316" s="381"/>
      <c r="V316" s="381"/>
      <c r="W316" s="381"/>
      <c r="X316" s="381"/>
      <c r="Y316" s="381"/>
      <c r="Z316" s="381"/>
      <c r="AA316" s="381"/>
      <c r="AB316" s="381"/>
      <c r="AC316" s="382"/>
      <c r="AD316" s="382"/>
    </row>
    <row r="317" spans="1:30" ht="12.75" customHeight="1" x14ac:dyDescent="0.2">
      <c r="A317" s="378"/>
      <c r="B317" s="378"/>
      <c r="C317" s="378"/>
      <c r="D317" s="379"/>
      <c r="E317" s="380"/>
      <c r="F317" s="378"/>
      <c r="G317" s="378"/>
      <c r="H317" s="378"/>
      <c r="I317" s="378"/>
      <c r="J317" s="378"/>
      <c r="K317" s="378"/>
      <c r="L317" s="378"/>
      <c r="M317" s="381"/>
      <c r="N317" s="381"/>
      <c r="O317" s="381"/>
      <c r="P317" s="381"/>
      <c r="Q317" s="381"/>
      <c r="R317" s="381"/>
      <c r="S317" s="381"/>
      <c r="T317" s="381"/>
      <c r="U317" s="381"/>
      <c r="V317" s="381"/>
      <c r="W317" s="381"/>
      <c r="X317" s="381"/>
      <c r="Y317" s="381"/>
      <c r="Z317" s="381"/>
      <c r="AA317" s="381"/>
      <c r="AB317" s="381"/>
      <c r="AC317" s="382"/>
      <c r="AD317" s="382"/>
    </row>
    <row r="318" spans="1:30" ht="12.75" customHeight="1" x14ac:dyDescent="0.2">
      <c r="A318" s="378"/>
      <c r="B318" s="378"/>
      <c r="C318" s="378"/>
      <c r="D318" s="379"/>
      <c r="E318" s="380"/>
      <c r="F318" s="378"/>
      <c r="G318" s="378"/>
      <c r="H318" s="378"/>
      <c r="I318" s="378"/>
      <c r="J318" s="378"/>
      <c r="K318" s="378"/>
      <c r="L318" s="378"/>
      <c r="M318" s="381"/>
      <c r="N318" s="381"/>
      <c r="O318" s="381"/>
      <c r="P318" s="381"/>
      <c r="Q318" s="381"/>
      <c r="R318" s="381"/>
      <c r="S318" s="381"/>
      <c r="T318" s="381"/>
      <c r="U318" s="381"/>
      <c r="V318" s="381"/>
      <c r="W318" s="381"/>
      <c r="X318" s="381"/>
      <c r="Y318" s="381"/>
      <c r="Z318" s="381"/>
      <c r="AA318" s="381"/>
      <c r="AB318" s="381"/>
      <c r="AC318" s="382"/>
      <c r="AD318" s="382"/>
    </row>
    <row r="319" spans="1:30" ht="12.75" customHeight="1" x14ac:dyDescent="0.2">
      <c r="A319" s="378"/>
      <c r="B319" s="378"/>
      <c r="C319" s="378"/>
      <c r="D319" s="379"/>
      <c r="E319" s="380"/>
      <c r="F319" s="378"/>
      <c r="G319" s="378"/>
      <c r="H319" s="378"/>
      <c r="I319" s="378"/>
      <c r="J319" s="378"/>
      <c r="K319" s="378"/>
      <c r="L319" s="378"/>
      <c r="M319" s="381"/>
      <c r="N319" s="381"/>
      <c r="O319" s="381"/>
      <c r="P319" s="381"/>
      <c r="Q319" s="381"/>
      <c r="R319" s="381"/>
      <c r="S319" s="381"/>
      <c r="T319" s="381"/>
      <c r="U319" s="381"/>
      <c r="V319" s="381"/>
      <c r="W319" s="381"/>
      <c r="X319" s="381"/>
      <c r="Y319" s="381"/>
      <c r="Z319" s="381"/>
      <c r="AA319" s="381"/>
      <c r="AB319" s="381"/>
      <c r="AC319" s="382"/>
      <c r="AD319" s="382"/>
    </row>
    <row r="320" spans="1:30" ht="12.75" customHeight="1" x14ac:dyDescent="0.2">
      <c r="A320" s="378"/>
      <c r="B320" s="378"/>
      <c r="C320" s="378"/>
      <c r="D320" s="379"/>
      <c r="E320" s="380"/>
      <c r="F320" s="378"/>
      <c r="G320" s="378"/>
      <c r="H320" s="378"/>
      <c r="I320" s="378"/>
      <c r="J320" s="378"/>
      <c r="K320" s="378"/>
      <c r="L320" s="378"/>
      <c r="M320" s="381"/>
      <c r="N320" s="381"/>
      <c r="O320" s="381"/>
      <c r="P320" s="381"/>
      <c r="Q320" s="381"/>
      <c r="R320" s="381"/>
      <c r="S320" s="381"/>
      <c r="T320" s="381"/>
      <c r="U320" s="381"/>
      <c r="V320" s="381"/>
      <c r="W320" s="381"/>
      <c r="X320" s="381"/>
      <c r="Y320" s="381"/>
      <c r="Z320" s="381"/>
      <c r="AA320" s="381"/>
      <c r="AB320" s="381"/>
      <c r="AC320" s="382"/>
      <c r="AD320" s="382"/>
    </row>
    <row r="321" spans="1:30" ht="12.75" customHeight="1" x14ac:dyDescent="0.2">
      <c r="A321" s="378"/>
      <c r="B321" s="378"/>
      <c r="C321" s="378"/>
      <c r="D321" s="379"/>
      <c r="E321" s="380"/>
      <c r="F321" s="378"/>
      <c r="G321" s="378"/>
      <c r="H321" s="378"/>
      <c r="I321" s="378"/>
      <c r="J321" s="378"/>
      <c r="K321" s="378"/>
      <c r="L321" s="378"/>
      <c r="M321" s="381"/>
      <c r="N321" s="381"/>
      <c r="O321" s="381"/>
      <c r="P321" s="381"/>
      <c r="Q321" s="381"/>
      <c r="R321" s="381"/>
      <c r="S321" s="381"/>
      <c r="T321" s="381"/>
      <c r="U321" s="381"/>
      <c r="V321" s="381"/>
      <c r="W321" s="381"/>
      <c r="X321" s="381"/>
      <c r="Y321" s="381"/>
      <c r="Z321" s="381"/>
      <c r="AA321" s="381"/>
      <c r="AB321" s="381"/>
      <c r="AC321" s="382"/>
      <c r="AD321" s="382"/>
    </row>
    <row r="322" spans="1:30" ht="12.75" customHeight="1" x14ac:dyDescent="0.2">
      <c r="A322" s="378"/>
      <c r="B322" s="378"/>
      <c r="C322" s="378"/>
      <c r="D322" s="379"/>
      <c r="E322" s="380"/>
      <c r="F322" s="378"/>
      <c r="G322" s="378"/>
      <c r="H322" s="378"/>
      <c r="I322" s="378"/>
      <c r="J322" s="378"/>
      <c r="K322" s="378"/>
      <c r="L322" s="378"/>
      <c r="M322" s="381"/>
      <c r="N322" s="381"/>
      <c r="O322" s="381"/>
      <c r="P322" s="381"/>
      <c r="Q322" s="381"/>
      <c r="R322" s="381"/>
      <c r="S322" s="381"/>
      <c r="T322" s="381"/>
      <c r="U322" s="381"/>
      <c r="V322" s="381"/>
      <c r="W322" s="381"/>
      <c r="X322" s="381"/>
      <c r="Y322" s="381"/>
      <c r="Z322" s="381"/>
      <c r="AA322" s="381"/>
      <c r="AB322" s="381"/>
      <c r="AC322" s="382"/>
      <c r="AD322" s="382"/>
    </row>
    <row r="323" spans="1:30" ht="12.75" customHeight="1" x14ac:dyDescent="0.2">
      <c r="A323" s="378"/>
      <c r="B323" s="378"/>
      <c r="C323" s="378"/>
      <c r="D323" s="379"/>
      <c r="E323" s="380"/>
      <c r="F323" s="378"/>
      <c r="G323" s="378"/>
      <c r="H323" s="378"/>
      <c r="I323" s="378"/>
      <c r="J323" s="378"/>
      <c r="K323" s="378"/>
      <c r="L323" s="378"/>
      <c r="M323" s="381"/>
      <c r="N323" s="381"/>
      <c r="O323" s="381"/>
      <c r="P323" s="381"/>
      <c r="Q323" s="381"/>
      <c r="R323" s="381"/>
      <c r="S323" s="381"/>
      <c r="T323" s="381"/>
      <c r="U323" s="381"/>
      <c r="V323" s="381"/>
      <c r="W323" s="381"/>
      <c r="X323" s="381"/>
      <c r="Y323" s="381"/>
      <c r="Z323" s="381"/>
      <c r="AA323" s="381"/>
      <c r="AB323" s="381"/>
      <c r="AC323" s="382"/>
      <c r="AD323" s="382"/>
    </row>
    <row r="324" spans="1:30" ht="12.75" customHeight="1" x14ac:dyDescent="0.2">
      <c r="A324" s="378"/>
      <c r="B324" s="378"/>
      <c r="C324" s="378"/>
      <c r="D324" s="379"/>
      <c r="E324" s="380"/>
      <c r="F324" s="378"/>
      <c r="G324" s="378"/>
      <c r="H324" s="378"/>
      <c r="I324" s="378"/>
      <c r="J324" s="378"/>
      <c r="K324" s="378"/>
      <c r="L324" s="378"/>
      <c r="M324" s="381"/>
      <c r="N324" s="381"/>
      <c r="O324" s="381"/>
      <c r="P324" s="381"/>
      <c r="Q324" s="381"/>
      <c r="R324" s="381"/>
      <c r="S324" s="381"/>
      <c r="T324" s="381"/>
      <c r="U324" s="381"/>
      <c r="V324" s="381"/>
      <c r="W324" s="381"/>
      <c r="X324" s="381"/>
      <c r="Y324" s="381"/>
      <c r="Z324" s="381"/>
      <c r="AA324" s="381"/>
      <c r="AB324" s="381"/>
      <c r="AC324" s="382"/>
      <c r="AD324" s="382"/>
    </row>
    <row r="325" spans="1:30" ht="12.75" customHeight="1" x14ac:dyDescent="0.2">
      <c r="A325" s="378"/>
      <c r="B325" s="378"/>
      <c r="C325" s="378"/>
      <c r="D325" s="379"/>
      <c r="E325" s="380"/>
      <c r="F325" s="378"/>
      <c r="G325" s="378"/>
      <c r="H325" s="378"/>
      <c r="I325" s="378"/>
      <c r="J325" s="378"/>
      <c r="K325" s="378"/>
      <c r="L325" s="378"/>
      <c r="M325" s="381"/>
      <c r="N325" s="381"/>
      <c r="O325" s="381"/>
      <c r="P325" s="381"/>
      <c r="Q325" s="381"/>
      <c r="R325" s="381"/>
      <c r="S325" s="381"/>
      <c r="T325" s="381"/>
      <c r="U325" s="381"/>
      <c r="V325" s="381"/>
      <c r="W325" s="381"/>
      <c r="X325" s="381"/>
      <c r="Y325" s="381"/>
      <c r="Z325" s="381"/>
      <c r="AA325" s="381"/>
      <c r="AB325" s="381"/>
      <c r="AC325" s="382"/>
      <c r="AD325" s="382"/>
    </row>
    <row r="326" spans="1:30" ht="12.75" customHeight="1" x14ac:dyDescent="0.2">
      <c r="A326" s="378"/>
      <c r="B326" s="378"/>
      <c r="C326" s="378"/>
      <c r="D326" s="379"/>
      <c r="E326" s="380"/>
      <c r="F326" s="378"/>
      <c r="G326" s="378"/>
      <c r="H326" s="378"/>
      <c r="I326" s="378"/>
      <c r="J326" s="378"/>
      <c r="K326" s="378"/>
      <c r="L326" s="378"/>
      <c r="M326" s="381"/>
      <c r="N326" s="381"/>
      <c r="O326" s="381"/>
      <c r="P326" s="381"/>
      <c r="Q326" s="381"/>
      <c r="R326" s="381"/>
      <c r="S326" s="381"/>
      <c r="T326" s="381"/>
      <c r="U326" s="381"/>
      <c r="V326" s="381"/>
      <c r="W326" s="381"/>
      <c r="X326" s="381"/>
      <c r="Y326" s="381"/>
      <c r="Z326" s="381"/>
      <c r="AA326" s="381"/>
      <c r="AB326" s="381"/>
      <c r="AC326" s="382"/>
      <c r="AD326" s="382"/>
    </row>
    <row r="327" spans="1:30" ht="12.75" customHeight="1" x14ac:dyDescent="0.2">
      <c r="A327" s="378"/>
      <c r="B327" s="378"/>
      <c r="C327" s="378"/>
      <c r="D327" s="379"/>
      <c r="E327" s="380"/>
      <c r="F327" s="378"/>
      <c r="G327" s="378"/>
      <c r="H327" s="378"/>
      <c r="I327" s="378"/>
      <c r="J327" s="378"/>
      <c r="K327" s="378"/>
      <c r="L327" s="378"/>
      <c r="M327" s="381"/>
      <c r="N327" s="381"/>
      <c r="O327" s="381"/>
      <c r="P327" s="381"/>
      <c r="Q327" s="381"/>
      <c r="R327" s="381"/>
      <c r="S327" s="381"/>
      <c r="T327" s="381"/>
      <c r="U327" s="381"/>
      <c r="V327" s="381"/>
      <c r="W327" s="381"/>
      <c r="X327" s="381"/>
      <c r="Y327" s="381"/>
      <c r="Z327" s="381"/>
      <c r="AA327" s="381"/>
      <c r="AB327" s="381"/>
      <c r="AC327" s="382"/>
      <c r="AD327" s="382"/>
    </row>
    <row r="328" spans="1:30" ht="12.75" customHeight="1" x14ac:dyDescent="0.2">
      <c r="A328" s="378"/>
      <c r="B328" s="378"/>
      <c r="C328" s="378"/>
      <c r="D328" s="379"/>
      <c r="E328" s="380"/>
      <c r="F328" s="378"/>
      <c r="G328" s="378"/>
      <c r="H328" s="378"/>
      <c r="I328" s="378"/>
      <c r="J328" s="378"/>
      <c r="K328" s="378"/>
      <c r="L328" s="378"/>
      <c r="M328" s="381"/>
      <c r="N328" s="381"/>
      <c r="O328" s="381"/>
      <c r="P328" s="381"/>
      <c r="Q328" s="381"/>
      <c r="R328" s="381"/>
      <c r="S328" s="381"/>
      <c r="T328" s="381"/>
      <c r="U328" s="381"/>
      <c r="V328" s="381"/>
      <c r="W328" s="381"/>
      <c r="X328" s="381"/>
      <c r="Y328" s="381"/>
      <c r="Z328" s="381"/>
      <c r="AA328" s="381"/>
      <c r="AB328" s="381"/>
      <c r="AC328" s="382"/>
      <c r="AD328" s="382"/>
    </row>
    <row r="329" spans="1:30" ht="12.75" customHeight="1" x14ac:dyDescent="0.2">
      <c r="A329" s="378"/>
      <c r="B329" s="378"/>
      <c r="C329" s="378"/>
      <c r="D329" s="379"/>
      <c r="E329" s="380"/>
      <c r="F329" s="378"/>
      <c r="G329" s="378"/>
      <c r="H329" s="378"/>
      <c r="I329" s="378"/>
      <c r="J329" s="378"/>
      <c r="K329" s="378"/>
      <c r="L329" s="378"/>
      <c r="M329" s="381"/>
      <c r="N329" s="381"/>
      <c r="O329" s="381"/>
      <c r="P329" s="381"/>
      <c r="Q329" s="381"/>
      <c r="R329" s="381"/>
      <c r="S329" s="381"/>
      <c r="T329" s="381"/>
      <c r="U329" s="381"/>
      <c r="V329" s="381"/>
      <c r="W329" s="381"/>
      <c r="X329" s="381"/>
      <c r="Y329" s="381"/>
      <c r="Z329" s="381"/>
      <c r="AA329" s="381"/>
      <c r="AB329" s="381"/>
      <c r="AC329" s="382"/>
      <c r="AD329" s="382"/>
    </row>
    <row r="330" spans="1:30" ht="12.75" customHeight="1" x14ac:dyDescent="0.2">
      <c r="A330" s="378"/>
      <c r="B330" s="378"/>
      <c r="C330" s="378"/>
      <c r="D330" s="379"/>
      <c r="E330" s="380"/>
      <c r="F330" s="378"/>
      <c r="G330" s="378"/>
      <c r="H330" s="378"/>
      <c r="I330" s="378"/>
      <c r="J330" s="378"/>
      <c r="K330" s="378"/>
      <c r="L330" s="378"/>
      <c r="M330" s="381"/>
      <c r="N330" s="381"/>
      <c r="O330" s="381"/>
      <c r="P330" s="381"/>
      <c r="Q330" s="381"/>
      <c r="R330" s="381"/>
      <c r="S330" s="381"/>
      <c r="T330" s="381"/>
      <c r="U330" s="381"/>
      <c r="V330" s="381"/>
      <c r="W330" s="381"/>
      <c r="X330" s="381"/>
      <c r="Y330" s="381"/>
      <c r="Z330" s="381"/>
      <c r="AA330" s="381"/>
      <c r="AB330" s="381"/>
      <c r="AC330" s="382"/>
      <c r="AD330" s="382"/>
    </row>
    <row r="331" spans="1:30" ht="12.75" customHeight="1" x14ac:dyDescent="0.2">
      <c r="A331" s="378"/>
      <c r="B331" s="378"/>
      <c r="C331" s="378"/>
      <c r="D331" s="379"/>
      <c r="E331" s="380"/>
      <c r="F331" s="378"/>
      <c r="G331" s="378"/>
      <c r="H331" s="378"/>
      <c r="I331" s="378"/>
      <c r="J331" s="378"/>
      <c r="K331" s="378"/>
      <c r="L331" s="378"/>
      <c r="M331" s="381"/>
      <c r="N331" s="381"/>
      <c r="O331" s="381"/>
      <c r="P331" s="381"/>
      <c r="Q331" s="381"/>
      <c r="R331" s="381"/>
      <c r="S331" s="381"/>
      <c r="T331" s="381"/>
      <c r="U331" s="381"/>
      <c r="V331" s="381"/>
      <c r="W331" s="381"/>
      <c r="X331" s="381"/>
      <c r="Y331" s="381"/>
      <c r="Z331" s="381"/>
      <c r="AA331" s="381"/>
      <c r="AB331" s="381"/>
      <c r="AC331" s="382"/>
      <c r="AD331" s="382"/>
    </row>
    <row r="332" spans="1:30" ht="12.75" customHeight="1" x14ac:dyDescent="0.2">
      <c r="A332" s="378"/>
      <c r="B332" s="378"/>
      <c r="C332" s="378"/>
      <c r="D332" s="379"/>
      <c r="E332" s="380"/>
      <c r="F332" s="378"/>
      <c r="G332" s="378"/>
      <c r="H332" s="378"/>
      <c r="I332" s="378"/>
      <c r="J332" s="378"/>
      <c r="K332" s="378"/>
      <c r="L332" s="378"/>
      <c r="M332" s="381"/>
      <c r="N332" s="381"/>
      <c r="O332" s="381"/>
      <c r="P332" s="381"/>
      <c r="Q332" s="381"/>
      <c r="R332" s="381"/>
      <c r="S332" s="381"/>
      <c r="T332" s="381"/>
      <c r="U332" s="381"/>
      <c r="V332" s="381"/>
      <c r="W332" s="381"/>
      <c r="X332" s="381"/>
      <c r="Y332" s="381"/>
      <c r="Z332" s="381"/>
      <c r="AA332" s="381"/>
      <c r="AB332" s="381"/>
      <c r="AC332" s="382"/>
      <c r="AD332" s="382"/>
    </row>
    <row r="333" spans="1:30" ht="12.75" customHeight="1" x14ac:dyDescent="0.2">
      <c r="A333" s="378"/>
      <c r="B333" s="378"/>
      <c r="C333" s="378"/>
      <c r="D333" s="379"/>
      <c r="E333" s="380"/>
      <c r="F333" s="378"/>
      <c r="G333" s="378"/>
      <c r="H333" s="378"/>
      <c r="I333" s="378"/>
      <c r="J333" s="378"/>
      <c r="K333" s="378"/>
      <c r="L333" s="378"/>
      <c r="M333" s="381"/>
      <c r="N333" s="381"/>
      <c r="O333" s="381"/>
      <c r="P333" s="381"/>
      <c r="Q333" s="381"/>
      <c r="R333" s="381"/>
      <c r="S333" s="381"/>
      <c r="T333" s="381"/>
      <c r="U333" s="381"/>
      <c r="V333" s="381"/>
      <c r="W333" s="381"/>
      <c r="X333" s="381"/>
      <c r="Y333" s="381"/>
      <c r="Z333" s="381"/>
      <c r="AA333" s="381"/>
      <c r="AB333" s="381"/>
      <c r="AC333" s="382"/>
      <c r="AD333" s="382"/>
    </row>
    <row r="334" spans="1:30" ht="12.75" customHeight="1" x14ac:dyDescent="0.2">
      <c r="A334" s="378"/>
      <c r="B334" s="378"/>
      <c r="C334" s="378"/>
      <c r="D334" s="379"/>
      <c r="E334" s="380"/>
      <c r="F334" s="378"/>
      <c r="G334" s="378"/>
      <c r="H334" s="378"/>
      <c r="I334" s="378"/>
      <c r="J334" s="378"/>
      <c r="K334" s="378"/>
      <c r="L334" s="378"/>
      <c r="M334" s="381"/>
      <c r="N334" s="381"/>
      <c r="O334" s="381"/>
      <c r="P334" s="381"/>
      <c r="Q334" s="381"/>
      <c r="R334" s="381"/>
      <c r="S334" s="381"/>
      <c r="T334" s="381"/>
      <c r="U334" s="381"/>
      <c r="V334" s="381"/>
      <c r="W334" s="381"/>
      <c r="X334" s="381"/>
      <c r="Y334" s="381"/>
      <c r="Z334" s="381"/>
      <c r="AA334" s="381"/>
      <c r="AB334" s="381"/>
      <c r="AC334" s="382"/>
      <c r="AD334" s="382"/>
    </row>
    <row r="335" spans="1:30" ht="12.75" customHeight="1" x14ac:dyDescent="0.2">
      <c r="A335" s="378"/>
      <c r="B335" s="378"/>
      <c r="C335" s="378"/>
      <c r="D335" s="379"/>
      <c r="E335" s="380"/>
      <c r="F335" s="378"/>
      <c r="G335" s="378"/>
      <c r="H335" s="378"/>
      <c r="I335" s="378"/>
      <c r="J335" s="378"/>
      <c r="K335" s="378"/>
      <c r="L335" s="378"/>
      <c r="M335" s="381"/>
      <c r="N335" s="381"/>
      <c r="O335" s="381"/>
      <c r="P335" s="381"/>
      <c r="Q335" s="381"/>
      <c r="R335" s="381"/>
      <c r="S335" s="381"/>
      <c r="T335" s="381"/>
      <c r="U335" s="381"/>
      <c r="V335" s="381"/>
      <c r="W335" s="381"/>
      <c r="X335" s="381"/>
      <c r="Y335" s="381"/>
      <c r="Z335" s="381"/>
      <c r="AA335" s="381"/>
      <c r="AB335" s="381"/>
      <c r="AC335" s="382"/>
      <c r="AD335" s="382"/>
    </row>
    <row r="336" spans="1:30" ht="12.75" customHeight="1" x14ac:dyDescent="0.2">
      <c r="A336" s="378"/>
      <c r="B336" s="378"/>
      <c r="C336" s="378"/>
      <c r="D336" s="379"/>
      <c r="E336" s="380"/>
      <c r="F336" s="378"/>
      <c r="G336" s="378"/>
      <c r="H336" s="378"/>
      <c r="I336" s="378"/>
      <c r="J336" s="378"/>
      <c r="K336" s="378"/>
      <c r="L336" s="378"/>
      <c r="M336" s="381"/>
      <c r="N336" s="381"/>
      <c r="O336" s="381"/>
      <c r="P336" s="381"/>
      <c r="Q336" s="381"/>
      <c r="R336" s="381"/>
      <c r="S336" s="381"/>
      <c r="T336" s="381"/>
      <c r="U336" s="381"/>
      <c r="V336" s="381"/>
      <c r="W336" s="381"/>
      <c r="X336" s="381"/>
      <c r="Y336" s="381"/>
      <c r="Z336" s="381"/>
      <c r="AA336" s="381"/>
      <c r="AB336" s="381"/>
      <c r="AC336" s="382"/>
      <c r="AD336" s="382"/>
    </row>
    <row r="337" spans="1:30" ht="12.75" customHeight="1" x14ac:dyDescent="0.2">
      <c r="A337" s="378"/>
      <c r="B337" s="378"/>
      <c r="C337" s="378"/>
      <c r="D337" s="379"/>
      <c r="E337" s="380"/>
      <c r="F337" s="378"/>
      <c r="G337" s="378"/>
      <c r="H337" s="378"/>
      <c r="I337" s="378"/>
      <c r="J337" s="378"/>
      <c r="K337" s="378"/>
      <c r="L337" s="378"/>
      <c r="M337" s="381"/>
      <c r="N337" s="381"/>
      <c r="O337" s="381"/>
      <c r="P337" s="381"/>
      <c r="Q337" s="381"/>
      <c r="R337" s="381"/>
      <c r="S337" s="381"/>
      <c r="T337" s="381"/>
      <c r="U337" s="381"/>
      <c r="V337" s="381"/>
      <c r="W337" s="381"/>
      <c r="X337" s="381"/>
      <c r="Y337" s="381"/>
      <c r="Z337" s="381"/>
      <c r="AA337" s="381"/>
      <c r="AB337" s="381"/>
      <c r="AC337" s="382"/>
      <c r="AD337" s="382"/>
    </row>
    <row r="338" spans="1:30" ht="12.75" customHeight="1" x14ac:dyDescent="0.2">
      <c r="A338" s="378"/>
      <c r="B338" s="378"/>
      <c r="C338" s="378"/>
      <c r="D338" s="379"/>
      <c r="E338" s="380"/>
      <c r="F338" s="378"/>
      <c r="G338" s="378"/>
      <c r="H338" s="378"/>
      <c r="I338" s="378"/>
      <c r="J338" s="378"/>
      <c r="K338" s="378"/>
      <c r="L338" s="378"/>
      <c r="M338" s="381"/>
      <c r="N338" s="381"/>
      <c r="O338" s="381"/>
      <c r="P338" s="381"/>
      <c r="Q338" s="381"/>
      <c r="R338" s="381"/>
      <c r="S338" s="381"/>
      <c r="T338" s="381"/>
      <c r="U338" s="381"/>
      <c r="V338" s="381"/>
      <c r="W338" s="381"/>
      <c r="X338" s="381"/>
      <c r="Y338" s="381"/>
      <c r="Z338" s="381"/>
      <c r="AA338" s="381"/>
      <c r="AB338" s="381"/>
      <c r="AC338" s="382"/>
      <c r="AD338" s="382"/>
    </row>
    <row r="339" spans="1:30" ht="12.75" customHeight="1" x14ac:dyDescent="0.2">
      <c r="A339" s="378"/>
      <c r="B339" s="378"/>
      <c r="C339" s="378"/>
      <c r="D339" s="379"/>
      <c r="E339" s="380"/>
      <c r="F339" s="378"/>
      <c r="G339" s="378"/>
      <c r="H339" s="378"/>
      <c r="I339" s="378"/>
      <c r="J339" s="378"/>
      <c r="K339" s="378"/>
      <c r="L339" s="378"/>
      <c r="M339" s="381"/>
      <c r="N339" s="381"/>
      <c r="O339" s="381"/>
      <c r="P339" s="381"/>
      <c r="Q339" s="381"/>
      <c r="R339" s="381"/>
      <c r="S339" s="381"/>
      <c r="T339" s="381"/>
      <c r="U339" s="381"/>
      <c r="V339" s="381"/>
      <c r="W339" s="381"/>
      <c r="X339" s="381"/>
      <c r="Y339" s="381"/>
      <c r="Z339" s="381"/>
      <c r="AA339" s="381"/>
      <c r="AB339" s="381"/>
      <c r="AC339" s="382"/>
      <c r="AD339" s="382"/>
    </row>
    <row r="340" spans="1:30" ht="12.75" customHeight="1" x14ac:dyDescent="0.2">
      <c r="A340" s="378"/>
      <c r="B340" s="378"/>
      <c r="C340" s="378"/>
      <c r="D340" s="379"/>
      <c r="E340" s="380"/>
      <c r="F340" s="378"/>
      <c r="G340" s="378"/>
      <c r="H340" s="378"/>
      <c r="I340" s="378"/>
      <c r="J340" s="378"/>
      <c r="K340" s="378"/>
      <c r="L340" s="378"/>
      <c r="M340" s="381"/>
      <c r="N340" s="381"/>
      <c r="O340" s="381"/>
      <c r="P340" s="381"/>
      <c r="Q340" s="381"/>
      <c r="R340" s="381"/>
      <c r="S340" s="381"/>
      <c r="T340" s="381"/>
      <c r="U340" s="381"/>
      <c r="V340" s="381"/>
      <c r="W340" s="381"/>
      <c r="X340" s="381"/>
      <c r="Y340" s="381"/>
      <c r="Z340" s="381"/>
      <c r="AA340" s="381"/>
      <c r="AB340" s="381"/>
      <c r="AC340" s="382"/>
      <c r="AD340" s="382"/>
    </row>
    <row r="341" spans="1:30" ht="12.75" customHeight="1" x14ac:dyDescent="0.2">
      <c r="A341" s="378"/>
      <c r="B341" s="378"/>
      <c r="C341" s="378"/>
      <c r="D341" s="379"/>
      <c r="E341" s="380"/>
      <c r="F341" s="378"/>
      <c r="G341" s="378"/>
      <c r="H341" s="378"/>
      <c r="I341" s="378"/>
      <c r="J341" s="378"/>
      <c r="K341" s="378"/>
      <c r="L341" s="378"/>
      <c r="M341" s="381"/>
      <c r="N341" s="381"/>
      <c r="O341" s="381"/>
      <c r="P341" s="381"/>
      <c r="Q341" s="381"/>
      <c r="R341" s="381"/>
      <c r="S341" s="381"/>
      <c r="T341" s="381"/>
      <c r="U341" s="381"/>
      <c r="V341" s="381"/>
      <c r="W341" s="381"/>
      <c r="X341" s="381"/>
      <c r="Y341" s="381"/>
      <c r="Z341" s="381"/>
      <c r="AA341" s="381"/>
      <c r="AB341" s="381"/>
      <c r="AC341" s="382"/>
      <c r="AD341" s="382"/>
    </row>
    <row r="342" spans="1:30" ht="12.75" customHeight="1" x14ac:dyDescent="0.2">
      <c r="A342" s="378"/>
      <c r="B342" s="378"/>
      <c r="C342" s="378"/>
      <c r="D342" s="379"/>
      <c r="E342" s="380"/>
      <c r="F342" s="378"/>
      <c r="G342" s="378"/>
      <c r="H342" s="378"/>
      <c r="I342" s="378"/>
      <c r="J342" s="378"/>
      <c r="K342" s="378"/>
      <c r="L342" s="378"/>
      <c r="M342" s="381"/>
      <c r="N342" s="381"/>
      <c r="O342" s="381"/>
      <c r="P342" s="381"/>
      <c r="Q342" s="381"/>
      <c r="R342" s="381"/>
      <c r="S342" s="381"/>
      <c r="T342" s="381"/>
      <c r="U342" s="381"/>
      <c r="V342" s="381"/>
      <c r="W342" s="381"/>
      <c r="X342" s="381"/>
      <c r="Y342" s="381"/>
      <c r="Z342" s="381"/>
      <c r="AA342" s="381"/>
      <c r="AB342" s="381"/>
      <c r="AC342" s="382"/>
      <c r="AD342" s="382"/>
    </row>
    <row r="343" spans="1:30" ht="12.75" customHeight="1" x14ac:dyDescent="0.2">
      <c r="A343" s="378"/>
      <c r="B343" s="378"/>
      <c r="C343" s="378"/>
      <c r="D343" s="379"/>
      <c r="E343" s="380"/>
      <c r="F343" s="378"/>
      <c r="G343" s="378"/>
      <c r="H343" s="378"/>
      <c r="I343" s="378"/>
      <c r="J343" s="378"/>
      <c r="K343" s="378"/>
      <c r="L343" s="378"/>
      <c r="M343" s="381"/>
      <c r="N343" s="381"/>
      <c r="O343" s="381"/>
      <c r="P343" s="381"/>
      <c r="Q343" s="381"/>
      <c r="R343" s="381"/>
      <c r="S343" s="381"/>
      <c r="T343" s="381"/>
      <c r="U343" s="381"/>
      <c r="V343" s="381"/>
      <c r="W343" s="381"/>
      <c r="X343" s="381"/>
      <c r="Y343" s="381"/>
      <c r="Z343" s="381"/>
      <c r="AA343" s="381"/>
      <c r="AB343" s="381"/>
      <c r="AC343" s="382"/>
      <c r="AD343" s="382"/>
    </row>
    <row r="344" spans="1:30" ht="12.75" customHeight="1" x14ac:dyDescent="0.2">
      <c r="A344" s="378"/>
      <c r="B344" s="378"/>
      <c r="C344" s="378"/>
      <c r="D344" s="379"/>
      <c r="E344" s="380"/>
      <c r="F344" s="378"/>
      <c r="G344" s="378"/>
      <c r="H344" s="378"/>
      <c r="I344" s="378"/>
      <c r="J344" s="378"/>
      <c r="K344" s="378"/>
      <c r="L344" s="378"/>
      <c r="M344" s="381"/>
      <c r="N344" s="381"/>
      <c r="O344" s="381"/>
      <c r="P344" s="381"/>
      <c r="Q344" s="381"/>
      <c r="R344" s="381"/>
      <c r="S344" s="381"/>
      <c r="T344" s="381"/>
      <c r="U344" s="381"/>
      <c r="V344" s="381"/>
      <c r="W344" s="381"/>
      <c r="X344" s="381"/>
      <c r="Y344" s="381"/>
      <c r="Z344" s="381"/>
      <c r="AA344" s="381"/>
      <c r="AB344" s="381"/>
      <c r="AC344" s="382"/>
      <c r="AD344" s="382"/>
    </row>
    <row r="345" spans="1:30" ht="12.75" customHeight="1" x14ac:dyDescent="0.2">
      <c r="A345" s="378"/>
      <c r="B345" s="378"/>
      <c r="C345" s="378"/>
      <c r="D345" s="379"/>
      <c r="E345" s="380"/>
      <c r="F345" s="378"/>
      <c r="G345" s="378"/>
      <c r="H345" s="378"/>
      <c r="I345" s="378"/>
      <c r="J345" s="378"/>
      <c r="K345" s="378"/>
      <c r="L345" s="378"/>
      <c r="M345" s="381"/>
      <c r="N345" s="381"/>
      <c r="O345" s="381"/>
      <c r="P345" s="381"/>
      <c r="Q345" s="381"/>
      <c r="R345" s="381"/>
      <c r="S345" s="381"/>
      <c r="T345" s="381"/>
      <c r="U345" s="381"/>
      <c r="V345" s="381"/>
      <c r="W345" s="381"/>
      <c r="X345" s="381"/>
      <c r="Y345" s="381"/>
      <c r="Z345" s="381"/>
      <c r="AA345" s="381"/>
      <c r="AB345" s="381"/>
      <c r="AC345" s="382"/>
      <c r="AD345" s="382"/>
    </row>
    <row r="346" spans="1:30" ht="12.75" customHeight="1" x14ac:dyDescent="0.2">
      <c r="A346" s="378"/>
      <c r="B346" s="378"/>
      <c r="C346" s="378"/>
      <c r="D346" s="379"/>
      <c r="E346" s="380"/>
      <c r="F346" s="378"/>
      <c r="G346" s="378"/>
      <c r="H346" s="378"/>
      <c r="I346" s="378"/>
      <c r="J346" s="378"/>
      <c r="K346" s="378"/>
      <c r="L346" s="378"/>
      <c r="M346" s="381"/>
      <c r="N346" s="381"/>
      <c r="O346" s="381"/>
      <c r="P346" s="381"/>
      <c r="Q346" s="381"/>
      <c r="R346" s="381"/>
      <c r="S346" s="381"/>
      <c r="T346" s="381"/>
      <c r="U346" s="381"/>
      <c r="V346" s="381"/>
      <c r="W346" s="381"/>
      <c r="X346" s="381"/>
      <c r="Y346" s="381"/>
      <c r="Z346" s="381"/>
      <c r="AA346" s="381"/>
      <c r="AB346" s="381"/>
      <c r="AC346" s="382"/>
      <c r="AD346" s="382"/>
    </row>
    <row r="347" spans="1:30" ht="12.75" customHeight="1" x14ac:dyDescent="0.2">
      <c r="A347" s="378"/>
      <c r="B347" s="378"/>
      <c r="C347" s="378"/>
      <c r="D347" s="379"/>
      <c r="E347" s="380"/>
      <c r="F347" s="378"/>
      <c r="G347" s="378"/>
      <c r="H347" s="378"/>
      <c r="I347" s="378"/>
      <c r="J347" s="378"/>
      <c r="K347" s="378"/>
      <c r="L347" s="378"/>
      <c r="M347" s="381"/>
      <c r="N347" s="381"/>
      <c r="O347" s="381"/>
      <c r="P347" s="381"/>
      <c r="Q347" s="381"/>
      <c r="R347" s="381"/>
      <c r="S347" s="381"/>
      <c r="T347" s="381"/>
      <c r="U347" s="381"/>
      <c r="V347" s="381"/>
      <c r="W347" s="381"/>
      <c r="X347" s="381"/>
      <c r="Y347" s="381"/>
      <c r="Z347" s="381"/>
      <c r="AA347" s="381"/>
      <c r="AB347" s="381"/>
      <c r="AC347" s="382"/>
      <c r="AD347" s="382"/>
    </row>
    <row r="348" spans="1:30" ht="12.75" customHeight="1" x14ac:dyDescent="0.2">
      <c r="A348" s="378"/>
      <c r="B348" s="378"/>
      <c r="C348" s="378"/>
      <c r="D348" s="379"/>
      <c r="E348" s="380"/>
      <c r="F348" s="378"/>
      <c r="G348" s="378"/>
      <c r="H348" s="378"/>
      <c r="I348" s="378"/>
      <c r="J348" s="378"/>
      <c r="K348" s="378"/>
      <c r="L348" s="378"/>
      <c r="M348" s="381"/>
      <c r="N348" s="381"/>
      <c r="O348" s="381"/>
      <c r="P348" s="381"/>
      <c r="Q348" s="381"/>
      <c r="R348" s="381"/>
      <c r="S348" s="381"/>
      <c r="T348" s="381"/>
      <c r="U348" s="381"/>
      <c r="V348" s="381"/>
      <c r="W348" s="381"/>
      <c r="X348" s="381"/>
      <c r="Y348" s="381"/>
      <c r="Z348" s="381"/>
      <c r="AA348" s="381"/>
      <c r="AB348" s="381"/>
      <c r="AC348" s="382"/>
      <c r="AD348" s="382"/>
    </row>
    <row r="349" spans="1:30" ht="12.75" customHeight="1" x14ac:dyDescent="0.2">
      <c r="A349" s="378"/>
      <c r="B349" s="378"/>
      <c r="C349" s="378"/>
      <c r="D349" s="379"/>
      <c r="E349" s="380"/>
      <c r="F349" s="378"/>
      <c r="G349" s="378"/>
      <c r="H349" s="378"/>
      <c r="I349" s="378"/>
      <c r="J349" s="378"/>
      <c r="K349" s="378"/>
      <c r="L349" s="378"/>
      <c r="M349" s="381"/>
      <c r="N349" s="381"/>
      <c r="O349" s="381"/>
      <c r="P349" s="381"/>
      <c r="Q349" s="381"/>
      <c r="R349" s="381"/>
      <c r="S349" s="381"/>
      <c r="T349" s="381"/>
      <c r="U349" s="381"/>
      <c r="V349" s="381"/>
      <c r="W349" s="381"/>
      <c r="X349" s="381"/>
      <c r="Y349" s="381"/>
      <c r="Z349" s="381"/>
      <c r="AA349" s="381"/>
      <c r="AB349" s="381"/>
      <c r="AC349" s="382"/>
      <c r="AD349" s="382"/>
    </row>
    <row r="350" spans="1:30" ht="12.75" customHeight="1" x14ac:dyDescent="0.2">
      <c r="A350" s="378"/>
      <c r="B350" s="378"/>
      <c r="C350" s="378"/>
      <c r="D350" s="379"/>
      <c r="E350" s="380"/>
      <c r="F350" s="378"/>
      <c r="G350" s="378"/>
      <c r="H350" s="378"/>
      <c r="I350" s="378"/>
      <c r="J350" s="378"/>
      <c r="K350" s="378"/>
      <c r="L350" s="378"/>
      <c r="M350" s="381"/>
      <c r="N350" s="381"/>
      <c r="O350" s="381"/>
      <c r="P350" s="381"/>
      <c r="Q350" s="381"/>
      <c r="R350" s="381"/>
      <c r="S350" s="381"/>
      <c r="T350" s="381"/>
      <c r="U350" s="381"/>
      <c r="V350" s="381"/>
      <c r="W350" s="381"/>
      <c r="X350" s="381"/>
      <c r="Y350" s="381"/>
      <c r="Z350" s="381"/>
      <c r="AA350" s="381"/>
      <c r="AB350" s="381"/>
      <c r="AC350" s="382"/>
      <c r="AD350" s="382"/>
    </row>
    <row r="351" spans="1:30" ht="12.75" customHeight="1" x14ac:dyDescent="0.2">
      <c r="A351" s="378"/>
      <c r="B351" s="378"/>
      <c r="C351" s="378"/>
      <c r="D351" s="379"/>
      <c r="E351" s="380"/>
      <c r="F351" s="378"/>
      <c r="G351" s="378"/>
      <c r="H351" s="378"/>
      <c r="I351" s="378"/>
      <c r="J351" s="378"/>
      <c r="K351" s="378"/>
      <c r="L351" s="378"/>
      <c r="M351" s="381"/>
      <c r="N351" s="381"/>
      <c r="O351" s="381"/>
      <c r="P351" s="381"/>
      <c r="Q351" s="381"/>
      <c r="R351" s="381"/>
      <c r="S351" s="381"/>
      <c r="T351" s="381"/>
      <c r="U351" s="381"/>
      <c r="V351" s="381"/>
      <c r="W351" s="381"/>
      <c r="X351" s="381"/>
      <c r="Y351" s="381"/>
      <c r="Z351" s="381"/>
      <c r="AA351" s="381"/>
      <c r="AB351" s="381"/>
      <c r="AC351" s="382"/>
      <c r="AD351" s="382"/>
    </row>
    <row r="352" spans="1:30" ht="12.75" customHeight="1" x14ac:dyDescent="0.2">
      <c r="A352" s="378"/>
      <c r="B352" s="378"/>
      <c r="C352" s="378"/>
      <c r="D352" s="379"/>
      <c r="E352" s="380"/>
      <c r="F352" s="378"/>
      <c r="G352" s="378"/>
      <c r="H352" s="378"/>
      <c r="I352" s="378"/>
      <c r="J352" s="378"/>
      <c r="K352" s="378"/>
      <c r="L352" s="378"/>
      <c r="M352" s="381"/>
      <c r="N352" s="381"/>
      <c r="O352" s="381"/>
      <c r="P352" s="381"/>
      <c r="Q352" s="381"/>
      <c r="R352" s="381"/>
      <c r="S352" s="381"/>
      <c r="T352" s="381"/>
      <c r="U352" s="381"/>
      <c r="V352" s="381"/>
      <c r="W352" s="381"/>
      <c r="X352" s="381"/>
      <c r="Y352" s="381"/>
      <c r="Z352" s="381"/>
      <c r="AA352" s="381"/>
      <c r="AB352" s="381"/>
      <c r="AC352" s="382"/>
      <c r="AD352" s="382"/>
    </row>
    <row r="353" spans="1:30" ht="12.75" customHeight="1" x14ac:dyDescent="0.2">
      <c r="A353" s="378"/>
      <c r="B353" s="378"/>
      <c r="C353" s="378"/>
      <c r="D353" s="379"/>
      <c r="E353" s="380"/>
      <c r="F353" s="378"/>
      <c r="G353" s="378"/>
      <c r="H353" s="378"/>
      <c r="I353" s="378"/>
      <c r="J353" s="378"/>
      <c r="K353" s="378"/>
      <c r="L353" s="378"/>
      <c r="M353" s="381"/>
      <c r="N353" s="381"/>
      <c r="O353" s="381"/>
      <c r="P353" s="381"/>
      <c r="Q353" s="381"/>
      <c r="R353" s="381"/>
      <c r="S353" s="381"/>
      <c r="T353" s="381"/>
      <c r="U353" s="381"/>
      <c r="V353" s="381"/>
      <c r="W353" s="381"/>
      <c r="X353" s="381"/>
      <c r="Y353" s="381"/>
      <c r="Z353" s="381"/>
      <c r="AA353" s="381"/>
      <c r="AB353" s="381"/>
      <c r="AC353" s="382"/>
      <c r="AD353" s="382"/>
    </row>
    <row r="354" spans="1:30" ht="12.75" customHeight="1" x14ac:dyDescent="0.2">
      <c r="A354" s="378"/>
      <c r="B354" s="378"/>
      <c r="C354" s="378"/>
      <c r="D354" s="379"/>
      <c r="E354" s="380"/>
      <c r="F354" s="378"/>
      <c r="G354" s="378"/>
      <c r="H354" s="378"/>
      <c r="I354" s="378"/>
      <c r="J354" s="378"/>
      <c r="K354" s="378"/>
      <c r="L354" s="378"/>
      <c r="M354" s="381"/>
      <c r="N354" s="381"/>
      <c r="O354" s="381"/>
      <c r="P354" s="381"/>
      <c r="Q354" s="381"/>
      <c r="R354" s="381"/>
      <c r="S354" s="381"/>
      <c r="T354" s="381"/>
      <c r="U354" s="381"/>
      <c r="V354" s="381"/>
      <c r="W354" s="381"/>
      <c r="X354" s="381"/>
      <c r="Y354" s="381"/>
      <c r="Z354" s="381"/>
      <c r="AA354" s="381"/>
      <c r="AB354" s="381"/>
      <c r="AC354" s="382"/>
      <c r="AD354" s="382"/>
    </row>
    <row r="355" spans="1:30" ht="12.75" customHeight="1" x14ac:dyDescent="0.2">
      <c r="A355" s="378"/>
      <c r="B355" s="378"/>
      <c r="C355" s="378"/>
      <c r="D355" s="379"/>
      <c r="E355" s="380"/>
      <c r="F355" s="378"/>
      <c r="G355" s="378"/>
      <c r="H355" s="378"/>
      <c r="I355" s="378"/>
      <c r="J355" s="378"/>
      <c r="K355" s="378"/>
      <c r="L355" s="378"/>
      <c r="M355" s="381"/>
      <c r="N355" s="381"/>
      <c r="O355" s="381"/>
      <c r="P355" s="381"/>
      <c r="Q355" s="381"/>
      <c r="R355" s="381"/>
      <c r="S355" s="381"/>
      <c r="T355" s="381"/>
      <c r="U355" s="381"/>
      <c r="V355" s="381"/>
      <c r="W355" s="381"/>
      <c r="X355" s="381"/>
      <c r="Y355" s="381"/>
      <c r="Z355" s="381"/>
      <c r="AA355" s="381"/>
      <c r="AB355" s="381"/>
      <c r="AC355" s="382"/>
      <c r="AD355" s="382"/>
    </row>
    <row r="356" spans="1:30" ht="12.75" customHeight="1" x14ac:dyDescent="0.2">
      <c r="A356" s="378"/>
      <c r="B356" s="378"/>
      <c r="C356" s="378"/>
      <c r="D356" s="379"/>
      <c r="E356" s="380"/>
      <c r="F356" s="378"/>
      <c r="G356" s="378"/>
      <c r="H356" s="378"/>
      <c r="I356" s="378"/>
      <c r="J356" s="378"/>
      <c r="K356" s="378"/>
      <c r="L356" s="378"/>
      <c r="M356" s="381"/>
      <c r="N356" s="381"/>
      <c r="O356" s="381"/>
      <c r="P356" s="381"/>
      <c r="Q356" s="381"/>
      <c r="R356" s="381"/>
      <c r="S356" s="381"/>
      <c r="T356" s="381"/>
      <c r="U356" s="381"/>
      <c r="V356" s="381"/>
      <c r="W356" s="381"/>
      <c r="X356" s="381"/>
      <c r="Y356" s="381"/>
      <c r="Z356" s="381"/>
      <c r="AA356" s="381"/>
      <c r="AB356" s="381"/>
      <c r="AC356" s="382"/>
      <c r="AD356" s="382"/>
    </row>
    <row r="357" spans="1:30" ht="12.75" customHeight="1" x14ac:dyDescent="0.2">
      <c r="A357" s="378"/>
      <c r="B357" s="378"/>
      <c r="C357" s="378"/>
      <c r="D357" s="379"/>
      <c r="E357" s="380"/>
      <c r="F357" s="378"/>
      <c r="G357" s="378"/>
      <c r="H357" s="378"/>
      <c r="I357" s="378"/>
      <c r="J357" s="378"/>
      <c r="K357" s="378"/>
      <c r="L357" s="378"/>
      <c r="M357" s="381"/>
      <c r="N357" s="381"/>
      <c r="O357" s="381"/>
      <c r="P357" s="381"/>
      <c r="Q357" s="381"/>
      <c r="R357" s="381"/>
      <c r="S357" s="381"/>
      <c r="T357" s="381"/>
      <c r="U357" s="381"/>
      <c r="V357" s="381"/>
      <c r="W357" s="381"/>
      <c r="X357" s="381"/>
      <c r="Y357" s="381"/>
      <c r="Z357" s="381"/>
      <c r="AA357" s="381"/>
      <c r="AB357" s="381"/>
      <c r="AC357" s="382"/>
      <c r="AD357" s="382"/>
    </row>
    <row r="358" spans="1:30" ht="12.75" customHeight="1" x14ac:dyDescent="0.2">
      <c r="A358" s="378"/>
      <c r="B358" s="378"/>
      <c r="C358" s="378"/>
      <c r="D358" s="379"/>
      <c r="E358" s="380"/>
      <c r="F358" s="378"/>
      <c r="G358" s="378"/>
      <c r="H358" s="378"/>
      <c r="I358" s="378"/>
      <c r="J358" s="378"/>
      <c r="K358" s="378"/>
      <c r="L358" s="378"/>
      <c r="M358" s="381"/>
      <c r="N358" s="381"/>
      <c r="O358" s="381"/>
      <c r="P358" s="381"/>
      <c r="Q358" s="381"/>
      <c r="R358" s="381"/>
      <c r="S358" s="381"/>
      <c r="T358" s="381"/>
      <c r="U358" s="381"/>
      <c r="V358" s="381"/>
      <c r="W358" s="381"/>
      <c r="X358" s="381"/>
      <c r="Y358" s="381"/>
      <c r="Z358" s="381"/>
      <c r="AA358" s="381"/>
      <c r="AB358" s="381"/>
      <c r="AC358" s="382"/>
      <c r="AD358" s="382"/>
    </row>
    <row r="359" spans="1:30" ht="12.75" customHeight="1" x14ac:dyDescent="0.2">
      <c r="A359" s="378"/>
      <c r="B359" s="378"/>
      <c r="C359" s="378"/>
      <c r="D359" s="379"/>
      <c r="E359" s="380"/>
      <c r="F359" s="378"/>
      <c r="G359" s="378"/>
      <c r="H359" s="378"/>
      <c r="I359" s="378"/>
      <c r="J359" s="378"/>
      <c r="K359" s="378"/>
      <c r="L359" s="378"/>
      <c r="M359" s="381"/>
      <c r="N359" s="381"/>
      <c r="O359" s="381"/>
      <c r="P359" s="381"/>
      <c r="Q359" s="381"/>
      <c r="R359" s="381"/>
      <c r="S359" s="381"/>
      <c r="T359" s="381"/>
      <c r="U359" s="381"/>
      <c r="V359" s="381"/>
      <c r="W359" s="381"/>
      <c r="X359" s="381"/>
      <c r="Y359" s="381"/>
      <c r="Z359" s="381"/>
      <c r="AA359" s="381"/>
      <c r="AB359" s="381"/>
      <c r="AC359" s="382"/>
      <c r="AD359" s="382"/>
    </row>
    <row r="360" spans="1:30" ht="12.75" customHeight="1" x14ac:dyDescent="0.2">
      <c r="A360" s="378"/>
      <c r="B360" s="378"/>
      <c r="C360" s="378"/>
      <c r="D360" s="379"/>
      <c r="E360" s="380"/>
      <c r="F360" s="378"/>
      <c r="G360" s="378"/>
      <c r="H360" s="378"/>
      <c r="I360" s="378"/>
      <c r="J360" s="378"/>
      <c r="K360" s="378"/>
      <c r="L360" s="378"/>
      <c r="M360" s="381"/>
      <c r="N360" s="381"/>
      <c r="O360" s="381"/>
      <c r="P360" s="381"/>
      <c r="Q360" s="381"/>
      <c r="R360" s="381"/>
      <c r="S360" s="381"/>
      <c r="T360" s="381"/>
      <c r="U360" s="381"/>
      <c r="V360" s="381"/>
      <c r="W360" s="381"/>
      <c r="X360" s="381"/>
      <c r="Y360" s="381"/>
      <c r="Z360" s="381"/>
      <c r="AA360" s="381"/>
      <c r="AB360" s="381"/>
      <c r="AC360" s="382"/>
      <c r="AD360" s="382"/>
    </row>
    <row r="361" spans="1:30" ht="12.75" customHeight="1" x14ac:dyDescent="0.2">
      <c r="A361" s="378"/>
      <c r="B361" s="378"/>
      <c r="C361" s="378"/>
      <c r="D361" s="379"/>
      <c r="E361" s="380"/>
      <c r="F361" s="378"/>
      <c r="G361" s="378"/>
      <c r="H361" s="378"/>
      <c r="I361" s="378"/>
      <c r="J361" s="378"/>
      <c r="K361" s="378"/>
      <c r="L361" s="378"/>
      <c r="M361" s="381"/>
      <c r="N361" s="381"/>
      <c r="O361" s="381"/>
      <c r="P361" s="381"/>
      <c r="Q361" s="381"/>
      <c r="R361" s="381"/>
      <c r="S361" s="381"/>
      <c r="T361" s="381"/>
      <c r="U361" s="381"/>
      <c r="V361" s="381"/>
      <c r="W361" s="381"/>
      <c r="X361" s="381"/>
      <c r="Y361" s="381"/>
      <c r="Z361" s="381"/>
      <c r="AA361" s="381"/>
      <c r="AB361" s="381"/>
      <c r="AC361" s="382"/>
      <c r="AD361" s="382"/>
    </row>
    <row r="362" spans="1:30" ht="12.75" customHeight="1" x14ac:dyDescent="0.2">
      <c r="A362" s="378"/>
      <c r="B362" s="378"/>
      <c r="C362" s="378"/>
      <c r="D362" s="379"/>
      <c r="E362" s="380"/>
      <c r="F362" s="378"/>
      <c r="G362" s="378"/>
      <c r="H362" s="378"/>
      <c r="I362" s="378"/>
      <c r="J362" s="378"/>
      <c r="K362" s="378"/>
      <c r="L362" s="378"/>
      <c r="M362" s="381"/>
      <c r="N362" s="381"/>
      <c r="O362" s="381"/>
      <c r="P362" s="381"/>
      <c r="Q362" s="381"/>
      <c r="R362" s="381"/>
      <c r="S362" s="381"/>
      <c r="T362" s="381"/>
      <c r="U362" s="381"/>
      <c r="V362" s="381"/>
      <c r="W362" s="381"/>
      <c r="X362" s="381"/>
      <c r="Y362" s="381"/>
      <c r="Z362" s="381"/>
      <c r="AA362" s="381"/>
      <c r="AB362" s="381"/>
      <c r="AC362" s="382"/>
      <c r="AD362" s="382"/>
    </row>
    <row r="363" spans="1:30" ht="12.75" customHeight="1" x14ac:dyDescent="0.2">
      <c r="A363" s="378"/>
      <c r="B363" s="378"/>
      <c r="C363" s="378"/>
      <c r="D363" s="379"/>
      <c r="E363" s="380"/>
      <c r="F363" s="378"/>
      <c r="G363" s="378"/>
      <c r="H363" s="378"/>
      <c r="I363" s="378"/>
      <c r="J363" s="378"/>
      <c r="K363" s="378"/>
      <c r="L363" s="378"/>
      <c r="M363" s="381"/>
      <c r="N363" s="381"/>
      <c r="O363" s="381"/>
      <c r="P363" s="381"/>
      <c r="Q363" s="381"/>
      <c r="R363" s="381"/>
      <c r="S363" s="381"/>
      <c r="T363" s="381"/>
      <c r="U363" s="381"/>
      <c r="V363" s="381"/>
      <c r="W363" s="381"/>
      <c r="X363" s="381"/>
      <c r="Y363" s="381"/>
      <c r="Z363" s="381"/>
      <c r="AA363" s="381"/>
      <c r="AB363" s="381"/>
      <c r="AC363" s="382"/>
      <c r="AD363" s="382"/>
    </row>
    <row r="364" spans="1:30" ht="12.75" customHeight="1" x14ac:dyDescent="0.2">
      <c r="A364" s="378"/>
      <c r="B364" s="378"/>
      <c r="C364" s="378"/>
      <c r="D364" s="379"/>
      <c r="E364" s="380"/>
      <c r="F364" s="378"/>
      <c r="G364" s="378"/>
      <c r="H364" s="378"/>
      <c r="I364" s="378"/>
      <c r="J364" s="378"/>
      <c r="K364" s="378"/>
      <c r="L364" s="378"/>
      <c r="M364" s="381"/>
      <c r="N364" s="381"/>
      <c r="O364" s="381"/>
      <c r="P364" s="381"/>
      <c r="Q364" s="381"/>
      <c r="R364" s="381"/>
      <c r="S364" s="381"/>
      <c r="T364" s="381"/>
      <c r="U364" s="381"/>
      <c r="V364" s="381"/>
      <c r="W364" s="381"/>
      <c r="X364" s="381"/>
      <c r="Y364" s="381"/>
      <c r="Z364" s="381"/>
      <c r="AA364" s="381"/>
      <c r="AB364" s="381"/>
      <c r="AC364" s="382"/>
      <c r="AD364" s="382"/>
    </row>
    <row r="365" spans="1:30" ht="12.75" customHeight="1" x14ac:dyDescent="0.2">
      <c r="A365" s="378"/>
      <c r="B365" s="378"/>
      <c r="C365" s="378"/>
      <c r="D365" s="379"/>
      <c r="E365" s="380"/>
      <c r="F365" s="378"/>
      <c r="G365" s="378"/>
      <c r="H365" s="378"/>
      <c r="I365" s="378"/>
      <c r="J365" s="378"/>
      <c r="K365" s="378"/>
      <c r="L365" s="378"/>
      <c r="M365" s="381"/>
      <c r="N365" s="381"/>
      <c r="O365" s="381"/>
      <c r="P365" s="381"/>
      <c r="Q365" s="381"/>
      <c r="R365" s="381"/>
      <c r="S365" s="381"/>
      <c r="T365" s="381"/>
      <c r="U365" s="381"/>
      <c r="V365" s="381"/>
      <c r="W365" s="381"/>
      <c r="X365" s="381"/>
      <c r="Y365" s="381"/>
      <c r="Z365" s="381"/>
      <c r="AA365" s="381"/>
      <c r="AB365" s="381"/>
      <c r="AC365" s="382"/>
      <c r="AD365" s="382"/>
    </row>
    <row r="366" spans="1:30" ht="12.75" customHeight="1" x14ac:dyDescent="0.2">
      <c r="A366" s="378"/>
      <c r="B366" s="378"/>
      <c r="C366" s="378"/>
      <c r="D366" s="379"/>
      <c r="E366" s="380"/>
      <c r="F366" s="378"/>
      <c r="G366" s="378"/>
      <c r="H366" s="378"/>
      <c r="I366" s="378"/>
      <c r="J366" s="378"/>
      <c r="K366" s="378"/>
      <c r="L366" s="378"/>
      <c r="M366" s="381"/>
      <c r="N366" s="381"/>
      <c r="O366" s="381"/>
      <c r="P366" s="381"/>
      <c r="Q366" s="381"/>
      <c r="R366" s="381"/>
      <c r="S366" s="381"/>
      <c r="T366" s="381"/>
      <c r="U366" s="381"/>
      <c r="V366" s="381"/>
      <c r="W366" s="381"/>
      <c r="X366" s="381"/>
      <c r="Y366" s="381"/>
      <c r="Z366" s="381"/>
      <c r="AA366" s="381"/>
      <c r="AB366" s="381"/>
      <c r="AC366" s="382"/>
      <c r="AD366" s="382"/>
    </row>
    <row r="367" spans="1:30" ht="12.75" customHeight="1" x14ac:dyDescent="0.2">
      <c r="A367" s="378"/>
      <c r="B367" s="378"/>
      <c r="C367" s="378"/>
      <c r="D367" s="379"/>
      <c r="E367" s="380"/>
      <c r="F367" s="378"/>
      <c r="G367" s="378"/>
      <c r="H367" s="378"/>
      <c r="I367" s="378"/>
      <c r="J367" s="378"/>
      <c r="K367" s="378"/>
      <c r="L367" s="378"/>
      <c r="M367" s="381"/>
      <c r="N367" s="381"/>
      <c r="O367" s="381"/>
      <c r="P367" s="381"/>
      <c r="Q367" s="381"/>
      <c r="R367" s="381"/>
      <c r="S367" s="381"/>
      <c r="T367" s="381"/>
      <c r="U367" s="381"/>
      <c r="V367" s="381"/>
      <c r="W367" s="381"/>
      <c r="X367" s="381"/>
      <c r="Y367" s="381"/>
      <c r="Z367" s="381"/>
      <c r="AA367" s="381"/>
      <c r="AB367" s="381"/>
      <c r="AC367" s="382"/>
      <c r="AD367" s="382"/>
    </row>
    <row r="368" spans="1:30" ht="12.75" customHeight="1" x14ac:dyDescent="0.2">
      <c r="A368" s="378"/>
      <c r="B368" s="378"/>
      <c r="C368" s="378"/>
      <c r="D368" s="379"/>
      <c r="E368" s="380"/>
      <c r="F368" s="378"/>
      <c r="G368" s="378"/>
      <c r="H368" s="378"/>
      <c r="I368" s="378"/>
      <c r="J368" s="378"/>
      <c r="K368" s="378"/>
      <c r="L368" s="378"/>
      <c r="M368" s="381"/>
      <c r="N368" s="381"/>
      <c r="O368" s="381"/>
      <c r="P368" s="381"/>
      <c r="Q368" s="381"/>
      <c r="R368" s="381"/>
      <c r="S368" s="381"/>
      <c r="T368" s="381"/>
      <c r="U368" s="381"/>
      <c r="V368" s="381"/>
      <c r="W368" s="381"/>
      <c r="X368" s="381"/>
      <c r="Y368" s="381"/>
      <c r="Z368" s="381"/>
      <c r="AA368" s="381"/>
      <c r="AB368" s="381"/>
      <c r="AC368" s="382"/>
      <c r="AD368" s="382"/>
    </row>
    <row r="369" spans="1:30" ht="12.75" customHeight="1" x14ac:dyDescent="0.2">
      <c r="A369" s="378"/>
      <c r="B369" s="378"/>
      <c r="C369" s="378"/>
      <c r="D369" s="379"/>
      <c r="E369" s="380"/>
      <c r="F369" s="378"/>
      <c r="G369" s="378"/>
      <c r="H369" s="378"/>
      <c r="I369" s="378"/>
      <c r="J369" s="378"/>
      <c r="K369" s="378"/>
      <c r="L369" s="378"/>
      <c r="M369" s="381"/>
      <c r="N369" s="381"/>
      <c r="O369" s="381"/>
      <c r="P369" s="381"/>
      <c r="Q369" s="381"/>
      <c r="R369" s="381"/>
      <c r="S369" s="381"/>
      <c r="T369" s="381"/>
      <c r="U369" s="381"/>
      <c r="V369" s="381"/>
      <c r="W369" s="381"/>
      <c r="X369" s="381"/>
      <c r="Y369" s="381"/>
      <c r="Z369" s="381"/>
      <c r="AA369" s="381"/>
      <c r="AB369" s="381"/>
      <c r="AC369" s="382"/>
      <c r="AD369" s="382"/>
    </row>
    <row r="370" spans="1:30" ht="12.75" customHeight="1" x14ac:dyDescent="0.2">
      <c r="A370" s="378"/>
      <c r="B370" s="378"/>
      <c r="C370" s="378"/>
      <c r="D370" s="379"/>
      <c r="E370" s="380"/>
      <c r="F370" s="378"/>
      <c r="G370" s="378"/>
      <c r="H370" s="378"/>
      <c r="I370" s="378"/>
      <c r="J370" s="378"/>
      <c r="K370" s="378"/>
      <c r="L370" s="378"/>
      <c r="M370" s="381"/>
      <c r="N370" s="381"/>
      <c r="O370" s="381"/>
      <c r="P370" s="381"/>
      <c r="Q370" s="381"/>
      <c r="R370" s="381"/>
      <c r="S370" s="381"/>
      <c r="T370" s="381"/>
      <c r="U370" s="381"/>
      <c r="V370" s="381"/>
      <c r="W370" s="381"/>
      <c r="X370" s="381"/>
      <c r="Y370" s="381"/>
      <c r="Z370" s="381"/>
      <c r="AA370" s="381"/>
      <c r="AB370" s="381"/>
      <c r="AC370" s="382"/>
      <c r="AD370" s="382"/>
    </row>
    <row r="371" spans="1:30" ht="12.75" customHeight="1" x14ac:dyDescent="0.2">
      <c r="A371" s="378"/>
      <c r="B371" s="378"/>
      <c r="C371" s="378"/>
      <c r="D371" s="379"/>
      <c r="E371" s="380"/>
      <c r="F371" s="378"/>
      <c r="G371" s="378"/>
      <c r="H371" s="378"/>
      <c r="I371" s="378"/>
      <c r="J371" s="378"/>
      <c r="K371" s="378"/>
      <c r="L371" s="378"/>
      <c r="M371" s="381"/>
      <c r="N371" s="381"/>
      <c r="O371" s="381"/>
      <c r="P371" s="381"/>
      <c r="Q371" s="381"/>
      <c r="R371" s="381"/>
      <c r="S371" s="381"/>
      <c r="T371" s="381"/>
      <c r="U371" s="381"/>
      <c r="V371" s="381"/>
      <c r="W371" s="381"/>
      <c r="X371" s="381"/>
      <c r="Y371" s="381"/>
      <c r="Z371" s="381"/>
      <c r="AA371" s="381"/>
      <c r="AB371" s="381"/>
      <c r="AC371" s="382"/>
      <c r="AD371" s="382"/>
    </row>
    <row r="372" spans="1:30" ht="12.75" customHeight="1" x14ac:dyDescent="0.2">
      <c r="A372" s="378"/>
      <c r="B372" s="378"/>
      <c r="C372" s="378"/>
      <c r="D372" s="379"/>
      <c r="E372" s="380"/>
      <c r="F372" s="378"/>
      <c r="G372" s="378"/>
      <c r="H372" s="378"/>
      <c r="I372" s="378"/>
      <c r="J372" s="378"/>
      <c r="K372" s="378"/>
      <c r="L372" s="378"/>
      <c r="M372" s="381"/>
      <c r="N372" s="381"/>
      <c r="O372" s="381"/>
      <c r="P372" s="381"/>
      <c r="Q372" s="381"/>
      <c r="R372" s="381"/>
      <c r="S372" s="381"/>
      <c r="T372" s="381"/>
      <c r="U372" s="381"/>
      <c r="V372" s="381"/>
      <c r="W372" s="381"/>
      <c r="X372" s="381"/>
      <c r="Y372" s="381"/>
      <c r="Z372" s="381"/>
      <c r="AA372" s="381"/>
      <c r="AB372" s="381"/>
      <c r="AC372" s="382"/>
      <c r="AD372" s="382"/>
    </row>
    <row r="373" spans="1:30" ht="12.75" customHeight="1" x14ac:dyDescent="0.2">
      <c r="A373" s="378"/>
      <c r="B373" s="378"/>
      <c r="C373" s="378"/>
      <c r="D373" s="379"/>
      <c r="E373" s="380"/>
      <c r="F373" s="378"/>
      <c r="G373" s="378"/>
      <c r="H373" s="378"/>
      <c r="I373" s="378"/>
      <c r="J373" s="378"/>
      <c r="K373" s="378"/>
      <c r="L373" s="378"/>
      <c r="M373" s="381"/>
      <c r="N373" s="381"/>
      <c r="O373" s="381"/>
      <c r="P373" s="381"/>
      <c r="Q373" s="381"/>
      <c r="R373" s="381"/>
      <c r="S373" s="381"/>
      <c r="T373" s="381"/>
      <c r="U373" s="381"/>
      <c r="V373" s="381"/>
      <c r="W373" s="381"/>
      <c r="X373" s="381"/>
      <c r="Y373" s="381"/>
      <c r="Z373" s="381"/>
      <c r="AA373" s="381"/>
      <c r="AB373" s="381"/>
      <c r="AC373" s="382"/>
      <c r="AD373" s="382"/>
    </row>
    <row r="374" spans="1:30" ht="12.75" customHeight="1" x14ac:dyDescent="0.2">
      <c r="A374" s="378"/>
      <c r="B374" s="378"/>
      <c r="C374" s="378"/>
      <c r="D374" s="379"/>
      <c r="E374" s="380"/>
      <c r="F374" s="378"/>
      <c r="G374" s="378"/>
      <c r="H374" s="378"/>
      <c r="I374" s="378"/>
      <c r="J374" s="378"/>
      <c r="K374" s="378"/>
      <c r="L374" s="378"/>
      <c r="M374" s="381"/>
      <c r="N374" s="381"/>
      <c r="O374" s="381"/>
      <c r="P374" s="381"/>
      <c r="Q374" s="381"/>
      <c r="R374" s="381"/>
      <c r="S374" s="381"/>
      <c r="T374" s="381"/>
      <c r="U374" s="381"/>
      <c r="V374" s="381"/>
      <c r="W374" s="381"/>
      <c r="X374" s="381"/>
      <c r="Y374" s="381"/>
      <c r="Z374" s="381"/>
      <c r="AA374" s="381"/>
      <c r="AB374" s="381"/>
      <c r="AC374" s="382"/>
      <c r="AD374" s="382"/>
    </row>
    <row r="375" spans="1:30" ht="12.75" customHeight="1" x14ac:dyDescent="0.2">
      <c r="A375" s="378"/>
      <c r="B375" s="378"/>
      <c r="C375" s="378"/>
      <c r="D375" s="379"/>
      <c r="E375" s="380"/>
      <c r="F375" s="378"/>
      <c r="G375" s="378"/>
      <c r="H375" s="378"/>
      <c r="I375" s="378"/>
      <c r="J375" s="378"/>
      <c r="K375" s="378"/>
      <c r="L375" s="378"/>
      <c r="M375" s="381"/>
      <c r="N375" s="381"/>
      <c r="O375" s="381"/>
      <c r="P375" s="381"/>
      <c r="Q375" s="381"/>
      <c r="R375" s="381"/>
      <c r="S375" s="381"/>
      <c r="T375" s="381"/>
      <c r="U375" s="381"/>
      <c r="V375" s="381"/>
      <c r="W375" s="381"/>
      <c r="X375" s="381"/>
      <c r="Y375" s="381"/>
      <c r="Z375" s="381"/>
      <c r="AA375" s="381"/>
      <c r="AB375" s="381"/>
      <c r="AC375" s="382"/>
      <c r="AD375" s="382"/>
    </row>
    <row r="376" spans="1:30" ht="12.75" customHeight="1" x14ac:dyDescent="0.2">
      <c r="A376" s="378"/>
      <c r="B376" s="378"/>
      <c r="C376" s="378"/>
      <c r="D376" s="379"/>
      <c r="E376" s="380"/>
      <c r="F376" s="378"/>
      <c r="G376" s="378"/>
      <c r="H376" s="378"/>
      <c r="I376" s="378"/>
      <c r="J376" s="378"/>
      <c r="K376" s="378"/>
      <c r="L376" s="378"/>
      <c r="M376" s="381"/>
      <c r="N376" s="381"/>
      <c r="O376" s="381"/>
      <c r="P376" s="381"/>
      <c r="Q376" s="381"/>
      <c r="R376" s="381"/>
      <c r="S376" s="381"/>
      <c r="T376" s="381"/>
      <c r="U376" s="381"/>
      <c r="V376" s="381"/>
      <c r="W376" s="381"/>
      <c r="X376" s="381"/>
      <c r="Y376" s="381"/>
      <c r="Z376" s="381"/>
      <c r="AA376" s="381"/>
      <c r="AB376" s="381"/>
      <c r="AC376" s="382"/>
      <c r="AD376" s="382"/>
    </row>
    <row r="377" spans="1:30" ht="12.75" customHeight="1" x14ac:dyDescent="0.2">
      <c r="A377" s="378"/>
      <c r="B377" s="378"/>
      <c r="C377" s="378"/>
      <c r="D377" s="379"/>
      <c r="E377" s="380"/>
      <c r="F377" s="378"/>
      <c r="G377" s="378"/>
      <c r="H377" s="378"/>
      <c r="I377" s="378"/>
      <c r="J377" s="378"/>
      <c r="K377" s="378"/>
      <c r="L377" s="378"/>
      <c r="M377" s="381"/>
      <c r="N377" s="381"/>
      <c r="O377" s="381"/>
      <c r="P377" s="381"/>
      <c r="Q377" s="381"/>
      <c r="R377" s="381"/>
      <c r="S377" s="381"/>
      <c r="T377" s="381"/>
      <c r="U377" s="381"/>
      <c r="V377" s="381"/>
      <c r="W377" s="381"/>
      <c r="X377" s="381"/>
      <c r="Y377" s="381"/>
      <c r="Z377" s="381"/>
      <c r="AA377" s="381"/>
      <c r="AB377" s="381"/>
      <c r="AC377" s="382"/>
      <c r="AD377" s="382"/>
    </row>
    <row r="378" spans="1:30" ht="12.75" customHeight="1" x14ac:dyDescent="0.2">
      <c r="A378" s="378"/>
      <c r="B378" s="378"/>
      <c r="C378" s="378"/>
      <c r="D378" s="379"/>
      <c r="E378" s="380"/>
      <c r="F378" s="378"/>
      <c r="G378" s="378"/>
      <c r="H378" s="378"/>
      <c r="I378" s="378"/>
      <c r="J378" s="378"/>
      <c r="K378" s="378"/>
      <c r="L378" s="378"/>
      <c r="M378" s="381"/>
      <c r="N378" s="381"/>
      <c r="O378" s="381"/>
      <c r="P378" s="381"/>
      <c r="Q378" s="381"/>
      <c r="R378" s="381"/>
      <c r="S378" s="381"/>
      <c r="T378" s="381"/>
      <c r="U378" s="381"/>
      <c r="V378" s="381"/>
      <c r="W378" s="381"/>
      <c r="X378" s="381"/>
      <c r="Y378" s="381"/>
      <c r="Z378" s="381"/>
      <c r="AA378" s="381"/>
      <c r="AB378" s="381"/>
      <c r="AC378" s="382"/>
      <c r="AD378" s="382"/>
    </row>
    <row r="379" spans="1:30" ht="12.75" customHeight="1" x14ac:dyDescent="0.2">
      <c r="A379" s="378"/>
      <c r="B379" s="378"/>
      <c r="C379" s="378"/>
      <c r="D379" s="379"/>
      <c r="E379" s="380"/>
      <c r="F379" s="378"/>
      <c r="G379" s="378"/>
      <c r="H379" s="378"/>
      <c r="I379" s="378"/>
      <c r="J379" s="378"/>
      <c r="K379" s="378"/>
      <c r="L379" s="378"/>
      <c r="M379" s="381"/>
      <c r="N379" s="381"/>
      <c r="O379" s="381"/>
      <c r="P379" s="381"/>
      <c r="Q379" s="381"/>
      <c r="R379" s="381"/>
      <c r="S379" s="381"/>
      <c r="T379" s="381"/>
      <c r="U379" s="381"/>
      <c r="V379" s="381"/>
      <c r="W379" s="381"/>
      <c r="X379" s="381"/>
      <c r="Y379" s="381"/>
      <c r="Z379" s="381"/>
      <c r="AA379" s="381"/>
      <c r="AB379" s="381"/>
      <c r="AC379" s="382"/>
      <c r="AD379" s="382"/>
    </row>
    <row r="380" spans="1:30" ht="12.75" customHeight="1" x14ac:dyDescent="0.2">
      <c r="A380" s="378"/>
      <c r="B380" s="378"/>
      <c r="C380" s="378"/>
      <c r="D380" s="379"/>
      <c r="E380" s="380"/>
      <c r="F380" s="378"/>
      <c r="G380" s="378"/>
      <c r="H380" s="378"/>
      <c r="I380" s="378"/>
      <c r="J380" s="378"/>
      <c r="K380" s="378"/>
      <c r="L380" s="378"/>
      <c r="M380" s="381"/>
      <c r="N380" s="381"/>
      <c r="O380" s="381"/>
      <c r="P380" s="381"/>
      <c r="Q380" s="381"/>
      <c r="R380" s="381"/>
      <c r="S380" s="381"/>
      <c r="T380" s="381"/>
      <c r="U380" s="381"/>
      <c r="V380" s="381"/>
      <c r="W380" s="381"/>
      <c r="X380" s="381"/>
      <c r="Y380" s="381"/>
      <c r="Z380" s="381"/>
      <c r="AA380" s="381"/>
      <c r="AB380" s="381"/>
      <c r="AC380" s="382"/>
      <c r="AD380" s="382"/>
    </row>
    <row r="381" spans="1:30" ht="12.75" customHeight="1" x14ac:dyDescent="0.2">
      <c r="A381" s="378"/>
      <c r="B381" s="378"/>
      <c r="C381" s="378"/>
      <c r="D381" s="379"/>
      <c r="E381" s="380"/>
      <c r="F381" s="378"/>
      <c r="G381" s="378"/>
      <c r="H381" s="378"/>
      <c r="I381" s="378"/>
      <c r="J381" s="378"/>
      <c r="K381" s="378"/>
      <c r="L381" s="378"/>
      <c r="M381" s="381"/>
      <c r="N381" s="381"/>
      <c r="O381" s="381"/>
      <c r="P381" s="381"/>
      <c r="Q381" s="381"/>
      <c r="R381" s="381"/>
      <c r="S381" s="381"/>
      <c r="T381" s="381"/>
      <c r="U381" s="381"/>
      <c r="V381" s="381"/>
      <c r="W381" s="381"/>
      <c r="X381" s="381"/>
      <c r="Y381" s="381"/>
      <c r="Z381" s="381"/>
      <c r="AA381" s="381"/>
      <c r="AB381" s="381"/>
      <c r="AC381" s="382"/>
      <c r="AD381" s="382"/>
    </row>
    <row r="382" spans="1:30" ht="12.75" customHeight="1" x14ac:dyDescent="0.2">
      <c r="A382" s="378"/>
      <c r="B382" s="378"/>
      <c r="C382" s="378"/>
      <c r="D382" s="379"/>
      <c r="E382" s="380"/>
      <c r="F382" s="378"/>
      <c r="G382" s="378"/>
      <c r="H382" s="378"/>
      <c r="I382" s="378"/>
      <c r="J382" s="378"/>
      <c r="K382" s="378"/>
      <c r="L382" s="378"/>
      <c r="M382" s="381"/>
      <c r="N382" s="381"/>
      <c r="O382" s="381"/>
      <c r="P382" s="381"/>
      <c r="Q382" s="381"/>
      <c r="R382" s="381"/>
      <c r="S382" s="381"/>
      <c r="T382" s="381"/>
      <c r="U382" s="381"/>
      <c r="V382" s="381"/>
      <c r="W382" s="381"/>
      <c r="X382" s="381"/>
      <c r="Y382" s="381"/>
      <c r="Z382" s="381"/>
      <c r="AA382" s="381"/>
      <c r="AB382" s="381"/>
      <c r="AC382" s="382"/>
      <c r="AD382" s="382"/>
    </row>
    <row r="383" spans="1:30" ht="12.75" customHeight="1" x14ac:dyDescent="0.2">
      <c r="A383" s="378"/>
      <c r="B383" s="378"/>
      <c r="C383" s="378"/>
      <c r="D383" s="379"/>
      <c r="E383" s="380"/>
      <c r="F383" s="378"/>
      <c r="G383" s="378"/>
      <c r="H383" s="378"/>
      <c r="I383" s="378"/>
      <c r="J383" s="378"/>
      <c r="K383" s="378"/>
      <c r="L383" s="378"/>
      <c r="M383" s="381"/>
      <c r="N383" s="381"/>
      <c r="O383" s="381"/>
      <c r="P383" s="381"/>
      <c r="Q383" s="381"/>
      <c r="R383" s="381"/>
      <c r="S383" s="381"/>
      <c r="T383" s="381"/>
      <c r="U383" s="381"/>
      <c r="V383" s="381"/>
      <c r="W383" s="381"/>
      <c r="X383" s="381"/>
      <c r="Y383" s="381"/>
      <c r="Z383" s="381"/>
      <c r="AA383" s="381"/>
      <c r="AB383" s="381"/>
      <c r="AC383" s="382"/>
      <c r="AD383" s="382"/>
    </row>
    <row r="384" spans="1:30" ht="12.75" customHeight="1" x14ac:dyDescent="0.2">
      <c r="A384" s="378"/>
      <c r="B384" s="378"/>
      <c r="C384" s="378"/>
      <c r="D384" s="379"/>
      <c r="E384" s="380"/>
      <c r="F384" s="378"/>
      <c r="G384" s="378"/>
      <c r="H384" s="378"/>
      <c r="I384" s="378"/>
      <c r="J384" s="378"/>
      <c r="K384" s="378"/>
      <c r="L384" s="378"/>
      <c r="M384" s="381"/>
      <c r="N384" s="381"/>
      <c r="O384" s="381"/>
      <c r="P384" s="381"/>
      <c r="Q384" s="381"/>
      <c r="R384" s="381"/>
      <c r="S384" s="381"/>
      <c r="T384" s="381"/>
      <c r="U384" s="381"/>
      <c r="V384" s="381"/>
      <c r="W384" s="381"/>
      <c r="X384" s="381"/>
      <c r="Y384" s="381"/>
      <c r="Z384" s="381"/>
      <c r="AA384" s="381"/>
      <c r="AB384" s="381"/>
      <c r="AC384" s="382"/>
      <c r="AD384" s="382"/>
    </row>
    <row r="385" spans="1:30" ht="12.75" customHeight="1" x14ac:dyDescent="0.2">
      <c r="A385" s="378"/>
      <c r="B385" s="378"/>
      <c r="C385" s="378"/>
      <c r="D385" s="379"/>
      <c r="E385" s="380"/>
      <c r="F385" s="378"/>
      <c r="G385" s="378"/>
      <c r="H385" s="378"/>
      <c r="I385" s="378"/>
      <c r="J385" s="378"/>
      <c r="K385" s="378"/>
      <c r="L385" s="378"/>
      <c r="M385" s="381"/>
      <c r="N385" s="381"/>
      <c r="O385" s="381"/>
      <c r="P385" s="381"/>
      <c r="Q385" s="381"/>
      <c r="R385" s="381"/>
      <c r="S385" s="381"/>
      <c r="T385" s="381"/>
      <c r="U385" s="381"/>
      <c r="V385" s="381"/>
      <c r="W385" s="381"/>
      <c r="X385" s="381"/>
      <c r="Y385" s="381"/>
      <c r="Z385" s="381"/>
      <c r="AA385" s="381"/>
      <c r="AB385" s="381"/>
      <c r="AC385" s="382"/>
      <c r="AD385" s="382"/>
    </row>
    <row r="386" spans="1:30" ht="12.75" customHeight="1" x14ac:dyDescent="0.2">
      <c r="A386" s="378"/>
      <c r="B386" s="378"/>
      <c r="C386" s="378"/>
      <c r="D386" s="379"/>
      <c r="E386" s="380"/>
      <c r="F386" s="378"/>
      <c r="G386" s="378"/>
      <c r="H386" s="378"/>
      <c r="I386" s="378"/>
      <c r="J386" s="378"/>
      <c r="K386" s="378"/>
      <c r="L386" s="378"/>
      <c r="M386" s="381"/>
      <c r="N386" s="381"/>
      <c r="O386" s="381"/>
      <c r="P386" s="381"/>
      <c r="Q386" s="381"/>
      <c r="R386" s="381"/>
      <c r="S386" s="381"/>
      <c r="T386" s="381"/>
      <c r="U386" s="381"/>
      <c r="V386" s="381"/>
      <c r="W386" s="381"/>
      <c r="X386" s="381"/>
      <c r="Y386" s="381"/>
      <c r="Z386" s="381"/>
      <c r="AA386" s="381"/>
      <c r="AB386" s="381"/>
      <c r="AC386" s="382"/>
      <c r="AD386" s="382"/>
    </row>
    <row r="387" spans="1:30" ht="12.75" customHeight="1" x14ac:dyDescent="0.2">
      <c r="A387" s="378"/>
      <c r="B387" s="378"/>
      <c r="C387" s="378"/>
      <c r="D387" s="379"/>
      <c r="E387" s="380"/>
      <c r="F387" s="378"/>
      <c r="G387" s="378"/>
      <c r="H387" s="378"/>
      <c r="I387" s="378"/>
      <c r="J387" s="378"/>
      <c r="K387" s="378"/>
      <c r="L387" s="378"/>
      <c r="M387" s="381"/>
      <c r="N387" s="381"/>
      <c r="O387" s="381"/>
      <c r="P387" s="381"/>
      <c r="Q387" s="381"/>
      <c r="R387" s="381"/>
      <c r="S387" s="381"/>
      <c r="T387" s="381"/>
      <c r="U387" s="381"/>
      <c r="V387" s="381"/>
      <c r="W387" s="381"/>
      <c r="X387" s="381"/>
      <c r="Y387" s="381"/>
      <c r="Z387" s="381"/>
      <c r="AA387" s="381"/>
      <c r="AB387" s="381"/>
      <c r="AC387" s="382"/>
      <c r="AD387" s="382"/>
    </row>
    <row r="388" spans="1:30" ht="12.75" customHeight="1" x14ac:dyDescent="0.2">
      <c r="A388" s="378"/>
      <c r="B388" s="378"/>
      <c r="C388" s="378"/>
      <c r="D388" s="379"/>
      <c r="E388" s="380"/>
      <c r="F388" s="378"/>
      <c r="G388" s="378"/>
      <c r="H388" s="378"/>
      <c r="I388" s="378"/>
      <c r="J388" s="378"/>
      <c r="K388" s="378"/>
      <c r="L388" s="378"/>
      <c r="M388" s="381"/>
      <c r="N388" s="381"/>
      <c r="O388" s="381"/>
      <c r="P388" s="381"/>
      <c r="Q388" s="381"/>
      <c r="R388" s="381"/>
      <c r="S388" s="381"/>
      <c r="T388" s="381"/>
      <c r="U388" s="381"/>
      <c r="V388" s="381"/>
      <c r="W388" s="381"/>
      <c r="X388" s="381"/>
      <c r="Y388" s="381"/>
      <c r="Z388" s="381"/>
      <c r="AA388" s="381"/>
      <c r="AB388" s="381"/>
      <c r="AC388" s="382"/>
      <c r="AD388" s="382"/>
    </row>
    <row r="389" spans="1:30" ht="12.75" customHeight="1" x14ac:dyDescent="0.2">
      <c r="A389" s="378"/>
      <c r="B389" s="378"/>
      <c r="C389" s="378"/>
      <c r="D389" s="379"/>
      <c r="E389" s="380"/>
      <c r="F389" s="378"/>
      <c r="G389" s="378"/>
      <c r="H389" s="378"/>
      <c r="I389" s="378"/>
      <c r="J389" s="378"/>
      <c r="K389" s="378"/>
      <c r="L389" s="378"/>
      <c r="M389" s="381"/>
      <c r="N389" s="381"/>
      <c r="O389" s="381"/>
      <c r="P389" s="381"/>
      <c r="Q389" s="381"/>
      <c r="R389" s="381"/>
      <c r="S389" s="381"/>
      <c r="T389" s="381"/>
      <c r="U389" s="381"/>
      <c r="V389" s="381"/>
      <c r="W389" s="381"/>
      <c r="X389" s="381"/>
      <c r="Y389" s="381"/>
      <c r="Z389" s="381"/>
      <c r="AA389" s="381"/>
      <c r="AB389" s="381"/>
      <c r="AC389" s="382"/>
      <c r="AD389" s="382"/>
    </row>
    <row r="390" spans="1:30" ht="12.75" customHeight="1" x14ac:dyDescent="0.2">
      <c r="A390" s="378"/>
      <c r="B390" s="378"/>
      <c r="C390" s="378"/>
      <c r="D390" s="379"/>
      <c r="E390" s="380"/>
      <c r="F390" s="378"/>
      <c r="G390" s="378"/>
      <c r="H390" s="378"/>
      <c r="I390" s="378"/>
      <c r="J390" s="378"/>
      <c r="K390" s="378"/>
      <c r="L390" s="378"/>
      <c r="M390" s="381"/>
      <c r="N390" s="381"/>
      <c r="O390" s="381"/>
      <c r="P390" s="381"/>
      <c r="Q390" s="381"/>
      <c r="R390" s="381"/>
      <c r="S390" s="381"/>
      <c r="T390" s="381"/>
      <c r="U390" s="381"/>
      <c r="V390" s="381"/>
      <c r="W390" s="381"/>
      <c r="X390" s="381"/>
      <c r="Y390" s="381"/>
      <c r="Z390" s="381"/>
      <c r="AA390" s="381"/>
      <c r="AB390" s="381"/>
      <c r="AC390" s="382"/>
      <c r="AD390" s="382"/>
    </row>
    <row r="391" spans="1:30" ht="12.75" customHeight="1" x14ac:dyDescent="0.2">
      <c r="A391" s="378"/>
      <c r="B391" s="378"/>
      <c r="C391" s="378"/>
      <c r="D391" s="379"/>
      <c r="E391" s="380"/>
      <c r="F391" s="378"/>
      <c r="G391" s="378"/>
      <c r="H391" s="378"/>
      <c r="I391" s="378"/>
      <c r="J391" s="378"/>
      <c r="K391" s="378"/>
      <c r="L391" s="378"/>
      <c r="M391" s="381"/>
      <c r="N391" s="381"/>
      <c r="O391" s="381"/>
      <c r="P391" s="381"/>
      <c r="Q391" s="381"/>
      <c r="R391" s="381"/>
      <c r="S391" s="381"/>
      <c r="T391" s="381"/>
      <c r="U391" s="381"/>
      <c r="V391" s="381"/>
      <c r="W391" s="381"/>
      <c r="X391" s="381"/>
      <c r="Y391" s="381"/>
      <c r="Z391" s="381"/>
      <c r="AA391" s="381"/>
      <c r="AB391" s="381"/>
      <c r="AC391" s="382"/>
      <c r="AD391" s="382"/>
    </row>
    <row r="392" spans="1:30" ht="12.75" customHeight="1" x14ac:dyDescent="0.2">
      <c r="A392" s="378"/>
      <c r="B392" s="378"/>
      <c r="C392" s="378"/>
      <c r="D392" s="379"/>
      <c r="E392" s="380"/>
      <c r="F392" s="378"/>
      <c r="G392" s="378"/>
      <c r="H392" s="378"/>
      <c r="I392" s="378"/>
      <c r="J392" s="378"/>
      <c r="K392" s="378"/>
      <c r="L392" s="378"/>
      <c r="M392" s="381"/>
      <c r="N392" s="381"/>
      <c r="O392" s="381"/>
      <c r="P392" s="381"/>
      <c r="Q392" s="381"/>
      <c r="R392" s="381"/>
      <c r="S392" s="381"/>
      <c r="T392" s="381"/>
      <c r="U392" s="381"/>
      <c r="V392" s="381"/>
      <c r="W392" s="381"/>
      <c r="X392" s="381"/>
      <c r="Y392" s="381"/>
      <c r="Z392" s="381"/>
      <c r="AA392" s="381"/>
      <c r="AB392" s="381"/>
      <c r="AC392" s="382"/>
      <c r="AD392" s="382"/>
    </row>
    <row r="393" spans="1:30" ht="12.75" customHeight="1" x14ac:dyDescent="0.2">
      <c r="A393" s="378"/>
      <c r="B393" s="378"/>
      <c r="C393" s="378"/>
      <c r="D393" s="379"/>
      <c r="E393" s="380"/>
      <c r="F393" s="378"/>
      <c r="G393" s="378"/>
      <c r="H393" s="378"/>
      <c r="I393" s="378"/>
      <c r="J393" s="378"/>
      <c r="K393" s="378"/>
      <c r="L393" s="378"/>
      <c r="M393" s="381"/>
      <c r="N393" s="381"/>
      <c r="O393" s="381"/>
      <c r="P393" s="381"/>
      <c r="Q393" s="381"/>
      <c r="R393" s="381"/>
      <c r="S393" s="381"/>
      <c r="T393" s="381"/>
      <c r="U393" s="381"/>
      <c r="V393" s="381"/>
      <c r="W393" s="381"/>
      <c r="X393" s="381"/>
      <c r="Y393" s="381"/>
      <c r="Z393" s="381"/>
      <c r="AA393" s="381"/>
      <c r="AB393" s="381"/>
      <c r="AC393" s="382"/>
      <c r="AD393" s="382"/>
    </row>
    <row r="394" spans="1:30" ht="12.75" customHeight="1" x14ac:dyDescent="0.2">
      <c r="A394" s="378"/>
      <c r="B394" s="378"/>
      <c r="C394" s="378"/>
      <c r="D394" s="379"/>
      <c r="E394" s="380"/>
      <c r="F394" s="378"/>
      <c r="G394" s="378"/>
      <c r="H394" s="378"/>
      <c r="I394" s="378"/>
      <c r="J394" s="378"/>
      <c r="K394" s="378"/>
      <c r="L394" s="378"/>
      <c r="M394" s="381"/>
      <c r="N394" s="381"/>
      <c r="O394" s="381"/>
      <c r="P394" s="381"/>
      <c r="Q394" s="381"/>
      <c r="R394" s="381"/>
      <c r="S394" s="381"/>
      <c r="T394" s="381"/>
      <c r="U394" s="381"/>
      <c r="V394" s="381"/>
      <c r="W394" s="381"/>
      <c r="X394" s="381"/>
      <c r="Y394" s="381"/>
      <c r="Z394" s="381"/>
      <c r="AA394" s="381"/>
      <c r="AB394" s="381"/>
      <c r="AC394" s="382"/>
      <c r="AD394" s="382"/>
    </row>
    <row r="395" spans="1:30" ht="12.75" customHeight="1" x14ac:dyDescent="0.2">
      <c r="A395" s="378"/>
      <c r="B395" s="378"/>
      <c r="C395" s="378"/>
      <c r="D395" s="379"/>
      <c r="E395" s="380"/>
      <c r="F395" s="378"/>
      <c r="G395" s="378"/>
      <c r="H395" s="378"/>
      <c r="I395" s="378"/>
      <c r="J395" s="378"/>
      <c r="K395" s="378"/>
      <c r="L395" s="378"/>
      <c r="M395" s="381"/>
      <c r="N395" s="381"/>
      <c r="O395" s="381"/>
      <c r="P395" s="381"/>
      <c r="Q395" s="381"/>
      <c r="R395" s="381"/>
      <c r="S395" s="381"/>
      <c r="T395" s="381"/>
      <c r="U395" s="381"/>
      <c r="V395" s="381"/>
      <c r="W395" s="381"/>
      <c r="X395" s="381"/>
      <c r="Y395" s="381"/>
      <c r="Z395" s="381"/>
      <c r="AA395" s="381"/>
      <c r="AB395" s="381"/>
      <c r="AC395" s="382"/>
      <c r="AD395" s="382"/>
    </row>
    <row r="396" spans="1:30" ht="12.75" customHeight="1" x14ac:dyDescent="0.2">
      <c r="A396" s="378"/>
      <c r="B396" s="378"/>
      <c r="C396" s="378"/>
      <c r="D396" s="379"/>
      <c r="E396" s="380"/>
      <c r="F396" s="378"/>
      <c r="G396" s="378"/>
      <c r="H396" s="378"/>
      <c r="I396" s="378"/>
      <c r="J396" s="378"/>
      <c r="K396" s="378"/>
      <c r="L396" s="378"/>
      <c r="M396" s="381"/>
      <c r="N396" s="381"/>
      <c r="O396" s="381"/>
      <c r="P396" s="381"/>
      <c r="Q396" s="381"/>
      <c r="R396" s="381"/>
      <c r="S396" s="381"/>
      <c r="T396" s="381"/>
      <c r="U396" s="381"/>
      <c r="V396" s="381"/>
      <c r="W396" s="381"/>
      <c r="X396" s="381"/>
      <c r="Y396" s="381"/>
      <c r="Z396" s="381"/>
      <c r="AA396" s="381"/>
      <c r="AB396" s="381"/>
      <c r="AC396" s="382"/>
      <c r="AD396" s="382"/>
    </row>
    <row r="397" spans="1:30" ht="12.75" customHeight="1" x14ac:dyDescent="0.2">
      <c r="A397" s="378"/>
      <c r="B397" s="378"/>
      <c r="C397" s="378"/>
      <c r="D397" s="379"/>
      <c r="E397" s="380"/>
      <c r="F397" s="378"/>
      <c r="G397" s="378"/>
      <c r="H397" s="378"/>
      <c r="I397" s="378"/>
      <c r="J397" s="378"/>
      <c r="K397" s="378"/>
      <c r="L397" s="378"/>
      <c r="M397" s="381"/>
      <c r="N397" s="381"/>
      <c r="O397" s="381"/>
      <c r="P397" s="381"/>
      <c r="Q397" s="381"/>
      <c r="R397" s="381"/>
      <c r="S397" s="381"/>
      <c r="T397" s="381"/>
      <c r="U397" s="381"/>
      <c r="V397" s="381"/>
      <c r="W397" s="381"/>
      <c r="X397" s="381"/>
      <c r="Y397" s="381"/>
      <c r="Z397" s="381"/>
      <c r="AA397" s="381"/>
      <c r="AB397" s="381"/>
      <c r="AC397" s="382"/>
      <c r="AD397" s="382"/>
    </row>
    <row r="398" spans="1:30" ht="12.75" customHeight="1" x14ac:dyDescent="0.2">
      <c r="A398" s="378"/>
      <c r="B398" s="378"/>
      <c r="C398" s="378"/>
      <c r="D398" s="379"/>
      <c r="E398" s="380"/>
      <c r="F398" s="378"/>
      <c r="G398" s="378"/>
      <c r="H398" s="378"/>
      <c r="I398" s="378"/>
      <c r="J398" s="378"/>
      <c r="K398" s="378"/>
      <c r="L398" s="378"/>
      <c r="M398" s="381"/>
      <c r="N398" s="381"/>
      <c r="O398" s="381"/>
      <c r="P398" s="381"/>
      <c r="Q398" s="381"/>
      <c r="R398" s="381"/>
      <c r="S398" s="381"/>
      <c r="T398" s="381"/>
      <c r="U398" s="381"/>
      <c r="V398" s="381"/>
      <c r="W398" s="381"/>
      <c r="X398" s="381"/>
      <c r="Y398" s="381"/>
      <c r="Z398" s="381"/>
      <c r="AA398" s="381"/>
      <c r="AB398" s="381"/>
      <c r="AC398" s="382"/>
      <c r="AD398" s="382"/>
    </row>
    <row r="399" spans="1:30" ht="12.75" customHeight="1" x14ac:dyDescent="0.2">
      <c r="A399" s="378"/>
      <c r="B399" s="378"/>
      <c r="C399" s="378"/>
      <c r="D399" s="379"/>
      <c r="E399" s="380"/>
      <c r="F399" s="378"/>
      <c r="G399" s="378"/>
      <c r="H399" s="378"/>
      <c r="I399" s="378"/>
      <c r="J399" s="378"/>
      <c r="K399" s="378"/>
      <c r="L399" s="378"/>
      <c r="M399" s="381"/>
      <c r="N399" s="381"/>
      <c r="O399" s="381"/>
      <c r="P399" s="381"/>
      <c r="Q399" s="381"/>
      <c r="R399" s="381"/>
      <c r="S399" s="381"/>
      <c r="T399" s="381"/>
      <c r="U399" s="381"/>
      <c r="V399" s="381"/>
      <c r="W399" s="381"/>
      <c r="X399" s="381"/>
      <c r="Y399" s="381"/>
      <c r="Z399" s="381"/>
      <c r="AA399" s="381"/>
      <c r="AB399" s="381"/>
      <c r="AC399" s="382"/>
      <c r="AD399" s="382"/>
    </row>
    <row r="400" spans="1:30" ht="12.75" customHeight="1" x14ac:dyDescent="0.2">
      <c r="A400" s="378"/>
      <c r="B400" s="378"/>
      <c r="C400" s="378"/>
      <c r="D400" s="379"/>
      <c r="E400" s="380"/>
      <c r="F400" s="378"/>
      <c r="G400" s="378"/>
      <c r="H400" s="378"/>
      <c r="I400" s="378"/>
      <c r="J400" s="378"/>
      <c r="K400" s="378"/>
      <c r="L400" s="378"/>
      <c r="M400" s="381"/>
      <c r="N400" s="381"/>
      <c r="O400" s="381"/>
      <c r="P400" s="381"/>
      <c r="Q400" s="381"/>
      <c r="R400" s="381"/>
      <c r="S400" s="381"/>
      <c r="T400" s="381"/>
      <c r="U400" s="381"/>
      <c r="V400" s="381"/>
      <c r="W400" s="381"/>
      <c r="X400" s="381"/>
      <c r="Y400" s="381"/>
      <c r="Z400" s="381"/>
      <c r="AA400" s="381"/>
      <c r="AB400" s="381"/>
      <c r="AC400" s="382"/>
      <c r="AD400" s="382"/>
    </row>
    <row r="401" spans="1:30" ht="12.75" customHeight="1" x14ac:dyDescent="0.2">
      <c r="A401" s="378"/>
      <c r="B401" s="378"/>
      <c r="C401" s="378"/>
      <c r="D401" s="379"/>
      <c r="E401" s="380"/>
      <c r="F401" s="378"/>
      <c r="G401" s="378"/>
      <c r="H401" s="378"/>
      <c r="I401" s="378"/>
      <c r="J401" s="378"/>
      <c r="K401" s="378"/>
      <c r="L401" s="378"/>
      <c r="M401" s="381"/>
      <c r="N401" s="381"/>
      <c r="O401" s="381"/>
      <c r="P401" s="381"/>
      <c r="Q401" s="381"/>
      <c r="R401" s="381"/>
      <c r="S401" s="381"/>
      <c r="T401" s="381"/>
      <c r="U401" s="381"/>
      <c r="V401" s="381"/>
      <c r="W401" s="381"/>
      <c r="X401" s="381"/>
      <c r="Y401" s="381"/>
      <c r="Z401" s="381"/>
      <c r="AA401" s="381"/>
      <c r="AB401" s="381"/>
      <c r="AC401" s="382"/>
      <c r="AD401" s="382"/>
    </row>
    <row r="402" spans="1:30" ht="12.75" customHeight="1" x14ac:dyDescent="0.2">
      <c r="A402" s="378"/>
      <c r="B402" s="378"/>
      <c r="C402" s="378"/>
      <c r="D402" s="379"/>
      <c r="E402" s="380"/>
      <c r="F402" s="378"/>
      <c r="G402" s="378"/>
      <c r="H402" s="378"/>
      <c r="I402" s="378"/>
      <c r="J402" s="378"/>
      <c r="K402" s="378"/>
      <c r="L402" s="378"/>
      <c r="M402" s="381"/>
      <c r="N402" s="381"/>
      <c r="O402" s="381"/>
      <c r="P402" s="381"/>
      <c r="Q402" s="381"/>
      <c r="R402" s="381"/>
      <c r="S402" s="381"/>
      <c r="T402" s="381"/>
      <c r="U402" s="381"/>
      <c r="V402" s="381"/>
      <c r="W402" s="381"/>
      <c r="X402" s="381"/>
      <c r="Y402" s="381"/>
      <c r="Z402" s="381"/>
      <c r="AA402" s="381"/>
      <c r="AB402" s="381"/>
      <c r="AC402" s="382"/>
      <c r="AD402" s="382"/>
    </row>
    <row r="403" spans="1:30" ht="12.75" customHeight="1" x14ac:dyDescent="0.2">
      <c r="A403" s="378"/>
      <c r="B403" s="378"/>
      <c r="C403" s="378"/>
      <c r="D403" s="379"/>
      <c r="E403" s="380"/>
      <c r="F403" s="378"/>
      <c r="G403" s="378"/>
      <c r="H403" s="378"/>
      <c r="I403" s="378"/>
      <c r="J403" s="378"/>
      <c r="K403" s="378"/>
      <c r="L403" s="378"/>
      <c r="M403" s="381"/>
      <c r="N403" s="381"/>
      <c r="O403" s="381"/>
      <c r="P403" s="381"/>
      <c r="Q403" s="381"/>
      <c r="R403" s="381"/>
      <c r="S403" s="381"/>
      <c r="T403" s="381"/>
      <c r="U403" s="381"/>
      <c r="V403" s="381"/>
      <c r="W403" s="381"/>
      <c r="X403" s="381"/>
      <c r="Y403" s="381"/>
      <c r="Z403" s="381"/>
      <c r="AA403" s="381"/>
      <c r="AB403" s="381"/>
      <c r="AC403" s="382"/>
      <c r="AD403" s="382"/>
    </row>
    <row r="404" spans="1:30" ht="12.75" customHeight="1" x14ac:dyDescent="0.2">
      <c r="A404" s="378"/>
      <c r="B404" s="378"/>
      <c r="C404" s="378"/>
      <c r="D404" s="379"/>
      <c r="E404" s="380"/>
      <c r="F404" s="378"/>
      <c r="G404" s="378"/>
      <c r="H404" s="378"/>
      <c r="I404" s="378"/>
      <c r="J404" s="378"/>
      <c r="K404" s="378"/>
      <c r="L404" s="378"/>
      <c r="M404" s="381"/>
      <c r="N404" s="381"/>
      <c r="O404" s="381"/>
      <c r="P404" s="381"/>
      <c r="Q404" s="381"/>
      <c r="R404" s="381"/>
      <c r="S404" s="381"/>
      <c r="T404" s="381"/>
      <c r="U404" s="381"/>
      <c r="V404" s="381"/>
      <c r="W404" s="381"/>
      <c r="X404" s="381"/>
      <c r="Y404" s="381"/>
      <c r="Z404" s="381"/>
      <c r="AA404" s="381"/>
      <c r="AB404" s="381"/>
      <c r="AC404" s="382"/>
      <c r="AD404" s="382"/>
    </row>
    <row r="405" spans="1:30" ht="12.75" customHeight="1" x14ac:dyDescent="0.2">
      <c r="A405" s="378"/>
      <c r="B405" s="378"/>
      <c r="C405" s="378"/>
      <c r="D405" s="379"/>
      <c r="E405" s="380"/>
      <c r="F405" s="378"/>
      <c r="G405" s="378"/>
      <c r="H405" s="378"/>
      <c r="I405" s="378"/>
      <c r="J405" s="378"/>
      <c r="K405" s="378"/>
      <c r="L405" s="378"/>
      <c r="M405" s="381"/>
      <c r="N405" s="381"/>
      <c r="O405" s="381"/>
      <c r="P405" s="381"/>
      <c r="Q405" s="381"/>
      <c r="R405" s="381"/>
      <c r="S405" s="381"/>
      <c r="T405" s="381"/>
      <c r="U405" s="381"/>
      <c r="V405" s="381"/>
      <c r="W405" s="381"/>
      <c r="X405" s="381"/>
      <c r="Y405" s="381"/>
      <c r="Z405" s="381"/>
      <c r="AA405" s="381"/>
      <c r="AB405" s="381"/>
      <c r="AC405" s="382"/>
      <c r="AD405" s="382"/>
    </row>
    <row r="406" spans="1:30" ht="12.75" customHeight="1" x14ac:dyDescent="0.2">
      <c r="A406" s="378"/>
      <c r="B406" s="378"/>
      <c r="C406" s="378"/>
      <c r="D406" s="379"/>
      <c r="E406" s="380"/>
      <c r="F406" s="378"/>
      <c r="G406" s="378"/>
      <c r="H406" s="378"/>
      <c r="I406" s="378"/>
      <c r="J406" s="378"/>
      <c r="K406" s="378"/>
      <c r="L406" s="378"/>
      <c r="M406" s="381"/>
      <c r="N406" s="381"/>
      <c r="O406" s="381"/>
      <c r="P406" s="381"/>
      <c r="Q406" s="381"/>
      <c r="R406" s="381"/>
      <c r="S406" s="381"/>
      <c r="T406" s="381"/>
      <c r="U406" s="381"/>
      <c r="V406" s="381"/>
      <c r="W406" s="381"/>
      <c r="X406" s="381"/>
      <c r="Y406" s="381"/>
      <c r="Z406" s="381"/>
      <c r="AA406" s="381"/>
      <c r="AB406" s="381"/>
      <c r="AC406" s="382"/>
      <c r="AD406" s="382"/>
    </row>
    <row r="407" spans="1:30" ht="12.75" customHeight="1" x14ac:dyDescent="0.2">
      <c r="A407" s="378"/>
      <c r="B407" s="378"/>
      <c r="C407" s="378"/>
      <c r="D407" s="379"/>
      <c r="E407" s="380"/>
      <c r="F407" s="378"/>
      <c r="G407" s="378"/>
      <c r="H407" s="378"/>
      <c r="I407" s="378"/>
      <c r="J407" s="378"/>
      <c r="K407" s="378"/>
      <c r="L407" s="378"/>
      <c r="M407" s="381"/>
      <c r="N407" s="381"/>
      <c r="O407" s="381"/>
      <c r="P407" s="381"/>
      <c r="Q407" s="381"/>
      <c r="R407" s="381"/>
      <c r="S407" s="381"/>
      <c r="T407" s="381"/>
      <c r="U407" s="381"/>
      <c r="V407" s="381"/>
      <c r="W407" s="381"/>
      <c r="X407" s="381"/>
      <c r="Y407" s="381"/>
      <c r="Z407" s="381"/>
      <c r="AA407" s="381"/>
      <c r="AB407" s="381"/>
      <c r="AC407" s="382"/>
      <c r="AD407" s="382"/>
    </row>
    <row r="408" spans="1:30" ht="12.75" customHeight="1" x14ac:dyDescent="0.2">
      <c r="A408" s="378"/>
      <c r="B408" s="378"/>
      <c r="C408" s="378"/>
      <c r="D408" s="379"/>
      <c r="E408" s="380"/>
      <c r="F408" s="378"/>
      <c r="G408" s="378"/>
      <c r="H408" s="378"/>
      <c r="I408" s="378"/>
      <c r="J408" s="378"/>
      <c r="K408" s="378"/>
      <c r="L408" s="378"/>
      <c r="M408" s="381"/>
      <c r="N408" s="381"/>
      <c r="O408" s="381"/>
      <c r="P408" s="381"/>
      <c r="Q408" s="381"/>
      <c r="R408" s="381"/>
      <c r="S408" s="381"/>
      <c r="T408" s="381"/>
      <c r="U408" s="381"/>
      <c r="V408" s="381"/>
      <c r="W408" s="381"/>
      <c r="X408" s="381"/>
      <c r="Y408" s="381"/>
      <c r="Z408" s="381"/>
      <c r="AA408" s="381"/>
      <c r="AB408" s="381"/>
      <c r="AC408" s="382"/>
      <c r="AD408" s="382"/>
    </row>
    <row r="409" spans="1:30" ht="12.75" customHeight="1" x14ac:dyDescent="0.2">
      <c r="A409" s="378"/>
      <c r="B409" s="378"/>
      <c r="C409" s="378"/>
      <c r="D409" s="379"/>
      <c r="E409" s="380"/>
      <c r="F409" s="378"/>
      <c r="G409" s="378"/>
      <c r="H409" s="378"/>
      <c r="I409" s="378"/>
      <c r="J409" s="378"/>
      <c r="K409" s="378"/>
      <c r="L409" s="378"/>
      <c r="M409" s="381"/>
      <c r="N409" s="381"/>
      <c r="O409" s="381"/>
      <c r="P409" s="381"/>
      <c r="Q409" s="381"/>
      <c r="R409" s="381"/>
      <c r="S409" s="381"/>
      <c r="T409" s="381"/>
      <c r="U409" s="381"/>
      <c r="V409" s="381"/>
      <c r="W409" s="381"/>
      <c r="X409" s="381"/>
      <c r="Y409" s="381"/>
      <c r="Z409" s="381"/>
      <c r="AA409" s="381"/>
      <c r="AB409" s="381"/>
      <c r="AC409" s="382"/>
      <c r="AD409" s="382"/>
    </row>
    <row r="410" spans="1:30" ht="12.75" customHeight="1" x14ac:dyDescent="0.2">
      <c r="A410" s="378"/>
      <c r="B410" s="378"/>
      <c r="C410" s="378"/>
      <c r="D410" s="379"/>
      <c r="E410" s="380"/>
      <c r="F410" s="378"/>
      <c r="G410" s="378"/>
      <c r="H410" s="378"/>
      <c r="I410" s="378"/>
      <c r="J410" s="378"/>
      <c r="K410" s="378"/>
      <c r="L410" s="378"/>
      <c r="M410" s="381"/>
      <c r="N410" s="381"/>
      <c r="O410" s="381"/>
      <c r="P410" s="381"/>
      <c r="Q410" s="381"/>
      <c r="R410" s="381"/>
      <c r="S410" s="381"/>
      <c r="T410" s="381"/>
      <c r="U410" s="381"/>
      <c r="V410" s="381"/>
      <c r="W410" s="381"/>
      <c r="X410" s="381"/>
      <c r="Y410" s="381"/>
      <c r="Z410" s="381"/>
      <c r="AA410" s="381"/>
      <c r="AB410" s="381"/>
      <c r="AC410" s="382"/>
      <c r="AD410" s="382"/>
    </row>
    <row r="411" spans="1:30" ht="12.75" customHeight="1" x14ac:dyDescent="0.2">
      <c r="A411" s="378"/>
      <c r="B411" s="378"/>
      <c r="C411" s="378"/>
      <c r="D411" s="379"/>
      <c r="E411" s="380"/>
      <c r="F411" s="378"/>
      <c r="G411" s="378"/>
      <c r="H411" s="378"/>
      <c r="I411" s="378"/>
      <c r="J411" s="378"/>
      <c r="K411" s="378"/>
      <c r="L411" s="378"/>
      <c r="M411" s="381"/>
      <c r="N411" s="381"/>
      <c r="O411" s="381"/>
      <c r="P411" s="381"/>
      <c r="Q411" s="381"/>
      <c r="R411" s="381"/>
      <c r="S411" s="381"/>
      <c r="T411" s="381"/>
      <c r="U411" s="381"/>
      <c r="V411" s="381"/>
      <c r="W411" s="381"/>
      <c r="X411" s="381"/>
      <c r="Y411" s="381"/>
      <c r="Z411" s="381"/>
      <c r="AA411" s="381"/>
      <c r="AB411" s="381"/>
      <c r="AC411" s="382"/>
      <c r="AD411" s="382"/>
    </row>
    <row r="412" spans="1:30" ht="12.75" customHeight="1" x14ac:dyDescent="0.2">
      <c r="A412" s="378"/>
      <c r="B412" s="378"/>
      <c r="C412" s="378"/>
      <c r="D412" s="379"/>
      <c r="E412" s="380"/>
      <c r="F412" s="378"/>
      <c r="G412" s="378"/>
      <c r="H412" s="378"/>
      <c r="I412" s="378"/>
      <c r="J412" s="378"/>
      <c r="K412" s="378"/>
      <c r="L412" s="378"/>
      <c r="M412" s="381"/>
      <c r="N412" s="381"/>
      <c r="O412" s="381"/>
      <c r="P412" s="381"/>
      <c r="Q412" s="381"/>
      <c r="R412" s="381"/>
      <c r="S412" s="381"/>
      <c r="T412" s="381"/>
      <c r="U412" s="381"/>
      <c r="V412" s="381"/>
      <c r="W412" s="381"/>
      <c r="X412" s="381"/>
      <c r="Y412" s="381"/>
      <c r="Z412" s="381"/>
      <c r="AA412" s="381"/>
      <c r="AB412" s="381"/>
      <c r="AC412" s="382"/>
      <c r="AD412" s="382"/>
    </row>
    <row r="413" spans="1:30" ht="12.75" customHeight="1" x14ac:dyDescent="0.2">
      <c r="A413" s="378"/>
      <c r="B413" s="378"/>
      <c r="C413" s="378"/>
      <c r="D413" s="379"/>
      <c r="E413" s="380"/>
      <c r="F413" s="378"/>
      <c r="G413" s="378"/>
      <c r="H413" s="378"/>
      <c r="I413" s="378"/>
      <c r="J413" s="378"/>
      <c r="K413" s="378"/>
      <c r="L413" s="378"/>
      <c r="M413" s="381"/>
      <c r="N413" s="381"/>
      <c r="O413" s="381"/>
      <c r="P413" s="381"/>
      <c r="Q413" s="381"/>
      <c r="R413" s="381"/>
      <c r="S413" s="381"/>
      <c r="T413" s="381"/>
      <c r="U413" s="381"/>
      <c r="V413" s="381"/>
      <c r="W413" s="381"/>
      <c r="X413" s="381"/>
      <c r="Y413" s="381"/>
      <c r="Z413" s="381"/>
      <c r="AA413" s="381"/>
      <c r="AB413" s="381"/>
      <c r="AC413" s="382"/>
      <c r="AD413" s="382"/>
    </row>
    <row r="414" spans="1:30" ht="12.75" customHeight="1" x14ac:dyDescent="0.2">
      <c r="A414" s="378"/>
      <c r="B414" s="378"/>
      <c r="C414" s="378"/>
      <c r="D414" s="379"/>
      <c r="E414" s="380"/>
      <c r="F414" s="378"/>
      <c r="G414" s="378"/>
      <c r="H414" s="378"/>
      <c r="I414" s="378"/>
      <c r="J414" s="378"/>
      <c r="K414" s="378"/>
      <c r="L414" s="378"/>
      <c r="M414" s="381"/>
      <c r="N414" s="381"/>
      <c r="O414" s="381"/>
      <c r="P414" s="381"/>
      <c r="Q414" s="381"/>
      <c r="R414" s="381"/>
      <c r="S414" s="381"/>
      <c r="T414" s="381"/>
      <c r="U414" s="381"/>
      <c r="V414" s="381"/>
      <c r="W414" s="381"/>
      <c r="X414" s="381"/>
      <c r="Y414" s="381"/>
      <c r="Z414" s="381"/>
      <c r="AA414" s="381"/>
      <c r="AB414" s="381"/>
      <c r="AC414" s="382"/>
      <c r="AD414" s="382"/>
    </row>
    <row r="415" spans="1:30" ht="12.75" customHeight="1" x14ac:dyDescent="0.2">
      <c r="A415" s="378"/>
      <c r="B415" s="378"/>
      <c r="C415" s="378"/>
      <c r="D415" s="379"/>
      <c r="E415" s="380"/>
      <c r="F415" s="378"/>
      <c r="G415" s="378"/>
      <c r="H415" s="378"/>
      <c r="I415" s="378"/>
      <c r="J415" s="378"/>
      <c r="K415" s="378"/>
      <c r="L415" s="378"/>
      <c r="M415" s="381"/>
      <c r="N415" s="381"/>
      <c r="O415" s="381"/>
      <c r="P415" s="381"/>
      <c r="Q415" s="381"/>
      <c r="R415" s="381"/>
      <c r="S415" s="381"/>
      <c r="T415" s="381"/>
      <c r="U415" s="381"/>
      <c r="V415" s="381"/>
      <c r="W415" s="381"/>
      <c r="X415" s="381"/>
      <c r="Y415" s="381"/>
      <c r="Z415" s="381"/>
      <c r="AA415" s="381"/>
      <c r="AB415" s="381"/>
      <c r="AC415" s="382"/>
      <c r="AD415" s="382"/>
    </row>
    <row r="416" spans="1:30" ht="12.75" customHeight="1" x14ac:dyDescent="0.2">
      <c r="A416" s="378"/>
      <c r="B416" s="378"/>
      <c r="C416" s="378"/>
      <c r="D416" s="379"/>
      <c r="E416" s="380"/>
      <c r="F416" s="378"/>
      <c r="G416" s="378"/>
      <c r="H416" s="378"/>
      <c r="I416" s="378"/>
      <c r="J416" s="378"/>
      <c r="K416" s="378"/>
      <c r="L416" s="378"/>
      <c r="M416" s="381"/>
      <c r="N416" s="381"/>
      <c r="O416" s="381"/>
      <c r="P416" s="381"/>
      <c r="Q416" s="381"/>
      <c r="R416" s="381"/>
      <c r="S416" s="381"/>
      <c r="T416" s="381"/>
      <c r="U416" s="381"/>
      <c r="V416" s="381"/>
      <c r="W416" s="381"/>
      <c r="X416" s="381"/>
      <c r="Y416" s="381"/>
      <c r="Z416" s="381"/>
      <c r="AA416" s="381"/>
      <c r="AB416" s="381"/>
      <c r="AC416" s="382"/>
      <c r="AD416" s="382"/>
    </row>
    <row r="417" spans="1:30" ht="12.75" customHeight="1" x14ac:dyDescent="0.2">
      <c r="A417" s="378"/>
      <c r="B417" s="378"/>
      <c r="C417" s="378"/>
      <c r="D417" s="379"/>
      <c r="E417" s="380"/>
      <c r="F417" s="378"/>
      <c r="G417" s="378"/>
      <c r="H417" s="378"/>
      <c r="I417" s="378"/>
      <c r="J417" s="378"/>
      <c r="K417" s="378"/>
      <c r="L417" s="378"/>
      <c r="M417" s="381"/>
      <c r="N417" s="381"/>
      <c r="O417" s="381"/>
      <c r="P417" s="381"/>
      <c r="Q417" s="381"/>
      <c r="R417" s="381"/>
      <c r="S417" s="381"/>
      <c r="T417" s="381"/>
      <c r="U417" s="381"/>
      <c r="V417" s="381"/>
      <c r="W417" s="381"/>
      <c r="X417" s="381"/>
      <c r="Y417" s="381"/>
      <c r="Z417" s="381"/>
      <c r="AA417" s="381"/>
      <c r="AB417" s="381"/>
      <c r="AC417" s="382"/>
      <c r="AD417" s="382"/>
    </row>
    <row r="418" spans="1:30" ht="12.75" customHeight="1" x14ac:dyDescent="0.2">
      <c r="A418" s="378"/>
      <c r="B418" s="378"/>
      <c r="C418" s="378"/>
      <c r="D418" s="379"/>
      <c r="E418" s="380"/>
      <c r="F418" s="378"/>
      <c r="G418" s="378"/>
      <c r="H418" s="378"/>
      <c r="I418" s="378"/>
      <c r="J418" s="378"/>
      <c r="K418" s="378"/>
      <c r="L418" s="378"/>
      <c r="M418" s="381"/>
      <c r="N418" s="381"/>
      <c r="O418" s="381"/>
      <c r="P418" s="381"/>
      <c r="Q418" s="381"/>
      <c r="R418" s="381"/>
      <c r="S418" s="381"/>
      <c r="T418" s="381"/>
      <c r="U418" s="381"/>
      <c r="V418" s="381"/>
      <c r="W418" s="381"/>
      <c r="X418" s="381"/>
      <c r="Y418" s="381"/>
      <c r="Z418" s="381"/>
      <c r="AA418" s="381"/>
      <c r="AB418" s="381"/>
      <c r="AC418" s="382"/>
      <c r="AD418" s="382"/>
    </row>
    <row r="419" spans="1:30" ht="12.75" customHeight="1" x14ac:dyDescent="0.2">
      <c r="A419" s="378"/>
      <c r="B419" s="378"/>
      <c r="C419" s="378"/>
      <c r="D419" s="379"/>
      <c r="E419" s="380"/>
      <c r="F419" s="378"/>
      <c r="G419" s="378"/>
      <c r="H419" s="378"/>
      <c r="I419" s="378"/>
      <c r="J419" s="378"/>
      <c r="K419" s="378"/>
      <c r="L419" s="378"/>
      <c r="M419" s="381"/>
      <c r="N419" s="381"/>
      <c r="O419" s="381"/>
      <c r="P419" s="381"/>
      <c r="Q419" s="381"/>
      <c r="R419" s="381"/>
      <c r="S419" s="381"/>
      <c r="T419" s="381"/>
      <c r="U419" s="381"/>
      <c r="V419" s="381"/>
      <c r="W419" s="381"/>
      <c r="X419" s="381"/>
      <c r="Y419" s="381"/>
      <c r="Z419" s="381"/>
      <c r="AA419" s="381"/>
      <c r="AB419" s="381"/>
      <c r="AC419" s="382"/>
      <c r="AD419" s="382"/>
    </row>
    <row r="420" spans="1:30" ht="12.75" customHeight="1" x14ac:dyDescent="0.2">
      <c r="A420" s="378"/>
      <c r="B420" s="378"/>
      <c r="C420" s="378"/>
      <c r="D420" s="379"/>
      <c r="E420" s="380"/>
      <c r="F420" s="378"/>
      <c r="G420" s="378"/>
      <c r="H420" s="378"/>
      <c r="I420" s="378"/>
      <c r="J420" s="378"/>
      <c r="K420" s="378"/>
      <c r="L420" s="378"/>
      <c r="M420" s="381"/>
      <c r="N420" s="381"/>
      <c r="O420" s="381"/>
      <c r="P420" s="381"/>
      <c r="Q420" s="381"/>
      <c r="R420" s="381"/>
      <c r="S420" s="381"/>
      <c r="T420" s="381"/>
      <c r="U420" s="381"/>
      <c r="V420" s="381"/>
      <c r="W420" s="381"/>
      <c r="X420" s="381"/>
      <c r="Y420" s="381"/>
      <c r="Z420" s="381"/>
      <c r="AA420" s="381"/>
      <c r="AB420" s="381"/>
      <c r="AC420" s="382"/>
      <c r="AD420" s="382"/>
    </row>
    <row r="421" spans="1:30" ht="12.75" customHeight="1" x14ac:dyDescent="0.2">
      <c r="A421" s="378"/>
      <c r="B421" s="378"/>
      <c r="C421" s="378"/>
      <c r="D421" s="379"/>
      <c r="E421" s="380"/>
      <c r="F421" s="378"/>
      <c r="G421" s="378"/>
      <c r="H421" s="378"/>
      <c r="I421" s="378"/>
      <c r="J421" s="378"/>
      <c r="K421" s="378"/>
      <c r="L421" s="378"/>
      <c r="M421" s="381"/>
      <c r="N421" s="381"/>
      <c r="O421" s="381"/>
      <c r="P421" s="381"/>
      <c r="Q421" s="381"/>
      <c r="R421" s="381"/>
      <c r="S421" s="381"/>
      <c r="T421" s="381"/>
      <c r="U421" s="381"/>
      <c r="V421" s="381"/>
      <c r="W421" s="381"/>
      <c r="X421" s="381"/>
      <c r="Y421" s="381"/>
      <c r="Z421" s="381"/>
      <c r="AA421" s="381"/>
      <c r="AB421" s="381"/>
      <c r="AC421" s="382"/>
      <c r="AD421" s="382"/>
    </row>
    <row r="422" spans="1:30" ht="12.75" customHeight="1" x14ac:dyDescent="0.2">
      <c r="A422" s="378"/>
      <c r="B422" s="378"/>
      <c r="C422" s="378"/>
      <c r="D422" s="379"/>
      <c r="E422" s="380"/>
      <c r="F422" s="378"/>
      <c r="G422" s="378"/>
      <c r="H422" s="378"/>
      <c r="I422" s="378"/>
      <c r="J422" s="378"/>
      <c r="K422" s="378"/>
      <c r="L422" s="378"/>
      <c r="M422" s="381"/>
      <c r="N422" s="381"/>
      <c r="O422" s="381"/>
      <c r="P422" s="381"/>
      <c r="Q422" s="381"/>
      <c r="R422" s="381"/>
      <c r="S422" s="381"/>
      <c r="T422" s="381"/>
      <c r="U422" s="381"/>
      <c r="V422" s="381"/>
      <c r="W422" s="381"/>
      <c r="X422" s="381"/>
      <c r="Y422" s="381"/>
      <c r="Z422" s="381"/>
      <c r="AA422" s="381"/>
      <c r="AB422" s="381"/>
      <c r="AC422" s="382"/>
      <c r="AD422" s="382"/>
    </row>
    <row r="423" spans="1:30" ht="12.75" customHeight="1" x14ac:dyDescent="0.2">
      <c r="A423" s="378"/>
      <c r="B423" s="378"/>
      <c r="C423" s="378"/>
      <c r="D423" s="379"/>
      <c r="E423" s="380"/>
      <c r="F423" s="378"/>
      <c r="G423" s="378"/>
      <c r="H423" s="378"/>
      <c r="I423" s="378"/>
      <c r="J423" s="378"/>
      <c r="K423" s="378"/>
      <c r="L423" s="378"/>
      <c r="M423" s="381"/>
      <c r="N423" s="381"/>
      <c r="O423" s="381"/>
      <c r="P423" s="381"/>
      <c r="Q423" s="381"/>
      <c r="R423" s="381"/>
      <c r="S423" s="381"/>
      <c r="T423" s="381"/>
      <c r="U423" s="381"/>
      <c r="V423" s="381"/>
      <c r="W423" s="381"/>
      <c r="X423" s="381"/>
      <c r="Y423" s="381"/>
      <c r="Z423" s="381"/>
      <c r="AA423" s="381"/>
      <c r="AB423" s="381"/>
      <c r="AC423" s="382"/>
      <c r="AD423" s="382"/>
    </row>
    <row r="424" spans="1:30" ht="12.75" customHeight="1" x14ac:dyDescent="0.2">
      <c r="A424" s="378"/>
      <c r="B424" s="378"/>
      <c r="C424" s="378"/>
      <c r="D424" s="379"/>
      <c r="E424" s="380"/>
      <c r="F424" s="378"/>
      <c r="G424" s="378"/>
      <c r="H424" s="378"/>
      <c r="I424" s="378"/>
      <c r="J424" s="378"/>
      <c r="K424" s="378"/>
      <c r="L424" s="378"/>
      <c r="M424" s="381"/>
      <c r="N424" s="381"/>
      <c r="O424" s="381"/>
      <c r="P424" s="381"/>
      <c r="Q424" s="381"/>
      <c r="R424" s="381"/>
      <c r="S424" s="381"/>
      <c r="T424" s="381"/>
      <c r="U424" s="381"/>
      <c r="V424" s="381"/>
      <c r="W424" s="381"/>
      <c r="X424" s="381"/>
      <c r="Y424" s="381"/>
      <c r="Z424" s="381"/>
      <c r="AA424" s="381"/>
      <c r="AB424" s="381"/>
      <c r="AC424" s="382"/>
      <c r="AD424" s="382"/>
    </row>
    <row r="425" spans="1:30" ht="12.75" customHeight="1" x14ac:dyDescent="0.2">
      <c r="A425" s="378"/>
      <c r="B425" s="378"/>
      <c r="C425" s="378"/>
      <c r="D425" s="379"/>
      <c r="E425" s="380"/>
      <c r="F425" s="378"/>
      <c r="G425" s="378"/>
      <c r="H425" s="378"/>
      <c r="I425" s="378"/>
      <c r="J425" s="378"/>
      <c r="K425" s="378"/>
      <c r="L425" s="378"/>
      <c r="M425" s="381"/>
      <c r="N425" s="381"/>
      <c r="O425" s="381"/>
      <c r="P425" s="381"/>
      <c r="Q425" s="381"/>
      <c r="R425" s="381"/>
      <c r="S425" s="381"/>
      <c r="T425" s="381"/>
      <c r="U425" s="381"/>
      <c r="V425" s="381"/>
      <c r="W425" s="381"/>
      <c r="X425" s="381"/>
      <c r="Y425" s="381"/>
      <c r="Z425" s="381"/>
      <c r="AA425" s="381"/>
      <c r="AB425" s="381"/>
      <c r="AC425" s="382"/>
      <c r="AD425" s="382"/>
    </row>
    <row r="426" spans="1:30" ht="12.75" customHeight="1" x14ac:dyDescent="0.2">
      <c r="A426" s="378"/>
      <c r="B426" s="378"/>
      <c r="C426" s="378"/>
      <c r="D426" s="379"/>
      <c r="E426" s="380"/>
      <c r="F426" s="378"/>
      <c r="G426" s="378"/>
      <c r="H426" s="378"/>
      <c r="I426" s="378"/>
      <c r="J426" s="378"/>
      <c r="K426" s="378"/>
      <c r="L426" s="378"/>
      <c r="M426" s="381"/>
      <c r="N426" s="381"/>
      <c r="O426" s="381"/>
      <c r="P426" s="381"/>
      <c r="Q426" s="381"/>
      <c r="R426" s="381"/>
      <c r="S426" s="381"/>
      <c r="T426" s="381"/>
      <c r="U426" s="381"/>
      <c r="V426" s="381"/>
      <c r="W426" s="381"/>
      <c r="X426" s="381"/>
      <c r="Y426" s="381"/>
      <c r="Z426" s="381"/>
      <c r="AA426" s="381"/>
      <c r="AB426" s="381"/>
      <c r="AC426" s="382"/>
      <c r="AD426" s="382"/>
    </row>
    <row r="427" spans="1:30" ht="12.75" customHeight="1" x14ac:dyDescent="0.2">
      <c r="A427" s="378"/>
      <c r="B427" s="378"/>
      <c r="C427" s="378"/>
      <c r="D427" s="379"/>
      <c r="E427" s="380"/>
      <c r="F427" s="378"/>
      <c r="G427" s="378"/>
      <c r="H427" s="378"/>
      <c r="I427" s="378"/>
      <c r="J427" s="378"/>
      <c r="K427" s="378"/>
      <c r="L427" s="378"/>
      <c r="M427" s="381"/>
      <c r="N427" s="381"/>
      <c r="O427" s="381"/>
      <c r="P427" s="381"/>
      <c r="Q427" s="381"/>
      <c r="R427" s="381"/>
      <c r="S427" s="381"/>
      <c r="T427" s="381"/>
      <c r="U427" s="381"/>
      <c r="V427" s="381"/>
      <c r="W427" s="381"/>
      <c r="X427" s="381"/>
      <c r="Y427" s="381"/>
      <c r="Z427" s="381"/>
      <c r="AA427" s="381"/>
      <c r="AB427" s="381"/>
      <c r="AC427" s="382"/>
      <c r="AD427" s="382"/>
    </row>
    <row r="428" spans="1:30" ht="12.75" customHeight="1" x14ac:dyDescent="0.2">
      <c r="A428" s="378"/>
      <c r="B428" s="378"/>
      <c r="C428" s="378"/>
      <c r="D428" s="379"/>
      <c r="E428" s="380"/>
      <c r="F428" s="378"/>
      <c r="G428" s="378"/>
      <c r="H428" s="378"/>
      <c r="I428" s="378"/>
      <c r="J428" s="378"/>
      <c r="K428" s="378"/>
      <c r="L428" s="378"/>
      <c r="M428" s="381"/>
      <c r="N428" s="381"/>
      <c r="O428" s="381"/>
      <c r="P428" s="381"/>
      <c r="Q428" s="381"/>
      <c r="R428" s="381"/>
      <c r="S428" s="381"/>
      <c r="T428" s="381"/>
      <c r="U428" s="381"/>
      <c r="V428" s="381"/>
      <c r="W428" s="381"/>
      <c r="X428" s="381"/>
      <c r="Y428" s="381"/>
      <c r="Z428" s="381"/>
      <c r="AA428" s="381"/>
      <c r="AB428" s="381"/>
      <c r="AC428" s="382"/>
      <c r="AD428" s="382"/>
    </row>
    <row r="429" spans="1:30" ht="12.75" customHeight="1" x14ac:dyDescent="0.2">
      <c r="A429" s="378"/>
      <c r="B429" s="378"/>
      <c r="C429" s="378"/>
      <c r="D429" s="379"/>
      <c r="E429" s="380"/>
      <c r="F429" s="378"/>
      <c r="G429" s="378"/>
      <c r="H429" s="378"/>
      <c r="I429" s="378"/>
      <c r="J429" s="378"/>
      <c r="K429" s="378"/>
      <c r="L429" s="378"/>
      <c r="M429" s="381"/>
      <c r="N429" s="381"/>
      <c r="O429" s="381"/>
      <c r="P429" s="381"/>
      <c r="Q429" s="381"/>
      <c r="R429" s="381"/>
      <c r="S429" s="381"/>
      <c r="T429" s="381"/>
      <c r="U429" s="381"/>
      <c r="V429" s="381"/>
      <c r="W429" s="381"/>
      <c r="X429" s="381"/>
      <c r="Y429" s="381"/>
      <c r="Z429" s="381"/>
      <c r="AA429" s="381"/>
      <c r="AB429" s="381"/>
      <c r="AC429" s="382"/>
      <c r="AD429" s="382"/>
    </row>
    <row r="430" spans="1:30" ht="12.75" customHeight="1" x14ac:dyDescent="0.2">
      <c r="A430" s="378"/>
      <c r="B430" s="378"/>
      <c r="C430" s="378"/>
      <c r="D430" s="379"/>
      <c r="E430" s="380"/>
      <c r="F430" s="378"/>
      <c r="G430" s="378"/>
      <c r="H430" s="378"/>
      <c r="I430" s="378"/>
      <c r="J430" s="378"/>
      <c r="K430" s="378"/>
      <c r="L430" s="378"/>
      <c r="M430" s="381"/>
      <c r="N430" s="381"/>
      <c r="O430" s="381"/>
      <c r="P430" s="381"/>
      <c r="Q430" s="381"/>
      <c r="R430" s="381"/>
      <c r="S430" s="381"/>
      <c r="T430" s="381"/>
      <c r="U430" s="381"/>
      <c r="V430" s="381"/>
      <c r="W430" s="381"/>
      <c r="X430" s="381"/>
      <c r="Y430" s="381"/>
      <c r="Z430" s="381"/>
      <c r="AA430" s="381"/>
      <c r="AB430" s="381"/>
      <c r="AC430" s="382"/>
      <c r="AD430" s="382"/>
    </row>
    <row r="431" spans="1:30" ht="12.75" customHeight="1" x14ac:dyDescent="0.2">
      <c r="A431" s="378"/>
      <c r="B431" s="378"/>
      <c r="C431" s="378"/>
      <c r="D431" s="379"/>
      <c r="E431" s="380"/>
      <c r="F431" s="378"/>
      <c r="G431" s="378"/>
      <c r="H431" s="378"/>
      <c r="I431" s="378"/>
      <c r="J431" s="378"/>
      <c r="K431" s="378"/>
      <c r="L431" s="378"/>
      <c r="M431" s="381"/>
      <c r="N431" s="381"/>
      <c r="O431" s="381"/>
      <c r="P431" s="381"/>
      <c r="Q431" s="381"/>
      <c r="R431" s="381"/>
      <c r="S431" s="381"/>
      <c r="T431" s="381"/>
      <c r="U431" s="381"/>
      <c r="V431" s="381"/>
      <c r="W431" s="381"/>
      <c r="X431" s="381"/>
      <c r="Y431" s="381"/>
      <c r="Z431" s="381"/>
      <c r="AA431" s="381"/>
      <c r="AB431" s="381"/>
      <c r="AC431" s="382"/>
      <c r="AD431" s="382"/>
    </row>
    <row r="432" spans="1:30" ht="12.75" customHeight="1" x14ac:dyDescent="0.2">
      <c r="A432" s="378"/>
      <c r="B432" s="378"/>
      <c r="C432" s="378"/>
      <c r="D432" s="379"/>
      <c r="E432" s="380"/>
      <c r="F432" s="378"/>
      <c r="G432" s="378"/>
      <c r="H432" s="378"/>
      <c r="I432" s="378"/>
      <c r="J432" s="378"/>
      <c r="K432" s="378"/>
      <c r="L432" s="378"/>
      <c r="M432" s="381"/>
      <c r="N432" s="381"/>
      <c r="O432" s="381"/>
      <c r="P432" s="381"/>
      <c r="Q432" s="381"/>
      <c r="R432" s="381"/>
      <c r="S432" s="381"/>
      <c r="T432" s="381"/>
      <c r="U432" s="381"/>
      <c r="V432" s="381"/>
      <c r="W432" s="381"/>
      <c r="X432" s="381"/>
      <c r="Y432" s="381"/>
      <c r="Z432" s="381"/>
      <c r="AA432" s="381"/>
      <c r="AB432" s="381"/>
      <c r="AC432" s="382"/>
      <c r="AD432" s="382"/>
    </row>
    <row r="433" spans="1:30" ht="12.75" customHeight="1" x14ac:dyDescent="0.2">
      <c r="A433" s="378"/>
      <c r="B433" s="378"/>
      <c r="C433" s="378"/>
      <c r="D433" s="379"/>
      <c r="E433" s="380"/>
      <c r="F433" s="378"/>
      <c r="G433" s="378"/>
      <c r="H433" s="378"/>
      <c r="I433" s="378"/>
      <c r="J433" s="378"/>
      <c r="K433" s="378"/>
      <c r="L433" s="378"/>
      <c r="M433" s="381"/>
      <c r="N433" s="381"/>
      <c r="O433" s="381"/>
      <c r="P433" s="381"/>
      <c r="Q433" s="381"/>
      <c r="R433" s="381"/>
      <c r="S433" s="381"/>
      <c r="T433" s="381"/>
      <c r="U433" s="381"/>
      <c r="V433" s="381"/>
      <c r="W433" s="381"/>
      <c r="X433" s="381"/>
      <c r="Y433" s="381"/>
      <c r="Z433" s="381"/>
      <c r="AA433" s="381"/>
      <c r="AB433" s="381"/>
      <c r="AC433" s="382"/>
      <c r="AD433" s="382"/>
    </row>
    <row r="434" spans="1:30" ht="12.75" customHeight="1" x14ac:dyDescent="0.2">
      <c r="A434" s="378"/>
      <c r="B434" s="378"/>
      <c r="C434" s="378"/>
      <c r="D434" s="379"/>
      <c r="E434" s="380"/>
      <c r="F434" s="378"/>
      <c r="G434" s="378"/>
      <c r="H434" s="378"/>
      <c r="I434" s="378"/>
      <c r="J434" s="378"/>
      <c r="K434" s="378"/>
      <c r="L434" s="378"/>
      <c r="M434" s="381"/>
      <c r="N434" s="381"/>
      <c r="O434" s="381"/>
      <c r="P434" s="381"/>
      <c r="Q434" s="381"/>
      <c r="R434" s="381"/>
      <c r="S434" s="381"/>
      <c r="T434" s="381"/>
      <c r="U434" s="381"/>
      <c r="V434" s="381"/>
      <c r="W434" s="381"/>
      <c r="X434" s="381"/>
      <c r="Y434" s="381"/>
      <c r="Z434" s="381"/>
      <c r="AA434" s="381"/>
      <c r="AB434" s="381"/>
      <c r="AC434" s="382"/>
      <c r="AD434" s="382"/>
    </row>
    <row r="435" spans="1:30" ht="12.75" customHeight="1" x14ac:dyDescent="0.2">
      <c r="A435" s="378"/>
      <c r="B435" s="378"/>
      <c r="C435" s="378"/>
      <c r="D435" s="379"/>
      <c r="E435" s="380"/>
      <c r="F435" s="378"/>
      <c r="G435" s="378"/>
      <c r="H435" s="378"/>
      <c r="I435" s="378"/>
      <c r="J435" s="378"/>
      <c r="K435" s="378"/>
      <c r="L435" s="378"/>
      <c r="M435" s="381"/>
      <c r="N435" s="381"/>
      <c r="O435" s="381"/>
      <c r="P435" s="381"/>
      <c r="Q435" s="381"/>
      <c r="R435" s="381"/>
      <c r="S435" s="381"/>
      <c r="T435" s="381"/>
      <c r="U435" s="381"/>
      <c r="V435" s="381"/>
      <c r="W435" s="381"/>
      <c r="X435" s="381"/>
      <c r="Y435" s="381"/>
      <c r="Z435" s="381"/>
      <c r="AA435" s="381"/>
      <c r="AB435" s="381"/>
      <c r="AC435" s="382"/>
      <c r="AD435" s="382"/>
    </row>
    <row r="436" spans="1:30" ht="12.75" customHeight="1" x14ac:dyDescent="0.2">
      <c r="A436" s="378"/>
      <c r="B436" s="378"/>
      <c r="C436" s="378"/>
      <c r="D436" s="379"/>
      <c r="E436" s="380"/>
      <c r="F436" s="378"/>
      <c r="G436" s="378"/>
      <c r="H436" s="378"/>
      <c r="I436" s="378"/>
      <c r="J436" s="378"/>
      <c r="K436" s="378"/>
      <c r="L436" s="378"/>
      <c r="M436" s="381"/>
      <c r="N436" s="381"/>
      <c r="O436" s="381"/>
      <c r="P436" s="381"/>
      <c r="Q436" s="381"/>
      <c r="R436" s="381"/>
      <c r="S436" s="381"/>
      <c r="T436" s="381"/>
      <c r="U436" s="381"/>
      <c r="V436" s="381"/>
      <c r="W436" s="381"/>
      <c r="X436" s="381"/>
      <c r="Y436" s="381"/>
      <c r="Z436" s="381"/>
      <c r="AA436" s="381"/>
      <c r="AB436" s="381"/>
      <c r="AC436" s="382"/>
      <c r="AD436" s="382"/>
    </row>
    <row r="437" spans="1:30" ht="12.75" customHeight="1" x14ac:dyDescent="0.2">
      <c r="A437" s="378"/>
      <c r="B437" s="378"/>
      <c r="C437" s="378"/>
      <c r="D437" s="379"/>
      <c r="E437" s="380"/>
      <c r="F437" s="378"/>
      <c r="G437" s="378"/>
      <c r="H437" s="378"/>
      <c r="I437" s="378"/>
      <c r="J437" s="378"/>
      <c r="K437" s="378"/>
      <c r="L437" s="378"/>
      <c r="M437" s="381"/>
      <c r="N437" s="381"/>
      <c r="O437" s="381"/>
      <c r="P437" s="381"/>
      <c r="Q437" s="381"/>
      <c r="R437" s="381"/>
      <c r="S437" s="381"/>
      <c r="T437" s="381"/>
      <c r="U437" s="381"/>
      <c r="V437" s="381"/>
      <c r="W437" s="381"/>
      <c r="X437" s="381"/>
      <c r="Y437" s="381"/>
      <c r="Z437" s="381"/>
      <c r="AA437" s="381"/>
      <c r="AB437" s="381"/>
      <c r="AC437" s="382"/>
      <c r="AD437" s="382"/>
    </row>
    <row r="438" spans="1:30" ht="12.75" customHeight="1" x14ac:dyDescent="0.2">
      <c r="A438" s="378"/>
      <c r="B438" s="378"/>
      <c r="C438" s="378"/>
      <c r="D438" s="379"/>
      <c r="E438" s="380"/>
      <c r="F438" s="378"/>
      <c r="G438" s="378"/>
      <c r="H438" s="378"/>
      <c r="I438" s="378"/>
      <c r="J438" s="378"/>
      <c r="K438" s="378"/>
      <c r="L438" s="378"/>
      <c r="M438" s="381"/>
      <c r="N438" s="381"/>
      <c r="O438" s="381"/>
      <c r="P438" s="381"/>
      <c r="Q438" s="381"/>
      <c r="R438" s="381"/>
      <c r="S438" s="381"/>
      <c r="T438" s="381"/>
      <c r="U438" s="381"/>
      <c r="V438" s="381"/>
      <c r="W438" s="381"/>
      <c r="X438" s="381"/>
      <c r="Y438" s="381"/>
      <c r="Z438" s="381"/>
      <c r="AA438" s="381"/>
      <c r="AB438" s="381"/>
      <c r="AC438" s="382"/>
      <c r="AD438" s="382"/>
    </row>
    <row r="439" spans="1:30" ht="12.75" customHeight="1" x14ac:dyDescent="0.2">
      <c r="A439" s="378"/>
      <c r="B439" s="378"/>
      <c r="C439" s="378"/>
      <c r="D439" s="379"/>
      <c r="E439" s="380"/>
      <c r="F439" s="378"/>
      <c r="G439" s="378"/>
      <c r="H439" s="378"/>
      <c r="I439" s="378"/>
      <c r="J439" s="378"/>
      <c r="K439" s="378"/>
      <c r="L439" s="378"/>
      <c r="M439" s="381"/>
      <c r="N439" s="381"/>
      <c r="O439" s="381"/>
      <c r="P439" s="381"/>
      <c r="Q439" s="381"/>
      <c r="R439" s="381"/>
      <c r="S439" s="381"/>
      <c r="T439" s="381"/>
      <c r="U439" s="381"/>
      <c r="V439" s="381"/>
      <c r="W439" s="381"/>
      <c r="X439" s="381"/>
      <c r="Y439" s="381"/>
      <c r="Z439" s="381"/>
      <c r="AA439" s="381"/>
      <c r="AB439" s="381"/>
      <c r="AC439" s="382"/>
      <c r="AD439" s="382"/>
    </row>
    <row r="440" spans="1:30" ht="12.75" customHeight="1" x14ac:dyDescent="0.2">
      <c r="A440" s="378"/>
      <c r="B440" s="378"/>
      <c r="C440" s="378"/>
      <c r="D440" s="379"/>
      <c r="E440" s="380"/>
      <c r="F440" s="378"/>
      <c r="G440" s="378"/>
      <c r="H440" s="378"/>
      <c r="I440" s="378"/>
      <c r="J440" s="378"/>
      <c r="K440" s="378"/>
      <c r="L440" s="378"/>
      <c r="M440" s="381"/>
      <c r="N440" s="381"/>
      <c r="O440" s="381"/>
      <c r="P440" s="381"/>
      <c r="Q440" s="381"/>
      <c r="R440" s="381"/>
      <c r="S440" s="381"/>
      <c r="T440" s="381"/>
      <c r="U440" s="381"/>
      <c r="V440" s="381"/>
      <c r="W440" s="381"/>
      <c r="X440" s="381"/>
      <c r="Y440" s="381"/>
      <c r="Z440" s="381"/>
      <c r="AA440" s="381"/>
      <c r="AB440" s="381"/>
      <c r="AC440" s="382"/>
      <c r="AD440" s="382"/>
    </row>
    <row r="441" spans="1:30" ht="12.75" customHeight="1" x14ac:dyDescent="0.2">
      <c r="A441" s="378"/>
      <c r="B441" s="378"/>
      <c r="C441" s="378"/>
      <c r="D441" s="379"/>
      <c r="E441" s="380"/>
      <c r="F441" s="378"/>
      <c r="G441" s="378"/>
      <c r="H441" s="378"/>
      <c r="I441" s="378"/>
      <c r="J441" s="378"/>
      <c r="K441" s="378"/>
      <c r="L441" s="378"/>
      <c r="M441" s="381"/>
      <c r="N441" s="381"/>
      <c r="O441" s="381"/>
      <c r="P441" s="381"/>
      <c r="Q441" s="381"/>
      <c r="R441" s="381"/>
      <c r="S441" s="381"/>
      <c r="T441" s="381"/>
      <c r="U441" s="381"/>
      <c r="V441" s="381"/>
      <c r="W441" s="381"/>
      <c r="X441" s="381"/>
      <c r="Y441" s="381"/>
      <c r="Z441" s="381"/>
      <c r="AA441" s="381"/>
      <c r="AB441" s="381"/>
      <c r="AC441" s="382"/>
      <c r="AD441" s="382"/>
    </row>
    <row r="442" spans="1:30" ht="12.75" customHeight="1" x14ac:dyDescent="0.2">
      <c r="A442" s="378"/>
      <c r="B442" s="378"/>
      <c r="C442" s="378"/>
      <c r="D442" s="379"/>
      <c r="E442" s="380"/>
      <c r="F442" s="378"/>
      <c r="G442" s="378"/>
      <c r="H442" s="378"/>
      <c r="I442" s="378"/>
      <c r="J442" s="378"/>
      <c r="K442" s="378"/>
      <c r="L442" s="378"/>
      <c r="M442" s="381"/>
      <c r="N442" s="381"/>
      <c r="O442" s="381"/>
      <c r="P442" s="381"/>
      <c r="Q442" s="381"/>
      <c r="R442" s="381"/>
      <c r="S442" s="381"/>
      <c r="T442" s="381"/>
      <c r="U442" s="381"/>
      <c r="V442" s="381"/>
      <c r="W442" s="381"/>
      <c r="X442" s="381"/>
      <c r="Y442" s="381"/>
      <c r="Z442" s="381"/>
      <c r="AA442" s="381"/>
      <c r="AB442" s="381"/>
      <c r="AC442" s="382"/>
      <c r="AD442" s="382"/>
    </row>
    <row r="443" spans="1:30" ht="12.75" customHeight="1" x14ac:dyDescent="0.2">
      <c r="A443" s="378"/>
      <c r="B443" s="378"/>
      <c r="C443" s="378"/>
      <c r="D443" s="379"/>
      <c r="E443" s="380"/>
      <c r="F443" s="378"/>
      <c r="G443" s="378"/>
      <c r="H443" s="378"/>
      <c r="I443" s="378"/>
      <c r="J443" s="378"/>
      <c r="K443" s="378"/>
      <c r="L443" s="378"/>
      <c r="M443" s="381"/>
      <c r="N443" s="381"/>
      <c r="O443" s="381"/>
      <c r="P443" s="381"/>
      <c r="Q443" s="381"/>
      <c r="R443" s="381"/>
      <c r="S443" s="381"/>
      <c r="T443" s="381"/>
      <c r="U443" s="381"/>
      <c r="V443" s="381"/>
      <c r="W443" s="381"/>
      <c r="X443" s="381"/>
      <c r="Y443" s="381"/>
      <c r="Z443" s="381"/>
      <c r="AA443" s="381"/>
      <c r="AB443" s="381"/>
      <c r="AC443" s="382"/>
      <c r="AD443" s="382"/>
    </row>
    <row r="444" spans="1:30" ht="12.75" customHeight="1" x14ac:dyDescent="0.2">
      <c r="A444" s="378"/>
      <c r="B444" s="378"/>
      <c r="C444" s="378"/>
      <c r="D444" s="379"/>
      <c r="E444" s="380"/>
      <c r="F444" s="378"/>
      <c r="G444" s="378"/>
      <c r="H444" s="378"/>
      <c r="I444" s="378"/>
      <c r="J444" s="378"/>
      <c r="K444" s="378"/>
      <c r="L444" s="378"/>
      <c r="M444" s="381"/>
      <c r="N444" s="381"/>
      <c r="O444" s="381"/>
      <c r="P444" s="381"/>
      <c r="Q444" s="381"/>
      <c r="R444" s="381"/>
      <c r="S444" s="381"/>
      <c r="T444" s="381"/>
      <c r="U444" s="381"/>
      <c r="V444" s="381"/>
      <c r="W444" s="381"/>
      <c r="X444" s="381"/>
      <c r="Y444" s="381"/>
      <c r="Z444" s="381"/>
      <c r="AA444" s="381"/>
      <c r="AB444" s="381"/>
      <c r="AC444" s="382"/>
      <c r="AD444" s="382"/>
    </row>
    <row r="445" spans="1:30" ht="12.75" customHeight="1" x14ac:dyDescent="0.2">
      <c r="A445" s="378"/>
      <c r="B445" s="378"/>
      <c r="C445" s="378"/>
      <c r="D445" s="379"/>
      <c r="E445" s="380"/>
      <c r="F445" s="378"/>
      <c r="G445" s="378"/>
      <c r="H445" s="378"/>
      <c r="I445" s="378"/>
      <c r="J445" s="378"/>
      <c r="K445" s="378"/>
      <c r="L445" s="378"/>
      <c r="M445" s="381"/>
      <c r="N445" s="381"/>
      <c r="O445" s="381"/>
      <c r="P445" s="381"/>
      <c r="Q445" s="381"/>
      <c r="R445" s="381"/>
      <c r="S445" s="381"/>
      <c r="T445" s="381"/>
      <c r="U445" s="381"/>
      <c r="V445" s="381"/>
      <c r="W445" s="381"/>
      <c r="X445" s="381"/>
      <c r="Y445" s="381"/>
      <c r="Z445" s="381"/>
      <c r="AA445" s="381"/>
      <c r="AB445" s="381"/>
      <c r="AC445" s="382"/>
      <c r="AD445" s="382"/>
    </row>
    <row r="446" spans="1:30" ht="12.75" customHeight="1" x14ac:dyDescent="0.2">
      <c r="A446" s="378"/>
      <c r="B446" s="378"/>
      <c r="C446" s="378"/>
      <c r="D446" s="379"/>
      <c r="E446" s="380"/>
      <c r="F446" s="378"/>
      <c r="G446" s="378"/>
      <c r="H446" s="378"/>
      <c r="I446" s="378"/>
      <c r="J446" s="378"/>
      <c r="K446" s="378"/>
      <c r="L446" s="378"/>
      <c r="M446" s="381"/>
      <c r="N446" s="381"/>
      <c r="O446" s="381"/>
      <c r="P446" s="381"/>
      <c r="Q446" s="381"/>
      <c r="R446" s="381"/>
      <c r="S446" s="381"/>
      <c r="T446" s="381"/>
      <c r="U446" s="381"/>
      <c r="V446" s="381"/>
      <c r="W446" s="381"/>
      <c r="X446" s="381"/>
      <c r="Y446" s="381"/>
      <c r="Z446" s="381"/>
      <c r="AA446" s="381"/>
      <c r="AB446" s="381"/>
      <c r="AC446" s="382"/>
      <c r="AD446" s="382"/>
    </row>
    <row r="447" spans="1:30" ht="12.75" customHeight="1" x14ac:dyDescent="0.2">
      <c r="A447" s="378"/>
      <c r="B447" s="378"/>
      <c r="C447" s="378"/>
      <c r="D447" s="379"/>
      <c r="E447" s="380"/>
      <c r="F447" s="378"/>
      <c r="G447" s="378"/>
      <c r="H447" s="378"/>
      <c r="I447" s="378"/>
      <c r="J447" s="378"/>
      <c r="K447" s="378"/>
      <c r="L447" s="378"/>
      <c r="M447" s="381"/>
      <c r="N447" s="381"/>
      <c r="O447" s="381"/>
      <c r="P447" s="381"/>
      <c r="Q447" s="381"/>
      <c r="R447" s="381"/>
      <c r="S447" s="381"/>
      <c r="T447" s="381"/>
      <c r="U447" s="381"/>
      <c r="V447" s="381"/>
      <c r="W447" s="381"/>
      <c r="X447" s="381"/>
      <c r="Y447" s="381"/>
      <c r="Z447" s="381"/>
      <c r="AA447" s="381"/>
      <c r="AB447" s="381"/>
      <c r="AC447" s="382"/>
      <c r="AD447" s="382"/>
    </row>
    <row r="448" spans="1:30" ht="12.75" customHeight="1" x14ac:dyDescent="0.2">
      <c r="A448" s="378"/>
      <c r="B448" s="378"/>
      <c r="C448" s="378"/>
      <c r="D448" s="379"/>
      <c r="E448" s="380"/>
      <c r="F448" s="378"/>
      <c r="G448" s="378"/>
      <c r="H448" s="378"/>
      <c r="I448" s="378"/>
      <c r="J448" s="378"/>
      <c r="K448" s="378"/>
      <c r="L448" s="378"/>
      <c r="M448" s="381"/>
      <c r="N448" s="381"/>
      <c r="O448" s="381"/>
      <c r="P448" s="381"/>
      <c r="Q448" s="381"/>
      <c r="R448" s="381"/>
      <c r="S448" s="381"/>
      <c r="T448" s="381"/>
      <c r="U448" s="381"/>
      <c r="V448" s="381"/>
      <c r="W448" s="381"/>
      <c r="X448" s="381"/>
      <c r="Y448" s="381"/>
      <c r="Z448" s="381"/>
      <c r="AA448" s="381"/>
      <c r="AB448" s="381"/>
      <c r="AC448" s="382"/>
      <c r="AD448" s="382"/>
    </row>
    <row r="449" spans="1:30" ht="12.75" customHeight="1" x14ac:dyDescent="0.2">
      <c r="A449" s="378"/>
      <c r="B449" s="378"/>
      <c r="C449" s="378"/>
      <c r="D449" s="379"/>
      <c r="E449" s="380"/>
      <c r="F449" s="378"/>
      <c r="G449" s="378"/>
      <c r="H449" s="378"/>
      <c r="I449" s="378"/>
      <c r="J449" s="378"/>
      <c r="K449" s="378"/>
      <c r="L449" s="378"/>
      <c r="M449" s="381"/>
      <c r="N449" s="381"/>
      <c r="O449" s="381"/>
      <c r="P449" s="381"/>
      <c r="Q449" s="381"/>
      <c r="R449" s="381"/>
      <c r="S449" s="381"/>
      <c r="T449" s="381"/>
      <c r="U449" s="381"/>
      <c r="V449" s="381"/>
      <c r="W449" s="381"/>
      <c r="X449" s="381"/>
      <c r="Y449" s="381"/>
      <c r="Z449" s="381"/>
      <c r="AA449" s="381"/>
      <c r="AB449" s="381"/>
      <c r="AC449" s="382"/>
      <c r="AD449" s="382"/>
    </row>
    <row r="450" spans="1:30" ht="12.75" customHeight="1" x14ac:dyDescent="0.2">
      <c r="A450" s="378"/>
      <c r="B450" s="378"/>
      <c r="C450" s="378"/>
      <c r="D450" s="379"/>
      <c r="E450" s="380"/>
      <c r="F450" s="378"/>
      <c r="G450" s="378"/>
      <c r="H450" s="378"/>
      <c r="I450" s="378"/>
      <c r="J450" s="378"/>
      <c r="K450" s="378"/>
      <c r="L450" s="378"/>
      <c r="M450" s="381"/>
      <c r="N450" s="381"/>
      <c r="O450" s="381"/>
      <c r="P450" s="381"/>
      <c r="Q450" s="381"/>
      <c r="R450" s="381"/>
      <c r="S450" s="381"/>
      <c r="T450" s="381"/>
      <c r="U450" s="381"/>
      <c r="V450" s="381"/>
      <c r="W450" s="381"/>
      <c r="X450" s="381"/>
      <c r="Y450" s="381"/>
      <c r="Z450" s="381"/>
      <c r="AA450" s="381"/>
      <c r="AB450" s="381"/>
      <c r="AC450" s="382"/>
      <c r="AD450" s="382"/>
    </row>
    <row r="451" spans="1:30" ht="12.75" customHeight="1" x14ac:dyDescent="0.2">
      <c r="A451" s="378"/>
      <c r="B451" s="378"/>
      <c r="C451" s="378"/>
      <c r="D451" s="379"/>
      <c r="E451" s="380"/>
      <c r="F451" s="378"/>
      <c r="G451" s="378"/>
      <c r="H451" s="378"/>
      <c r="I451" s="378"/>
      <c r="J451" s="378"/>
      <c r="K451" s="378"/>
      <c r="L451" s="378"/>
      <c r="M451" s="381"/>
      <c r="N451" s="381"/>
      <c r="O451" s="381"/>
      <c r="P451" s="381"/>
      <c r="Q451" s="381"/>
      <c r="R451" s="381"/>
      <c r="S451" s="381"/>
      <c r="T451" s="381"/>
      <c r="U451" s="381"/>
      <c r="V451" s="381"/>
      <c r="W451" s="381"/>
      <c r="X451" s="381"/>
      <c r="Y451" s="381"/>
      <c r="Z451" s="381"/>
      <c r="AA451" s="381"/>
      <c r="AB451" s="381"/>
      <c r="AC451" s="382"/>
      <c r="AD451" s="382"/>
    </row>
    <row r="452" spans="1:30" ht="12.75" customHeight="1" x14ac:dyDescent="0.2">
      <c r="A452" s="378"/>
      <c r="B452" s="378"/>
      <c r="C452" s="378"/>
      <c r="D452" s="379"/>
      <c r="E452" s="380"/>
      <c r="F452" s="378"/>
      <c r="G452" s="378"/>
      <c r="H452" s="378"/>
      <c r="I452" s="378"/>
      <c r="J452" s="378"/>
      <c r="K452" s="378"/>
      <c r="L452" s="378"/>
      <c r="M452" s="381"/>
      <c r="N452" s="381"/>
      <c r="O452" s="381"/>
      <c r="P452" s="381"/>
      <c r="Q452" s="381"/>
      <c r="R452" s="381"/>
      <c r="S452" s="381"/>
      <c r="T452" s="381"/>
      <c r="U452" s="381"/>
      <c r="V452" s="381"/>
      <c r="W452" s="381"/>
      <c r="X452" s="381"/>
      <c r="Y452" s="381"/>
      <c r="Z452" s="381"/>
      <c r="AA452" s="381"/>
      <c r="AB452" s="381"/>
      <c r="AC452" s="382"/>
      <c r="AD452" s="382"/>
    </row>
    <row r="453" spans="1:30" ht="12.75" customHeight="1" x14ac:dyDescent="0.2">
      <c r="A453" s="378"/>
      <c r="B453" s="378"/>
      <c r="C453" s="378"/>
      <c r="D453" s="379"/>
      <c r="E453" s="380"/>
      <c r="F453" s="378"/>
      <c r="G453" s="378"/>
      <c r="H453" s="378"/>
      <c r="I453" s="378"/>
      <c r="J453" s="378"/>
      <c r="K453" s="378"/>
      <c r="L453" s="378"/>
      <c r="M453" s="381"/>
      <c r="N453" s="381"/>
      <c r="O453" s="381"/>
      <c r="P453" s="381"/>
      <c r="Q453" s="381"/>
      <c r="R453" s="381"/>
      <c r="S453" s="381"/>
      <c r="T453" s="381"/>
      <c r="U453" s="381"/>
      <c r="V453" s="381"/>
      <c r="W453" s="381"/>
      <c r="X453" s="381"/>
      <c r="Y453" s="381"/>
      <c r="Z453" s="381"/>
      <c r="AA453" s="381"/>
      <c r="AB453" s="381"/>
      <c r="AC453" s="382"/>
      <c r="AD453" s="382"/>
    </row>
    <row r="454" spans="1:30" ht="12.75" customHeight="1" x14ac:dyDescent="0.2">
      <c r="A454" s="378"/>
      <c r="B454" s="378"/>
      <c r="C454" s="378"/>
      <c r="D454" s="379"/>
      <c r="E454" s="380"/>
      <c r="F454" s="378"/>
      <c r="G454" s="378"/>
      <c r="H454" s="378"/>
      <c r="I454" s="378"/>
      <c r="J454" s="378"/>
      <c r="K454" s="378"/>
      <c r="L454" s="378"/>
      <c r="M454" s="381"/>
      <c r="N454" s="381"/>
      <c r="O454" s="381"/>
      <c r="P454" s="381"/>
      <c r="Q454" s="381"/>
      <c r="R454" s="381"/>
      <c r="S454" s="381"/>
      <c r="T454" s="381"/>
      <c r="U454" s="381"/>
      <c r="V454" s="381"/>
      <c r="W454" s="381"/>
      <c r="X454" s="381"/>
      <c r="Y454" s="381"/>
      <c r="Z454" s="381"/>
      <c r="AA454" s="381"/>
      <c r="AB454" s="381"/>
      <c r="AC454" s="382"/>
      <c r="AD454" s="382"/>
    </row>
    <row r="455" spans="1:30" ht="12.75" customHeight="1" x14ac:dyDescent="0.2">
      <c r="A455" s="378"/>
      <c r="B455" s="378"/>
      <c r="C455" s="378"/>
      <c r="D455" s="379"/>
      <c r="E455" s="380"/>
      <c r="F455" s="378"/>
      <c r="G455" s="378"/>
      <c r="H455" s="378"/>
      <c r="I455" s="378"/>
      <c r="J455" s="378"/>
      <c r="K455" s="378"/>
      <c r="L455" s="378"/>
      <c r="M455" s="381"/>
      <c r="N455" s="381"/>
      <c r="O455" s="381"/>
      <c r="P455" s="381"/>
      <c r="Q455" s="381"/>
      <c r="R455" s="381"/>
      <c r="S455" s="381"/>
      <c r="T455" s="381"/>
      <c r="U455" s="381"/>
      <c r="V455" s="381"/>
      <c r="W455" s="381"/>
      <c r="X455" s="381"/>
      <c r="Y455" s="381"/>
      <c r="Z455" s="381"/>
      <c r="AA455" s="381"/>
      <c r="AB455" s="381"/>
      <c r="AC455" s="382"/>
      <c r="AD455" s="382"/>
    </row>
    <row r="456" spans="1:30" ht="12.75" customHeight="1" x14ac:dyDescent="0.2">
      <c r="A456" s="378"/>
      <c r="B456" s="378"/>
      <c r="C456" s="378"/>
      <c r="D456" s="379"/>
      <c r="E456" s="380"/>
      <c r="F456" s="378"/>
      <c r="G456" s="378"/>
      <c r="H456" s="378"/>
      <c r="I456" s="378"/>
      <c r="J456" s="378"/>
      <c r="K456" s="378"/>
      <c r="L456" s="378"/>
      <c r="M456" s="381"/>
      <c r="N456" s="381"/>
      <c r="O456" s="381"/>
      <c r="P456" s="381"/>
      <c r="Q456" s="381"/>
      <c r="R456" s="381"/>
      <c r="S456" s="381"/>
      <c r="T456" s="381"/>
      <c r="U456" s="381"/>
      <c r="V456" s="381"/>
      <c r="W456" s="381"/>
      <c r="X456" s="381"/>
      <c r="Y456" s="381"/>
      <c r="Z456" s="381"/>
      <c r="AA456" s="381"/>
      <c r="AB456" s="381"/>
      <c r="AC456" s="382"/>
      <c r="AD456" s="382"/>
    </row>
    <row r="457" spans="1:30" ht="12.75" customHeight="1" x14ac:dyDescent="0.2">
      <c r="A457" s="378"/>
      <c r="B457" s="378"/>
      <c r="C457" s="378"/>
      <c r="D457" s="379"/>
      <c r="E457" s="380"/>
      <c r="F457" s="378"/>
      <c r="G457" s="378"/>
      <c r="H457" s="378"/>
      <c r="I457" s="378"/>
      <c r="J457" s="378"/>
      <c r="K457" s="378"/>
      <c r="L457" s="378"/>
      <c r="M457" s="381"/>
      <c r="N457" s="381"/>
      <c r="O457" s="381"/>
      <c r="P457" s="381"/>
      <c r="Q457" s="381"/>
      <c r="R457" s="381"/>
      <c r="S457" s="381"/>
      <c r="T457" s="381"/>
      <c r="U457" s="381"/>
      <c r="V457" s="381"/>
      <c r="W457" s="381"/>
      <c r="X457" s="381"/>
      <c r="Y457" s="381"/>
      <c r="Z457" s="381"/>
      <c r="AA457" s="381"/>
      <c r="AB457" s="381"/>
      <c r="AC457" s="382"/>
      <c r="AD457" s="382"/>
    </row>
    <row r="458" spans="1:30" ht="12.75" customHeight="1" x14ac:dyDescent="0.2">
      <c r="A458" s="378"/>
      <c r="B458" s="378"/>
      <c r="C458" s="378"/>
      <c r="D458" s="379"/>
      <c r="E458" s="380"/>
      <c r="F458" s="378"/>
      <c r="G458" s="378"/>
      <c r="H458" s="378"/>
      <c r="I458" s="378"/>
      <c r="J458" s="378"/>
      <c r="K458" s="378"/>
      <c r="L458" s="378"/>
      <c r="M458" s="381"/>
      <c r="N458" s="381"/>
      <c r="O458" s="381"/>
      <c r="P458" s="381"/>
      <c r="Q458" s="381"/>
      <c r="R458" s="381"/>
      <c r="S458" s="381"/>
      <c r="T458" s="381"/>
      <c r="U458" s="381"/>
      <c r="V458" s="381"/>
      <c r="W458" s="381"/>
      <c r="X458" s="381"/>
      <c r="Y458" s="381"/>
      <c r="Z458" s="381"/>
      <c r="AA458" s="381"/>
      <c r="AB458" s="381"/>
      <c r="AC458" s="382"/>
      <c r="AD458" s="382"/>
    </row>
    <row r="459" spans="1:30" ht="12.75" customHeight="1" x14ac:dyDescent="0.2">
      <c r="A459" s="378"/>
      <c r="B459" s="378"/>
      <c r="C459" s="378"/>
      <c r="D459" s="379"/>
      <c r="E459" s="380"/>
      <c r="F459" s="378"/>
      <c r="G459" s="378"/>
      <c r="H459" s="378"/>
      <c r="I459" s="378"/>
      <c r="J459" s="378"/>
      <c r="K459" s="378"/>
      <c r="L459" s="378"/>
      <c r="M459" s="381"/>
      <c r="N459" s="381"/>
      <c r="O459" s="381"/>
      <c r="P459" s="381"/>
      <c r="Q459" s="381"/>
      <c r="R459" s="381"/>
      <c r="S459" s="381"/>
      <c r="T459" s="381"/>
      <c r="U459" s="381"/>
      <c r="V459" s="381"/>
      <c r="W459" s="381"/>
      <c r="X459" s="381"/>
      <c r="Y459" s="381"/>
      <c r="Z459" s="381"/>
      <c r="AA459" s="381"/>
      <c r="AB459" s="381"/>
      <c r="AC459" s="382"/>
      <c r="AD459" s="382"/>
    </row>
    <row r="460" spans="1:30" ht="12.75" customHeight="1" x14ac:dyDescent="0.2">
      <c r="A460" s="378"/>
      <c r="B460" s="378"/>
      <c r="C460" s="378"/>
      <c r="D460" s="379"/>
      <c r="E460" s="380"/>
      <c r="F460" s="378"/>
      <c r="G460" s="378"/>
      <c r="H460" s="378"/>
      <c r="I460" s="378"/>
      <c r="J460" s="378"/>
      <c r="K460" s="378"/>
      <c r="L460" s="378"/>
      <c r="M460" s="381"/>
      <c r="N460" s="381"/>
      <c r="O460" s="381"/>
      <c r="P460" s="381"/>
      <c r="Q460" s="381"/>
      <c r="R460" s="381"/>
      <c r="S460" s="381"/>
      <c r="T460" s="381"/>
      <c r="U460" s="381"/>
      <c r="V460" s="381"/>
      <c r="W460" s="381"/>
      <c r="X460" s="381"/>
      <c r="Y460" s="381"/>
      <c r="Z460" s="381"/>
      <c r="AA460" s="381"/>
      <c r="AB460" s="381"/>
      <c r="AC460" s="382"/>
      <c r="AD460" s="382"/>
    </row>
    <row r="461" spans="1:30" ht="12.75" customHeight="1" x14ac:dyDescent="0.2">
      <c r="A461" s="378"/>
      <c r="B461" s="378"/>
      <c r="C461" s="378"/>
      <c r="D461" s="379"/>
      <c r="E461" s="380"/>
      <c r="F461" s="378"/>
      <c r="G461" s="378"/>
      <c r="H461" s="378"/>
      <c r="I461" s="378"/>
      <c r="J461" s="378"/>
      <c r="K461" s="378"/>
      <c r="L461" s="378"/>
      <c r="M461" s="381"/>
      <c r="N461" s="381"/>
      <c r="O461" s="381"/>
      <c r="P461" s="381"/>
      <c r="Q461" s="381"/>
      <c r="R461" s="381"/>
      <c r="S461" s="381"/>
      <c r="T461" s="381"/>
      <c r="U461" s="381"/>
      <c r="V461" s="381"/>
      <c r="W461" s="381"/>
      <c r="X461" s="381"/>
      <c r="Y461" s="381"/>
      <c r="Z461" s="381"/>
      <c r="AA461" s="381"/>
      <c r="AB461" s="381"/>
      <c r="AC461" s="382"/>
      <c r="AD461" s="382"/>
    </row>
    <row r="462" spans="1:30" ht="12.75" customHeight="1" x14ac:dyDescent="0.2">
      <c r="A462" s="378"/>
      <c r="B462" s="378"/>
      <c r="C462" s="378"/>
      <c r="D462" s="379"/>
      <c r="E462" s="380"/>
      <c r="F462" s="378"/>
      <c r="G462" s="378"/>
      <c r="H462" s="378"/>
      <c r="I462" s="378"/>
      <c r="J462" s="378"/>
      <c r="K462" s="378"/>
      <c r="L462" s="378"/>
      <c r="M462" s="381"/>
      <c r="N462" s="381"/>
      <c r="O462" s="381"/>
      <c r="P462" s="381"/>
      <c r="Q462" s="381"/>
      <c r="R462" s="381"/>
      <c r="S462" s="381"/>
      <c r="T462" s="381"/>
      <c r="U462" s="381"/>
      <c r="V462" s="381"/>
      <c r="W462" s="381"/>
      <c r="X462" s="381"/>
      <c r="Y462" s="381"/>
      <c r="Z462" s="381"/>
      <c r="AA462" s="381"/>
      <c r="AB462" s="381"/>
      <c r="AC462" s="382"/>
      <c r="AD462" s="382"/>
    </row>
    <row r="463" spans="1:30" ht="12.75" customHeight="1" x14ac:dyDescent="0.2">
      <c r="A463" s="378"/>
      <c r="B463" s="378"/>
      <c r="C463" s="378"/>
      <c r="D463" s="379"/>
      <c r="E463" s="380"/>
      <c r="F463" s="378"/>
      <c r="G463" s="378"/>
      <c r="H463" s="378"/>
      <c r="I463" s="378"/>
      <c r="J463" s="378"/>
      <c r="K463" s="378"/>
      <c r="L463" s="378"/>
      <c r="M463" s="381"/>
      <c r="N463" s="381"/>
      <c r="O463" s="381"/>
      <c r="P463" s="381"/>
      <c r="Q463" s="381"/>
      <c r="R463" s="381"/>
      <c r="S463" s="381"/>
      <c r="T463" s="381"/>
      <c r="U463" s="381"/>
      <c r="V463" s="381"/>
      <c r="W463" s="381"/>
      <c r="X463" s="381"/>
      <c r="Y463" s="381"/>
      <c r="Z463" s="381"/>
      <c r="AA463" s="381"/>
      <c r="AB463" s="381"/>
      <c r="AC463" s="382"/>
      <c r="AD463" s="382"/>
    </row>
    <row r="464" spans="1:30" ht="12.75" customHeight="1" x14ac:dyDescent="0.2">
      <c r="A464" s="378"/>
      <c r="B464" s="378"/>
      <c r="C464" s="378"/>
      <c r="D464" s="379"/>
      <c r="E464" s="380"/>
      <c r="F464" s="378"/>
      <c r="G464" s="378"/>
      <c r="H464" s="378"/>
      <c r="I464" s="378"/>
      <c r="J464" s="378"/>
      <c r="K464" s="378"/>
      <c r="L464" s="378"/>
      <c r="M464" s="381"/>
      <c r="N464" s="381"/>
      <c r="O464" s="381"/>
      <c r="P464" s="381"/>
      <c r="Q464" s="381"/>
      <c r="R464" s="381"/>
      <c r="S464" s="381"/>
      <c r="T464" s="381"/>
      <c r="U464" s="381"/>
      <c r="V464" s="381"/>
      <c r="W464" s="381"/>
      <c r="X464" s="381"/>
      <c r="Y464" s="381"/>
      <c r="Z464" s="381"/>
      <c r="AA464" s="381"/>
      <c r="AB464" s="381"/>
      <c r="AC464" s="382"/>
      <c r="AD464" s="382"/>
    </row>
    <row r="465" spans="1:30" ht="12.75" customHeight="1" x14ac:dyDescent="0.2">
      <c r="A465" s="378"/>
      <c r="B465" s="378"/>
      <c r="C465" s="378"/>
      <c r="D465" s="379"/>
      <c r="E465" s="380"/>
      <c r="F465" s="378"/>
      <c r="G465" s="378"/>
      <c r="H465" s="378"/>
      <c r="I465" s="378"/>
      <c r="J465" s="378"/>
      <c r="K465" s="378"/>
      <c r="L465" s="378"/>
      <c r="M465" s="381"/>
      <c r="N465" s="381"/>
      <c r="O465" s="381"/>
      <c r="P465" s="381"/>
      <c r="Q465" s="381"/>
      <c r="R465" s="381"/>
      <c r="S465" s="381"/>
      <c r="T465" s="381"/>
      <c r="U465" s="381"/>
      <c r="V465" s="381"/>
      <c r="W465" s="381"/>
      <c r="X465" s="381"/>
      <c r="Y465" s="381"/>
      <c r="Z465" s="381"/>
      <c r="AA465" s="381"/>
      <c r="AB465" s="381"/>
      <c r="AC465" s="382"/>
      <c r="AD465" s="382"/>
    </row>
    <row r="466" spans="1:30" ht="12.75" customHeight="1" x14ac:dyDescent="0.2">
      <c r="A466" s="378"/>
      <c r="B466" s="378"/>
      <c r="C466" s="378"/>
      <c r="D466" s="379"/>
      <c r="E466" s="380"/>
      <c r="F466" s="378"/>
      <c r="G466" s="378"/>
      <c r="H466" s="378"/>
      <c r="I466" s="378"/>
      <c r="J466" s="378"/>
      <c r="K466" s="378"/>
      <c r="L466" s="378"/>
      <c r="M466" s="381"/>
      <c r="N466" s="381"/>
      <c r="O466" s="381"/>
      <c r="P466" s="381"/>
      <c r="Q466" s="381"/>
      <c r="R466" s="381"/>
      <c r="S466" s="381"/>
      <c r="T466" s="381"/>
      <c r="U466" s="381"/>
      <c r="V466" s="381"/>
      <c r="W466" s="381"/>
      <c r="X466" s="381"/>
      <c r="Y466" s="381"/>
      <c r="Z466" s="381"/>
      <c r="AA466" s="381"/>
      <c r="AB466" s="381"/>
      <c r="AC466" s="382"/>
      <c r="AD466" s="382"/>
    </row>
    <row r="467" spans="1:30" ht="12.75" customHeight="1" x14ac:dyDescent="0.2">
      <c r="A467" s="378"/>
      <c r="B467" s="378"/>
      <c r="C467" s="378"/>
      <c r="D467" s="379"/>
      <c r="E467" s="380"/>
      <c r="F467" s="378"/>
      <c r="G467" s="378"/>
      <c r="H467" s="378"/>
      <c r="I467" s="378"/>
      <c r="J467" s="378"/>
      <c r="K467" s="378"/>
      <c r="L467" s="378"/>
      <c r="M467" s="381"/>
      <c r="N467" s="381"/>
      <c r="O467" s="381"/>
      <c r="P467" s="381"/>
      <c r="Q467" s="381"/>
      <c r="R467" s="381"/>
      <c r="S467" s="381"/>
      <c r="T467" s="381"/>
      <c r="U467" s="381"/>
      <c r="V467" s="381"/>
      <c r="W467" s="381"/>
      <c r="X467" s="381"/>
      <c r="Y467" s="381"/>
      <c r="Z467" s="381"/>
      <c r="AA467" s="381"/>
      <c r="AB467" s="381"/>
      <c r="AC467" s="382"/>
      <c r="AD467" s="382"/>
    </row>
    <row r="468" spans="1:30" ht="12.75" customHeight="1" x14ac:dyDescent="0.2">
      <c r="A468" s="378"/>
      <c r="B468" s="378"/>
      <c r="C468" s="378"/>
      <c r="D468" s="379"/>
      <c r="E468" s="380"/>
      <c r="F468" s="378"/>
      <c r="G468" s="378"/>
      <c r="H468" s="378"/>
      <c r="I468" s="378"/>
      <c r="J468" s="378"/>
      <c r="K468" s="378"/>
      <c r="L468" s="378"/>
      <c r="M468" s="381"/>
      <c r="N468" s="381"/>
      <c r="O468" s="381"/>
      <c r="P468" s="381"/>
      <c r="Q468" s="381"/>
      <c r="R468" s="381"/>
      <c r="S468" s="381"/>
      <c r="T468" s="381"/>
      <c r="U468" s="381"/>
      <c r="V468" s="381"/>
      <c r="W468" s="381"/>
      <c r="X468" s="381"/>
      <c r="Y468" s="381"/>
      <c r="Z468" s="381"/>
      <c r="AA468" s="381"/>
      <c r="AB468" s="381"/>
      <c r="AC468" s="382"/>
      <c r="AD468" s="382"/>
    </row>
    <row r="469" spans="1:30" ht="12.75" customHeight="1" x14ac:dyDescent="0.2">
      <c r="A469" s="378"/>
      <c r="B469" s="378"/>
      <c r="C469" s="378"/>
      <c r="D469" s="379"/>
      <c r="E469" s="380"/>
      <c r="F469" s="378"/>
      <c r="G469" s="378"/>
      <c r="H469" s="378"/>
      <c r="I469" s="378"/>
      <c r="J469" s="378"/>
      <c r="K469" s="378"/>
      <c r="L469" s="378"/>
      <c r="M469" s="381"/>
      <c r="N469" s="381"/>
      <c r="O469" s="381"/>
      <c r="P469" s="381"/>
      <c r="Q469" s="381"/>
      <c r="R469" s="381"/>
      <c r="S469" s="381"/>
      <c r="T469" s="381"/>
      <c r="U469" s="381"/>
      <c r="V469" s="381"/>
      <c r="W469" s="381"/>
      <c r="X469" s="381"/>
      <c r="Y469" s="381"/>
      <c r="Z469" s="381"/>
      <c r="AA469" s="381"/>
      <c r="AB469" s="381"/>
      <c r="AC469" s="382"/>
      <c r="AD469" s="382"/>
    </row>
    <row r="470" spans="1:30" ht="12.75" customHeight="1" x14ac:dyDescent="0.2">
      <c r="A470" s="378"/>
      <c r="B470" s="378"/>
      <c r="C470" s="378"/>
      <c r="D470" s="379"/>
      <c r="E470" s="380"/>
      <c r="F470" s="378"/>
      <c r="G470" s="378"/>
      <c r="H470" s="378"/>
      <c r="I470" s="378"/>
      <c r="J470" s="378"/>
      <c r="K470" s="378"/>
      <c r="L470" s="378"/>
      <c r="M470" s="381"/>
      <c r="N470" s="381"/>
      <c r="O470" s="381"/>
      <c r="P470" s="381"/>
      <c r="Q470" s="381"/>
      <c r="R470" s="381"/>
      <c r="S470" s="381"/>
      <c r="T470" s="381"/>
      <c r="U470" s="381"/>
      <c r="V470" s="381"/>
      <c r="W470" s="381"/>
      <c r="X470" s="381"/>
      <c r="Y470" s="381"/>
      <c r="Z470" s="381"/>
      <c r="AA470" s="381"/>
      <c r="AB470" s="381"/>
      <c r="AC470" s="382"/>
      <c r="AD470" s="382"/>
    </row>
    <row r="471" spans="1:30" ht="12.75" customHeight="1" x14ac:dyDescent="0.2">
      <c r="A471" s="378"/>
      <c r="B471" s="378"/>
      <c r="C471" s="378"/>
      <c r="D471" s="379"/>
      <c r="E471" s="380"/>
      <c r="F471" s="378"/>
      <c r="G471" s="378"/>
      <c r="H471" s="378"/>
      <c r="I471" s="378"/>
      <c r="J471" s="378"/>
      <c r="K471" s="378"/>
      <c r="L471" s="378"/>
      <c r="M471" s="381"/>
      <c r="N471" s="381"/>
      <c r="O471" s="381"/>
      <c r="P471" s="381"/>
      <c r="Q471" s="381"/>
      <c r="R471" s="381"/>
      <c r="S471" s="381"/>
      <c r="T471" s="381"/>
      <c r="U471" s="381"/>
      <c r="V471" s="381"/>
      <c r="W471" s="381"/>
      <c r="X471" s="381"/>
      <c r="Y471" s="381"/>
      <c r="Z471" s="381"/>
      <c r="AA471" s="381"/>
      <c r="AB471" s="381"/>
      <c r="AC471" s="382"/>
      <c r="AD471" s="382"/>
    </row>
    <row r="472" spans="1:30" ht="12.75" customHeight="1" x14ac:dyDescent="0.2">
      <c r="A472" s="378"/>
      <c r="B472" s="378"/>
      <c r="C472" s="378"/>
      <c r="D472" s="379"/>
      <c r="E472" s="380"/>
      <c r="F472" s="378"/>
      <c r="G472" s="378"/>
      <c r="H472" s="378"/>
      <c r="I472" s="378"/>
      <c r="J472" s="378"/>
      <c r="K472" s="378"/>
      <c r="L472" s="378"/>
      <c r="M472" s="381"/>
      <c r="N472" s="381"/>
      <c r="O472" s="381"/>
      <c r="P472" s="381"/>
      <c r="Q472" s="381"/>
      <c r="R472" s="381"/>
      <c r="S472" s="381"/>
      <c r="T472" s="381"/>
      <c r="U472" s="381"/>
      <c r="V472" s="381"/>
      <c r="W472" s="381"/>
      <c r="X472" s="381"/>
      <c r="Y472" s="381"/>
      <c r="Z472" s="381"/>
      <c r="AA472" s="381"/>
      <c r="AB472" s="381"/>
      <c r="AC472" s="382"/>
      <c r="AD472" s="382"/>
    </row>
    <row r="473" spans="1:30" ht="12.75" customHeight="1" x14ac:dyDescent="0.2">
      <c r="A473" s="378"/>
      <c r="B473" s="378"/>
      <c r="C473" s="378"/>
      <c r="D473" s="379"/>
      <c r="E473" s="380"/>
      <c r="F473" s="378"/>
      <c r="G473" s="378"/>
      <c r="H473" s="378"/>
      <c r="I473" s="378"/>
      <c r="J473" s="378"/>
      <c r="K473" s="378"/>
      <c r="L473" s="378"/>
      <c r="M473" s="381"/>
      <c r="N473" s="381"/>
      <c r="O473" s="381"/>
      <c r="P473" s="381"/>
      <c r="Q473" s="381"/>
      <c r="R473" s="381"/>
      <c r="S473" s="381"/>
      <c r="T473" s="381"/>
      <c r="U473" s="381"/>
      <c r="V473" s="381"/>
      <c r="W473" s="381"/>
      <c r="X473" s="381"/>
      <c r="Y473" s="381"/>
      <c r="Z473" s="381"/>
      <c r="AA473" s="381"/>
      <c r="AB473" s="381"/>
      <c r="AC473" s="382"/>
      <c r="AD473" s="382"/>
    </row>
    <row r="474" spans="1:30" ht="12.75" customHeight="1" x14ac:dyDescent="0.2">
      <c r="A474" s="378"/>
      <c r="B474" s="378"/>
      <c r="C474" s="378"/>
      <c r="D474" s="379"/>
      <c r="E474" s="380"/>
      <c r="F474" s="378"/>
      <c r="G474" s="378"/>
      <c r="H474" s="378"/>
      <c r="I474" s="378"/>
      <c r="J474" s="378"/>
      <c r="K474" s="378"/>
      <c r="L474" s="378"/>
      <c r="M474" s="381"/>
      <c r="N474" s="381"/>
      <c r="O474" s="381"/>
      <c r="P474" s="381"/>
      <c r="Q474" s="381"/>
      <c r="R474" s="381"/>
      <c r="S474" s="381"/>
      <c r="T474" s="381"/>
      <c r="U474" s="381"/>
      <c r="V474" s="381"/>
      <c r="W474" s="381"/>
      <c r="X474" s="381"/>
      <c r="Y474" s="381"/>
      <c r="Z474" s="381"/>
      <c r="AA474" s="381"/>
      <c r="AB474" s="381"/>
      <c r="AC474" s="382"/>
      <c r="AD474" s="382"/>
    </row>
    <row r="475" spans="1:30" ht="12.75" customHeight="1" x14ac:dyDescent="0.2">
      <c r="A475" s="378"/>
      <c r="B475" s="378"/>
      <c r="C475" s="378"/>
      <c r="D475" s="379"/>
      <c r="E475" s="380"/>
      <c r="F475" s="378"/>
      <c r="G475" s="378"/>
      <c r="H475" s="378"/>
      <c r="I475" s="378"/>
      <c r="J475" s="378"/>
      <c r="K475" s="378"/>
      <c r="L475" s="378"/>
      <c r="M475" s="381"/>
      <c r="N475" s="381"/>
      <c r="O475" s="381"/>
      <c r="P475" s="381"/>
      <c r="Q475" s="381"/>
      <c r="R475" s="381"/>
      <c r="S475" s="381"/>
      <c r="T475" s="381"/>
      <c r="U475" s="381"/>
      <c r="V475" s="381"/>
      <c r="W475" s="381"/>
      <c r="X475" s="381"/>
      <c r="Y475" s="381"/>
      <c r="Z475" s="381"/>
      <c r="AA475" s="381"/>
      <c r="AB475" s="381"/>
      <c r="AC475" s="382"/>
      <c r="AD475" s="382"/>
    </row>
    <row r="476" spans="1:30" ht="12.75" customHeight="1" x14ac:dyDescent="0.2">
      <c r="A476" s="378"/>
      <c r="B476" s="378"/>
      <c r="C476" s="378"/>
      <c r="D476" s="379"/>
      <c r="E476" s="380"/>
      <c r="F476" s="378"/>
      <c r="G476" s="378"/>
      <c r="H476" s="378"/>
      <c r="I476" s="378"/>
      <c r="J476" s="378"/>
      <c r="K476" s="378"/>
      <c r="L476" s="378"/>
      <c r="M476" s="381"/>
      <c r="N476" s="381"/>
      <c r="O476" s="381"/>
      <c r="P476" s="381"/>
      <c r="Q476" s="381"/>
      <c r="R476" s="381"/>
      <c r="S476" s="381"/>
      <c r="T476" s="381"/>
      <c r="U476" s="381"/>
      <c r="V476" s="381"/>
      <c r="W476" s="381"/>
      <c r="X476" s="381"/>
      <c r="Y476" s="381"/>
      <c r="Z476" s="381"/>
      <c r="AA476" s="381"/>
      <c r="AB476" s="381"/>
      <c r="AC476" s="382"/>
      <c r="AD476" s="382"/>
    </row>
    <row r="477" spans="1:30" ht="12.75" customHeight="1" x14ac:dyDescent="0.2">
      <c r="A477" s="378"/>
      <c r="B477" s="378"/>
      <c r="C477" s="378"/>
      <c r="D477" s="379"/>
      <c r="E477" s="380"/>
      <c r="F477" s="378"/>
      <c r="G477" s="378"/>
      <c r="H477" s="378"/>
      <c r="I477" s="378"/>
      <c r="J477" s="378"/>
      <c r="K477" s="378"/>
      <c r="L477" s="378"/>
      <c r="M477" s="381"/>
      <c r="N477" s="381"/>
      <c r="O477" s="381"/>
      <c r="P477" s="381"/>
      <c r="Q477" s="381"/>
      <c r="R477" s="381"/>
      <c r="S477" s="381"/>
      <c r="T477" s="381"/>
      <c r="U477" s="381"/>
      <c r="V477" s="381"/>
      <c r="W477" s="381"/>
      <c r="X477" s="381"/>
      <c r="Y477" s="381"/>
      <c r="Z477" s="381"/>
      <c r="AA477" s="381"/>
      <c r="AB477" s="381"/>
      <c r="AC477" s="382"/>
      <c r="AD477" s="382"/>
    </row>
    <row r="478" spans="1:30" ht="12.75" customHeight="1" x14ac:dyDescent="0.2">
      <c r="A478" s="378"/>
      <c r="B478" s="378"/>
      <c r="C478" s="378"/>
      <c r="D478" s="379"/>
      <c r="E478" s="380"/>
      <c r="F478" s="378"/>
      <c r="G478" s="378"/>
      <c r="H478" s="378"/>
      <c r="I478" s="378"/>
      <c r="J478" s="378"/>
      <c r="K478" s="378"/>
      <c r="L478" s="378"/>
      <c r="M478" s="381"/>
      <c r="N478" s="381"/>
      <c r="O478" s="381"/>
      <c r="P478" s="381"/>
      <c r="Q478" s="381"/>
      <c r="R478" s="381"/>
      <c r="S478" s="381"/>
      <c r="T478" s="381"/>
      <c r="U478" s="381"/>
      <c r="V478" s="381"/>
      <c r="W478" s="381"/>
      <c r="X478" s="381"/>
      <c r="Y478" s="381"/>
      <c r="Z478" s="381"/>
      <c r="AA478" s="381"/>
      <c r="AB478" s="381"/>
      <c r="AC478" s="382"/>
      <c r="AD478" s="382"/>
    </row>
    <row r="479" spans="1:30" ht="12.75" customHeight="1" x14ac:dyDescent="0.2">
      <c r="A479" s="378"/>
      <c r="B479" s="378"/>
      <c r="C479" s="378"/>
      <c r="D479" s="379"/>
      <c r="E479" s="380"/>
      <c r="F479" s="378"/>
      <c r="G479" s="378"/>
      <c r="H479" s="378"/>
      <c r="I479" s="378"/>
      <c r="J479" s="378"/>
      <c r="K479" s="378"/>
      <c r="L479" s="378"/>
      <c r="M479" s="381"/>
      <c r="N479" s="381"/>
      <c r="O479" s="381"/>
      <c r="P479" s="381"/>
      <c r="Q479" s="381"/>
      <c r="R479" s="381"/>
      <c r="S479" s="381"/>
      <c r="T479" s="381"/>
      <c r="U479" s="381"/>
      <c r="V479" s="381"/>
      <c r="W479" s="381"/>
      <c r="X479" s="381"/>
      <c r="Y479" s="381"/>
      <c r="Z479" s="381"/>
      <c r="AA479" s="381"/>
      <c r="AB479" s="381"/>
      <c r="AC479" s="382"/>
      <c r="AD479" s="382"/>
    </row>
    <row r="480" spans="1:30" ht="12.75" customHeight="1" x14ac:dyDescent="0.2">
      <c r="A480" s="378"/>
      <c r="B480" s="378"/>
      <c r="C480" s="378"/>
      <c r="D480" s="379"/>
      <c r="E480" s="380"/>
      <c r="F480" s="378"/>
      <c r="G480" s="378"/>
      <c r="H480" s="378"/>
      <c r="I480" s="378"/>
      <c r="J480" s="378"/>
      <c r="K480" s="378"/>
      <c r="L480" s="378"/>
      <c r="M480" s="381"/>
      <c r="N480" s="381"/>
      <c r="O480" s="381"/>
      <c r="P480" s="381"/>
      <c r="Q480" s="381"/>
      <c r="R480" s="381"/>
      <c r="S480" s="381"/>
      <c r="T480" s="381"/>
      <c r="U480" s="381"/>
      <c r="V480" s="381"/>
      <c r="W480" s="381"/>
      <c r="X480" s="381"/>
      <c r="Y480" s="381"/>
      <c r="Z480" s="381"/>
      <c r="AA480" s="381"/>
      <c r="AB480" s="381"/>
      <c r="AC480" s="382"/>
      <c r="AD480" s="382"/>
    </row>
    <row r="481" spans="1:30" ht="12.75" customHeight="1" x14ac:dyDescent="0.2">
      <c r="A481" s="378"/>
      <c r="B481" s="378"/>
      <c r="C481" s="378"/>
      <c r="D481" s="379"/>
      <c r="E481" s="380"/>
      <c r="F481" s="378"/>
      <c r="G481" s="378"/>
      <c r="H481" s="378"/>
      <c r="I481" s="378"/>
      <c r="J481" s="378"/>
      <c r="K481" s="378"/>
      <c r="L481" s="378"/>
      <c r="M481" s="381"/>
      <c r="N481" s="381"/>
      <c r="O481" s="381"/>
      <c r="P481" s="381"/>
      <c r="Q481" s="381"/>
      <c r="R481" s="381"/>
      <c r="S481" s="381"/>
      <c r="T481" s="381"/>
      <c r="U481" s="381"/>
      <c r="V481" s="381"/>
      <c r="W481" s="381"/>
      <c r="X481" s="381"/>
      <c r="Y481" s="381"/>
      <c r="Z481" s="381"/>
      <c r="AA481" s="381"/>
      <c r="AB481" s="381"/>
      <c r="AC481" s="382"/>
      <c r="AD481" s="382"/>
    </row>
    <row r="482" spans="1:30" ht="12.75" customHeight="1" x14ac:dyDescent="0.2">
      <c r="A482" s="378"/>
      <c r="B482" s="378"/>
      <c r="C482" s="378"/>
      <c r="D482" s="379"/>
      <c r="E482" s="380"/>
      <c r="F482" s="378"/>
      <c r="G482" s="378"/>
      <c r="H482" s="378"/>
      <c r="I482" s="378"/>
      <c r="J482" s="378"/>
      <c r="K482" s="378"/>
      <c r="L482" s="378"/>
      <c r="M482" s="381"/>
      <c r="N482" s="381"/>
      <c r="O482" s="381"/>
      <c r="P482" s="381"/>
      <c r="Q482" s="381"/>
      <c r="R482" s="381"/>
      <c r="S482" s="381"/>
      <c r="T482" s="381"/>
      <c r="U482" s="381"/>
      <c r="V482" s="381"/>
      <c r="W482" s="381"/>
      <c r="X482" s="381"/>
      <c r="Y482" s="381"/>
      <c r="Z482" s="381"/>
      <c r="AA482" s="381"/>
      <c r="AB482" s="381"/>
      <c r="AC482" s="382"/>
      <c r="AD482" s="382"/>
    </row>
    <row r="483" spans="1:30" ht="12.75" customHeight="1" x14ac:dyDescent="0.2">
      <c r="A483" s="378"/>
      <c r="B483" s="378"/>
      <c r="C483" s="378"/>
      <c r="D483" s="379"/>
      <c r="E483" s="380"/>
      <c r="F483" s="378"/>
      <c r="G483" s="378"/>
      <c r="H483" s="378"/>
      <c r="I483" s="378"/>
      <c r="J483" s="378"/>
      <c r="K483" s="378"/>
      <c r="L483" s="378"/>
      <c r="M483" s="381"/>
      <c r="N483" s="381"/>
      <c r="O483" s="381"/>
      <c r="P483" s="381"/>
      <c r="Q483" s="381"/>
      <c r="R483" s="381"/>
      <c r="S483" s="381"/>
      <c r="T483" s="381"/>
      <c r="U483" s="381"/>
      <c r="V483" s="381"/>
      <c r="W483" s="381"/>
      <c r="X483" s="381"/>
      <c r="Y483" s="381"/>
      <c r="Z483" s="381"/>
      <c r="AA483" s="381"/>
      <c r="AB483" s="381"/>
      <c r="AC483" s="382"/>
      <c r="AD483" s="382"/>
    </row>
    <row r="484" spans="1:30" ht="12.75" customHeight="1" x14ac:dyDescent="0.2">
      <c r="A484" s="378"/>
      <c r="B484" s="378"/>
      <c r="C484" s="378"/>
      <c r="D484" s="379"/>
      <c r="E484" s="380"/>
      <c r="F484" s="378"/>
      <c r="G484" s="378"/>
      <c r="H484" s="378"/>
      <c r="I484" s="378"/>
      <c r="J484" s="378"/>
      <c r="K484" s="378"/>
      <c r="L484" s="378"/>
      <c r="M484" s="381"/>
      <c r="N484" s="381"/>
      <c r="O484" s="381"/>
      <c r="P484" s="381"/>
      <c r="Q484" s="381"/>
      <c r="R484" s="381"/>
      <c r="S484" s="381"/>
      <c r="T484" s="381"/>
      <c r="U484" s="381"/>
      <c r="V484" s="381"/>
      <c r="W484" s="381"/>
      <c r="X484" s="381"/>
      <c r="Y484" s="381"/>
      <c r="Z484" s="381"/>
      <c r="AA484" s="381"/>
      <c r="AB484" s="381"/>
      <c r="AC484" s="382"/>
      <c r="AD484" s="382"/>
    </row>
    <row r="485" spans="1:30" ht="12.75" customHeight="1" x14ac:dyDescent="0.2">
      <c r="A485" s="378"/>
      <c r="B485" s="378"/>
      <c r="C485" s="378"/>
      <c r="D485" s="379"/>
      <c r="E485" s="380"/>
      <c r="F485" s="378"/>
      <c r="G485" s="378"/>
      <c r="H485" s="378"/>
      <c r="I485" s="378"/>
      <c r="J485" s="378"/>
      <c r="K485" s="378"/>
      <c r="L485" s="378"/>
      <c r="M485" s="381"/>
      <c r="N485" s="381"/>
      <c r="O485" s="381"/>
      <c r="P485" s="381"/>
      <c r="Q485" s="381"/>
      <c r="R485" s="381"/>
      <c r="S485" s="381"/>
      <c r="T485" s="381"/>
      <c r="U485" s="381"/>
      <c r="V485" s="381"/>
      <c r="W485" s="381"/>
      <c r="X485" s="381"/>
      <c r="Y485" s="381"/>
      <c r="Z485" s="381"/>
      <c r="AA485" s="381"/>
      <c r="AB485" s="381"/>
      <c r="AC485" s="382"/>
      <c r="AD485" s="382"/>
    </row>
    <row r="486" spans="1:30" ht="12.75" customHeight="1" x14ac:dyDescent="0.2">
      <c r="A486" s="378"/>
      <c r="B486" s="378"/>
      <c r="C486" s="378"/>
      <c r="D486" s="379"/>
      <c r="E486" s="380"/>
      <c r="F486" s="378"/>
      <c r="G486" s="378"/>
      <c r="H486" s="378"/>
      <c r="I486" s="378"/>
      <c r="J486" s="378"/>
      <c r="K486" s="378"/>
      <c r="L486" s="378"/>
      <c r="M486" s="381"/>
      <c r="N486" s="381"/>
      <c r="O486" s="381"/>
      <c r="P486" s="381"/>
      <c r="Q486" s="381"/>
      <c r="R486" s="381"/>
      <c r="S486" s="381"/>
      <c r="T486" s="381"/>
      <c r="U486" s="381"/>
      <c r="V486" s="381"/>
      <c r="W486" s="381"/>
      <c r="X486" s="381"/>
      <c r="Y486" s="381"/>
      <c r="Z486" s="381"/>
      <c r="AA486" s="381"/>
      <c r="AB486" s="381"/>
      <c r="AC486" s="382"/>
      <c r="AD486" s="382"/>
    </row>
    <row r="487" spans="1:30" ht="12.75" customHeight="1" x14ac:dyDescent="0.2">
      <c r="A487" s="378"/>
      <c r="B487" s="378"/>
      <c r="C487" s="378"/>
      <c r="D487" s="379"/>
      <c r="E487" s="380"/>
      <c r="F487" s="378"/>
      <c r="G487" s="378"/>
      <c r="H487" s="378"/>
      <c r="I487" s="378"/>
      <c r="J487" s="378"/>
      <c r="K487" s="378"/>
      <c r="L487" s="378"/>
      <c r="M487" s="381"/>
      <c r="N487" s="381"/>
      <c r="O487" s="381"/>
      <c r="P487" s="381"/>
      <c r="Q487" s="381"/>
      <c r="R487" s="381"/>
      <c r="S487" s="381"/>
      <c r="T487" s="381"/>
      <c r="U487" s="381"/>
      <c r="V487" s="381"/>
      <c r="W487" s="381"/>
      <c r="X487" s="381"/>
      <c r="Y487" s="381"/>
      <c r="Z487" s="381"/>
      <c r="AA487" s="381"/>
      <c r="AB487" s="381"/>
      <c r="AC487" s="382"/>
      <c r="AD487" s="382"/>
    </row>
    <row r="488" spans="1:30" ht="12.75" customHeight="1" x14ac:dyDescent="0.2">
      <c r="A488" s="378"/>
      <c r="B488" s="378"/>
      <c r="C488" s="378"/>
      <c r="D488" s="379"/>
      <c r="E488" s="380"/>
      <c r="F488" s="378"/>
      <c r="G488" s="378"/>
      <c r="H488" s="378"/>
      <c r="I488" s="378"/>
      <c r="J488" s="378"/>
      <c r="K488" s="378"/>
      <c r="L488" s="378"/>
      <c r="M488" s="381"/>
      <c r="N488" s="381"/>
      <c r="O488" s="381"/>
      <c r="P488" s="381"/>
      <c r="Q488" s="381"/>
      <c r="R488" s="381"/>
      <c r="S488" s="381"/>
      <c r="T488" s="381"/>
      <c r="U488" s="381"/>
      <c r="V488" s="381"/>
      <c r="W488" s="381"/>
      <c r="X488" s="381"/>
      <c r="Y488" s="381"/>
      <c r="Z488" s="381"/>
      <c r="AA488" s="381"/>
      <c r="AB488" s="381"/>
      <c r="AC488" s="382"/>
      <c r="AD488" s="382"/>
    </row>
    <row r="489" spans="1:30" ht="12.75" customHeight="1" x14ac:dyDescent="0.2">
      <c r="A489" s="378"/>
      <c r="B489" s="378"/>
      <c r="C489" s="378"/>
      <c r="D489" s="379"/>
      <c r="E489" s="380"/>
      <c r="F489" s="378"/>
      <c r="G489" s="378"/>
      <c r="H489" s="378"/>
      <c r="I489" s="378"/>
      <c r="J489" s="378"/>
      <c r="K489" s="378"/>
      <c r="L489" s="378"/>
      <c r="M489" s="381"/>
      <c r="N489" s="381"/>
      <c r="O489" s="381"/>
      <c r="P489" s="381"/>
      <c r="Q489" s="381"/>
      <c r="R489" s="381"/>
      <c r="S489" s="381"/>
      <c r="T489" s="381"/>
      <c r="U489" s="381"/>
      <c r="V489" s="381"/>
      <c r="W489" s="381"/>
      <c r="X489" s="381"/>
      <c r="Y489" s="381"/>
      <c r="Z489" s="381"/>
      <c r="AA489" s="381"/>
      <c r="AB489" s="381"/>
      <c r="AC489" s="382"/>
      <c r="AD489" s="382"/>
    </row>
    <row r="490" spans="1:30" ht="12.75" customHeight="1" x14ac:dyDescent="0.2">
      <c r="A490" s="378"/>
      <c r="B490" s="378"/>
      <c r="C490" s="378"/>
      <c r="D490" s="379"/>
      <c r="E490" s="380"/>
      <c r="F490" s="378"/>
      <c r="G490" s="378"/>
      <c r="H490" s="378"/>
      <c r="I490" s="378"/>
      <c r="J490" s="378"/>
      <c r="K490" s="378"/>
      <c r="L490" s="378"/>
      <c r="M490" s="381"/>
      <c r="N490" s="381"/>
      <c r="O490" s="381"/>
      <c r="P490" s="381"/>
      <c r="Q490" s="381"/>
      <c r="R490" s="381"/>
      <c r="S490" s="381"/>
      <c r="T490" s="381"/>
      <c r="U490" s="381"/>
      <c r="V490" s="381"/>
      <c r="W490" s="381"/>
      <c r="X490" s="381"/>
      <c r="Y490" s="381"/>
      <c r="Z490" s="381"/>
      <c r="AA490" s="381"/>
      <c r="AB490" s="381"/>
      <c r="AC490" s="382"/>
      <c r="AD490" s="382"/>
    </row>
    <row r="491" spans="1:30" ht="12.75" customHeight="1" x14ac:dyDescent="0.2">
      <c r="A491" s="378"/>
      <c r="B491" s="378"/>
      <c r="C491" s="378"/>
      <c r="D491" s="379"/>
      <c r="E491" s="380"/>
      <c r="F491" s="378"/>
      <c r="G491" s="378"/>
      <c r="H491" s="378"/>
      <c r="I491" s="378"/>
      <c r="J491" s="378"/>
      <c r="K491" s="378"/>
      <c r="L491" s="378"/>
      <c r="M491" s="381"/>
      <c r="N491" s="381"/>
      <c r="O491" s="381"/>
      <c r="P491" s="381"/>
      <c r="Q491" s="381"/>
      <c r="R491" s="381"/>
      <c r="S491" s="381"/>
      <c r="T491" s="381"/>
      <c r="U491" s="381"/>
      <c r="V491" s="381"/>
      <c r="W491" s="381"/>
      <c r="X491" s="381"/>
      <c r="Y491" s="381"/>
      <c r="Z491" s="381"/>
      <c r="AA491" s="381"/>
      <c r="AB491" s="381"/>
      <c r="AC491" s="382"/>
      <c r="AD491" s="382"/>
    </row>
    <row r="492" spans="1:30" ht="12.75" customHeight="1" x14ac:dyDescent="0.2">
      <c r="A492" s="378"/>
      <c r="B492" s="378"/>
      <c r="C492" s="378"/>
      <c r="D492" s="379"/>
      <c r="E492" s="380"/>
      <c r="F492" s="378"/>
      <c r="G492" s="378"/>
      <c r="H492" s="378"/>
      <c r="I492" s="378"/>
      <c r="J492" s="378"/>
      <c r="K492" s="378"/>
      <c r="L492" s="378"/>
      <c r="M492" s="381"/>
      <c r="N492" s="381"/>
      <c r="O492" s="381"/>
      <c r="P492" s="381"/>
      <c r="Q492" s="381"/>
      <c r="R492" s="381"/>
      <c r="S492" s="381"/>
      <c r="T492" s="381"/>
      <c r="U492" s="381"/>
      <c r="V492" s="381"/>
      <c r="W492" s="381"/>
      <c r="X492" s="381"/>
      <c r="Y492" s="381"/>
      <c r="Z492" s="381"/>
      <c r="AA492" s="381"/>
      <c r="AB492" s="381"/>
      <c r="AC492" s="382"/>
      <c r="AD492" s="382"/>
    </row>
    <row r="493" spans="1:30" ht="12.75" customHeight="1" x14ac:dyDescent="0.2">
      <c r="A493" s="378"/>
      <c r="B493" s="378"/>
      <c r="C493" s="378"/>
      <c r="D493" s="379"/>
      <c r="E493" s="380"/>
      <c r="F493" s="378"/>
      <c r="G493" s="378"/>
      <c r="H493" s="378"/>
      <c r="I493" s="378"/>
      <c r="J493" s="378"/>
      <c r="K493" s="378"/>
      <c r="L493" s="378"/>
      <c r="M493" s="381"/>
      <c r="N493" s="381"/>
      <c r="O493" s="381"/>
      <c r="P493" s="381"/>
      <c r="Q493" s="381"/>
      <c r="R493" s="381"/>
      <c r="S493" s="381"/>
      <c r="T493" s="381"/>
      <c r="U493" s="381"/>
      <c r="V493" s="381"/>
      <c r="W493" s="381"/>
      <c r="X493" s="381"/>
      <c r="Y493" s="381"/>
      <c r="Z493" s="381"/>
      <c r="AA493" s="381"/>
      <c r="AB493" s="381"/>
      <c r="AC493" s="382"/>
      <c r="AD493" s="382"/>
    </row>
    <row r="494" spans="1:30" ht="12.75" customHeight="1" x14ac:dyDescent="0.2">
      <c r="A494" s="378"/>
      <c r="B494" s="378"/>
      <c r="C494" s="378"/>
      <c r="D494" s="379"/>
      <c r="E494" s="380"/>
      <c r="F494" s="378"/>
      <c r="G494" s="378"/>
      <c r="H494" s="378"/>
      <c r="I494" s="378"/>
      <c r="J494" s="378"/>
      <c r="K494" s="378"/>
      <c r="L494" s="378"/>
      <c r="M494" s="381"/>
      <c r="N494" s="381"/>
      <c r="O494" s="381"/>
      <c r="P494" s="381"/>
      <c r="Q494" s="381"/>
      <c r="R494" s="381"/>
      <c r="S494" s="381"/>
      <c r="T494" s="381"/>
      <c r="U494" s="381"/>
      <c r="V494" s="381"/>
      <c r="W494" s="381"/>
      <c r="X494" s="381"/>
      <c r="Y494" s="381"/>
      <c r="Z494" s="381"/>
      <c r="AA494" s="381"/>
      <c r="AB494" s="381"/>
      <c r="AC494" s="382"/>
      <c r="AD494" s="382"/>
    </row>
    <row r="495" spans="1:30" ht="12.75" customHeight="1" x14ac:dyDescent="0.2">
      <c r="A495" s="378"/>
      <c r="B495" s="378"/>
      <c r="C495" s="378"/>
      <c r="D495" s="379"/>
      <c r="E495" s="380"/>
      <c r="F495" s="378"/>
      <c r="G495" s="378"/>
      <c r="H495" s="378"/>
      <c r="I495" s="378"/>
      <c r="J495" s="378"/>
      <c r="K495" s="378"/>
      <c r="L495" s="378"/>
      <c r="M495" s="381"/>
      <c r="N495" s="381"/>
      <c r="O495" s="381"/>
      <c r="P495" s="381"/>
      <c r="Q495" s="381"/>
      <c r="R495" s="381"/>
      <c r="S495" s="381"/>
      <c r="T495" s="381"/>
      <c r="U495" s="381"/>
      <c r="V495" s="381"/>
      <c r="W495" s="381"/>
      <c r="X495" s="381"/>
      <c r="Y495" s="381"/>
      <c r="Z495" s="381"/>
      <c r="AA495" s="381"/>
      <c r="AB495" s="381"/>
      <c r="AC495" s="382"/>
      <c r="AD495" s="382"/>
    </row>
    <row r="496" spans="1:30" ht="12.75" customHeight="1" x14ac:dyDescent="0.2">
      <c r="A496" s="378"/>
      <c r="B496" s="378"/>
      <c r="C496" s="378"/>
      <c r="D496" s="379"/>
      <c r="E496" s="380"/>
      <c r="F496" s="378"/>
      <c r="G496" s="378"/>
      <c r="H496" s="378"/>
      <c r="I496" s="378"/>
      <c r="J496" s="378"/>
      <c r="K496" s="378"/>
      <c r="L496" s="378"/>
      <c r="M496" s="381"/>
      <c r="N496" s="381"/>
      <c r="O496" s="381"/>
      <c r="P496" s="381"/>
      <c r="Q496" s="381"/>
      <c r="R496" s="381"/>
      <c r="S496" s="381"/>
      <c r="T496" s="381"/>
      <c r="U496" s="381"/>
      <c r="V496" s="381"/>
      <c r="W496" s="381"/>
      <c r="X496" s="381"/>
      <c r="Y496" s="381"/>
      <c r="Z496" s="381"/>
      <c r="AA496" s="381"/>
      <c r="AB496" s="381"/>
      <c r="AC496" s="382"/>
      <c r="AD496" s="382"/>
    </row>
    <row r="497" spans="1:30" ht="12.75" customHeight="1" x14ac:dyDescent="0.2">
      <c r="A497" s="378"/>
      <c r="B497" s="378"/>
      <c r="C497" s="378"/>
      <c r="D497" s="379"/>
      <c r="E497" s="380"/>
      <c r="F497" s="378"/>
      <c r="G497" s="378"/>
      <c r="H497" s="378"/>
      <c r="I497" s="378"/>
      <c r="J497" s="378"/>
      <c r="K497" s="378"/>
      <c r="L497" s="378"/>
      <c r="M497" s="381"/>
      <c r="N497" s="381"/>
      <c r="O497" s="381"/>
      <c r="P497" s="381"/>
      <c r="Q497" s="381"/>
      <c r="R497" s="381"/>
      <c r="S497" s="381"/>
      <c r="T497" s="381"/>
      <c r="U497" s="381"/>
      <c r="V497" s="381"/>
      <c r="W497" s="381"/>
      <c r="X497" s="381"/>
      <c r="Y497" s="381"/>
      <c r="Z497" s="381"/>
      <c r="AA497" s="381"/>
      <c r="AB497" s="381"/>
      <c r="AC497" s="382"/>
      <c r="AD497" s="382"/>
    </row>
    <row r="498" spans="1:30" ht="12.75" customHeight="1" x14ac:dyDescent="0.2">
      <c r="A498" s="378"/>
      <c r="B498" s="378"/>
      <c r="C498" s="378"/>
      <c r="D498" s="379"/>
      <c r="E498" s="380"/>
      <c r="F498" s="378"/>
      <c r="G498" s="378"/>
      <c r="H498" s="378"/>
      <c r="I498" s="378"/>
      <c r="J498" s="378"/>
      <c r="K498" s="378"/>
      <c r="L498" s="378"/>
      <c r="M498" s="381"/>
      <c r="N498" s="381"/>
      <c r="O498" s="381"/>
      <c r="P498" s="381"/>
      <c r="Q498" s="381"/>
      <c r="R498" s="381"/>
      <c r="S498" s="381"/>
      <c r="T498" s="381"/>
      <c r="U498" s="381"/>
      <c r="V498" s="381"/>
      <c r="W498" s="381"/>
      <c r="X498" s="381"/>
      <c r="Y498" s="381"/>
      <c r="Z498" s="381"/>
      <c r="AA498" s="381"/>
      <c r="AB498" s="381"/>
      <c r="AC498" s="382"/>
      <c r="AD498" s="382"/>
    </row>
    <row r="499" spans="1:30" ht="12.75" customHeight="1" x14ac:dyDescent="0.2">
      <c r="A499" s="378"/>
      <c r="B499" s="378"/>
      <c r="C499" s="378"/>
      <c r="D499" s="379"/>
      <c r="E499" s="380"/>
      <c r="F499" s="378"/>
      <c r="G499" s="378"/>
      <c r="H499" s="378"/>
      <c r="I499" s="378"/>
      <c r="J499" s="378"/>
      <c r="K499" s="378"/>
      <c r="L499" s="378"/>
      <c r="M499" s="381"/>
      <c r="N499" s="381"/>
      <c r="O499" s="381"/>
      <c r="P499" s="381"/>
      <c r="Q499" s="381"/>
      <c r="R499" s="381"/>
      <c r="S499" s="381"/>
      <c r="T499" s="381"/>
      <c r="U499" s="381"/>
      <c r="V499" s="381"/>
      <c r="W499" s="381"/>
      <c r="X499" s="381"/>
      <c r="Y499" s="381"/>
      <c r="Z499" s="381"/>
      <c r="AA499" s="381"/>
      <c r="AB499" s="381"/>
      <c r="AC499" s="382"/>
      <c r="AD499" s="382"/>
    </row>
    <row r="500" spans="1:30" ht="12.75" customHeight="1" x14ac:dyDescent="0.2">
      <c r="A500" s="378"/>
      <c r="B500" s="378"/>
      <c r="C500" s="378"/>
      <c r="D500" s="379"/>
      <c r="E500" s="380"/>
      <c r="F500" s="378"/>
      <c r="G500" s="378"/>
      <c r="H500" s="378"/>
      <c r="I500" s="378"/>
      <c r="J500" s="378"/>
      <c r="K500" s="378"/>
      <c r="L500" s="378"/>
      <c r="M500" s="381"/>
      <c r="N500" s="381"/>
      <c r="O500" s="381"/>
      <c r="P500" s="381"/>
      <c r="Q500" s="381"/>
      <c r="R500" s="381"/>
      <c r="S500" s="381"/>
      <c r="T500" s="381"/>
      <c r="U500" s="381"/>
      <c r="V500" s="381"/>
      <c r="W500" s="381"/>
      <c r="X500" s="381"/>
      <c r="Y500" s="381"/>
      <c r="Z500" s="381"/>
      <c r="AA500" s="381"/>
      <c r="AB500" s="381"/>
      <c r="AC500" s="382"/>
      <c r="AD500" s="382"/>
    </row>
    <row r="501" spans="1:30" ht="12.75" customHeight="1" x14ac:dyDescent="0.2">
      <c r="A501" s="378"/>
      <c r="B501" s="378"/>
      <c r="C501" s="378"/>
      <c r="D501" s="379"/>
      <c r="E501" s="380"/>
      <c r="F501" s="378"/>
      <c r="G501" s="378"/>
      <c r="H501" s="378"/>
      <c r="I501" s="378"/>
      <c r="J501" s="378"/>
      <c r="K501" s="378"/>
      <c r="L501" s="378"/>
      <c r="M501" s="381"/>
      <c r="N501" s="381"/>
      <c r="O501" s="381"/>
      <c r="P501" s="381"/>
      <c r="Q501" s="381"/>
      <c r="R501" s="381"/>
      <c r="S501" s="381"/>
      <c r="T501" s="381"/>
      <c r="U501" s="381"/>
      <c r="V501" s="381"/>
      <c r="W501" s="381"/>
      <c r="X501" s="381"/>
      <c r="Y501" s="381"/>
      <c r="Z501" s="381"/>
      <c r="AA501" s="381"/>
      <c r="AB501" s="381"/>
      <c r="AC501" s="382"/>
      <c r="AD501" s="382"/>
    </row>
    <row r="502" spans="1:30" ht="12.75" customHeight="1" x14ac:dyDescent="0.2">
      <c r="A502" s="378"/>
      <c r="B502" s="378"/>
      <c r="C502" s="378"/>
      <c r="D502" s="379"/>
      <c r="E502" s="380"/>
      <c r="F502" s="378"/>
      <c r="G502" s="378"/>
      <c r="H502" s="378"/>
      <c r="I502" s="378"/>
      <c r="J502" s="378"/>
      <c r="K502" s="378"/>
      <c r="L502" s="378"/>
      <c r="M502" s="381"/>
      <c r="N502" s="381"/>
      <c r="O502" s="381"/>
      <c r="P502" s="381"/>
      <c r="Q502" s="381"/>
      <c r="R502" s="381"/>
      <c r="S502" s="381"/>
      <c r="T502" s="381"/>
      <c r="U502" s="381"/>
      <c r="V502" s="381"/>
      <c r="W502" s="381"/>
      <c r="X502" s="381"/>
      <c r="Y502" s="381"/>
      <c r="Z502" s="381"/>
      <c r="AA502" s="381"/>
      <c r="AB502" s="381"/>
      <c r="AC502" s="382"/>
      <c r="AD502" s="382"/>
    </row>
    <row r="503" spans="1:30" ht="12.75" customHeight="1" x14ac:dyDescent="0.2">
      <c r="A503" s="378"/>
      <c r="B503" s="378"/>
      <c r="C503" s="378"/>
      <c r="D503" s="379"/>
      <c r="E503" s="380"/>
      <c r="F503" s="378"/>
      <c r="G503" s="378"/>
      <c r="H503" s="378"/>
      <c r="I503" s="378"/>
      <c r="J503" s="378"/>
      <c r="K503" s="378"/>
      <c r="L503" s="378"/>
      <c r="M503" s="381"/>
      <c r="N503" s="381"/>
      <c r="O503" s="381"/>
      <c r="P503" s="381"/>
      <c r="Q503" s="381"/>
      <c r="R503" s="381"/>
      <c r="S503" s="381"/>
      <c r="T503" s="381"/>
      <c r="U503" s="381"/>
      <c r="V503" s="381"/>
      <c r="W503" s="381"/>
      <c r="X503" s="381"/>
      <c r="Y503" s="381"/>
      <c r="Z503" s="381"/>
      <c r="AA503" s="381"/>
      <c r="AB503" s="381"/>
      <c r="AC503" s="382"/>
      <c r="AD503" s="382"/>
    </row>
    <row r="504" spans="1:30" ht="12.75" customHeight="1" x14ac:dyDescent="0.2">
      <c r="A504" s="378"/>
      <c r="B504" s="378"/>
      <c r="C504" s="378"/>
      <c r="D504" s="379"/>
      <c r="E504" s="380"/>
      <c r="F504" s="378"/>
      <c r="G504" s="378"/>
      <c r="H504" s="378"/>
      <c r="I504" s="378"/>
      <c r="J504" s="378"/>
      <c r="K504" s="378"/>
      <c r="L504" s="378"/>
      <c r="M504" s="381"/>
      <c r="N504" s="381"/>
      <c r="O504" s="381"/>
      <c r="P504" s="381"/>
      <c r="Q504" s="381"/>
      <c r="R504" s="381"/>
      <c r="S504" s="381"/>
      <c r="T504" s="381"/>
      <c r="U504" s="381"/>
      <c r="V504" s="381"/>
      <c r="W504" s="381"/>
      <c r="X504" s="381"/>
      <c r="Y504" s="381"/>
      <c r="Z504" s="381"/>
      <c r="AA504" s="381"/>
      <c r="AB504" s="381"/>
      <c r="AC504" s="382"/>
      <c r="AD504" s="382"/>
    </row>
    <row r="505" spans="1:30" ht="12.75" customHeight="1" x14ac:dyDescent="0.2">
      <c r="A505" s="378"/>
      <c r="B505" s="378"/>
      <c r="C505" s="378"/>
      <c r="D505" s="379"/>
      <c r="E505" s="380"/>
      <c r="F505" s="378"/>
      <c r="G505" s="378"/>
      <c r="H505" s="378"/>
      <c r="I505" s="378"/>
      <c r="J505" s="378"/>
      <c r="K505" s="378"/>
      <c r="L505" s="378"/>
      <c r="M505" s="381"/>
      <c r="N505" s="381"/>
      <c r="O505" s="381"/>
      <c r="P505" s="381"/>
      <c r="Q505" s="381"/>
      <c r="R505" s="381"/>
      <c r="S505" s="381"/>
      <c r="T505" s="381"/>
      <c r="U505" s="381"/>
      <c r="V505" s="381"/>
      <c r="W505" s="381"/>
      <c r="X505" s="381"/>
      <c r="Y505" s="381"/>
      <c r="Z505" s="381"/>
      <c r="AA505" s="381"/>
      <c r="AB505" s="381"/>
      <c r="AC505" s="382"/>
      <c r="AD505" s="382"/>
    </row>
    <row r="506" spans="1:30" ht="12.75" customHeight="1" x14ac:dyDescent="0.2">
      <c r="A506" s="378"/>
      <c r="B506" s="378"/>
      <c r="C506" s="378"/>
      <c r="D506" s="379"/>
      <c r="E506" s="380"/>
      <c r="F506" s="378"/>
      <c r="G506" s="378"/>
      <c r="H506" s="378"/>
      <c r="I506" s="378"/>
      <c r="J506" s="378"/>
      <c r="K506" s="378"/>
      <c r="L506" s="378"/>
      <c r="M506" s="381"/>
      <c r="N506" s="381"/>
      <c r="O506" s="381"/>
      <c r="P506" s="381"/>
      <c r="Q506" s="381"/>
      <c r="R506" s="381"/>
      <c r="S506" s="381"/>
      <c r="T506" s="381"/>
      <c r="U506" s="381"/>
      <c r="V506" s="381"/>
      <c r="W506" s="381"/>
      <c r="X506" s="381"/>
      <c r="Y506" s="381"/>
      <c r="Z506" s="381"/>
      <c r="AA506" s="381"/>
      <c r="AB506" s="381"/>
      <c r="AC506" s="382"/>
      <c r="AD506" s="382"/>
    </row>
    <row r="507" spans="1:30" ht="12.75" customHeight="1" x14ac:dyDescent="0.2">
      <c r="A507" s="378"/>
      <c r="B507" s="378"/>
      <c r="C507" s="378"/>
      <c r="D507" s="379"/>
      <c r="E507" s="380"/>
      <c r="F507" s="378"/>
      <c r="G507" s="378"/>
      <c r="H507" s="378"/>
      <c r="I507" s="378"/>
      <c r="J507" s="378"/>
      <c r="K507" s="378"/>
      <c r="L507" s="378"/>
      <c r="M507" s="381"/>
      <c r="N507" s="381"/>
      <c r="O507" s="381"/>
      <c r="P507" s="381"/>
      <c r="Q507" s="381"/>
      <c r="R507" s="381"/>
      <c r="S507" s="381"/>
      <c r="T507" s="381"/>
      <c r="U507" s="381"/>
      <c r="V507" s="381"/>
      <c r="W507" s="381"/>
      <c r="X507" s="381"/>
      <c r="Y507" s="381"/>
      <c r="Z507" s="381"/>
      <c r="AA507" s="381"/>
      <c r="AB507" s="381"/>
      <c r="AC507" s="382"/>
      <c r="AD507" s="382"/>
    </row>
    <row r="508" spans="1:30" ht="12.75" customHeight="1" x14ac:dyDescent="0.2">
      <c r="A508" s="378"/>
      <c r="B508" s="378"/>
      <c r="C508" s="378"/>
      <c r="D508" s="379"/>
      <c r="E508" s="380"/>
      <c r="F508" s="378"/>
      <c r="G508" s="378"/>
      <c r="H508" s="378"/>
      <c r="I508" s="378"/>
      <c r="J508" s="378"/>
      <c r="K508" s="378"/>
      <c r="L508" s="378"/>
      <c r="M508" s="381"/>
      <c r="N508" s="381"/>
      <c r="O508" s="381"/>
      <c r="P508" s="381"/>
      <c r="Q508" s="381"/>
      <c r="R508" s="381"/>
      <c r="S508" s="381"/>
      <c r="T508" s="381"/>
      <c r="U508" s="381"/>
      <c r="V508" s="381"/>
      <c r="W508" s="381"/>
      <c r="X508" s="381"/>
      <c r="Y508" s="381"/>
      <c r="Z508" s="381"/>
      <c r="AA508" s="381"/>
      <c r="AB508" s="381"/>
      <c r="AC508" s="382"/>
      <c r="AD508" s="382"/>
    </row>
    <row r="509" spans="1:30" ht="12.75" customHeight="1" x14ac:dyDescent="0.2">
      <c r="A509" s="378"/>
      <c r="B509" s="378"/>
      <c r="C509" s="378"/>
      <c r="D509" s="379"/>
      <c r="E509" s="380"/>
      <c r="F509" s="378"/>
      <c r="G509" s="378"/>
      <c r="H509" s="378"/>
      <c r="I509" s="378"/>
      <c r="J509" s="378"/>
      <c r="K509" s="378"/>
      <c r="L509" s="378"/>
      <c r="M509" s="381"/>
      <c r="N509" s="381"/>
      <c r="O509" s="381"/>
      <c r="P509" s="381"/>
      <c r="Q509" s="381"/>
      <c r="R509" s="381"/>
      <c r="S509" s="381"/>
      <c r="T509" s="381"/>
      <c r="U509" s="381"/>
      <c r="V509" s="381"/>
      <c r="W509" s="381"/>
      <c r="X509" s="381"/>
      <c r="Y509" s="381"/>
      <c r="Z509" s="381"/>
      <c r="AA509" s="381"/>
      <c r="AB509" s="381"/>
      <c r="AC509" s="382"/>
      <c r="AD509" s="382"/>
    </row>
    <row r="510" spans="1:30" ht="12.75" customHeight="1" x14ac:dyDescent="0.2">
      <c r="A510" s="378"/>
      <c r="B510" s="378"/>
      <c r="C510" s="378"/>
      <c r="D510" s="379"/>
      <c r="E510" s="380"/>
      <c r="F510" s="378"/>
      <c r="G510" s="378"/>
      <c r="H510" s="378"/>
      <c r="I510" s="378"/>
      <c r="J510" s="378"/>
      <c r="K510" s="378"/>
      <c r="L510" s="378"/>
      <c r="M510" s="381"/>
      <c r="N510" s="381"/>
      <c r="O510" s="381"/>
      <c r="P510" s="381"/>
      <c r="Q510" s="381"/>
      <c r="R510" s="381"/>
      <c r="S510" s="381"/>
      <c r="T510" s="381"/>
      <c r="U510" s="381"/>
      <c r="V510" s="381"/>
      <c r="W510" s="381"/>
      <c r="X510" s="381"/>
      <c r="Y510" s="381"/>
      <c r="Z510" s="381"/>
      <c r="AA510" s="381"/>
      <c r="AB510" s="381"/>
      <c r="AC510" s="382"/>
      <c r="AD510" s="382"/>
    </row>
    <row r="511" spans="1:30" ht="12.75" customHeight="1" x14ac:dyDescent="0.2">
      <c r="A511" s="378"/>
      <c r="B511" s="378"/>
      <c r="C511" s="378"/>
      <c r="D511" s="379"/>
      <c r="E511" s="380"/>
      <c r="F511" s="378"/>
      <c r="G511" s="378"/>
      <c r="H511" s="378"/>
      <c r="I511" s="378"/>
      <c r="J511" s="378"/>
      <c r="K511" s="378"/>
      <c r="L511" s="378"/>
      <c r="M511" s="381"/>
      <c r="N511" s="381"/>
      <c r="O511" s="381"/>
      <c r="P511" s="381"/>
      <c r="Q511" s="381"/>
      <c r="R511" s="381"/>
      <c r="S511" s="381"/>
      <c r="T511" s="381"/>
      <c r="U511" s="381"/>
      <c r="V511" s="381"/>
      <c r="W511" s="381"/>
      <c r="X511" s="381"/>
      <c r="Y511" s="381"/>
      <c r="Z511" s="381"/>
      <c r="AA511" s="381"/>
      <c r="AB511" s="381"/>
      <c r="AC511" s="382"/>
      <c r="AD511" s="382"/>
    </row>
    <row r="512" spans="1:30" ht="12.75" customHeight="1" x14ac:dyDescent="0.2">
      <c r="A512" s="378"/>
      <c r="B512" s="378"/>
      <c r="C512" s="378"/>
      <c r="D512" s="379"/>
      <c r="E512" s="380"/>
      <c r="F512" s="378"/>
      <c r="G512" s="378"/>
      <c r="H512" s="378"/>
      <c r="I512" s="378"/>
      <c r="J512" s="378"/>
      <c r="K512" s="378"/>
      <c r="L512" s="378"/>
      <c r="M512" s="381"/>
      <c r="N512" s="381"/>
      <c r="O512" s="381"/>
      <c r="P512" s="381"/>
      <c r="Q512" s="381"/>
      <c r="R512" s="381"/>
      <c r="S512" s="381"/>
      <c r="T512" s="381"/>
      <c r="U512" s="381"/>
      <c r="V512" s="381"/>
      <c r="W512" s="381"/>
      <c r="X512" s="381"/>
      <c r="Y512" s="381"/>
      <c r="Z512" s="381"/>
      <c r="AA512" s="381"/>
      <c r="AB512" s="381"/>
      <c r="AC512" s="382"/>
      <c r="AD512" s="382"/>
    </row>
    <row r="513" spans="1:30" ht="12.75" customHeight="1" x14ac:dyDescent="0.2">
      <c r="A513" s="378"/>
      <c r="B513" s="378"/>
      <c r="C513" s="378"/>
      <c r="D513" s="379"/>
      <c r="E513" s="380"/>
      <c r="F513" s="378"/>
      <c r="G513" s="378"/>
      <c r="H513" s="378"/>
      <c r="I513" s="378"/>
      <c r="J513" s="378"/>
      <c r="K513" s="378"/>
      <c r="L513" s="378"/>
      <c r="M513" s="381"/>
      <c r="N513" s="381"/>
      <c r="O513" s="381"/>
      <c r="P513" s="381"/>
      <c r="Q513" s="381"/>
      <c r="R513" s="381"/>
      <c r="S513" s="381"/>
      <c r="T513" s="381"/>
      <c r="U513" s="381"/>
      <c r="V513" s="381"/>
      <c r="W513" s="381"/>
      <c r="X513" s="381"/>
      <c r="Y513" s="381"/>
      <c r="Z513" s="381"/>
      <c r="AA513" s="381"/>
      <c r="AB513" s="381"/>
      <c r="AC513" s="382"/>
      <c r="AD513" s="382"/>
    </row>
    <row r="514" spans="1:30" ht="12.75" customHeight="1" x14ac:dyDescent="0.2">
      <c r="A514" s="378"/>
      <c r="B514" s="378"/>
      <c r="C514" s="378"/>
      <c r="D514" s="379"/>
      <c r="E514" s="380"/>
      <c r="F514" s="378"/>
      <c r="G514" s="378"/>
      <c r="H514" s="378"/>
      <c r="I514" s="378"/>
      <c r="J514" s="378"/>
      <c r="K514" s="378"/>
      <c r="L514" s="378"/>
      <c r="M514" s="381"/>
      <c r="N514" s="381"/>
      <c r="O514" s="381"/>
      <c r="P514" s="381"/>
      <c r="Q514" s="381"/>
      <c r="R514" s="381"/>
      <c r="S514" s="381"/>
      <c r="T514" s="381"/>
      <c r="U514" s="381"/>
      <c r="V514" s="381"/>
      <c r="W514" s="381"/>
      <c r="X514" s="381"/>
      <c r="Y514" s="381"/>
      <c r="Z514" s="381"/>
      <c r="AA514" s="381"/>
      <c r="AB514" s="381"/>
      <c r="AC514" s="382"/>
      <c r="AD514" s="382"/>
    </row>
    <row r="515" spans="1:30" ht="12.75" customHeight="1" x14ac:dyDescent="0.2">
      <c r="A515" s="378"/>
      <c r="B515" s="378"/>
      <c r="C515" s="378"/>
      <c r="D515" s="379"/>
      <c r="E515" s="380"/>
      <c r="F515" s="378"/>
      <c r="G515" s="378"/>
      <c r="H515" s="378"/>
      <c r="I515" s="378"/>
      <c r="J515" s="378"/>
      <c r="K515" s="378"/>
      <c r="L515" s="378"/>
      <c r="M515" s="381"/>
      <c r="N515" s="381"/>
      <c r="O515" s="381"/>
      <c r="P515" s="381"/>
      <c r="Q515" s="381"/>
      <c r="R515" s="381"/>
      <c r="S515" s="381"/>
      <c r="T515" s="381"/>
      <c r="U515" s="381"/>
      <c r="V515" s="381"/>
      <c r="W515" s="381"/>
      <c r="X515" s="381"/>
      <c r="Y515" s="381"/>
      <c r="Z515" s="381"/>
      <c r="AA515" s="381"/>
      <c r="AB515" s="381"/>
      <c r="AC515" s="382"/>
      <c r="AD515" s="382"/>
    </row>
    <row r="516" spans="1:30" ht="12.75" customHeight="1" x14ac:dyDescent="0.2">
      <c r="A516" s="378"/>
      <c r="B516" s="378"/>
      <c r="C516" s="378"/>
      <c r="D516" s="379"/>
      <c r="E516" s="380"/>
      <c r="F516" s="378"/>
      <c r="G516" s="378"/>
      <c r="H516" s="378"/>
      <c r="I516" s="378"/>
      <c r="J516" s="378"/>
      <c r="K516" s="378"/>
      <c r="L516" s="378"/>
      <c r="M516" s="381"/>
      <c r="N516" s="381"/>
      <c r="O516" s="381"/>
      <c r="P516" s="381"/>
      <c r="Q516" s="381"/>
      <c r="R516" s="381"/>
      <c r="S516" s="381"/>
      <c r="T516" s="381"/>
      <c r="U516" s="381"/>
      <c r="V516" s="381"/>
      <c r="W516" s="381"/>
      <c r="X516" s="381"/>
      <c r="Y516" s="381"/>
      <c r="Z516" s="381"/>
      <c r="AA516" s="381"/>
      <c r="AB516" s="381"/>
      <c r="AC516" s="382"/>
      <c r="AD516" s="382"/>
    </row>
    <row r="517" spans="1:30" ht="12.75" customHeight="1" x14ac:dyDescent="0.2">
      <c r="A517" s="378"/>
      <c r="B517" s="378"/>
      <c r="C517" s="378"/>
      <c r="D517" s="379"/>
      <c r="E517" s="380"/>
      <c r="F517" s="378"/>
      <c r="G517" s="378"/>
      <c r="H517" s="378"/>
      <c r="I517" s="378"/>
      <c r="J517" s="378"/>
      <c r="K517" s="378"/>
      <c r="L517" s="378"/>
      <c r="M517" s="381"/>
      <c r="N517" s="381"/>
      <c r="O517" s="381"/>
      <c r="P517" s="381"/>
      <c r="Q517" s="381"/>
      <c r="R517" s="381"/>
      <c r="S517" s="381"/>
      <c r="T517" s="381"/>
      <c r="U517" s="381"/>
      <c r="V517" s="381"/>
      <c r="W517" s="381"/>
      <c r="X517" s="381"/>
      <c r="Y517" s="381"/>
      <c r="Z517" s="381"/>
      <c r="AA517" s="381"/>
      <c r="AB517" s="381"/>
      <c r="AC517" s="382"/>
      <c r="AD517" s="382"/>
    </row>
    <row r="518" spans="1:30" ht="12.75" customHeight="1" x14ac:dyDescent="0.2">
      <c r="A518" s="378"/>
      <c r="B518" s="378"/>
      <c r="C518" s="378"/>
      <c r="D518" s="379"/>
      <c r="E518" s="380"/>
      <c r="F518" s="378"/>
      <c r="G518" s="378"/>
      <c r="H518" s="378"/>
      <c r="I518" s="378"/>
      <c r="J518" s="378"/>
      <c r="K518" s="378"/>
      <c r="L518" s="378"/>
      <c r="M518" s="381"/>
      <c r="N518" s="381"/>
      <c r="O518" s="381"/>
      <c r="P518" s="381"/>
      <c r="Q518" s="381"/>
      <c r="R518" s="381"/>
      <c r="S518" s="381"/>
      <c r="T518" s="381"/>
      <c r="U518" s="381"/>
      <c r="V518" s="381"/>
      <c r="W518" s="381"/>
      <c r="X518" s="381"/>
      <c r="Y518" s="381"/>
      <c r="Z518" s="381"/>
      <c r="AA518" s="381"/>
      <c r="AB518" s="381"/>
      <c r="AC518" s="382"/>
      <c r="AD518" s="382"/>
    </row>
    <row r="519" spans="1:30" ht="12.75" customHeight="1" x14ac:dyDescent="0.2">
      <c r="A519" s="378"/>
      <c r="B519" s="378"/>
      <c r="C519" s="378"/>
      <c r="D519" s="379"/>
      <c r="E519" s="380"/>
      <c r="F519" s="378"/>
      <c r="G519" s="378"/>
      <c r="H519" s="378"/>
      <c r="I519" s="378"/>
      <c r="J519" s="378"/>
      <c r="K519" s="378"/>
      <c r="L519" s="378"/>
      <c r="M519" s="381"/>
      <c r="N519" s="381"/>
      <c r="O519" s="381"/>
      <c r="P519" s="381"/>
      <c r="Q519" s="381"/>
      <c r="R519" s="381"/>
      <c r="S519" s="381"/>
      <c r="T519" s="381"/>
      <c r="U519" s="381"/>
      <c r="V519" s="381"/>
      <c r="W519" s="381"/>
      <c r="X519" s="381"/>
      <c r="Y519" s="381"/>
      <c r="Z519" s="381"/>
      <c r="AA519" s="381"/>
      <c r="AB519" s="381"/>
      <c r="AC519" s="382"/>
      <c r="AD519" s="382"/>
    </row>
    <row r="520" spans="1:30" ht="12.75" customHeight="1" x14ac:dyDescent="0.2">
      <c r="A520" s="378"/>
      <c r="B520" s="378"/>
      <c r="C520" s="378"/>
      <c r="D520" s="379"/>
      <c r="E520" s="380"/>
      <c r="F520" s="378"/>
      <c r="G520" s="378"/>
      <c r="H520" s="378"/>
      <c r="I520" s="378"/>
      <c r="J520" s="378"/>
      <c r="K520" s="378"/>
      <c r="L520" s="378"/>
      <c r="M520" s="381"/>
      <c r="N520" s="381"/>
      <c r="O520" s="381"/>
      <c r="P520" s="381"/>
      <c r="Q520" s="381"/>
      <c r="R520" s="381"/>
      <c r="S520" s="381"/>
      <c r="T520" s="381"/>
      <c r="U520" s="381"/>
      <c r="V520" s="381"/>
      <c r="W520" s="381"/>
      <c r="X520" s="381"/>
      <c r="Y520" s="381"/>
      <c r="Z520" s="381"/>
      <c r="AA520" s="381"/>
      <c r="AB520" s="381"/>
      <c r="AC520" s="382"/>
      <c r="AD520" s="382"/>
    </row>
    <row r="521" spans="1:30" ht="12.75" customHeight="1" x14ac:dyDescent="0.2">
      <c r="A521" s="378"/>
      <c r="B521" s="378"/>
      <c r="C521" s="378"/>
      <c r="D521" s="379"/>
      <c r="E521" s="380"/>
      <c r="F521" s="378"/>
      <c r="G521" s="378"/>
      <c r="H521" s="378"/>
      <c r="I521" s="378"/>
      <c r="J521" s="378"/>
      <c r="K521" s="378"/>
      <c r="L521" s="378"/>
      <c r="M521" s="381"/>
      <c r="N521" s="381"/>
      <c r="O521" s="381"/>
      <c r="P521" s="381"/>
      <c r="Q521" s="381"/>
      <c r="R521" s="381"/>
      <c r="S521" s="381"/>
      <c r="T521" s="381"/>
      <c r="U521" s="381"/>
      <c r="V521" s="381"/>
      <c r="W521" s="381"/>
      <c r="X521" s="381"/>
      <c r="Y521" s="381"/>
      <c r="Z521" s="381"/>
      <c r="AA521" s="381"/>
      <c r="AB521" s="381"/>
      <c r="AC521" s="382"/>
      <c r="AD521" s="382"/>
    </row>
    <row r="522" spans="1:30" ht="12.75" customHeight="1" x14ac:dyDescent="0.2">
      <c r="A522" s="378"/>
      <c r="B522" s="378"/>
      <c r="C522" s="378"/>
      <c r="D522" s="379"/>
      <c r="E522" s="380"/>
      <c r="F522" s="378"/>
      <c r="G522" s="378"/>
      <c r="H522" s="378"/>
      <c r="I522" s="378"/>
      <c r="J522" s="378"/>
      <c r="K522" s="378"/>
      <c r="L522" s="378"/>
      <c r="M522" s="381"/>
      <c r="N522" s="381"/>
      <c r="O522" s="381"/>
      <c r="P522" s="381"/>
      <c r="Q522" s="381"/>
      <c r="R522" s="381"/>
      <c r="S522" s="381"/>
      <c r="T522" s="381"/>
      <c r="U522" s="381"/>
      <c r="V522" s="381"/>
      <c r="W522" s="381"/>
      <c r="X522" s="381"/>
      <c r="Y522" s="381"/>
      <c r="Z522" s="381"/>
      <c r="AA522" s="381"/>
      <c r="AB522" s="381"/>
      <c r="AC522" s="382"/>
      <c r="AD522" s="382"/>
    </row>
    <row r="523" spans="1:30" ht="12.75" customHeight="1" x14ac:dyDescent="0.2">
      <c r="A523" s="378"/>
      <c r="B523" s="378"/>
      <c r="C523" s="378"/>
      <c r="D523" s="379"/>
      <c r="E523" s="380"/>
      <c r="F523" s="378"/>
      <c r="G523" s="378"/>
      <c r="H523" s="378"/>
      <c r="I523" s="378"/>
      <c r="J523" s="378"/>
      <c r="K523" s="378"/>
      <c r="L523" s="378"/>
      <c r="M523" s="381"/>
      <c r="N523" s="381"/>
      <c r="O523" s="381"/>
      <c r="P523" s="381"/>
      <c r="Q523" s="381"/>
      <c r="R523" s="381"/>
      <c r="S523" s="381"/>
      <c r="T523" s="381"/>
      <c r="U523" s="381"/>
      <c r="V523" s="381"/>
      <c r="W523" s="381"/>
      <c r="X523" s="381"/>
      <c r="Y523" s="381"/>
      <c r="Z523" s="381"/>
      <c r="AA523" s="381"/>
      <c r="AB523" s="381"/>
      <c r="AC523" s="382"/>
      <c r="AD523" s="382"/>
    </row>
    <row r="524" spans="1:30" ht="12.75" customHeight="1" x14ac:dyDescent="0.2">
      <c r="A524" s="378"/>
      <c r="B524" s="378"/>
      <c r="C524" s="378"/>
      <c r="D524" s="379"/>
      <c r="E524" s="380"/>
      <c r="F524" s="378"/>
      <c r="G524" s="378"/>
      <c r="H524" s="378"/>
      <c r="I524" s="378"/>
      <c r="J524" s="378"/>
      <c r="K524" s="378"/>
      <c r="L524" s="378"/>
      <c r="M524" s="381"/>
      <c r="N524" s="381"/>
      <c r="O524" s="381"/>
      <c r="P524" s="381"/>
      <c r="Q524" s="381"/>
      <c r="R524" s="381"/>
      <c r="S524" s="381"/>
      <c r="T524" s="381"/>
      <c r="U524" s="381"/>
      <c r="V524" s="381"/>
      <c r="W524" s="381"/>
      <c r="X524" s="381"/>
      <c r="Y524" s="381"/>
      <c r="Z524" s="381"/>
      <c r="AA524" s="381"/>
      <c r="AB524" s="381"/>
      <c r="AC524" s="382"/>
      <c r="AD524" s="382"/>
    </row>
    <row r="525" spans="1:30" ht="12.75" customHeight="1" x14ac:dyDescent="0.2">
      <c r="A525" s="378"/>
      <c r="B525" s="378"/>
      <c r="C525" s="378"/>
      <c r="D525" s="379"/>
      <c r="E525" s="380"/>
      <c r="F525" s="378"/>
      <c r="G525" s="378"/>
      <c r="H525" s="378"/>
      <c r="I525" s="378"/>
      <c r="J525" s="378"/>
      <c r="K525" s="378"/>
      <c r="L525" s="378"/>
      <c r="M525" s="381"/>
      <c r="N525" s="381"/>
      <c r="O525" s="381"/>
      <c r="P525" s="381"/>
      <c r="Q525" s="381"/>
      <c r="R525" s="381"/>
      <c r="S525" s="381"/>
      <c r="T525" s="381"/>
      <c r="U525" s="381"/>
      <c r="V525" s="381"/>
      <c r="W525" s="381"/>
      <c r="X525" s="381"/>
      <c r="Y525" s="381"/>
      <c r="Z525" s="381"/>
      <c r="AA525" s="381"/>
      <c r="AB525" s="381"/>
      <c r="AC525" s="382"/>
      <c r="AD525" s="382"/>
    </row>
    <row r="526" spans="1:30" ht="12.75" customHeight="1" x14ac:dyDescent="0.2">
      <c r="A526" s="378"/>
      <c r="B526" s="378"/>
      <c r="C526" s="378"/>
      <c r="D526" s="379"/>
      <c r="E526" s="380"/>
      <c r="F526" s="378"/>
      <c r="G526" s="378"/>
      <c r="H526" s="378"/>
      <c r="I526" s="378"/>
      <c r="J526" s="378"/>
      <c r="K526" s="378"/>
      <c r="L526" s="378"/>
      <c r="M526" s="381"/>
      <c r="N526" s="381"/>
      <c r="O526" s="381"/>
      <c r="P526" s="381"/>
      <c r="Q526" s="381"/>
      <c r="R526" s="381"/>
      <c r="S526" s="381"/>
      <c r="T526" s="381"/>
      <c r="U526" s="381"/>
      <c r="V526" s="381"/>
      <c r="W526" s="381"/>
      <c r="X526" s="381"/>
      <c r="Y526" s="381"/>
      <c r="Z526" s="381"/>
      <c r="AA526" s="381"/>
      <c r="AB526" s="381"/>
      <c r="AC526" s="382"/>
      <c r="AD526" s="382"/>
    </row>
    <row r="527" spans="1:30" ht="12.75" customHeight="1" x14ac:dyDescent="0.2">
      <c r="A527" s="378"/>
      <c r="B527" s="378"/>
      <c r="C527" s="378"/>
      <c r="D527" s="379"/>
      <c r="E527" s="380"/>
      <c r="F527" s="378"/>
      <c r="G527" s="378"/>
      <c r="H527" s="378"/>
      <c r="I527" s="378"/>
      <c r="J527" s="378"/>
      <c r="K527" s="378"/>
      <c r="L527" s="378"/>
      <c r="M527" s="381"/>
      <c r="N527" s="381"/>
      <c r="O527" s="381"/>
      <c r="P527" s="381"/>
      <c r="Q527" s="381"/>
      <c r="R527" s="381"/>
      <c r="S527" s="381"/>
      <c r="T527" s="381"/>
      <c r="U527" s="381"/>
      <c r="V527" s="381"/>
      <c r="W527" s="381"/>
      <c r="X527" s="381"/>
      <c r="Y527" s="381"/>
      <c r="Z527" s="381"/>
      <c r="AA527" s="381"/>
      <c r="AB527" s="381"/>
      <c r="AC527" s="382"/>
      <c r="AD527" s="382"/>
    </row>
    <row r="528" spans="1:30" ht="12.75" customHeight="1" x14ac:dyDescent="0.2">
      <c r="A528" s="378"/>
      <c r="B528" s="378"/>
      <c r="C528" s="378"/>
      <c r="D528" s="379"/>
      <c r="E528" s="380"/>
      <c r="F528" s="378"/>
      <c r="G528" s="378"/>
      <c r="H528" s="378"/>
      <c r="I528" s="378"/>
      <c r="J528" s="378"/>
      <c r="K528" s="378"/>
      <c r="L528" s="378"/>
      <c r="M528" s="381"/>
      <c r="N528" s="381"/>
      <c r="O528" s="381"/>
      <c r="P528" s="381"/>
      <c r="Q528" s="381"/>
      <c r="R528" s="381"/>
      <c r="S528" s="381"/>
      <c r="T528" s="381"/>
      <c r="U528" s="381"/>
      <c r="V528" s="381"/>
      <c r="W528" s="381"/>
      <c r="X528" s="381"/>
      <c r="Y528" s="381"/>
      <c r="Z528" s="381"/>
      <c r="AA528" s="381"/>
      <c r="AB528" s="381"/>
      <c r="AC528" s="382"/>
      <c r="AD528" s="382"/>
    </row>
    <row r="529" spans="1:30" ht="12.75" customHeight="1" x14ac:dyDescent="0.2">
      <c r="A529" s="378"/>
      <c r="B529" s="378"/>
      <c r="C529" s="378"/>
      <c r="D529" s="379"/>
      <c r="E529" s="380"/>
      <c r="F529" s="378"/>
      <c r="G529" s="378"/>
      <c r="H529" s="378"/>
      <c r="I529" s="378"/>
      <c r="J529" s="378"/>
      <c r="K529" s="378"/>
      <c r="L529" s="378"/>
      <c r="M529" s="381"/>
      <c r="N529" s="381"/>
      <c r="O529" s="381"/>
      <c r="P529" s="381"/>
      <c r="Q529" s="381"/>
      <c r="R529" s="381"/>
      <c r="S529" s="381"/>
      <c r="T529" s="381"/>
      <c r="U529" s="381"/>
      <c r="V529" s="381"/>
      <c r="W529" s="381"/>
      <c r="X529" s="381"/>
      <c r="Y529" s="381"/>
      <c r="Z529" s="381"/>
      <c r="AA529" s="381"/>
      <c r="AB529" s="381"/>
      <c r="AC529" s="382"/>
      <c r="AD529" s="382"/>
    </row>
    <row r="530" spans="1:30" ht="12.75" customHeight="1" x14ac:dyDescent="0.2">
      <c r="A530" s="378"/>
      <c r="B530" s="378"/>
      <c r="C530" s="378"/>
      <c r="D530" s="379"/>
      <c r="E530" s="380"/>
      <c r="F530" s="378"/>
      <c r="G530" s="378"/>
      <c r="H530" s="378"/>
      <c r="I530" s="378"/>
      <c r="J530" s="378"/>
      <c r="K530" s="378"/>
      <c r="L530" s="378"/>
      <c r="M530" s="381"/>
      <c r="N530" s="381"/>
      <c r="O530" s="381"/>
      <c r="P530" s="381"/>
      <c r="Q530" s="381"/>
      <c r="R530" s="381"/>
      <c r="S530" s="381"/>
      <c r="T530" s="381"/>
      <c r="U530" s="381"/>
      <c r="V530" s="381"/>
      <c r="W530" s="381"/>
      <c r="X530" s="381"/>
      <c r="Y530" s="381"/>
      <c r="Z530" s="381"/>
      <c r="AA530" s="381"/>
      <c r="AB530" s="381"/>
      <c r="AC530" s="382"/>
      <c r="AD530" s="382"/>
    </row>
    <row r="531" spans="1:30" ht="12.75" customHeight="1" x14ac:dyDescent="0.2">
      <c r="A531" s="378"/>
      <c r="B531" s="378"/>
      <c r="C531" s="378"/>
      <c r="D531" s="379"/>
      <c r="E531" s="380"/>
      <c r="F531" s="378"/>
      <c r="G531" s="378"/>
      <c r="H531" s="378"/>
      <c r="I531" s="378"/>
      <c r="J531" s="378"/>
      <c r="K531" s="378"/>
      <c r="L531" s="378"/>
      <c r="M531" s="381"/>
      <c r="N531" s="381"/>
      <c r="O531" s="381"/>
      <c r="P531" s="381"/>
      <c r="Q531" s="381"/>
      <c r="R531" s="381"/>
      <c r="S531" s="381"/>
      <c r="T531" s="381"/>
      <c r="U531" s="381"/>
      <c r="V531" s="381"/>
      <c r="W531" s="381"/>
      <c r="X531" s="381"/>
      <c r="Y531" s="381"/>
      <c r="Z531" s="381"/>
      <c r="AA531" s="381"/>
      <c r="AB531" s="381"/>
      <c r="AC531" s="382"/>
      <c r="AD531" s="382"/>
    </row>
    <row r="532" spans="1:30" ht="12.75" customHeight="1" x14ac:dyDescent="0.2">
      <c r="A532" s="378"/>
      <c r="B532" s="378"/>
      <c r="C532" s="378"/>
      <c r="D532" s="379"/>
      <c r="E532" s="380"/>
      <c r="F532" s="378"/>
      <c r="G532" s="378"/>
      <c r="H532" s="378"/>
      <c r="I532" s="378"/>
      <c r="J532" s="378"/>
      <c r="K532" s="378"/>
      <c r="L532" s="378"/>
      <c r="M532" s="381"/>
      <c r="N532" s="381"/>
      <c r="O532" s="381"/>
      <c r="P532" s="381"/>
      <c r="Q532" s="381"/>
      <c r="R532" s="381"/>
      <c r="S532" s="381"/>
      <c r="T532" s="381"/>
      <c r="U532" s="381"/>
      <c r="V532" s="381"/>
      <c r="W532" s="381"/>
      <c r="X532" s="381"/>
      <c r="Y532" s="381"/>
      <c r="Z532" s="381"/>
      <c r="AA532" s="381"/>
      <c r="AB532" s="381"/>
      <c r="AC532" s="382"/>
      <c r="AD532" s="382"/>
    </row>
    <row r="533" spans="1:30" ht="12.75" customHeight="1" x14ac:dyDescent="0.2">
      <c r="A533" s="378"/>
      <c r="B533" s="378"/>
      <c r="C533" s="378"/>
      <c r="D533" s="379"/>
      <c r="E533" s="380"/>
      <c r="F533" s="378"/>
      <c r="G533" s="378"/>
      <c r="H533" s="378"/>
      <c r="I533" s="378"/>
      <c r="J533" s="378"/>
      <c r="K533" s="378"/>
      <c r="L533" s="378"/>
      <c r="M533" s="381"/>
      <c r="N533" s="381"/>
      <c r="O533" s="381"/>
      <c r="P533" s="381"/>
      <c r="Q533" s="381"/>
      <c r="R533" s="381"/>
      <c r="S533" s="381"/>
      <c r="T533" s="381"/>
      <c r="U533" s="381"/>
      <c r="V533" s="381"/>
      <c r="W533" s="381"/>
      <c r="X533" s="381"/>
      <c r="Y533" s="381"/>
      <c r="Z533" s="381"/>
      <c r="AA533" s="381"/>
      <c r="AB533" s="381"/>
      <c r="AC533" s="382"/>
      <c r="AD533" s="382"/>
    </row>
    <row r="534" spans="1:30" ht="12.75" customHeight="1" x14ac:dyDescent="0.2">
      <c r="A534" s="378"/>
      <c r="B534" s="378"/>
      <c r="C534" s="378"/>
      <c r="D534" s="379"/>
      <c r="E534" s="380"/>
      <c r="F534" s="378"/>
      <c r="G534" s="378"/>
      <c r="H534" s="378"/>
      <c r="I534" s="378"/>
      <c r="J534" s="378"/>
      <c r="K534" s="378"/>
      <c r="L534" s="378"/>
      <c r="M534" s="381"/>
      <c r="N534" s="381"/>
      <c r="O534" s="381"/>
      <c r="P534" s="381"/>
      <c r="Q534" s="381"/>
      <c r="R534" s="381"/>
      <c r="S534" s="381"/>
      <c r="T534" s="381"/>
      <c r="U534" s="381"/>
      <c r="V534" s="381"/>
      <c r="W534" s="381"/>
      <c r="X534" s="381"/>
      <c r="Y534" s="381"/>
      <c r="Z534" s="381"/>
      <c r="AA534" s="381"/>
      <c r="AB534" s="381"/>
      <c r="AC534" s="382"/>
      <c r="AD534" s="382"/>
    </row>
    <row r="535" spans="1:30" ht="12.75" customHeight="1" x14ac:dyDescent="0.2">
      <c r="A535" s="378"/>
      <c r="B535" s="378"/>
      <c r="C535" s="378"/>
      <c r="D535" s="379"/>
      <c r="E535" s="380"/>
      <c r="F535" s="378"/>
      <c r="G535" s="378"/>
      <c r="H535" s="378"/>
      <c r="I535" s="378"/>
      <c r="J535" s="378"/>
      <c r="K535" s="378"/>
      <c r="L535" s="378"/>
      <c r="M535" s="381"/>
      <c r="N535" s="381"/>
      <c r="O535" s="381"/>
      <c r="P535" s="381"/>
      <c r="Q535" s="381"/>
      <c r="R535" s="381"/>
      <c r="S535" s="381"/>
      <c r="T535" s="381"/>
      <c r="U535" s="381"/>
      <c r="V535" s="381"/>
      <c r="W535" s="381"/>
      <c r="X535" s="381"/>
      <c r="Y535" s="381"/>
      <c r="Z535" s="381"/>
      <c r="AA535" s="381"/>
      <c r="AB535" s="381"/>
      <c r="AC535" s="382"/>
      <c r="AD535" s="382"/>
    </row>
    <row r="536" spans="1:30" ht="12.75" customHeight="1" x14ac:dyDescent="0.2">
      <c r="A536" s="378"/>
      <c r="B536" s="378"/>
      <c r="C536" s="378"/>
      <c r="D536" s="379"/>
      <c r="E536" s="380"/>
      <c r="F536" s="378"/>
      <c r="G536" s="378"/>
      <c r="H536" s="378"/>
      <c r="I536" s="378"/>
      <c r="J536" s="378"/>
      <c r="K536" s="378"/>
      <c r="L536" s="378"/>
      <c r="M536" s="381"/>
      <c r="N536" s="381"/>
      <c r="O536" s="381"/>
      <c r="P536" s="381"/>
      <c r="Q536" s="381"/>
      <c r="R536" s="381"/>
      <c r="S536" s="381"/>
      <c r="T536" s="381"/>
      <c r="U536" s="381"/>
      <c r="V536" s="381"/>
      <c r="W536" s="381"/>
      <c r="X536" s="381"/>
      <c r="Y536" s="381"/>
      <c r="Z536" s="381"/>
      <c r="AA536" s="381"/>
      <c r="AB536" s="381"/>
      <c r="AC536" s="382"/>
      <c r="AD536" s="382"/>
    </row>
    <row r="537" spans="1:30" ht="12.75" customHeight="1" x14ac:dyDescent="0.2">
      <c r="A537" s="378"/>
      <c r="B537" s="378"/>
      <c r="C537" s="378"/>
      <c r="D537" s="379"/>
      <c r="E537" s="380"/>
      <c r="F537" s="378"/>
      <c r="G537" s="378"/>
      <c r="H537" s="378"/>
      <c r="I537" s="378"/>
      <c r="J537" s="378"/>
      <c r="K537" s="378"/>
      <c r="L537" s="378"/>
      <c r="M537" s="381"/>
      <c r="N537" s="381"/>
      <c r="O537" s="381"/>
      <c r="P537" s="381"/>
      <c r="Q537" s="381"/>
      <c r="R537" s="381"/>
      <c r="S537" s="381"/>
      <c r="T537" s="381"/>
      <c r="U537" s="381"/>
      <c r="V537" s="381"/>
      <c r="W537" s="381"/>
      <c r="X537" s="381"/>
      <c r="Y537" s="381"/>
      <c r="Z537" s="381"/>
      <c r="AA537" s="381"/>
      <c r="AB537" s="381"/>
      <c r="AC537" s="382"/>
      <c r="AD537" s="382"/>
    </row>
    <row r="538" spans="1:30" ht="12.75" customHeight="1" x14ac:dyDescent="0.2">
      <c r="A538" s="378"/>
      <c r="B538" s="378"/>
      <c r="C538" s="378"/>
      <c r="D538" s="379"/>
      <c r="E538" s="380"/>
      <c r="F538" s="378"/>
      <c r="G538" s="378"/>
      <c r="H538" s="378"/>
      <c r="I538" s="378"/>
      <c r="J538" s="378"/>
      <c r="K538" s="378"/>
      <c r="L538" s="378"/>
      <c r="M538" s="381"/>
      <c r="N538" s="381"/>
      <c r="O538" s="381"/>
      <c r="P538" s="381"/>
      <c r="Q538" s="381"/>
      <c r="R538" s="381"/>
      <c r="S538" s="381"/>
      <c r="T538" s="381"/>
      <c r="U538" s="381"/>
      <c r="V538" s="381"/>
      <c r="W538" s="381"/>
      <c r="X538" s="381"/>
      <c r="Y538" s="381"/>
      <c r="Z538" s="381"/>
      <c r="AA538" s="381"/>
      <c r="AB538" s="381"/>
      <c r="AC538" s="382"/>
      <c r="AD538" s="382"/>
    </row>
    <row r="539" spans="1:30" ht="12.75" customHeight="1" x14ac:dyDescent="0.2">
      <c r="A539" s="378"/>
      <c r="B539" s="378"/>
      <c r="C539" s="378"/>
      <c r="D539" s="379"/>
      <c r="E539" s="380"/>
      <c r="F539" s="378"/>
      <c r="G539" s="378"/>
      <c r="H539" s="378"/>
      <c r="I539" s="378"/>
      <c r="J539" s="378"/>
      <c r="K539" s="378"/>
      <c r="L539" s="378"/>
      <c r="M539" s="381"/>
      <c r="N539" s="381"/>
      <c r="O539" s="381"/>
      <c r="P539" s="381"/>
      <c r="Q539" s="381"/>
      <c r="R539" s="381"/>
      <c r="S539" s="381"/>
      <c r="T539" s="381"/>
      <c r="U539" s="381"/>
      <c r="V539" s="381"/>
      <c r="W539" s="381"/>
      <c r="X539" s="381"/>
      <c r="Y539" s="381"/>
      <c r="Z539" s="381"/>
      <c r="AA539" s="381"/>
      <c r="AB539" s="381"/>
      <c r="AC539" s="382"/>
      <c r="AD539" s="382"/>
    </row>
    <row r="540" spans="1:30" ht="12.75" customHeight="1" x14ac:dyDescent="0.2">
      <c r="A540" s="378"/>
      <c r="B540" s="378"/>
      <c r="C540" s="378"/>
      <c r="D540" s="379"/>
      <c r="E540" s="380"/>
      <c r="F540" s="378"/>
      <c r="G540" s="378"/>
      <c r="H540" s="378"/>
      <c r="I540" s="378"/>
      <c r="J540" s="378"/>
      <c r="K540" s="378"/>
      <c r="L540" s="378"/>
      <c r="M540" s="381"/>
      <c r="N540" s="381"/>
      <c r="O540" s="381"/>
      <c r="P540" s="381"/>
      <c r="Q540" s="381"/>
      <c r="R540" s="381"/>
      <c r="S540" s="381"/>
      <c r="T540" s="381"/>
      <c r="U540" s="381"/>
      <c r="V540" s="381"/>
      <c r="W540" s="381"/>
      <c r="X540" s="381"/>
      <c r="Y540" s="381"/>
      <c r="Z540" s="381"/>
      <c r="AA540" s="381"/>
      <c r="AB540" s="381"/>
      <c r="AC540" s="382"/>
      <c r="AD540" s="382"/>
    </row>
    <row r="541" spans="1:30" ht="12.75" customHeight="1" x14ac:dyDescent="0.2">
      <c r="A541" s="378"/>
      <c r="B541" s="378"/>
      <c r="C541" s="378"/>
      <c r="D541" s="379"/>
      <c r="E541" s="380"/>
      <c r="F541" s="378"/>
      <c r="G541" s="378"/>
      <c r="H541" s="378"/>
      <c r="I541" s="378"/>
      <c r="J541" s="378"/>
      <c r="K541" s="378"/>
      <c r="L541" s="378"/>
      <c r="M541" s="381"/>
      <c r="N541" s="381"/>
      <c r="O541" s="381"/>
      <c r="P541" s="381"/>
      <c r="Q541" s="381"/>
      <c r="R541" s="381"/>
      <c r="S541" s="381"/>
      <c r="T541" s="381"/>
      <c r="U541" s="381"/>
      <c r="V541" s="381"/>
      <c r="W541" s="381"/>
      <c r="X541" s="381"/>
      <c r="Y541" s="381"/>
      <c r="Z541" s="381"/>
      <c r="AA541" s="381"/>
      <c r="AB541" s="381"/>
      <c r="AC541" s="382"/>
      <c r="AD541" s="382"/>
    </row>
    <row r="542" spans="1:30" ht="12.75" customHeight="1" x14ac:dyDescent="0.2">
      <c r="A542" s="378"/>
      <c r="B542" s="378"/>
      <c r="C542" s="378"/>
      <c r="D542" s="379"/>
      <c r="E542" s="380"/>
      <c r="F542" s="378"/>
      <c r="G542" s="378"/>
      <c r="H542" s="378"/>
      <c r="I542" s="378"/>
      <c r="J542" s="378"/>
      <c r="K542" s="378"/>
      <c r="L542" s="378"/>
      <c r="M542" s="381"/>
      <c r="N542" s="381"/>
      <c r="O542" s="381"/>
      <c r="P542" s="381"/>
      <c r="Q542" s="381"/>
      <c r="R542" s="381"/>
      <c r="S542" s="381"/>
      <c r="T542" s="381"/>
      <c r="U542" s="381"/>
      <c r="V542" s="381"/>
      <c r="W542" s="381"/>
      <c r="X542" s="381"/>
      <c r="Y542" s="381"/>
      <c r="Z542" s="381"/>
      <c r="AA542" s="381"/>
      <c r="AB542" s="381"/>
      <c r="AC542" s="382"/>
      <c r="AD542" s="382"/>
    </row>
    <row r="543" spans="1:30" ht="12.75" customHeight="1" x14ac:dyDescent="0.2">
      <c r="A543" s="378"/>
      <c r="B543" s="378"/>
      <c r="C543" s="378"/>
      <c r="D543" s="379"/>
      <c r="E543" s="380"/>
      <c r="F543" s="378"/>
      <c r="G543" s="378"/>
      <c r="H543" s="378"/>
      <c r="I543" s="378"/>
      <c r="J543" s="378"/>
      <c r="K543" s="378"/>
      <c r="L543" s="378"/>
      <c r="M543" s="381"/>
      <c r="N543" s="381"/>
      <c r="O543" s="381"/>
      <c r="P543" s="381"/>
      <c r="Q543" s="381"/>
      <c r="R543" s="381"/>
      <c r="S543" s="381"/>
      <c r="T543" s="381"/>
      <c r="U543" s="381"/>
      <c r="V543" s="381"/>
      <c r="W543" s="381"/>
      <c r="X543" s="381"/>
      <c r="Y543" s="381"/>
      <c r="Z543" s="381"/>
      <c r="AA543" s="381"/>
      <c r="AB543" s="381"/>
      <c r="AC543" s="382"/>
      <c r="AD543" s="382"/>
    </row>
    <row r="544" spans="1:30" ht="12.75" customHeight="1" x14ac:dyDescent="0.2">
      <c r="A544" s="378"/>
      <c r="B544" s="378"/>
      <c r="C544" s="378"/>
      <c r="D544" s="379"/>
      <c r="E544" s="380"/>
      <c r="F544" s="378"/>
      <c r="G544" s="378"/>
      <c r="H544" s="378"/>
      <c r="I544" s="378"/>
      <c r="J544" s="378"/>
      <c r="K544" s="378"/>
      <c r="L544" s="378"/>
      <c r="M544" s="381"/>
      <c r="N544" s="381"/>
      <c r="O544" s="381"/>
      <c r="P544" s="381"/>
      <c r="Q544" s="381"/>
      <c r="R544" s="381"/>
      <c r="S544" s="381"/>
      <c r="T544" s="381"/>
      <c r="U544" s="381"/>
      <c r="V544" s="381"/>
      <c r="W544" s="381"/>
      <c r="X544" s="381"/>
      <c r="Y544" s="381"/>
      <c r="Z544" s="381"/>
      <c r="AA544" s="381"/>
      <c r="AB544" s="381"/>
      <c r="AC544" s="382"/>
      <c r="AD544" s="382"/>
    </row>
    <row r="545" spans="1:30" ht="12.75" customHeight="1" x14ac:dyDescent="0.2">
      <c r="A545" s="378"/>
      <c r="B545" s="378"/>
      <c r="C545" s="378"/>
      <c r="D545" s="379"/>
      <c r="E545" s="380"/>
      <c r="F545" s="378"/>
      <c r="G545" s="378"/>
      <c r="H545" s="378"/>
      <c r="I545" s="378"/>
      <c r="J545" s="378"/>
      <c r="K545" s="378"/>
      <c r="L545" s="378"/>
      <c r="M545" s="381"/>
      <c r="N545" s="381"/>
      <c r="O545" s="381"/>
      <c r="P545" s="381"/>
      <c r="Q545" s="381"/>
      <c r="R545" s="381"/>
      <c r="S545" s="381"/>
      <c r="T545" s="381"/>
      <c r="U545" s="381"/>
      <c r="V545" s="381"/>
      <c r="W545" s="381"/>
      <c r="X545" s="381"/>
      <c r="Y545" s="381"/>
      <c r="Z545" s="381"/>
      <c r="AA545" s="381"/>
      <c r="AB545" s="381"/>
      <c r="AC545" s="382"/>
      <c r="AD545" s="382"/>
    </row>
    <row r="546" spans="1:30" ht="12.75" customHeight="1" x14ac:dyDescent="0.2">
      <c r="A546" s="378"/>
      <c r="B546" s="378"/>
      <c r="C546" s="378"/>
      <c r="D546" s="379"/>
      <c r="E546" s="380"/>
      <c r="F546" s="378"/>
      <c r="G546" s="378"/>
      <c r="H546" s="378"/>
      <c r="I546" s="378"/>
      <c r="J546" s="378"/>
      <c r="K546" s="378"/>
      <c r="L546" s="378"/>
      <c r="M546" s="381"/>
      <c r="N546" s="381"/>
      <c r="O546" s="381"/>
      <c r="P546" s="381"/>
      <c r="Q546" s="381"/>
      <c r="R546" s="381"/>
      <c r="S546" s="381"/>
      <c r="T546" s="381"/>
      <c r="U546" s="381"/>
      <c r="V546" s="381"/>
      <c r="W546" s="381"/>
      <c r="X546" s="381"/>
      <c r="Y546" s="381"/>
      <c r="Z546" s="381"/>
      <c r="AA546" s="381"/>
      <c r="AB546" s="381"/>
      <c r="AC546" s="382"/>
      <c r="AD546" s="382"/>
    </row>
    <row r="547" spans="1:30" ht="12.75" customHeight="1" x14ac:dyDescent="0.2">
      <c r="A547" s="378"/>
      <c r="B547" s="378"/>
      <c r="C547" s="378"/>
      <c r="D547" s="379"/>
      <c r="E547" s="380"/>
      <c r="F547" s="378"/>
      <c r="G547" s="378"/>
      <c r="H547" s="378"/>
      <c r="I547" s="378"/>
      <c r="J547" s="378"/>
      <c r="K547" s="378"/>
      <c r="L547" s="378"/>
      <c r="M547" s="381"/>
      <c r="N547" s="381"/>
      <c r="O547" s="381"/>
      <c r="P547" s="381"/>
      <c r="Q547" s="381"/>
      <c r="R547" s="381"/>
      <c r="S547" s="381"/>
      <c r="T547" s="381"/>
      <c r="U547" s="381"/>
      <c r="V547" s="381"/>
      <c r="W547" s="381"/>
      <c r="X547" s="381"/>
      <c r="Y547" s="381"/>
      <c r="Z547" s="381"/>
      <c r="AA547" s="381"/>
      <c r="AB547" s="381"/>
      <c r="AC547" s="382"/>
      <c r="AD547" s="382"/>
    </row>
    <row r="548" spans="1:30" ht="12.75" customHeight="1" x14ac:dyDescent="0.2">
      <c r="A548" s="378"/>
      <c r="B548" s="378"/>
      <c r="C548" s="378"/>
      <c r="D548" s="379"/>
      <c r="E548" s="380"/>
      <c r="F548" s="378"/>
      <c r="G548" s="378"/>
      <c r="H548" s="378"/>
      <c r="I548" s="378"/>
      <c r="J548" s="378"/>
      <c r="K548" s="378"/>
      <c r="L548" s="378"/>
      <c r="M548" s="381"/>
      <c r="N548" s="381"/>
      <c r="O548" s="381"/>
      <c r="P548" s="381"/>
      <c r="Q548" s="381"/>
      <c r="R548" s="381"/>
      <c r="S548" s="381"/>
      <c r="T548" s="381"/>
      <c r="U548" s="381"/>
      <c r="V548" s="381"/>
      <c r="W548" s="381"/>
      <c r="X548" s="381"/>
      <c r="Y548" s="381"/>
      <c r="Z548" s="381"/>
      <c r="AA548" s="381"/>
      <c r="AB548" s="381"/>
      <c r="AC548" s="382"/>
      <c r="AD548" s="382"/>
    </row>
    <row r="549" spans="1:30" ht="12.75" customHeight="1" x14ac:dyDescent="0.2">
      <c r="A549" s="378"/>
      <c r="B549" s="378"/>
      <c r="C549" s="378"/>
      <c r="D549" s="379"/>
      <c r="E549" s="380"/>
      <c r="F549" s="378"/>
      <c r="G549" s="378"/>
      <c r="H549" s="378"/>
      <c r="I549" s="378"/>
      <c r="J549" s="378"/>
      <c r="K549" s="378"/>
      <c r="L549" s="378"/>
      <c r="M549" s="381"/>
      <c r="N549" s="381"/>
      <c r="O549" s="381"/>
      <c r="P549" s="381"/>
      <c r="Q549" s="381"/>
      <c r="R549" s="381"/>
      <c r="S549" s="381"/>
      <c r="T549" s="381"/>
      <c r="U549" s="381"/>
      <c r="V549" s="381"/>
      <c r="W549" s="381"/>
      <c r="X549" s="381"/>
      <c r="Y549" s="381"/>
      <c r="Z549" s="381"/>
      <c r="AA549" s="381"/>
      <c r="AB549" s="381"/>
      <c r="AC549" s="382"/>
      <c r="AD549" s="382"/>
    </row>
    <row r="550" spans="1:30" ht="12.75" customHeight="1" x14ac:dyDescent="0.2">
      <c r="A550" s="378"/>
      <c r="B550" s="378"/>
      <c r="C550" s="378"/>
      <c r="D550" s="379"/>
      <c r="E550" s="380"/>
      <c r="F550" s="378"/>
      <c r="G550" s="378"/>
      <c r="H550" s="378"/>
      <c r="I550" s="378"/>
      <c r="J550" s="378"/>
      <c r="K550" s="378"/>
      <c r="L550" s="378"/>
      <c r="M550" s="381"/>
      <c r="N550" s="381"/>
      <c r="O550" s="381"/>
      <c r="P550" s="381"/>
      <c r="Q550" s="381"/>
      <c r="R550" s="381"/>
      <c r="S550" s="381"/>
      <c r="T550" s="381"/>
      <c r="U550" s="381"/>
      <c r="V550" s="381"/>
      <c r="W550" s="381"/>
      <c r="X550" s="381"/>
      <c r="Y550" s="381"/>
      <c r="Z550" s="381"/>
      <c r="AA550" s="381"/>
      <c r="AB550" s="381"/>
      <c r="AC550" s="382"/>
      <c r="AD550" s="382"/>
    </row>
    <row r="551" spans="1:30" ht="12.75" customHeight="1" x14ac:dyDescent="0.2">
      <c r="A551" s="378"/>
      <c r="B551" s="378"/>
      <c r="C551" s="378"/>
      <c r="D551" s="379"/>
      <c r="E551" s="380"/>
      <c r="F551" s="378"/>
      <c r="G551" s="378"/>
      <c r="H551" s="378"/>
      <c r="I551" s="378"/>
      <c r="J551" s="378"/>
      <c r="K551" s="378"/>
      <c r="L551" s="378"/>
      <c r="M551" s="381"/>
      <c r="N551" s="381"/>
      <c r="O551" s="381"/>
      <c r="P551" s="381"/>
      <c r="Q551" s="381"/>
      <c r="R551" s="381"/>
      <c r="S551" s="381"/>
      <c r="T551" s="381"/>
      <c r="U551" s="381"/>
      <c r="V551" s="381"/>
      <c r="W551" s="381"/>
      <c r="X551" s="381"/>
      <c r="Y551" s="381"/>
      <c r="Z551" s="381"/>
      <c r="AA551" s="381"/>
      <c r="AB551" s="381"/>
      <c r="AC551" s="382"/>
      <c r="AD551" s="382"/>
    </row>
    <row r="552" spans="1:30" ht="12.75" customHeight="1" x14ac:dyDescent="0.2">
      <c r="A552" s="378"/>
      <c r="B552" s="378"/>
      <c r="C552" s="378"/>
      <c r="D552" s="379"/>
      <c r="E552" s="380"/>
      <c r="F552" s="378"/>
      <c r="G552" s="378"/>
      <c r="H552" s="378"/>
      <c r="I552" s="378"/>
      <c r="J552" s="378"/>
      <c r="K552" s="378"/>
      <c r="L552" s="378"/>
      <c r="M552" s="381"/>
      <c r="N552" s="381"/>
      <c r="O552" s="381"/>
      <c r="P552" s="381"/>
      <c r="Q552" s="381"/>
      <c r="R552" s="381"/>
      <c r="S552" s="381"/>
      <c r="T552" s="381"/>
      <c r="U552" s="381"/>
      <c r="V552" s="381"/>
      <c r="W552" s="381"/>
      <c r="X552" s="381"/>
      <c r="Y552" s="381"/>
      <c r="Z552" s="381"/>
      <c r="AA552" s="381"/>
      <c r="AB552" s="381"/>
      <c r="AC552" s="382"/>
      <c r="AD552" s="382"/>
    </row>
    <row r="553" spans="1:30" ht="12.75" customHeight="1" x14ac:dyDescent="0.2">
      <c r="A553" s="378"/>
      <c r="B553" s="378"/>
      <c r="C553" s="378"/>
      <c r="D553" s="379"/>
      <c r="E553" s="380"/>
      <c r="F553" s="378"/>
      <c r="G553" s="378"/>
      <c r="H553" s="378"/>
      <c r="I553" s="378"/>
      <c r="J553" s="378"/>
      <c r="K553" s="378"/>
      <c r="L553" s="378"/>
      <c r="M553" s="381"/>
      <c r="N553" s="381"/>
      <c r="O553" s="381"/>
      <c r="P553" s="381"/>
      <c r="Q553" s="381"/>
      <c r="R553" s="381"/>
      <c r="S553" s="381"/>
      <c r="T553" s="381"/>
      <c r="U553" s="381"/>
      <c r="V553" s="381"/>
      <c r="W553" s="381"/>
      <c r="X553" s="381"/>
      <c r="Y553" s="381"/>
      <c r="Z553" s="381"/>
      <c r="AA553" s="381"/>
      <c r="AB553" s="381"/>
      <c r="AC553" s="382"/>
      <c r="AD553" s="382"/>
    </row>
    <row r="554" spans="1:30" ht="12.75" customHeight="1" x14ac:dyDescent="0.2">
      <c r="A554" s="378"/>
      <c r="B554" s="378"/>
      <c r="C554" s="378"/>
      <c r="D554" s="379"/>
      <c r="E554" s="380"/>
      <c r="F554" s="378"/>
      <c r="G554" s="378"/>
      <c r="H554" s="378"/>
      <c r="I554" s="378"/>
      <c r="J554" s="378"/>
      <c r="K554" s="378"/>
      <c r="L554" s="378"/>
      <c r="M554" s="381"/>
      <c r="N554" s="381"/>
      <c r="O554" s="381"/>
      <c r="P554" s="381"/>
      <c r="Q554" s="381"/>
      <c r="R554" s="381"/>
      <c r="S554" s="381"/>
      <c r="T554" s="381"/>
      <c r="U554" s="381"/>
      <c r="V554" s="381"/>
      <c r="W554" s="381"/>
      <c r="X554" s="381"/>
      <c r="Y554" s="381"/>
      <c r="Z554" s="381"/>
      <c r="AA554" s="381"/>
      <c r="AB554" s="381"/>
      <c r="AC554" s="382"/>
      <c r="AD554" s="382"/>
    </row>
    <row r="555" spans="1:30" ht="12.75" customHeight="1" x14ac:dyDescent="0.2">
      <c r="A555" s="378"/>
      <c r="B555" s="378"/>
      <c r="C555" s="378"/>
      <c r="D555" s="379"/>
      <c r="E555" s="380"/>
      <c r="F555" s="378"/>
      <c r="G555" s="378"/>
      <c r="H555" s="378"/>
      <c r="I555" s="378"/>
      <c r="J555" s="378"/>
      <c r="K555" s="378"/>
      <c r="L555" s="378"/>
      <c r="M555" s="381"/>
      <c r="N555" s="381"/>
      <c r="O555" s="381"/>
      <c r="P555" s="381"/>
      <c r="Q555" s="381"/>
      <c r="R555" s="381"/>
      <c r="S555" s="381"/>
      <c r="T555" s="381"/>
      <c r="U555" s="381"/>
      <c r="V555" s="381"/>
      <c r="W555" s="381"/>
      <c r="X555" s="381"/>
      <c r="Y555" s="381"/>
      <c r="Z555" s="381"/>
      <c r="AA555" s="381"/>
      <c r="AB555" s="381"/>
      <c r="AC555" s="382"/>
      <c r="AD555" s="382"/>
    </row>
    <row r="556" spans="1:30" ht="12.75" customHeight="1" x14ac:dyDescent="0.2">
      <c r="A556" s="378"/>
      <c r="B556" s="378"/>
      <c r="C556" s="378"/>
      <c r="D556" s="379"/>
      <c r="E556" s="380"/>
      <c r="F556" s="378"/>
      <c r="G556" s="378"/>
      <c r="H556" s="378"/>
      <c r="I556" s="378"/>
      <c r="J556" s="378"/>
      <c r="K556" s="378"/>
      <c r="L556" s="378"/>
      <c r="M556" s="381"/>
      <c r="N556" s="381"/>
      <c r="O556" s="381"/>
      <c r="P556" s="381"/>
      <c r="Q556" s="381"/>
      <c r="R556" s="381"/>
      <c r="S556" s="381"/>
      <c r="T556" s="381"/>
      <c r="U556" s="381"/>
      <c r="V556" s="381"/>
      <c r="W556" s="381"/>
      <c r="X556" s="381"/>
      <c r="Y556" s="381"/>
      <c r="Z556" s="381"/>
      <c r="AA556" s="381"/>
      <c r="AB556" s="381"/>
      <c r="AC556" s="382"/>
      <c r="AD556" s="382"/>
    </row>
    <row r="557" spans="1:30" ht="12.75" customHeight="1" x14ac:dyDescent="0.2">
      <c r="A557" s="378"/>
      <c r="B557" s="378"/>
      <c r="C557" s="378"/>
      <c r="D557" s="379"/>
      <c r="E557" s="380"/>
      <c r="F557" s="378"/>
      <c r="G557" s="378"/>
      <c r="H557" s="378"/>
      <c r="I557" s="378"/>
      <c r="J557" s="378"/>
      <c r="K557" s="378"/>
      <c r="L557" s="378"/>
      <c r="M557" s="381"/>
      <c r="N557" s="381"/>
      <c r="O557" s="381"/>
      <c r="P557" s="381"/>
      <c r="Q557" s="381"/>
      <c r="R557" s="381"/>
      <c r="S557" s="381"/>
      <c r="T557" s="381"/>
      <c r="U557" s="381"/>
      <c r="V557" s="381"/>
      <c r="W557" s="381"/>
      <c r="X557" s="381"/>
      <c r="Y557" s="381"/>
      <c r="Z557" s="381"/>
      <c r="AA557" s="381"/>
      <c r="AB557" s="381"/>
      <c r="AC557" s="382"/>
      <c r="AD557" s="382"/>
    </row>
    <row r="558" spans="1:30" ht="12.75" customHeight="1" x14ac:dyDescent="0.2">
      <c r="A558" s="378"/>
      <c r="B558" s="378"/>
      <c r="C558" s="378"/>
      <c r="D558" s="379"/>
      <c r="E558" s="380"/>
      <c r="F558" s="378"/>
      <c r="G558" s="378"/>
      <c r="H558" s="378"/>
      <c r="I558" s="378"/>
      <c r="J558" s="378"/>
      <c r="K558" s="378"/>
      <c r="L558" s="378"/>
      <c r="M558" s="381"/>
      <c r="N558" s="381"/>
      <c r="O558" s="381"/>
      <c r="P558" s="381"/>
      <c r="Q558" s="381"/>
      <c r="R558" s="381"/>
      <c r="S558" s="381"/>
      <c r="T558" s="381"/>
      <c r="U558" s="381"/>
      <c r="V558" s="381"/>
      <c r="W558" s="381"/>
      <c r="X558" s="381"/>
      <c r="Y558" s="381"/>
      <c r="Z558" s="381"/>
      <c r="AA558" s="381"/>
      <c r="AB558" s="381"/>
      <c r="AC558" s="382"/>
      <c r="AD558" s="382"/>
    </row>
    <row r="559" spans="1:30" ht="12.75" customHeight="1" x14ac:dyDescent="0.2">
      <c r="A559" s="378"/>
      <c r="B559" s="378"/>
      <c r="C559" s="378"/>
      <c r="D559" s="379"/>
      <c r="E559" s="380"/>
      <c r="F559" s="378"/>
      <c r="G559" s="378"/>
      <c r="H559" s="378"/>
      <c r="I559" s="378"/>
      <c r="J559" s="378"/>
      <c r="K559" s="378"/>
      <c r="L559" s="378"/>
      <c r="M559" s="381"/>
      <c r="N559" s="381"/>
      <c r="O559" s="381"/>
      <c r="P559" s="381"/>
      <c r="Q559" s="381"/>
      <c r="R559" s="381"/>
      <c r="S559" s="381"/>
      <c r="T559" s="381"/>
      <c r="U559" s="381"/>
      <c r="V559" s="381"/>
      <c r="W559" s="381"/>
      <c r="X559" s="381"/>
      <c r="Y559" s="381"/>
      <c r="Z559" s="381"/>
      <c r="AA559" s="381"/>
      <c r="AB559" s="381"/>
      <c r="AC559" s="382"/>
      <c r="AD559" s="382"/>
    </row>
    <row r="560" spans="1:30" ht="12.75" customHeight="1" x14ac:dyDescent="0.2">
      <c r="A560" s="378"/>
      <c r="B560" s="378"/>
      <c r="C560" s="378"/>
      <c r="D560" s="379"/>
      <c r="E560" s="380"/>
      <c r="F560" s="378"/>
      <c r="G560" s="378"/>
      <c r="H560" s="378"/>
      <c r="I560" s="378"/>
      <c r="J560" s="378"/>
      <c r="K560" s="378"/>
      <c r="L560" s="378"/>
      <c r="M560" s="381"/>
      <c r="N560" s="381"/>
      <c r="O560" s="381"/>
      <c r="P560" s="381"/>
      <c r="Q560" s="381"/>
      <c r="R560" s="381"/>
      <c r="S560" s="381"/>
      <c r="T560" s="381"/>
      <c r="U560" s="381"/>
      <c r="V560" s="381"/>
      <c r="W560" s="381"/>
      <c r="X560" s="381"/>
      <c r="Y560" s="381"/>
      <c r="Z560" s="381"/>
      <c r="AA560" s="381"/>
      <c r="AB560" s="381"/>
      <c r="AC560" s="382"/>
      <c r="AD560" s="382"/>
    </row>
    <row r="561" spans="1:30" ht="12.75" customHeight="1" x14ac:dyDescent="0.2">
      <c r="A561" s="378"/>
      <c r="B561" s="378"/>
      <c r="C561" s="378"/>
      <c r="D561" s="379"/>
      <c r="E561" s="380"/>
      <c r="F561" s="378"/>
      <c r="G561" s="378"/>
      <c r="H561" s="378"/>
      <c r="I561" s="378"/>
      <c r="J561" s="378"/>
      <c r="K561" s="378"/>
      <c r="L561" s="378"/>
      <c r="M561" s="381"/>
      <c r="N561" s="381"/>
      <c r="O561" s="381"/>
      <c r="P561" s="381"/>
      <c r="Q561" s="381"/>
      <c r="R561" s="381"/>
      <c r="S561" s="381"/>
      <c r="T561" s="381"/>
      <c r="U561" s="381"/>
      <c r="V561" s="381"/>
      <c r="W561" s="381"/>
      <c r="X561" s="381"/>
      <c r="Y561" s="381"/>
      <c r="Z561" s="381"/>
      <c r="AA561" s="381"/>
      <c r="AB561" s="381"/>
      <c r="AC561" s="382"/>
      <c r="AD561" s="382"/>
    </row>
    <row r="562" spans="1:30" ht="12.75" customHeight="1" x14ac:dyDescent="0.2">
      <c r="A562" s="378"/>
      <c r="B562" s="378"/>
      <c r="C562" s="378"/>
      <c r="D562" s="379"/>
      <c r="E562" s="380"/>
      <c r="F562" s="378"/>
      <c r="G562" s="378"/>
      <c r="H562" s="378"/>
      <c r="I562" s="378"/>
      <c r="J562" s="378"/>
      <c r="K562" s="378"/>
      <c r="L562" s="378"/>
      <c r="M562" s="381"/>
      <c r="N562" s="381"/>
      <c r="O562" s="381"/>
      <c r="P562" s="381"/>
      <c r="Q562" s="381"/>
      <c r="R562" s="381"/>
      <c r="S562" s="381"/>
      <c r="T562" s="381"/>
      <c r="U562" s="381"/>
      <c r="V562" s="381"/>
      <c r="W562" s="381"/>
      <c r="X562" s="381"/>
      <c r="Y562" s="381"/>
      <c r="Z562" s="381"/>
      <c r="AA562" s="381"/>
      <c r="AB562" s="381"/>
      <c r="AC562" s="382"/>
      <c r="AD562" s="382"/>
    </row>
    <row r="563" spans="1:30" ht="12.75" customHeight="1" x14ac:dyDescent="0.2">
      <c r="A563" s="378"/>
      <c r="B563" s="378"/>
      <c r="C563" s="378"/>
      <c r="D563" s="379"/>
      <c r="E563" s="380"/>
      <c r="F563" s="378"/>
      <c r="G563" s="378"/>
      <c r="H563" s="378"/>
      <c r="I563" s="378"/>
      <c r="J563" s="378"/>
      <c r="K563" s="378"/>
      <c r="L563" s="378"/>
      <c r="M563" s="381"/>
      <c r="N563" s="381"/>
      <c r="O563" s="381"/>
      <c r="P563" s="381"/>
      <c r="Q563" s="381"/>
      <c r="R563" s="381"/>
      <c r="S563" s="381"/>
      <c r="T563" s="381"/>
      <c r="U563" s="381"/>
      <c r="V563" s="381"/>
      <c r="W563" s="381"/>
      <c r="X563" s="381"/>
      <c r="Y563" s="381"/>
      <c r="Z563" s="381"/>
      <c r="AA563" s="381"/>
      <c r="AB563" s="381"/>
      <c r="AC563" s="382"/>
      <c r="AD563" s="382"/>
    </row>
    <row r="564" spans="1:30" ht="12.75" customHeight="1" x14ac:dyDescent="0.2">
      <c r="A564" s="378"/>
      <c r="B564" s="378"/>
      <c r="C564" s="378"/>
      <c r="D564" s="379"/>
      <c r="E564" s="380"/>
      <c r="F564" s="378"/>
      <c r="G564" s="378"/>
      <c r="H564" s="378"/>
      <c r="I564" s="378"/>
      <c r="J564" s="378"/>
      <c r="K564" s="378"/>
      <c r="L564" s="378"/>
      <c r="M564" s="381"/>
      <c r="N564" s="381"/>
      <c r="O564" s="381"/>
      <c r="P564" s="381"/>
      <c r="Q564" s="381"/>
      <c r="R564" s="381"/>
      <c r="S564" s="381"/>
      <c r="T564" s="381"/>
      <c r="U564" s="381"/>
      <c r="V564" s="381"/>
      <c r="W564" s="381"/>
      <c r="X564" s="381"/>
      <c r="Y564" s="381"/>
      <c r="Z564" s="381"/>
      <c r="AA564" s="381"/>
      <c r="AB564" s="381"/>
      <c r="AC564" s="382"/>
      <c r="AD564" s="382"/>
    </row>
    <row r="565" spans="1:30" ht="12.75" customHeight="1" x14ac:dyDescent="0.2">
      <c r="A565" s="378"/>
      <c r="B565" s="378"/>
      <c r="C565" s="378"/>
      <c r="D565" s="379"/>
      <c r="E565" s="380"/>
      <c r="F565" s="378"/>
      <c r="G565" s="378"/>
      <c r="H565" s="378"/>
      <c r="I565" s="378"/>
      <c r="J565" s="378"/>
      <c r="K565" s="378"/>
      <c r="L565" s="378"/>
      <c r="M565" s="381"/>
      <c r="N565" s="381"/>
      <c r="O565" s="381"/>
      <c r="P565" s="381"/>
      <c r="Q565" s="381"/>
      <c r="R565" s="381"/>
      <c r="S565" s="381"/>
      <c r="T565" s="381"/>
      <c r="U565" s="381"/>
      <c r="V565" s="381"/>
      <c r="W565" s="381"/>
      <c r="X565" s="381"/>
      <c r="Y565" s="381"/>
      <c r="Z565" s="381"/>
      <c r="AA565" s="381"/>
      <c r="AB565" s="381"/>
      <c r="AC565" s="382"/>
      <c r="AD565" s="382"/>
    </row>
    <row r="566" spans="1:30" ht="12.75" customHeight="1" x14ac:dyDescent="0.2">
      <c r="A566" s="378"/>
      <c r="B566" s="378"/>
      <c r="C566" s="378"/>
      <c r="D566" s="379"/>
      <c r="E566" s="380"/>
      <c r="F566" s="378"/>
      <c r="G566" s="378"/>
      <c r="H566" s="378"/>
      <c r="I566" s="378"/>
      <c r="J566" s="378"/>
      <c r="K566" s="378"/>
      <c r="L566" s="378"/>
      <c r="M566" s="381"/>
      <c r="N566" s="381"/>
      <c r="O566" s="381"/>
      <c r="P566" s="381"/>
      <c r="Q566" s="381"/>
      <c r="R566" s="381"/>
      <c r="S566" s="381"/>
      <c r="T566" s="381"/>
      <c r="U566" s="381"/>
      <c r="V566" s="381"/>
      <c r="W566" s="381"/>
      <c r="X566" s="381"/>
      <c r="Y566" s="381"/>
      <c r="Z566" s="381"/>
      <c r="AA566" s="381"/>
      <c r="AB566" s="381"/>
      <c r="AC566" s="382"/>
      <c r="AD566" s="382"/>
    </row>
    <row r="567" spans="1:30" ht="12.75" customHeight="1" x14ac:dyDescent="0.2">
      <c r="A567" s="378"/>
      <c r="B567" s="378"/>
      <c r="C567" s="378"/>
      <c r="D567" s="379"/>
      <c r="E567" s="380"/>
      <c r="F567" s="378"/>
      <c r="G567" s="378"/>
      <c r="H567" s="378"/>
      <c r="I567" s="378"/>
      <c r="J567" s="378"/>
      <c r="K567" s="378"/>
      <c r="L567" s="378"/>
      <c r="M567" s="381"/>
      <c r="N567" s="381"/>
      <c r="O567" s="381"/>
      <c r="P567" s="381"/>
      <c r="Q567" s="381"/>
      <c r="R567" s="381"/>
      <c r="S567" s="381"/>
      <c r="T567" s="381"/>
      <c r="U567" s="381"/>
      <c r="V567" s="381"/>
      <c r="W567" s="381"/>
      <c r="X567" s="381"/>
      <c r="Y567" s="381"/>
      <c r="Z567" s="381"/>
      <c r="AA567" s="381"/>
      <c r="AB567" s="381"/>
      <c r="AC567" s="382"/>
      <c r="AD567" s="382"/>
    </row>
    <row r="568" spans="1:30" ht="12.75" customHeight="1" x14ac:dyDescent="0.2">
      <c r="A568" s="378"/>
      <c r="B568" s="378"/>
      <c r="C568" s="378"/>
      <c r="D568" s="379"/>
      <c r="E568" s="380"/>
      <c r="F568" s="378"/>
      <c r="G568" s="378"/>
      <c r="H568" s="378"/>
      <c r="I568" s="378"/>
      <c r="J568" s="378"/>
      <c r="K568" s="378"/>
      <c r="L568" s="378"/>
      <c r="M568" s="381"/>
      <c r="N568" s="381"/>
      <c r="O568" s="381"/>
      <c r="P568" s="381"/>
      <c r="Q568" s="381"/>
      <c r="R568" s="381"/>
      <c r="S568" s="381"/>
      <c r="T568" s="381"/>
      <c r="U568" s="381"/>
      <c r="V568" s="381"/>
      <c r="W568" s="381"/>
      <c r="X568" s="381"/>
      <c r="Y568" s="381"/>
      <c r="Z568" s="381"/>
      <c r="AA568" s="381"/>
      <c r="AB568" s="381"/>
      <c r="AC568" s="382"/>
      <c r="AD568" s="382"/>
    </row>
    <row r="569" spans="1:30" ht="12.75" customHeight="1" x14ac:dyDescent="0.2">
      <c r="A569" s="378"/>
      <c r="B569" s="378"/>
      <c r="C569" s="378"/>
      <c r="D569" s="379"/>
      <c r="E569" s="380"/>
      <c r="F569" s="378"/>
      <c r="G569" s="378"/>
      <c r="H569" s="378"/>
      <c r="I569" s="378"/>
      <c r="J569" s="378"/>
      <c r="K569" s="378"/>
      <c r="L569" s="378"/>
      <c r="M569" s="381"/>
      <c r="N569" s="381"/>
      <c r="O569" s="381"/>
      <c r="P569" s="381"/>
      <c r="Q569" s="381"/>
      <c r="R569" s="381"/>
      <c r="S569" s="381"/>
      <c r="T569" s="381"/>
      <c r="U569" s="381"/>
      <c r="V569" s="381"/>
      <c r="W569" s="381"/>
      <c r="X569" s="381"/>
      <c r="Y569" s="381"/>
      <c r="Z569" s="381"/>
      <c r="AA569" s="381"/>
      <c r="AB569" s="381"/>
      <c r="AC569" s="382"/>
      <c r="AD569" s="382"/>
    </row>
    <row r="570" spans="1:30" ht="12.75" customHeight="1" x14ac:dyDescent="0.2">
      <c r="A570" s="378"/>
      <c r="B570" s="378"/>
      <c r="C570" s="378"/>
      <c r="D570" s="379"/>
      <c r="E570" s="380"/>
      <c r="F570" s="378"/>
      <c r="G570" s="378"/>
      <c r="H570" s="378"/>
      <c r="I570" s="378"/>
      <c r="J570" s="378"/>
      <c r="K570" s="378"/>
      <c r="L570" s="378"/>
      <c r="M570" s="381"/>
      <c r="N570" s="381"/>
      <c r="O570" s="381"/>
      <c r="P570" s="381"/>
      <c r="Q570" s="381"/>
      <c r="R570" s="381"/>
      <c r="S570" s="381"/>
      <c r="T570" s="381"/>
      <c r="U570" s="381"/>
      <c r="V570" s="381"/>
      <c r="W570" s="381"/>
      <c r="X570" s="381"/>
      <c r="Y570" s="381"/>
      <c r="Z570" s="381"/>
      <c r="AA570" s="381"/>
      <c r="AB570" s="381"/>
      <c r="AC570" s="382"/>
      <c r="AD570" s="382"/>
    </row>
    <row r="571" spans="1:30" ht="12.75" customHeight="1" x14ac:dyDescent="0.2">
      <c r="A571" s="378"/>
      <c r="B571" s="378"/>
      <c r="C571" s="378"/>
      <c r="D571" s="379"/>
      <c r="E571" s="380"/>
      <c r="F571" s="378"/>
      <c r="G571" s="378"/>
      <c r="H571" s="378"/>
      <c r="I571" s="378"/>
      <c r="J571" s="378"/>
      <c r="K571" s="378"/>
      <c r="L571" s="378"/>
      <c r="M571" s="381"/>
      <c r="N571" s="381"/>
      <c r="O571" s="381"/>
      <c r="P571" s="381"/>
      <c r="Q571" s="381"/>
      <c r="R571" s="381"/>
      <c r="S571" s="381"/>
      <c r="T571" s="381"/>
      <c r="U571" s="381"/>
      <c r="V571" s="381"/>
      <c r="W571" s="381"/>
      <c r="X571" s="381"/>
      <c r="Y571" s="381"/>
      <c r="Z571" s="381"/>
      <c r="AA571" s="381"/>
      <c r="AB571" s="381"/>
      <c r="AC571" s="382"/>
      <c r="AD571" s="382"/>
    </row>
    <row r="572" spans="1:30" ht="12.75" customHeight="1" x14ac:dyDescent="0.2">
      <c r="A572" s="378"/>
      <c r="B572" s="378"/>
      <c r="C572" s="378"/>
      <c r="D572" s="379"/>
      <c r="E572" s="380"/>
      <c r="F572" s="378"/>
      <c r="G572" s="378"/>
      <c r="H572" s="378"/>
      <c r="I572" s="378"/>
      <c r="J572" s="378"/>
      <c r="K572" s="378"/>
      <c r="L572" s="378"/>
      <c r="M572" s="381"/>
      <c r="N572" s="381"/>
      <c r="O572" s="381"/>
      <c r="P572" s="381"/>
      <c r="Q572" s="381"/>
      <c r="R572" s="381"/>
      <c r="S572" s="381"/>
      <c r="T572" s="381"/>
      <c r="U572" s="381"/>
      <c r="V572" s="381"/>
      <c r="W572" s="381"/>
      <c r="X572" s="381"/>
      <c r="Y572" s="381"/>
      <c r="Z572" s="381"/>
      <c r="AA572" s="381"/>
      <c r="AB572" s="381"/>
      <c r="AC572" s="382"/>
      <c r="AD572" s="382"/>
    </row>
    <row r="573" spans="1:30" ht="12.75" customHeight="1" x14ac:dyDescent="0.2">
      <c r="A573" s="378"/>
      <c r="B573" s="378"/>
      <c r="C573" s="378"/>
      <c r="D573" s="379"/>
      <c r="E573" s="380"/>
      <c r="F573" s="378"/>
      <c r="G573" s="378"/>
      <c r="H573" s="378"/>
      <c r="I573" s="378"/>
      <c r="J573" s="378"/>
      <c r="K573" s="378"/>
      <c r="L573" s="378"/>
      <c r="M573" s="381"/>
      <c r="N573" s="381"/>
      <c r="O573" s="381"/>
      <c r="P573" s="381"/>
      <c r="Q573" s="381"/>
      <c r="R573" s="381"/>
      <c r="S573" s="381"/>
      <c r="T573" s="381"/>
      <c r="U573" s="381"/>
      <c r="V573" s="381"/>
      <c r="W573" s="381"/>
      <c r="X573" s="381"/>
      <c r="Y573" s="381"/>
      <c r="Z573" s="381"/>
      <c r="AA573" s="381"/>
      <c r="AB573" s="381"/>
      <c r="AC573" s="382"/>
      <c r="AD573" s="382"/>
    </row>
    <row r="574" spans="1:30" ht="12.75" customHeight="1" x14ac:dyDescent="0.2">
      <c r="A574" s="378"/>
      <c r="B574" s="378"/>
      <c r="C574" s="378"/>
      <c r="D574" s="379"/>
      <c r="E574" s="380"/>
      <c r="F574" s="378"/>
      <c r="G574" s="378"/>
      <c r="H574" s="378"/>
      <c r="I574" s="378"/>
      <c r="J574" s="378"/>
      <c r="K574" s="378"/>
      <c r="L574" s="378"/>
      <c r="M574" s="381"/>
      <c r="N574" s="381"/>
      <c r="O574" s="381"/>
      <c r="P574" s="381"/>
      <c r="Q574" s="381"/>
      <c r="R574" s="381"/>
      <c r="S574" s="381"/>
      <c r="T574" s="381"/>
      <c r="U574" s="381"/>
      <c r="V574" s="381"/>
      <c r="W574" s="381"/>
      <c r="X574" s="381"/>
      <c r="Y574" s="381"/>
      <c r="Z574" s="381"/>
      <c r="AA574" s="381"/>
      <c r="AB574" s="381"/>
      <c r="AC574" s="382"/>
      <c r="AD574" s="382"/>
    </row>
    <row r="575" spans="1:30" ht="12.75" customHeight="1" x14ac:dyDescent="0.2">
      <c r="A575" s="378"/>
      <c r="B575" s="378"/>
      <c r="C575" s="378"/>
      <c r="D575" s="379"/>
      <c r="E575" s="380"/>
      <c r="F575" s="378"/>
      <c r="G575" s="378"/>
      <c r="H575" s="378"/>
      <c r="I575" s="378"/>
      <c r="J575" s="378"/>
      <c r="K575" s="378"/>
      <c r="L575" s="378"/>
      <c r="M575" s="381"/>
      <c r="N575" s="381"/>
      <c r="O575" s="381"/>
      <c r="P575" s="381"/>
      <c r="Q575" s="381"/>
      <c r="R575" s="381"/>
      <c r="S575" s="381"/>
      <c r="T575" s="381"/>
      <c r="U575" s="381"/>
      <c r="V575" s="381"/>
      <c r="W575" s="381"/>
      <c r="X575" s="381"/>
      <c r="Y575" s="381"/>
      <c r="Z575" s="381"/>
      <c r="AA575" s="381"/>
      <c r="AB575" s="381"/>
      <c r="AC575" s="382"/>
      <c r="AD575" s="382"/>
    </row>
    <row r="576" spans="1:30" ht="12.75" customHeight="1" x14ac:dyDescent="0.2">
      <c r="A576" s="378"/>
      <c r="B576" s="378"/>
      <c r="C576" s="378"/>
      <c r="D576" s="379"/>
      <c r="E576" s="380"/>
      <c r="F576" s="378"/>
      <c r="G576" s="378"/>
      <c r="H576" s="378"/>
      <c r="I576" s="378"/>
      <c r="J576" s="378"/>
      <c r="K576" s="378"/>
      <c r="L576" s="378"/>
      <c r="M576" s="381"/>
      <c r="N576" s="381"/>
      <c r="O576" s="381"/>
      <c r="P576" s="381"/>
      <c r="Q576" s="381"/>
      <c r="R576" s="381"/>
      <c r="S576" s="381"/>
      <c r="T576" s="381"/>
      <c r="U576" s="381"/>
      <c r="V576" s="381"/>
      <c r="W576" s="381"/>
      <c r="X576" s="381"/>
      <c r="Y576" s="381"/>
      <c r="Z576" s="381"/>
      <c r="AA576" s="381"/>
      <c r="AB576" s="381"/>
      <c r="AC576" s="382"/>
      <c r="AD576" s="382"/>
    </row>
    <row r="577" spans="1:30" ht="12.75" customHeight="1" x14ac:dyDescent="0.2">
      <c r="A577" s="378"/>
      <c r="B577" s="378"/>
      <c r="C577" s="378"/>
      <c r="D577" s="379"/>
      <c r="E577" s="380"/>
      <c r="F577" s="378"/>
      <c r="G577" s="378"/>
      <c r="H577" s="378"/>
      <c r="I577" s="378"/>
      <c r="J577" s="378"/>
      <c r="K577" s="378"/>
      <c r="L577" s="378"/>
      <c r="M577" s="381"/>
      <c r="N577" s="381"/>
      <c r="O577" s="381"/>
      <c r="P577" s="381"/>
      <c r="Q577" s="381"/>
      <c r="R577" s="381"/>
      <c r="S577" s="381"/>
      <c r="T577" s="381"/>
      <c r="U577" s="381"/>
      <c r="V577" s="381"/>
      <c r="W577" s="381"/>
      <c r="X577" s="381"/>
      <c r="Y577" s="381"/>
      <c r="Z577" s="381"/>
      <c r="AA577" s="381"/>
      <c r="AB577" s="381"/>
      <c r="AC577" s="382"/>
      <c r="AD577" s="382"/>
    </row>
    <row r="578" spans="1:30" ht="12.75" customHeight="1" x14ac:dyDescent="0.2">
      <c r="A578" s="378"/>
      <c r="B578" s="378"/>
      <c r="C578" s="378"/>
      <c r="D578" s="379"/>
      <c r="E578" s="380"/>
      <c r="F578" s="378"/>
      <c r="G578" s="378"/>
      <c r="H578" s="378"/>
      <c r="I578" s="378"/>
      <c r="J578" s="378"/>
      <c r="K578" s="378"/>
      <c r="L578" s="378"/>
      <c r="M578" s="381"/>
      <c r="N578" s="381"/>
      <c r="O578" s="381"/>
      <c r="P578" s="381"/>
      <c r="Q578" s="381"/>
      <c r="R578" s="381"/>
      <c r="S578" s="381"/>
      <c r="T578" s="381"/>
      <c r="U578" s="381"/>
      <c r="V578" s="381"/>
      <c r="W578" s="381"/>
      <c r="X578" s="381"/>
      <c r="Y578" s="381"/>
      <c r="Z578" s="381"/>
      <c r="AA578" s="381"/>
      <c r="AB578" s="381"/>
      <c r="AC578" s="382"/>
      <c r="AD578" s="382"/>
    </row>
    <row r="579" spans="1:30" ht="12.75" customHeight="1" x14ac:dyDescent="0.2">
      <c r="A579" s="378"/>
      <c r="B579" s="378"/>
      <c r="C579" s="378"/>
      <c r="D579" s="379"/>
      <c r="E579" s="380"/>
      <c r="F579" s="378"/>
      <c r="G579" s="378"/>
      <c r="H579" s="378"/>
      <c r="I579" s="378"/>
      <c r="J579" s="378"/>
      <c r="K579" s="378"/>
      <c r="L579" s="378"/>
      <c r="M579" s="381"/>
      <c r="N579" s="381"/>
      <c r="O579" s="381"/>
      <c r="P579" s="381"/>
      <c r="Q579" s="381"/>
      <c r="R579" s="381"/>
      <c r="S579" s="381"/>
      <c r="T579" s="381"/>
      <c r="U579" s="381"/>
      <c r="V579" s="381"/>
      <c r="W579" s="381"/>
      <c r="X579" s="381"/>
      <c r="Y579" s="381"/>
      <c r="Z579" s="381"/>
      <c r="AA579" s="381"/>
      <c r="AB579" s="381"/>
      <c r="AC579" s="382"/>
      <c r="AD579" s="382"/>
    </row>
    <row r="580" spans="1:30" ht="12.75" customHeight="1" x14ac:dyDescent="0.2">
      <c r="A580" s="378"/>
      <c r="B580" s="378"/>
      <c r="C580" s="378"/>
      <c r="D580" s="379"/>
      <c r="E580" s="380"/>
      <c r="F580" s="378"/>
      <c r="G580" s="378"/>
      <c r="H580" s="378"/>
      <c r="I580" s="378"/>
      <c r="J580" s="378"/>
      <c r="K580" s="378"/>
      <c r="L580" s="378"/>
      <c r="M580" s="381"/>
      <c r="N580" s="381"/>
      <c r="O580" s="381"/>
      <c r="P580" s="381"/>
      <c r="Q580" s="381"/>
      <c r="R580" s="381"/>
      <c r="S580" s="381"/>
      <c r="T580" s="381"/>
      <c r="U580" s="381"/>
      <c r="V580" s="381"/>
      <c r="W580" s="381"/>
      <c r="X580" s="381"/>
      <c r="Y580" s="381"/>
      <c r="Z580" s="381"/>
      <c r="AA580" s="381"/>
      <c r="AB580" s="381"/>
      <c r="AC580" s="382"/>
      <c r="AD580" s="382"/>
    </row>
    <row r="581" spans="1:30" ht="12.75" customHeight="1" x14ac:dyDescent="0.2">
      <c r="A581" s="378"/>
      <c r="B581" s="378"/>
      <c r="C581" s="378"/>
      <c r="D581" s="379"/>
      <c r="E581" s="380"/>
      <c r="F581" s="378"/>
      <c r="G581" s="378"/>
      <c r="H581" s="378"/>
      <c r="I581" s="378"/>
      <c r="J581" s="378"/>
      <c r="K581" s="378"/>
      <c r="L581" s="378"/>
      <c r="M581" s="381"/>
      <c r="N581" s="381"/>
      <c r="O581" s="381"/>
      <c r="P581" s="381"/>
      <c r="Q581" s="381"/>
      <c r="R581" s="381"/>
      <c r="S581" s="381"/>
      <c r="T581" s="381"/>
      <c r="U581" s="381"/>
      <c r="V581" s="381"/>
      <c r="W581" s="381"/>
      <c r="X581" s="381"/>
      <c r="Y581" s="381"/>
      <c r="Z581" s="381"/>
      <c r="AA581" s="381"/>
      <c r="AB581" s="381"/>
      <c r="AC581" s="382"/>
      <c r="AD581" s="382"/>
    </row>
    <row r="582" spans="1:30" ht="12.75" customHeight="1" x14ac:dyDescent="0.2">
      <c r="A582" s="378"/>
      <c r="B582" s="378"/>
      <c r="C582" s="378"/>
      <c r="D582" s="379"/>
      <c r="E582" s="380"/>
      <c r="F582" s="378"/>
      <c r="G582" s="378"/>
      <c r="H582" s="378"/>
      <c r="I582" s="378"/>
      <c r="J582" s="378"/>
      <c r="K582" s="378"/>
      <c r="L582" s="378"/>
      <c r="M582" s="381"/>
      <c r="N582" s="381"/>
      <c r="O582" s="381"/>
      <c r="P582" s="381"/>
      <c r="Q582" s="381"/>
      <c r="R582" s="381"/>
      <c r="S582" s="381"/>
      <c r="T582" s="381"/>
      <c r="U582" s="381"/>
      <c r="V582" s="381"/>
      <c r="W582" s="381"/>
      <c r="X582" s="381"/>
      <c r="Y582" s="381"/>
      <c r="Z582" s="381"/>
      <c r="AA582" s="381"/>
      <c r="AB582" s="381"/>
      <c r="AC582" s="382"/>
      <c r="AD582" s="382"/>
    </row>
    <row r="583" spans="1:30" ht="12.75" customHeight="1" x14ac:dyDescent="0.2">
      <c r="A583" s="378"/>
      <c r="B583" s="378"/>
      <c r="C583" s="378"/>
      <c r="D583" s="379"/>
      <c r="E583" s="380"/>
      <c r="F583" s="378"/>
      <c r="G583" s="378"/>
      <c r="H583" s="378"/>
      <c r="I583" s="378"/>
      <c r="J583" s="378"/>
      <c r="K583" s="378"/>
      <c r="L583" s="378"/>
      <c r="M583" s="381"/>
      <c r="N583" s="381"/>
      <c r="O583" s="381"/>
      <c r="P583" s="381"/>
      <c r="Q583" s="381"/>
      <c r="R583" s="381"/>
      <c r="S583" s="381"/>
      <c r="T583" s="381"/>
      <c r="U583" s="381"/>
      <c r="V583" s="381"/>
      <c r="W583" s="381"/>
      <c r="X583" s="381"/>
      <c r="Y583" s="381"/>
      <c r="Z583" s="381"/>
      <c r="AA583" s="381"/>
      <c r="AB583" s="381"/>
      <c r="AC583" s="382"/>
      <c r="AD583" s="382"/>
    </row>
    <row r="584" spans="1:30" ht="12.75" customHeight="1" x14ac:dyDescent="0.2">
      <c r="A584" s="378"/>
      <c r="B584" s="378"/>
      <c r="C584" s="378"/>
      <c r="D584" s="379"/>
      <c r="E584" s="380"/>
      <c r="F584" s="378"/>
      <c r="G584" s="378"/>
      <c r="H584" s="378"/>
      <c r="I584" s="378"/>
      <c r="J584" s="378"/>
      <c r="K584" s="378"/>
      <c r="L584" s="378"/>
      <c r="M584" s="381"/>
      <c r="N584" s="381"/>
      <c r="O584" s="381"/>
      <c r="P584" s="381"/>
      <c r="Q584" s="381"/>
      <c r="R584" s="381"/>
      <c r="S584" s="381"/>
      <c r="T584" s="381"/>
      <c r="U584" s="381"/>
      <c r="V584" s="381"/>
      <c r="W584" s="381"/>
      <c r="X584" s="381"/>
      <c r="Y584" s="381"/>
      <c r="Z584" s="381"/>
      <c r="AA584" s="381"/>
      <c r="AB584" s="381"/>
      <c r="AC584" s="382"/>
      <c r="AD584" s="382"/>
    </row>
    <row r="585" spans="1:30" ht="12.75" customHeight="1" x14ac:dyDescent="0.2">
      <c r="A585" s="378"/>
      <c r="B585" s="378"/>
      <c r="C585" s="378"/>
      <c r="D585" s="379"/>
      <c r="E585" s="380"/>
      <c r="F585" s="378"/>
      <c r="G585" s="378"/>
      <c r="H585" s="378"/>
      <c r="I585" s="378"/>
      <c r="J585" s="378"/>
      <c r="K585" s="378"/>
      <c r="L585" s="378"/>
      <c r="M585" s="381"/>
      <c r="N585" s="381"/>
      <c r="O585" s="381"/>
      <c r="P585" s="381"/>
      <c r="Q585" s="381"/>
      <c r="R585" s="381"/>
      <c r="S585" s="381"/>
      <c r="T585" s="381"/>
      <c r="U585" s="381"/>
      <c r="V585" s="381"/>
      <c r="W585" s="381"/>
      <c r="X585" s="381"/>
      <c r="Y585" s="381"/>
      <c r="Z585" s="381"/>
      <c r="AA585" s="381"/>
      <c r="AB585" s="381"/>
      <c r="AC585" s="382"/>
      <c r="AD585" s="382"/>
    </row>
    <row r="586" spans="1:30" ht="12.75" customHeight="1" x14ac:dyDescent="0.2">
      <c r="A586" s="378"/>
      <c r="B586" s="378"/>
      <c r="C586" s="378"/>
      <c r="D586" s="379"/>
      <c r="E586" s="380"/>
      <c r="F586" s="378"/>
      <c r="G586" s="378"/>
      <c r="H586" s="378"/>
      <c r="I586" s="378"/>
      <c r="J586" s="378"/>
      <c r="K586" s="378"/>
      <c r="L586" s="378"/>
      <c r="M586" s="381"/>
      <c r="N586" s="381"/>
      <c r="O586" s="381"/>
      <c r="P586" s="381"/>
      <c r="Q586" s="381"/>
      <c r="R586" s="381"/>
      <c r="S586" s="381"/>
      <c r="T586" s="381"/>
      <c r="U586" s="381"/>
      <c r="V586" s="381"/>
      <c r="W586" s="381"/>
      <c r="X586" s="381"/>
      <c r="Y586" s="381"/>
      <c r="Z586" s="381"/>
      <c r="AA586" s="381"/>
      <c r="AB586" s="381"/>
      <c r="AC586" s="382"/>
      <c r="AD586" s="382"/>
    </row>
    <row r="587" spans="1:30" ht="12.75" customHeight="1" x14ac:dyDescent="0.2">
      <c r="A587" s="378"/>
      <c r="B587" s="378"/>
      <c r="C587" s="378"/>
      <c r="D587" s="379"/>
      <c r="E587" s="380"/>
      <c r="F587" s="378"/>
      <c r="G587" s="378"/>
      <c r="H587" s="378"/>
      <c r="I587" s="378"/>
      <c r="J587" s="378"/>
      <c r="K587" s="378"/>
      <c r="L587" s="378"/>
      <c r="M587" s="381"/>
      <c r="N587" s="381"/>
      <c r="O587" s="381"/>
      <c r="P587" s="381"/>
      <c r="Q587" s="381"/>
      <c r="R587" s="381"/>
      <c r="S587" s="381"/>
      <c r="T587" s="381"/>
      <c r="U587" s="381"/>
      <c r="V587" s="381"/>
      <c r="W587" s="381"/>
      <c r="X587" s="381"/>
      <c r="Y587" s="381"/>
      <c r="Z587" s="381"/>
      <c r="AA587" s="381"/>
      <c r="AB587" s="381"/>
      <c r="AC587" s="382"/>
      <c r="AD587" s="382"/>
    </row>
    <row r="588" spans="1:30" ht="12.75" customHeight="1" x14ac:dyDescent="0.2">
      <c r="A588" s="378"/>
      <c r="B588" s="378"/>
      <c r="C588" s="378"/>
      <c r="D588" s="379"/>
      <c r="E588" s="380"/>
      <c r="F588" s="378"/>
      <c r="G588" s="378"/>
      <c r="H588" s="378"/>
      <c r="I588" s="378"/>
      <c r="J588" s="378"/>
      <c r="K588" s="378"/>
      <c r="L588" s="378"/>
      <c r="M588" s="381"/>
      <c r="N588" s="381"/>
      <c r="O588" s="381"/>
      <c r="P588" s="381"/>
      <c r="Q588" s="381"/>
      <c r="R588" s="381"/>
      <c r="S588" s="381"/>
      <c r="T588" s="381"/>
      <c r="U588" s="381"/>
      <c r="V588" s="381"/>
      <c r="W588" s="381"/>
      <c r="X588" s="381"/>
      <c r="Y588" s="381"/>
      <c r="Z588" s="381"/>
      <c r="AA588" s="381"/>
      <c r="AB588" s="381"/>
      <c r="AC588" s="382"/>
      <c r="AD588" s="382"/>
    </row>
    <row r="589" spans="1:30" ht="12.75" customHeight="1" x14ac:dyDescent="0.2">
      <c r="A589" s="378"/>
      <c r="B589" s="378"/>
      <c r="C589" s="378"/>
      <c r="D589" s="379"/>
      <c r="E589" s="380"/>
      <c r="F589" s="378"/>
      <c r="G589" s="378"/>
      <c r="H589" s="378"/>
      <c r="I589" s="378"/>
      <c r="J589" s="378"/>
      <c r="K589" s="378"/>
      <c r="L589" s="378"/>
      <c r="M589" s="381"/>
      <c r="N589" s="381"/>
      <c r="O589" s="381"/>
      <c r="P589" s="381"/>
      <c r="Q589" s="381"/>
      <c r="R589" s="381"/>
      <c r="S589" s="381"/>
      <c r="T589" s="381"/>
      <c r="U589" s="381"/>
      <c r="V589" s="381"/>
      <c r="W589" s="381"/>
      <c r="X589" s="381"/>
      <c r="Y589" s="381"/>
      <c r="Z589" s="381"/>
      <c r="AA589" s="381"/>
      <c r="AB589" s="381"/>
      <c r="AC589" s="382"/>
      <c r="AD589" s="382"/>
    </row>
    <row r="590" spans="1:30" ht="12.75" customHeight="1" x14ac:dyDescent="0.2">
      <c r="A590" s="378"/>
      <c r="B590" s="378"/>
      <c r="C590" s="378"/>
      <c r="D590" s="379"/>
      <c r="E590" s="380"/>
      <c r="F590" s="378"/>
      <c r="G590" s="378"/>
      <c r="H590" s="378"/>
      <c r="I590" s="378"/>
      <c r="J590" s="378"/>
      <c r="K590" s="378"/>
      <c r="L590" s="378"/>
      <c r="M590" s="381"/>
      <c r="N590" s="381"/>
      <c r="O590" s="381"/>
      <c r="P590" s="381"/>
      <c r="Q590" s="381"/>
      <c r="R590" s="381"/>
      <c r="S590" s="381"/>
      <c r="T590" s="381"/>
      <c r="U590" s="381"/>
      <c r="V590" s="381"/>
      <c r="W590" s="381"/>
      <c r="X590" s="381"/>
      <c r="Y590" s="381"/>
      <c r="Z590" s="381"/>
      <c r="AA590" s="381"/>
      <c r="AB590" s="381"/>
      <c r="AC590" s="382"/>
      <c r="AD590" s="382"/>
    </row>
    <row r="591" spans="1:30" ht="12.75" customHeight="1" x14ac:dyDescent="0.2">
      <c r="A591" s="378"/>
      <c r="B591" s="378"/>
      <c r="C591" s="378"/>
      <c r="D591" s="379"/>
      <c r="E591" s="380"/>
      <c r="F591" s="378"/>
      <c r="G591" s="378"/>
      <c r="H591" s="378"/>
      <c r="I591" s="378"/>
      <c r="J591" s="378"/>
      <c r="K591" s="378"/>
      <c r="L591" s="378"/>
      <c r="M591" s="381"/>
      <c r="N591" s="381"/>
      <c r="O591" s="381"/>
      <c r="P591" s="381"/>
      <c r="Q591" s="381"/>
      <c r="R591" s="381"/>
      <c r="S591" s="381"/>
      <c r="T591" s="381"/>
      <c r="U591" s="381"/>
      <c r="V591" s="381"/>
      <c r="W591" s="381"/>
      <c r="X591" s="381"/>
      <c r="Y591" s="381"/>
      <c r="Z591" s="381"/>
      <c r="AA591" s="381"/>
      <c r="AB591" s="381"/>
      <c r="AC591" s="382"/>
      <c r="AD591" s="382"/>
    </row>
    <row r="592" spans="1:30" ht="12.75" customHeight="1" x14ac:dyDescent="0.2">
      <c r="A592" s="378"/>
      <c r="B592" s="378"/>
      <c r="C592" s="378"/>
      <c r="D592" s="379"/>
      <c r="E592" s="380"/>
      <c r="F592" s="378"/>
      <c r="G592" s="378"/>
      <c r="H592" s="378"/>
      <c r="I592" s="378"/>
      <c r="J592" s="378"/>
      <c r="K592" s="378"/>
      <c r="L592" s="378"/>
      <c r="M592" s="381"/>
      <c r="N592" s="381"/>
      <c r="O592" s="381"/>
      <c r="P592" s="381"/>
      <c r="Q592" s="381"/>
      <c r="R592" s="381"/>
      <c r="S592" s="381"/>
      <c r="T592" s="381"/>
      <c r="U592" s="381"/>
      <c r="V592" s="381"/>
      <c r="W592" s="381"/>
      <c r="X592" s="381"/>
      <c r="Y592" s="381"/>
      <c r="Z592" s="381"/>
      <c r="AA592" s="381"/>
      <c r="AB592" s="381"/>
      <c r="AC592" s="382"/>
      <c r="AD592" s="382"/>
    </row>
    <row r="593" spans="1:30" ht="12.75" customHeight="1" x14ac:dyDescent="0.2">
      <c r="A593" s="378"/>
      <c r="B593" s="378"/>
      <c r="C593" s="378"/>
      <c r="D593" s="379"/>
      <c r="E593" s="380"/>
      <c r="F593" s="378"/>
      <c r="G593" s="378"/>
      <c r="H593" s="378"/>
      <c r="I593" s="378"/>
      <c r="J593" s="378"/>
      <c r="K593" s="378"/>
      <c r="L593" s="378"/>
      <c r="M593" s="381"/>
      <c r="N593" s="381"/>
      <c r="O593" s="381"/>
      <c r="P593" s="381"/>
      <c r="Q593" s="381"/>
      <c r="R593" s="381"/>
      <c r="S593" s="381"/>
      <c r="T593" s="381"/>
      <c r="U593" s="381"/>
      <c r="V593" s="381"/>
      <c r="W593" s="381"/>
      <c r="X593" s="381"/>
      <c r="Y593" s="381"/>
      <c r="Z593" s="381"/>
      <c r="AA593" s="381"/>
      <c r="AB593" s="381"/>
      <c r="AC593" s="382"/>
      <c r="AD593" s="382"/>
    </row>
    <row r="594" spans="1:30" ht="12.75" customHeight="1" x14ac:dyDescent="0.2">
      <c r="A594" s="378"/>
      <c r="B594" s="378"/>
      <c r="C594" s="378"/>
      <c r="D594" s="379"/>
      <c r="E594" s="380"/>
      <c r="F594" s="378"/>
      <c r="G594" s="378"/>
      <c r="H594" s="378"/>
      <c r="I594" s="378"/>
      <c r="J594" s="378"/>
      <c r="K594" s="378"/>
      <c r="L594" s="378"/>
      <c r="M594" s="381"/>
      <c r="N594" s="381"/>
      <c r="O594" s="381"/>
      <c r="P594" s="381"/>
      <c r="Q594" s="381"/>
      <c r="R594" s="381"/>
      <c r="S594" s="381"/>
      <c r="T594" s="381"/>
      <c r="U594" s="381"/>
      <c r="V594" s="381"/>
      <c r="W594" s="381"/>
      <c r="X594" s="381"/>
      <c r="Y594" s="381"/>
      <c r="Z594" s="381"/>
      <c r="AA594" s="381"/>
      <c r="AB594" s="381"/>
      <c r="AC594" s="382"/>
      <c r="AD594" s="382"/>
    </row>
    <row r="595" spans="1:30" ht="12.75" customHeight="1" x14ac:dyDescent="0.2">
      <c r="A595" s="378"/>
      <c r="B595" s="378"/>
      <c r="C595" s="378"/>
      <c r="D595" s="379"/>
      <c r="E595" s="380"/>
      <c r="F595" s="378"/>
      <c r="G595" s="378"/>
      <c r="H595" s="378"/>
      <c r="I595" s="378"/>
      <c r="J595" s="378"/>
      <c r="K595" s="378"/>
      <c r="L595" s="378"/>
      <c r="M595" s="381"/>
      <c r="N595" s="381"/>
      <c r="O595" s="381"/>
      <c r="P595" s="381"/>
      <c r="Q595" s="381"/>
      <c r="R595" s="381"/>
      <c r="S595" s="381"/>
      <c r="T595" s="381"/>
      <c r="U595" s="381"/>
      <c r="V595" s="381"/>
      <c r="W595" s="381"/>
      <c r="X595" s="381"/>
      <c r="Y595" s="381"/>
      <c r="Z595" s="381"/>
      <c r="AA595" s="381"/>
      <c r="AB595" s="381"/>
      <c r="AC595" s="382"/>
      <c r="AD595" s="382"/>
    </row>
    <row r="596" spans="1:30" ht="12.75" customHeight="1" x14ac:dyDescent="0.2">
      <c r="A596" s="378"/>
      <c r="B596" s="378"/>
      <c r="C596" s="378"/>
      <c r="D596" s="379"/>
      <c r="E596" s="380"/>
      <c r="F596" s="378"/>
      <c r="G596" s="378"/>
      <c r="H596" s="378"/>
      <c r="I596" s="378"/>
      <c r="J596" s="378"/>
      <c r="K596" s="378"/>
      <c r="L596" s="378"/>
      <c r="M596" s="381"/>
      <c r="N596" s="381"/>
      <c r="O596" s="381"/>
      <c r="P596" s="381"/>
      <c r="Q596" s="381"/>
      <c r="R596" s="381"/>
      <c r="S596" s="381"/>
      <c r="T596" s="381"/>
      <c r="U596" s="381"/>
      <c r="V596" s="381"/>
      <c r="W596" s="381"/>
      <c r="X596" s="381"/>
      <c r="Y596" s="381"/>
      <c r="Z596" s="381"/>
      <c r="AA596" s="381"/>
      <c r="AB596" s="381"/>
      <c r="AC596" s="382"/>
      <c r="AD596" s="382"/>
    </row>
    <row r="597" spans="1:30" ht="12.75" customHeight="1" x14ac:dyDescent="0.2">
      <c r="A597" s="378"/>
      <c r="B597" s="378"/>
      <c r="C597" s="378"/>
      <c r="D597" s="379"/>
      <c r="E597" s="380"/>
      <c r="F597" s="378"/>
      <c r="G597" s="378"/>
      <c r="H597" s="378"/>
      <c r="I597" s="378"/>
      <c r="J597" s="378"/>
      <c r="K597" s="378"/>
      <c r="L597" s="378"/>
      <c r="M597" s="381"/>
      <c r="N597" s="381"/>
      <c r="O597" s="381"/>
      <c r="P597" s="381"/>
      <c r="Q597" s="381"/>
      <c r="R597" s="381"/>
      <c r="S597" s="381"/>
      <c r="T597" s="381"/>
      <c r="U597" s="381"/>
      <c r="V597" s="381"/>
      <c r="W597" s="381"/>
      <c r="X597" s="381"/>
      <c r="Y597" s="381"/>
      <c r="Z597" s="381"/>
      <c r="AA597" s="381"/>
      <c r="AB597" s="381"/>
      <c r="AC597" s="382"/>
      <c r="AD597" s="382"/>
    </row>
    <row r="598" spans="1:30" ht="12.75" customHeight="1" x14ac:dyDescent="0.2">
      <c r="A598" s="378"/>
      <c r="B598" s="378"/>
      <c r="C598" s="378"/>
      <c r="D598" s="379"/>
      <c r="E598" s="380"/>
      <c r="F598" s="378"/>
      <c r="G598" s="378"/>
      <c r="H598" s="378"/>
      <c r="I598" s="378"/>
      <c r="J598" s="378"/>
      <c r="K598" s="378"/>
      <c r="L598" s="378"/>
      <c r="M598" s="381"/>
      <c r="N598" s="381"/>
      <c r="O598" s="381"/>
      <c r="P598" s="381"/>
      <c r="Q598" s="381"/>
      <c r="R598" s="381"/>
      <c r="S598" s="381"/>
      <c r="T598" s="381"/>
      <c r="U598" s="381"/>
      <c r="V598" s="381"/>
      <c r="W598" s="381"/>
      <c r="X598" s="381"/>
      <c r="Y598" s="381"/>
      <c r="Z598" s="381"/>
      <c r="AA598" s="381"/>
      <c r="AB598" s="381"/>
      <c r="AC598" s="382"/>
      <c r="AD598" s="382"/>
    </row>
    <row r="599" spans="1:30" ht="12.75" customHeight="1" x14ac:dyDescent="0.2">
      <c r="A599" s="378"/>
      <c r="B599" s="378"/>
      <c r="C599" s="378"/>
      <c r="D599" s="379"/>
      <c r="E599" s="380"/>
      <c r="F599" s="378"/>
      <c r="G599" s="378"/>
      <c r="H599" s="378"/>
      <c r="I599" s="378"/>
      <c r="J599" s="378"/>
      <c r="K599" s="378"/>
      <c r="L599" s="378"/>
      <c r="M599" s="381"/>
      <c r="N599" s="381"/>
      <c r="O599" s="381"/>
      <c r="P599" s="381"/>
      <c r="Q599" s="381"/>
      <c r="R599" s="381"/>
      <c r="S599" s="381"/>
      <c r="T599" s="381"/>
      <c r="U599" s="381"/>
      <c r="V599" s="381"/>
      <c r="W599" s="381"/>
      <c r="X599" s="381"/>
      <c r="Y599" s="381"/>
      <c r="Z599" s="381"/>
      <c r="AA599" s="381"/>
      <c r="AB599" s="381"/>
      <c r="AC599" s="382"/>
      <c r="AD599" s="382"/>
    </row>
    <row r="600" spans="1:30" ht="12.75" customHeight="1" x14ac:dyDescent="0.2">
      <c r="A600" s="378"/>
      <c r="B600" s="378"/>
      <c r="C600" s="378"/>
      <c r="D600" s="379"/>
      <c r="E600" s="380"/>
      <c r="F600" s="378"/>
      <c r="G600" s="378"/>
      <c r="H600" s="378"/>
      <c r="I600" s="378"/>
      <c r="J600" s="378"/>
      <c r="K600" s="378"/>
      <c r="L600" s="378"/>
      <c r="M600" s="381"/>
      <c r="N600" s="381"/>
      <c r="O600" s="381"/>
      <c r="P600" s="381"/>
      <c r="Q600" s="381"/>
      <c r="R600" s="381"/>
      <c r="S600" s="381"/>
      <c r="T600" s="381"/>
      <c r="U600" s="381"/>
      <c r="V600" s="381"/>
      <c r="W600" s="381"/>
      <c r="X600" s="381"/>
      <c r="Y600" s="381"/>
      <c r="Z600" s="381"/>
      <c r="AA600" s="381"/>
      <c r="AB600" s="381"/>
      <c r="AC600" s="382"/>
      <c r="AD600" s="382"/>
    </row>
    <row r="601" spans="1:30" ht="12.75" customHeight="1" x14ac:dyDescent="0.2">
      <c r="A601" s="378"/>
      <c r="B601" s="378"/>
      <c r="C601" s="378"/>
      <c r="D601" s="379"/>
      <c r="E601" s="380"/>
      <c r="F601" s="378"/>
      <c r="G601" s="378"/>
      <c r="H601" s="378"/>
      <c r="I601" s="378"/>
      <c r="J601" s="378"/>
      <c r="K601" s="378"/>
      <c r="L601" s="378"/>
      <c r="M601" s="381"/>
      <c r="N601" s="381"/>
      <c r="O601" s="381"/>
      <c r="P601" s="381"/>
      <c r="Q601" s="381"/>
      <c r="R601" s="381"/>
      <c r="S601" s="381"/>
      <c r="T601" s="381"/>
      <c r="U601" s="381"/>
      <c r="V601" s="381"/>
      <c r="W601" s="381"/>
      <c r="X601" s="381"/>
      <c r="Y601" s="381"/>
      <c r="Z601" s="381"/>
      <c r="AA601" s="381"/>
      <c r="AB601" s="381"/>
      <c r="AC601" s="382"/>
      <c r="AD601" s="382"/>
    </row>
    <row r="602" spans="1:30" ht="12.75" customHeight="1" x14ac:dyDescent="0.2">
      <c r="A602" s="378"/>
      <c r="B602" s="378"/>
      <c r="C602" s="378"/>
      <c r="D602" s="379"/>
      <c r="E602" s="380"/>
      <c r="F602" s="378"/>
      <c r="G602" s="378"/>
      <c r="H602" s="378"/>
      <c r="I602" s="378"/>
      <c r="J602" s="378"/>
      <c r="K602" s="378"/>
      <c r="L602" s="378"/>
      <c r="M602" s="381"/>
      <c r="N602" s="381"/>
      <c r="O602" s="381"/>
      <c r="P602" s="381"/>
      <c r="Q602" s="381"/>
      <c r="R602" s="381"/>
      <c r="S602" s="381"/>
      <c r="T602" s="381"/>
      <c r="U602" s="381"/>
      <c r="V602" s="381"/>
      <c r="W602" s="381"/>
      <c r="X602" s="381"/>
      <c r="Y602" s="381"/>
      <c r="Z602" s="381"/>
      <c r="AA602" s="381"/>
      <c r="AB602" s="381"/>
      <c r="AC602" s="382"/>
      <c r="AD602" s="382"/>
    </row>
    <row r="603" spans="1:30" ht="12.75" customHeight="1" x14ac:dyDescent="0.2">
      <c r="A603" s="378"/>
      <c r="B603" s="378"/>
      <c r="C603" s="378"/>
      <c r="D603" s="379"/>
      <c r="E603" s="380"/>
      <c r="F603" s="378"/>
      <c r="G603" s="378"/>
      <c r="H603" s="378"/>
      <c r="I603" s="378"/>
      <c r="J603" s="378"/>
      <c r="K603" s="378"/>
      <c r="L603" s="378"/>
      <c r="M603" s="381"/>
      <c r="N603" s="381"/>
      <c r="O603" s="381"/>
      <c r="P603" s="381"/>
      <c r="Q603" s="381"/>
      <c r="R603" s="381"/>
      <c r="S603" s="381"/>
      <c r="T603" s="381"/>
      <c r="U603" s="381"/>
      <c r="V603" s="381"/>
      <c r="W603" s="381"/>
      <c r="X603" s="381"/>
      <c r="Y603" s="381"/>
      <c r="Z603" s="381"/>
      <c r="AA603" s="381"/>
      <c r="AB603" s="381"/>
      <c r="AC603" s="382"/>
      <c r="AD603" s="382"/>
    </row>
    <row r="604" spans="1:30" ht="12.75" customHeight="1" x14ac:dyDescent="0.2">
      <c r="A604" s="378"/>
      <c r="B604" s="378"/>
      <c r="C604" s="378"/>
      <c r="D604" s="379"/>
      <c r="E604" s="380"/>
      <c r="F604" s="378"/>
      <c r="G604" s="378"/>
      <c r="H604" s="378"/>
      <c r="I604" s="378"/>
      <c r="J604" s="378"/>
      <c r="K604" s="378"/>
      <c r="L604" s="378"/>
      <c r="M604" s="381"/>
      <c r="N604" s="381"/>
      <c r="O604" s="381"/>
      <c r="P604" s="381"/>
      <c r="Q604" s="381"/>
      <c r="R604" s="381"/>
      <c r="S604" s="381"/>
      <c r="T604" s="381"/>
      <c r="U604" s="381"/>
      <c r="V604" s="381"/>
      <c r="W604" s="381"/>
      <c r="X604" s="381"/>
      <c r="Y604" s="381"/>
      <c r="Z604" s="381"/>
      <c r="AA604" s="381"/>
      <c r="AB604" s="381"/>
      <c r="AC604" s="382"/>
      <c r="AD604" s="382"/>
    </row>
    <row r="605" spans="1:30" ht="12.75" customHeight="1" x14ac:dyDescent="0.2">
      <c r="A605" s="378"/>
      <c r="B605" s="378"/>
      <c r="C605" s="378"/>
      <c r="D605" s="379"/>
      <c r="E605" s="380"/>
      <c r="F605" s="378"/>
      <c r="G605" s="378"/>
      <c r="H605" s="378"/>
      <c r="I605" s="378"/>
      <c r="J605" s="378"/>
      <c r="K605" s="378"/>
      <c r="L605" s="378"/>
      <c r="M605" s="381"/>
      <c r="N605" s="381"/>
      <c r="O605" s="381"/>
      <c r="P605" s="381"/>
      <c r="Q605" s="381"/>
      <c r="R605" s="381"/>
      <c r="S605" s="381"/>
      <c r="T605" s="381"/>
      <c r="U605" s="381"/>
      <c r="V605" s="381"/>
      <c r="W605" s="381"/>
      <c r="X605" s="381"/>
      <c r="Y605" s="381"/>
      <c r="Z605" s="381"/>
      <c r="AA605" s="381"/>
      <c r="AB605" s="381"/>
      <c r="AC605" s="382"/>
      <c r="AD605" s="382"/>
    </row>
    <row r="606" spans="1:30" ht="12.75" customHeight="1" x14ac:dyDescent="0.2">
      <c r="A606" s="378"/>
      <c r="B606" s="378"/>
      <c r="C606" s="378"/>
      <c r="D606" s="379"/>
      <c r="E606" s="380"/>
      <c r="F606" s="378"/>
      <c r="G606" s="378"/>
      <c r="H606" s="378"/>
      <c r="I606" s="378"/>
      <c r="J606" s="378"/>
      <c r="K606" s="378"/>
      <c r="L606" s="378"/>
      <c r="M606" s="381"/>
      <c r="N606" s="381"/>
      <c r="O606" s="381"/>
      <c r="P606" s="381"/>
      <c r="Q606" s="381"/>
      <c r="R606" s="381"/>
      <c r="S606" s="381"/>
      <c r="T606" s="381"/>
      <c r="U606" s="381"/>
      <c r="V606" s="381"/>
      <c r="W606" s="381"/>
      <c r="X606" s="381"/>
      <c r="Y606" s="381"/>
      <c r="Z606" s="381"/>
      <c r="AA606" s="381"/>
      <c r="AB606" s="381"/>
      <c r="AC606" s="382"/>
      <c r="AD606" s="382"/>
    </row>
    <row r="607" spans="1:30" ht="12.75" customHeight="1" x14ac:dyDescent="0.2">
      <c r="A607" s="378"/>
      <c r="B607" s="378"/>
      <c r="C607" s="378"/>
      <c r="D607" s="379"/>
      <c r="E607" s="380"/>
      <c r="F607" s="378"/>
      <c r="G607" s="378"/>
      <c r="H607" s="378"/>
      <c r="I607" s="378"/>
      <c r="J607" s="378"/>
      <c r="K607" s="378"/>
      <c r="L607" s="378"/>
      <c r="M607" s="381"/>
      <c r="N607" s="381"/>
      <c r="O607" s="381"/>
      <c r="P607" s="381"/>
      <c r="Q607" s="381"/>
      <c r="R607" s="381"/>
      <c r="S607" s="381"/>
      <c r="T607" s="381"/>
      <c r="U607" s="381"/>
      <c r="V607" s="381"/>
      <c r="W607" s="381"/>
      <c r="X607" s="381"/>
      <c r="Y607" s="381"/>
      <c r="Z607" s="381"/>
      <c r="AA607" s="381"/>
      <c r="AB607" s="381"/>
      <c r="AC607" s="382"/>
      <c r="AD607" s="382"/>
    </row>
    <row r="608" spans="1:30" ht="12.75" customHeight="1" x14ac:dyDescent="0.2">
      <c r="A608" s="378"/>
      <c r="B608" s="378"/>
      <c r="C608" s="378"/>
      <c r="D608" s="379"/>
      <c r="E608" s="380"/>
      <c r="F608" s="378"/>
      <c r="G608" s="378"/>
      <c r="H608" s="378"/>
      <c r="I608" s="378"/>
      <c r="J608" s="378"/>
      <c r="K608" s="378"/>
      <c r="L608" s="378"/>
      <c r="M608" s="381"/>
      <c r="N608" s="381"/>
      <c r="O608" s="381"/>
      <c r="P608" s="381"/>
      <c r="Q608" s="381"/>
      <c r="R608" s="381"/>
      <c r="S608" s="381"/>
      <c r="T608" s="381"/>
      <c r="U608" s="381"/>
      <c r="V608" s="381"/>
      <c r="W608" s="381"/>
      <c r="X608" s="381"/>
      <c r="Y608" s="381"/>
      <c r="Z608" s="381"/>
      <c r="AA608" s="381"/>
      <c r="AB608" s="381"/>
      <c r="AC608" s="382"/>
      <c r="AD608" s="382"/>
    </row>
    <row r="609" spans="1:30" ht="12.75" customHeight="1" x14ac:dyDescent="0.2">
      <c r="A609" s="378"/>
      <c r="B609" s="378"/>
      <c r="C609" s="378"/>
      <c r="D609" s="379"/>
      <c r="E609" s="380"/>
      <c r="F609" s="378"/>
      <c r="G609" s="378"/>
      <c r="H609" s="378"/>
      <c r="I609" s="378"/>
      <c r="J609" s="378"/>
      <c r="K609" s="378"/>
      <c r="L609" s="378"/>
      <c r="M609" s="381"/>
      <c r="N609" s="381"/>
      <c r="O609" s="381"/>
      <c r="P609" s="381"/>
      <c r="Q609" s="381"/>
      <c r="R609" s="381"/>
      <c r="S609" s="381"/>
      <c r="T609" s="381"/>
      <c r="U609" s="381"/>
      <c r="V609" s="381"/>
      <c r="W609" s="381"/>
      <c r="X609" s="381"/>
      <c r="Y609" s="381"/>
      <c r="Z609" s="381"/>
      <c r="AA609" s="381"/>
      <c r="AB609" s="381"/>
      <c r="AC609" s="382"/>
      <c r="AD609" s="382"/>
    </row>
    <row r="610" spans="1:30" ht="12.75" customHeight="1" x14ac:dyDescent="0.2">
      <c r="A610" s="378"/>
      <c r="B610" s="378"/>
      <c r="C610" s="378"/>
      <c r="D610" s="379"/>
      <c r="E610" s="380"/>
      <c r="F610" s="378"/>
      <c r="G610" s="378"/>
      <c r="H610" s="378"/>
      <c r="I610" s="378"/>
      <c r="J610" s="378"/>
      <c r="K610" s="378"/>
      <c r="L610" s="378"/>
      <c r="M610" s="381"/>
      <c r="N610" s="381"/>
      <c r="O610" s="381"/>
      <c r="P610" s="381"/>
      <c r="Q610" s="381"/>
      <c r="R610" s="381"/>
      <c r="S610" s="381"/>
      <c r="T610" s="381"/>
      <c r="U610" s="381"/>
      <c r="V610" s="381"/>
      <c r="W610" s="381"/>
      <c r="X610" s="381"/>
      <c r="Y610" s="381"/>
      <c r="Z610" s="381"/>
      <c r="AA610" s="381"/>
      <c r="AB610" s="381"/>
      <c r="AC610" s="382"/>
      <c r="AD610" s="382"/>
    </row>
    <row r="611" spans="1:30" ht="12.75" customHeight="1" x14ac:dyDescent="0.2">
      <c r="A611" s="378"/>
      <c r="B611" s="378"/>
      <c r="C611" s="378"/>
      <c r="D611" s="379"/>
      <c r="E611" s="380"/>
      <c r="F611" s="378"/>
      <c r="G611" s="378"/>
      <c r="H611" s="378"/>
      <c r="I611" s="378"/>
      <c r="J611" s="378"/>
      <c r="K611" s="378"/>
      <c r="L611" s="378"/>
      <c r="M611" s="381"/>
      <c r="N611" s="381"/>
      <c r="O611" s="381"/>
      <c r="P611" s="381"/>
      <c r="Q611" s="381"/>
      <c r="R611" s="381"/>
      <c r="S611" s="381"/>
      <c r="T611" s="381"/>
      <c r="U611" s="381"/>
      <c r="V611" s="381"/>
      <c r="W611" s="381"/>
      <c r="X611" s="381"/>
      <c r="Y611" s="381"/>
      <c r="Z611" s="381"/>
      <c r="AA611" s="381"/>
      <c r="AB611" s="381"/>
      <c r="AC611" s="382"/>
      <c r="AD611" s="382"/>
    </row>
    <row r="612" spans="1:30" ht="12.75" customHeight="1" x14ac:dyDescent="0.2">
      <c r="A612" s="378"/>
      <c r="B612" s="378"/>
      <c r="C612" s="378"/>
      <c r="D612" s="379"/>
      <c r="E612" s="380"/>
      <c r="F612" s="378"/>
      <c r="G612" s="378"/>
      <c r="H612" s="378"/>
      <c r="I612" s="378"/>
      <c r="J612" s="378"/>
      <c r="K612" s="378"/>
      <c r="L612" s="378"/>
      <c r="M612" s="381"/>
      <c r="N612" s="381"/>
      <c r="O612" s="381"/>
      <c r="P612" s="381"/>
      <c r="Q612" s="381"/>
      <c r="R612" s="381"/>
      <c r="S612" s="381"/>
      <c r="T612" s="381"/>
      <c r="U612" s="381"/>
      <c r="V612" s="381"/>
      <c r="W612" s="381"/>
      <c r="X612" s="381"/>
      <c r="Y612" s="381"/>
      <c r="Z612" s="381"/>
      <c r="AA612" s="381"/>
      <c r="AB612" s="381"/>
      <c r="AC612" s="382"/>
      <c r="AD612" s="382"/>
    </row>
    <row r="613" spans="1:30" ht="12.75" customHeight="1" x14ac:dyDescent="0.2">
      <c r="A613" s="378"/>
      <c r="B613" s="378"/>
      <c r="C613" s="378"/>
      <c r="D613" s="379"/>
      <c r="E613" s="380"/>
      <c r="F613" s="378"/>
      <c r="G613" s="378"/>
      <c r="H613" s="378"/>
      <c r="I613" s="378"/>
      <c r="J613" s="378"/>
      <c r="K613" s="378"/>
      <c r="L613" s="378"/>
      <c r="M613" s="381"/>
      <c r="N613" s="381"/>
      <c r="O613" s="381"/>
      <c r="P613" s="381"/>
      <c r="Q613" s="381"/>
      <c r="R613" s="381"/>
      <c r="S613" s="381"/>
      <c r="T613" s="381"/>
      <c r="U613" s="381"/>
      <c r="V613" s="381"/>
      <c r="W613" s="381"/>
      <c r="X613" s="381"/>
      <c r="Y613" s="381"/>
      <c r="Z613" s="381"/>
      <c r="AA613" s="381"/>
      <c r="AB613" s="381"/>
      <c r="AC613" s="382"/>
      <c r="AD613" s="382"/>
    </row>
    <row r="614" spans="1:30" ht="12.75" customHeight="1" x14ac:dyDescent="0.2">
      <c r="A614" s="378"/>
      <c r="B614" s="378"/>
      <c r="C614" s="378"/>
      <c r="D614" s="379"/>
      <c r="E614" s="380"/>
      <c r="F614" s="378"/>
      <c r="G614" s="378"/>
      <c r="H614" s="378"/>
      <c r="I614" s="378"/>
      <c r="J614" s="378"/>
      <c r="K614" s="378"/>
      <c r="L614" s="378"/>
      <c r="M614" s="381"/>
      <c r="N614" s="381"/>
      <c r="O614" s="381"/>
      <c r="P614" s="381"/>
      <c r="Q614" s="381"/>
      <c r="R614" s="381"/>
      <c r="S614" s="381"/>
      <c r="T614" s="381"/>
      <c r="U614" s="381"/>
      <c r="V614" s="381"/>
      <c r="W614" s="381"/>
      <c r="X614" s="381"/>
      <c r="Y614" s="381"/>
      <c r="Z614" s="381"/>
      <c r="AA614" s="381"/>
      <c r="AB614" s="381"/>
      <c r="AC614" s="382"/>
      <c r="AD614" s="382"/>
    </row>
    <row r="615" spans="1:30" ht="12.75" customHeight="1" x14ac:dyDescent="0.2">
      <c r="A615" s="378"/>
      <c r="B615" s="378"/>
      <c r="C615" s="378"/>
      <c r="D615" s="379"/>
      <c r="E615" s="380"/>
      <c r="F615" s="378"/>
      <c r="G615" s="378"/>
      <c r="H615" s="378"/>
      <c r="I615" s="378"/>
      <c r="J615" s="378"/>
      <c r="K615" s="378"/>
      <c r="L615" s="378"/>
      <c r="M615" s="381"/>
      <c r="N615" s="381"/>
      <c r="O615" s="381"/>
      <c r="P615" s="381"/>
      <c r="Q615" s="381"/>
      <c r="R615" s="381"/>
      <c r="S615" s="381"/>
      <c r="T615" s="381"/>
      <c r="U615" s="381"/>
      <c r="V615" s="381"/>
      <c r="W615" s="381"/>
      <c r="X615" s="381"/>
      <c r="Y615" s="381"/>
      <c r="Z615" s="381"/>
      <c r="AA615" s="381"/>
      <c r="AB615" s="381"/>
      <c r="AC615" s="382"/>
      <c r="AD615" s="382"/>
    </row>
    <row r="616" spans="1:30" ht="12.75" customHeight="1" x14ac:dyDescent="0.2">
      <c r="A616" s="378"/>
      <c r="B616" s="378"/>
      <c r="C616" s="378"/>
      <c r="D616" s="379"/>
      <c r="E616" s="380"/>
      <c r="F616" s="378"/>
      <c r="G616" s="378"/>
      <c r="H616" s="378"/>
      <c r="I616" s="378"/>
      <c r="J616" s="378"/>
      <c r="K616" s="378"/>
      <c r="L616" s="378"/>
      <c r="M616" s="381"/>
      <c r="N616" s="381"/>
      <c r="O616" s="381"/>
      <c r="P616" s="381"/>
      <c r="Q616" s="381"/>
      <c r="R616" s="381"/>
      <c r="S616" s="381"/>
      <c r="T616" s="381"/>
      <c r="U616" s="381"/>
      <c r="V616" s="381"/>
      <c r="W616" s="381"/>
      <c r="X616" s="381"/>
      <c r="Y616" s="381"/>
      <c r="Z616" s="381"/>
      <c r="AA616" s="381"/>
      <c r="AB616" s="381"/>
      <c r="AC616" s="382"/>
      <c r="AD616" s="382"/>
    </row>
    <row r="617" spans="1:30" ht="12.75" customHeight="1" x14ac:dyDescent="0.2">
      <c r="A617" s="378"/>
      <c r="B617" s="378"/>
      <c r="C617" s="378"/>
      <c r="D617" s="379"/>
      <c r="E617" s="380"/>
      <c r="F617" s="378"/>
      <c r="G617" s="378"/>
      <c r="H617" s="378"/>
      <c r="I617" s="378"/>
      <c r="J617" s="378"/>
      <c r="K617" s="378"/>
      <c r="L617" s="378"/>
      <c r="M617" s="381"/>
      <c r="N617" s="381"/>
      <c r="O617" s="381"/>
      <c r="P617" s="381"/>
      <c r="Q617" s="381"/>
      <c r="R617" s="381"/>
      <c r="S617" s="381"/>
      <c r="T617" s="381"/>
      <c r="U617" s="381"/>
      <c r="V617" s="381"/>
      <c r="W617" s="381"/>
      <c r="X617" s="381"/>
      <c r="Y617" s="381"/>
      <c r="Z617" s="381"/>
      <c r="AA617" s="381"/>
      <c r="AB617" s="381"/>
      <c r="AC617" s="382"/>
      <c r="AD617" s="382"/>
    </row>
    <row r="618" spans="1:30" ht="12.75" customHeight="1" x14ac:dyDescent="0.2">
      <c r="A618" s="378"/>
      <c r="B618" s="378"/>
      <c r="C618" s="378"/>
      <c r="D618" s="379"/>
      <c r="E618" s="380"/>
      <c r="F618" s="378"/>
      <c r="G618" s="378"/>
      <c r="H618" s="378"/>
      <c r="I618" s="378"/>
      <c r="J618" s="378"/>
      <c r="K618" s="378"/>
      <c r="L618" s="378"/>
      <c r="M618" s="381"/>
      <c r="N618" s="381"/>
      <c r="O618" s="381"/>
      <c r="P618" s="381"/>
      <c r="Q618" s="381"/>
      <c r="R618" s="381"/>
      <c r="S618" s="381"/>
      <c r="T618" s="381"/>
      <c r="U618" s="381"/>
      <c r="V618" s="381"/>
      <c r="W618" s="381"/>
      <c r="X618" s="381"/>
      <c r="Y618" s="381"/>
      <c r="Z618" s="381"/>
      <c r="AA618" s="381"/>
      <c r="AB618" s="381"/>
      <c r="AC618" s="382"/>
      <c r="AD618" s="382"/>
    </row>
    <row r="619" spans="1:30" ht="12.75" customHeight="1" x14ac:dyDescent="0.2">
      <c r="A619" s="378"/>
      <c r="B619" s="378"/>
      <c r="C619" s="378"/>
      <c r="D619" s="379"/>
      <c r="E619" s="380"/>
      <c r="F619" s="378"/>
      <c r="G619" s="378"/>
      <c r="H619" s="378"/>
      <c r="I619" s="378"/>
      <c r="J619" s="378"/>
      <c r="K619" s="378"/>
      <c r="L619" s="378"/>
      <c r="M619" s="381"/>
      <c r="N619" s="381"/>
      <c r="O619" s="381"/>
      <c r="P619" s="381"/>
      <c r="Q619" s="381"/>
      <c r="R619" s="381"/>
      <c r="S619" s="381"/>
      <c r="T619" s="381"/>
      <c r="U619" s="381"/>
      <c r="V619" s="381"/>
      <c r="W619" s="381"/>
      <c r="X619" s="381"/>
      <c r="Y619" s="381"/>
      <c r="Z619" s="381"/>
      <c r="AA619" s="381"/>
      <c r="AB619" s="381"/>
      <c r="AC619" s="382"/>
      <c r="AD619" s="382"/>
    </row>
    <row r="620" spans="1:30" ht="12.75" customHeight="1" x14ac:dyDescent="0.2">
      <c r="A620" s="378"/>
      <c r="B620" s="378"/>
      <c r="C620" s="378"/>
      <c r="D620" s="379"/>
      <c r="E620" s="380"/>
      <c r="F620" s="378"/>
      <c r="G620" s="378"/>
      <c r="H620" s="378"/>
      <c r="I620" s="378"/>
      <c r="J620" s="378"/>
      <c r="K620" s="378"/>
      <c r="L620" s="378"/>
      <c r="M620" s="381"/>
      <c r="N620" s="381"/>
      <c r="O620" s="381"/>
      <c r="P620" s="381"/>
      <c r="Q620" s="381"/>
      <c r="R620" s="381"/>
      <c r="S620" s="381"/>
      <c r="T620" s="381"/>
      <c r="U620" s="381"/>
      <c r="V620" s="381"/>
      <c r="W620" s="381"/>
      <c r="X620" s="381"/>
      <c r="Y620" s="381"/>
      <c r="Z620" s="381"/>
      <c r="AA620" s="381"/>
      <c r="AB620" s="381"/>
      <c r="AC620" s="382"/>
      <c r="AD620" s="382"/>
    </row>
    <row r="621" spans="1:30" ht="12.75" customHeight="1" x14ac:dyDescent="0.2">
      <c r="A621" s="378"/>
      <c r="B621" s="378"/>
      <c r="C621" s="378"/>
      <c r="D621" s="379"/>
      <c r="E621" s="380"/>
      <c r="F621" s="378"/>
      <c r="G621" s="378"/>
      <c r="H621" s="378"/>
      <c r="I621" s="378"/>
      <c r="J621" s="378"/>
      <c r="K621" s="378"/>
      <c r="L621" s="378"/>
      <c r="M621" s="381"/>
      <c r="N621" s="381"/>
      <c r="O621" s="381"/>
      <c r="P621" s="381"/>
      <c r="Q621" s="381"/>
      <c r="R621" s="381"/>
      <c r="S621" s="381"/>
      <c r="T621" s="381"/>
      <c r="U621" s="381"/>
      <c r="V621" s="381"/>
      <c r="W621" s="381"/>
      <c r="X621" s="381"/>
      <c r="Y621" s="381"/>
      <c r="Z621" s="381"/>
      <c r="AA621" s="381"/>
      <c r="AB621" s="381"/>
      <c r="AC621" s="382"/>
      <c r="AD621" s="382"/>
    </row>
    <row r="622" spans="1:30" ht="12.75" customHeight="1" x14ac:dyDescent="0.2">
      <c r="A622" s="378"/>
      <c r="B622" s="378"/>
      <c r="C622" s="378"/>
      <c r="D622" s="379"/>
      <c r="E622" s="380"/>
      <c r="F622" s="378"/>
      <c r="G622" s="378"/>
      <c r="H622" s="378"/>
      <c r="I622" s="378"/>
      <c r="J622" s="378"/>
      <c r="K622" s="378"/>
      <c r="L622" s="378"/>
      <c r="M622" s="381"/>
      <c r="N622" s="381"/>
      <c r="O622" s="381"/>
      <c r="P622" s="381"/>
      <c r="Q622" s="381"/>
      <c r="R622" s="381"/>
      <c r="S622" s="381"/>
      <c r="T622" s="381"/>
      <c r="U622" s="381"/>
      <c r="V622" s="381"/>
      <c r="W622" s="381"/>
      <c r="X622" s="381"/>
      <c r="Y622" s="381"/>
      <c r="Z622" s="381"/>
      <c r="AA622" s="381"/>
      <c r="AB622" s="381"/>
      <c r="AC622" s="382"/>
      <c r="AD622" s="382"/>
    </row>
    <row r="623" spans="1:30" ht="12.75" customHeight="1" x14ac:dyDescent="0.2">
      <c r="A623" s="378"/>
      <c r="B623" s="378"/>
      <c r="C623" s="378"/>
      <c r="D623" s="379"/>
      <c r="E623" s="380"/>
      <c r="F623" s="378"/>
      <c r="G623" s="378"/>
      <c r="H623" s="378"/>
      <c r="I623" s="378"/>
      <c r="J623" s="378"/>
      <c r="K623" s="378"/>
      <c r="L623" s="378"/>
      <c r="M623" s="381"/>
      <c r="N623" s="381"/>
      <c r="O623" s="381"/>
      <c r="P623" s="381"/>
      <c r="Q623" s="381"/>
      <c r="R623" s="381"/>
      <c r="S623" s="381"/>
      <c r="T623" s="381"/>
      <c r="U623" s="381"/>
      <c r="V623" s="381"/>
      <c r="W623" s="381"/>
      <c r="X623" s="381"/>
      <c r="Y623" s="381"/>
      <c r="Z623" s="381"/>
      <c r="AA623" s="381"/>
      <c r="AB623" s="381"/>
      <c r="AC623" s="382"/>
      <c r="AD623" s="382"/>
    </row>
    <row r="624" spans="1:30" ht="12.75" customHeight="1" x14ac:dyDescent="0.2">
      <c r="A624" s="378"/>
      <c r="B624" s="378"/>
      <c r="C624" s="378"/>
      <c r="D624" s="379"/>
      <c r="E624" s="380"/>
      <c r="F624" s="378"/>
      <c r="G624" s="378"/>
      <c r="H624" s="378"/>
      <c r="I624" s="378"/>
      <c r="J624" s="378"/>
      <c r="K624" s="378"/>
      <c r="L624" s="378"/>
      <c r="M624" s="381"/>
      <c r="N624" s="381"/>
      <c r="O624" s="381"/>
      <c r="P624" s="381"/>
      <c r="Q624" s="381"/>
      <c r="R624" s="381"/>
      <c r="S624" s="381"/>
      <c r="T624" s="381"/>
      <c r="U624" s="381"/>
      <c r="V624" s="381"/>
      <c r="W624" s="381"/>
      <c r="X624" s="381"/>
      <c r="Y624" s="381"/>
      <c r="Z624" s="381"/>
      <c r="AA624" s="381"/>
      <c r="AB624" s="381"/>
      <c r="AC624" s="382"/>
      <c r="AD624" s="382"/>
    </row>
    <row r="625" spans="1:30" ht="12.75" customHeight="1" x14ac:dyDescent="0.2">
      <c r="A625" s="378"/>
      <c r="B625" s="378"/>
      <c r="C625" s="378"/>
      <c r="D625" s="379"/>
      <c r="E625" s="380"/>
      <c r="F625" s="378"/>
      <c r="G625" s="378"/>
      <c r="H625" s="378"/>
      <c r="I625" s="378"/>
      <c r="J625" s="378"/>
      <c r="K625" s="378"/>
      <c r="L625" s="378"/>
      <c r="M625" s="381"/>
      <c r="N625" s="381"/>
      <c r="O625" s="381"/>
      <c r="P625" s="381"/>
      <c r="Q625" s="381"/>
      <c r="R625" s="381"/>
      <c r="S625" s="381"/>
      <c r="T625" s="381"/>
      <c r="U625" s="381"/>
      <c r="V625" s="381"/>
      <c r="W625" s="381"/>
      <c r="X625" s="381"/>
      <c r="Y625" s="381"/>
      <c r="Z625" s="381"/>
      <c r="AA625" s="381"/>
      <c r="AB625" s="381"/>
      <c r="AC625" s="382"/>
      <c r="AD625" s="382"/>
    </row>
    <row r="626" spans="1:30" ht="12.75" customHeight="1" x14ac:dyDescent="0.2">
      <c r="A626" s="378"/>
      <c r="B626" s="378"/>
      <c r="C626" s="378"/>
      <c r="D626" s="379"/>
      <c r="E626" s="380"/>
      <c r="F626" s="378"/>
      <c r="G626" s="378"/>
      <c r="H626" s="378"/>
      <c r="I626" s="378"/>
      <c r="J626" s="378"/>
      <c r="K626" s="378"/>
      <c r="L626" s="378"/>
      <c r="M626" s="381"/>
      <c r="N626" s="381"/>
      <c r="O626" s="381"/>
      <c r="P626" s="381"/>
      <c r="Q626" s="381"/>
      <c r="R626" s="381"/>
      <c r="S626" s="381"/>
      <c r="T626" s="381"/>
      <c r="U626" s="381"/>
      <c r="V626" s="381"/>
      <c r="W626" s="381"/>
      <c r="X626" s="381"/>
      <c r="Y626" s="381"/>
      <c r="Z626" s="381"/>
      <c r="AA626" s="381"/>
      <c r="AB626" s="381"/>
      <c r="AC626" s="382"/>
      <c r="AD626" s="382"/>
    </row>
    <row r="627" spans="1:30" ht="12.75" customHeight="1" x14ac:dyDescent="0.2">
      <c r="A627" s="378"/>
      <c r="B627" s="378"/>
      <c r="C627" s="378"/>
      <c r="D627" s="379"/>
      <c r="E627" s="380"/>
      <c r="F627" s="378"/>
      <c r="G627" s="378"/>
      <c r="H627" s="378"/>
      <c r="I627" s="378"/>
      <c r="J627" s="378"/>
      <c r="K627" s="378"/>
      <c r="L627" s="378"/>
      <c r="M627" s="381"/>
      <c r="N627" s="381"/>
      <c r="O627" s="381"/>
      <c r="P627" s="381"/>
      <c r="Q627" s="381"/>
      <c r="R627" s="381"/>
      <c r="S627" s="381"/>
      <c r="T627" s="381"/>
      <c r="U627" s="381"/>
      <c r="V627" s="381"/>
      <c r="W627" s="381"/>
      <c r="X627" s="381"/>
      <c r="Y627" s="381"/>
      <c r="Z627" s="381"/>
      <c r="AA627" s="381"/>
      <c r="AB627" s="381"/>
      <c r="AC627" s="382"/>
      <c r="AD627" s="382"/>
    </row>
    <row r="628" spans="1:30" ht="12.75" customHeight="1" x14ac:dyDescent="0.2">
      <c r="A628" s="378"/>
      <c r="B628" s="378"/>
      <c r="C628" s="378"/>
      <c r="D628" s="379"/>
      <c r="E628" s="380"/>
      <c r="F628" s="378"/>
      <c r="G628" s="378"/>
      <c r="H628" s="378"/>
      <c r="I628" s="378"/>
      <c r="J628" s="378"/>
      <c r="K628" s="378"/>
      <c r="L628" s="378"/>
      <c r="M628" s="381"/>
      <c r="N628" s="381"/>
      <c r="O628" s="381"/>
      <c r="P628" s="381"/>
      <c r="Q628" s="381"/>
      <c r="R628" s="381"/>
      <c r="S628" s="381"/>
      <c r="T628" s="381"/>
      <c r="U628" s="381"/>
      <c r="V628" s="381"/>
      <c r="W628" s="381"/>
      <c r="X628" s="381"/>
      <c r="Y628" s="381"/>
      <c r="Z628" s="381"/>
      <c r="AA628" s="381"/>
      <c r="AB628" s="381"/>
      <c r="AC628" s="382"/>
      <c r="AD628" s="382"/>
    </row>
    <row r="629" spans="1:30" ht="12.75" customHeight="1" x14ac:dyDescent="0.2">
      <c r="A629" s="378"/>
      <c r="B629" s="378"/>
      <c r="C629" s="378"/>
      <c r="D629" s="379"/>
      <c r="E629" s="380"/>
      <c r="F629" s="378"/>
      <c r="G629" s="378"/>
      <c r="H629" s="378"/>
      <c r="I629" s="378"/>
      <c r="J629" s="378"/>
      <c r="K629" s="378"/>
      <c r="L629" s="378"/>
      <c r="M629" s="381"/>
      <c r="N629" s="381"/>
      <c r="O629" s="381"/>
      <c r="P629" s="381"/>
      <c r="Q629" s="381"/>
      <c r="R629" s="381"/>
      <c r="S629" s="381"/>
      <c r="T629" s="381"/>
      <c r="U629" s="381"/>
      <c r="V629" s="381"/>
      <c r="W629" s="381"/>
      <c r="X629" s="381"/>
      <c r="Y629" s="381"/>
      <c r="Z629" s="381"/>
      <c r="AA629" s="381"/>
      <c r="AB629" s="381"/>
      <c r="AC629" s="382"/>
      <c r="AD629" s="382"/>
    </row>
    <row r="630" spans="1:30" ht="12.75" customHeight="1" x14ac:dyDescent="0.2">
      <c r="A630" s="378"/>
      <c r="B630" s="378"/>
      <c r="C630" s="378"/>
      <c r="D630" s="379"/>
      <c r="E630" s="380"/>
      <c r="F630" s="378"/>
      <c r="G630" s="378"/>
      <c r="H630" s="378"/>
      <c r="I630" s="378"/>
      <c r="J630" s="378"/>
      <c r="K630" s="378"/>
      <c r="L630" s="378"/>
      <c r="M630" s="381"/>
      <c r="N630" s="381"/>
      <c r="O630" s="381"/>
      <c r="P630" s="381"/>
      <c r="Q630" s="381"/>
      <c r="R630" s="381"/>
      <c r="S630" s="381"/>
      <c r="T630" s="381"/>
      <c r="U630" s="381"/>
      <c r="V630" s="381"/>
      <c r="W630" s="381"/>
      <c r="X630" s="381"/>
      <c r="Y630" s="381"/>
      <c r="Z630" s="381"/>
      <c r="AA630" s="381"/>
      <c r="AB630" s="381"/>
      <c r="AC630" s="382"/>
      <c r="AD630" s="382"/>
    </row>
    <row r="631" spans="1:30" ht="12.75" customHeight="1" x14ac:dyDescent="0.2">
      <c r="A631" s="378"/>
      <c r="B631" s="378"/>
      <c r="C631" s="378"/>
      <c r="D631" s="379"/>
      <c r="E631" s="380"/>
      <c r="F631" s="378"/>
      <c r="G631" s="378"/>
      <c r="H631" s="378"/>
      <c r="I631" s="378"/>
      <c r="J631" s="378"/>
      <c r="K631" s="378"/>
      <c r="L631" s="378"/>
      <c r="M631" s="381"/>
      <c r="N631" s="381"/>
      <c r="O631" s="381"/>
      <c r="P631" s="381"/>
      <c r="Q631" s="381"/>
      <c r="R631" s="381"/>
      <c r="S631" s="381"/>
      <c r="T631" s="381"/>
      <c r="U631" s="381"/>
      <c r="V631" s="381"/>
      <c r="W631" s="381"/>
      <c r="X631" s="381"/>
      <c r="Y631" s="381"/>
      <c r="Z631" s="381"/>
      <c r="AA631" s="381"/>
      <c r="AB631" s="381"/>
      <c r="AC631" s="382"/>
      <c r="AD631" s="382"/>
    </row>
    <row r="632" spans="1:30" ht="12.75" customHeight="1" x14ac:dyDescent="0.2">
      <c r="A632" s="378"/>
      <c r="B632" s="378"/>
      <c r="C632" s="378"/>
      <c r="D632" s="379"/>
      <c r="E632" s="380"/>
      <c r="F632" s="378"/>
      <c r="G632" s="378"/>
      <c r="H632" s="378"/>
      <c r="I632" s="378"/>
      <c r="J632" s="378"/>
      <c r="K632" s="378"/>
      <c r="L632" s="378"/>
      <c r="M632" s="381"/>
      <c r="N632" s="381"/>
      <c r="O632" s="381"/>
      <c r="P632" s="381"/>
      <c r="Q632" s="381"/>
      <c r="R632" s="381"/>
      <c r="S632" s="381"/>
      <c r="T632" s="381"/>
      <c r="U632" s="381"/>
      <c r="V632" s="381"/>
      <c r="W632" s="381"/>
      <c r="X632" s="381"/>
      <c r="Y632" s="381"/>
      <c r="Z632" s="381"/>
      <c r="AA632" s="381"/>
      <c r="AB632" s="381"/>
      <c r="AC632" s="382"/>
      <c r="AD632" s="382"/>
    </row>
    <row r="633" spans="1:30" ht="12.75" customHeight="1" x14ac:dyDescent="0.2">
      <c r="A633" s="378"/>
      <c r="B633" s="378"/>
      <c r="C633" s="378"/>
      <c r="D633" s="379"/>
      <c r="E633" s="380"/>
      <c r="F633" s="378"/>
      <c r="G633" s="378"/>
      <c r="H633" s="378"/>
      <c r="I633" s="378"/>
      <c r="J633" s="378"/>
      <c r="K633" s="378"/>
      <c r="L633" s="378"/>
      <c r="M633" s="381"/>
      <c r="N633" s="381"/>
      <c r="O633" s="381"/>
      <c r="P633" s="381"/>
      <c r="Q633" s="381"/>
      <c r="R633" s="381"/>
      <c r="S633" s="381"/>
      <c r="T633" s="381"/>
      <c r="U633" s="381"/>
      <c r="V633" s="381"/>
      <c r="W633" s="381"/>
      <c r="X633" s="381"/>
      <c r="Y633" s="381"/>
      <c r="Z633" s="381"/>
      <c r="AA633" s="381"/>
      <c r="AB633" s="381"/>
      <c r="AC633" s="382"/>
      <c r="AD633" s="382"/>
    </row>
    <row r="634" spans="1:30" ht="12.75" customHeight="1" x14ac:dyDescent="0.2">
      <c r="A634" s="378"/>
      <c r="B634" s="378"/>
      <c r="C634" s="378"/>
      <c r="D634" s="379"/>
      <c r="E634" s="380"/>
      <c r="F634" s="378"/>
      <c r="G634" s="378"/>
      <c r="H634" s="378"/>
      <c r="I634" s="378"/>
      <c r="J634" s="378"/>
      <c r="K634" s="378"/>
      <c r="L634" s="378"/>
      <c r="M634" s="381"/>
      <c r="N634" s="381"/>
      <c r="O634" s="381"/>
      <c r="P634" s="381"/>
      <c r="Q634" s="381"/>
      <c r="R634" s="381"/>
      <c r="S634" s="381"/>
      <c r="T634" s="381"/>
      <c r="U634" s="381"/>
      <c r="V634" s="381"/>
      <c r="W634" s="381"/>
      <c r="X634" s="381"/>
      <c r="Y634" s="381"/>
      <c r="Z634" s="381"/>
      <c r="AA634" s="381"/>
      <c r="AB634" s="381"/>
      <c r="AC634" s="382"/>
      <c r="AD634" s="382"/>
    </row>
    <row r="635" spans="1:30" ht="12.75" customHeight="1" x14ac:dyDescent="0.2">
      <c r="A635" s="378"/>
      <c r="B635" s="378"/>
      <c r="C635" s="378"/>
      <c r="D635" s="379"/>
      <c r="E635" s="380"/>
      <c r="F635" s="378"/>
      <c r="G635" s="378"/>
      <c r="H635" s="378"/>
      <c r="I635" s="378"/>
      <c r="J635" s="378"/>
      <c r="K635" s="378"/>
      <c r="L635" s="378"/>
      <c r="M635" s="381"/>
      <c r="N635" s="381"/>
      <c r="O635" s="381"/>
      <c r="P635" s="381"/>
      <c r="Q635" s="381"/>
      <c r="R635" s="381"/>
      <c r="S635" s="381"/>
      <c r="T635" s="381"/>
      <c r="U635" s="381"/>
      <c r="V635" s="381"/>
      <c r="W635" s="381"/>
      <c r="X635" s="381"/>
      <c r="Y635" s="381"/>
      <c r="Z635" s="381"/>
      <c r="AA635" s="381"/>
      <c r="AB635" s="381"/>
      <c r="AC635" s="382"/>
      <c r="AD635" s="382"/>
    </row>
    <row r="636" spans="1:30" ht="12.75" customHeight="1" x14ac:dyDescent="0.2">
      <c r="A636" s="378"/>
      <c r="B636" s="378"/>
      <c r="C636" s="378"/>
      <c r="D636" s="379"/>
      <c r="E636" s="380"/>
      <c r="F636" s="378"/>
      <c r="G636" s="378"/>
      <c r="H636" s="378"/>
      <c r="I636" s="378"/>
      <c r="J636" s="378"/>
      <c r="K636" s="378"/>
      <c r="L636" s="378"/>
      <c r="M636" s="381"/>
      <c r="N636" s="381"/>
      <c r="O636" s="381"/>
      <c r="P636" s="381"/>
      <c r="Q636" s="381"/>
      <c r="R636" s="381"/>
      <c r="S636" s="381"/>
      <c r="T636" s="381"/>
      <c r="U636" s="381"/>
      <c r="V636" s="381"/>
      <c r="W636" s="381"/>
      <c r="X636" s="381"/>
      <c r="Y636" s="381"/>
      <c r="Z636" s="381"/>
      <c r="AA636" s="381"/>
      <c r="AB636" s="381"/>
      <c r="AC636" s="382"/>
      <c r="AD636" s="382"/>
    </row>
    <row r="637" spans="1:30" ht="12.75" customHeight="1" x14ac:dyDescent="0.2">
      <c r="A637" s="378"/>
      <c r="B637" s="378"/>
      <c r="C637" s="378"/>
      <c r="D637" s="379"/>
      <c r="E637" s="380"/>
      <c r="F637" s="378"/>
      <c r="G637" s="378"/>
      <c r="H637" s="378"/>
      <c r="I637" s="378"/>
      <c r="J637" s="378"/>
      <c r="K637" s="378"/>
      <c r="L637" s="378"/>
      <c r="M637" s="381"/>
      <c r="N637" s="381"/>
      <c r="O637" s="381"/>
      <c r="P637" s="381"/>
      <c r="Q637" s="381"/>
      <c r="R637" s="381"/>
      <c r="S637" s="381"/>
      <c r="T637" s="381"/>
      <c r="U637" s="381"/>
      <c r="V637" s="381"/>
      <c r="W637" s="381"/>
      <c r="X637" s="381"/>
      <c r="Y637" s="381"/>
      <c r="Z637" s="381"/>
      <c r="AA637" s="381"/>
      <c r="AB637" s="381"/>
      <c r="AC637" s="382"/>
      <c r="AD637" s="382"/>
    </row>
    <row r="638" spans="1:30" ht="12.75" customHeight="1" x14ac:dyDescent="0.2">
      <c r="A638" s="378"/>
      <c r="B638" s="378"/>
      <c r="C638" s="378"/>
      <c r="D638" s="379"/>
      <c r="E638" s="380"/>
      <c r="F638" s="378"/>
      <c r="G638" s="378"/>
      <c r="H638" s="378"/>
      <c r="I638" s="378"/>
      <c r="J638" s="378"/>
      <c r="K638" s="378"/>
      <c r="L638" s="378"/>
      <c r="M638" s="381"/>
      <c r="N638" s="381"/>
      <c r="O638" s="381"/>
      <c r="P638" s="381"/>
      <c r="Q638" s="381"/>
      <c r="R638" s="381"/>
      <c r="S638" s="381"/>
      <c r="T638" s="381"/>
      <c r="U638" s="381"/>
      <c r="V638" s="381"/>
      <c r="W638" s="381"/>
      <c r="X638" s="381"/>
      <c r="Y638" s="381"/>
      <c r="Z638" s="381"/>
      <c r="AA638" s="381"/>
      <c r="AB638" s="381"/>
      <c r="AC638" s="382"/>
      <c r="AD638" s="382"/>
    </row>
    <row r="639" spans="1:30" ht="12.75" customHeight="1" x14ac:dyDescent="0.2">
      <c r="A639" s="378"/>
      <c r="B639" s="378"/>
      <c r="C639" s="378"/>
      <c r="D639" s="379"/>
      <c r="E639" s="380"/>
      <c r="F639" s="378"/>
      <c r="G639" s="378"/>
      <c r="H639" s="378"/>
      <c r="I639" s="378"/>
      <c r="J639" s="378"/>
      <c r="K639" s="378"/>
      <c r="L639" s="378"/>
      <c r="M639" s="381"/>
      <c r="N639" s="381"/>
      <c r="O639" s="381"/>
      <c r="P639" s="381"/>
      <c r="Q639" s="381"/>
      <c r="R639" s="381"/>
      <c r="S639" s="381"/>
      <c r="T639" s="381"/>
      <c r="U639" s="381"/>
      <c r="V639" s="381"/>
      <c r="W639" s="381"/>
      <c r="X639" s="381"/>
      <c r="Y639" s="381"/>
      <c r="Z639" s="381"/>
      <c r="AA639" s="381"/>
      <c r="AB639" s="381"/>
      <c r="AC639" s="382"/>
      <c r="AD639" s="382"/>
    </row>
    <row r="640" spans="1:30" ht="12.75" customHeight="1" x14ac:dyDescent="0.2">
      <c r="A640" s="378"/>
      <c r="B640" s="378"/>
      <c r="C640" s="378"/>
      <c r="D640" s="379"/>
      <c r="E640" s="380"/>
      <c r="F640" s="378"/>
      <c r="G640" s="378"/>
      <c r="H640" s="378"/>
      <c r="I640" s="378"/>
      <c r="J640" s="378"/>
      <c r="K640" s="378"/>
      <c r="L640" s="378"/>
      <c r="M640" s="381"/>
      <c r="N640" s="381"/>
      <c r="O640" s="381"/>
      <c r="P640" s="381"/>
      <c r="Q640" s="381"/>
      <c r="R640" s="381"/>
      <c r="S640" s="381"/>
      <c r="T640" s="381"/>
      <c r="U640" s="381"/>
      <c r="V640" s="381"/>
      <c r="W640" s="381"/>
      <c r="X640" s="381"/>
      <c r="Y640" s="381"/>
      <c r="Z640" s="381"/>
      <c r="AA640" s="381"/>
      <c r="AB640" s="381"/>
      <c r="AC640" s="382"/>
      <c r="AD640" s="382"/>
    </row>
    <row r="641" spans="1:30" ht="12.75" customHeight="1" x14ac:dyDescent="0.2">
      <c r="A641" s="378"/>
      <c r="B641" s="378"/>
      <c r="C641" s="378"/>
      <c r="D641" s="379"/>
      <c r="E641" s="380"/>
      <c r="F641" s="378"/>
      <c r="G641" s="378"/>
      <c r="H641" s="378"/>
      <c r="I641" s="378"/>
      <c r="J641" s="378"/>
      <c r="K641" s="378"/>
      <c r="L641" s="378"/>
      <c r="M641" s="381"/>
      <c r="N641" s="381"/>
      <c r="O641" s="381"/>
      <c r="P641" s="381"/>
      <c r="Q641" s="381"/>
      <c r="R641" s="381"/>
      <c r="S641" s="381"/>
      <c r="T641" s="381"/>
      <c r="U641" s="381"/>
      <c r="V641" s="381"/>
      <c r="W641" s="381"/>
      <c r="X641" s="381"/>
      <c r="Y641" s="381"/>
      <c r="Z641" s="381"/>
      <c r="AA641" s="381"/>
      <c r="AB641" s="381"/>
      <c r="AC641" s="382"/>
      <c r="AD641" s="382"/>
    </row>
    <row r="642" spans="1:30" ht="12.75" customHeight="1" x14ac:dyDescent="0.2">
      <c r="A642" s="378"/>
      <c r="B642" s="378"/>
      <c r="C642" s="378"/>
      <c r="D642" s="379"/>
      <c r="E642" s="380"/>
      <c r="F642" s="378"/>
      <c r="G642" s="378"/>
      <c r="H642" s="378"/>
      <c r="I642" s="378"/>
      <c r="J642" s="378"/>
      <c r="K642" s="378"/>
      <c r="L642" s="378"/>
      <c r="M642" s="381"/>
      <c r="N642" s="381"/>
      <c r="O642" s="381"/>
      <c r="P642" s="381"/>
      <c r="Q642" s="381"/>
      <c r="R642" s="381"/>
      <c r="S642" s="381"/>
      <c r="T642" s="381"/>
      <c r="U642" s="381"/>
      <c r="V642" s="381"/>
      <c r="W642" s="381"/>
      <c r="X642" s="381"/>
      <c r="Y642" s="381"/>
      <c r="Z642" s="381"/>
      <c r="AA642" s="381"/>
      <c r="AB642" s="381"/>
      <c r="AC642" s="382"/>
      <c r="AD642" s="382"/>
    </row>
    <row r="643" spans="1:30" ht="12.75" customHeight="1" x14ac:dyDescent="0.2">
      <c r="A643" s="378"/>
      <c r="B643" s="378"/>
      <c r="C643" s="378"/>
      <c r="D643" s="379"/>
      <c r="E643" s="380"/>
      <c r="F643" s="378"/>
      <c r="G643" s="378"/>
      <c r="H643" s="378"/>
      <c r="I643" s="378"/>
      <c r="J643" s="378"/>
      <c r="K643" s="378"/>
      <c r="L643" s="378"/>
      <c r="M643" s="381"/>
      <c r="N643" s="381"/>
      <c r="O643" s="381"/>
      <c r="P643" s="381"/>
      <c r="Q643" s="381"/>
      <c r="R643" s="381"/>
      <c r="S643" s="381"/>
      <c r="T643" s="381"/>
      <c r="U643" s="381"/>
      <c r="V643" s="381"/>
      <c r="W643" s="381"/>
      <c r="X643" s="381"/>
      <c r="Y643" s="381"/>
      <c r="Z643" s="381"/>
      <c r="AA643" s="381"/>
      <c r="AB643" s="381"/>
      <c r="AC643" s="382"/>
      <c r="AD643" s="382"/>
    </row>
    <row r="644" spans="1:30" ht="12.75" customHeight="1" x14ac:dyDescent="0.2">
      <c r="A644" s="378"/>
      <c r="B644" s="378"/>
      <c r="C644" s="378"/>
      <c r="D644" s="379"/>
      <c r="E644" s="380"/>
      <c r="F644" s="378"/>
      <c r="G644" s="378"/>
      <c r="H644" s="378"/>
      <c r="I644" s="378"/>
      <c r="J644" s="378"/>
      <c r="K644" s="378"/>
      <c r="L644" s="378"/>
      <c r="M644" s="381"/>
      <c r="N644" s="381"/>
      <c r="O644" s="381"/>
      <c r="P644" s="381"/>
      <c r="Q644" s="381"/>
      <c r="R644" s="381"/>
      <c r="S644" s="381"/>
      <c r="T644" s="381"/>
      <c r="U644" s="381"/>
      <c r="V644" s="381"/>
      <c r="W644" s="381"/>
      <c r="X644" s="381"/>
      <c r="Y644" s="381"/>
      <c r="Z644" s="381"/>
      <c r="AA644" s="381"/>
      <c r="AB644" s="381"/>
      <c r="AC644" s="382"/>
      <c r="AD644" s="382"/>
    </row>
    <row r="645" spans="1:30" ht="12.75" customHeight="1" x14ac:dyDescent="0.2">
      <c r="A645" s="378"/>
      <c r="B645" s="378"/>
      <c r="C645" s="378"/>
      <c r="D645" s="379"/>
      <c r="E645" s="380"/>
      <c r="F645" s="378"/>
      <c r="G645" s="378"/>
      <c r="H645" s="378"/>
      <c r="I645" s="378"/>
      <c r="J645" s="378"/>
      <c r="K645" s="378"/>
      <c r="L645" s="378"/>
      <c r="M645" s="381"/>
      <c r="N645" s="381"/>
      <c r="O645" s="381"/>
      <c r="P645" s="381"/>
      <c r="Q645" s="381"/>
      <c r="R645" s="381"/>
      <c r="S645" s="381"/>
      <c r="T645" s="381"/>
      <c r="U645" s="381"/>
      <c r="V645" s="381"/>
      <c r="W645" s="381"/>
      <c r="X645" s="381"/>
      <c r="Y645" s="381"/>
      <c r="Z645" s="381"/>
      <c r="AA645" s="381"/>
      <c r="AB645" s="381"/>
      <c r="AC645" s="382"/>
      <c r="AD645" s="382"/>
    </row>
    <row r="646" spans="1:30" ht="12.75" customHeight="1" x14ac:dyDescent="0.2">
      <c r="A646" s="378"/>
      <c r="B646" s="378"/>
      <c r="C646" s="378"/>
      <c r="D646" s="379"/>
      <c r="E646" s="380"/>
      <c r="F646" s="378"/>
      <c r="G646" s="378"/>
      <c r="H646" s="378"/>
      <c r="I646" s="378"/>
      <c r="J646" s="378"/>
      <c r="K646" s="378"/>
      <c r="L646" s="378"/>
      <c r="M646" s="381"/>
      <c r="N646" s="381"/>
      <c r="O646" s="381"/>
      <c r="P646" s="381"/>
      <c r="Q646" s="381"/>
      <c r="R646" s="381"/>
      <c r="S646" s="381"/>
      <c r="T646" s="381"/>
      <c r="U646" s="381"/>
      <c r="V646" s="381"/>
      <c r="W646" s="381"/>
      <c r="X646" s="381"/>
      <c r="Y646" s="381"/>
      <c r="Z646" s="381"/>
      <c r="AA646" s="381"/>
      <c r="AB646" s="381"/>
      <c r="AC646" s="382"/>
      <c r="AD646" s="382"/>
    </row>
    <row r="647" spans="1:30" ht="12.75" customHeight="1" x14ac:dyDescent="0.2">
      <c r="A647" s="378"/>
      <c r="B647" s="378"/>
      <c r="C647" s="378"/>
      <c r="D647" s="379"/>
      <c r="E647" s="380"/>
      <c r="F647" s="378"/>
      <c r="G647" s="378"/>
      <c r="H647" s="378"/>
      <c r="I647" s="378"/>
      <c r="J647" s="378"/>
      <c r="K647" s="378"/>
      <c r="L647" s="378"/>
      <c r="M647" s="381"/>
      <c r="N647" s="381"/>
      <c r="O647" s="381"/>
      <c r="P647" s="381"/>
      <c r="Q647" s="381"/>
      <c r="R647" s="381"/>
      <c r="S647" s="381"/>
      <c r="T647" s="381"/>
      <c r="U647" s="381"/>
      <c r="V647" s="381"/>
      <c r="W647" s="381"/>
      <c r="X647" s="381"/>
      <c r="Y647" s="381"/>
      <c r="Z647" s="381"/>
      <c r="AA647" s="381"/>
      <c r="AB647" s="381"/>
      <c r="AC647" s="382"/>
      <c r="AD647" s="382"/>
    </row>
    <row r="648" spans="1:30" ht="12.75" customHeight="1" x14ac:dyDescent="0.2">
      <c r="A648" s="378"/>
      <c r="B648" s="378"/>
      <c r="C648" s="378"/>
      <c r="D648" s="379"/>
      <c r="E648" s="380"/>
      <c r="F648" s="378"/>
      <c r="G648" s="378"/>
      <c r="H648" s="378"/>
      <c r="I648" s="378"/>
      <c r="J648" s="378"/>
      <c r="K648" s="378"/>
      <c r="L648" s="378"/>
      <c r="M648" s="381"/>
      <c r="N648" s="381"/>
      <c r="O648" s="381"/>
      <c r="P648" s="381"/>
      <c r="Q648" s="381"/>
      <c r="R648" s="381"/>
      <c r="S648" s="381"/>
      <c r="T648" s="381"/>
      <c r="U648" s="381"/>
      <c r="V648" s="381"/>
      <c r="W648" s="381"/>
      <c r="X648" s="381"/>
      <c r="Y648" s="381"/>
      <c r="Z648" s="381"/>
      <c r="AA648" s="381"/>
      <c r="AB648" s="381"/>
      <c r="AC648" s="382"/>
      <c r="AD648" s="382"/>
    </row>
    <row r="649" spans="1:30" ht="12.75" customHeight="1" x14ac:dyDescent="0.2">
      <c r="A649" s="378"/>
      <c r="B649" s="378"/>
      <c r="C649" s="378"/>
      <c r="D649" s="379"/>
      <c r="E649" s="380"/>
      <c r="F649" s="378"/>
      <c r="G649" s="378"/>
      <c r="H649" s="378"/>
      <c r="I649" s="378"/>
      <c r="J649" s="378"/>
      <c r="K649" s="378"/>
      <c r="L649" s="378"/>
      <c r="M649" s="381"/>
      <c r="N649" s="381"/>
      <c r="O649" s="381"/>
      <c r="P649" s="381"/>
      <c r="Q649" s="381"/>
      <c r="R649" s="381"/>
      <c r="S649" s="381"/>
      <c r="T649" s="381"/>
      <c r="U649" s="381"/>
      <c r="V649" s="381"/>
      <c r="W649" s="381"/>
      <c r="X649" s="381"/>
      <c r="Y649" s="381"/>
      <c r="Z649" s="381"/>
      <c r="AA649" s="381"/>
      <c r="AB649" s="381"/>
      <c r="AC649" s="382"/>
      <c r="AD649" s="382"/>
    </row>
    <row r="650" spans="1:30" ht="12.75" customHeight="1" x14ac:dyDescent="0.2">
      <c r="A650" s="378"/>
      <c r="B650" s="378"/>
      <c r="C650" s="378"/>
      <c r="D650" s="379"/>
      <c r="E650" s="380"/>
      <c r="F650" s="378"/>
      <c r="G650" s="378"/>
      <c r="H650" s="378"/>
      <c r="I650" s="378"/>
      <c r="J650" s="378"/>
      <c r="K650" s="378"/>
      <c r="L650" s="378"/>
      <c r="M650" s="381"/>
      <c r="N650" s="381"/>
      <c r="O650" s="381"/>
      <c r="P650" s="381"/>
      <c r="Q650" s="381"/>
      <c r="R650" s="381"/>
      <c r="S650" s="381"/>
      <c r="T650" s="381"/>
      <c r="U650" s="381"/>
      <c r="V650" s="381"/>
      <c r="W650" s="381"/>
      <c r="X650" s="381"/>
      <c r="Y650" s="381"/>
      <c r="Z650" s="381"/>
      <c r="AA650" s="381"/>
      <c r="AB650" s="381"/>
      <c r="AC650" s="382"/>
      <c r="AD650" s="382"/>
    </row>
    <row r="651" spans="1:30" ht="12.75" customHeight="1" x14ac:dyDescent="0.2">
      <c r="A651" s="378"/>
      <c r="B651" s="378"/>
      <c r="C651" s="378"/>
      <c r="D651" s="379"/>
      <c r="E651" s="380"/>
      <c r="F651" s="378"/>
      <c r="G651" s="378"/>
      <c r="H651" s="378"/>
      <c r="I651" s="378"/>
      <c r="J651" s="378"/>
      <c r="K651" s="378"/>
      <c r="L651" s="378"/>
      <c r="M651" s="381"/>
      <c r="N651" s="381"/>
      <c r="O651" s="381"/>
      <c r="P651" s="381"/>
      <c r="Q651" s="381"/>
      <c r="R651" s="381"/>
      <c r="S651" s="381"/>
      <c r="T651" s="381"/>
      <c r="U651" s="381"/>
      <c r="V651" s="381"/>
      <c r="W651" s="381"/>
      <c r="X651" s="381"/>
      <c r="Y651" s="381"/>
      <c r="Z651" s="381"/>
      <c r="AA651" s="381"/>
      <c r="AB651" s="381"/>
      <c r="AC651" s="382"/>
      <c r="AD651" s="382"/>
    </row>
    <row r="652" spans="1:30" ht="12.75" customHeight="1" x14ac:dyDescent="0.2">
      <c r="A652" s="378"/>
      <c r="B652" s="378"/>
      <c r="C652" s="378"/>
      <c r="D652" s="379"/>
      <c r="E652" s="380"/>
      <c r="F652" s="378"/>
      <c r="G652" s="378"/>
      <c r="H652" s="378"/>
      <c r="I652" s="378"/>
      <c r="J652" s="378"/>
      <c r="K652" s="378"/>
      <c r="L652" s="378"/>
      <c r="M652" s="381"/>
      <c r="N652" s="381"/>
      <c r="O652" s="381"/>
      <c r="P652" s="381"/>
      <c r="Q652" s="381"/>
      <c r="R652" s="381"/>
      <c r="S652" s="381"/>
      <c r="T652" s="381"/>
      <c r="U652" s="381"/>
      <c r="V652" s="381"/>
      <c r="W652" s="381"/>
      <c r="X652" s="381"/>
      <c r="Y652" s="381"/>
      <c r="Z652" s="381"/>
      <c r="AA652" s="381"/>
      <c r="AB652" s="381"/>
      <c r="AC652" s="382"/>
      <c r="AD652" s="382"/>
    </row>
    <row r="653" spans="1:30" ht="12.75" customHeight="1" x14ac:dyDescent="0.2">
      <c r="A653" s="378"/>
      <c r="B653" s="378"/>
      <c r="C653" s="378"/>
      <c r="D653" s="379"/>
      <c r="E653" s="380"/>
      <c r="F653" s="378"/>
      <c r="G653" s="378"/>
      <c r="H653" s="378"/>
      <c r="I653" s="378"/>
      <c r="J653" s="378"/>
      <c r="K653" s="378"/>
      <c r="L653" s="378"/>
      <c r="M653" s="381"/>
      <c r="N653" s="381"/>
      <c r="O653" s="381"/>
      <c r="P653" s="381"/>
      <c r="Q653" s="381"/>
      <c r="R653" s="381"/>
      <c r="S653" s="381"/>
      <c r="T653" s="381"/>
      <c r="U653" s="381"/>
      <c r="V653" s="381"/>
      <c r="W653" s="381"/>
      <c r="X653" s="381"/>
      <c r="Y653" s="381"/>
      <c r="Z653" s="381"/>
      <c r="AA653" s="381"/>
      <c r="AB653" s="381"/>
      <c r="AC653" s="382"/>
      <c r="AD653" s="382"/>
    </row>
    <row r="654" spans="1:30" ht="12.75" customHeight="1" x14ac:dyDescent="0.2">
      <c r="A654" s="378"/>
      <c r="B654" s="378"/>
      <c r="C654" s="378"/>
      <c r="D654" s="379"/>
      <c r="E654" s="380"/>
      <c r="F654" s="378"/>
      <c r="G654" s="378"/>
      <c r="H654" s="378"/>
      <c r="I654" s="378"/>
      <c r="J654" s="378"/>
      <c r="K654" s="378"/>
      <c r="L654" s="378"/>
      <c r="M654" s="381"/>
      <c r="N654" s="381"/>
      <c r="O654" s="381"/>
      <c r="P654" s="381"/>
      <c r="Q654" s="381"/>
      <c r="R654" s="381"/>
      <c r="S654" s="381"/>
      <c r="T654" s="381"/>
      <c r="U654" s="381"/>
      <c r="V654" s="381"/>
      <c r="W654" s="381"/>
      <c r="X654" s="381"/>
      <c r="Y654" s="381"/>
      <c r="Z654" s="381"/>
      <c r="AA654" s="381"/>
      <c r="AB654" s="381"/>
      <c r="AC654" s="382"/>
      <c r="AD654" s="382"/>
    </row>
    <row r="655" spans="1:30" ht="12.75" customHeight="1" x14ac:dyDescent="0.2">
      <c r="A655" s="378"/>
      <c r="B655" s="378"/>
      <c r="C655" s="378"/>
      <c r="D655" s="379"/>
      <c r="E655" s="380"/>
      <c r="F655" s="378"/>
      <c r="G655" s="378"/>
      <c r="H655" s="378"/>
      <c r="I655" s="378"/>
      <c r="J655" s="378"/>
      <c r="K655" s="378"/>
      <c r="L655" s="378"/>
      <c r="M655" s="381"/>
      <c r="N655" s="381"/>
      <c r="O655" s="381"/>
      <c r="P655" s="381"/>
      <c r="Q655" s="381"/>
      <c r="R655" s="381"/>
      <c r="S655" s="381"/>
      <c r="T655" s="381"/>
      <c r="U655" s="381"/>
      <c r="V655" s="381"/>
      <c r="W655" s="381"/>
      <c r="X655" s="381"/>
      <c r="Y655" s="381"/>
      <c r="Z655" s="381"/>
      <c r="AA655" s="381"/>
      <c r="AB655" s="381"/>
      <c r="AC655" s="382"/>
      <c r="AD655" s="382"/>
    </row>
    <row r="656" spans="1:30" ht="12.75" customHeight="1" x14ac:dyDescent="0.2">
      <c r="A656" s="378"/>
      <c r="B656" s="378"/>
      <c r="C656" s="378"/>
      <c r="D656" s="379"/>
      <c r="E656" s="380"/>
      <c r="F656" s="378"/>
      <c r="G656" s="378"/>
      <c r="H656" s="378"/>
      <c r="I656" s="378"/>
      <c r="J656" s="378"/>
      <c r="K656" s="378"/>
      <c r="L656" s="378"/>
      <c r="M656" s="381"/>
      <c r="N656" s="381"/>
      <c r="O656" s="381"/>
      <c r="P656" s="381"/>
      <c r="Q656" s="381"/>
      <c r="R656" s="381"/>
      <c r="S656" s="381"/>
      <c r="T656" s="381"/>
      <c r="U656" s="381"/>
      <c r="V656" s="381"/>
      <c r="W656" s="381"/>
      <c r="X656" s="381"/>
      <c r="Y656" s="381"/>
      <c r="Z656" s="381"/>
      <c r="AA656" s="381"/>
      <c r="AB656" s="381"/>
      <c r="AC656" s="382"/>
      <c r="AD656" s="382"/>
    </row>
    <row r="657" spans="1:30" ht="12.75" customHeight="1" x14ac:dyDescent="0.2">
      <c r="A657" s="378"/>
      <c r="B657" s="378"/>
      <c r="C657" s="378"/>
      <c r="D657" s="379"/>
      <c r="E657" s="380"/>
      <c r="F657" s="378"/>
      <c r="G657" s="378"/>
      <c r="H657" s="378"/>
      <c r="I657" s="378"/>
      <c r="J657" s="378"/>
      <c r="K657" s="378"/>
      <c r="L657" s="378"/>
      <c r="M657" s="381"/>
      <c r="N657" s="381"/>
      <c r="O657" s="381"/>
      <c r="P657" s="381"/>
      <c r="Q657" s="381"/>
      <c r="R657" s="381"/>
      <c r="S657" s="381"/>
      <c r="T657" s="381"/>
      <c r="U657" s="381"/>
      <c r="V657" s="381"/>
      <c r="W657" s="381"/>
      <c r="X657" s="381"/>
      <c r="Y657" s="381"/>
      <c r="Z657" s="381"/>
      <c r="AA657" s="381"/>
      <c r="AB657" s="381"/>
      <c r="AC657" s="382"/>
      <c r="AD657" s="382"/>
    </row>
    <row r="658" spans="1:30" ht="12.75" customHeight="1" x14ac:dyDescent="0.2">
      <c r="A658" s="378"/>
      <c r="B658" s="378"/>
      <c r="C658" s="378"/>
      <c r="D658" s="379"/>
      <c r="E658" s="380"/>
      <c r="F658" s="378"/>
      <c r="G658" s="378"/>
      <c r="H658" s="378"/>
      <c r="I658" s="378"/>
      <c r="J658" s="378"/>
      <c r="K658" s="378"/>
      <c r="L658" s="378"/>
      <c r="M658" s="381"/>
      <c r="N658" s="381"/>
      <c r="O658" s="381"/>
      <c r="P658" s="381"/>
      <c r="Q658" s="381"/>
      <c r="R658" s="381"/>
      <c r="S658" s="381"/>
      <c r="T658" s="381"/>
      <c r="U658" s="381"/>
      <c r="V658" s="381"/>
      <c r="W658" s="381"/>
      <c r="X658" s="381"/>
      <c r="Y658" s="381"/>
      <c r="Z658" s="381"/>
      <c r="AA658" s="381"/>
      <c r="AB658" s="381"/>
      <c r="AC658" s="382"/>
      <c r="AD658" s="382"/>
    </row>
    <row r="659" spans="1:30" ht="12.75" customHeight="1" x14ac:dyDescent="0.2">
      <c r="A659" s="378"/>
      <c r="B659" s="378"/>
      <c r="C659" s="378"/>
      <c r="D659" s="379"/>
      <c r="E659" s="380"/>
      <c r="F659" s="378"/>
      <c r="G659" s="378"/>
      <c r="H659" s="378"/>
      <c r="I659" s="378"/>
      <c r="J659" s="378"/>
      <c r="K659" s="378"/>
      <c r="L659" s="378"/>
      <c r="M659" s="381"/>
      <c r="N659" s="381"/>
      <c r="O659" s="381"/>
      <c r="P659" s="381"/>
      <c r="Q659" s="381"/>
      <c r="R659" s="381"/>
      <c r="S659" s="381"/>
      <c r="T659" s="381"/>
      <c r="U659" s="381"/>
      <c r="V659" s="381"/>
      <c r="W659" s="381"/>
      <c r="X659" s="381"/>
      <c r="Y659" s="381"/>
      <c r="Z659" s="381"/>
      <c r="AA659" s="381"/>
      <c r="AB659" s="381"/>
      <c r="AC659" s="382"/>
      <c r="AD659" s="382"/>
    </row>
    <row r="660" spans="1:30" ht="12.75" customHeight="1" x14ac:dyDescent="0.2">
      <c r="A660" s="378"/>
      <c r="B660" s="378"/>
      <c r="C660" s="378"/>
      <c r="D660" s="379"/>
      <c r="E660" s="380"/>
      <c r="F660" s="378"/>
      <c r="G660" s="378"/>
      <c r="H660" s="378"/>
      <c r="I660" s="378"/>
      <c r="J660" s="378"/>
      <c r="K660" s="378"/>
      <c r="L660" s="378"/>
      <c r="M660" s="381"/>
      <c r="N660" s="381"/>
      <c r="O660" s="381"/>
      <c r="P660" s="381"/>
      <c r="Q660" s="381"/>
      <c r="R660" s="381"/>
      <c r="S660" s="381"/>
      <c r="T660" s="381"/>
      <c r="U660" s="381"/>
      <c r="V660" s="381"/>
      <c r="W660" s="381"/>
      <c r="X660" s="381"/>
      <c r="Y660" s="381"/>
      <c r="Z660" s="381"/>
      <c r="AA660" s="381"/>
      <c r="AB660" s="381"/>
      <c r="AC660" s="382"/>
      <c r="AD660" s="382"/>
    </row>
    <row r="661" spans="1:30" ht="12.75" customHeight="1" x14ac:dyDescent="0.2">
      <c r="A661" s="378"/>
      <c r="B661" s="378"/>
      <c r="C661" s="378"/>
      <c r="D661" s="379"/>
      <c r="E661" s="380"/>
      <c r="F661" s="378"/>
      <c r="G661" s="378"/>
      <c r="H661" s="378"/>
      <c r="I661" s="378"/>
      <c r="J661" s="378"/>
      <c r="K661" s="378"/>
      <c r="L661" s="378"/>
      <c r="M661" s="381"/>
      <c r="N661" s="381"/>
      <c r="O661" s="381"/>
      <c r="P661" s="381"/>
      <c r="Q661" s="381"/>
      <c r="R661" s="381"/>
      <c r="S661" s="381"/>
      <c r="T661" s="381"/>
      <c r="U661" s="381"/>
      <c r="V661" s="381"/>
      <c r="W661" s="381"/>
      <c r="X661" s="381"/>
      <c r="Y661" s="381"/>
      <c r="Z661" s="381"/>
      <c r="AA661" s="381"/>
      <c r="AB661" s="381"/>
      <c r="AC661" s="382"/>
      <c r="AD661" s="382"/>
    </row>
    <row r="662" spans="1:30" ht="12.75" customHeight="1" x14ac:dyDescent="0.2">
      <c r="A662" s="378"/>
      <c r="B662" s="378"/>
      <c r="C662" s="378"/>
      <c r="D662" s="379"/>
      <c r="E662" s="380"/>
      <c r="F662" s="378"/>
      <c r="G662" s="378"/>
      <c r="H662" s="378"/>
      <c r="I662" s="378"/>
      <c r="J662" s="378"/>
      <c r="K662" s="378"/>
      <c r="L662" s="378"/>
      <c r="M662" s="381"/>
      <c r="N662" s="381"/>
      <c r="O662" s="381"/>
      <c r="P662" s="381"/>
      <c r="Q662" s="381"/>
      <c r="R662" s="381"/>
      <c r="S662" s="381"/>
      <c r="T662" s="381"/>
      <c r="U662" s="381"/>
      <c r="V662" s="381"/>
      <c r="W662" s="381"/>
      <c r="X662" s="381"/>
      <c r="Y662" s="381"/>
      <c r="Z662" s="381"/>
      <c r="AA662" s="381"/>
      <c r="AB662" s="381"/>
      <c r="AC662" s="382"/>
      <c r="AD662" s="382"/>
    </row>
    <row r="663" spans="1:30" ht="12.75" customHeight="1" x14ac:dyDescent="0.2">
      <c r="A663" s="378"/>
      <c r="B663" s="378"/>
      <c r="C663" s="378"/>
      <c r="D663" s="379"/>
      <c r="E663" s="380"/>
      <c r="F663" s="378"/>
      <c r="G663" s="378"/>
      <c r="H663" s="378"/>
      <c r="I663" s="378"/>
      <c r="J663" s="378"/>
      <c r="K663" s="378"/>
      <c r="L663" s="378"/>
      <c r="M663" s="381"/>
      <c r="N663" s="381"/>
      <c r="O663" s="381"/>
      <c r="P663" s="381"/>
      <c r="Q663" s="381"/>
      <c r="R663" s="381"/>
      <c r="S663" s="381"/>
      <c r="T663" s="381"/>
      <c r="U663" s="381"/>
      <c r="V663" s="381"/>
      <c r="W663" s="381"/>
      <c r="X663" s="381"/>
      <c r="Y663" s="381"/>
      <c r="Z663" s="381"/>
      <c r="AA663" s="381"/>
      <c r="AB663" s="381"/>
      <c r="AC663" s="382"/>
      <c r="AD663" s="382"/>
    </row>
    <row r="664" spans="1:30" ht="12.75" customHeight="1" x14ac:dyDescent="0.2">
      <c r="A664" s="378"/>
      <c r="B664" s="378"/>
      <c r="C664" s="378"/>
      <c r="D664" s="379"/>
      <c r="E664" s="380"/>
      <c r="F664" s="378"/>
      <c r="G664" s="378"/>
      <c r="H664" s="378"/>
      <c r="I664" s="378"/>
      <c r="J664" s="378"/>
      <c r="K664" s="378"/>
      <c r="L664" s="378"/>
      <c r="M664" s="381"/>
      <c r="N664" s="381"/>
      <c r="O664" s="381"/>
      <c r="P664" s="381"/>
      <c r="Q664" s="381"/>
      <c r="R664" s="381"/>
      <c r="S664" s="381"/>
      <c r="T664" s="381"/>
      <c r="U664" s="381"/>
      <c r="V664" s="381"/>
      <c r="W664" s="381"/>
      <c r="X664" s="381"/>
      <c r="Y664" s="381"/>
      <c r="Z664" s="381"/>
      <c r="AA664" s="381"/>
      <c r="AB664" s="381"/>
      <c r="AC664" s="382"/>
      <c r="AD664" s="382"/>
    </row>
    <row r="665" spans="1:30" ht="12.75" customHeight="1" x14ac:dyDescent="0.2">
      <c r="A665" s="378"/>
      <c r="B665" s="378"/>
      <c r="C665" s="378"/>
      <c r="D665" s="379"/>
      <c r="E665" s="380"/>
      <c r="F665" s="378"/>
      <c r="G665" s="378"/>
      <c r="H665" s="378"/>
      <c r="I665" s="378"/>
      <c r="J665" s="378"/>
      <c r="K665" s="378"/>
      <c r="L665" s="378"/>
      <c r="M665" s="381"/>
      <c r="N665" s="381"/>
      <c r="O665" s="381"/>
      <c r="P665" s="381"/>
      <c r="Q665" s="381"/>
      <c r="R665" s="381"/>
      <c r="S665" s="381"/>
      <c r="T665" s="381"/>
      <c r="U665" s="381"/>
      <c r="V665" s="381"/>
      <c r="W665" s="381"/>
      <c r="X665" s="381"/>
      <c r="Y665" s="381"/>
      <c r="Z665" s="381"/>
      <c r="AA665" s="381"/>
      <c r="AB665" s="381"/>
      <c r="AC665" s="382"/>
      <c r="AD665" s="382"/>
    </row>
    <row r="666" spans="1:30" ht="12.75" customHeight="1" x14ac:dyDescent="0.2">
      <c r="A666" s="378"/>
      <c r="B666" s="378"/>
      <c r="C666" s="378"/>
      <c r="D666" s="379"/>
      <c r="E666" s="380"/>
      <c r="F666" s="378"/>
      <c r="G666" s="378"/>
      <c r="H666" s="378"/>
      <c r="I666" s="378"/>
      <c r="J666" s="378"/>
      <c r="K666" s="378"/>
      <c r="L666" s="378"/>
      <c r="M666" s="381"/>
      <c r="N666" s="381"/>
      <c r="O666" s="381"/>
      <c r="P666" s="381"/>
      <c r="Q666" s="381"/>
      <c r="R666" s="381"/>
      <c r="S666" s="381"/>
      <c r="T666" s="381"/>
      <c r="U666" s="381"/>
      <c r="V666" s="381"/>
      <c r="W666" s="381"/>
      <c r="X666" s="381"/>
      <c r="Y666" s="381"/>
      <c r="Z666" s="381"/>
      <c r="AA666" s="381"/>
      <c r="AB666" s="381"/>
      <c r="AC666" s="382"/>
      <c r="AD666" s="382"/>
    </row>
    <row r="667" spans="1:30" ht="12.75" customHeight="1" x14ac:dyDescent="0.2">
      <c r="A667" s="378"/>
      <c r="B667" s="378"/>
      <c r="C667" s="378"/>
      <c r="D667" s="379"/>
      <c r="E667" s="380"/>
      <c r="F667" s="378"/>
      <c r="G667" s="378"/>
      <c r="H667" s="378"/>
      <c r="I667" s="378"/>
      <c r="J667" s="378"/>
      <c r="K667" s="378"/>
      <c r="L667" s="378"/>
      <c r="M667" s="381"/>
      <c r="N667" s="381"/>
      <c r="O667" s="381"/>
      <c r="P667" s="381"/>
      <c r="Q667" s="381"/>
      <c r="R667" s="381"/>
      <c r="S667" s="381"/>
      <c r="T667" s="381"/>
      <c r="U667" s="381"/>
      <c r="V667" s="381"/>
      <c r="W667" s="381"/>
      <c r="X667" s="381"/>
      <c r="Y667" s="381"/>
      <c r="Z667" s="381"/>
      <c r="AA667" s="381"/>
      <c r="AB667" s="381"/>
      <c r="AC667" s="382"/>
      <c r="AD667" s="382"/>
    </row>
    <row r="668" spans="1:30" ht="12.75" customHeight="1" x14ac:dyDescent="0.2">
      <c r="A668" s="378"/>
      <c r="B668" s="378"/>
      <c r="C668" s="378"/>
      <c r="D668" s="379"/>
      <c r="E668" s="380"/>
      <c r="F668" s="378"/>
      <c r="G668" s="378"/>
      <c r="H668" s="378"/>
      <c r="I668" s="378"/>
      <c r="J668" s="378"/>
      <c r="K668" s="378"/>
      <c r="L668" s="378"/>
      <c r="M668" s="381"/>
      <c r="N668" s="381"/>
      <c r="O668" s="381"/>
      <c r="P668" s="381"/>
      <c r="Q668" s="381"/>
      <c r="R668" s="381"/>
      <c r="S668" s="381"/>
      <c r="T668" s="381"/>
      <c r="U668" s="381"/>
      <c r="V668" s="381"/>
      <c r="W668" s="381"/>
      <c r="X668" s="381"/>
      <c r="Y668" s="381"/>
      <c r="Z668" s="381"/>
      <c r="AA668" s="381"/>
      <c r="AB668" s="381"/>
      <c r="AC668" s="382"/>
      <c r="AD668" s="382"/>
    </row>
    <row r="669" spans="1:30" ht="12.75" customHeight="1" x14ac:dyDescent="0.2">
      <c r="A669" s="378"/>
      <c r="B669" s="378"/>
      <c r="C669" s="378"/>
      <c r="D669" s="379"/>
      <c r="E669" s="380"/>
      <c r="F669" s="378"/>
      <c r="G669" s="378"/>
      <c r="H669" s="378"/>
      <c r="I669" s="378"/>
      <c r="J669" s="378"/>
      <c r="K669" s="378"/>
      <c r="L669" s="378"/>
      <c r="M669" s="381"/>
      <c r="N669" s="381"/>
      <c r="O669" s="381"/>
      <c r="P669" s="381"/>
      <c r="Q669" s="381"/>
      <c r="R669" s="381"/>
      <c r="S669" s="381"/>
      <c r="T669" s="381"/>
      <c r="U669" s="381"/>
      <c r="V669" s="381"/>
      <c r="W669" s="381"/>
      <c r="X669" s="381"/>
      <c r="Y669" s="381"/>
      <c r="Z669" s="381"/>
      <c r="AA669" s="381"/>
      <c r="AB669" s="381"/>
      <c r="AC669" s="382"/>
      <c r="AD669" s="382"/>
    </row>
    <row r="670" spans="1:30" ht="12.75" customHeight="1" x14ac:dyDescent="0.2">
      <c r="A670" s="378"/>
      <c r="B670" s="378"/>
      <c r="C670" s="378"/>
      <c r="D670" s="379"/>
      <c r="E670" s="380"/>
      <c r="F670" s="378"/>
      <c r="G670" s="378"/>
      <c r="H670" s="378"/>
      <c r="I670" s="378"/>
      <c r="J670" s="378"/>
      <c r="K670" s="378"/>
      <c r="L670" s="378"/>
      <c r="M670" s="381"/>
      <c r="N670" s="381"/>
      <c r="O670" s="381"/>
      <c r="P670" s="381"/>
      <c r="Q670" s="381"/>
      <c r="R670" s="381"/>
      <c r="S670" s="381"/>
      <c r="T670" s="381"/>
      <c r="U670" s="381"/>
      <c r="V670" s="381"/>
      <c r="W670" s="381"/>
      <c r="X670" s="381"/>
      <c r="Y670" s="381"/>
      <c r="Z670" s="381"/>
      <c r="AA670" s="381"/>
      <c r="AB670" s="381"/>
      <c r="AC670" s="382"/>
      <c r="AD670" s="382"/>
    </row>
    <row r="671" spans="1:30" ht="12.75" customHeight="1" x14ac:dyDescent="0.2">
      <c r="A671" s="378"/>
      <c r="B671" s="378"/>
      <c r="C671" s="378"/>
      <c r="D671" s="379"/>
      <c r="E671" s="380"/>
      <c r="F671" s="378"/>
      <c r="G671" s="378"/>
      <c r="H671" s="378"/>
      <c r="I671" s="378"/>
      <c r="J671" s="378"/>
      <c r="K671" s="378"/>
      <c r="L671" s="378"/>
      <c r="M671" s="381"/>
      <c r="N671" s="381"/>
      <c r="O671" s="381"/>
      <c r="P671" s="381"/>
      <c r="Q671" s="381"/>
      <c r="R671" s="381"/>
      <c r="S671" s="381"/>
      <c r="T671" s="381"/>
      <c r="U671" s="381"/>
      <c r="V671" s="381"/>
      <c r="W671" s="381"/>
      <c r="X671" s="381"/>
      <c r="Y671" s="381"/>
      <c r="Z671" s="381"/>
      <c r="AA671" s="381"/>
      <c r="AB671" s="381"/>
      <c r="AC671" s="382"/>
      <c r="AD671" s="382"/>
    </row>
    <row r="672" spans="1:30" ht="12.75" customHeight="1" x14ac:dyDescent="0.2">
      <c r="A672" s="378"/>
      <c r="B672" s="378"/>
      <c r="C672" s="378"/>
      <c r="D672" s="379"/>
      <c r="E672" s="380"/>
      <c r="F672" s="378"/>
      <c r="G672" s="378"/>
      <c r="H672" s="378"/>
      <c r="I672" s="378"/>
      <c r="J672" s="378"/>
      <c r="K672" s="378"/>
      <c r="L672" s="378"/>
      <c r="M672" s="381"/>
      <c r="N672" s="381"/>
      <c r="O672" s="381"/>
      <c r="P672" s="381"/>
      <c r="Q672" s="381"/>
      <c r="R672" s="381"/>
      <c r="S672" s="381"/>
      <c r="T672" s="381"/>
      <c r="U672" s="381"/>
      <c r="V672" s="381"/>
      <c r="W672" s="381"/>
      <c r="X672" s="381"/>
      <c r="Y672" s="381"/>
      <c r="Z672" s="381"/>
      <c r="AA672" s="381"/>
      <c r="AB672" s="381"/>
      <c r="AC672" s="382"/>
      <c r="AD672" s="382"/>
    </row>
    <row r="673" spans="1:30" ht="12.75" customHeight="1" x14ac:dyDescent="0.2">
      <c r="A673" s="378"/>
      <c r="B673" s="378"/>
      <c r="C673" s="378"/>
      <c r="D673" s="379"/>
      <c r="E673" s="380"/>
      <c r="F673" s="378"/>
      <c r="G673" s="378"/>
      <c r="H673" s="378"/>
      <c r="I673" s="378"/>
      <c r="J673" s="378"/>
      <c r="K673" s="378"/>
      <c r="L673" s="378"/>
      <c r="M673" s="381"/>
      <c r="N673" s="381"/>
      <c r="O673" s="381"/>
      <c r="P673" s="381"/>
      <c r="Q673" s="381"/>
      <c r="R673" s="381"/>
      <c r="S673" s="381"/>
      <c r="T673" s="381"/>
      <c r="U673" s="381"/>
      <c r="V673" s="381"/>
      <c r="W673" s="381"/>
      <c r="X673" s="381"/>
      <c r="Y673" s="381"/>
      <c r="Z673" s="381"/>
      <c r="AA673" s="381"/>
      <c r="AB673" s="381"/>
      <c r="AC673" s="382"/>
      <c r="AD673" s="382"/>
    </row>
    <row r="674" spans="1:30" ht="12.75" customHeight="1" x14ac:dyDescent="0.2">
      <c r="A674" s="378"/>
      <c r="B674" s="378"/>
      <c r="C674" s="378"/>
      <c r="D674" s="379"/>
      <c r="E674" s="380"/>
      <c r="F674" s="378"/>
      <c r="G674" s="378"/>
      <c r="H674" s="378"/>
      <c r="I674" s="378"/>
      <c r="J674" s="378"/>
      <c r="K674" s="378"/>
      <c r="L674" s="378"/>
      <c r="M674" s="381"/>
      <c r="N674" s="381"/>
      <c r="O674" s="381"/>
      <c r="P674" s="381"/>
      <c r="Q674" s="381"/>
      <c r="R674" s="381"/>
      <c r="S674" s="381"/>
      <c r="T674" s="381"/>
      <c r="U674" s="381"/>
      <c r="V674" s="381"/>
      <c r="W674" s="381"/>
      <c r="X674" s="381"/>
      <c r="Y674" s="381"/>
      <c r="Z674" s="381"/>
      <c r="AA674" s="381"/>
      <c r="AB674" s="381"/>
      <c r="AC674" s="382"/>
      <c r="AD674" s="382"/>
    </row>
    <row r="675" spans="1:30" ht="12.75" customHeight="1" x14ac:dyDescent="0.2">
      <c r="A675" s="378"/>
      <c r="B675" s="378"/>
      <c r="C675" s="378"/>
      <c r="D675" s="379"/>
      <c r="E675" s="380"/>
      <c r="F675" s="378"/>
      <c r="G675" s="378"/>
      <c r="H675" s="378"/>
      <c r="I675" s="378"/>
      <c r="J675" s="378"/>
      <c r="K675" s="378"/>
      <c r="L675" s="378"/>
      <c r="M675" s="381"/>
      <c r="N675" s="381"/>
      <c r="O675" s="381"/>
      <c r="P675" s="381"/>
      <c r="Q675" s="381"/>
      <c r="R675" s="381"/>
      <c r="S675" s="381"/>
      <c r="T675" s="381"/>
      <c r="U675" s="381"/>
      <c r="V675" s="381"/>
      <c r="W675" s="381"/>
      <c r="X675" s="381"/>
      <c r="Y675" s="381"/>
      <c r="Z675" s="381"/>
      <c r="AA675" s="381"/>
      <c r="AB675" s="381"/>
      <c r="AC675" s="382"/>
      <c r="AD675" s="382"/>
    </row>
    <row r="676" spans="1:30" ht="12.75" customHeight="1" x14ac:dyDescent="0.2">
      <c r="A676" s="378"/>
      <c r="B676" s="378"/>
      <c r="C676" s="378"/>
      <c r="D676" s="379"/>
      <c r="E676" s="380"/>
      <c r="F676" s="378"/>
      <c r="G676" s="378"/>
      <c r="H676" s="378"/>
      <c r="I676" s="378"/>
      <c r="J676" s="378"/>
      <c r="K676" s="378"/>
      <c r="L676" s="378"/>
      <c r="M676" s="381"/>
      <c r="N676" s="381"/>
      <c r="O676" s="381"/>
      <c r="P676" s="381"/>
      <c r="Q676" s="381"/>
      <c r="R676" s="381"/>
      <c r="S676" s="381"/>
      <c r="T676" s="381"/>
      <c r="U676" s="381"/>
      <c r="V676" s="381"/>
      <c r="W676" s="381"/>
      <c r="X676" s="381"/>
      <c r="Y676" s="381"/>
      <c r="Z676" s="381"/>
      <c r="AA676" s="381"/>
      <c r="AB676" s="381"/>
      <c r="AC676" s="382"/>
      <c r="AD676" s="382"/>
    </row>
    <row r="677" spans="1:30" ht="12.75" customHeight="1" x14ac:dyDescent="0.2">
      <c r="A677" s="378"/>
      <c r="B677" s="378"/>
      <c r="C677" s="378"/>
      <c r="D677" s="379"/>
      <c r="E677" s="380"/>
      <c r="F677" s="378"/>
      <c r="G677" s="378"/>
      <c r="H677" s="378"/>
      <c r="I677" s="378"/>
      <c r="J677" s="378"/>
      <c r="K677" s="378"/>
      <c r="L677" s="378"/>
      <c r="M677" s="381"/>
      <c r="N677" s="381"/>
      <c r="O677" s="381"/>
      <c r="P677" s="381"/>
      <c r="Q677" s="381"/>
      <c r="R677" s="381"/>
      <c r="S677" s="381"/>
      <c r="T677" s="381"/>
      <c r="U677" s="381"/>
      <c r="V677" s="381"/>
      <c r="W677" s="381"/>
      <c r="X677" s="381"/>
      <c r="Y677" s="381"/>
      <c r="Z677" s="381"/>
      <c r="AA677" s="381"/>
      <c r="AB677" s="381"/>
      <c r="AC677" s="382"/>
      <c r="AD677" s="382"/>
    </row>
    <row r="678" spans="1:30" ht="12.75" customHeight="1" x14ac:dyDescent="0.2">
      <c r="A678" s="378"/>
      <c r="B678" s="378"/>
      <c r="C678" s="378"/>
      <c r="D678" s="379"/>
      <c r="E678" s="380"/>
      <c r="F678" s="378"/>
      <c r="G678" s="378"/>
      <c r="H678" s="378"/>
      <c r="I678" s="378"/>
      <c r="J678" s="378"/>
      <c r="K678" s="378"/>
      <c r="L678" s="378"/>
      <c r="M678" s="381"/>
      <c r="N678" s="381"/>
      <c r="O678" s="381"/>
      <c r="P678" s="381"/>
      <c r="Q678" s="381"/>
      <c r="R678" s="381"/>
      <c r="S678" s="381"/>
      <c r="T678" s="381"/>
      <c r="U678" s="381"/>
      <c r="V678" s="381"/>
      <c r="W678" s="381"/>
      <c r="X678" s="381"/>
      <c r="Y678" s="381"/>
      <c r="Z678" s="381"/>
      <c r="AA678" s="381"/>
      <c r="AB678" s="381"/>
      <c r="AC678" s="382"/>
      <c r="AD678" s="382"/>
    </row>
    <row r="679" spans="1:30" ht="12.75" customHeight="1" x14ac:dyDescent="0.2">
      <c r="A679" s="378"/>
      <c r="B679" s="378"/>
      <c r="C679" s="378"/>
      <c r="D679" s="379"/>
      <c r="E679" s="380"/>
      <c r="F679" s="378"/>
      <c r="G679" s="378"/>
      <c r="H679" s="378"/>
      <c r="I679" s="378"/>
      <c r="J679" s="378"/>
      <c r="K679" s="378"/>
      <c r="L679" s="378"/>
      <c r="M679" s="381"/>
      <c r="N679" s="381"/>
      <c r="O679" s="381"/>
      <c r="P679" s="381"/>
      <c r="Q679" s="381"/>
      <c r="R679" s="381"/>
      <c r="S679" s="381"/>
      <c r="T679" s="381"/>
      <c r="U679" s="381"/>
      <c r="V679" s="381"/>
      <c r="W679" s="381"/>
      <c r="X679" s="381"/>
      <c r="Y679" s="381"/>
      <c r="Z679" s="381"/>
      <c r="AA679" s="381"/>
      <c r="AB679" s="381"/>
      <c r="AC679" s="382"/>
      <c r="AD679" s="382"/>
    </row>
    <row r="680" spans="1:30" ht="12.75" customHeight="1" x14ac:dyDescent="0.2">
      <c r="A680" s="378"/>
      <c r="B680" s="378"/>
      <c r="C680" s="378"/>
      <c r="D680" s="379"/>
      <c r="E680" s="380"/>
      <c r="F680" s="378"/>
      <c r="G680" s="378"/>
      <c r="H680" s="378"/>
      <c r="I680" s="378"/>
      <c r="J680" s="378"/>
      <c r="K680" s="378"/>
      <c r="L680" s="378"/>
      <c r="M680" s="381"/>
      <c r="N680" s="381"/>
      <c r="O680" s="381"/>
      <c r="P680" s="381"/>
      <c r="Q680" s="381"/>
      <c r="R680" s="381"/>
      <c r="S680" s="381"/>
      <c r="T680" s="381"/>
      <c r="U680" s="381"/>
      <c r="V680" s="381"/>
      <c r="W680" s="381"/>
      <c r="X680" s="381"/>
      <c r="Y680" s="381"/>
      <c r="Z680" s="381"/>
      <c r="AA680" s="381"/>
      <c r="AB680" s="381"/>
      <c r="AC680" s="382"/>
      <c r="AD680" s="382"/>
    </row>
    <row r="681" spans="1:30" ht="12.75" customHeight="1" x14ac:dyDescent="0.2">
      <c r="A681" s="378"/>
      <c r="B681" s="378"/>
      <c r="C681" s="378"/>
      <c r="D681" s="379"/>
      <c r="E681" s="380"/>
      <c r="F681" s="378"/>
      <c r="G681" s="378"/>
      <c r="H681" s="378"/>
      <c r="I681" s="378"/>
      <c r="J681" s="378"/>
      <c r="K681" s="378"/>
      <c r="L681" s="378"/>
      <c r="M681" s="381"/>
      <c r="N681" s="381"/>
      <c r="O681" s="381"/>
      <c r="P681" s="381"/>
      <c r="Q681" s="381"/>
      <c r="R681" s="381"/>
      <c r="S681" s="381"/>
      <c r="T681" s="381"/>
      <c r="U681" s="381"/>
      <c r="V681" s="381"/>
      <c r="W681" s="381"/>
      <c r="X681" s="381"/>
      <c r="Y681" s="381"/>
      <c r="Z681" s="381"/>
      <c r="AA681" s="381"/>
      <c r="AB681" s="381"/>
      <c r="AC681" s="382"/>
      <c r="AD681" s="382"/>
    </row>
    <row r="682" spans="1:30" ht="12.75" customHeight="1" x14ac:dyDescent="0.2">
      <c r="A682" s="378"/>
      <c r="B682" s="378"/>
      <c r="C682" s="378"/>
      <c r="D682" s="379"/>
      <c r="E682" s="380"/>
      <c r="F682" s="378"/>
      <c r="G682" s="378"/>
      <c r="H682" s="378"/>
      <c r="I682" s="378"/>
      <c r="J682" s="378"/>
      <c r="K682" s="378"/>
      <c r="L682" s="378"/>
      <c r="M682" s="381"/>
      <c r="N682" s="381"/>
      <c r="O682" s="381"/>
      <c r="P682" s="381"/>
      <c r="Q682" s="381"/>
      <c r="R682" s="381"/>
      <c r="S682" s="381"/>
      <c r="T682" s="381"/>
      <c r="U682" s="381"/>
      <c r="V682" s="381"/>
      <c r="W682" s="381"/>
      <c r="X682" s="381"/>
      <c r="Y682" s="381"/>
      <c r="Z682" s="381"/>
      <c r="AA682" s="381"/>
      <c r="AB682" s="381"/>
      <c r="AC682" s="382"/>
      <c r="AD682" s="382"/>
    </row>
    <row r="683" spans="1:30" ht="12.75" customHeight="1" x14ac:dyDescent="0.2">
      <c r="A683" s="378"/>
      <c r="B683" s="378"/>
      <c r="C683" s="378"/>
      <c r="D683" s="379"/>
      <c r="E683" s="380"/>
      <c r="F683" s="378"/>
      <c r="G683" s="378"/>
      <c r="H683" s="378"/>
      <c r="I683" s="378"/>
      <c r="J683" s="378"/>
      <c r="K683" s="378"/>
      <c r="L683" s="378"/>
      <c r="M683" s="381"/>
      <c r="N683" s="381"/>
      <c r="O683" s="381"/>
      <c r="P683" s="381"/>
      <c r="Q683" s="381"/>
      <c r="R683" s="381"/>
      <c r="S683" s="381"/>
      <c r="T683" s="381"/>
      <c r="U683" s="381"/>
      <c r="V683" s="381"/>
      <c r="W683" s="381"/>
      <c r="X683" s="381"/>
      <c r="Y683" s="381"/>
      <c r="Z683" s="381"/>
      <c r="AA683" s="381"/>
      <c r="AB683" s="381"/>
      <c r="AC683" s="382"/>
      <c r="AD683" s="382"/>
    </row>
    <row r="684" spans="1:30" ht="12.75" customHeight="1" x14ac:dyDescent="0.2">
      <c r="A684" s="378"/>
      <c r="B684" s="378"/>
      <c r="C684" s="378"/>
      <c r="D684" s="379"/>
      <c r="E684" s="380"/>
      <c r="F684" s="378"/>
      <c r="G684" s="378"/>
      <c r="H684" s="378"/>
      <c r="I684" s="378"/>
      <c r="J684" s="378"/>
      <c r="K684" s="378"/>
      <c r="L684" s="378"/>
      <c r="M684" s="381"/>
      <c r="N684" s="381"/>
      <c r="O684" s="381"/>
      <c r="P684" s="381"/>
      <c r="Q684" s="381"/>
      <c r="R684" s="381"/>
      <c r="S684" s="381"/>
      <c r="T684" s="381"/>
      <c r="U684" s="381"/>
      <c r="V684" s="381"/>
      <c r="W684" s="381"/>
      <c r="X684" s="381"/>
      <c r="Y684" s="381"/>
      <c r="Z684" s="381"/>
      <c r="AA684" s="381"/>
      <c r="AB684" s="381"/>
      <c r="AC684" s="382"/>
      <c r="AD684" s="382"/>
    </row>
    <row r="685" spans="1:30" ht="12.75" customHeight="1" x14ac:dyDescent="0.2">
      <c r="A685" s="378"/>
      <c r="B685" s="378"/>
      <c r="C685" s="378"/>
      <c r="D685" s="379"/>
      <c r="E685" s="380"/>
      <c r="F685" s="378"/>
      <c r="G685" s="378"/>
      <c r="H685" s="378"/>
      <c r="I685" s="378"/>
      <c r="J685" s="378"/>
      <c r="K685" s="378"/>
      <c r="L685" s="378"/>
      <c r="M685" s="381"/>
      <c r="N685" s="381"/>
      <c r="O685" s="381"/>
      <c r="P685" s="381"/>
      <c r="Q685" s="381"/>
      <c r="R685" s="381"/>
      <c r="S685" s="381"/>
      <c r="T685" s="381"/>
      <c r="U685" s="381"/>
      <c r="V685" s="381"/>
      <c r="W685" s="381"/>
      <c r="X685" s="381"/>
      <c r="Y685" s="381"/>
      <c r="Z685" s="381"/>
      <c r="AA685" s="381"/>
      <c r="AB685" s="381"/>
      <c r="AC685" s="382"/>
      <c r="AD685" s="382"/>
    </row>
    <row r="686" spans="1:30" ht="12.75" customHeight="1" x14ac:dyDescent="0.2">
      <c r="A686" s="378"/>
      <c r="B686" s="378"/>
      <c r="C686" s="378"/>
      <c r="D686" s="379"/>
      <c r="E686" s="380"/>
      <c r="F686" s="378"/>
      <c r="G686" s="378"/>
      <c r="H686" s="378"/>
      <c r="I686" s="378"/>
      <c r="J686" s="378"/>
      <c r="K686" s="378"/>
      <c r="L686" s="378"/>
      <c r="M686" s="381"/>
      <c r="N686" s="381"/>
      <c r="O686" s="381"/>
      <c r="P686" s="381"/>
      <c r="Q686" s="381"/>
      <c r="R686" s="381"/>
      <c r="S686" s="381"/>
      <c r="T686" s="381"/>
      <c r="U686" s="381"/>
      <c r="V686" s="381"/>
      <c r="W686" s="381"/>
      <c r="X686" s="381"/>
      <c r="Y686" s="381"/>
      <c r="Z686" s="381"/>
      <c r="AA686" s="381"/>
      <c r="AB686" s="381"/>
      <c r="AC686" s="382"/>
      <c r="AD686" s="382"/>
    </row>
    <row r="687" spans="1:30" ht="12.75" customHeight="1" x14ac:dyDescent="0.2">
      <c r="A687" s="378"/>
      <c r="B687" s="378"/>
      <c r="C687" s="378"/>
      <c r="D687" s="379"/>
      <c r="E687" s="380"/>
      <c r="F687" s="378"/>
      <c r="G687" s="378"/>
      <c r="H687" s="378"/>
      <c r="I687" s="378"/>
      <c r="J687" s="378"/>
      <c r="K687" s="378"/>
      <c r="L687" s="378"/>
      <c r="M687" s="381"/>
      <c r="N687" s="381"/>
      <c r="O687" s="381"/>
      <c r="P687" s="381"/>
      <c r="Q687" s="381"/>
      <c r="R687" s="381"/>
      <c r="S687" s="381"/>
      <c r="T687" s="381"/>
      <c r="U687" s="381"/>
      <c r="V687" s="381"/>
      <c r="W687" s="381"/>
      <c r="X687" s="381"/>
      <c r="Y687" s="381"/>
      <c r="Z687" s="381"/>
      <c r="AA687" s="381"/>
      <c r="AB687" s="381"/>
      <c r="AC687" s="382"/>
      <c r="AD687" s="382"/>
    </row>
    <row r="688" spans="1:30" ht="12.75" customHeight="1" x14ac:dyDescent="0.2">
      <c r="A688" s="378"/>
      <c r="B688" s="378"/>
      <c r="C688" s="378"/>
      <c r="D688" s="379"/>
      <c r="E688" s="380"/>
      <c r="F688" s="378"/>
      <c r="G688" s="378"/>
      <c r="H688" s="378"/>
      <c r="I688" s="378"/>
      <c r="J688" s="378"/>
      <c r="K688" s="378"/>
      <c r="L688" s="378"/>
      <c r="M688" s="381"/>
      <c r="N688" s="381"/>
      <c r="O688" s="381"/>
      <c r="P688" s="381"/>
      <c r="Q688" s="381"/>
      <c r="R688" s="381"/>
      <c r="S688" s="381"/>
      <c r="T688" s="381"/>
      <c r="U688" s="381"/>
      <c r="V688" s="381"/>
      <c r="W688" s="381"/>
      <c r="X688" s="381"/>
      <c r="Y688" s="381"/>
      <c r="Z688" s="381"/>
      <c r="AA688" s="381"/>
      <c r="AB688" s="381"/>
      <c r="AC688" s="382"/>
      <c r="AD688" s="382"/>
    </row>
    <row r="689" spans="1:30" ht="12.75" customHeight="1" x14ac:dyDescent="0.2">
      <c r="A689" s="378"/>
      <c r="B689" s="378"/>
      <c r="C689" s="378"/>
      <c r="D689" s="379"/>
      <c r="E689" s="380"/>
      <c r="F689" s="378"/>
      <c r="G689" s="378"/>
      <c r="H689" s="378"/>
      <c r="I689" s="378"/>
      <c r="J689" s="378"/>
      <c r="K689" s="378"/>
      <c r="L689" s="378"/>
      <c r="M689" s="381"/>
      <c r="N689" s="381"/>
      <c r="O689" s="381"/>
      <c r="P689" s="381"/>
      <c r="Q689" s="381"/>
      <c r="R689" s="381"/>
      <c r="S689" s="381"/>
      <c r="T689" s="381"/>
      <c r="U689" s="381"/>
      <c r="V689" s="381"/>
      <c r="W689" s="381"/>
      <c r="X689" s="381"/>
      <c r="Y689" s="381"/>
      <c r="Z689" s="381"/>
      <c r="AA689" s="381"/>
      <c r="AB689" s="381"/>
      <c r="AC689" s="382"/>
      <c r="AD689" s="382"/>
    </row>
    <row r="690" spans="1:30" ht="12.75" customHeight="1" x14ac:dyDescent="0.2">
      <c r="A690" s="378"/>
      <c r="B690" s="378"/>
      <c r="C690" s="378"/>
      <c r="D690" s="379"/>
      <c r="E690" s="380"/>
      <c r="F690" s="378"/>
      <c r="G690" s="378"/>
      <c r="H690" s="378"/>
      <c r="I690" s="378"/>
      <c r="J690" s="378"/>
      <c r="K690" s="378"/>
      <c r="L690" s="378"/>
      <c r="M690" s="381"/>
      <c r="N690" s="381"/>
      <c r="O690" s="381"/>
      <c r="P690" s="381"/>
      <c r="Q690" s="381"/>
      <c r="R690" s="381"/>
      <c r="S690" s="381"/>
      <c r="T690" s="381"/>
      <c r="U690" s="381"/>
      <c r="V690" s="381"/>
      <c r="W690" s="381"/>
      <c r="X690" s="381"/>
      <c r="Y690" s="381"/>
      <c r="Z690" s="381"/>
      <c r="AA690" s="381"/>
      <c r="AB690" s="381"/>
      <c r="AC690" s="382"/>
      <c r="AD690" s="382"/>
    </row>
    <row r="691" spans="1:30" ht="12.75" customHeight="1" x14ac:dyDescent="0.2">
      <c r="A691" s="378"/>
      <c r="B691" s="378"/>
      <c r="C691" s="378"/>
      <c r="D691" s="379"/>
      <c r="E691" s="380"/>
      <c r="F691" s="378"/>
      <c r="G691" s="378"/>
      <c r="H691" s="378"/>
      <c r="I691" s="378"/>
      <c r="J691" s="378"/>
      <c r="K691" s="378"/>
      <c r="L691" s="378"/>
      <c r="M691" s="381"/>
      <c r="N691" s="381"/>
      <c r="O691" s="381"/>
      <c r="P691" s="381"/>
      <c r="Q691" s="381"/>
      <c r="R691" s="381"/>
      <c r="S691" s="381"/>
      <c r="T691" s="381"/>
      <c r="U691" s="381"/>
      <c r="V691" s="381"/>
      <c r="W691" s="381"/>
      <c r="X691" s="381"/>
      <c r="Y691" s="381"/>
      <c r="Z691" s="381"/>
      <c r="AA691" s="381"/>
      <c r="AB691" s="381"/>
      <c r="AC691" s="382"/>
      <c r="AD691" s="382"/>
    </row>
    <row r="692" spans="1:30" ht="12.75" customHeight="1" x14ac:dyDescent="0.2">
      <c r="A692" s="378"/>
      <c r="B692" s="378"/>
      <c r="C692" s="378"/>
      <c r="D692" s="379"/>
      <c r="E692" s="380"/>
      <c r="F692" s="378"/>
      <c r="G692" s="378"/>
      <c r="H692" s="378"/>
      <c r="I692" s="378"/>
      <c r="J692" s="378"/>
      <c r="K692" s="378"/>
      <c r="L692" s="378"/>
      <c r="M692" s="381"/>
      <c r="N692" s="381"/>
      <c r="O692" s="381"/>
      <c r="P692" s="381"/>
      <c r="Q692" s="381"/>
      <c r="R692" s="381"/>
      <c r="S692" s="381"/>
      <c r="T692" s="381"/>
      <c r="U692" s="381"/>
      <c r="V692" s="381"/>
      <c r="W692" s="381"/>
      <c r="X692" s="381"/>
      <c r="Y692" s="381"/>
      <c r="Z692" s="381"/>
      <c r="AA692" s="381"/>
      <c r="AB692" s="381"/>
      <c r="AC692" s="382"/>
      <c r="AD692" s="382"/>
    </row>
    <row r="693" spans="1:30" ht="12.75" customHeight="1" x14ac:dyDescent="0.2">
      <c r="A693" s="378"/>
      <c r="B693" s="378"/>
      <c r="C693" s="378"/>
      <c r="D693" s="379"/>
      <c r="E693" s="380"/>
      <c r="F693" s="378"/>
      <c r="G693" s="378"/>
      <c r="H693" s="378"/>
      <c r="I693" s="378"/>
      <c r="J693" s="378"/>
      <c r="K693" s="378"/>
      <c r="L693" s="378"/>
      <c r="M693" s="381"/>
      <c r="N693" s="381"/>
      <c r="O693" s="381"/>
      <c r="P693" s="381"/>
      <c r="Q693" s="381"/>
      <c r="R693" s="381"/>
      <c r="S693" s="381"/>
      <c r="T693" s="381"/>
      <c r="U693" s="381"/>
      <c r="V693" s="381"/>
      <c r="W693" s="381"/>
      <c r="X693" s="381"/>
      <c r="Y693" s="381"/>
      <c r="Z693" s="381"/>
      <c r="AA693" s="381"/>
      <c r="AB693" s="381"/>
      <c r="AC693" s="382"/>
      <c r="AD693" s="382"/>
    </row>
    <row r="694" spans="1:30" ht="12.75" customHeight="1" x14ac:dyDescent="0.2">
      <c r="A694" s="378"/>
      <c r="B694" s="378"/>
      <c r="C694" s="378"/>
      <c r="D694" s="379"/>
      <c r="E694" s="380"/>
      <c r="F694" s="378"/>
      <c r="G694" s="378"/>
      <c r="H694" s="378"/>
      <c r="I694" s="378"/>
      <c r="J694" s="378"/>
      <c r="K694" s="378"/>
      <c r="L694" s="378"/>
      <c r="M694" s="381"/>
      <c r="N694" s="381"/>
      <c r="O694" s="381"/>
      <c r="P694" s="381"/>
      <c r="Q694" s="381"/>
      <c r="R694" s="381"/>
      <c r="S694" s="381"/>
      <c r="T694" s="381"/>
      <c r="U694" s="381"/>
      <c r="V694" s="381"/>
      <c r="W694" s="381"/>
      <c r="X694" s="381"/>
      <c r="Y694" s="381"/>
      <c r="Z694" s="381"/>
      <c r="AA694" s="381"/>
      <c r="AB694" s="381"/>
      <c r="AC694" s="382"/>
      <c r="AD694" s="382"/>
    </row>
    <row r="695" spans="1:30" ht="12.75" customHeight="1" x14ac:dyDescent="0.2">
      <c r="A695" s="378"/>
      <c r="B695" s="378"/>
      <c r="C695" s="378"/>
      <c r="D695" s="379"/>
      <c r="E695" s="380"/>
      <c r="F695" s="378"/>
      <c r="G695" s="378"/>
      <c r="H695" s="378"/>
      <c r="I695" s="378"/>
      <c r="J695" s="378"/>
      <c r="K695" s="378"/>
      <c r="L695" s="378"/>
      <c r="M695" s="381"/>
      <c r="N695" s="381"/>
      <c r="O695" s="381"/>
      <c r="P695" s="381"/>
      <c r="Q695" s="381"/>
      <c r="R695" s="381"/>
      <c r="S695" s="381"/>
      <c r="T695" s="381"/>
      <c r="U695" s="381"/>
      <c r="V695" s="381"/>
      <c r="W695" s="381"/>
      <c r="X695" s="381"/>
      <c r="Y695" s="381"/>
      <c r="Z695" s="381"/>
      <c r="AA695" s="381"/>
      <c r="AB695" s="381"/>
      <c r="AC695" s="382"/>
      <c r="AD695" s="382"/>
    </row>
    <row r="696" spans="1:30" ht="12.75" customHeight="1" x14ac:dyDescent="0.2">
      <c r="A696" s="378"/>
      <c r="B696" s="378"/>
      <c r="C696" s="378"/>
      <c r="D696" s="379"/>
      <c r="E696" s="380"/>
      <c r="F696" s="378"/>
      <c r="G696" s="378"/>
      <c r="H696" s="378"/>
      <c r="I696" s="378"/>
      <c r="J696" s="378"/>
      <c r="K696" s="378"/>
      <c r="L696" s="378"/>
      <c r="M696" s="381"/>
      <c r="N696" s="381"/>
      <c r="O696" s="381"/>
      <c r="P696" s="381"/>
      <c r="Q696" s="381"/>
      <c r="R696" s="381"/>
      <c r="S696" s="381"/>
      <c r="T696" s="381"/>
      <c r="U696" s="381"/>
      <c r="V696" s="381"/>
      <c r="W696" s="381"/>
      <c r="X696" s="381"/>
      <c r="Y696" s="381"/>
      <c r="Z696" s="381"/>
      <c r="AA696" s="381"/>
      <c r="AB696" s="381"/>
      <c r="AC696" s="382"/>
      <c r="AD696" s="382"/>
    </row>
    <row r="697" spans="1:30" ht="12.75" customHeight="1" x14ac:dyDescent="0.2">
      <c r="A697" s="378"/>
      <c r="B697" s="378"/>
      <c r="C697" s="378"/>
      <c r="D697" s="379"/>
      <c r="E697" s="380"/>
      <c r="F697" s="378"/>
      <c r="G697" s="378"/>
      <c r="H697" s="378"/>
      <c r="I697" s="378"/>
      <c r="J697" s="378"/>
      <c r="K697" s="378"/>
      <c r="L697" s="378"/>
      <c r="M697" s="381"/>
      <c r="N697" s="381"/>
      <c r="O697" s="381"/>
      <c r="P697" s="381"/>
      <c r="Q697" s="381"/>
      <c r="R697" s="381"/>
      <c r="S697" s="381"/>
      <c r="T697" s="381"/>
      <c r="U697" s="381"/>
      <c r="V697" s="381"/>
      <c r="W697" s="381"/>
      <c r="X697" s="381"/>
      <c r="Y697" s="381"/>
      <c r="Z697" s="381"/>
      <c r="AA697" s="381"/>
      <c r="AB697" s="381"/>
      <c r="AC697" s="382"/>
      <c r="AD697" s="382"/>
    </row>
    <row r="698" spans="1:30" ht="12.75" customHeight="1" x14ac:dyDescent="0.2">
      <c r="A698" s="378"/>
      <c r="B698" s="378"/>
      <c r="C698" s="378"/>
      <c r="D698" s="379"/>
      <c r="E698" s="380"/>
      <c r="F698" s="378"/>
      <c r="G698" s="378"/>
      <c r="H698" s="378"/>
      <c r="I698" s="378"/>
      <c r="J698" s="378"/>
      <c r="K698" s="378"/>
      <c r="L698" s="378"/>
      <c r="M698" s="381"/>
      <c r="N698" s="381"/>
      <c r="O698" s="381"/>
      <c r="P698" s="381"/>
      <c r="Q698" s="381"/>
      <c r="R698" s="381"/>
      <c r="S698" s="381"/>
      <c r="T698" s="381"/>
      <c r="U698" s="381"/>
      <c r="V698" s="381"/>
      <c r="W698" s="381"/>
      <c r="X698" s="381"/>
      <c r="Y698" s="381"/>
      <c r="Z698" s="381"/>
      <c r="AA698" s="381"/>
      <c r="AB698" s="381"/>
      <c r="AC698" s="382"/>
      <c r="AD698" s="382"/>
    </row>
    <row r="699" spans="1:30" ht="12.75" customHeight="1" x14ac:dyDescent="0.2">
      <c r="A699" s="378"/>
      <c r="B699" s="378"/>
      <c r="C699" s="378"/>
      <c r="D699" s="379"/>
      <c r="E699" s="380"/>
      <c r="F699" s="378"/>
      <c r="G699" s="378"/>
      <c r="H699" s="378"/>
      <c r="I699" s="378"/>
      <c r="J699" s="378"/>
      <c r="K699" s="378"/>
      <c r="L699" s="378"/>
      <c r="M699" s="381"/>
      <c r="N699" s="381"/>
      <c r="O699" s="381"/>
      <c r="P699" s="381"/>
      <c r="Q699" s="381"/>
      <c r="R699" s="381"/>
      <c r="S699" s="381"/>
      <c r="T699" s="381"/>
      <c r="U699" s="381"/>
      <c r="V699" s="381"/>
      <c r="W699" s="381"/>
      <c r="X699" s="381"/>
      <c r="Y699" s="381"/>
      <c r="Z699" s="381"/>
      <c r="AA699" s="381"/>
      <c r="AB699" s="381"/>
      <c r="AC699" s="382"/>
      <c r="AD699" s="382"/>
    </row>
    <row r="700" spans="1:30" ht="12.75" customHeight="1" x14ac:dyDescent="0.2">
      <c r="A700" s="378"/>
      <c r="B700" s="378"/>
      <c r="C700" s="378"/>
      <c r="D700" s="379"/>
      <c r="E700" s="380"/>
      <c r="F700" s="378"/>
      <c r="G700" s="378"/>
      <c r="H700" s="378"/>
      <c r="I700" s="378"/>
      <c r="J700" s="378"/>
      <c r="K700" s="378"/>
      <c r="L700" s="378"/>
      <c r="M700" s="381"/>
      <c r="N700" s="381"/>
      <c r="O700" s="381"/>
      <c r="P700" s="381"/>
      <c r="Q700" s="381"/>
      <c r="R700" s="381"/>
      <c r="S700" s="381"/>
      <c r="T700" s="381"/>
      <c r="U700" s="381"/>
      <c r="V700" s="381"/>
      <c r="W700" s="381"/>
      <c r="X700" s="381"/>
      <c r="Y700" s="381"/>
      <c r="Z700" s="381"/>
      <c r="AA700" s="381"/>
      <c r="AB700" s="381"/>
      <c r="AC700" s="382"/>
      <c r="AD700" s="382"/>
    </row>
    <row r="701" spans="1:30" ht="12.75" customHeight="1" x14ac:dyDescent="0.2">
      <c r="A701" s="378"/>
      <c r="B701" s="378"/>
      <c r="C701" s="378"/>
      <c r="D701" s="379"/>
      <c r="E701" s="380"/>
      <c r="F701" s="378"/>
      <c r="G701" s="378"/>
      <c r="H701" s="378"/>
      <c r="I701" s="378"/>
      <c r="J701" s="378"/>
      <c r="K701" s="378"/>
      <c r="L701" s="378"/>
      <c r="M701" s="381"/>
      <c r="N701" s="381"/>
      <c r="O701" s="381"/>
      <c r="P701" s="381"/>
      <c r="Q701" s="381"/>
      <c r="R701" s="381"/>
      <c r="S701" s="381"/>
      <c r="T701" s="381"/>
      <c r="U701" s="381"/>
      <c r="V701" s="381"/>
      <c r="W701" s="381"/>
      <c r="X701" s="381"/>
      <c r="Y701" s="381"/>
      <c r="Z701" s="381"/>
      <c r="AA701" s="381"/>
      <c r="AB701" s="381"/>
      <c r="AC701" s="382"/>
      <c r="AD701" s="382"/>
    </row>
    <row r="702" spans="1:30" ht="12.75" customHeight="1" x14ac:dyDescent="0.2">
      <c r="A702" s="378"/>
      <c r="B702" s="378"/>
      <c r="C702" s="378"/>
      <c r="D702" s="379"/>
      <c r="E702" s="380"/>
      <c r="F702" s="378"/>
      <c r="G702" s="378"/>
      <c r="H702" s="378"/>
      <c r="I702" s="378"/>
      <c r="J702" s="378"/>
      <c r="K702" s="378"/>
      <c r="L702" s="378"/>
      <c r="M702" s="381"/>
      <c r="N702" s="381"/>
      <c r="O702" s="381"/>
      <c r="P702" s="381"/>
      <c r="Q702" s="381"/>
      <c r="R702" s="381"/>
      <c r="S702" s="381"/>
      <c r="T702" s="381"/>
      <c r="U702" s="381"/>
      <c r="V702" s="381"/>
      <c r="W702" s="381"/>
      <c r="X702" s="381"/>
      <c r="Y702" s="381"/>
      <c r="Z702" s="381"/>
      <c r="AA702" s="381"/>
      <c r="AB702" s="381"/>
      <c r="AC702" s="382"/>
      <c r="AD702" s="382"/>
    </row>
    <row r="703" spans="1:30" ht="12.75" customHeight="1" x14ac:dyDescent="0.2">
      <c r="A703" s="378"/>
      <c r="B703" s="378"/>
      <c r="C703" s="378"/>
      <c r="D703" s="379"/>
      <c r="E703" s="380"/>
      <c r="F703" s="378"/>
      <c r="G703" s="378"/>
      <c r="H703" s="378"/>
      <c r="I703" s="378"/>
      <c r="J703" s="378"/>
      <c r="K703" s="378"/>
      <c r="L703" s="378"/>
      <c r="M703" s="381"/>
      <c r="N703" s="381"/>
      <c r="O703" s="381"/>
      <c r="P703" s="381"/>
      <c r="Q703" s="381"/>
      <c r="R703" s="381"/>
      <c r="S703" s="381"/>
      <c r="T703" s="381"/>
      <c r="U703" s="381"/>
      <c r="V703" s="381"/>
      <c r="W703" s="381"/>
      <c r="X703" s="381"/>
      <c r="Y703" s="381"/>
      <c r="Z703" s="381"/>
      <c r="AA703" s="381"/>
      <c r="AB703" s="381"/>
      <c r="AC703" s="382"/>
      <c r="AD703" s="382"/>
    </row>
    <row r="704" spans="1:30" ht="12.75" customHeight="1" x14ac:dyDescent="0.2">
      <c r="A704" s="378"/>
      <c r="B704" s="378"/>
      <c r="C704" s="378"/>
      <c r="D704" s="379"/>
      <c r="E704" s="380"/>
      <c r="F704" s="378"/>
      <c r="G704" s="378"/>
      <c r="H704" s="378"/>
      <c r="I704" s="378"/>
      <c r="J704" s="378"/>
      <c r="K704" s="378"/>
      <c r="L704" s="378"/>
      <c r="M704" s="381"/>
      <c r="N704" s="381"/>
      <c r="O704" s="381"/>
      <c r="P704" s="381"/>
      <c r="Q704" s="381"/>
      <c r="R704" s="381"/>
      <c r="S704" s="381"/>
      <c r="T704" s="381"/>
      <c r="U704" s="381"/>
      <c r="V704" s="381"/>
      <c r="W704" s="381"/>
      <c r="X704" s="381"/>
      <c r="Y704" s="381"/>
      <c r="Z704" s="381"/>
      <c r="AA704" s="381"/>
      <c r="AB704" s="381"/>
      <c r="AC704" s="382"/>
      <c r="AD704" s="382"/>
    </row>
    <row r="705" spans="1:30" ht="12.75" customHeight="1" x14ac:dyDescent="0.2">
      <c r="A705" s="378"/>
      <c r="B705" s="378"/>
      <c r="C705" s="378"/>
      <c r="D705" s="379"/>
      <c r="E705" s="380"/>
      <c r="F705" s="378"/>
      <c r="G705" s="378"/>
      <c r="H705" s="378"/>
      <c r="I705" s="378"/>
      <c r="J705" s="378"/>
      <c r="K705" s="378"/>
      <c r="L705" s="378"/>
      <c r="M705" s="381"/>
      <c r="N705" s="381"/>
      <c r="O705" s="381"/>
      <c r="P705" s="381"/>
      <c r="Q705" s="381"/>
      <c r="R705" s="381"/>
      <c r="S705" s="381"/>
      <c r="T705" s="381"/>
      <c r="U705" s="381"/>
      <c r="V705" s="381"/>
      <c r="W705" s="381"/>
      <c r="X705" s="381"/>
      <c r="Y705" s="381"/>
      <c r="Z705" s="381"/>
      <c r="AA705" s="381"/>
      <c r="AB705" s="381"/>
      <c r="AC705" s="382"/>
      <c r="AD705" s="382"/>
    </row>
    <row r="706" spans="1:30" ht="12.75" customHeight="1" x14ac:dyDescent="0.2">
      <c r="A706" s="378"/>
      <c r="B706" s="378"/>
      <c r="C706" s="378"/>
      <c r="D706" s="379"/>
      <c r="E706" s="380"/>
      <c r="F706" s="378"/>
      <c r="G706" s="378"/>
      <c r="H706" s="378"/>
      <c r="I706" s="378"/>
      <c r="J706" s="378"/>
      <c r="K706" s="378"/>
      <c r="L706" s="378"/>
      <c r="M706" s="381"/>
      <c r="N706" s="381"/>
      <c r="O706" s="381"/>
      <c r="P706" s="381"/>
      <c r="Q706" s="381"/>
      <c r="R706" s="381"/>
      <c r="S706" s="381"/>
      <c r="T706" s="381"/>
      <c r="U706" s="381"/>
      <c r="V706" s="381"/>
      <c r="W706" s="381"/>
      <c r="X706" s="381"/>
      <c r="Y706" s="381"/>
      <c r="Z706" s="381"/>
      <c r="AA706" s="381"/>
      <c r="AB706" s="381"/>
      <c r="AC706" s="382"/>
      <c r="AD706" s="382"/>
    </row>
    <row r="707" spans="1:30" ht="12.75" customHeight="1" x14ac:dyDescent="0.2">
      <c r="A707" s="378"/>
      <c r="B707" s="378"/>
      <c r="C707" s="378"/>
      <c r="D707" s="379"/>
      <c r="E707" s="380"/>
      <c r="F707" s="378"/>
      <c r="G707" s="378"/>
      <c r="H707" s="378"/>
      <c r="I707" s="378"/>
      <c r="J707" s="378"/>
      <c r="K707" s="378"/>
      <c r="L707" s="378"/>
      <c r="M707" s="381"/>
      <c r="N707" s="381"/>
      <c r="O707" s="381"/>
      <c r="P707" s="381"/>
      <c r="Q707" s="381"/>
      <c r="R707" s="381"/>
      <c r="S707" s="381"/>
      <c r="T707" s="381"/>
      <c r="U707" s="381"/>
      <c r="V707" s="381"/>
      <c r="W707" s="381"/>
      <c r="X707" s="381"/>
      <c r="Y707" s="381"/>
      <c r="Z707" s="381"/>
      <c r="AA707" s="381"/>
      <c r="AB707" s="381"/>
      <c r="AC707" s="382"/>
      <c r="AD707" s="382"/>
    </row>
    <row r="708" spans="1:30" ht="12.75" customHeight="1" x14ac:dyDescent="0.2">
      <c r="A708" s="378"/>
      <c r="B708" s="378"/>
      <c r="C708" s="378"/>
      <c r="D708" s="379"/>
      <c r="E708" s="380"/>
      <c r="F708" s="378"/>
      <c r="G708" s="378"/>
      <c r="H708" s="378"/>
      <c r="I708" s="378"/>
      <c r="J708" s="378"/>
      <c r="K708" s="378"/>
      <c r="L708" s="378"/>
      <c r="M708" s="381"/>
      <c r="N708" s="381"/>
      <c r="O708" s="381"/>
      <c r="P708" s="381"/>
      <c r="Q708" s="381"/>
      <c r="R708" s="381"/>
      <c r="S708" s="381"/>
      <c r="T708" s="381"/>
      <c r="U708" s="381"/>
      <c r="V708" s="381"/>
      <c r="W708" s="381"/>
      <c r="X708" s="381"/>
      <c r="Y708" s="381"/>
      <c r="Z708" s="381"/>
      <c r="AA708" s="381"/>
      <c r="AB708" s="381"/>
      <c r="AC708" s="382"/>
      <c r="AD708" s="382"/>
    </row>
    <row r="709" spans="1:30" ht="12.75" customHeight="1" x14ac:dyDescent="0.2">
      <c r="A709" s="378"/>
      <c r="B709" s="378"/>
      <c r="C709" s="378"/>
      <c r="D709" s="379"/>
      <c r="E709" s="380"/>
      <c r="F709" s="378"/>
      <c r="G709" s="378"/>
      <c r="H709" s="378"/>
      <c r="I709" s="378"/>
      <c r="J709" s="378"/>
      <c r="K709" s="378"/>
      <c r="L709" s="378"/>
      <c r="M709" s="381"/>
      <c r="N709" s="381"/>
      <c r="O709" s="381"/>
      <c r="P709" s="381"/>
      <c r="Q709" s="381"/>
      <c r="R709" s="381"/>
      <c r="S709" s="381"/>
      <c r="T709" s="381"/>
      <c r="U709" s="381"/>
      <c r="V709" s="381"/>
      <c r="W709" s="381"/>
      <c r="X709" s="381"/>
      <c r="Y709" s="381"/>
      <c r="Z709" s="381"/>
      <c r="AA709" s="381"/>
      <c r="AB709" s="381"/>
      <c r="AC709" s="382"/>
      <c r="AD709" s="382"/>
    </row>
    <row r="710" spans="1:30" ht="12.75" customHeight="1" x14ac:dyDescent="0.2">
      <c r="A710" s="378"/>
      <c r="B710" s="378"/>
      <c r="C710" s="378"/>
      <c r="D710" s="379"/>
      <c r="E710" s="380"/>
      <c r="F710" s="378"/>
      <c r="G710" s="378"/>
      <c r="H710" s="378"/>
      <c r="I710" s="378"/>
      <c r="J710" s="378"/>
      <c r="K710" s="378"/>
      <c r="L710" s="378"/>
      <c r="M710" s="381"/>
      <c r="N710" s="381"/>
      <c r="O710" s="381"/>
      <c r="P710" s="381"/>
      <c r="Q710" s="381"/>
      <c r="R710" s="381"/>
      <c r="S710" s="381"/>
      <c r="T710" s="381"/>
      <c r="U710" s="381"/>
      <c r="V710" s="381"/>
      <c r="W710" s="381"/>
      <c r="X710" s="381"/>
      <c r="Y710" s="381"/>
      <c r="Z710" s="381"/>
      <c r="AA710" s="381"/>
      <c r="AB710" s="381"/>
      <c r="AC710" s="382"/>
      <c r="AD710" s="382"/>
    </row>
    <row r="711" spans="1:30" ht="12.75" customHeight="1" x14ac:dyDescent="0.2">
      <c r="A711" s="378"/>
      <c r="B711" s="378"/>
      <c r="C711" s="378"/>
      <c r="D711" s="379"/>
      <c r="E711" s="380"/>
      <c r="F711" s="378"/>
      <c r="G711" s="378"/>
      <c r="H711" s="378"/>
      <c r="I711" s="378"/>
      <c r="J711" s="378"/>
      <c r="K711" s="378"/>
      <c r="L711" s="378"/>
      <c r="M711" s="381"/>
      <c r="N711" s="381"/>
      <c r="O711" s="381"/>
      <c r="P711" s="381"/>
      <c r="Q711" s="381"/>
      <c r="R711" s="381"/>
      <c r="S711" s="381"/>
      <c r="T711" s="381"/>
      <c r="U711" s="381"/>
      <c r="V711" s="381"/>
      <c r="W711" s="381"/>
      <c r="X711" s="381"/>
      <c r="Y711" s="381"/>
      <c r="Z711" s="381"/>
      <c r="AA711" s="381"/>
      <c r="AB711" s="381"/>
      <c r="AC711" s="382"/>
      <c r="AD711" s="382"/>
    </row>
    <row r="712" spans="1:30" ht="12.75" customHeight="1" x14ac:dyDescent="0.2">
      <c r="A712" s="378"/>
      <c r="B712" s="378"/>
      <c r="C712" s="378"/>
      <c r="D712" s="379"/>
      <c r="E712" s="380"/>
      <c r="F712" s="378"/>
      <c r="G712" s="378"/>
      <c r="H712" s="378"/>
      <c r="I712" s="378"/>
      <c r="J712" s="378"/>
      <c r="K712" s="378"/>
      <c r="L712" s="378"/>
      <c r="M712" s="381"/>
      <c r="N712" s="381"/>
      <c r="O712" s="381"/>
      <c r="P712" s="381"/>
      <c r="Q712" s="381"/>
      <c r="R712" s="381"/>
      <c r="S712" s="381"/>
      <c r="T712" s="381"/>
      <c r="U712" s="381"/>
      <c r="V712" s="381"/>
      <c r="W712" s="381"/>
      <c r="X712" s="381"/>
      <c r="Y712" s="381"/>
      <c r="Z712" s="381"/>
      <c r="AA712" s="381"/>
      <c r="AB712" s="381"/>
      <c r="AC712" s="382"/>
      <c r="AD712" s="382"/>
    </row>
    <row r="713" spans="1:30" ht="12.75" customHeight="1" x14ac:dyDescent="0.2">
      <c r="A713" s="378"/>
      <c r="B713" s="378"/>
      <c r="C713" s="378"/>
      <c r="D713" s="379"/>
      <c r="E713" s="380"/>
      <c r="F713" s="378"/>
      <c r="G713" s="378"/>
      <c r="H713" s="378"/>
      <c r="I713" s="378"/>
      <c r="J713" s="378"/>
      <c r="K713" s="378"/>
      <c r="L713" s="378"/>
      <c r="M713" s="381"/>
      <c r="N713" s="381"/>
      <c r="O713" s="381"/>
      <c r="P713" s="381"/>
      <c r="Q713" s="381"/>
      <c r="R713" s="381"/>
      <c r="S713" s="381"/>
      <c r="T713" s="381"/>
      <c r="U713" s="381"/>
      <c r="V713" s="381"/>
      <c r="W713" s="381"/>
      <c r="X713" s="381"/>
      <c r="Y713" s="381"/>
      <c r="Z713" s="381"/>
      <c r="AA713" s="381"/>
      <c r="AB713" s="381"/>
      <c r="AC713" s="382"/>
      <c r="AD713" s="382"/>
    </row>
    <row r="714" spans="1:30" ht="12.75" customHeight="1" x14ac:dyDescent="0.2">
      <c r="A714" s="378"/>
      <c r="B714" s="378"/>
      <c r="C714" s="378"/>
      <c r="D714" s="379"/>
      <c r="E714" s="380"/>
      <c r="F714" s="378"/>
      <c r="G714" s="378"/>
      <c r="H714" s="378"/>
      <c r="I714" s="378"/>
      <c r="J714" s="378"/>
      <c r="K714" s="378"/>
      <c r="L714" s="378"/>
      <c r="M714" s="381"/>
      <c r="N714" s="381"/>
      <c r="O714" s="381"/>
      <c r="P714" s="381"/>
      <c r="Q714" s="381"/>
      <c r="R714" s="381"/>
      <c r="S714" s="381"/>
      <c r="T714" s="381"/>
      <c r="U714" s="381"/>
      <c r="V714" s="381"/>
      <c r="W714" s="381"/>
      <c r="X714" s="381"/>
      <c r="Y714" s="381"/>
      <c r="Z714" s="381"/>
      <c r="AA714" s="381"/>
      <c r="AB714" s="381"/>
      <c r="AC714" s="382"/>
      <c r="AD714" s="382"/>
    </row>
    <row r="715" spans="1:30" ht="12.75" customHeight="1" x14ac:dyDescent="0.2">
      <c r="A715" s="378"/>
      <c r="B715" s="378"/>
      <c r="C715" s="378"/>
      <c r="D715" s="379"/>
      <c r="E715" s="380"/>
      <c r="F715" s="378"/>
      <c r="G715" s="378"/>
      <c r="H715" s="378"/>
      <c r="I715" s="378"/>
      <c r="J715" s="378"/>
      <c r="K715" s="378"/>
      <c r="L715" s="378"/>
      <c r="M715" s="381"/>
      <c r="N715" s="381"/>
      <c r="O715" s="381"/>
      <c r="P715" s="381"/>
      <c r="Q715" s="381"/>
      <c r="R715" s="381"/>
      <c r="S715" s="381"/>
      <c r="T715" s="381"/>
      <c r="U715" s="381"/>
      <c r="V715" s="381"/>
      <c r="W715" s="381"/>
      <c r="X715" s="381"/>
      <c r="Y715" s="381"/>
      <c r="Z715" s="381"/>
      <c r="AA715" s="381"/>
      <c r="AB715" s="381"/>
      <c r="AC715" s="382"/>
      <c r="AD715" s="382"/>
    </row>
    <row r="716" spans="1:30" ht="12.75" customHeight="1" x14ac:dyDescent="0.2">
      <c r="A716" s="378"/>
      <c r="B716" s="378"/>
      <c r="C716" s="378"/>
      <c r="D716" s="379"/>
      <c r="E716" s="380"/>
      <c r="F716" s="378"/>
      <c r="G716" s="378"/>
      <c r="H716" s="378"/>
      <c r="I716" s="378"/>
      <c r="J716" s="378"/>
      <c r="K716" s="378"/>
      <c r="L716" s="378"/>
      <c r="M716" s="381"/>
      <c r="N716" s="381"/>
      <c r="O716" s="381"/>
      <c r="P716" s="381"/>
      <c r="Q716" s="381"/>
      <c r="R716" s="381"/>
      <c r="S716" s="381"/>
      <c r="T716" s="381"/>
      <c r="U716" s="381"/>
      <c r="V716" s="381"/>
      <c r="W716" s="381"/>
      <c r="X716" s="381"/>
      <c r="Y716" s="381"/>
      <c r="Z716" s="381"/>
      <c r="AA716" s="381"/>
      <c r="AB716" s="381"/>
      <c r="AC716" s="382"/>
      <c r="AD716" s="382"/>
    </row>
    <row r="717" spans="1:30" ht="12.75" customHeight="1" x14ac:dyDescent="0.2">
      <c r="A717" s="378"/>
      <c r="B717" s="378"/>
      <c r="C717" s="378"/>
      <c r="D717" s="379"/>
      <c r="E717" s="380"/>
      <c r="F717" s="378"/>
      <c r="G717" s="378"/>
      <c r="H717" s="378"/>
      <c r="I717" s="378"/>
      <c r="J717" s="378"/>
      <c r="K717" s="378"/>
      <c r="L717" s="378"/>
      <c r="M717" s="381"/>
      <c r="N717" s="381"/>
      <c r="O717" s="381"/>
      <c r="P717" s="381"/>
      <c r="Q717" s="381"/>
      <c r="R717" s="381"/>
      <c r="S717" s="381"/>
      <c r="T717" s="381"/>
      <c r="U717" s="381"/>
      <c r="V717" s="381"/>
      <c r="W717" s="381"/>
      <c r="X717" s="381"/>
      <c r="Y717" s="381"/>
      <c r="Z717" s="381"/>
      <c r="AA717" s="381"/>
      <c r="AB717" s="381"/>
      <c r="AC717" s="382"/>
      <c r="AD717" s="382"/>
    </row>
    <row r="718" spans="1:30" ht="12.75" customHeight="1" x14ac:dyDescent="0.2">
      <c r="A718" s="378"/>
      <c r="B718" s="378"/>
      <c r="C718" s="378"/>
      <c r="D718" s="379"/>
      <c r="E718" s="380"/>
      <c r="F718" s="378"/>
      <c r="G718" s="378"/>
      <c r="H718" s="378"/>
      <c r="I718" s="378"/>
      <c r="J718" s="378"/>
      <c r="K718" s="378"/>
      <c r="L718" s="378"/>
      <c r="M718" s="381"/>
      <c r="N718" s="381"/>
      <c r="O718" s="381"/>
      <c r="P718" s="381"/>
      <c r="Q718" s="381"/>
      <c r="R718" s="381"/>
      <c r="S718" s="381"/>
      <c r="T718" s="381"/>
      <c r="U718" s="381"/>
      <c r="V718" s="381"/>
      <c r="W718" s="381"/>
      <c r="X718" s="381"/>
      <c r="Y718" s="381"/>
      <c r="Z718" s="381"/>
      <c r="AA718" s="381"/>
      <c r="AB718" s="381"/>
      <c r="AC718" s="382"/>
      <c r="AD718" s="382"/>
    </row>
    <row r="719" spans="1:30" ht="12.75" customHeight="1" x14ac:dyDescent="0.2">
      <c r="A719" s="378"/>
      <c r="B719" s="378"/>
      <c r="C719" s="378"/>
      <c r="D719" s="379"/>
      <c r="E719" s="380"/>
      <c r="F719" s="378"/>
      <c r="G719" s="378"/>
      <c r="H719" s="378"/>
      <c r="I719" s="378"/>
      <c r="J719" s="378"/>
      <c r="K719" s="378"/>
      <c r="L719" s="378"/>
      <c r="M719" s="381"/>
      <c r="N719" s="381"/>
      <c r="O719" s="381"/>
      <c r="P719" s="381"/>
      <c r="Q719" s="381"/>
      <c r="R719" s="381"/>
      <c r="S719" s="381"/>
      <c r="T719" s="381"/>
      <c r="U719" s="381"/>
      <c r="V719" s="381"/>
      <c r="W719" s="381"/>
      <c r="X719" s="381"/>
      <c r="Y719" s="381"/>
      <c r="Z719" s="381"/>
      <c r="AA719" s="381"/>
      <c r="AB719" s="381"/>
      <c r="AC719" s="382"/>
      <c r="AD719" s="382"/>
    </row>
    <row r="720" spans="1:30" ht="12.75" customHeight="1" x14ac:dyDescent="0.2">
      <c r="A720" s="378"/>
      <c r="B720" s="378"/>
      <c r="C720" s="378"/>
      <c r="D720" s="379"/>
      <c r="E720" s="380"/>
      <c r="F720" s="378"/>
      <c r="G720" s="378"/>
      <c r="H720" s="378"/>
      <c r="I720" s="378"/>
      <c r="J720" s="378"/>
      <c r="K720" s="378"/>
      <c r="L720" s="378"/>
      <c r="M720" s="381"/>
      <c r="N720" s="381"/>
      <c r="O720" s="381"/>
      <c r="P720" s="381"/>
      <c r="Q720" s="381"/>
      <c r="R720" s="381"/>
      <c r="S720" s="381"/>
      <c r="T720" s="381"/>
      <c r="U720" s="381"/>
      <c r="V720" s="381"/>
      <c r="W720" s="381"/>
      <c r="X720" s="381"/>
      <c r="Y720" s="381"/>
      <c r="Z720" s="381"/>
      <c r="AA720" s="381"/>
      <c r="AB720" s="381"/>
      <c r="AC720" s="382"/>
      <c r="AD720" s="382"/>
    </row>
    <row r="721" spans="1:30" ht="12.75" customHeight="1" x14ac:dyDescent="0.2">
      <c r="A721" s="378"/>
      <c r="B721" s="378"/>
      <c r="C721" s="378"/>
      <c r="D721" s="379"/>
      <c r="E721" s="380"/>
      <c r="F721" s="378"/>
      <c r="G721" s="378"/>
      <c r="H721" s="378"/>
      <c r="I721" s="378"/>
      <c r="J721" s="378"/>
      <c r="K721" s="378"/>
      <c r="L721" s="378"/>
      <c r="M721" s="381"/>
      <c r="N721" s="381"/>
      <c r="O721" s="381"/>
      <c r="P721" s="381"/>
      <c r="Q721" s="381"/>
      <c r="R721" s="381"/>
      <c r="S721" s="381"/>
      <c r="T721" s="381"/>
      <c r="U721" s="381"/>
      <c r="V721" s="381"/>
      <c r="W721" s="381"/>
      <c r="X721" s="381"/>
      <c r="Y721" s="381"/>
      <c r="Z721" s="381"/>
      <c r="AA721" s="381"/>
      <c r="AB721" s="381"/>
      <c r="AC721" s="382"/>
      <c r="AD721" s="382"/>
    </row>
    <row r="722" spans="1:30" ht="12.75" customHeight="1" x14ac:dyDescent="0.2">
      <c r="A722" s="378"/>
      <c r="B722" s="378"/>
      <c r="C722" s="378"/>
      <c r="D722" s="379"/>
      <c r="E722" s="380"/>
      <c r="F722" s="378"/>
      <c r="G722" s="378"/>
      <c r="H722" s="378"/>
      <c r="I722" s="378"/>
      <c r="J722" s="378"/>
      <c r="K722" s="378"/>
      <c r="L722" s="378"/>
      <c r="M722" s="381"/>
      <c r="N722" s="381"/>
      <c r="O722" s="381"/>
      <c r="P722" s="381"/>
      <c r="Q722" s="381"/>
      <c r="R722" s="381"/>
      <c r="S722" s="381"/>
      <c r="T722" s="381"/>
      <c r="U722" s="381"/>
      <c r="V722" s="381"/>
      <c r="W722" s="381"/>
      <c r="X722" s="381"/>
      <c r="Y722" s="381"/>
      <c r="Z722" s="381"/>
      <c r="AA722" s="381"/>
      <c r="AB722" s="381"/>
      <c r="AC722" s="382"/>
      <c r="AD722" s="382"/>
    </row>
    <row r="723" spans="1:30" ht="12.75" customHeight="1" x14ac:dyDescent="0.2">
      <c r="A723" s="378"/>
      <c r="B723" s="378"/>
      <c r="C723" s="378"/>
      <c r="D723" s="379"/>
      <c r="E723" s="380"/>
      <c r="F723" s="378"/>
      <c r="G723" s="378"/>
      <c r="H723" s="378"/>
      <c r="I723" s="378"/>
      <c r="J723" s="378"/>
      <c r="K723" s="378"/>
      <c r="L723" s="378"/>
      <c r="M723" s="381"/>
      <c r="N723" s="381"/>
      <c r="O723" s="381"/>
      <c r="P723" s="381"/>
      <c r="Q723" s="381"/>
      <c r="R723" s="381"/>
      <c r="S723" s="381"/>
      <c r="T723" s="381"/>
      <c r="U723" s="381"/>
      <c r="V723" s="381"/>
      <c r="W723" s="381"/>
      <c r="X723" s="381"/>
      <c r="Y723" s="381"/>
      <c r="Z723" s="381"/>
      <c r="AA723" s="381"/>
      <c r="AB723" s="381"/>
      <c r="AC723" s="382"/>
      <c r="AD723" s="382"/>
    </row>
    <row r="724" spans="1:30" ht="12.75" customHeight="1" x14ac:dyDescent="0.2">
      <c r="A724" s="378"/>
      <c r="B724" s="378"/>
      <c r="C724" s="378"/>
      <c r="D724" s="379"/>
      <c r="E724" s="380"/>
      <c r="F724" s="378"/>
      <c r="G724" s="378"/>
      <c r="H724" s="378"/>
      <c r="I724" s="378"/>
      <c r="J724" s="378"/>
      <c r="K724" s="378"/>
      <c r="L724" s="378"/>
      <c r="M724" s="381"/>
      <c r="N724" s="381"/>
      <c r="O724" s="381"/>
      <c r="P724" s="381"/>
      <c r="Q724" s="381"/>
      <c r="R724" s="381"/>
      <c r="S724" s="381"/>
      <c r="T724" s="381"/>
      <c r="U724" s="381"/>
      <c r="V724" s="381"/>
      <c r="W724" s="381"/>
      <c r="X724" s="381"/>
      <c r="Y724" s="381"/>
      <c r="Z724" s="381"/>
      <c r="AA724" s="381"/>
      <c r="AB724" s="381"/>
      <c r="AC724" s="382"/>
      <c r="AD724" s="382"/>
    </row>
    <row r="725" spans="1:30" ht="12.75" customHeight="1" x14ac:dyDescent="0.2">
      <c r="A725" s="378"/>
      <c r="B725" s="378"/>
      <c r="C725" s="378"/>
      <c r="D725" s="379"/>
      <c r="E725" s="380"/>
      <c r="F725" s="378"/>
      <c r="G725" s="378"/>
      <c r="H725" s="378"/>
      <c r="I725" s="378"/>
      <c r="J725" s="378"/>
      <c r="K725" s="378"/>
      <c r="L725" s="378"/>
      <c r="M725" s="381"/>
      <c r="N725" s="381"/>
      <c r="O725" s="381"/>
      <c r="P725" s="381"/>
      <c r="Q725" s="381"/>
      <c r="R725" s="381"/>
      <c r="S725" s="381"/>
      <c r="T725" s="381"/>
      <c r="U725" s="381"/>
      <c r="V725" s="381"/>
      <c r="W725" s="381"/>
      <c r="X725" s="381"/>
      <c r="Y725" s="381"/>
      <c r="Z725" s="381"/>
      <c r="AA725" s="381"/>
      <c r="AB725" s="381"/>
      <c r="AC725" s="382"/>
      <c r="AD725" s="382"/>
    </row>
    <row r="726" spans="1:30" ht="12.75" customHeight="1" x14ac:dyDescent="0.2">
      <c r="A726" s="378"/>
      <c r="B726" s="378"/>
      <c r="C726" s="378"/>
      <c r="D726" s="379"/>
      <c r="E726" s="380"/>
      <c r="F726" s="378"/>
      <c r="G726" s="378"/>
      <c r="H726" s="378"/>
      <c r="I726" s="378"/>
      <c r="J726" s="378"/>
      <c r="K726" s="378"/>
      <c r="L726" s="378"/>
      <c r="M726" s="381"/>
      <c r="N726" s="381"/>
      <c r="O726" s="381"/>
      <c r="P726" s="381"/>
      <c r="Q726" s="381"/>
      <c r="R726" s="381"/>
      <c r="S726" s="381"/>
      <c r="T726" s="381"/>
      <c r="U726" s="381"/>
      <c r="V726" s="381"/>
      <c r="W726" s="381"/>
      <c r="X726" s="381"/>
      <c r="Y726" s="381"/>
      <c r="Z726" s="381"/>
      <c r="AA726" s="381"/>
      <c r="AB726" s="381"/>
      <c r="AC726" s="382"/>
      <c r="AD726" s="382"/>
    </row>
    <row r="727" spans="1:30" ht="12.75" customHeight="1" x14ac:dyDescent="0.2">
      <c r="A727" s="378"/>
      <c r="B727" s="378"/>
      <c r="C727" s="378"/>
      <c r="D727" s="379"/>
      <c r="E727" s="380"/>
      <c r="F727" s="378"/>
      <c r="G727" s="378"/>
      <c r="H727" s="378"/>
      <c r="I727" s="378"/>
      <c r="J727" s="378"/>
      <c r="K727" s="378"/>
      <c r="L727" s="378"/>
      <c r="M727" s="381"/>
      <c r="N727" s="381"/>
      <c r="O727" s="381"/>
      <c r="P727" s="381"/>
      <c r="Q727" s="381"/>
      <c r="R727" s="381"/>
      <c r="S727" s="381"/>
      <c r="T727" s="381"/>
      <c r="U727" s="381"/>
      <c r="V727" s="381"/>
      <c r="W727" s="381"/>
      <c r="X727" s="381"/>
      <c r="Y727" s="381"/>
      <c r="Z727" s="381"/>
      <c r="AA727" s="381"/>
      <c r="AB727" s="381"/>
      <c r="AC727" s="382"/>
      <c r="AD727" s="382"/>
    </row>
    <row r="728" spans="1:30" ht="12.75" customHeight="1" x14ac:dyDescent="0.2">
      <c r="A728" s="378"/>
      <c r="B728" s="378"/>
      <c r="C728" s="378"/>
      <c r="D728" s="379"/>
      <c r="E728" s="380"/>
      <c r="F728" s="378"/>
      <c r="G728" s="378"/>
      <c r="H728" s="378"/>
      <c r="I728" s="378"/>
      <c r="J728" s="378"/>
      <c r="K728" s="378"/>
      <c r="L728" s="378"/>
      <c r="M728" s="381"/>
      <c r="N728" s="381"/>
      <c r="O728" s="381"/>
      <c r="P728" s="381"/>
      <c r="Q728" s="381"/>
      <c r="R728" s="381"/>
      <c r="S728" s="381"/>
      <c r="T728" s="381"/>
      <c r="U728" s="381"/>
      <c r="V728" s="381"/>
      <c r="W728" s="381"/>
      <c r="X728" s="381"/>
      <c r="Y728" s="381"/>
      <c r="Z728" s="381"/>
      <c r="AA728" s="381"/>
      <c r="AB728" s="381"/>
      <c r="AC728" s="382"/>
      <c r="AD728" s="382"/>
    </row>
    <row r="729" spans="1:30" ht="12.75" customHeight="1" x14ac:dyDescent="0.2">
      <c r="A729" s="378"/>
      <c r="B729" s="378"/>
      <c r="C729" s="378"/>
      <c r="D729" s="379"/>
      <c r="E729" s="380"/>
      <c r="F729" s="378"/>
      <c r="G729" s="378"/>
      <c r="H729" s="378"/>
      <c r="I729" s="378"/>
      <c r="J729" s="378"/>
      <c r="K729" s="378"/>
      <c r="L729" s="378"/>
      <c r="M729" s="381"/>
      <c r="N729" s="381"/>
      <c r="O729" s="381"/>
      <c r="P729" s="381"/>
      <c r="Q729" s="381"/>
      <c r="R729" s="381"/>
      <c r="S729" s="381"/>
      <c r="T729" s="381"/>
      <c r="U729" s="381"/>
      <c r="V729" s="381"/>
      <c r="W729" s="381"/>
      <c r="X729" s="381"/>
      <c r="Y729" s="381"/>
      <c r="Z729" s="381"/>
      <c r="AA729" s="381"/>
      <c r="AB729" s="381"/>
      <c r="AC729" s="382"/>
      <c r="AD729" s="382"/>
    </row>
    <row r="730" spans="1:30" ht="12.75" customHeight="1" x14ac:dyDescent="0.2">
      <c r="A730" s="378"/>
      <c r="B730" s="378"/>
      <c r="C730" s="378"/>
      <c r="D730" s="379"/>
      <c r="E730" s="380"/>
      <c r="F730" s="378"/>
      <c r="G730" s="378"/>
      <c r="H730" s="378"/>
      <c r="I730" s="378"/>
      <c r="J730" s="378"/>
      <c r="K730" s="378"/>
      <c r="L730" s="378"/>
      <c r="M730" s="381"/>
      <c r="N730" s="381"/>
      <c r="O730" s="381"/>
      <c r="P730" s="381"/>
      <c r="Q730" s="381"/>
      <c r="R730" s="381"/>
      <c r="S730" s="381"/>
      <c r="T730" s="381"/>
      <c r="U730" s="381"/>
      <c r="V730" s="381"/>
      <c r="W730" s="381"/>
      <c r="X730" s="381"/>
      <c r="Y730" s="381"/>
      <c r="Z730" s="381"/>
      <c r="AA730" s="381"/>
      <c r="AB730" s="381"/>
      <c r="AC730" s="382"/>
      <c r="AD730" s="382"/>
    </row>
    <row r="731" spans="1:30" ht="12.75" customHeight="1" x14ac:dyDescent="0.2">
      <c r="A731" s="378"/>
      <c r="B731" s="378"/>
      <c r="C731" s="378"/>
      <c r="D731" s="379"/>
      <c r="E731" s="380"/>
      <c r="F731" s="378"/>
      <c r="G731" s="378"/>
      <c r="H731" s="378"/>
      <c r="I731" s="378"/>
      <c r="J731" s="378"/>
      <c r="K731" s="378"/>
      <c r="L731" s="378"/>
      <c r="M731" s="381"/>
      <c r="N731" s="381"/>
      <c r="O731" s="381"/>
      <c r="P731" s="381"/>
      <c r="Q731" s="381"/>
      <c r="R731" s="381"/>
      <c r="S731" s="381"/>
      <c r="T731" s="381"/>
      <c r="U731" s="381"/>
      <c r="V731" s="381"/>
      <c r="W731" s="381"/>
      <c r="X731" s="381"/>
      <c r="Y731" s="381"/>
      <c r="Z731" s="381"/>
      <c r="AA731" s="381"/>
      <c r="AB731" s="381"/>
      <c r="AC731" s="382"/>
      <c r="AD731" s="382"/>
    </row>
    <row r="732" spans="1:30" ht="12.75" customHeight="1" x14ac:dyDescent="0.2">
      <c r="A732" s="378"/>
      <c r="B732" s="378"/>
      <c r="C732" s="378"/>
      <c r="D732" s="379"/>
      <c r="E732" s="380"/>
      <c r="F732" s="378"/>
      <c r="G732" s="378"/>
      <c r="H732" s="378"/>
      <c r="I732" s="378"/>
      <c r="J732" s="378"/>
      <c r="K732" s="378"/>
      <c r="L732" s="378"/>
      <c r="M732" s="381"/>
      <c r="N732" s="381"/>
      <c r="O732" s="381"/>
      <c r="P732" s="381"/>
      <c r="Q732" s="381"/>
      <c r="R732" s="381"/>
      <c r="S732" s="381"/>
      <c r="T732" s="381"/>
      <c r="U732" s="381"/>
      <c r="V732" s="381"/>
      <c r="W732" s="381"/>
      <c r="X732" s="381"/>
      <c r="Y732" s="381"/>
      <c r="Z732" s="381"/>
      <c r="AA732" s="381"/>
      <c r="AB732" s="381"/>
      <c r="AC732" s="382"/>
      <c r="AD732" s="382"/>
    </row>
    <row r="733" spans="1:30" ht="12.75" customHeight="1" x14ac:dyDescent="0.2">
      <c r="A733" s="378"/>
      <c r="B733" s="378"/>
      <c r="C733" s="378"/>
      <c r="D733" s="379"/>
      <c r="E733" s="380"/>
      <c r="F733" s="378"/>
      <c r="G733" s="378"/>
      <c r="H733" s="378"/>
      <c r="I733" s="378"/>
      <c r="J733" s="378"/>
      <c r="K733" s="378"/>
      <c r="L733" s="378"/>
      <c r="M733" s="381"/>
      <c r="N733" s="381"/>
      <c r="O733" s="381"/>
      <c r="P733" s="381"/>
      <c r="Q733" s="381"/>
      <c r="R733" s="381"/>
      <c r="S733" s="381"/>
      <c r="T733" s="381"/>
      <c r="U733" s="381"/>
      <c r="V733" s="381"/>
      <c r="W733" s="381"/>
      <c r="X733" s="381"/>
      <c r="Y733" s="381"/>
      <c r="Z733" s="381"/>
      <c r="AA733" s="381"/>
      <c r="AB733" s="381"/>
      <c r="AC733" s="382"/>
      <c r="AD733" s="382"/>
    </row>
    <row r="734" spans="1:30" ht="12.75" customHeight="1" x14ac:dyDescent="0.2">
      <c r="A734" s="378"/>
      <c r="B734" s="378"/>
      <c r="C734" s="378"/>
      <c r="D734" s="379"/>
      <c r="E734" s="380"/>
      <c r="F734" s="378"/>
      <c r="G734" s="378"/>
      <c r="H734" s="378"/>
      <c r="I734" s="378"/>
      <c r="J734" s="378"/>
      <c r="K734" s="378"/>
      <c r="L734" s="378"/>
      <c r="M734" s="381"/>
      <c r="N734" s="381"/>
      <c r="O734" s="381"/>
      <c r="P734" s="381"/>
      <c r="Q734" s="381"/>
      <c r="R734" s="381"/>
      <c r="S734" s="381"/>
      <c r="T734" s="381"/>
      <c r="U734" s="381"/>
      <c r="V734" s="381"/>
      <c r="W734" s="381"/>
      <c r="X734" s="381"/>
      <c r="Y734" s="381"/>
      <c r="Z734" s="381"/>
      <c r="AA734" s="381"/>
      <c r="AB734" s="381"/>
      <c r="AC734" s="382"/>
      <c r="AD734" s="382"/>
    </row>
    <row r="735" spans="1:30" ht="12.75" customHeight="1" x14ac:dyDescent="0.2">
      <c r="A735" s="378"/>
      <c r="B735" s="378"/>
      <c r="C735" s="378"/>
      <c r="D735" s="379"/>
      <c r="E735" s="380"/>
      <c r="F735" s="378"/>
      <c r="G735" s="378"/>
      <c r="H735" s="378"/>
      <c r="I735" s="378"/>
      <c r="J735" s="378"/>
      <c r="K735" s="378"/>
      <c r="L735" s="378"/>
      <c r="M735" s="381"/>
      <c r="N735" s="381"/>
      <c r="O735" s="381"/>
      <c r="P735" s="381"/>
      <c r="Q735" s="381"/>
      <c r="R735" s="381"/>
      <c r="S735" s="381"/>
      <c r="T735" s="381"/>
      <c r="U735" s="381"/>
      <c r="V735" s="381"/>
      <c r="W735" s="381"/>
      <c r="X735" s="381"/>
      <c r="Y735" s="381"/>
      <c r="Z735" s="381"/>
      <c r="AA735" s="381"/>
      <c r="AB735" s="381"/>
      <c r="AC735" s="382"/>
      <c r="AD735" s="382"/>
    </row>
    <row r="736" spans="1:30" ht="12.75" customHeight="1" x14ac:dyDescent="0.2">
      <c r="A736" s="378"/>
      <c r="B736" s="378"/>
      <c r="C736" s="378"/>
      <c r="D736" s="379"/>
      <c r="E736" s="380"/>
      <c r="F736" s="378"/>
      <c r="G736" s="378"/>
      <c r="H736" s="378"/>
      <c r="I736" s="378"/>
      <c r="J736" s="378"/>
      <c r="K736" s="378"/>
      <c r="L736" s="378"/>
      <c r="M736" s="381"/>
      <c r="N736" s="381"/>
      <c r="O736" s="381"/>
      <c r="P736" s="381"/>
      <c r="Q736" s="381"/>
      <c r="R736" s="381"/>
      <c r="S736" s="381"/>
      <c r="T736" s="381"/>
      <c r="U736" s="381"/>
      <c r="V736" s="381"/>
      <c r="W736" s="381"/>
      <c r="X736" s="381"/>
      <c r="Y736" s="381"/>
      <c r="Z736" s="381"/>
      <c r="AA736" s="381"/>
      <c r="AB736" s="381"/>
      <c r="AC736" s="382"/>
      <c r="AD736" s="382"/>
    </row>
    <row r="737" spans="1:30" ht="12.75" customHeight="1" x14ac:dyDescent="0.2">
      <c r="A737" s="378"/>
      <c r="B737" s="378"/>
      <c r="C737" s="378"/>
      <c r="D737" s="379"/>
      <c r="E737" s="380"/>
      <c r="F737" s="378"/>
      <c r="G737" s="378"/>
      <c r="H737" s="378"/>
      <c r="I737" s="378"/>
      <c r="J737" s="378"/>
      <c r="K737" s="378"/>
      <c r="L737" s="378"/>
      <c r="M737" s="381"/>
      <c r="N737" s="381"/>
      <c r="O737" s="381"/>
      <c r="P737" s="381"/>
      <c r="Q737" s="381"/>
      <c r="R737" s="381"/>
      <c r="S737" s="381"/>
      <c r="T737" s="381"/>
      <c r="U737" s="381"/>
      <c r="V737" s="381"/>
      <c r="W737" s="381"/>
      <c r="X737" s="381"/>
      <c r="Y737" s="381"/>
      <c r="Z737" s="381"/>
      <c r="AA737" s="381"/>
      <c r="AB737" s="381"/>
      <c r="AC737" s="382"/>
      <c r="AD737" s="382"/>
    </row>
    <row r="738" spans="1:30" ht="12.75" customHeight="1" x14ac:dyDescent="0.2">
      <c r="A738" s="378"/>
      <c r="B738" s="378"/>
      <c r="C738" s="378"/>
      <c r="D738" s="379"/>
      <c r="E738" s="380"/>
      <c r="F738" s="378"/>
      <c r="G738" s="378"/>
      <c r="H738" s="378"/>
      <c r="I738" s="378"/>
      <c r="J738" s="378"/>
      <c r="K738" s="378"/>
      <c r="L738" s="378"/>
      <c r="M738" s="381"/>
      <c r="N738" s="381"/>
      <c r="O738" s="381"/>
      <c r="P738" s="381"/>
      <c r="Q738" s="381"/>
      <c r="R738" s="381"/>
      <c r="S738" s="381"/>
      <c r="T738" s="381"/>
      <c r="U738" s="381"/>
      <c r="V738" s="381"/>
      <c r="W738" s="381"/>
      <c r="X738" s="381"/>
      <c r="Y738" s="381"/>
      <c r="Z738" s="381"/>
      <c r="AA738" s="381"/>
      <c r="AB738" s="381"/>
      <c r="AC738" s="382"/>
      <c r="AD738" s="382"/>
    </row>
    <row r="739" spans="1:30" ht="12.75" customHeight="1" x14ac:dyDescent="0.2">
      <c r="A739" s="378"/>
      <c r="B739" s="378"/>
      <c r="C739" s="378"/>
      <c r="D739" s="379"/>
      <c r="E739" s="380"/>
      <c r="F739" s="378"/>
      <c r="G739" s="378"/>
      <c r="H739" s="378"/>
      <c r="I739" s="378"/>
      <c r="J739" s="378"/>
      <c r="K739" s="378"/>
      <c r="L739" s="378"/>
      <c r="M739" s="381"/>
      <c r="N739" s="381"/>
      <c r="O739" s="381"/>
      <c r="P739" s="381"/>
      <c r="Q739" s="381"/>
      <c r="R739" s="381"/>
      <c r="S739" s="381"/>
      <c r="T739" s="381"/>
      <c r="U739" s="381"/>
      <c r="V739" s="381"/>
      <c r="W739" s="381"/>
      <c r="X739" s="381"/>
      <c r="Y739" s="381"/>
      <c r="Z739" s="381"/>
      <c r="AA739" s="381"/>
      <c r="AB739" s="381"/>
      <c r="AC739" s="382"/>
      <c r="AD739" s="382"/>
    </row>
    <row r="740" spans="1:30" ht="12.75" customHeight="1" x14ac:dyDescent="0.2">
      <c r="A740" s="378"/>
      <c r="B740" s="378"/>
      <c r="C740" s="378"/>
      <c r="D740" s="379"/>
      <c r="E740" s="380"/>
      <c r="F740" s="378"/>
      <c r="G740" s="378"/>
      <c r="H740" s="378"/>
      <c r="I740" s="378"/>
      <c r="J740" s="378"/>
      <c r="K740" s="378"/>
      <c r="L740" s="378"/>
      <c r="M740" s="381"/>
      <c r="N740" s="381"/>
      <c r="O740" s="381"/>
      <c r="P740" s="381"/>
      <c r="Q740" s="381"/>
      <c r="R740" s="381"/>
      <c r="S740" s="381"/>
      <c r="T740" s="381"/>
      <c r="U740" s="381"/>
      <c r="V740" s="381"/>
      <c r="W740" s="381"/>
      <c r="X740" s="381"/>
      <c r="Y740" s="381"/>
      <c r="Z740" s="381"/>
      <c r="AA740" s="381"/>
      <c r="AB740" s="381"/>
      <c r="AC740" s="382"/>
      <c r="AD740" s="382"/>
    </row>
    <row r="741" spans="1:30" ht="12.75" customHeight="1" x14ac:dyDescent="0.2">
      <c r="A741" s="378"/>
      <c r="B741" s="378"/>
      <c r="C741" s="378"/>
      <c r="D741" s="379"/>
      <c r="E741" s="380"/>
      <c r="F741" s="378"/>
      <c r="G741" s="378"/>
      <c r="H741" s="378"/>
      <c r="I741" s="378"/>
      <c r="J741" s="378"/>
      <c r="K741" s="378"/>
      <c r="L741" s="378"/>
      <c r="M741" s="381"/>
      <c r="N741" s="381"/>
      <c r="O741" s="381"/>
      <c r="P741" s="381"/>
      <c r="Q741" s="381"/>
      <c r="R741" s="381"/>
      <c r="S741" s="381"/>
      <c r="T741" s="381"/>
      <c r="U741" s="381"/>
      <c r="V741" s="381"/>
      <c r="W741" s="381"/>
      <c r="X741" s="381"/>
      <c r="Y741" s="381"/>
      <c r="Z741" s="381"/>
      <c r="AA741" s="381"/>
      <c r="AB741" s="381"/>
      <c r="AC741" s="382"/>
      <c r="AD741" s="382"/>
    </row>
    <row r="742" spans="1:30" ht="12.75" customHeight="1" x14ac:dyDescent="0.2">
      <c r="A742" s="378"/>
      <c r="B742" s="378"/>
      <c r="C742" s="378"/>
      <c r="D742" s="379"/>
      <c r="E742" s="380"/>
      <c r="F742" s="378"/>
      <c r="G742" s="378"/>
      <c r="H742" s="378"/>
      <c r="I742" s="378"/>
      <c r="J742" s="378"/>
      <c r="K742" s="378"/>
      <c r="L742" s="378"/>
      <c r="M742" s="381"/>
      <c r="N742" s="381"/>
      <c r="O742" s="381"/>
      <c r="P742" s="381"/>
      <c r="Q742" s="381"/>
      <c r="R742" s="381"/>
      <c r="S742" s="381"/>
      <c r="T742" s="381"/>
      <c r="U742" s="381"/>
      <c r="V742" s="381"/>
      <c r="W742" s="381"/>
      <c r="X742" s="381"/>
      <c r="Y742" s="381"/>
      <c r="Z742" s="381"/>
      <c r="AA742" s="381"/>
      <c r="AB742" s="381"/>
      <c r="AC742" s="382"/>
      <c r="AD742" s="382"/>
    </row>
    <row r="743" spans="1:30" ht="12.75" customHeight="1" x14ac:dyDescent="0.2">
      <c r="A743" s="378"/>
      <c r="B743" s="378"/>
      <c r="C743" s="378"/>
      <c r="D743" s="379"/>
      <c r="E743" s="380"/>
      <c r="F743" s="378"/>
      <c r="G743" s="378"/>
      <c r="H743" s="378"/>
      <c r="I743" s="378"/>
      <c r="J743" s="378"/>
      <c r="K743" s="378"/>
      <c r="L743" s="378"/>
      <c r="M743" s="381"/>
      <c r="N743" s="381"/>
      <c r="O743" s="381"/>
      <c r="P743" s="381"/>
      <c r="Q743" s="381"/>
      <c r="R743" s="381"/>
      <c r="S743" s="381"/>
      <c r="T743" s="381"/>
      <c r="U743" s="381"/>
      <c r="V743" s="381"/>
      <c r="W743" s="381"/>
      <c r="X743" s="381"/>
      <c r="Y743" s="381"/>
      <c r="Z743" s="381"/>
      <c r="AA743" s="381"/>
      <c r="AB743" s="381"/>
      <c r="AC743" s="382"/>
      <c r="AD743" s="382"/>
    </row>
    <row r="744" spans="1:30" ht="12.75" customHeight="1" x14ac:dyDescent="0.2">
      <c r="A744" s="378"/>
      <c r="B744" s="378"/>
      <c r="C744" s="378"/>
      <c r="D744" s="379"/>
      <c r="E744" s="380"/>
      <c r="F744" s="378"/>
      <c r="G744" s="378"/>
      <c r="H744" s="378"/>
      <c r="I744" s="378"/>
      <c r="J744" s="378"/>
      <c r="K744" s="378"/>
      <c r="L744" s="378"/>
      <c r="M744" s="381"/>
      <c r="N744" s="381"/>
      <c r="O744" s="381"/>
      <c r="P744" s="381"/>
      <c r="Q744" s="381"/>
      <c r="R744" s="381"/>
      <c r="S744" s="381"/>
      <c r="T744" s="381"/>
      <c r="U744" s="381"/>
      <c r="V744" s="381"/>
      <c r="W744" s="381"/>
      <c r="X744" s="381"/>
      <c r="Y744" s="381"/>
      <c r="Z744" s="381"/>
      <c r="AA744" s="381"/>
      <c r="AB744" s="381"/>
      <c r="AC744" s="382"/>
      <c r="AD744" s="382"/>
    </row>
    <row r="745" spans="1:30" ht="12.75" customHeight="1" x14ac:dyDescent="0.2">
      <c r="A745" s="378"/>
      <c r="B745" s="378"/>
      <c r="C745" s="378"/>
      <c r="D745" s="379"/>
      <c r="E745" s="380"/>
      <c r="F745" s="378"/>
      <c r="G745" s="378"/>
      <c r="H745" s="378"/>
      <c r="I745" s="378"/>
      <c r="J745" s="378"/>
      <c r="K745" s="378"/>
      <c r="L745" s="378"/>
      <c r="M745" s="381"/>
      <c r="N745" s="381"/>
      <c r="O745" s="381"/>
      <c r="P745" s="381"/>
      <c r="Q745" s="381"/>
      <c r="R745" s="381"/>
      <c r="S745" s="381"/>
      <c r="T745" s="381"/>
      <c r="U745" s="381"/>
      <c r="V745" s="381"/>
      <c r="W745" s="381"/>
      <c r="X745" s="381"/>
      <c r="Y745" s="381"/>
      <c r="Z745" s="381"/>
      <c r="AA745" s="381"/>
      <c r="AB745" s="381"/>
      <c r="AC745" s="382"/>
      <c r="AD745" s="382"/>
    </row>
    <row r="746" spans="1:30" ht="12.75" customHeight="1" x14ac:dyDescent="0.2">
      <c r="A746" s="378"/>
      <c r="B746" s="378"/>
      <c r="C746" s="378"/>
      <c r="D746" s="379"/>
      <c r="E746" s="380"/>
      <c r="F746" s="378"/>
      <c r="G746" s="378"/>
      <c r="H746" s="378"/>
      <c r="I746" s="378"/>
      <c r="J746" s="378"/>
      <c r="K746" s="378"/>
      <c r="L746" s="378"/>
      <c r="M746" s="381"/>
      <c r="N746" s="381"/>
      <c r="O746" s="381"/>
      <c r="P746" s="381"/>
      <c r="Q746" s="381"/>
      <c r="R746" s="381"/>
      <c r="S746" s="381"/>
      <c r="T746" s="381"/>
      <c r="U746" s="381"/>
      <c r="V746" s="381"/>
      <c r="W746" s="381"/>
      <c r="X746" s="381"/>
      <c r="Y746" s="381"/>
      <c r="Z746" s="381"/>
      <c r="AA746" s="381"/>
      <c r="AB746" s="381"/>
      <c r="AC746" s="382"/>
      <c r="AD746" s="382"/>
    </row>
    <row r="747" spans="1:30" ht="12.75" customHeight="1" x14ac:dyDescent="0.2">
      <c r="A747" s="378"/>
      <c r="B747" s="378"/>
      <c r="C747" s="378"/>
      <c r="D747" s="379"/>
      <c r="E747" s="380"/>
      <c r="F747" s="378"/>
      <c r="G747" s="378"/>
      <c r="H747" s="378"/>
      <c r="I747" s="378"/>
      <c r="J747" s="378"/>
      <c r="K747" s="378"/>
      <c r="L747" s="378"/>
      <c r="M747" s="381"/>
      <c r="N747" s="381"/>
      <c r="O747" s="381"/>
      <c r="P747" s="381"/>
      <c r="Q747" s="381"/>
      <c r="R747" s="381"/>
      <c r="S747" s="381"/>
      <c r="T747" s="381"/>
      <c r="U747" s="381"/>
      <c r="V747" s="381"/>
      <c r="W747" s="381"/>
      <c r="X747" s="381"/>
      <c r="Y747" s="381"/>
      <c r="Z747" s="381"/>
      <c r="AA747" s="381"/>
      <c r="AB747" s="381"/>
      <c r="AC747" s="382"/>
      <c r="AD747" s="382"/>
    </row>
    <row r="748" spans="1:30" ht="12.75" customHeight="1" x14ac:dyDescent="0.2">
      <c r="A748" s="378"/>
      <c r="B748" s="378"/>
      <c r="C748" s="378"/>
      <c r="D748" s="379"/>
      <c r="E748" s="380"/>
      <c r="F748" s="378"/>
      <c r="G748" s="378"/>
      <c r="H748" s="378"/>
      <c r="I748" s="378"/>
      <c r="J748" s="378"/>
      <c r="K748" s="378"/>
      <c r="L748" s="378"/>
      <c r="M748" s="381"/>
      <c r="N748" s="381"/>
      <c r="O748" s="381"/>
      <c r="P748" s="381"/>
      <c r="Q748" s="381"/>
      <c r="R748" s="381"/>
      <c r="S748" s="381"/>
      <c r="T748" s="381"/>
      <c r="U748" s="381"/>
      <c r="V748" s="381"/>
      <c r="W748" s="381"/>
      <c r="X748" s="381"/>
      <c r="Y748" s="381"/>
      <c r="Z748" s="381"/>
      <c r="AA748" s="381"/>
      <c r="AB748" s="381"/>
      <c r="AC748" s="382"/>
      <c r="AD748" s="382"/>
    </row>
    <row r="749" spans="1:30" ht="12.75" customHeight="1" x14ac:dyDescent="0.2">
      <c r="A749" s="378"/>
      <c r="B749" s="378"/>
      <c r="C749" s="378"/>
      <c r="D749" s="379"/>
      <c r="E749" s="380"/>
      <c r="F749" s="378"/>
      <c r="G749" s="378"/>
      <c r="H749" s="378"/>
      <c r="I749" s="378"/>
      <c r="J749" s="378"/>
      <c r="K749" s="378"/>
      <c r="L749" s="378"/>
      <c r="M749" s="381"/>
      <c r="N749" s="381"/>
      <c r="O749" s="381"/>
      <c r="P749" s="381"/>
      <c r="Q749" s="381"/>
      <c r="R749" s="381"/>
      <c r="S749" s="381"/>
      <c r="T749" s="381"/>
      <c r="U749" s="381"/>
      <c r="V749" s="381"/>
      <c r="W749" s="381"/>
      <c r="X749" s="381"/>
      <c r="Y749" s="381"/>
      <c r="Z749" s="381"/>
      <c r="AA749" s="381"/>
      <c r="AB749" s="381"/>
      <c r="AC749" s="382"/>
      <c r="AD749" s="382"/>
    </row>
    <row r="750" spans="1:30" ht="12.75" customHeight="1" x14ac:dyDescent="0.2">
      <c r="A750" s="378"/>
      <c r="B750" s="378"/>
      <c r="C750" s="378"/>
      <c r="D750" s="379"/>
      <c r="E750" s="380"/>
      <c r="F750" s="378"/>
      <c r="G750" s="378"/>
      <c r="H750" s="378"/>
      <c r="I750" s="378"/>
      <c r="J750" s="378"/>
      <c r="K750" s="378"/>
      <c r="L750" s="378"/>
      <c r="M750" s="381"/>
      <c r="N750" s="381"/>
      <c r="O750" s="381"/>
      <c r="P750" s="381"/>
      <c r="Q750" s="381"/>
      <c r="R750" s="381"/>
      <c r="S750" s="381"/>
      <c r="T750" s="381"/>
      <c r="U750" s="381"/>
      <c r="V750" s="381"/>
      <c r="W750" s="381"/>
      <c r="X750" s="381"/>
      <c r="Y750" s="381"/>
      <c r="Z750" s="381"/>
      <c r="AA750" s="381"/>
      <c r="AB750" s="381"/>
      <c r="AC750" s="382"/>
      <c r="AD750" s="382"/>
    </row>
    <row r="751" spans="1:30" ht="12.75" customHeight="1" x14ac:dyDescent="0.2">
      <c r="A751" s="378"/>
      <c r="B751" s="378"/>
      <c r="C751" s="378"/>
      <c r="D751" s="379"/>
      <c r="E751" s="380"/>
      <c r="F751" s="378"/>
      <c r="G751" s="378"/>
      <c r="H751" s="378"/>
      <c r="I751" s="378"/>
      <c r="J751" s="378"/>
      <c r="K751" s="378"/>
      <c r="L751" s="378"/>
      <c r="M751" s="381"/>
      <c r="N751" s="381"/>
      <c r="O751" s="381"/>
      <c r="P751" s="381"/>
      <c r="Q751" s="381"/>
      <c r="R751" s="381"/>
      <c r="S751" s="381"/>
      <c r="T751" s="381"/>
      <c r="U751" s="381"/>
      <c r="V751" s="381"/>
      <c r="W751" s="381"/>
      <c r="X751" s="381"/>
      <c r="Y751" s="381"/>
      <c r="Z751" s="381"/>
      <c r="AA751" s="381"/>
      <c r="AB751" s="381"/>
      <c r="AC751" s="382"/>
      <c r="AD751" s="382"/>
    </row>
    <row r="752" spans="1:30" ht="12.75" customHeight="1" x14ac:dyDescent="0.2">
      <c r="A752" s="378"/>
      <c r="B752" s="378"/>
      <c r="C752" s="378"/>
      <c r="D752" s="379"/>
      <c r="E752" s="380"/>
      <c r="F752" s="378"/>
      <c r="G752" s="378"/>
      <c r="H752" s="378"/>
      <c r="I752" s="378"/>
      <c r="J752" s="378"/>
      <c r="K752" s="378"/>
      <c r="L752" s="378"/>
      <c r="M752" s="381"/>
      <c r="N752" s="381"/>
      <c r="O752" s="381"/>
      <c r="P752" s="381"/>
      <c r="Q752" s="381"/>
      <c r="R752" s="381"/>
      <c r="S752" s="381"/>
      <c r="T752" s="381"/>
      <c r="U752" s="381"/>
      <c r="V752" s="381"/>
      <c r="W752" s="381"/>
      <c r="X752" s="381"/>
      <c r="Y752" s="381"/>
      <c r="Z752" s="381"/>
      <c r="AA752" s="381"/>
      <c r="AB752" s="381"/>
      <c r="AC752" s="382"/>
      <c r="AD752" s="382"/>
    </row>
    <row r="753" spans="1:30" ht="12.75" customHeight="1" x14ac:dyDescent="0.2">
      <c r="A753" s="378"/>
      <c r="B753" s="378"/>
      <c r="C753" s="378"/>
      <c r="D753" s="379"/>
      <c r="E753" s="380"/>
      <c r="F753" s="378"/>
      <c r="G753" s="378"/>
      <c r="H753" s="378"/>
      <c r="I753" s="378"/>
      <c r="J753" s="378"/>
      <c r="K753" s="378"/>
      <c r="L753" s="378"/>
      <c r="M753" s="381"/>
      <c r="N753" s="381"/>
      <c r="O753" s="381"/>
      <c r="P753" s="381"/>
      <c r="Q753" s="381"/>
      <c r="R753" s="381"/>
      <c r="S753" s="381"/>
      <c r="T753" s="381"/>
      <c r="U753" s="381"/>
      <c r="V753" s="381"/>
      <c r="W753" s="381"/>
      <c r="X753" s="381"/>
      <c r="Y753" s="381"/>
      <c r="Z753" s="381"/>
      <c r="AA753" s="381"/>
      <c r="AB753" s="381"/>
      <c r="AC753" s="382"/>
      <c r="AD753" s="382"/>
    </row>
    <row r="754" spans="1:30" ht="12.75" customHeight="1" x14ac:dyDescent="0.2">
      <c r="A754" s="378"/>
      <c r="B754" s="378"/>
      <c r="C754" s="378"/>
      <c r="D754" s="379"/>
      <c r="E754" s="380"/>
      <c r="F754" s="378"/>
      <c r="G754" s="378"/>
      <c r="H754" s="378"/>
      <c r="I754" s="378"/>
      <c r="J754" s="378"/>
      <c r="K754" s="378"/>
      <c r="L754" s="378"/>
      <c r="M754" s="381"/>
      <c r="N754" s="381"/>
      <c r="O754" s="381"/>
      <c r="P754" s="381"/>
      <c r="Q754" s="381"/>
      <c r="R754" s="381"/>
      <c r="S754" s="381"/>
      <c r="T754" s="381"/>
      <c r="U754" s="381"/>
      <c r="V754" s="381"/>
      <c r="W754" s="381"/>
      <c r="X754" s="381"/>
      <c r="Y754" s="381"/>
      <c r="Z754" s="381"/>
      <c r="AA754" s="381"/>
      <c r="AB754" s="381"/>
      <c r="AC754" s="382"/>
      <c r="AD754" s="382"/>
    </row>
    <row r="755" spans="1:30" ht="12.75" customHeight="1" x14ac:dyDescent="0.2">
      <c r="A755" s="378"/>
      <c r="B755" s="378"/>
      <c r="C755" s="378"/>
      <c r="D755" s="379"/>
      <c r="E755" s="380"/>
      <c r="F755" s="378"/>
      <c r="G755" s="378"/>
      <c r="H755" s="378"/>
      <c r="I755" s="378"/>
      <c r="J755" s="378"/>
      <c r="K755" s="378"/>
      <c r="L755" s="378"/>
      <c r="M755" s="381"/>
      <c r="N755" s="381"/>
      <c r="O755" s="381"/>
      <c r="P755" s="381"/>
      <c r="Q755" s="381"/>
      <c r="R755" s="381"/>
      <c r="S755" s="381"/>
      <c r="T755" s="381"/>
      <c r="U755" s="381"/>
      <c r="V755" s="381"/>
      <c r="W755" s="381"/>
      <c r="X755" s="381"/>
      <c r="Y755" s="381"/>
      <c r="Z755" s="381"/>
      <c r="AA755" s="381"/>
      <c r="AB755" s="381"/>
      <c r="AC755" s="382"/>
      <c r="AD755" s="382"/>
    </row>
    <row r="756" spans="1:30" ht="12.75" customHeight="1" x14ac:dyDescent="0.2">
      <c r="A756" s="378"/>
      <c r="B756" s="378"/>
      <c r="C756" s="378"/>
      <c r="D756" s="379"/>
      <c r="E756" s="380"/>
      <c r="F756" s="378"/>
      <c r="G756" s="378"/>
      <c r="H756" s="378"/>
      <c r="I756" s="378"/>
      <c r="J756" s="378"/>
      <c r="K756" s="378"/>
      <c r="L756" s="378"/>
      <c r="M756" s="381"/>
      <c r="N756" s="381"/>
      <c r="O756" s="381"/>
      <c r="P756" s="381"/>
      <c r="Q756" s="381"/>
      <c r="R756" s="381"/>
      <c r="S756" s="381"/>
      <c r="T756" s="381"/>
      <c r="U756" s="381"/>
      <c r="V756" s="381"/>
      <c r="W756" s="381"/>
      <c r="X756" s="381"/>
      <c r="Y756" s="381"/>
      <c r="Z756" s="381"/>
      <c r="AA756" s="381"/>
      <c r="AB756" s="381"/>
      <c r="AC756" s="382"/>
      <c r="AD756" s="382"/>
    </row>
    <row r="757" spans="1:30" ht="12.75" customHeight="1" x14ac:dyDescent="0.2">
      <c r="A757" s="378"/>
      <c r="B757" s="378"/>
      <c r="C757" s="378"/>
      <c r="D757" s="379"/>
      <c r="E757" s="380"/>
      <c r="F757" s="378"/>
      <c r="G757" s="378"/>
      <c r="H757" s="378"/>
      <c r="I757" s="378"/>
      <c r="J757" s="378"/>
      <c r="K757" s="378"/>
      <c r="L757" s="378"/>
      <c r="M757" s="381"/>
      <c r="N757" s="381"/>
      <c r="O757" s="381"/>
      <c r="P757" s="381"/>
      <c r="Q757" s="381"/>
      <c r="R757" s="381"/>
      <c r="S757" s="381"/>
      <c r="T757" s="381"/>
      <c r="U757" s="381"/>
      <c r="V757" s="381"/>
      <c r="W757" s="381"/>
      <c r="X757" s="381"/>
      <c r="Y757" s="381"/>
      <c r="Z757" s="381"/>
      <c r="AA757" s="381"/>
      <c r="AB757" s="381"/>
      <c r="AC757" s="382"/>
      <c r="AD757" s="382"/>
    </row>
    <row r="758" spans="1:30" ht="12.75" customHeight="1" x14ac:dyDescent="0.2">
      <c r="A758" s="378"/>
      <c r="B758" s="378"/>
      <c r="C758" s="378"/>
      <c r="D758" s="379"/>
      <c r="E758" s="380"/>
      <c r="F758" s="378"/>
      <c r="G758" s="378"/>
      <c r="H758" s="378"/>
      <c r="I758" s="378"/>
      <c r="J758" s="378"/>
      <c r="K758" s="378"/>
      <c r="L758" s="378"/>
      <c r="M758" s="381"/>
      <c r="N758" s="381"/>
      <c r="O758" s="381"/>
      <c r="P758" s="381"/>
      <c r="Q758" s="381"/>
      <c r="R758" s="381"/>
      <c r="S758" s="381"/>
      <c r="T758" s="381"/>
      <c r="U758" s="381"/>
      <c r="V758" s="381"/>
      <c r="W758" s="381"/>
      <c r="X758" s="381"/>
      <c r="Y758" s="381"/>
      <c r="Z758" s="381"/>
      <c r="AA758" s="381"/>
      <c r="AB758" s="381"/>
      <c r="AC758" s="382"/>
      <c r="AD758" s="382"/>
    </row>
    <row r="759" spans="1:30" ht="12.75" customHeight="1" x14ac:dyDescent="0.2">
      <c r="A759" s="378"/>
      <c r="B759" s="378"/>
      <c r="C759" s="378"/>
      <c r="D759" s="379"/>
      <c r="E759" s="380"/>
      <c r="F759" s="378"/>
      <c r="G759" s="378"/>
      <c r="H759" s="378"/>
      <c r="I759" s="378"/>
      <c r="J759" s="378"/>
      <c r="K759" s="378"/>
      <c r="L759" s="378"/>
      <c r="M759" s="381"/>
      <c r="N759" s="381"/>
      <c r="O759" s="381"/>
      <c r="P759" s="381"/>
      <c r="Q759" s="381"/>
      <c r="R759" s="381"/>
      <c r="S759" s="381"/>
      <c r="T759" s="381"/>
      <c r="U759" s="381"/>
      <c r="V759" s="381"/>
      <c r="W759" s="381"/>
      <c r="X759" s="381"/>
      <c r="Y759" s="381"/>
      <c r="Z759" s="381"/>
      <c r="AA759" s="381"/>
      <c r="AB759" s="381"/>
      <c r="AC759" s="382"/>
      <c r="AD759" s="382"/>
    </row>
    <row r="760" spans="1:30" ht="12.75" customHeight="1" x14ac:dyDescent="0.2">
      <c r="A760" s="378"/>
      <c r="B760" s="378"/>
      <c r="C760" s="378"/>
      <c r="D760" s="379"/>
      <c r="E760" s="380"/>
      <c r="F760" s="378"/>
      <c r="G760" s="378"/>
      <c r="H760" s="378"/>
      <c r="I760" s="378"/>
      <c r="J760" s="378"/>
      <c r="K760" s="378"/>
      <c r="L760" s="378"/>
      <c r="M760" s="381"/>
      <c r="N760" s="381"/>
      <c r="O760" s="381"/>
      <c r="P760" s="381"/>
      <c r="Q760" s="381"/>
      <c r="R760" s="381"/>
      <c r="S760" s="381"/>
      <c r="T760" s="381"/>
      <c r="U760" s="381"/>
      <c r="V760" s="381"/>
      <c r="W760" s="381"/>
      <c r="X760" s="381"/>
      <c r="Y760" s="381"/>
      <c r="Z760" s="381"/>
      <c r="AA760" s="381"/>
      <c r="AB760" s="381"/>
      <c r="AC760" s="382"/>
      <c r="AD760" s="382"/>
    </row>
    <row r="761" spans="1:30" ht="12.75" customHeight="1" x14ac:dyDescent="0.2">
      <c r="A761" s="378"/>
      <c r="B761" s="378"/>
      <c r="C761" s="378"/>
      <c r="D761" s="379"/>
      <c r="E761" s="380"/>
      <c r="F761" s="378"/>
      <c r="G761" s="378"/>
      <c r="H761" s="378"/>
      <c r="I761" s="378"/>
      <c r="J761" s="378"/>
      <c r="K761" s="378"/>
      <c r="L761" s="378"/>
      <c r="M761" s="381"/>
      <c r="N761" s="381"/>
      <c r="O761" s="381"/>
      <c r="P761" s="381"/>
      <c r="Q761" s="381"/>
      <c r="R761" s="381"/>
      <c r="S761" s="381"/>
      <c r="T761" s="381"/>
      <c r="U761" s="381"/>
      <c r="V761" s="381"/>
      <c r="W761" s="381"/>
      <c r="X761" s="381"/>
      <c r="Y761" s="381"/>
      <c r="Z761" s="381"/>
      <c r="AA761" s="381"/>
      <c r="AB761" s="381"/>
      <c r="AC761" s="382"/>
      <c r="AD761" s="382"/>
    </row>
    <row r="762" spans="1:30" ht="12.75" customHeight="1" x14ac:dyDescent="0.2">
      <c r="A762" s="378"/>
      <c r="B762" s="378"/>
      <c r="C762" s="378"/>
      <c r="D762" s="379"/>
      <c r="E762" s="380"/>
      <c r="F762" s="378"/>
      <c r="G762" s="378"/>
      <c r="H762" s="378"/>
      <c r="I762" s="378"/>
      <c r="J762" s="378"/>
      <c r="K762" s="378"/>
      <c r="L762" s="378"/>
      <c r="M762" s="381"/>
      <c r="N762" s="381"/>
      <c r="O762" s="381"/>
      <c r="P762" s="381"/>
      <c r="Q762" s="381"/>
      <c r="R762" s="381"/>
      <c r="S762" s="381"/>
      <c r="T762" s="381"/>
      <c r="U762" s="381"/>
      <c r="V762" s="381"/>
      <c r="W762" s="381"/>
      <c r="X762" s="381"/>
      <c r="Y762" s="381"/>
      <c r="Z762" s="381"/>
      <c r="AA762" s="381"/>
      <c r="AB762" s="381"/>
      <c r="AC762" s="382"/>
      <c r="AD762" s="382"/>
    </row>
    <row r="763" spans="1:30" ht="12.75" customHeight="1" x14ac:dyDescent="0.2">
      <c r="A763" s="378"/>
      <c r="B763" s="378"/>
      <c r="C763" s="378"/>
      <c r="D763" s="379"/>
      <c r="E763" s="380"/>
      <c r="F763" s="378"/>
      <c r="G763" s="378"/>
      <c r="H763" s="378"/>
      <c r="I763" s="378"/>
      <c r="J763" s="378"/>
      <c r="K763" s="378"/>
      <c r="L763" s="378"/>
      <c r="M763" s="381"/>
      <c r="N763" s="381"/>
      <c r="O763" s="381"/>
      <c r="P763" s="381"/>
      <c r="Q763" s="381"/>
      <c r="R763" s="381"/>
      <c r="S763" s="381"/>
      <c r="T763" s="381"/>
      <c r="U763" s="381"/>
      <c r="V763" s="381"/>
      <c r="W763" s="381"/>
      <c r="X763" s="381"/>
      <c r="Y763" s="381"/>
      <c r="Z763" s="381"/>
      <c r="AA763" s="381"/>
      <c r="AB763" s="381"/>
      <c r="AC763" s="382"/>
      <c r="AD763" s="382"/>
    </row>
    <row r="764" spans="1:30" ht="12.75" customHeight="1" x14ac:dyDescent="0.2">
      <c r="A764" s="378"/>
      <c r="B764" s="378"/>
      <c r="C764" s="378"/>
      <c r="D764" s="379"/>
      <c r="E764" s="380"/>
      <c r="F764" s="378"/>
      <c r="G764" s="378"/>
      <c r="H764" s="378"/>
      <c r="I764" s="378"/>
      <c r="J764" s="378"/>
      <c r="K764" s="378"/>
      <c r="L764" s="378"/>
      <c r="M764" s="381"/>
      <c r="N764" s="381"/>
      <c r="O764" s="381"/>
      <c r="P764" s="381"/>
      <c r="Q764" s="381"/>
      <c r="R764" s="381"/>
      <c r="S764" s="381"/>
      <c r="T764" s="381"/>
      <c r="U764" s="381"/>
      <c r="V764" s="381"/>
      <c r="W764" s="381"/>
      <c r="X764" s="381"/>
      <c r="Y764" s="381"/>
      <c r="Z764" s="381"/>
      <c r="AA764" s="381"/>
      <c r="AB764" s="381"/>
      <c r="AC764" s="382"/>
      <c r="AD764" s="382"/>
    </row>
    <row r="765" spans="1:30" ht="12.75" customHeight="1" x14ac:dyDescent="0.2">
      <c r="A765" s="378"/>
      <c r="B765" s="378"/>
      <c r="C765" s="378"/>
      <c r="D765" s="379"/>
      <c r="E765" s="380"/>
      <c r="F765" s="378"/>
      <c r="G765" s="378"/>
      <c r="H765" s="378"/>
      <c r="I765" s="378"/>
      <c r="J765" s="378"/>
      <c r="K765" s="378"/>
      <c r="L765" s="378"/>
      <c r="M765" s="381"/>
      <c r="N765" s="381"/>
      <c r="O765" s="381"/>
      <c r="P765" s="381"/>
      <c r="Q765" s="381"/>
      <c r="R765" s="381"/>
      <c r="S765" s="381"/>
      <c r="T765" s="381"/>
      <c r="U765" s="381"/>
      <c r="V765" s="381"/>
      <c r="W765" s="381"/>
      <c r="X765" s="381"/>
      <c r="Y765" s="381"/>
      <c r="Z765" s="381"/>
      <c r="AA765" s="381"/>
      <c r="AB765" s="381"/>
      <c r="AC765" s="382"/>
      <c r="AD765" s="382"/>
    </row>
    <row r="766" spans="1:30" ht="12.75" customHeight="1" x14ac:dyDescent="0.2">
      <c r="A766" s="378"/>
      <c r="B766" s="378"/>
      <c r="C766" s="378"/>
      <c r="D766" s="379"/>
      <c r="E766" s="380"/>
      <c r="F766" s="378"/>
      <c r="G766" s="378"/>
      <c r="H766" s="378"/>
      <c r="I766" s="378"/>
      <c r="J766" s="378"/>
      <c r="K766" s="378"/>
      <c r="L766" s="378"/>
      <c r="M766" s="381"/>
      <c r="N766" s="381"/>
      <c r="O766" s="381"/>
      <c r="P766" s="381"/>
      <c r="Q766" s="381"/>
      <c r="R766" s="381"/>
      <c r="S766" s="381"/>
      <c r="T766" s="381"/>
      <c r="U766" s="381"/>
      <c r="V766" s="381"/>
      <c r="W766" s="381"/>
      <c r="X766" s="381"/>
      <c r="Y766" s="381"/>
      <c r="Z766" s="381"/>
      <c r="AA766" s="381"/>
      <c r="AB766" s="381"/>
      <c r="AC766" s="382"/>
      <c r="AD766" s="382"/>
    </row>
    <row r="767" spans="1:30" ht="12.75" customHeight="1" x14ac:dyDescent="0.2">
      <c r="A767" s="378"/>
      <c r="B767" s="378"/>
      <c r="C767" s="378"/>
      <c r="D767" s="379"/>
      <c r="E767" s="380"/>
      <c r="F767" s="378"/>
      <c r="G767" s="378"/>
      <c r="H767" s="378"/>
      <c r="I767" s="378"/>
      <c r="J767" s="378"/>
      <c r="K767" s="378"/>
      <c r="L767" s="378"/>
      <c r="M767" s="381"/>
      <c r="N767" s="381"/>
      <c r="O767" s="381"/>
      <c r="P767" s="381"/>
      <c r="Q767" s="381"/>
      <c r="R767" s="381"/>
      <c r="S767" s="381"/>
      <c r="T767" s="381"/>
      <c r="U767" s="381"/>
      <c r="V767" s="381"/>
      <c r="W767" s="381"/>
      <c r="X767" s="381"/>
      <c r="Y767" s="381"/>
      <c r="Z767" s="381"/>
      <c r="AA767" s="381"/>
      <c r="AB767" s="381"/>
      <c r="AC767" s="382"/>
      <c r="AD767" s="382"/>
    </row>
    <row r="768" spans="1:30" ht="12.75" customHeight="1" x14ac:dyDescent="0.2">
      <c r="A768" s="378"/>
      <c r="B768" s="378"/>
      <c r="C768" s="378"/>
      <c r="D768" s="379"/>
      <c r="E768" s="380"/>
      <c r="F768" s="378"/>
      <c r="G768" s="378"/>
      <c r="H768" s="378"/>
      <c r="I768" s="378"/>
      <c r="J768" s="378"/>
      <c r="K768" s="378"/>
      <c r="L768" s="378"/>
      <c r="M768" s="381"/>
      <c r="N768" s="381"/>
      <c r="O768" s="381"/>
      <c r="P768" s="381"/>
      <c r="Q768" s="381"/>
      <c r="R768" s="381"/>
      <c r="S768" s="381"/>
      <c r="T768" s="381"/>
      <c r="U768" s="381"/>
      <c r="V768" s="381"/>
      <c r="W768" s="381"/>
      <c r="X768" s="381"/>
      <c r="Y768" s="381"/>
      <c r="Z768" s="381"/>
      <c r="AA768" s="381"/>
      <c r="AB768" s="381"/>
      <c r="AC768" s="382"/>
      <c r="AD768" s="382"/>
    </row>
    <row r="769" spans="1:30" ht="12.75" customHeight="1" x14ac:dyDescent="0.2">
      <c r="A769" s="378"/>
      <c r="B769" s="378"/>
      <c r="C769" s="378"/>
      <c r="D769" s="379"/>
      <c r="E769" s="380"/>
      <c r="F769" s="378"/>
      <c r="G769" s="378"/>
      <c r="H769" s="378"/>
      <c r="I769" s="378"/>
      <c r="J769" s="378"/>
      <c r="K769" s="378"/>
      <c r="L769" s="378"/>
      <c r="M769" s="381"/>
      <c r="N769" s="381"/>
      <c r="O769" s="381"/>
      <c r="P769" s="381"/>
      <c r="Q769" s="381"/>
      <c r="R769" s="381"/>
      <c r="S769" s="381"/>
      <c r="T769" s="381"/>
      <c r="U769" s="381"/>
      <c r="V769" s="381"/>
      <c r="W769" s="381"/>
      <c r="X769" s="381"/>
      <c r="Y769" s="381"/>
      <c r="Z769" s="381"/>
      <c r="AA769" s="381"/>
      <c r="AB769" s="381"/>
      <c r="AC769" s="382"/>
      <c r="AD769" s="382"/>
    </row>
    <row r="770" spans="1:30" ht="12.75" customHeight="1" x14ac:dyDescent="0.2">
      <c r="A770" s="378"/>
      <c r="B770" s="378"/>
      <c r="C770" s="378"/>
      <c r="D770" s="379"/>
      <c r="E770" s="380"/>
      <c r="F770" s="378"/>
      <c r="G770" s="378"/>
      <c r="H770" s="378"/>
      <c r="I770" s="378"/>
      <c r="J770" s="378"/>
      <c r="K770" s="378"/>
      <c r="L770" s="378"/>
      <c r="M770" s="381"/>
      <c r="N770" s="381"/>
      <c r="O770" s="381"/>
      <c r="P770" s="381"/>
      <c r="Q770" s="381"/>
      <c r="R770" s="381"/>
      <c r="S770" s="381"/>
      <c r="T770" s="381"/>
      <c r="U770" s="381"/>
      <c r="V770" s="381"/>
      <c r="W770" s="381"/>
      <c r="X770" s="381"/>
      <c r="Y770" s="381"/>
      <c r="Z770" s="381"/>
      <c r="AA770" s="381"/>
      <c r="AB770" s="381"/>
      <c r="AC770" s="382"/>
      <c r="AD770" s="382"/>
    </row>
    <row r="771" spans="1:30" ht="12.75" customHeight="1" x14ac:dyDescent="0.2">
      <c r="A771" s="378"/>
      <c r="B771" s="378"/>
      <c r="C771" s="378"/>
      <c r="D771" s="379"/>
      <c r="E771" s="380"/>
      <c r="F771" s="378"/>
      <c r="G771" s="378"/>
      <c r="H771" s="378"/>
      <c r="I771" s="378"/>
      <c r="J771" s="378"/>
      <c r="K771" s="378"/>
      <c r="L771" s="378"/>
      <c r="M771" s="381"/>
      <c r="N771" s="381"/>
      <c r="O771" s="381"/>
      <c r="P771" s="381"/>
      <c r="Q771" s="381"/>
      <c r="R771" s="381"/>
      <c r="S771" s="381"/>
      <c r="T771" s="381"/>
      <c r="U771" s="381"/>
      <c r="V771" s="381"/>
      <c r="W771" s="381"/>
      <c r="X771" s="381"/>
      <c r="Y771" s="381"/>
      <c r="Z771" s="381"/>
      <c r="AA771" s="381"/>
      <c r="AB771" s="381"/>
      <c r="AC771" s="382"/>
      <c r="AD771" s="382"/>
    </row>
    <row r="772" spans="1:30" ht="12.75" customHeight="1" x14ac:dyDescent="0.2">
      <c r="A772" s="378"/>
      <c r="B772" s="378"/>
      <c r="C772" s="378"/>
      <c r="D772" s="379"/>
      <c r="E772" s="380"/>
      <c r="F772" s="378"/>
      <c r="G772" s="378"/>
      <c r="H772" s="378"/>
      <c r="I772" s="378"/>
      <c r="J772" s="378"/>
      <c r="K772" s="378"/>
      <c r="L772" s="378"/>
      <c r="M772" s="381"/>
      <c r="N772" s="381"/>
      <c r="O772" s="381"/>
      <c r="P772" s="381"/>
      <c r="Q772" s="381"/>
      <c r="R772" s="381"/>
      <c r="S772" s="381"/>
      <c r="T772" s="381"/>
      <c r="U772" s="381"/>
      <c r="V772" s="381"/>
      <c r="W772" s="381"/>
      <c r="X772" s="381"/>
      <c r="Y772" s="381"/>
      <c r="Z772" s="381"/>
      <c r="AA772" s="381"/>
      <c r="AB772" s="381"/>
      <c r="AC772" s="382"/>
      <c r="AD772" s="382"/>
    </row>
    <row r="773" spans="1:30" ht="12.75" customHeight="1" x14ac:dyDescent="0.2">
      <c r="A773" s="378"/>
      <c r="B773" s="378"/>
      <c r="C773" s="378"/>
      <c r="D773" s="379"/>
      <c r="E773" s="380"/>
      <c r="F773" s="378"/>
      <c r="G773" s="378"/>
      <c r="H773" s="378"/>
      <c r="I773" s="378"/>
      <c r="J773" s="378"/>
      <c r="K773" s="378"/>
      <c r="L773" s="378"/>
      <c r="M773" s="381"/>
      <c r="N773" s="381"/>
      <c r="O773" s="381"/>
      <c r="P773" s="381"/>
      <c r="Q773" s="381"/>
      <c r="R773" s="381"/>
      <c r="S773" s="381"/>
      <c r="T773" s="381"/>
      <c r="U773" s="381"/>
      <c r="V773" s="381"/>
      <c r="W773" s="381"/>
      <c r="X773" s="381"/>
      <c r="Y773" s="381"/>
      <c r="Z773" s="381"/>
      <c r="AA773" s="381"/>
      <c r="AB773" s="381"/>
      <c r="AC773" s="382"/>
      <c r="AD773" s="382"/>
    </row>
    <row r="774" spans="1:30" ht="12.75" customHeight="1" x14ac:dyDescent="0.2">
      <c r="A774" s="378"/>
      <c r="B774" s="378"/>
      <c r="C774" s="378"/>
      <c r="D774" s="379"/>
      <c r="E774" s="380"/>
      <c r="F774" s="378"/>
      <c r="G774" s="378"/>
      <c r="H774" s="378"/>
      <c r="I774" s="378"/>
      <c r="J774" s="378"/>
      <c r="K774" s="378"/>
      <c r="L774" s="378"/>
      <c r="M774" s="381"/>
      <c r="N774" s="381"/>
      <c r="O774" s="381"/>
      <c r="P774" s="381"/>
      <c r="Q774" s="381"/>
      <c r="R774" s="381"/>
      <c r="S774" s="381"/>
      <c r="T774" s="381"/>
      <c r="U774" s="381"/>
      <c r="V774" s="381"/>
      <c r="W774" s="381"/>
      <c r="X774" s="381"/>
      <c r="Y774" s="381"/>
      <c r="Z774" s="381"/>
      <c r="AA774" s="381"/>
      <c r="AB774" s="381"/>
      <c r="AC774" s="382"/>
      <c r="AD774" s="382"/>
    </row>
    <row r="775" spans="1:30" ht="12.75" customHeight="1" x14ac:dyDescent="0.2">
      <c r="A775" s="378"/>
      <c r="B775" s="378"/>
      <c r="C775" s="378"/>
      <c r="D775" s="379"/>
      <c r="E775" s="380"/>
      <c r="F775" s="378"/>
      <c r="G775" s="378"/>
      <c r="H775" s="378"/>
      <c r="I775" s="378"/>
      <c r="J775" s="378"/>
      <c r="K775" s="378"/>
      <c r="L775" s="378"/>
      <c r="M775" s="381"/>
      <c r="N775" s="381"/>
      <c r="O775" s="381"/>
      <c r="P775" s="381"/>
      <c r="Q775" s="381"/>
      <c r="R775" s="381"/>
      <c r="S775" s="381"/>
      <c r="T775" s="381"/>
      <c r="U775" s="381"/>
      <c r="V775" s="381"/>
      <c r="W775" s="381"/>
      <c r="X775" s="381"/>
      <c r="Y775" s="381"/>
      <c r="Z775" s="381"/>
      <c r="AA775" s="381"/>
      <c r="AB775" s="381"/>
      <c r="AC775" s="382"/>
      <c r="AD775" s="382"/>
    </row>
    <row r="776" spans="1:30" ht="12.75" customHeight="1" x14ac:dyDescent="0.2">
      <c r="A776" s="378"/>
      <c r="B776" s="378"/>
      <c r="C776" s="378"/>
      <c r="D776" s="379"/>
      <c r="E776" s="380"/>
      <c r="F776" s="378"/>
      <c r="G776" s="378"/>
      <c r="H776" s="378"/>
      <c r="I776" s="378"/>
      <c r="J776" s="378"/>
      <c r="K776" s="378"/>
      <c r="L776" s="378"/>
      <c r="M776" s="381"/>
      <c r="N776" s="381"/>
      <c r="O776" s="381"/>
      <c r="P776" s="381"/>
      <c r="Q776" s="381"/>
      <c r="R776" s="381"/>
      <c r="S776" s="381"/>
      <c r="T776" s="381"/>
      <c r="U776" s="381"/>
      <c r="V776" s="381"/>
      <c r="W776" s="381"/>
      <c r="X776" s="381"/>
      <c r="Y776" s="381"/>
      <c r="Z776" s="381"/>
      <c r="AA776" s="381"/>
      <c r="AB776" s="381"/>
      <c r="AC776" s="382"/>
      <c r="AD776" s="382"/>
    </row>
    <row r="777" spans="1:30" ht="12.75" customHeight="1" x14ac:dyDescent="0.2">
      <c r="A777" s="378"/>
      <c r="B777" s="378"/>
      <c r="C777" s="378"/>
      <c r="D777" s="379"/>
      <c r="E777" s="380"/>
      <c r="F777" s="378"/>
      <c r="G777" s="378"/>
      <c r="H777" s="378"/>
      <c r="I777" s="378"/>
      <c r="J777" s="378"/>
      <c r="K777" s="378"/>
      <c r="L777" s="378"/>
      <c r="M777" s="381"/>
      <c r="N777" s="381"/>
      <c r="O777" s="381"/>
      <c r="P777" s="381"/>
      <c r="Q777" s="381"/>
      <c r="R777" s="381"/>
      <c r="S777" s="381"/>
      <c r="T777" s="381"/>
      <c r="U777" s="381"/>
      <c r="V777" s="381"/>
      <c r="W777" s="381"/>
      <c r="X777" s="381"/>
      <c r="Y777" s="381"/>
      <c r="Z777" s="381"/>
      <c r="AA777" s="381"/>
      <c r="AB777" s="381"/>
      <c r="AC777" s="382"/>
      <c r="AD777" s="382"/>
    </row>
    <row r="778" spans="1:30" ht="12.75" customHeight="1" x14ac:dyDescent="0.2">
      <c r="A778" s="378"/>
      <c r="B778" s="378"/>
      <c r="C778" s="378"/>
      <c r="D778" s="379"/>
      <c r="E778" s="380"/>
      <c r="F778" s="378"/>
      <c r="G778" s="378"/>
      <c r="H778" s="378"/>
      <c r="I778" s="378"/>
      <c r="J778" s="378"/>
      <c r="K778" s="378"/>
      <c r="L778" s="378"/>
      <c r="M778" s="381"/>
      <c r="N778" s="381"/>
      <c r="O778" s="381"/>
      <c r="P778" s="381"/>
      <c r="Q778" s="381"/>
      <c r="R778" s="381"/>
      <c r="S778" s="381"/>
      <c r="T778" s="381"/>
      <c r="U778" s="381"/>
      <c r="V778" s="381"/>
      <c r="W778" s="381"/>
      <c r="X778" s="381"/>
      <c r="Y778" s="381"/>
      <c r="Z778" s="381"/>
      <c r="AA778" s="381"/>
      <c r="AB778" s="381"/>
      <c r="AC778" s="382"/>
      <c r="AD778" s="382"/>
    </row>
    <row r="779" spans="1:30" ht="12.75" customHeight="1" x14ac:dyDescent="0.2">
      <c r="A779" s="378"/>
      <c r="B779" s="378"/>
      <c r="C779" s="378"/>
      <c r="D779" s="379"/>
      <c r="E779" s="380"/>
      <c r="F779" s="378"/>
      <c r="G779" s="378"/>
      <c r="H779" s="378"/>
      <c r="I779" s="378"/>
      <c r="J779" s="378"/>
      <c r="K779" s="378"/>
      <c r="L779" s="378"/>
      <c r="M779" s="381"/>
      <c r="N779" s="381"/>
      <c r="O779" s="381"/>
      <c r="P779" s="381"/>
      <c r="Q779" s="381"/>
      <c r="R779" s="381"/>
      <c r="S779" s="381"/>
      <c r="T779" s="381"/>
      <c r="U779" s="381"/>
      <c r="V779" s="381"/>
      <c r="W779" s="381"/>
      <c r="X779" s="381"/>
      <c r="Y779" s="381"/>
      <c r="Z779" s="381"/>
      <c r="AA779" s="381"/>
      <c r="AB779" s="381"/>
      <c r="AC779" s="382"/>
      <c r="AD779" s="382"/>
    </row>
    <row r="780" spans="1:30" ht="12.75" customHeight="1" x14ac:dyDescent="0.2">
      <c r="A780" s="378"/>
      <c r="B780" s="378"/>
      <c r="C780" s="378"/>
      <c r="D780" s="379"/>
      <c r="E780" s="380"/>
      <c r="F780" s="378"/>
      <c r="G780" s="378"/>
      <c r="H780" s="378"/>
      <c r="I780" s="378"/>
      <c r="J780" s="378"/>
      <c r="K780" s="378"/>
      <c r="L780" s="378"/>
      <c r="M780" s="381"/>
      <c r="N780" s="381"/>
      <c r="O780" s="381"/>
      <c r="P780" s="381"/>
      <c r="Q780" s="381"/>
      <c r="R780" s="381"/>
      <c r="S780" s="381"/>
      <c r="T780" s="381"/>
      <c r="U780" s="381"/>
      <c r="V780" s="381"/>
      <c r="W780" s="381"/>
      <c r="X780" s="381"/>
      <c r="Y780" s="381"/>
      <c r="Z780" s="381"/>
      <c r="AA780" s="381"/>
      <c r="AB780" s="381"/>
      <c r="AC780" s="382"/>
      <c r="AD780" s="382"/>
    </row>
    <row r="781" spans="1:30" ht="12.75" customHeight="1" x14ac:dyDescent="0.2">
      <c r="A781" s="378"/>
      <c r="B781" s="378"/>
      <c r="C781" s="378"/>
      <c r="D781" s="379"/>
      <c r="E781" s="380"/>
      <c r="F781" s="378"/>
      <c r="G781" s="378"/>
      <c r="H781" s="378"/>
      <c r="I781" s="378"/>
      <c r="J781" s="378"/>
      <c r="K781" s="378"/>
      <c r="L781" s="378"/>
      <c r="M781" s="381"/>
      <c r="N781" s="381"/>
      <c r="O781" s="381"/>
      <c r="P781" s="381"/>
      <c r="Q781" s="381"/>
      <c r="R781" s="381"/>
      <c r="S781" s="381"/>
      <c r="T781" s="381"/>
      <c r="U781" s="381"/>
      <c r="V781" s="381"/>
      <c r="W781" s="381"/>
      <c r="X781" s="381"/>
      <c r="Y781" s="381"/>
      <c r="Z781" s="381"/>
      <c r="AA781" s="381"/>
      <c r="AB781" s="381"/>
      <c r="AC781" s="382"/>
      <c r="AD781" s="382"/>
    </row>
    <row r="782" spans="1:30" ht="12.75" customHeight="1" x14ac:dyDescent="0.2">
      <c r="A782" s="378"/>
      <c r="B782" s="378"/>
      <c r="C782" s="378"/>
      <c r="D782" s="379"/>
      <c r="E782" s="380"/>
      <c r="F782" s="378"/>
      <c r="G782" s="378"/>
      <c r="H782" s="378"/>
      <c r="I782" s="378"/>
      <c r="J782" s="378"/>
      <c r="K782" s="378"/>
      <c r="L782" s="378"/>
      <c r="M782" s="381"/>
      <c r="N782" s="381"/>
      <c r="O782" s="381"/>
      <c r="P782" s="381"/>
      <c r="Q782" s="381"/>
      <c r="R782" s="381"/>
      <c r="S782" s="381"/>
      <c r="T782" s="381"/>
      <c r="U782" s="381"/>
      <c r="V782" s="381"/>
      <c r="W782" s="381"/>
      <c r="X782" s="381"/>
      <c r="Y782" s="381"/>
      <c r="Z782" s="381"/>
      <c r="AA782" s="381"/>
      <c r="AB782" s="381"/>
      <c r="AC782" s="382"/>
      <c r="AD782" s="382"/>
    </row>
    <row r="783" spans="1:30" ht="12.75" customHeight="1" x14ac:dyDescent="0.2">
      <c r="A783" s="378"/>
      <c r="B783" s="378"/>
      <c r="C783" s="378"/>
      <c r="D783" s="379"/>
      <c r="E783" s="380"/>
      <c r="F783" s="378"/>
      <c r="G783" s="378"/>
      <c r="H783" s="378"/>
      <c r="I783" s="378"/>
      <c r="J783" s="378"/>
      <c r="K783" s="378"/>
      <c r="L783" s="378"/>
      <c r="M783" s="381"/>
      <c r="N783" s="381"/>
      <c r="O783" s="381"/>
      <c r="P783" s="381"/>
      <c r="Q783" s="381"/>
      <c r="R783" s="381"/>
      <c r="S783" s="381"/>
      <c r="T783" s="381"/>
      <c r="U783" s="381"/>
      <c r="V783" s="381"/>
      <c r="W783" s="381"/>
      <c r="X783" s="381"/>
      <c r="Y783" s="381"/>
      <c r="Z783" s="381"/>
      <c r="AA783" s="381"/>
      <c r="AB783" s="381"/>
      <c r="AC783" s="382"/>
      <c r="AD783" s="382"/>
    </row>
    <row r="784" spans="1:30" ht="12.75" customHeight="1" x14ac:dyDescent="0.2">
      <c r="A784" s="378"/>
      <c r="B784" s="378"/>
      <c r="C784" s="378"/>
      <c r="D784" s="379"/>
      <c r="E784" s="380"/>
      <c r="F784" s="378"/>
      <c r="G784" s="378"/>
      <c r="H784" s="378"/>
      <c r="I784" s="378"/>
      <c r="J784" s="378"/>
      <c r="K784" s="378"/>
      <c r="L784" s="378"/>
      <c r="M784" s="381"/>
      <c r="N784" s="381"/>
      <c r="O784" s="381"/>
      <c r="P784" s="381"/>
      <c r="Q784" s="381"/>
      <c r="R784" s="381"/>
      <c r="S784" s="381"/>
      <c r="T784" s="381"/>
      <c r="U784" s="381"/>
      <c r="V784" s="381"/>
      <c r="W784" s="381"/>
      <c r="X784" s="381"/>
      <c r="Y784" s="381"/>
      <c r="Z784" s="381"/>
      <c r="AA784" s="381"/>
      <c r="AB784" s="381"/>
      <c r="AC784" s="382"/>
      <c r="AD784" s="382"/>
    </row>
    <row r="785" spans="1:30" ht="12.75" customHeight="1" x14ac:dyDescent="0.2">
      <c r="A785" s="378"/>
      <c r="B785" s="378"/>
      <c r="C785" s="378"/>
      <c r="D785" s="379"/>
      <c r="E785" s="380"/>
      <c r="F785" s="378"/>
      <c r="G785" s="378"/>
      <c r="H785" s="378"/>
      <c r="I785" s="378"/>
      <c r="J785" s="378"/>
      <c r="K785" s="378"/>
      <c r="L785" s="378"/>
      <c r="M785" s="381"/>
      <c r="N785" s="381"/>
      <c r="O785" s="381"/>
      <c r="P785" s="381"/>
      <c r="Q785" s="381"/>
      <c r="R785" s="381"/>
      <c r="S785" s="381"/>
      <c r="T785" s="381"/>
      <c r="U785" s="381"/>
      <c r="V785" s="381"/>
      <c r="W785" s="381"/>
      <c r="X785" s="381"/>
      <c r="Y785" s="381"/>
      <c r="Z785" s="381"/>
      <c r="AA785" s="381"/>
      <c r="AB785" s="381"/>
      <c r="AC785" s="382"/>
      <c r="AD785" s="382"/>
    </row>
    <row r="786" spans="1:30" ht="12.75" customHeight="1" x14ac:dyDescent="0.2">
      <c r="A786" s="378"/>
      <c r="B786" s="378"/>
      <c r="C786" s="378"/>
      <c r="D786" s="379"/>
      <c r="E786" s="380"/>
      <c r="F786" s="378"/>
      <c r="G786" s="378"/>
      <c r="H786" s="378"/>
      <c r="I786" s="378"/>
      <c r="J786" s="378"/>
      <c r="K786" s="378"/>
      <c r="L786" s="378"/>
      <c r="M786" s="381"/>
      <c r="N786" s="381"/>
      <c r="O786" s="381"/>
      <c r="P786" s="381"/>
      <c r="Q786" s="381"/>
      <c r="R786" s="381"/>
      <c r="S786" s="381"/>
      <c r="T786" s="381"/>
      <c r="U786" s="381"/>
      <c r="V786" s="381"/>
      <c r="W786" s="381"/>
      <c r="X786" s="381"/>
      <c r="Y786" s="381"/>
      <c r="Z786" s="381"/>
      <c r="AA786" s="381"/>
      <c r="AB786" s="381"/>
      <c r="AC786" s="382"/>
      <c r="AD786" s="382"/>
    </row>
    <row r="787" spans="1:30" ht="12.75" customHeight="1" x14ac:dyDescent="0.2">
      <c r="A787" s="378"/>
      <c r="B787" s="378"/>
      <c r="C787" s="378"/>
      <c r="D787" s="379"/>
      <c r="E787" s="380"/>
      <c r="F787" s="378"/>
      <c r="G787" s="378"/>
      <c r="H787" s="378"/>
      <c r="I787" s="378"/>
      <c r="J787" s="378"/>
      <c r="K787" s="378"/>
      <c r="L787" s="378"/>
      <c r="M787" s="381"/>
      <c r="N787" s="381"/>
      <c r="O787" s="381"/>
      <c r="P787" s="381"/>
      <c r="Q787" s="381"/>
      <c r="R787" s="381"/>
      <c r="S787" s="381"/>
      <c r="T787" s="381"/>
      <c r="U787" s="381"/>
      <c r="V787" s="381"/>
      <c r="W787" s="381"/>
      <c r="X787" s="381"/>
      <c r="Y787" s="381"/>
      <c r="Z787" s="381"/>
      <c r="AA787" s="381"/>
      <c r="AB787" s="381"/>
      <c r="AC787" s="382"/>
      <c r="AD787" s="382"/>
    </row>
    <row r="788" spans="1:30" ht="12.75" customHeight="1" x14ac:dyDescent="0.2">
      <c r="A788" s="378"/>
      <c r="B788" s="378"/>
      <c r="C788" s="378"/>
      <c r="D788" s="379"/>
      <c r="E788" s="380"/>
      <c r="F788" s="378"/>
      <c r="G788" s="378"/>
      <c r="H788" s="378"/>
      <c r="I788" s="378"/>
      <c r="J788" s="378"/>
      <c r="K788" s="378"/>
      <c r="L788" s="378"/>
      <c r="M788" s="381"/>
      <c r="N788" s="381"/>
      <c r="O788" s="381"/>
      <c r="P788" s="381"/>
      <c r="Q788" s="381"/>
      <c r="R788" s="381"/>
      <c r="S788" s="381"/>
      <c r="T788" s="381"/>
      <c r="U788" s="381"/>
      <c r="V788" s="381"/>
      <c r="W788" s="381"/>
      <c r="X788" s="381"/>
      <c r="Y788" s="381"/>
      <c r="Z788" s="381"/>
      <c r="AA788" s="381"/>
      <c r="AB788" s="381"/>
      <c r="AC788" s="382"/>
      <c r="AD788" s="382"/>
    </row>
    <row r="789" spans="1:30" ht="12.75" customHeight="1" x14ac:dyDescent="0.2">
      <c r="A789" s="378"/>
      <c r="B789" s="378"/>
      <c r="C789" s="378"/>
      <c r="D789" s="379"/>
      <c r="E789" s="380"/>
      <c r="F789" s="378"/>
      <c r="G789" s="378"/>
      <c r="H789" s="378"/>
      <c r="I789" s="378"/>
      <c r="J789" s="378"/>
      <c r="K789" s="378"/>
      <c r="L789" s="378"/>
      <c r="M789" s="381"/>
      <c r="N789" s="381"/>
      <c r="O789" s="381"/>
      <c r="P789" s="381"/>
      <c r="Q789" s="381"/>
      <c r="R789" s="381"/>
      <c r="S789" s="381"/>
      <c r="T789" s="381"/>
      <c r="U789" s="381"/>
      <c r="V789" s="381"/>
      <c r="W789" s="381"/>
      <c r="X789" s="381"/>
      <c r="Y789" s="381"/>
      <c r="Z789" s="381"/>
      <c r="AA789" s="381"/>
      <c r="AB789" s="381"/>
      <c r="AC789" s="382"/>
      <c r="AD789" s="382"/>
    </row>
    <row r="790" spans="1:30" ht="12.75" customHeight="1" x14ac:dyDescent="0.2">
      <c r="A790" s="378"/>
      <c r="B790" s="378"/>
      <c r="C790" s="378"/>
      <c r="D790" s="379"/>
      <c r="E790" s="380"/>
      <c r="F790" s="378"/>
      <c r="G790" s="378"/>
      <c r="H790" s="378"/>
      <c r="I790" s="378"/>
      <c r="J790" s="378"/>
      <c r="K790" s="378"/>
      <c r="L790" s="378"/>
      <c r="M790" s="381"/>
      <c r="N790" s="381"/>
      <c r="O790" s="381"/>
      <c r="P790" s="381"/>
      <c r="Q790" s="381"/>
      <c r="R790" s="381"/>
      <c r="S790" s="381"/>
      <c r="T790" s="381"/>
      <c r="U790" s="381"/>
      <c r="V790" s="381"/>
      <c r="W790" s="381"/>
      <c r="X790" s="381"/>
      <c r="Y790" s="381"/>
      <c r="Z790" s="381"/>
      <c r="AA790" s="381"/>
      <c r="AB790" s="381"/>
      <c r="AC790" s="382"/>
      <c r="AD790" s="382"/>
    </row>
    <row r="791" spans="1:30" ht="12.75" customHeight="1" x14ac:dyDescent="0.2">
      <c r="A791" s="378"/>
      <c r="B791" s="378"/>
      <c r="C791" s="378"/>
      <c r="D791" s="379"/>
      <c r="E791" s="380"/>
      <c r="F791" s="378"/>
      <c r="G791" s="378"/>
      <c r="H791" s="378"/>
      <c r="I791" s="378"/>
      <c r="J791" s="378"/>
      <c r="K791" s="378"/>
      <c r="L791" s="378"/>
      <c r="M791" s="381"/>
      <c r="N791" s="381"/>
      <c r="O791" s="381"/>
      <c r="P791" s="381"/>
      <c r="Q791" s="381"/>
      <c r="R791" s="381"/>
      <c r="S791" s="381"/>
      <c r="T791" s="381"/>
      <c r="U791" s="381"/>
      <c r="V791" s="381"/>
      <c r="W791" s="381"/>
      <c r="X791" s="381"/>
      <c r="Y791" s="381"/>
      <c r="Z791" s="381"/>
      <c r="AA791" s="381"/>
      <c r="AB791" s="381"/>
      <c r="AC791" s="382"/>
      <c r="AD791" s="382"/>
    </row>
    <row r="792" spans="1:30" ht="12.75" customHeight="1" x14ac:dyDescent="0.2">
      <c r="A792" s="378"/>
      <c r="B792" s="378"/>
      <c r="C792" s="378"/>
      <c r="D792" s="379"/>
      <c r="E792" s="380"/>
      <c r="F792" s="378"/>
      <c r="G792" s="378"/>
      <c r="H792" s="378"/>
      <c r="I792" s="378"/>
      <c r="J792" s="378"/>
      <c r="K792" s="378"/>
      <c r="L792" s="378"/>
      <c r="M792" s="381"/>
      <c r="N792" s="381"/>
      <c r="O792" s="381"/>
      <c r="P792" s="381"/>
      <c r="Q792" s="381"/>
      <c r="R792" s="381"/>
      <c r="S792" s="381"/>
      <c r="T792" s="381"/>
      <c r="U792" s="381"/>
      <c r="V792" s="381"/>
      <c r="W792" s="381"/>
      <c r="X792" s="381"/>
      <c r="Y792" s="381"/>
      <c r="Z792" s="381"/>
      <c r="AA792" s="381"/>
      <c r="AB792" s="381"/>
      <c r="AC792" s="382"/>
      <c r="AD792" s="382"/>
    </row>
    <row r="793" spans="1:30" ht="12.75" customHeight="1" x14ac:dyDescent="0.2">
      <c r="A793" s="378"/>
      <c r="B793" s="378"/>
      <c r="C793" s="378"/>
      <c r="D793" s="379"/>
      <c r="E793" s="380"/>
      <c r="F793" s="378"/>
      <c r="G793" s="378"/>
      <c r="H793" s="378"/>
      <c r="I793" s="378"/>
      <c r="J793" s="378"/>
      <c r="K793" s="378"/>
      <c r="L793" s="378"/>
      <c r="M793" s="381"/>
      <c r="N793" s="381"/>
      <c r="O793" s="381"/>
      <c r="P793" s="381"/>
      <c r="Q793" s="381"/>
      <c r="R793" s="381"/>
      <c r="S793" s="381"/>
      <c r="T793" s="381"/>
      <c r="U793" s="381"/>
      <c r="V793" s="381"/>
      <c r="W793" s="381"/>
      <c r="X793" s="381"/>
      <c r="Y793" s="381"/>
      <c r="Z793" s="381"/>
      <c r="AA793" s="381"/>
      <c r="AB793" s="381"/>
      <c r="AC793" s="382"/>
      <c r="AD793" s="382"/>
    </row>
    <row r="794" spans="1:30" ht="12.75" customHeight="1" x14ac:dyDescent="0.2">
      <c r="A794" s="378"/>
      <c r="B794" s="378"/>
      <c r="C794" s="378"/>
      <c r="D794" s="379"/>
      <c r="E794" s="380"/>
      <c r="F794" s="378"/>
      <c r="G794" s="378"/>
      <c r="H794" s="378"/>
      <c r="I794" s="378"/>
      <c r="J794" s="378"/>
      <c r="K794" s="378"/>
      <c r="L794" s="378"/>
      <c r="M794" s="381"/>
      <c r="N794" s="381"/>
      <c r="O794" s="381"/>
      <c r="P794" s="381"/>
      <c r="Q794" s="381"/>
      <c r="R794" s="381"/>
      <c r="S794" s="381"/>
      <c r="T794" s="381"/>
      <c r="U794" s="381"/>
      <c r="V794" s="381"/>
      <c r="W794" s="381"/>
      <c r="X794" s="381"/>
      <c r="Y794" s="381"/>
      <c r="Z794" s="381"/>
      <c r="AA794" s="381"/>
      <c r="AB794" s="381"/>
      <c r="AC794" s="382"/>
      <c r="AD794" s="382"/>
    </row>
    <row r="795" spans="1:30" ht="12.75" customHeight="1" x14ac:dyDescent="0.2">
      <c r="A795" s="378"/>
      <c r="B795" s="378"/>
      <c r="C795" s="378"/>
      <c r="D795" s="379"/>
      <c r="E795" s="380"/>
      <c r="F795" s="378"/>
      <c r="G795" s="378"/>
      <c r="H795" s="378"/>
      <c r="I795" s="378"/>
      <c r="J795" s="378"/>
      <c r="K795" s="378"/>
      <c r="L795" s="378"/>
      <c r="M795" s="381"/>
      <c r="N795" s="381"/>
      <c r="O795" s="381"/>
      <c r="P795" s="381"/>
      <c r="Q795" s="381"/>
      <c r="R795" s="381"/>
      <c r="S795" s="381"/>
      <c r="T795" s="381"/>
      <c r="U795" s="381"/>
      <c r="V795" s="381"/>
      <c r="W795" s="381"/>
      <c r="X795" s="381"/>
      <c r="Y795" s="381"/>
      <c r="Z795" s="381"/>
      <c r="AA795" s="381"/>
      <c r="AB795" s="381"/>
      <c r="AC795" s="382"/>
      <c r="AD795" s="382"/>
    </row>
    <row r="796" spans="1:30" ht="12.75" customHeight="1" x14ac:dyDescent="0.2">
      <c r="A796" s="378"/>
      <c r="B796" s="378"/>
      <c r="C796" s="378"/>
      <c r="D796" s="379"/>
      <c r="E796" s="380"/>
      <c r="F796" s="378"/>
      <c r="G796" s="378"/>
      <c r="H796" s="378"/>
      <c r="I796" s="378"/>
      <c r="J796" s="378"/>
      <c r="K796" s="378"/>
      <c r="L796" s="378"/>
      <c r="M796" s="381"/>
      <c r="N796" s="381"/>
      <c r="O796" s="381"/>
      <c r="P796" s="381"/>
      <c r="Q796" s="381"/>
      <c r="R796" s="381"/>
      <c r="S796" s="381"/>
      <c r="T796" s="381"/>
      <c r="U796" s="381"/>
      <c r="V796" s="381"/>
      <c r="W796" s="381"/>
      <c r="X796" s="381"/>
      <c r="Y796" s="381"/>
      <c r="Z796" s="381"/>
      <c r="AA796" s="381"/>
      <c r="AB796" s="381"/>
      <c r="AC796" s="382"/>
      <c r="AD796" s="382"/>
    </row>
    <row r="797" spans="1:30" ht="12.75" customHeight="1" x14ac:dyDescent="0.2">
      <c r="A797" s="378"/>
      <c r="B797" s="378"/>
      <c r="C797" s="378"/>
      <c r="D797" s="379"/>
      <c r="E797" s="380"/>
      <c r="F797" s="378"/>
      <c r="G797" s="378"/>
      <c r="H797" s="378"/>
      <c r="I797" s="378"/>
      <c r="J797" s="378"/>
      <c r="K797" s="378"/>
      <c r="L797" s="378"/>
      <c r="M797" s="381"/>
      <c r="N797" s="381"/>
      <c r="O797" s="381"/>
      <c r="P797" s="381"/>
      <c r="Q797" s="381"/>
      <c r="R797" s="381"/>
      <c r="S797" s="381"/>
      <c r="T797" s="381"/>
      <c r="U797" s="381"/>
      <c r="V797" s="381"/>
      <c r="W797" s="381"/>
      <c r="X797" s="381"/>
      <c r="Y797" s="381"/>
      <c r="Z797" s="381"/>
      <c r="AA797" s="381"/>
      <c r="AB797" s="381"/>
      <c r="AC797" s="382"/>
      <c r="AD797" s="382"/>
    </row>
    <row r="798" spans="1:30" ht="12.75" customHeight="1" x14ac:dyDescent="0.2">
      <c r="A798" s="378"/>
      <c r="B798" s="378"/>
      <c r="C798" s="378"/>
      <c r="D798" s="379"/>
      <c r="E798" s="380"/>
      <c r="F798" s="378"/>
      <c r="G798" s="378"/>
      <c r="H798" s="378"/>
      <c r="I798" s="378"/>
      <c r="J798" s="378"/>
      <c r="K798" s="378"/>
      <c r="L798" s="378"/>
      <c r="M798" s="381"/>
      <c r="N798" s="381"/>
      <c r="O798" s="381"/>
      <c r="P798" s="381"/>
      <c r="Q798" s="381"/>
      <c r="R798" s="381"/>
      <c r="S798" s="381"/>
      <c r="T798" s="381"/>
      <c r="U798" s="381"/>
      <c r="V798" s="381"/>
      <c r="W798" s="381"/>
      <c r="X798" s="381"/>
      <c r="Y798" s="381"/>
      <c r="Z798" s="381"/>
      <c r="AA798" s="381"/>
      <c r="AB798" s="381"/>
      <c r="AC798" s="382"/>
      <c r="AD798" s="382"/>
    </row>
    <row r="799" spans="1:30" ht="12.75" customHeight="1" x14ac:dyDescent="0.2">
      <c r="A799" s="378"/>
      <c r="B799" s="378"/>
      <c r="C799" s="378"/>
      <c r="D799" s="379"/>
      <c r="E799" s="380"/>
      <c r="F799" s="378"/>
      <c r="G799" s="378"/>
      <c r="H799" s="378"/>
      <c r="I799" s="378"/>
      <c r="J799" s="378"/>
      <c r="K799" s="378"/>
      <c r="L799" s="378"/>
      <c r="M799" s="381"/>
      <c r="N799" s="381"/>
      <c r="O799" s="381"/>
      <c r="P799" s="381"/>
      <c r="Q799" s="381"/>
      <c r="R799" s="381"/>
      <c r="S799" s="381"/>
      <c r="T799" s="381"/>
      <c r="U799" s="381"/>
      <c r="V799" s="381"/>
      <c r="W799" s="381"/>
      <c r="X799" s="381"/>
      <c r="Y799" s="381"/>
      <c r="Z799" s="381"/>
      <c r="AA799" s="381"/>
      <c r="AB799" s="381"/>
      <c r="AC799" s="382"/>
      <c r="AD799" s="382"/>
    </row>
    <row r="800" spans="1:30" ht="12.75" customHeight="1" x14ac:dyDescent="0.2">
      <c r="A800" s="378"/>
      <c r="B800" s="378"/>
      <c r="C800" s="378"/>
      <c r="D800" s="379"/>
      <c r="E800" s="380"/>
      <c r="F800" s="378"/>
      <c r="G800" s="378"/>
      <c r="H800" s="378"/>
      <c r="I800" s="378"/>
      <c r="J800" s="378"/>
      <c r="K800" s="378"/>
      <c r="L800" s="378"/>
      <c r="M800" s="381"/>
      <c r="N800" s="381"/>
      <c r="O800" s="381"/>
      <c r="P800" s="381"/>
      <c r="Q800" s="381"/>
      <c r="R800" s="381"/>
      <c r="S800" s="381"/>
      <c r="T800" s="381"/>
      <c r="U800" s="381"/>
      <c r="V800" s="381"/>
      <c r="W800" s="381"/>
      <c r="X800" s="381"/>
      <c r="Y800" s="381"/>
      <c r="Z800" s="381"/>
      <c r="AA800" s="381"/>
      <c r="AB800" s="381"/>
      <c r="AC800" s="382"/>
      <c r="AD800" s="382"/>
    </row>
    <row r="801" spans="1:30" ht="12.75" customHeight="1" x14ac:dyDescent="0.2">
      <c r="A801" s="378"/>
      <c r="B801" s="378"/>
      <c r="C801" s="378"/>
      <c r="D801" s="379"/>
      <c r="E801" s="380"/>
      <c r="F801" s="378"/>
      <c r="G801" s="378"/>
      <c r="H801" s="378"/>
      <c r="I801" s="378"/>
      <c r="J801" s="378"/>
      <c r="K801" s="378"/>
      <c r="L801" s="378"/>
      <c r="M801" s="381"/>
      <c r="N801" s="381"/>
      <c r="O801" s="381"/>
      <c r="P801" s="381"/>
      <c r="Q801" s="381"/>
      <c r="R801" s="381"/>
      <c r="S801" s="381"/>
      <c r="T801" s="381"/>
      <c r="U801" s="381"/>
      <c r="V801" s="381"/>
      <c r="W801" s="381"/>
      <c r="X801" s="381"/>
      <c r="Y801" s="381"/>
      <c r="Z801" s="381"/>
      <c r="AA801" s="381"/>
      <c r="AB801" s="381"/>
      <c r="AC801" s="382"/>
      <c r="AD801" s="382"/>
    </row>
    <row r="802" spans="1:30" ht="12.75" customHeight="1" x14ac:dyDescent="0.2">
      <c r="A802" s="378"/>
      <c r="B802" s="378"/>
      <c r="C802" s="378"/>
      <c r="D802" s="379"/>
      <c r="E802" s="380"/>
      <c r="F802" s="378"/>
      <c r="G802" s="378"/>
      <c r="H802" s="378"/>
      <c r="I802" s="378"/>
      <c r="J802" s="378"/>
      <c r="K802" s="378"/>
      <c r="L802" s="378"/>
      <c r="M802" s="381"/>
      <c r="N802" s="381"/>
      <c r="O802" s="381"/>
      <c r="P802" s="381"/>
      <c r="Q802" s="381"/>
      <c r="R802" s="381"/>
      <c r="S802" s="381"/>
      <c r="T802" s="381"/>
      <c r="U802" s="381"/>
      <c r="V802" s="381"/>
      <c r="W802" s="381"/>
      <c r="X802" s="381"/>
      <c r="Y802" s="381"/>
      <c r="Z802" s="381"/>
      <c r="AA802" s="381"/>
      <c r="AB802" s="381"/>
      <c r="AC802" s="382"/>
      <c r="AD802" s="382"/>
    </row>
    <row r="803" spans="1:30" ht="12.75" customHeight="1" x14ac:dyDescent="0.2">
      <c r="A803" s="378"/>
      <c r="B803" s="378"/>
      <c r="C803" s="378"/>
      <c r="D803" s="379"/>
      <c r="E803" s="380"/>
      <c r="F803" s="378"/>
      <c r="G803" s="378"/>
      <c r="H803" s="378"/>
      <c r="I803" s="378"/>
      <c r="J803" s="378"/>
      <c r="K803" s="378"/>
      <c r="L803" s="378"/>
      <c r="M803" s="381"/>
      <c r="N803" s="381"/>
      <c r="O803" s="381"/>
      <c r="P803" s="381"/>
      <c r="Q803" s="381"/>
      <c r="R803" s="381"/>
      <c r="S803" s="381"/>
      <c r="T803" s="381"/>
      <c r="U803" s="381"/>
      <c r="V803" s="381"/>
      <c r="W803" s="381"/>
      <c r="X803" s="381"/>
      <c r="Y803" s="381"/>
      <c r="Z803" s="381"/>
      <c r="AA803" s="381"/>
      <c r="AB803" s="381"/>
      <c r="AC803" s="382"/>
      <c r="AD803" s="382"/>
    </row>
    <row r="804" spans="1:30" ht="12.75" customHeight="1" x14ac:dyDescent="0.2">
      <c r="A804" s="378"/>
      <c r="B804" s="378"/>
      <c r="C804" s="378"/>
      <c r="D804" s="379"/>
      <c r="E804" s="380"/>
      <c r="F804" s="378"/>
      <c r="G804" s="378"/>
      <c r="H804" s="378"/>
      <c r="I804" s="378"/>
      <c r="J804" s="378"/>
      <c r="K804" s="378"/>
      <c r="L804" s="378"/>
      <c r="M804" s="381"/>
      <c r="N804" s="381"/>
      <c r="O804" s="381"/>
      <c r="P804" s="381"/>
      <c r="Q804" s="381"/>
      <c r="R804" s="381"/>
      <c r="S804" s="381"/>
      <c r="T804" s="381"/>
      <c r="U804" s="381"/>
      <c r="V804" s="381"/>
      <c r="W804" s="381"/>
      <c r="X804" s="381"/>
      <c r="Y804" s="381"/>
      <c r="Z804" s="381"/>
      <c r="AA804" s="381"/>
      <c r="AB804" s="381"/>
      <c r="AC804" s="382"/>
      <c r="AD804" s="382"/>
    </row>
    <row r="805" spans="1:30" ht="12.75" customHeight="1" x14ac:dyDescent="0.2">
      <c r="A805" s="378"/>
      <c r="B805" s="378"/>
      <c r="C805" s="378"/>
      <c r="D805" s="379"/>
      <c r="E805" s="380"/>
      <c r="F805" s="378"/>
      <c r="G805" s="378"/>
      <c r="H805" s="378"/>
      <c r="I805" s="378"/>
      <c r="J805" s="378"/>
      <c r="K805" s="378"/>
      <c r="L805" s="378"/>
      <c r="M805" s="381"/>
      <c r="N805" s="381"/>
      <c r="O805" s="381"/>
      <c r="P805" s="381"/>
      <c r="Q805" s="381"/>
      <c r="R805" s="381"/>
      <c r="S805" s="381"/>
      <c r="T805" s="381"/>
      <c r="U805" s="381"/>
      <c r="V805" s="381"/>
      <c r="W805" s="381"/>
      <c r="X805" s="381"/>
      <c r="Y805" s="381"/>
      <c r="Z805" s="381"/>
      <c r="AA805" s="381"/>
      <c r="AB805" s="381"/>
      <c r="AC805" s="382"/>
      <c r="AD805" s="382"/>
    </row>
    <row r="806" spans="1:30" ht="12.75" customHeight="1" x14ac:dyDescent="0.2">
      <c r="A806" s="378"/>
      <c r="B806" s="378"/>
      <c r="C806" s="378"/>
      <c r="D806" s="379"/>
      <c r="E806" s="380"/>
      <c r="F806" s="378"/>
      <c r="G806" s="378"/>
      <c r="H806" s="378"/>
      <c r="I806" s="378"/>
      <c r="J806" s="378"/>
      <c r="K806" s="378"/>
      <c r="L806" s="378"/>
      <c r="M806" s="381"/>
      <c r="N806" s="381"/>
      <c r="O806" s="381"/>
      <c r="P806" s="381"/>
      <c r="Q806" s="381"/>
      <c r="R806" s="381"/>
      <c r="S806" s="381"/>
      <c r="T806" s="381"/>
      <c r="U806" s="381"/>
      <c r="V806" s="381"/>
      <c r="W806" s="381"/>
      <c r="X806" s="381"/>
      <c r="Y806" s="381"/>
      <c r="Z806" s="381"/>
      <c r="AA806" s="381"/>
      <c r="AB806" s="381"/>
      <c r="AC806" s="382"/>
      <c r="AD806" s="382"/>
    </row>
    <row r="807" spans="1:30" ht="12.75" customHeight="1" x14ac:dyDescent="0.2">
      <c r="A807" s="378"/>
      <c r="B807" s="378"/>
      <c r="C807" s="378"/>
      <c r="D807" s="379"/>
      <c r="E807" s="380"/>
      <c r="F807" s="378"/>
      <c r="G807" s="378"/>
      <c r="H807" s="378"/>
      <c r="I807" s="378"/>
      <c r="J807" s="378"/>
      <c r="K807" s="378"/>
      <c r="L807" s="378"/>
      <c r="M807" s="381"/>
      <c r="N807" s="381"/>
      <c r="O807" s="381"/>
      <c r="P807" s="381"/>
      <c r="Q807" s="381"/>
      <c r="R807" s="381"/>
      <c r="S807" s="381"/>
      <c r="T807" s="381"/>
      <c r="U807" s="381"/>
      <c r="V807" s="381"/>
      <c r="W807" s="381"/>
      <c r="X807" s="381"/>
      <c r="Y807" s="381"/>
      <c r="Z807" s="381"/>
      <c r="AA807" s="381"/>
      <c r="AB807" s="381"/>
      <c r="AC807" s="382"/>
      <c r="AD807" s="382"/>
    </row>
    <row r="808" spans="1:30" ht="12.75" customHeight="1" x14ac:dyDescent="0.2">
      <c r="A808" s="378"/>
      <c r="B808" s="378"/>
      <c r="C808" s="378"/>
      <c r="D808" s="379"/>
      <c r="E808" s="380"/>
      <c r="F808" s="378"/>
      <c r="G808" s="378"/>
      <c r="H808" s="378"/>
      <c r="I808" s="378"/>
      <c r="J808" s="378"/>
      <c r="K808" s="378"/>
      <c r="L808" s="378"/>
      <c r="M808" s="381"/>
      <c r="N808" s="381"/>
      <c r="O808" s="381"/>
      <c r="P808" s="381"/>
      <c r="Q808" s="381"/>
      <c r="R808" s="381"/>
      <c r="S808" s="381"/>
      <c r="T808" s="381"/>
      <c r="U808" s="381"/>
      <c r="V808" s="381"/>
      <c r="W808" s="381"/>
      <c r="X808" s="381"/>
      <c r="Y808" s="381"/>
      <c r="Z808" s="381"/>
      <c r="AA808" s="381"/>
      <c r="AB808" s="381"/>
      <c r="AC808" s="382"/>
      <c r="AD808" s="382"/>
    </row>
    <row r="809" spans="1:30" ht="12.75" customHeight="1" x14ac:dyDescent="0.2">
      <c r="A809" s="378"/>
      <c r="B809" s="378"/>
      <c r="C809" s="378"/>
      <c r="D809" s="379"/>
      <c r="E809" s="380"/>
      <c r="F809" s="378"/>
      <c r="G809" s="378"/>
      <c r="H809" s="378"/>
      <c r="I809" s="378"/>
      <c r="J809" s="378"/>
      <c r="K809" s="378"/>
      <c r="L809" s="378"/>
      <c r="M809" s="381"/>
      <c r="N809" s="381"/>
      <c r="O809" s="381"/>
      <c r="P809" s="381"/>
      <c r="Q809" s="381"/>
      <c r="R809" s="381"/>
      <c r="S809" s="381"/>
      <c r="T809" s="381"/>
      <c r="U809" s="381"/>
      <c r="V809" s="381"/>
      <c r="W809" s="381"/>
      <c r="X809" s="381"/>
      <c r="Y809" s="381"/>
      <c r="Z809" s="381"/>
      <c r="AA809" s="381"/>
      <c r="AB809" s="381"/>
      <c r="AC809" s="382"/>
      <c r="AD809" s="382"/>
    </row>
    <row r="810" spans="1:30" ht="12.75" customHeight="1" x14ac:dyDescent="0.2">
      <c r="A810" s="378"/>
      <c r="B810" s="378"/>
      <c r="C810" s="378"/>
      <c r="D810" s="379"/>
      <c r="E810" s="380"/>
      <c r="F810" s="378"/>
      <c r="G810" s="378"/>
      <c r="H810" s="378"/>
      <c r="I810" s="378"/>
      <c r="J810" s="378"/>
      <c r="K810" s="378"/>
      <c r="L810" s="378"/>
      <c r="M810" s="381"/>
      <c r="N810" s="381"/>
      <c r="O810" s="381"/>
      <c r="P810" s="381"/>
      <c r="Q810" s="381"/>
      <c r="R810" s="381"/>
      <c r="S810" s="381"/>
      <c r="T810" s="381"/>
      <c r="U810" s="381"/>
      <c r="V810" s="381"/>
      <c r="W810" s="381"/>
      <c r="X810" s="381"/>
      <c r="Y810" s="381"/>
      <c r="Z810" s="381"/>
      <c r="AA810" s="381"/>
      <c r="AB810" s="381"/>
      <c r="AC810" s="382"/>
      <c r="AD810" s="382"/>
    </row>
    <row r="811" spans="1:30" ht="12.75" customHeight="1" x14ac:dyDescent="0.2">
      <c r="A811" s="378"/>
      <c r="B811" s="378"/>
      <c r="C811" s="378"/>
      <c r="D811" s="379"/>
      <c r="E811" s="380"/>
      <c r="F811" s="378"/>
      <c r="G811" s="378"/>
      <c r="H811" s="378"/>
      <c r="I811" s="378"/>
      <c r="J811" s="378"/>
      <c r="K811" s="378"/>
      <c r="L811" s="378"/>
      <c r="M811" s="381"/>
      <c r="N811" s="381"/>
      <c r="O811" s="381"/>
      <c r="P811" s="381"/>
      <c r="Q811" s="381"/>
      <c r="R811" s="381"/>
      <c r="S811" s="381"/>
      <c r="T811" s="381"/>
      <c r="U811" s="381"/>
      <c r="V811" s="381"/>
      <c r="W811" s="381"/>
      <c r="X811" s="381"/>
      <c r="Y811" s="381"/>
      <c r="Z811" s="381"/>
      <c r="AA811" s="381"/>
      <c r="AB811" s="381"/>
      <c r="AC811" s="382"/>
      <c r="AD811" s="382"/>
    </row>
    <row r="812" spans="1:30" ht="12.75" customHeight="1" x14ac:dyDescent="0.2">
      <c r="A812" s="378"/>
      <c r="B812" s="378"/>
      <c r="C812" s="378"/>
      <c r="D812" s="379"/>
      <c r="E812" s="380"/>
      <c r="F812" s="378"/>
      <c r="G812" s="378"/>
      <c r="H812" s="378"/>
      <c r="I812" s="378"/>
      <c r="J812" s="378"/>
      <c r="K812" s="378"/>
      <c r="L812" s="378"/>
      <c r="M812" s="381"/>
      <c r="N812" s="381"/>
      <c r="O812" s="381"/>
      <c r="P812" s="381"/>
      <c r="Q812" s="381"/>
      <c r="R812" s="381"/>
      <c r="S812" s="381"/>
      <c r="T812" s="381"/>
      <c r="U812" s="381"/>
      <c r="V812" s="381"/>
      <c r="W812" s="381"/>
      <c r="X812" s="381"/>
      <c r="Y812" s="381"/>
      <c r="Z812" s="381"/>
      <c r="AA812" s="381"/>
      <c r="AB812" s="381"/>
      <c r="AC812" s="382"/>
      <c r="AD812" s="382"/>
    </row>
    <row r="813" spans="1:30" ht="12.75" customHeight="1" x14ac:dyDescent="0.2">
      <c r="A813" s="378"/>
      <c r="B813" s="378"/>
      <c r="C813" s="378"/>
      <c r="D813" s="379"/>
      <c r="E813" s="380"/>
      <c r="F813" s="378"/>
      <c r="G813" s="378"/>
      <c r="H813" s="378"/>
      <c r="I813" s="378"/>
      <c r="J813" s="378"/>
      <c r="K813" s="378"/>
      <c r="L813" s="378"/>
      <c r="M813" s="381"/>
      <c r="N813" s="381"/>
      <c r="O813" s="381"/>
      <c r="P813" s="381"/>
      <c r="Q813" s="381"/>
      <c r="R813" s="381"/>
      <c r="S813" s="381"/>
      <c r="T813" s="381"/>
      <c r="U813" s="381"/>
      <c r="V813" s="381"/>
      <c r="W813" s="381"/>
      <c r="X813" s="381"/>
      <c r="Y813" s="381"/>
      <c r="Z813" s="381"/>
      <c r="AA813" s="381"/>
      <c r="AB813" s="381"/>
      <c r="AC813" s="382"/>
      <c r="AD813" s="382"/>
    </row>
    <row r="814" spans="1:30" ht="12.75" customHeight="1" x14ac:dyDescent="0.2">
      <c r="A814" s="378"/>
      <c r="B814" s="378"/>
      <c r="C814" s="378"/>
      <c r="D814" s="379"/>
      <c r="E814" s="380"/>
      <c r="F814" s="378"/>
      <c r="G814" s="378"/>
      <c r="H814" s="378"/>
      <c r="I814" s="378"/>
      <c r="J814" s="378"/>
      <c r="K814" s="378"/>
      <c r="L814" s="378"/>
      <c r="M814" s="381"/>
      <c r="N814" s="381"/>
      <c r="O814" s="381"/>
      <c r="P814" s="381"/>
      <c r="Q814" s="381"/>
      <c r="R814" s="381"/>
      <c r="S814" s="381"/>
      <c r="T814" s="381"/>
      <c r="U814" s="381"/>
      <c r="V814" s="381"/>
      <c r="W814" s="381"/>
      <c r="X814" s="381"/>
      <c r="Y814" s="381"/>
      <c r="Z814" s="381"/>
      <c r="AA814" s="381"/>
      <c r="AB814" s="381"/>
      <c r="AC814" s="382"/>
      <c r="AD814" s="382"/>
    </row>
    <row r="815" spans="1:30" ht="12.75" customHeight="1" x14ac:dyDescent="0.2">
      <c r="A815" s="378"/>
      <c r="B815" s="378"/>
      <c r="C815" s="378"/>
      <c r="D815" s="379"/>
      <c r="E815" s="380"/>
      <c r="F815" s="378"/>
      <c r="G815" s="378"/>
      <c r="H815" s="378"/>
      <c r="I815" s="378"/>
      <c r="J815" s="378"/>
      <c r="K815" s="378"/>
      <c r="L815" s="378"/>
      <c r="M815" s="381"/>
      <c r="N815" s="381"/>
      <c r="O815" s="381"/>
      <c r="P815" s="381"/>
      <c r="Q815" s="381"/>
      <c r="R815" s="381"/>
      <c r="S815" s="381"/>
      <c r="T815" s="381"/>
      <c r="U815" s="381"/>
      <c r="V815" s="381"/>
      <c r="W815" s="381"/>
      <c r="X815" s="381"/>
      <c r="Y815" s="381"/>
      <c r="Z815" s="381"/>
      <c r="AA815" s="381"/>
      <c r="AB815" s="381"/>
      <c r="AC815" s="382"/>
      <c r="AD815" s="382"/>
    </row>
    <row r="816" spans="1:30" ht="12.75" customHeight="1" x14ac:dyDescent="0.2">
      <c r="A816" s="378"/>
      <c r="B816" s="378"/>
      <c r="C816" s="378"/>
      <c r="D816" s="379"/>
      <c r="E816" s="380"/>
      <c r="F816" s="378"/>
      <c r="G816" s="378"/>
      <c r="H816" s="378"/>
      <c r="I816" s="378"/>
      <c r="J816" s="378"/>
      <c r="K816" s="378"/>
      <c r="L816" s="378"/>
      <c r="M816" s="381"/>
      <c r="N816" s="381"/>
      <c r="O816" s="381"/>
      <c r="P816" s="381"/>
      <c r="Q816" s="381"/>
      <c r="R816" s="381"/>
      <c r="S816" s="381"/>
      <c r="T816" s="381"/>
      <c r="U816" s="381"/>
      <c r="V816" s="381"/>
      <c r="W816" s="381"/>
      <c r="X816" s="381"/>
      <c r="Y816" s="381"/>
      <c r="Z816" s="381"/>
      <c r="AA816" s="381"/>
      <c r="AB816" s="381"/>
      <c r="AC816" s="382"/>
      <c r="AD816" s="382"/>
    </row>
    <row r="817" spans="1:30" ht="12.75" customHeight="1" x14ac:dyDescent="0.2">
      <c r="A817" s="378"/>
      <c r="B817" s="378"/>
      <c r="C817" s="378"/>
      <c r="D817" s="379"/>
      <c r="E817" s="380"/>
      <c r="F817" s="378"/>
      <c r="G817" s="378"/>
      <c r="H817" s="378"/>
      <c r="I817" s="378"/>
      <c r="J817" s="378"/>
      <c r="K817" s="378"/>
      <c r="L817" s="378"/>
      <c r="M817" s="381"/>
      <c r="N817" s="381"/>
      <c r="O817" s="381"/>
      <c r="P817" s="381"/>
      <c r="Q817" s="381"/>
      <c r="R817" s="381"/>
      <c r="S817" s="381"/>
      <c r="T817" s="381"/>
      <c r="U817" s="381"/>
      <c r="V817" s="381"/>
      <c r="W817" s="381"/>
      <c r="X817" s="381"/>
      <c r="Y817" s="381"/>
      <c r="Z817" s="381"/>
      <c r="AA817" s="381"/>
      <c r="AB817" s="381"/>
      <c r="AC817" s="382"/>
      <c r="AD817" s="382"/>
    </row>
    <row r="818" spans="1:30" ht="12.75" customHeight="1" x14ac:dyDescent="0.2">
      <c r="A818" s="378"/>
      <c r="B818" s="378"/>
      <c r="C818" s="378"/>
      <c r="D818" s="379"/>
      <c r="E818" s="380"/>
      <c r="F818" s="378"/>
      <c r="G818" s="378"/>
      <c r="H818" s="378"/>
      <c r="I818" s="378"/>
      <c r="J818" s="378"/>
      <c r="K818" s="378"/>
      <c r="L818" s="378"/>
      <c r="M818" s="381"/>
      <c r="N818" s="381"/>
      <c r="O818" s="381"/>
      <c r="P818" s="381"/>
      <c r="Q818" s="381"/>
      <c r="R818" s="381"/>
      <c r="S818" s="381"/>
      <c r="T818" s="381"/>
      <c r="U818" s="381"/>
      <c r="V818" s="381"/>
      <c r="W818" s="381"/>
      <c r="X818" s="381"/>
      <c r="Y818" s="381"/>
      <c r="Z818" s="381"/>
      <c r="AA818" s="381"/>
      <c r="AB818" s="381"/>
      <c r="AC818" s="382"/>
      <c r="AD818" s="382"/>
    </row>
    <row r="819" spans="1:30" ht="12.75" customHeight="1" x14ac:dyDescent="0.2">
      <c r="A819" s="378"/>
      <c r="B819" s="378"/>
      <c r="C819" s="378"/>
      <c r="D819" s="379"/>
      <c r="E819" s="380"/>
      <c r="F819" s="378"/>
      <c r="G819" s="378"/>
      <c r="H819" s="378"/>
      <c r="I819" s="378"/>
      <c r="J819" s="378"/>
      <c r="K819" s="378"/>
      <c r="L819" s="378"/>
      <c r="M819" s="381"/>
      <c r="N819" s="381"/>
      <c r="O819" s="381"/>
      <c r="P819" s="381"/>
      <c r="Q819" s="381"/>
      <c r="R819" s="381"/>
      <c r="S819" s="381"/>
      <c r="T819" s="381"/>
      <c r="U819" s="381"/>
      <c r="V819" s="381"/>
      <c r="W819" s="381"/>
      <c r="X819" s="381"/>
      <c r="Y819" s="381"/>
      <c r="Z819" s="381"/>
      <c r="AA819" s="381"/>
      <c r="AB819" s="381"/>
      <c r="AC819" s="382"/>
      <c r="AD819" s="382"/>
    </row>
    <row r="820" spans="1:30" ht="12.75" customHeight="1" x14ac:dyDescent="0.2">
      <c r="A820" s="378"/>
      <c r="B820" s="378"/>
      <c r="C820" s="378"/>
      <c r="D820" s="379"/>
      <c r="E820" s="380"/>
      <c r="F820" s="378"/>
      <c r="G820" s="378"/>
      <c r="H820" s="378"/>
      <c r="I820" s="378"/>
      <c r="J820" s="378"/>
      <c r="K820" s="378"/>
      <c r="L820" s="378"/>
      <c r="M820" s="381"/>
      <c r="N820" s="381"/>
      <c r="O820" s="381"/>
      <c r="P820" s="381"/>
      <c r="Q820" s="381"/>
      <c r="R820" s="381"/>
      <c r="S820" s="381"/>
      <c r="T820" s="381"/>
      <c r="U820" s="381"/>
      <c r="V820" s="381"/>
      <c r="W820" s="381"/>
      <c r="X820" s="381"/>
      <c r="Y820" s="381"/>
      <c r="Z820" s="381"/>
      <c r="AA820" s="381"/>
      <c r="AB820" s="381"/>
      <c r="AC820" s="382"/>
      <c r="AD820" s="382"/>
    </row>
    <row r="821" spans="1:30" ht="12.75" customHeight="1" x14ac:dyDescent="0.2">
      <c r="A821" s="378"/>
      <c r="B821" s="378"/>
      <c r="C821" s="378"/>
      <c r="D821" s="379"/>
      <c r="E821" s="380"/>
      <c r="F821" s="378"/>
      <c r="G821" s="378"/>
      <c r="H821" s="378"/>
      <c r="I821" s="378"/>
      <c r="J821" s="378"/>
      <c r="K821" s="378"/>
      <c r="L821" s="378"/>
      <c r="M821" s="381"/>
      <c r="N821" s="381"/>
      <c r="O821" s="381"/>
      <c r="P821" s="381"/>
      <c r="Q821" s="381"/>
      <c r="R821" s="381"/>
      <c r="S821" s="381"/>
      <c r="T821" s="381"/>
      <c r="U821" s="381"/>
      <c r="V821" s="381"/>
      <c r="W821" s="381"/>
      <c r="X821" s="381"/>
      <c r="Y821" s="381"/>
      <c r="Z821" s="381"/>
      <c r="AA821" s="381"/>
      <c r="AB821" s="381"/>
      <c r="AC821" s="382"/>
      <c r="AD821" s="382"/>
    </row>
    <row r="822" spans="1:30" ht="12.75" customHeight="1" x14ac:dyDescent="0.2">
      <c r="A822" s="378"/>
      <c r="B822" s="378"/>
      <c r="C822" s="378"/>
      <c r="D822" s="379"/>
      <c r="E822" s="380"/>
      <c r="F822" s="378"/>
      <c r="G822" s="378"/>
      <c r="H822" s="378"/>
      <c r="I822" s="378"/>
      <c r="J822" s="378"/>
      <c r="K822" s="378"/>
      <c r="L822" s="378"/>
      <c r="M822" s="381"/>
      <c r="N822" s="381"/>
      <c r="O822" s="381"/>
      <c r="P822" s="381"/>
      <c r="Q822" s="381"/>
      <c r="R822" s="381"/>
      <c r="S822" s="381"/>
      <c r="T822" s="381"/>
      <c r="U822" s="381"/>
      <c r="V822" s="381"/>
      <c r="W822" s="381"/>
      <c r="X822" s="381"/>
      <c r="Y822" s="381"/>
      <c r="Z822" s="381"/>
      <c r="AA822" s="381"/>
      <c r="AB822" s="381"/>
      <c r="AC822" s="382"/>
      <c r="AD822" s="382"/>
    </row>
    <row r="823" spans="1:30" ht="12.75" customHeight="1" x14ac:dyDescent="0.2">
      <c r="A823" s="378"/>
      <c r="B823" s="378"/>
      <c r="C823" s="378"/>
      <c r="D823" s="379"/>
      <c r="E823" s="380"/>
      <c r="F823" s="378"/>
      <c r="G823" s="378"/>
      <c r="H823" s="378"/>
      <c r="I823" s="378"/>
      <c r="J823" s="378"/>
      <c r="K823" s="378"/>
      <c r="L823" s="378"/>
      <c r="M823" s="381"/>
      <c r="N823" s="381"/>
      <c r="O823" s="381"/>
      <c r="P823" s="381"/>
      <c r="Q823" s="381"/>
      <c r="R823" s="381"/>
      <c r="S823" s="381"/>
      <c r="T823" s="381"/>
      <c r="U823" s="381"/>
      <c r="V823" s="381"/>
      <c r="W823" s="381"/>
      <c r="X823" s="381"/>
      <c r="Y823" s="381"/>
      <c r="Z823" s="381"/>
      <c r="AA823" s="381"/>
      <c r="AB823" s="381"/>
      <c r="AC823" s="382"/>
      <c r="AD823" s="382"/>
    </row>
    <row r="824" spans="1:30" ht="12.75" customHeight="1" x14ac:dyDescent="0.2">
      <c r="A824" s="378"/>
      <c r="B824" s="378"/>
      <c r="C824" s="378"/>
      <c r="D824" s="379"/>
      <c r="E824" s="380"/>
      <c r="F824" s="378"/>
      <c r="G824" s="378"/>
      <c r="H824" s="378"/>
      <c r="I824" s="378"/>
      <c r="J824" s="378"/>
      <c r="K824" s="378"/>
      <c r="L824" s="378"/>
      <c r="M824" s="381"/>
      <c r="N824" s="381"/>
      <c r="O824" s="381"/>
      <c r="P824" s="381"/>
      <c r="Q824" s="381"/>
      <c r="R824" s="381"/>
      <c r="S824" s="381"/>
      <c r="T824" s="381"/>
      <c r="U824" s="381"/>
      <c r="V824" s="381"/>
      <c r="W824" s="381"/>
      <c r="X824" s="381"/>
      <c r="Y824" s="381"/>
      <c r="Z824" s="381"/>
      <c r="AA824" s="381"/>
      <c r="AB824" s="381"/>
      <c r="AC824" s="382"/>
      <c r="AD824" s="382"/>
    </row>
    <row r="825" spans="1:30" ht="12.75" customHeight="1" x14ac:dyDescent="0.2">
      <c r="A825" s="378"/>
      <c r="B825" s="378"/>
      <c r="C825" s="378"/>
      <c r="D825" s="379"/>
      <c r="E825" s="380"/>
      <c r="F825" s="378"/>
      <c r="G825" s="378"/>
      <c r="H825" s="378"/>
      <c r="I825" s="378"/>
      <c r="J825" s="378"/>
      <c r="K825" s="378"/>
      <c r="L825" s="378"/>
      <c r="M825" s="381"/>
      <c r="N825" s="381"/>
      <c r="O825" s="381"/>
      <c r="P825" s="381"/>
      <c r="Q825" s="381"/>
      <c r="R825" s="381"/>
      <c r="S825" s="381"/>
      <c r="T825" s="381"/>
      <c r="U825" s="381"/>
      <c r="V825" s="381"/>
      <c r="W825" s="381"/>
      <c r="X825" s="381"/>
      <c r="Y825" s="381"/>
      <c r="Z825" s="381"/>
      <c r="AA825" s="381"/>
      <c r="AB825" s="381"/>
      <c r="AC825" s="382"/>
      <c r="AD825" s="382"/>
    </row>
    <row r="826" spans="1:30" ht="12.75" customHeight="1" x14ac:dyDescent="0.2">
      <c r="A826" s="378"/>
      <c r="B826" s="378"/>
      <c r="C826" s="378"/>
      <c r="D826" s="379"/>
      <c r="E826" s="380"/>
      <c r="F826" s="378"/>
      <c r="G826" s="378"/>
      <c r="H826" s="378"/>
      <c r="I826" s="378"/>
      <c r="J826" s="378"/>
      <c r="K826" s="378"/>
      <c r="L826" s="378"/>
      <c r="M826" s="381"/>
      <c r="N826" s="381"/>
      <c r="O826" s="381"/>
      <c r="P826" s="381"/>
      <c r="Q826" s="381"/>
      <c r="R826" s="381"/>
      <c r="S826" s="381"/>
      <c r="T826" s="381"/>
      <c r="U826" s="381"/>
      <c r="V826" s="381"/>
      <c r="W826" s="381"/>
      <c r="X826" s="381"/>
      <c r="Y826" s="381"/>
      <c r="Z826" s="381"/>
      <c r="AA826" s="381"/>
      <c r="AB826" s="381"/>
      <c r="AC826" s="382"/>
      <c r="AD826" s="382"/>
    </row>
    <row r="827" spans="1:30" ht="12.75" customHeight="1" x14ac:dyDescent="0.2">
      <c r="A827" s="378"/>
      <c r="B827" s="378"/>
      <c r="C827" s="378"/>
      <c r="D827" s="379"/>
      <c r="E827" s="380"/>
      <c r="F827" s="378"/>
      <c r="G827" s="378"/>
      <c r="H827" s="378"/>
      <c r="I827" s="378"/>
      <c r="J827" s="378"/>
      <c r="K827" s="378"/>
      <c r="L827" s="378"/>
      <c r="M827" s="381"/>
      <c r="N827" s="381"/>
      <c r="O827" s="381"/>
      <c r="P827" s="381"/>
      <c r="Q827" s="381"/>
      <c r="R827" s="381"/>
      <c r="S827" s="381"/>
      <c r="T827" s="381"/>
      <c r="U827" s="381"/>
      <c r="V827" s="381"/>
      <c r="W827" s="381"/>
      <c r="X827" s="381"/>
      <c r="Y827" s="381"/>
      <c r="Z827" s="381"/>
      <c r="AA827" s="381"/>
      <c r="AB827" s="381"/>
      <c r="AC827" s="382"/>
      <c r="AD827" s="382"/>
    </row>
    <row r="828" spans="1:30" ht="12.75" customHeight="1" x14ac:dyDescent="0.2">
      <c r="A828" s="378"/>
      <c r="B828" s="378"/>
      <c r="C828" s="378"/>
      <c r="D828" s="379"/>
      <c r="E828" s="380"/>
      <c r="F828" s="378"/>
      <c r="G828" s="378"/>
      <c r="H828" s="378"/>
      <c r="I828" s="378"/>
      <c r="J828" s="378"/>
      <c r="K828" s="378"/>
      <c r="L828" s="378"/>
      <c r="M828" s="381"/>
      <c r="N828" s="381"/>
      <c r="O828" s="381"/>
      <c r="P828" s="381"/>
      <c r="Q828" s="381"/>
      <c r="R828" s="381"/>
      <c r="S828" s="381"/>
      <c r="T828" s="381"/>
      <c r="U828" s="381"/>
      <c r="V828" s="381"/>
      <c r="W828" s="381"/>
      <c r="X828" s="381"/>
      <c r="Y828" s="381"/>
      <c r="Z828" s="381"/>
      <c r="AA828" s="381"/>
      <c r="AB828" s="381"/>
      <c r="AC828" s="382"/>
      <c r="AD828" s="382"/>
    </row>
    <row r="829" spans="1:30" ht="12.75" customHeight="1" x14ac:dyDescent="0.2">
      <c r="A829" s="378"/>
      <c r="B829" s="378"/>
      <c r="C829" s="378"/>
      <c r="D829" s="379"/>
      <c r="E829" s="380"/>
      <c r="F829" s="378"/>
      <c r="G829" s="378"/>
      <c r="H829" s="378"/>
      <c r="I829" s="378"/>
      <c r="J829" s="378"/>
      <c r="K829" s="378"/>
      <c r="L829" s="378"/>
      <c r="M829" s="381"/>
      <c r="N829" s="381"/>
      <c r="O829" s="381"/>
      <c r="P829" s="381"/>
      <c r="Q829" s="381"/>
      <c r="R829" s="381"/>
      <c r="S829" s="381"/>
      <c r="T829" s="381"/>
      <c r="U829" s="381"/>
      <c r="V829" s="381"/>
      <c r="W829" s="381"/>
      <c r="X829" s="381"/>
      <c r="Y829" s="381"/>
      <c r="Z829" s="381"/>
      <c r="AA829" s="381"/>
      <c r="AB829" s="381"/>
      <c r="AC829" s="382"/>
      <c r="AD829" s="382"/>
    </row>
    <row r="830" spans="1:30" ht="12.75" customHeight="1" x14ac:dyDescent="0.2">
      <c r="A830" s="378"/>
      <c r="B830" s="378"/>
      <c r="C830" s="378"/>
      <c r="D830" s="379"/>
      <c r="E830" s="380"/>
      <c r="F830" s="378"/>
      <c r="G830" s="378"/>
      <c r="H830" s="378"/>
      <c r="I830" s="378"/>
      <c r="J830" s="378"/>
      <c r="K830" s="378"/>
      <c r="L830" s="378"/>
      <c r="M830" s="381"/>
      <c r="N830" s="381"/>
      <c r="O830" s="381"/>
      <c r="P830" s="381"/>
      <c r="Q830" s="381"/>
      <c r="R830" s="381"/>
      <c r="S830" s="381"/>
      <c r="T830" s="381"/>
      <c r="U830" s="381"/>
      <c r="V830" s="381"/>
      <c r="W830" s="381"/>
      <c r="X830" s="381"/>
      <c r="Y830" s="381"/>
      <c r="Z830" s="381"/>
      <c r="AA830" s="381"/>
      <c r="AB830" s="381"/>
      <c r="AC830" s="382"/>
      <c r="AD830" s="382"/>
    </row>
    <row r="831" spans="1:30" ht="12.75" customHeight="1" x14ac:dyDescent="0.2">
      <c r="A831" s="378"/>
      <c r="B831" s="378"/>
      <c r="C831" s="378"/>
      <c r="D831" s="379"/>
      <c r="E831" s="380"/>
      <c r="F831" s="378"/>
      <c r="G831" s="378"/>
      <c r="H831" s="378"/>
      <c r="I831" s="378"/>
      <c r="J831" s="378"/>
      <c r="K831" s="378"/>
      <c r="L831" s="378"/>
      <c r="M831" s="381"/>
      <c r="N831" s="381"/>
      <c r="O831" s="381"/>
      <c r="P831" s="381"/>
      <c r="Q831" s="381"/>
      <c r="R831" s="381"/>
      <c r="S831" s="381"/>
      <c r="T831" s="381"/>
      <c r="U831" s="381"/>
      <c r="V831" s="381"/>
      <c r="W831" s="381"/>
      <c r="X831" s="381"/>
      <c r="Y831" s="381"/>
      <c r="Z831" s="381"/>
      <c r="AA831" s="381"/>
      <c r="AB831" s="381"/>
      <c r="AC831" s="382"/>
      <c r="AD831" s="382"/>
    </row>
    <row r="832" spans="1:30" ht="12.75" customHeight="1" x14ac:dyDescent="0.2">
      <c r="A832" s="378"/>
      <c r="B832" s="378"/>
      <c r="C832" s="378"/>
      <c r="D832" s="379"/>
      <c r="E832" s="380"/>
      <c r="F832" s="378"/>
      <c r="G832" s="378"/>
      <c r="H832" s="378"/>
      <c r="I832" s="378"/>
      <c r="J832" s="378"/>
      <c r="K832" s="378"/>
      <c r="L832" s="378"/>
      <c r="M832" s="381"/>
      <c r="N832" s="381"/>
      <c r="O832" s="381"/>
      <c r="P832" s="381"/>
      <c r="Q832" s="381"/>
      <c r="R832" s="381"/>
      <c r="S832" s="381"/>
      <c r="T832" s="381"/>
      <c r="U832" s="381"/>
      <c r="V832" s="381"/>
      <c r="W832" s="381"/>
      <c r="X832" s="381"/>
      <c r="Y832" s="381"/>
      <c r="Z832" s="381"/>
      <c r="AA832" s="381"/>
      <c r="AB832" s="381"/>
      <c r="AC832" s="382"/>
      <c r="AD832" s="382"/>
    </row>
    <row r="833" spans="1:30" ht="12.75" customHeight="1" x14ac:dyDescent="0.2">
      <c r="A833" s="378"/>
      <c r="B833" s="378"/>
      <c r="C833" s="378"/>
      <c r="D833" s="379"/>
      <c r="E833" s="380"/>
      <c r="F833" s="378"/>
      <c r="G833" s="378"/>
      <c r="H833" s="378"/>
      <c r="I833" s="378"/>
      <c r="J833" s="378"/>
      <c r="K833" s="378"/>
      <c r="L833" s="378"/>
      <c r="M833" s="381"/>
      <c r="N833" s="381"/>
      <c r="O833" s="381"/>
      <c r="P833" s="381"/>
      <c r="Q833" s="381"/>
      <c r="R833" s="381"/>
      <c r="S833" s="381"/>
      <c r="T833" s="381"/>
      <c r="U833" s="381"/>
      <c r="V833" s="381"/>
      <c r="W833" s="381"/>
      <c r="X833" s="381"/>
      <c r="Y833" s="381"/>
      <c r="Z833" s="381"/>
      <c r="AA833" s="381"/>
      <c r="AB833" s="381"/>
      <c r="AC833" s="382"/>
      <c r="AD833" s="382"/>
    </row>
    <row r="834" spans="1:30" ht="12.75" customHeight="1" x14ac:dyDescent="0.2">
      <c r="A834" s="378"/>
      <c r="B834" s="378"/>
      <c r="C834" s="378"/>
      <c r="D834" s="379"/>
      <c r="E834" s="380"/>
      <c r="F834" s="378"/>
      <c r="G834" s="378"/>
      <c r="H834" s="378"/>
      <c r="I834" s="378"/>
      <c r="J834" s="378"/>
      <c r="K834" s="378"/>
      <c r="L834" s="378"/>
      <c r="M834" s="381"/>
      <c r="N834" s="381"/>
      <c r="O834" s="381"/>
      <c r="P834" s="381"/>
      <c r="Q834" s="381"/>
      <c r="R834" s="381"/>
      <c r="S834" s="381"/>
      <c r="T834" s="381"/>
      <c r="U834" s="381"/>
      <c r="V834" s="381"/>
      <c r="W834" s="381"/>
      <c r="X834" s="381"/>
      <c r="Y834" s="381"/>
      <c r="Z834" s="381"/>
      <c r="AA834" s="381"/>
      <c r="AB834" s="381"/>
      <c r="AC834" s="382"/>
      <c r="AD834" s="382"/>
    </row>
    <row r="835" spans="1:30" ht="12.75" customHeight="1" x14ac:dyDescent="0.2">
      <c r="A835" s="378"/>
      <c r="B835" s="378"/>
      <c r="C835" s="378"/>
      <c r="D835" s="379"/>
      <c r="E835" s="380"/>
      <c r="F835" s="378"/>
      <c r="G835" s="378"/>
      <c r="H835" s="378"/>
      <c r="I835" s="378"/>
      <c r="J835" s="378"/>
      <c r="K835" s="378"/>
      <c r="L835" s="378"/>
      <c r="M835" s="381"/>
      <c r="N835" s="381"/>
      <c r="O835" s="381"/>
      <c r="P835" s="381"/>
      <c r="Q835" s="381"/>
      <c r="R835" s="381"/>
      <c r="S835" s="381"/>
      <c r="T835" s="381"/>
      <c r="U835" s="381"/>
      <c r="V835" s="381"/>
      <c r="W835" s="381"/>
      <c r="X835" s="381"/>
      <c r="Y835" s="381"/>
      <c r="Z835" s="381"/>
      <c r="AA835" s="381"/>
      <c r="AB835" s="381"/>
      <c r="AC835" s="382"/>
      <c r="AD835" s="382"/>
    </row>
    <row r="836" spans="1:30" ht="12.75" customHeight="1" x14ac:dyDescent="0.2">
      <c r="A836" s="378"/>
      <c r="B836" s="378"/>
      <c r="C836" s="378"/>
      <c r="D836" s="379"/>
      <c r="E836" s="380"/>
      <c r="F836" s="378"/>
      <c r="G836" s="378"/>
      <c r="H836" s="378"/>
      <c r="I836" s="378"/>
      <c r="J836" s="378"/>
      <c r="K836" s="378"/>
      <c r="L836" s="378"/>
      <c r="M836" s="381"/>
      <c r="N836" s="381"/>
      <c r="O836" s="381"/>
      <c r="P836" s="381"/>
      <c r="Q836" s="381"/>
      <c r="R836" s="381"/>
      <c r="S836" s="381"/>
      <c r="T836" s="381"/>
      <c r="U836" s="381"/>
      <c r="V836" s="381"/>
      <c r="W836" s="381"/>
      <c r="X836" s="381"/>
      <c r="Y836" s="381"/>
      <c r="Z836" s="381"/>
      <c r="AA836" s="381"/>
      <c r="AB836" s="381"/>
      <c r="AC836" s="382"/>
      <c r="AD836" s="382"/>
    </row>
    <row r="837" spans="1:30" ht="12.75" customHeight="1" x14ac:dyDescent="0.2">
      <c r="A837" s="378"/>
      <c r="B837" s="378"/>
      <c r="C837" s="378"/>
      <c r="D837" s="379"/>
      <c r="E837" s="380"/>
      <c r="F837" s="378"/>
      <c r="G837" s="378"/>
      <c r="H837" s="378"/>
      <c r="I837" s="378"/>
      <c r="J837" s="378"/>
      <c r="K837" s="378"/>
      <c r="L837" s="378"/>
      <c r="M837" s="381"/>
      <c r="N837" s="381"/>
      <c r="O837" s="381"/>
      <c r="P837" s="381"/>
      <c r="Q837" s="381"/>
      <c r="R837" s="381"/>
      <c r="S837" s="381"/>
      <c r="T837" s="381"/>
      <c r="U837" s="381"/>
      <c r="V837" s="381"/>
      <c r="W837" s="381"/>
      <c r="X837" s="381"/>
      <c r="Y837" s="381"/>
      <c r="Z837" s="381"/>
      <c r="AA837" s="381"/>
      <c r="AB837" s="381"/>
      <c r="AC837" s="382"/>
      <c r="AD837" s="382"/>
    </row>
    <row r="838" spans="1:30" ht="12.75" customHeight="1" x14ac:dyDescent="0.2">
      <c r="A838" s="378"/>
      <c r="B838" s="378"/>
      <c r="C838" s="378"/>
      <c r="D838" s="379"/>
      <c r="E838" s="380"/>
      <c r="F838" s="378"/>
      <c r="G838" s="378"/>
      <c r="H838" s="378"/>
      <c r="I838" s="378"/>
      <c r="J838" s="378"/>
      <c r="K838" s="378"/>
      <c r="L838" s="378"/>
      <c r="M838" s="381"/>
      <c r="N838" s="381"/>
      <c r="O838" s="381"/>
      <c r="P838" s="381"/>
      <c r="Q838" s="381"/>
      <c r="R838" s="381"/>
      <c r="S838" s="381"/>
      <c r="T838" s="381"/>
      <c r="U838" s="381"/>
      <c r="V838" s="381"/>
      <c r="W838" s="381"/>
      <c r="X838" s="381"/>
      <c r="Y838" s="381"/>
      <c r="Z838" s="381"/>
      <c r="AA838" s="381"/>
      <c r="AB838" s="381"/>
      <c r="AC838" s="382"/>
      <c r="AD838" s="382"/>
    </row>
    <row r="839" spans="1:30" ht="12.75" customHeight="1" x14ac:dyDescent="0.2">
      <c r="A839" s="378"/>
      <c r="B839" s="378"/>
      <c r="C839" s="378"/>
      <c r="D839" s="379"/>
      <c r="E839" s="380"/>
      <c r="F839" s="378"/>
      <c r="G839" s="378"/>
      <c r="H839" s="378"/>
      <c r="I839" s="378"/>
      <c r="J839" s="378"/>
      <c r="K839" s="378"/>
      <c r="L839" s="378"/>
      <c r="M839" s="381"/>
      <c r="N839" s="381"/>
      <c r="O839" s="381"/>
      <c r="P839" s="381"/>
      <c r="Q839" s="381"/>
      <c r="R839" s="381"/>
      <c r="S839" s="381"/>
      <c r="T839" s="381"/>
      <c r="U839" s="381"/>
      <c r="V839" s="381"/>
      <c r="W839" s="381"/>
      <c r="X839" s="381"/>
      <c r="Y839" s="381"/>
      <c r="Z839" s="381"/>
      <c r="AA839" s="381"/>
      <c r="AB839" s="381"/>
      <c r="AC839" s="382"/>
      <c r="AD839" s="382"/>
    </row>
    <row r="840" spans="1:30" ht="12.75" customHeight="1" x14ac:dyDescent="0.2">
      <c r="A840" s="378"/>
      <c r="B840" s="378"/>
      <c r="C840" s="378"/>
      <c r="D840" s="379"/>
      <c r="E840" s="380"/>
      <c r="F840" s="378"/>
      <c r="G840" s="378"/>
      <c r="H840" s="378"/>
      <c r="I840" s="378"/>
      <c r="J840" s="378"/>
      <c r="K840" s="378"/>
      <c r="L840" s="378"/>
      <c r="M840" s="381"/>
      <c r="N840" s="381"/>
      <c r="O840" s="381"/>
      <c r="P840" s="381"/>
      <c r="Q840" s="381"/>
      <c r="R840" s="381"/>
      <c r="S840" s="381"/>
      <c r="T840" s="381"/>
      <c r="U840" s="381"/>
      <c r="V840" s="381"/>
      <c r="W840" s="381"/>
      <c r="X840" s="381"/>
      <c r="Y840" s="381"/>
      <c r="Z840" s="381"/>
      <c r="AA840" s="381"/>
      <c r="AB840" s="381"/>
      <c r="AC840" s="382"/>
      <c r="AD840" s="382"/>
    </row>
    <row r="841" spans="1:30" ht="12.75" customHeight="1" x14ac:dyDescent="0.2">
      <c r="A841" s="378"/>
      <c r="B841" s="378"/>
      <c r="C841" s="378"/>
      <c r="D841" s="379"/>
      <c r="E841" s="380"/>
      <c r="F841" s="378"/>
      <c r="G841" s="378"/>
      <c r="H841" s="378"/>
      <c r="I841" s="378"/>
      <c r="J841" s="378"/>
      <c r="K841" s="378"/>
      <c r="L841" s="378"/>
      <c r="M841" s="381"/>
      <c r="N841" s="381"/>
      <c r="O841" s="381"/>
      <c r="P841" s="381"/>
      <c r="Q841" s="381"/>
      <c r="R841" s="381"/>
      <c r="S841" s="381"/>
      <c r="T841" s="381"/>
      <c r="U841" s="381"/>
      <c r="V841" s="381"/>
      <c r="W841" s="381"/>
      <c r="X841" s="381"/>
      <c r="Y841" s="381"/>
      <c r="Z841" s="381"/>
      <c r="AA841" s="381"/>
      <c r="AB841" s="381"/>
      <c r="AC841" s="382"/>
      <c r="AD841" s="382"/>
    </row>
    <row r="842" spans="1:30" ht="12.75" customHeight="1" x14ac:dyDescent="0.2">
      <c r="A842" s="378"/>
      <c r="B842" s="378"/>
      <c r="C842" s="378"/>
      <c r="D842" s="379"/>
      <c r="E842" s="380"/>
      <c r="F842" s="378"/>
      <c r="G842" s="378"/>
      <c r="H842" s="378"/>
      <c r="I842" s="378"/>
      <c r="J842" s="378"/>
      <c r="K842" s="378"/>
      <c r="L842" s="378"/>
      <c r="M842" s="381"/>
      <c r="N842" s="381"/>
      <c r="O842" s="381"/>
      <c r="P842" s="381"/>
      <c r="Q842" s="381"/>
      <c r="R842" s="381"/>
      <c r="S842" s="381"/>
      <c r="T842" s="381"/>
      <c r="U842" s="381"/>
      <c r="V842" s="381"/>
      <c r="W842" s="381"/>
      <c r="X842" s="381"/>
      <c r="Y842" s="381"/>
      <c r="Z842" s="381"/>
      <c r="AA842" s="381"/>
      <c r="AB842" s="381"/>
      <c r="AC842" s="382"/>
      <c r="AD842" s="382"/>
    </row>
    <row r="843" spans="1:30" ht="12.75" customHeight="1" x14ac:dyDescent="0.2">
      <c r="A843" s="378"/>
      <c r="B843" s="378"/>
      <c r="C843" s="378"/>
      <c r="D843" s="379"/>
      <c r="E843" s="380"/>
      <c r="F843" s="378"/>
      <c r="G843" s="378"/>
      <c r="H843" s="378"/>
      <c r="I843" s="378"/>
      <c r="J843" s="378"/>
      <c r="K843" s="378"/>
      <c r="L843" s="378"/>
      <c r="M843" s="381"/>
      <c r="N843" s="381"/>
      <c r="O843" s="381"/>
      <c r="P843" s="381"/>
      <c r="Q843" s="381"/>
      <c r="R843" s="381"/>
      <c r="S843" s="381"/>
      <c r="T843" s="381"/>
      <c r="U843" s="381"/>
      <c r="V843" s="381"/>
      <c r="W843" s="381"/>
      <c r="X843" s="381"/>
      <c r="Y843" s="381"/>
      <c r="Z843" s="381"/>
      <c r="AA843" s="381"/>
      <c r="AB843" s="381"/>
      <c r="AC843" s="382"/>
      <c r="AD843" s="382"/>
    </row>
    <row r="844" spans="1:30" ht="12.75" customHeight="1" x14ac:dyDescent="0.2">
      <c r="A844" s="378"/>
      <c r="B844" s="378"/>
      <c r="C844" s="378"/>
      <c r="D844" s="379"/>
      <c r="E844" s="380"/>
      <c r="F844" s="378"/>
      <c r="G844" s="378"/>
      <c r="H844" s="378"/>
      <c r="I844" s="378"/>
      <c r="J844" s="378"/>
      <c r="K844" s="378"/>
      <c r="L844" s="378"/>
      <c r="M844" s="381"/>
      <c r="N844" s="381"/>
      <c r="O844" s="381"/>
      <c r="P844" s="381"/>
      <c r="Q844" s="381"/>
      <c r="R844" s="381"/>
      <c r="S844" s="381"/>
      <c r="T844" s="381"/>
      <c r="U844" s="381"/>
      <c r="V844" s="381"/>
      <c r="W844" s="381"/>
      <c r="X844" s="381"/>
      <c r="Y844" s="381"/>
      <c r="Z844" s="381"/>
      <c r="AA844" s="381"/>
      <c r="AB844" s="381"/>
      <c r="AC844" s="382"/>
      <c r="AD844" s="382"/>
    </row>
    <row r="845" spans="1:30" ht="12.75" customHeight="1" x14ac:dyDescent="0.2">
      <c r="A845" s="378"/>
      <c r="B845" s="378"/>
      <c r="C845" s="378"/>
      <c r="D845" s="379"/>
      <c r="E845" s="380"/>
      <c r="F845" s="378"/>
      <c r="G845" s="378"/>
      <c r="H845" s="378"/>
      <c r="I845" s="378"/>
      <c r="J845" s="378"/>
      <c r="K845" s="378"/>
      <c r="L845" s="378"/>
      <c r="M845" s="381"/>
      <c r="N845" s="381"/>
      <c r="O845" s="381"/>
      <c r="P845" s="381"/>
      <c r="Q845" s="381"/>
      <c r="R845" s="381"/>
      <c r="S845" s="381"/>
      <c r="T845" s="381"/>
      <c r="U845" s="381"/>
      <c r="V845" s="381"/>
      <c r="W845" s="381"/>
      <c r="X845" s="381"/>
      <c r="Y845" s="381"/>
      <c r="Z845" s="381"/>
      <c r="AA845" s="381"/>
      <c r="AB845" s="381"/>
      <c r="AC845" s="382"/>
      <c r="AD845" s="382"/>
    </row>
    <row r="846" spans="1:30" ht="12.75" customHeight="1" x14ac:dyDescent="0.2">
      <c r="A846" s="378"/>
      <c r="B846" s="378"/>
      <c r="C846" s="378"/>
      <c r="D846" s="379"/>
      <c r="E846" s="380"/>
      <c r="F846" s="378"/>
      <c r="G846" s="378"/>
      <c r="H846" s="378"/>
      <c r="I846" s="378"/>
      <c r="J846" s="378"/>
      <c r="K846" s="378"/>
      <c r="L846" s="378"/>
      <c r="M846" s="381"/>
      <c r="N846" s="381"/>
      <c r="O846" s="381"/>
      <c r="P846" s="381"/>
      <c r="Q846" s="381"/>
      <c r="R846" s="381"/>
      <c r="S846" s="381"/>
      <c r="T846" s="381"/>
      <c r="U846" s="381"/>
      <c r="V846" s="381"/>
      <c r="W846" s="381"/>
      <c r="X846" s="381"/>
      <c r="Y846" s="381"/>
      <c r="Z846" s="381"/>
      <c r="AA846" s="381"/>
      <c r="AB846" s="381"/>
      <c r="AC846" s="382"/>
      <c r="AD846" s="382"/>
    </row>
    <row r="847" spans="1:30" ht="12.75" customHeight="1" x14ac:dyDescent="0.2">
      <c r="A847" s="378"/>
      <c r="B847" s="378"/>
      <c r="C847" s="378"/>
      <c r="D847" s="379"/>
      <c r="E847" s="380"/>
      <c r="F847" s="378"/>
      <c r="G847" s="378"/>
      <c r="H847" s="378"/>
      <c r="I847" s="378"/>
      <c r="J847" s="378"/>
      <c r="K847" s="378"/>
      <c r="L847" s="378"/>
      <c r="M847" s="381"/>
      <c r="N847" s="381"/>
      <c r="O847" s="381"/>
      <c r="P847" s="381"/>
      <c r="Q847" s="381"/>
      <c r="R847" s="381"/>
      <c r="S847" s="381"/>
      <c r="T847" s="381"/>
      <c r="U847" s="381"/>
      <c r="V847" s="381"/>
      <c r="W847" s="381"/>
      <c r="X847" s="381"/>
      <c r="Y847" s="381"/>
      <c r="Z847" s="381"/>
      <c r="AA847" s="381"/>
      <c r="AB847" s="381"/>
      <c r="AC847" s="382"/>
      <c r="AD847" s="382"/>
    </row>
    <row r="848" spans="1:30" ht="12.75" customHeight="1" x14ac:dyDescent="0.2">
      <c r="A848" s="378"/>
      <c r="B848" s="378"/>
      <c r="C848" s="378"/>
      <c r="D848" s="379"/>
      <c r="E848" s="380"/>
      <c r="F848" s="378"/>
      <c r="G848" s="378"/>
      <c r="H848" s="378"/>
      <c r="I848" s="378"/>
      <c r="J848" s="378"/>
      <c r="K848" s="378"/>
      <c r="L848" s="378"/>
      <c r="M848" s="381"/>
      <c r="N848" s="381"/>
      <c r="O848" s="381"/>
      <c r="P848" s="381"/>
      <c r="Q848" s="381"/>
      <c r="R848" s="381"/>
      <c r="S848" s="381"/>
      <c r="T848" s="381"/>
      <c r="U848" s="381"/>
      <c r="V848" s="381"/>
      <c r="W848" s="381"/>
      <c r="X848" s="381"/>
      <c r="Y848" s="381"/>
      <c r="Z848" s="381"/>
      <c r="AA848" s="381"/>
      <c r="AB848" s="381"/>
      <c r="AC848" s="382"/>
      <c r="AD848" s="382"/>
    </row>
    <row r="849" spans="1:30" ht="12.75" customHeight="1" x14ac:dyDescent="0.2">
      <c r="A849" s="378"/>
      <c r="B849" s="378"/>
      <c r="C849" s="378"/>
      <c r="D849" s="379"/>
      <c r="E849" s="380"/>
      <c r="F849" s="378"/>
      <c r="G849" s="378"/>
      <c r="H849" s="378"/>
      <c r="I849" s="378"/>
      <c r="J849" s="378"/>
      <c r="K849" s="378"/>
      <c r="L849" s="378"/>
      <c r="M849" s="381"/>
      <c r="N849" s="381"/>
      <c r="O849" s="381"/>
      <c r="P849" s="381"/>
      <c r="Q849" s="381"/>
      <c r="R849" s="381"/>
      <c r="S849" s="381"/>
      <c r="T849" s="381"/>
      <c r="U849" s="381"/>
      <c r="V849" s="381"/>
      <c r="W849" s="381"/>
      <c r="X849" s="381"/>
      <c r="Y849" s="381"/>
      <c r="Z849" s="381"/>
      <c r="AA849" s="381"/>
      <c r="AB849" s="381"/>
      <c r="AC849" s="382"/>
      <c r="AD849" s="382"/>
    </row>
    <row r="850" spans="1:30" ht="12.75" customHeight="1" x14ac:dyDescent="0.2">
      <c r="A850" s="378"/>
      <c r="B850" s="378"/>
      <c r="C850" s="378"/>
      <c r="D850" s="379"/>
      <c r="E850" s="380"/>
      <c r="F850" s="378"/>
      <c r="G850" s="378"/>
      <c r="H850" s="378"/>
      <c r="I850" s="378"/>
      <c r="J850" s="378"/>
      <c r="K850" s="378"/>
      <c r="L850" s="378"/>
      <c r="M850" s="381"/>
      <c r="N850" s="381"/>
      <c r="O850" s="381"/>
      <c r="P850" s="381"/>
      <c r="Q850" s="381"/>
      <c r="R850" s="381"/>
      <c r="S850" s="381"/>
      <c r="T850" s="381"/>
      <c r="U850" s="381"/>
      <c r="V850" s="381"/>
      <c r="W850" s="381"/>
      <c r="X850" s="381"/>
      <c r="Y850" s="381"/>
      <c r="Z850" s="381"/>
      <c r="AA850" s="381"/>
      <c r="AB850" s="381"/>
      <c r="AC850" s="382"/>
      <c r="AD850" s="382"/>
    </row>
    <row r="851" spans="1:30" ht="12.75" customHeight="1" x14ac:dyDescent="0.2">
      <c r="A851" s="378"/>
      <c r="B851" s="378"/>
      <c r="C851" s="378"/>
      <c r="D851" s="379"/>
      <c r="E851" s="380"/>
      <c r="F851" s="378"/>
      <c r="G851" s="378"/>
      <c r="H851" s="378"/>
      <c r="I851" s="378"/>
      <c r="J851" s="378"/>
      <c r="K851" s="378"/>
      <c r="L851" s="378"/>
      <c r="M851" s="381"/>
      <c r="N851" s="381"/>
      <c r="O851" s="381"/>
      <c r="P851" s="381"/>
      <c r="Q851" s="381"/>
      <c r="R851" s="381"/>
      <c r="S851" s="381"/>
      <c r="T851" s="381"/>
      <c r="U851" s="381"/>
      <c r="V851" s="381"/>
      <c r="W851" s="381"/>
      <c r="X851" s="381"/>
      <c r="Y851" s="381"/>
      <c r="Z851" s="381"/>
      <c r="AA851" s="381"/>
      <c r="AB851" s="381"/>
      <c r="AC851" s="382"/>
      <c r="AD851" s="382"/>
    </row>
    <row r="852" spans="1:30" ht="12.75" customHeight="1" x14ac:dyDescent="0.2">
      <c r="A852" s="378"/>
      <c r="B852" s="378"/>
      <c r="C852" s="378"/>
      <c r="D852" s="379"/>
      <c r="E852" s="380"/>
      <c r="F852" s="378"/>
      <c r="G852" s="378"/>
      <c r="H852" s="378"/>
      <c r="I852" s="378"/>
      <c r="J852" s="378"/>
      <c r="K852" s="378"/>
      <c r="L852" s="378"/>
      <c r="M852" s="381"/>
      <c r="N852" s="381"/>
      <c r="O852" s="381"/>
      <c r="P852" s="381"/>
      <c r="Q852" s="381"/>
      <c r="R852" s="381"/>
      <c r="S852" s="381"/>
      <c r="T852" s="381"/>
      <c r="U852" s="381"/>
      <c r="V852" s="381"/>
      <c r="W852" s="381"/>
      <c r="X852" s="381"/>
      <c r="Y852" s="381"/>
      <c r="Z852" s="381"/>
      <c r="AA852" s="381"/>
      <c r="AB852" s="381"/>
      <c r="AC852" s="382"/>
      <c r="AD852" s="382"/>
    </row>
    <row r="853" spans="1:30" ht="12.75" customHeight="1" x14ac:dyDescent="0.2">
      <c r="A853" s="378"/>
      <c r="B853" s="378"/>
      <c r="C853" s="378"/>
      <c r="D853" s="379"/>
      <c r="E853" s="380"/>
      <c r="F853" s="378"/>
      <c r="G853" s="378"/>
      <c r="H853" s="378"/>
      <c r="I853" s="378"/>
      <c r="J853" s="378"/>
      <c r="K853" s="378"/>
      <c r="L853" s="378"/>
      <c r="M853" s="381"/>
      <c r="N853" s="381"/>
      <c r="O853" s="381"/>
      <c r="P853" s="381"/>
      <c r="Q853" s="381"/>
      <c r="R853" s="381"/>
      <c r="S853" s="381"/>
      <c r="T853" s="381"/>
      <c r="U853" s="381"/>
      <c r="V853" s="381"/>
      <c r="W853" s="381"/>
      <c r="X853" s="381"/>
      <c r="Y853" s="381"/>
      <c r="Z853" s="381"/>
      <c r="AA853" s="381"/>
      <c r="AB853" s="381"/>
      <c r="AC853" s="382"/>
      <c r="AD853" s="382"/>
    </row>
    <row r="854" spans="1:30" ht="12.75" customHeight="1" x14ac:dyDescent="0.2">
      <c r="A854" s="378"/>
      <c r="B854" s="378"/>
      <c r="C854" s="378"/>
      <c r="D854" s="379"/>
      <c r="E854" s="380"/>
      <c r="F854" s="378"/>
      <c r="G854" s="378"/>
      <c r="H854" s="378"/>
      <c r="I854" s="378"/>
      <c r="J854" s="378"/>
      <c r="K854" s="378"/>
      <c r="L854" s="378"/>
      <c r="M854" s="381"/>
      <c r="N854" s="381"/>
      <c r="O854" s="381"/>
      <c r="P854" s="381"/>
      <c r="Q854" s="381"/>
      <c r="R854" s="381"/>
      <c r="S854" s="381"/>
      <c r="T854" s="381"/>
      <c r="U854" s="381"/>
      <c r="V854" s="381"/>
      <c r="W854" s="381"/>
      <c r="X854" s="381"/>
      <c r="Y854" s="381"/>
      <c r="Z854" s="381"/>
      <c r="AA854" s="381"/>
      <c r="AB854" s="381"/>
      <c r="AC854" s="382"/>
      <c r="AD854" s="382"/>
    </row>
    <row r="855" spans="1:30" ht="12.75" customHeight="1" x14ac:dyDescent="0.2">
      <c r="A855" s="378"/>
      <c r="B855" s="378"/>
      <c r="C855" s="378"/>
      <c r="D855" s="379"/>
      <c r="E855" s="380"/>
      <c r="F855" s="378"/>
      <c r="G855" s="378"/>
      <c r="H855" s="378"/>
      <c r="I855" s="378"/>
      <c r="J855" s="378"/>
      <c r="K855" s="378"/>
      <c r="L855" s="378"/>
      <c r="M855" s="381"/>
      <c r="N855" s="381"/>
      <c r="O855" s="381"/>
      <c r="P855" s="381"/>
      <c r="Q855" s="381"/>
      <c r="R855" s="381"/>
      <c r="S855" s="381"/>
      <c r="T855" s="381"/>
      <c r="U855" s="381"/>
      <c r="V855" s="381"/>
      <c r="W855" s="381"/>
      <c r="X855" s="381"/>
      <c r="Y855" s="381"/>
      <c r="Z855" s="381"/>
      <c r="AA855" s="381"/>
      <c r="AB855" s="381"/>
      <c r="AC855" s="382"/>
      <c r="AD855" s="382"/>
    </row>
    <row r="856" spans="1:30" ht="12.75" customHeight="1" x14ac:dyDescent="0.2">
      <c r="A856" s="378"/>
      <c r="B856" s="378"/>
      <c r="C856" s="378"/>
      <c r="D856" s="379"/>
      <c r="E856" s="380"/>
      <c r="F856" s="378"/>
      <c r="G856" s="378"/>
      <c r="H856" s="378"/>
      <c r="I856" s="378"/>
      <c r="J856" s="378"/>
      <c r="K856" s="378"/>
      <c r="L856" s="378"/>
      <c r="M856" s="381"/>
      <c r="N856" s="381"/>
      <c r="O856" s="381"/>
      <c r="P856" s="381"/>
      <c r="Q856" s="381"/>
      <c r="R856" s="381"/>
      <c r="S856" s="381"/>
      <c r="T856" s="381"/>
      <c r="U856" s="381"/>
      <c r="V856" s="381"/>
      <c r="W856" s="381"/>
      <c r="X856" s="381"/>
      <c r="Y856" s="381"/>
      <c r="Z856" s="381"/>
      <c r="AA856" s="381"/>
      <c r="AB856" s="381"/>
      <c r="AC856" s="382"/>
      <c r="AD856" s="382"/>
    </row>
    <row r="857" spans="1:30" ht="12.75" customHeight="1" x14ac:dyDescent="0.2">
      <c r="A857" s="378"/>
      <c r="B857" s="378"/>
      <c r="C857" s="378"/>
      <c r="D857" s="379"/>
      <c r="E857" s="380"/>
      <c r="F857" s="378"/>
      <c r="G857" s="378"/>
      <c r="H857" s="378"/>
      <c r="I857" s="378"/>
      <c r="J857" s="378"/>
      <c r="K857" s="378"/>
      <c r="L857" s="378"/>
      <c r="M857" s="381"/>
      <c r="N857" s="381"/>
      <c r="O857" s="381"/>
      <c r="P857" s="381"/>
      <c r="Q857" s="381"/>
      <c r="R857" s="381"/>
      <c r="S857" s="381"/>
      <c r="T857" s="381"/>
      <c r="U857" s="381"/>
      <c r="V857" s="381"/>
      <c r="W857" s="381"/>
      <c r="X857" s="381"/>
      <c r="Y857" s="381"/>
      <c r="Z857" s="381"/>
      <c r="AA857" s="381"/>
      <c r="AB857" s="381"/>
      <c r="AC857" s="382"/>
      <c r="AD857" s="382"/>
    </row>
    <row r="858" spans="1:30" ht="12.75" customHeight="1" x14ac:dyDescent="0.2">
      <c r="A858" s="378"/>
      <c r="B858" s="378"/>
      <c r="C858" s="378"/>
      <c r="D858" s="379"/>
      <c r="E858" s="380"/>
      <c r="F858" s="378"/>
      <c r="G858" s="378"/>
      <c r="H858" s="378"/>
      <c r="I858" s="378"/>
      <c r="J858" s="378"/>
      <c r="K858" s="378"/>
      <c r="L858" s="378"/>
      <c r="M858" s="381"/>
      <c r="N858" s="381"/>
      <c r="O858" s="381"/>
      <c r="P858" s="381"/>
      <c r="Q858" s="381"/>
      <c r="R858" s="381"/>
      <c r="S858" s="381"/>
      <c r="T858" s="381"/>
      <c r="U858" s="381"/>
      <c r="V858" s="381"/>
      <c r="W858" s="381"/>
      <c r="X858" s="381"/>
      <c r="Y858" s="381"/>
      <c r="Z858" s="381"/>
      <c r="AA858" s="381"/>
      <c r="AB858" s="381"/>
      <c r="AC858" s="382"/>
      <c r="AD858" s="382"/>
    </row>
    <row r="859" spans="1:30" ht="12.75" customHeight="1" x14ac:dyDescent="0.2">
      <c r="A859" s="378"/>
      <c r="B859" s="378"/>
      <c r="C859" s="378"/>
      <c r="D859" s="379"/>
      <c r="E859" s="380"/>
      <c r="F859" s="378"/>
      <c r="G859" s="378"/>
      <c r="H859" s="378"/>
      <c r="I859" s="378"/>
      <c r="J859" s="378"/>
      <c r="K859" s="378"/>
      <c r="L859" s="378"/>
      <c r="M859" s="381"/>
      <c r="N859" s="381"/>
      <c r="O859" s="381"/>
      <c r="P859" s="381"/>
      <c r="Q859" s="381"/>
      <c r="R859" s="381"/>
      <c r="S859" s="381"/>
      <c r="T859" s="381"/>
      <c r="U859" s="381"/>
      <c r="V859" s="381"/>
      <c r="W859" s="381"/>
      <c r="X859" s="381"/>
      <c r="Y859" s="381"/>
      <c r="Z859" s="381"/>
      <c r="AA859" s="381"/>
      <c r="AB859" s="381"/>
      <c r="AC859" s="382"/>
      <c r="AD859" s="382"/>
    </row>
    <row r="860" spans="1:30" ht="12.75" customHeight="1" x14ac:dyDescent="0.2">
      <c r="A860" s="378"/>
      <c r="B860" s="378"/>
      <c r="C860" s="378"/>
      <c r="D860" s="379"/>
      <c r="E860" s="380"/>
      <c r="F860" s="378"/>
      <c r="G860" s="378"/>
      <c r="H860" s="378"/>
      <c r="I860" s="378"/>
      <c r="J860" s="378"/>
      <c r="K860" s="378"/>
      <c r="L860" s="378"/>
      <c r="M860" s="381"/>
      <c r="N860" s="381"/>
      <c r="O860" s="381"/>
      <c r="P860" s="381"/>
      <c r="Q860" s="381"/>
      <c r="R860" s="381"/>
      <c r="S860" s="381"/>
      <c r="T860" s="381"/>
      <c r="U860" s="381"/>
      <c r="V860" s="381"/>
      <c r="W860" s="381"/>
      <c r="X860" s="381"/>
      <c r="Y860" s="381"/>
      <c r="Z860" s="381"/>
      <c r="AA860" s="381"/>
      <c r="AB860" s="381"/>
      <c r="AC860" s="382"/>
      <c r="AD860" s="382"/>
    </row>
    <row r="861" spans="1:30" ht="12.75" customHeight="1" x14ac:dyDescent="0.2">
      <c r="A861" s="378"/>
      <c r="B861" s="378"/>
      <c r="C861" s="378"/>
      <c r="D861" s="379"/>
      <c r="E861" s="380"/>
      <c r="F861" s="378"/>
      <c r="G861" s="378"/>
      <c r="H861" s="378"/>
      <c r="I861" s="378"/>
      <c r="J861" s="378"/>
      <c r="K861" s="378"/>
      <c r="L861" s="378"/>
      <c r="M861" s="381"/>
      <c r="N861" s="381"/>
      <c r="O861" s="381"/>
      <c r="P861" s="381"/>
      <c r="Q861" s="381"/>
      <c r="R861" s="381"/>
      <c r="S861" s="381"/>
      <c r="T861" s="381"/>
      <c r="U861" s="381"/>
      <c r="V861" s="381"/>
      <c r="W861" s="381"/>
      <c r="X861" s="381"/>
      <c r="Y861" s="381"/>
      <c r="Z861" s="381"/>
      <c r="AA861" s="381"/>
      <c r="AB861" s="381"/>
      <c r="AC861" s="382"/>
      <c r="AD861" s="382"/>
    </row>
    <row r="862" spans="1:30" ht="12.75" customHeight="1" x14ac:dyDescent="0.2">
      <c r="A862" s="378"/>
      <c r="B862" s="378"/>
      <c r="C862" s="378"/>
      <c r="D862" s="379"/>
      <c r="E862" s="380"/>
      <c r="F862" s="378"/>
      <c r="G862" s="378"/>
      <c r="H862" s="378"/>
      <c r="I862" s="378"/>
      <c r="J862" s="378"/>
      <c r="K862" s="378"/>
      <c r="L862" s="378"/>
      <c r="M862" s="381"/>
      <c r="N862" s="381"/>
      <c r="O862" s="381"/>
      <c r="P862" s="381"/>
      <c r="Q862" s="381"/>
      <c r="R862" s="381"/>
      <c r="S862" s="381"/>
      <c r="T862" s="381"/>
      <c r="U862" s="381"/>
      <c r="V862" s="381"/>
      <c r="W862" s="381"/>
      <c r="X862" s="381"/>
      <c r="Y862" s="381"/>
      <c r="Z862" s="381"/>
      <c r="AA862" s="381"/>
      <c r="AB862" s="381"/>
      <c r="AC862" s="382"/>
      <c r="AD862" s="382"/>
    </row>
    <row r="863" spans="1:30" ht="12.75" customHeight="1" x14ac:dyDescent="0.2">
      <c r="A863" s="378"/>
      <c r="B863" s="378"/>
      <c r="C863" s="378"/>
      <c r="D863" s="379"/>
      <c r="E863" s="380"/>
      <c r="F863" s="378"/>
      <c r="G863" s="378"/>
      <c r="H863" s="378"/>
      <c r="I863" s="378"/>
      <c r="J863" s="378"/>
      <c r="K863" s="378"/>
      <c r="L863" s="378"/>
      <c r="M863" s="381"/>
      <c r="N863" s="381"/>
      <c r="O863" s="381"/>
      <c r="P863" s="381"/>
      <c r="Q863" s="381"/>
      <c r="R863" s="381"/>
      <c r="S863" s="381"/>
      <c r="T863" s="381"/>
      <c r="U863" s="381"/>
      <c r="V863" s="381"/>
      <c r="W863" s="381"/>
      <c r="X863" s="381"/>
      <c r="Y863" s="381"/>
      <c r="Z863" s="381"/>
      <c r="AA863" s="381"/>
      <c r="AB863" s="381"/>
      <c r="AC863" s="382"/>
      <c r="AD863" s="382"/>
    </row>
    <row r="864" spans="1:30" ht="12.75" customHeight="1" x14ac:dyDescent="0.2">
      <c r="A864" s="378"/>
      <c r="B864" s="378"/>
      <c r="C864" s="378"/>
      <c r="D864" s="379"/>
      <c r="E864" s="380"/>
      <c r="F864" s="378"/>
      <c r="G864" s="378"/>
      <c r="H864" s="378"/>
      <c r="I864" s="378"/>
      <c r="J864" s="378"/>
      <c r="K864" s="378"/>
      <c r="L864" s="378"/>
      <c r="M864" s="381"/>
      <c r="N864" s="381"/>
      <c r="O864" s="381"/>
      <c r="P864" s="381"/>
      <c r="Q864" s="381"/>
      <c r="R864" s="381"/>
      <c r="S864" s="381"/>
      <c r="T864" s="381"/>
      <c r="U864" s="381"/>
      <c r="V864" s="381"/>
      <c r="W864" s="381"/>
      <c r="X864" s="381"/>
      <c r="Y864" s="381"/>
      <c r="Z864" s="381"/>
      <c r="AA864" s="381"/>
      <c r="AB864" s="381"/>
      <c r="AC864" s="382"/>
      <c r="AD864" s="382"/>
    </row>
    <row r="865" spans="1:30" ht="12.75" customHeight="1" x14ac:dyDescent="0.2">
      <c r="A865" s="378"/>
      <c r="B865" s="378"/>
      <c r="C865" s="378"/>
      <c r="D865" s="379"/>
      <c r="E865" s="380"/>
      <c r="F865" s="378"/>
      <c r="G865" s="378"/>
      <c r="H865" s="378"/>
      <c r="I865" s="378"/>
      <c r="J865" s="378"/>
      <c r="K865" s="378"/>
      <c r="L865" s="378"/>
      <c r="M865" s="381"/>
      <c r="N865" s="381"/>
      <c r="O865" s="381"/>
      <c r="P865" s="381"/>
      <c r="Q865" s="381"/>
      <c r="R865" s="381"/>
      <c r="S865" s="381"/>
      <c r="T865" s="381"/>
      <c r="U865" s="381"/>
      <c r="V865" s="381"/>
      <c r="W865" s="381"/>
      <c r="X865" s="381"/>
      <c r="Y865" s="381"/>
      <c r="Z865" s="381"/>
      <c r="AA865" s="381"/>
      <c r="AB865" s="381"/>
      <c r="AC865" s="382"/>
      <c r="AD865" s="382"/>
    </row>
    <row r="866" spans="1:30" ht="12.75" customHeight="1" x14ac:dyDescent="0.2">
      <c r="A866" s="378"/>
      <c r="B866" s="378"/>
      <c r="C866" s="378"/>
      <c r="D866" s="379"/>
      <c r="E866" s="380"/>
      <c r="F866" s="378"/>
      <c r="G866" s="378"/>
      <c r="H866" s="378"/>
      <c r="I866" s="378"/>
      <c r="J866" s="378"/>
      <c r="K866" s="378"/>
      <c r="L866" s="378"/>
      <c r="M866" s="381"/>
      <c r="N866" s="381"/>
      <c r="O866" s="381"/>
      <c r="P866" s="381"/>
      <c r="Q866" s="381"/>
      <c r="R866" s="381"/>
      <c r="S866" s="381"/>
      <c r="T866" s="381"/>
      <c r="U866" s="381"/>
      <c r="V866" s="381"/>
      <c r="W866" s="381"/>
      <c r="X866" s="381"/>
      <c r="Y866" s="381"/>
      <c r="Z866" s="381"/>
      <c r="AA866" s="381"/>
      <c r="AB866" s="381"/>
      <c r="AC866" s="382"/>
      <c r="AD866" s="382"/>
    </row>
    <row r="867" spans="1:30" ht="12.75" customHeight="1" x14ac:dyDescent="0.2">
      <c r="A867" s="378"/>
      <c r="B867" s="378"/>
      <c r="C867" s="378"/>
      <c r="D867" s="379"/>
      <c r="E867" s="380"/>
      <c r="F867" s="378"/>
      <c r="G867" s="378"/>
      <c r="H867" s="378"/>
      <c r="I867" s="378"/>
      <c r="J867" s="378"/>
      <c r="K867" s="378"/>
      <c r="L867" s="378"/>
      <c r="M867" s="381"/>
      <c r="N867" s="381"/>
      <c r="O867" s="381"/>
      <c r="P867" s="381"/>
      <c r="Q867" s="381"/>
      <c r="R867" s="381"/>
      <c r="S867" s="381"/>
      <c r="T867" s="381"/>
      <c r="U867" s="381"/>
      <c r="V867" s="381"/>
      <c r="W867" s="381"/>
      <c r="X867" s="381"/>
      <c r="Y867" s="381"/>
      <c r="Z867" s="381"/>
      <c r="AA867" s="381"/>
      <c r="AB867" s="381"/>
      <c r="AC867" s="382"/>
      <c r="AD867" s="382"/>
    </row>
    <row r="868" spans="1:30" ht="12.75" customHeight="1" x14ac:dyDescent="0.2">
      <c r="A868" s="378"/>
      <c r="B868" s="378"/>
      <c r="C868" s="378"/>
      <c r="D868" s="379"/>
      <c r="E868" s="380"/>
      <c r="F868" s="378"/>
      <c r="G868" s="378"/>
      <c r="H868" s="378"/>
      <c r="I868" s="378"/>
      <c r="J868" s="378"/>
      <c r="K868" s="378"/>
      <c r="L868" s="378"/>
      <c r="M868" s="381"/>
      <c r="N868" s="381"/>
      <c r="O868" s="381"/>
      <c r="P868" s="381"/>
      <c r="Q868" s="381"/>
      <c r="R868" s="381"/>
      <c r="S868" s="381"/>
      <c r="T868" s="381"/>
      <c r="U868" s="381"/>
      <c r="V868" s="381"/>
      <c r="W868" s="381"/>
      <c r="X868" s="381"/>
      <c r="Y868" s="381"/>
      <c r="Z868" s="381"/>
      <c r="AA868" s="381"/>
      <c r="AB868" s="381"/>
      <c r="AC868" s="382"/>
      <c r="AD868" s="382"/>
    </row>
    <row r="869" spans="1:30" ht="12.75" customHeight="1" x14ac:dyDescent="0.2">
      <c r="A869" s="378"/>
      <c r="B869" s="378"/>
      <c r="C869" s="378"/>
      <c r="D869" s="379"/>
      <c r="E869" s="380"/>
      <c r="F869" s="378"/>
      <c r="G869" s="378"/>
      <c r="H869" s="378"/>
      <c r="I869" s="378"/>
      <c r="J869" s="378"/>
      <c r="K869" s="378"/>
      <c r="L869" s="378"/>
      <c r="M869" s="381"/>
      <c r="N869" s="381"/>
      <c r="O869" s="381"/>
      <c r="P869" s="381"/>
      <c r="Q869" s="381"/>
      <c r="R869" s="381"/>
      <c r="S869" s="381"/>
      <c r="T869" s="381"/>
      <c r="U869" s="381"/>
      <c r="V869" s="381"/>
      <c r="W869" s="381"/>
      <c r="X869" s="381"/>
      <c r="Y869" s="381"/>
      <c r="Z869" s="381"/>
      <c r="AA869" s="381"/>
      <c r="AB869" s="381"/>
      <c r="AC869" s="382"/>
      <c r="AD869" s="382"/>
    </row>
    <row r="870" spans="1:30" ht="12.75" customHeight="1" x14ac:dyDescent="0.2">
      <c r="A870" s="378"/>
      <c r="B870" s="378"/>
      <c r="C870" s="378"/>
      <c r="D870" s="379"/>
      <c r="E870" s="380"/>
      <c r="F870" s="378"/>
      <c r="G870" s="378"/>
      <c r="H870" s="378"/>
      <c r="I870" s="378"/>
      <c r="J870" s="378"/>
      <c r="K870" s="378"/>
      <c r="L870" s="378"/>
      <c r="M870" s="381"/>
      <c r="N870" s="381"/>
      <c r="O870" s="381"/>
      <c r="P870" s="381"/>
      <c r="Q870" s="381"/>
      <c r="R870" s="381"/>
      <c r="S870" s="381"/>
      <c r="T870" s="381"/>
      <c r="U870" s="381"/>
      <c r="V870" s="381"/>
      <c r="W870" s="381"/>
      <c r="X870" s="381"/>
      <c r="Y870" s="381"/>
      <c r="Z870" s="381"/>
      <c r="AA870" s="381"/>
      <c r="AB870" s="381"/>
      <c r="AC870" s="382"/>
      <c r="AD870" s="382"/>
    </row>
    <row r="871" spans="1:30" ht="12.75" customHeight="1" x14ac:dyDescent="0.2">
      <c r="A871" s="378"/>
      <c r="B871" s="378"/>
      <c r="C871" s="378"/>
      <c r="D871" s="379"/>
      <c r="E871" s="380"/>
      <c r="F871" s="378"/>
      <c r="G871" s="378"/>
      <c r="H871" s="378"/>
      <c r="I871" s="378"/>
      <c r="J871" s="378"/>
      <c r="K871" s="378"/>
      <c r="L871" s="378"/>
      <c r="M871" s="381"/>
      <c r="N871" s="381"/>
      <c r="O871" s="381"/>
      <c r="P871" s="381"/>
      <c r="Q871" s="381"/>
      <c r="R871" s="381"/>
      <c r="S871" s="381"/>
      <c r="T871" s="381"/>
      <c r="U871" s="381"/>
      <c r="V871" s="381"/>
      <c r="W871" s="381"/>
      <c r="X871" s="381"/>
      <c r="Y871" s="381"/>
      <c r="Z871" s="381"/>
      <c r="AA871" s="381"/>
      <c r="AB871" s="381"/>
      <c r="AC871" s="382"/>
      <c r="AD871" s="382"/>
    </row>
    <row r="872" spans="1:30" ht="12.75" customHeight="1" x14ac:dyDescent="0.2">
      <c r="A872" s="378"/>
      <c r="B872" s="378"/>
      <c r="C872" s="378"/>
      <c r="D872" s="379"/>
      <c r="E872" s="380"/>
      <c r="F872" s="378"/>
      <c r="G872" s="378"/>
      <c r="H872" s="378"/>
      <c r="I872" s="378"/>
      <c r="J872" s="378"/>
      <c r="K872" s="378"/>
      <c r="L872" s="378"/>
      <c r="M872" s="381"/>
      <c r="N872" s="381"/>
      <c r="O872" s="381"/>
      <c r="P872" s="381"/>
      <c r="Q872" s="381"/>
      <c r="R872" s="381"/>
      <c r="S872" s="381"/>
      <c r="T872" s="381"/>
      <c r="U872" s="381"/>
      <c r="V872" s="381"/>
      <c r="W872" s="381"/>
      <c r="X872" s="381"/>
      <c r="Y872" s="381"/>
      <c r="Z872" s="381"/>
      <c r="AA872" s="381"/>
      <c r="AB872" s="381"/>
      <c r="AC872" s="382"/>
      <c r="AD872" s="382"/>
    </row>
    <row r="873" spans="1:30" ht="12.75" customHeight="1" x14ac:dyDescent="0.2">
      <c r="A873" s="378"/>
      <c r="B873" s="378"/>
      <c r="C873" s="378"/>
      <c r="D873" s="379"/>
      <c r="E873" s="380"/>
      <c r="F873" s="378"/>
      <c r="G873" s="378"/>
      <c r="H873" s="378"/>
      <c r="I873" s="378"/>
      <c r="J873" s="378"/>
      <c r="K873" s="378"/>
      <c r="L873" s="378"/>
      <c r="M873" s="381"/>
      <c r="N873" s="381"/>
      <c r="O873" s="381"/>
      <c r="P873" s="381"/>
      <c r="Q873" s="381"/>
      <c r="R873" s="381"/>
      <c r="S873" s="381"/>
      <c r="T873" s="381"/>
      <c r="U873" s="381"/>
      <c r="V873" s="381"/>
      <c r="W873" s="381"/>
      <c r="X873" s="381"/>
      <c r="Y873" s="381"/>
      <c r="Z873" s="381"/>
      <c r="AA873" s="381"/>
      <c r="AB873" s="381"/>
      <c r="AC873" s="382"/>
      <c r="AD873" s="382"/>
    </row>
    <row r="874" spans="1:30" ht="12.75" customHeight="1" x14ac:dyDescent="0.2">
      <c r="A874" s="378"/>
      <c r="B874" s="378"/>
      <c r="C874" s="378"/>
      <c r="D874" s="379"/>
      <c r="E874" s="380"/>
      <c r="F874" s="378"/>
      <c r="G874" s="378"/>
      <c r="H874" s="378"/>
      <c r="I874" s="378"/>
      <c r="J874" s="378"/>
      <c r="K874" s="378"/>
      <c r="L874" s="378"/>
      <c r="M874" s="381"/>
      <c r="N874" s="381"/>
      <c r="O874" s="381"/>
      <c r="P874" s="381"/>
      <c r="Q874" s="381"/>
      <c r="R874" s="381"/>
      <c r="S874" s="381"/>
      <c r="T874" s="381"/>
      <c r="U874" s="381"/>
      <c r="V874" s="381"/>
      <c r="W874" s="381"/>
      <c r="X874" s="381"/>
      <c r="Y874" s="381"/>
      <c r="Z874" s="381"/>
      <c r="AA874" s="381"/>
      <c r="AB874" s="381"/>
      <c r="AC874" s="382"/>
      <c r="AD874" s="382"/>
    </row>
    <row r="875" spans="1:30" ht="12.75" customHeight="1" x14ac:dyDescent="0.2">
      <c r="A875" s="378"/>
      <c r="B875" s="378"/>
      <c r="C875" s="378"/>
      <c r="D875" s="379"/>
      <c r="E875" s="380"/>
      <c r="F875" s="378"/>
      <c r="G875" s="378"/>
      <c r="H875" s="378"/>
      <c r="I875" s="378"/>
      <c r="J875" s="378"/>
      <c r="K875" s="378"/>
      <c r="L875" s="378"/>
      <c r="M875" s="381"/>
      <c r="N875" s="381"/>
      <c r="O875" s="381"/>
      <c r="P875" s="381"/>
      <c r="Q875" s="381"/>
      <c r="R875" s="381"/>
      <c r="S875" s="381"/>
      <c r="T875" s="381"/>
      <c r="U875" s="381"/>
      <c r="V875" s="381"/>
      <c r="W875" s="381"/>
      <c r="X875" s="381"/>
      <c r="Y875" s="381"/>
      <c r="Z875" s="381"/>
      <c r="AA875" s="381"/>
      <c r="AB875" s="381"/>
      <c r="AC875" s="382"/>
      <c r="AD875" s="382"/>
    </row>
    <row r="876" spans="1:30" ht="12.75" customHeight="1" x14ac:dyDescent="0.2">
      <c r="A876" s="378"/>
      <c r="B876" s="378"/>
      <c r="C876" s="378"/>
      <c r="D876" s="379"/>
      <c r="E876" s="380"/>
      <c r="F876" s="378"/>
      <c r="G876" s="378"/>
      <c r="H876" s="378"/>
      <c r="I876" s="378"/>
      <c r="J876" s="378"/>
      <c r="K876" s="378"/>
      <c r="L876" s="378"/>
      <c r="M876" s="381"/>
      <c r="N876" s="381"/>
      <c r="O876" s="381"/>
      <c r="P876" s="381"/>
      <c r="Q876" s="381"/>
      <c r="R876" s="381"/>
      <c r="S876" s="381"/>
      <c r="T876" s="381"/>
      <c r="U876" s="381"/>
      <c r="V876" s="381"/>
      <c r="W876" s="381"/>
      <c r="X876" s="381"/>
      <c r="Y876" s="381"/>
      <c r="Z876" s="381"/>
      <c r="AA876" s="381"/>
      <c r="AB876" s="381"/>
      <c r="AC876" s="382"/>
      <c r="AD876" s="382"/>
    </row>
    <row r="877" spans="1:30" ht="12.75" customHeight="1" x14ac:dyDescent="0.2">
      <c r="A877" s="378"/>
      <c r="B877" s="378"/>
      <c r="C877" s="378"/>
      <c r="D877" s="379"/>
      <c r="E877" s="380"/>
      <c r="F877" s="378"/>
      <c r="G877" s="378"/>
      <c r="H877" s="378"/>
      <c r="I877" s="378"/>
      <c r="J877" s="378"/>
      <c r="K877" s="378"/>
      <c r="L877" s="378"/>
      <c r="M877" s="381"/>
      <c r="N877" s="381"/>
      <c r="O877" s="381"/>
      <c r="P877" s="381"/>
      <c r="Q877" s="381"/>
      <c r="R877" s="381"/>
      <c r="S877" s="381"/>
      <c r="T877" s="381"/>
      <c r="U877" s="381"/>
      <c r="V877" s="381"/>
      <c r="W877" s="381"/>
      <c r="X877" s="381"/>
      <c r="Y877" s="381"/>
      <c r="Z877" s="381"/>
      <c r="AA877" s="381"/>
      <c r="AB877" s="381"/>
      <c r="AC877" s="382"/>
      <c r="AD877" s="382"/>
    </row>
    <row r="878" spans="1:30" ht="12.75" customHeight="1" x14ac:dyDescent="0.2">
      <c r="A878" s="378"/>
      <c r="B878" s="378"/>
      <c r="C878" s="378"/>
      <c r="D878" s="379"/>
      <c r="E878" s="380"/>
      <c r="F878" s="378"/>
      <c r="G878" s="378"/>
      <c r="H878" s="378"/>
      <c r="I878" s="378"/>
      <c r="J878" s="378"/>
      <c r="K878" s="378"/>
      <c r="L878" s="378"/>
      <c r="M878" s="381"/>
      <c r="N878" s="381"/>
      <c r="O878" s="381"/>
      <c r="P878" s="381"/>
      <c r="Q878" s="381"/>
      <c r="R878" s="381"/>
      <c r="S878" s="381"/>
      <c r="T878" s="381"/>
      <c r="U878" s="381"/>
      <c r="V878" s="381"/>
      <c r="W878" s="381"/>
      <c r="X878" s="381"/>
      <c r="Y878" s="381"/>
      <c r="Z878" s="381"/>
      <c r="AA878" s="381"/>
      <c r="AB878" s="381"/>
      <c r="AC878" s="382"/>
      <c r="AD878" s="382"/>
    </row>
    <row r="879" spans="1:30" ht="12.75" customHeight="1" x14ac:dyDescent="0.2">
      <c r="A879" s="378"/>
      <c r="B879" s="378"/>
      <c r="C879" s="378"/>
      <c r="D879" s="379"/>
      <c r="E879" s="380"/>
      <c r="F879" s="378"/>
      <c r="G879" s="378"/>
      <c r="H879" s="378"/>
      <c r="I879" s="378"/>
      <c r="J879" s="378"/>
      <c r="K879" s="378"/>
      <c r="L879" s="378"/>
      <c r="M879" s="381"/>
      <c r="N879" s="381"/>
      <c r="O879" s="381"/>
      <c r="P879" s="381"/>
      <c r="Q879" s="381"/>
      <c r="R879" s="381"/>
      <c r="S879" s="381"/>
      <c r="T879" s="381"/>
      <c r="U879" s="381"/>
      <c r="V879" s="381"/>
      <c r="W879" s="381"/>
      <c r="X879" s="381"/>
      <c r="Y879" s="381"/>
      <c r="Z879" s="381"/>
      <c r="AA879" s="381"/>
      <c r="AB879" s="381"/>
      <c r="AC879" s="382"/>
      <c r="AD879" s="382"/>
    </row>
    <row r="880" spans="1:30" ht="12.75" customHeight="1" x14ac:dyDescent="0.2">
      <c r="A880" s="378"/>
      <c r="B880" s="378"/>
      <c r="C880" s="378"/>
      <c r="D880" s="379"/>
      <c r="E880" s="380"/>
      <c r="F880" s="378"/>
      <c r="G880" s="378"/>
      <c r="H880" s="378"/>
      <c r="I880" s="378"/>
      <c r="J880" s="378"/>
      <c r="K880" s="378"/>
      <c r="L880" s="378"/>
      <c r="M880" s="381"/>
      <c r="N880" s="381"/>
      <c r="O880" s="381"/>
      <c r="P880" s="381"/>
      <c r="Q880" s="381"/>
      <c r="R880" s="381"/>
      <c r="S880" s="381"/>
      <c r="T880" s="381"/>
      <c r="U880" s="381"/>
      <c r="V880" s="381"/>
      <c r="W880" s="381"/>
      <c r="X880" s="381"/>
      <c r="Y880" s="381"/>
      <c r="Z880" s="381"/>
      <c r="AA880" s="381"/>
      <c r="AB880" s="381"/>
      <c r="AC880" s="382"/>
      <c r="AD880" s="382"/>
    </row>
    <row r="881" spans="1:30" ht="12.75" customHeight="1" x14ac:dyDescent="0.2">
      <c r="A881" s="378"/>
      <c r="B881" s="378"/>
      <c r="C881" s="378"/>
      <c r="D881" s="379"/>
      <c r="E881" s="380"/>
      <c r="F881" s="378"/>
      <c r="G881" s="378"/>
      <c r="H881" s="378"/>
      <c r="I881" s="378"/>
      <c r="J881" s="378"/>
      <c r="K881" s="378"/>
      <c r="L881" s="378"/>
      <c r="M881" s="381"/>
      <c r="N881" s="381"/>
      <c r="O881" s="381"/>
      <c r="P881" s="381"/>
      <c r="Q881" s="381"/>
      <c r="R881" s="381"/>
      <c r="S881" s="381"/>
      <c r="T881" s="381"/>
      <c r="U881" s="381"/>
      <c r="V881" s="381"/>
      <c r="W881" s="381"/>
      <c r="X881" s="381"/>
      <c r="Y881" s="381"/>
      <c r="Z881" s="381"/>
      <c r="AA881" s="381"/>
      <c r="AB881" s="381"/>
      <c r="AC881" s="382"/>
      <c r="AD881" s="382"/>
    </row>
    <row r="882" spans="1:30" ht="12.75" customHeight="1" x14ac:dyDescent="0.2">
      <c r="A882" s="378"/>
      <c r="B882" s="378"/>
      <c r="C882" s="378"/>
      <c r="D882" s="379"/>
      <c r="E882" s="380"/>
      <c r="F882" s="378"/>
      <c r="G882" s="378"/>
      <c r="H882" s="378"/>
      <c r="I882" s="378"/>
      <c r="J882" s="378"/>
      <c r="K882" s="378"/>
      <c r="L882" s="378"/>
      <c r="M882" s="381"/>
      <c r="N882" s="381"/>
      <c r="O882" s="381"/>
      <c r="P882" s="381"/>
      <c r="Q882" s="381"/>
      <c r="R882" s="381"/>
      <c r="S882" s="381"/>
      <c r="T882" s="381"/>
      <c r="U882" s="381"/>
      <c r="V882" s="381"/>
      <c r="W882" s="381"/>
      <c r="X882" s="381"/>
      <c r="Y882" s="381"/>
      <c r="Z882" s="381"/>
      <c r="AA882" s="381"/>
      <c r="AB882" s="381"/>
      <c r="AC882" s="382"/>
      <c r="AD882" s="382"/>
    </row>
    <row r="883" spans="1:30" ht="12.75" customHeight="1" x14ac:dyDescent="0.2">
      <c r="A883" s="378"/>
      <c r="B883" s="378"/>
      <c r="C883" s="378"/>
      <c r="D883" s="379"/>
      <c r="E883" s="380"/>
      <c r="F883" s="378"/>
      <c r="G883" s="378"/>
      <c r="H883" s="378"/>
      <c r="I883" s="378"/>
      <c r="J883" s="378"/>
      <c r="K883" s="378"/>
      <c r="L883" s="378"/>
      <c r="M883" s="381"/>
      <c r="N883" s="381"/>
      <c r="O883" s="381"/>
      <c r="P883" s="381"/>
      <c r="Q883" s="381"/>
      <c r="R883" s="381"/>
      <c r="S883" s="381"/>
      <c r="T883" s="381"/>
      <c r="U883" s="381"/>
      <c r="V883" s="381"/>
      <c r="W883" s="381"/>
      <c r="X883" s="381"/>
      <c r="Y883" s="381"/>
      <c r="Z883" s="381"/>
      <c r="AA883" s="381"/>
      <c r="AB883" s="381"/>
      <c r="AC883" s="382"/>
      <c r="AD883" s="382"/>
    </row>
    <row r="884" spans="1:30" ht="12.75" customHeight="1" x14ac:dyDescent="0.2">
      <c r="A884" s="378"/>
      <c r="B884" s="378"/>
      <c r="C884" s="378"/>
      <c r="D884" s="379"/>
      <c r="E884" s="380"/>
      <c r="F884" s="378"/>
      <c r="G884" s="378"/>
      <c r="H884" s="378"/>
      <c r="I884" s="378"/>
      <c r="J884" s="378"/>
      <c r="K884" s="378"/>
      <c r="L884" s="378"/>
      <c r="M884" s="381"/>
      <c r="N884" s="381"/>
      <c r="O884" s="381"/>
      <c r="P884" s="381"/>
      <c r="Q884" s="381"/>
      <c r="R884" s="381"/>
      <c r="S884" s="381"/>
      <c r="T884" s="381"/>
      <c r="U884" s="381"/>
      <c r="V884" s="381"/>
      <c r="W884" s="381"/>
      <c r="X884" s="381"/>
      <c r="Y884" s="381"/>
      <c r="Z884" s="381"/>
      <c r="AA884" s="381"/>
      <c r="AB884" s="381"/>
      <c r="AC884" s="382"/>
      <c r="AD884" s="382"/>
    </row>
    <row r="885" spans="1:30" ht="12.75" customHeight="1" x14ac:dyDescent="0.2">
      <c r="A885" s="378"/>
      <c r="B885" s="378"/>
      <c r="C885" s="378"/>
      <c r="D885" s="379"/>
      <c r="E885" s="380"/>
      <c r="F885" s="378"/>
      <c r="G885" s="378"/>
      <c r="H885" s="378"/>
      <c r="I885" s="378"/>
      <c r="J885" s="378"/>
      <c r="K885" s="378"/>
      <c r="L885" s="378"/>
      <c r="M885" s="381"/>
      <c r="N885" s="381"/>
      <c r="O885" s="381"/>
      <c r="P885" s="381"/>
      <c r="Q885" s="381"/>
      <c r="R885" s="381"/>
      <c r="S885" s="381"/>
      <c r="T885" s="381"/>
      <c r="U885" s="381"/>
      <c r="V885" s="381"/>
      <c r="W885" s="381"/>
      <c r="X885" s="381"/>
      <c r="Y885" s="381"/>
      <c r="Z885" s="381"/>
      <c r="AA885" s="381"/>
      <c r="AB885" s="381"/>
      <c r="AC885" s="382"/>
      <c r="AD885" s="382"/>
    </row>
    <row r="886" spans="1:30" ht="12.75" customHeight="1" x14ac:dyDescent="0.2">
      <c r="A886" s="378"/>
      <c r="B886" s="378"/>
      <c r="C886" s="378"/>
      <c r="D886" s="379"/>
      <c r="E886" s="380"/>
      <c r="F886" s="378"/>
      <c r="G886" s="378"/>
      <c r="H886" s="378"/>
      <c r="I886" s="378"/>
      <c r="J886" s="378"/>
      <c r="K886" s="378"/>
      <c r="L886" s="378"/>
      <c r="M886" s="381"/>
      <c r="N886" s="381"/>
      <c r="O886" s="381"/>
      <c r="P886" s="381"/>
      <c r="Q886" s="381"/>
      <c r="R886" s="381"/>
      <c r="S886" s="381"/>
      <c r="T886" s="381"/>
      <c r="U886" s="381"/>
      <c r="V886" s="381"/>
      <c r="W886" s="381"/>
      <c r="X886" s="381"/>
      <c r="Y886" s="381"/>
      <c r="Z886" s="381"/>
      <c r="AA886" s="381"/>
      <c r="AB886" s="381"/>
      <c r="AC886" s="382"/>
      <c r="AD886" s="382"/>
    </row>
    <row r="887" spans="1:30" ht="12.75" customHeight="1" x14ac:dyDescent="0.2">
      <c r="A887" s="378"/>
      <c r="B887" s="378"/>
      <c r="C887" s="378"/>
      <c r="D887" s="379"/>
      <c r="E887" s="380"/>
      <c r="F887" s="378"/>
      <c r="G887" s="378"/>
      <c r="H887" s="378"/>
      <c r="I887" s="378"/>
      <c r="J887" s="378"/>
      <c r="K887" s="378"/>
      <c r="L887" s="378"/>
      <c r="M887" s="381"/>
      <c r="N887" s="381"/>
      <c r="O887" s="381"/>
      <c r="P887" s="381"/>
      <c r="Q887" s="381"/>
      <c r="R887" s="381"/>
      <c r="S887" s="381"/>
      <c r="T887" s="381"/>
      <c r="U887" s="381"/>
      <c r="V887" s="381"/>
      <c r="W887" s="381"/>
      <c r="X887" s="381"/>
      <c r="Y887" s="381"/>
      <c r="Z887" s="381"/>
      <c r="AA887" s="381"/>
      <c r="AB887" s="381"/>
      <c r="AC887" s="382"/>
      <c r="AD887" s="382"/>
    </row>
    <row r="888" spans="1:30" ht="12.75" customHeight="1" x14ac:dyDescent="0.2">
      <c r="A888" s="378"/>
      <c r="B888" s="378"/>
      <c r="C888" s="378"/>
      <c r="D888" s="379"/>
      <c r="E888" s="380"/>
      <c r="F888" s="378"/>
      <c r="G888" s="378"/>
      <c r="H888" s="378"/>
      <c r="I888" s="378"/>
      <c r="J888" s="378"/>
      <c r="K888" s="378"/>
      <c r="L888" s="378"/>
      <c r="M888" s="381"/>
      <c r="N888" s="381"/>
      <c r="O888" s="381"/>
      <c r="P888" s="381"/>
      <c r="Q888" s="381"/>
      <c r="R888" s="381"/>
      <c r="S888" s="381"/>
      <c r="T888" s="381"/>
      <c r="U888" s="381"/>
      <c r="V888" s="381"/>
      <c r="W888" s="381"/>
      <c r="X888" s="381"/>
      <c r="Y888" s="381"/>
      <c r="Z888" s="381"/>
      <c r="AA888" s="381"/>
      <c r="AB888" s="381"/>
      <c r="AC888" s="382"/>
      <c r="AD888" s="382"/>
    </row>
    <row r="889" spans="1:30" ht="12.75" customHeight="1" x14ac:dyDescent="0.2">
      <c r="A889" s="378"/>
      <c r="B889" s="378"/>
      <c r="C889" s="378"/>
      <c r="D889" s="379"/>
      <c r="E889" s="380"/>
      <c r="F889" s="378"/>
      <c r="G889" s="378"/>
      <c r="H889" s="378"/>
      <c r="I889" s="378"/>
      <c r="J889" s="378"/>
      <c r="K889" s="378"/>
      <c r="L889" s="378"/>
      <c r="M889" s="381"/>
      <c r="N889" s="381"/>
      <c r="O889" s="381"/>
      <c r="P889" s="381"/>
      <c r="Q889" s="381"/>
      <c r="R889" s="381"/>
      <c r="S889" s="381"/>
      <c r="T889" s="381"/>
      <c r="U889" s="381"/>
      <c r="V889" s="381"/>
      <c r="W889" s="381"/>
      <c r="X889" s="381"/>
      <c r="Y889" s="381"/>
      <c r="Z889" s="381"/>
      <c r="AA889" s="381"/>
      <c r="AB889" s="381"/>
      <c r="AC889" s="382"/>
      <c r="AD889" s="382"/>
    </row>
    <row r="890" spans="1:30" ht="12.75" customHeight="1" x14ac:dyDescent="0.2">
      <c r="A890" s="378"/>
      <c r="B890" s="378"/>
      <c r="C890" s="378"/>
      <c r="D890" s="379"/>
      <c r="E890" s="380"/>
      <c r="F890" s="378"/>
      <c r="G890" s="378"/>
      <c r="H890" s="378"/>
      <c r="I890" s="378"/>
      <c r="J890" s="378"/>
      <c r="K890" s="378"/>
      <c r="L890" s="378"/>
      <c r="M890" s="381"/>
      <c r="N890" s="381"/>
      <c r="O890" s="381"/>
      <c r="P890" s="381"/>
      <c r="Q890" s="381"/>
      <c r="R890" s="381"/>
      <c r="S890" s="381"/>
      <c r="T890" s="381"/>
      <c r="U890" s="381"/>
      <c r="V890" s="381"/>
      <c r="W890" s="381"/>
      <c r="X890" s="381"/>
      <c r="Y890" s="381"/>
      <c r="Z890" s="381"/>
      <c r="AA890" s="381"/>
      <c r="AB890" s="381"/>
      <c r="AC890" s="382"/>
      <c r="AD890" s="382"/>
    </row>
    <row r="891" spans="1:30" ht="12.75" customHeight="1" x14ac:dyDescent="0.2">
      <c r="A891" s="378"/>
      <c r="B891" s="378"/>
      <c r="C891" s="378"/>
      <c r="D891" s="379"/>
      <c r="E891" s="380"/>
      <c r="F891" s="378"/>
      <c r="G891" s="378"/>
      <c r="H891" s="378"/>
      <c r="I891" s="378"/>
      <c r="J891" s="378"/>
      <c r="K891" s="378"/>
      <c r="L891" s="378"/>
      <c r="M891" s="381"/>
      <c r="N891" s="381"/>
      <c r="O891" s="381"/>
      <c r="P891" s="381"/>
      <c r="Q891" s="381"/>
      <c r="R891" s="381"/>
      <c r="S891" s="381"/>
      <c r="T891" s="381"/>
      <c r="U891" s="381"/>
      <c r="V891" s="381"/>
      <c r="W891" s="381"/>
      <c r="X891" s="381"/>
      <c r="Y891" s="381"/>
      <c r="Z891" s="381"/>
      <c r="AA891" s="381"/>
      <c r="AB891" s="381"/>
      <c r="AC891" s="382"/>
      <c r="AD891" s="382"/>
    </row>
    <row r="892" spans="1:30" ht="12.75" customHeight="1" x14ac:dyDescent="0.2">
      <c r="A892" s="378"/>
      <c r="B892" s="378"/>
      <c r="C892" s="378"/>
      <c r="D892" s="379"/>
      <c r="E892" s="380"/>
      <c r="F892" s="378"/>
      <c r="G892" s="378"/>
      <c r="H892" s="378"/>
      <c r="I892" s="378"/>
      <c r="J892" s="378"/>
      <c r="K892" s="378"/>
      <c r="L892" s="378"/>
      <c r="M892" s="381"/>
      <c r="N892" s="381"/>
      <c r="O892" s="381"/>
      <c r="P892" s="381"/>
      <c r="Q892" s="381"/>
      <c r="R892" s="381"/>
      <c r="S892" s="381"/>
      <c r="T892" s="381"/>
      <c r="U892" s="381"/>
      <c r="V892" s="381"/>
      <c r="W892" s="381"/>
      <c r="X892" s="381"/>
      <c r="Y892" s="381"/>
      <c r="Z892" s="381"/>
      <c r="AA892" s="381"/>
      <c r="AB892" s="381"/>
      <c r="AC892" s="382"/>
      <c r="AD892" s="382"/>
    </row>
    <row r="893" spans="1:30" ht="12.75" customHeight="1" x14ac:dyDescent="0.2">
      <c r="A893" s="378"/>
      <c r="B893" s="378"/>
      <c r="C893" s="378"/>
      <c r="D893" s="379"/>
      <c r="E893" s="380"/>
      <c r="F893" s="378"/>
      <c r="G893" s="378"/>
      <c r="H893" s="378"/>
      <c r="I893" s="378"/>
      <c r="J893" s="378"/>
      <c r="K893" s="378"/>
      <c r="L893" s="378"/>
      <c r="M893" s="381"/>
      <c r="N893" s="381"/>
      <c r="O893" s="381"/>
      <c r="P893" s="381"/>
      <c r="Q893" s="381"/>
      <c r="R893" s="381"/>
      <c r="S893" s="381"/>
      <c r="T893" s="381"/>
      <c r="U893" s="381"/>
      <c r="V893" s="381"/>
      <c r="W893" s="381"/>
      <c r="X893" s="381"/>
      <c r="Y893" s="381"/>
      <c r="Z893" s="381"/>
      <c r="AA893" s="381"/>
      <c r="AB893" s="381"/>
      <c r="AC893" s="382"/>
      <c r="AD893" s="382"/>
    </row>
    <row r="894" spans="1:30" ht="12.75" customHeight="1" x14ac:dyDescent="0.2">
      <c r="A894" s="378"/>
      <c r="B894" s="378"/>
      <c r="C894" s="378"/>
      <c r="D894" s="379"/>
      <c r="E894" s="380"/>
      <c r="F894" s="378"/>
      <c r="G894" s="378"/>
      <c r="H894" s="378"/>
      <c r="I894" s="378"/>
      <c r="J894" s="378"/>
      <c r="K894" s="378"/>
      <c r="L894" s="378"/>
      <c r="M894" s="381"/>
      <c r="N894" s="381"/>
      <c r="O894" s="381"/>
      <c r="P894" s="381"/>
      <c r="Q894" s="381"/>
      <c r="R894" s="381"/>
      <c r="S894" s="381"/>
      <c r="T894" s="381"/>
      <c r="U894" s="381"/>
      <c r="V894" s="381"/>
      <c r="W894" s="381"/>
      <c r="X894" s="381"/>
      <c r="Y894" s="381"/>
      <c r="Z894" s="381"/>
      <c r="AA894" s="381"/>
      <c r="AB894" s="381"/>
      <c r="AC894" s="382"/>
      <c r="AD894" s="382"/>
    </row>
    <row r="895" spans="1:30" ht="12.75" customHeight="1" x14ac:dyDescent="0.2">
      <c r="A895" s="378"/>
      <c r="B895" s="378"/>
      <c r="C895" s="378"/>
      <c r="D895" s="379"/>
      <c r="E895" s="380"/>
      <c r="F895" s="378"/>
      <c r="G895" s="378"/>
      <c r="H895" s="378"/>
      <c r="I895" s="378"/>
      <c r="J895" s="378"/>
      <c r="K895" s="378"/>
      <c r="L895" s="378"/>
      <c r="M895" s="381"/>
      <c r="N895" s="381"/>
      <c r="O895" s="381"/>
      <c r="P895" s="381"/>
      <c r="Q895" s="381"/>
      <c r="R895" s="381"/>
      <c r="S895" s="381"/>
      <c r="T895" s="381"/>
      <c r="U895" s="381"/>
      <c r="V895" s="381"/>
      <c r="W895" s="381"/>
      <c r="X895" s="381"/>
      <c r="Y895" s="381"/>
      <c r="Z895" s="381"/>
      <c r="AA895" s="381"/>
      <c r="AB895" s="381"/>
      <c r="AC895" s="382"/>
      <c r="AD895" s="382"/>
    </row>
    <row r="896" spans="1:30" ht="12.75" customHeight="1" x14ac:dyDescent="0.2">
      <c r="A896" s="378"/>
      <c r="B896" s="378"/>
      <c r="C896" s="378"/>
      <c r="D896" s="379"/>
      <c r="E896" s="380"/>
      <c r="F896" s="378"/>
      <c r="G896" s="378"/>
      <c r="H896" s="378"/>
      <c r="I896" s="378"/>
      <c r="J896" s="378"/>
      <c r="K896" s="378"/>
      <c r="L896" s="378"/>
      <c r="M896" s="381"/>
      <c r="N896" s="381"/>
      <c r="O896" s="381"/>
      <c r="P896" s="381"/>
      <c r="Q896" s="381"/>
      <c r="R896" s="381"/>
      <c r="S896" s="381"/>
      <c r="T896" s="381"/>
      <c r="U896" s="381"/>
      <c r="V896" s="381"/>
      <c r="W896" s="381"/>
      <c r="X896" s="381"/>
      <c r="Y896" s="381"/>
      <c r="Z896" s="381"/>
      <c r="AA896" s="381"/>
      <c r="AB896" s="381"/>
      <c r="AC896" s="382"/>
      <c r="AD896" s="382"/>
    </row>
    <row r="897" spans="1:30" ht="12.75" customHeight="1" x14ac:dyDescent="0.2">
      <c r="A897" s="378"/>
      <c r="B897" s="378"/>
      <c r="C897" s="378"/>
      <c r="D897" s="379"/>
      <c r="E897" s="380"/>
      <c r="F897" s="378"/>
      <c r="G897" s="378"/>
      <c r="H897" s="378"/>
      <c r="I897" s="378"/>
      <c r="J897" s="378"/>
      <c r="K897" s="378"/>
      <c r="L897" s="378"/>
      <c r="M897" s="381"/>
      <c r="N897" s="381"/>
      <c r="O897" s="381"/>
      <c r="P897" s="381"/>
      <c r="Q897" s="381"/>
      <c r="R897" s="381"/>
      <c r="S897" s="381"/>
      <c r="T897" s="381"/>
      <c r="U897" s="381"/>
      <c r="V897" s="381"/>
      <c r="W897" s="381"/>
      <c r="X897" s="381"/>
      <c r="Y897" s="381"/>
      <c r="Z897" s="381"/>
      <c r="AA897" s="381"/>
      <c r="AB897" s="381"/>
      <c r="AC897" s="382"/>
      <c r="AD897" s="382"/>
    </row>
    <row r="898" spans="1:30" ht="12.75" customHeight="1" x14ac:dyDescent="0.2">
      <c r="A898" s="378"/>
      <c r="B898" s="378"/>
      <c r="C898" s="378"/>
      <c r="D898" s="379"/>
      <c r="E898" s="380"/>
      <c r="F898" s="378"/>
      <c r="G898" s="378"/>
      <c r="H898" s="378"/>
      <c r="I898" s="378"/>
      <c r="J898" s="378"/>
      <c r="K898" s="378"/>
      <c r="L898" s="378"/>
      <c r="M898" s="381"/>
      <c r="N898" s="381"/>
      <c r="O898" s="381"/>
      <c r="P898" s="381"/>
      <c r="Q898" s="381"/>
      <c r="R898" s="381"/>
      <c r="S898" s="381"/>
      <c r="T898" s="381"/>
      <c r="U898" s="381"/>
      <c r="V898" s="381"/>
      <c r="W898" s="381"/>
      <c r="X898" s="381"/>
      <c r="Y898" s="381"/>
      <c r="Z898" s="381"/>
      <c r="AA898" s="381"/>
      <c r="AB898" s="381"/>
      <c r="AC898" s="382"/>
      <c r="AD898" s="382"/>
    </row>
    <row r="899" spans="1:30" ht="12.75" customHeight="1" x14ac:dyDescent="0.2">
      <c r="A899" s="378"/>
      <c r="B899" s="378"/>
      <c r="C899" s="378"/>
      <c r="D899" s="379"/>
      <c r="E899" s="380"/>
      <c r="F899" s="378"/>
      <c r="G899" s="378"/>
      <c r="H899" s="378"/>
      <c r="I899" s="378"/>
      <c r="J899" s="378"/>
      <c r="K899" s="378"/>
      <c r="L899" s="378"/>
      <c r="M899" s="381"/>
      <c r="N899" s="381"/>
      <c r="O899" s="381"/>
      <c r="P899" s="381"/>
      <c r="Q899" s="381"/>
      <c r="R899" s="381"/>
      <c r="S899" s="381"/>
      <c r="T899" s="381"/>
      <c r="U899" s="381"/>
      <c r="V899" s="381"/>
      <c r="W899" s="381"/>
      <c r="X899" s="381"/>
      <c r="Y899" s="381"/>
      <c r="Z899" s="381"/>
      <c r="AA899" s="381"/>
      <c r="AB899" s="381"/>
      <c r="AC899" s="382"/>
      <c r="AD899" s="382"/>
    </row>
    <row r="900" spans="1:30" ht="12.75" customHeight="1" x14ac:dyDescent="0.2">
      <c r="A900" s="378"/>
      <c r="B900" s="378"/>
      <c r="C900" s="378"/>
      <c r="D900" s="379"/>
      <c r="E900" s="380"/>
      <c r="F900" s="378"/>
      <c r="G900" s="378"/>
      <c r="H900" s="378"/>
      <c r="I900" s="378"/>
      <c r="J900" s="378"/>
      <c r="K900" s="378"/>
      <c r="L900" s="378"/>
      <c r="M900" s="381"/>
      <c r="N900" s="381"/>
      <c r="O900" s="381"/>
      <c r="P900" s="381"/>
      <c r="Q900" s="381"/>
      <c r="R900" s="381"/>
      <c r="S900" s="381"/>
      <c r="T900" s="381"/>
      <c r="U900" s="381"/>
      <c r="V900" s="381"/>
      <c r="W900" s="381"/>
      <c r="X900" s="381"/>
      <c r="Y900" s="381"/>
      <c r="Z900" s="381"/>
      <c r="AA900" s="381"/>
      <c r="AB900" s="381"/>
      <c r="AC900" s="382"/>
      <c r="AD900" s="382"/>
    </row>
    <row r="901" spans="1:30" ht="12.75" customHeight="1" x14ac:dyDescent="0.2">
      <c r="A901" s="378"/>
      <c r="B901" s="378"/>
      <c r="C901" s="378"/>
      <c r="D901" s="379"/>
      <c r="E901" s="380"/>
      <c r="F901" s="378"/>
      <c r="G901" s="378"/>
      <c r="H901" s="378"/>
      <c r="I901" s="378"/>
      <c r="J901" s="378"/>
      <c r="K901" s="378"/>
      <c r="L901" s="378"/>
      <c r="M901" s="381"/>
      <c r="N901" s="381"/>
      <c r="O901" s="381"/>
      <c r="P901" s="381"/>
      <c r="Q901" s="381"/>
      <c r="R901" s="381"/>
      <c r="S901" s="381"/>
      <c r="T901" s="381"/>
      <c r="U901" s="381"/>
      <c r="V901" s="381"/>
      <c r="W901" s="381"/>
      <c r="X901" s="381"/>
      <c r="Y901" s="381"/>
      <c r="Z901" s="381"/>
      <c r="AA901" s="381"/>
      <c r="AB901" s="381"/>
      <c r="AC901" s="382"/>
      <c r="AD901" s="382"/>
    </row>
    <row r="902" spans="1:30" ht="12.75" customHeight="1" x14ac:dyDescent="0.2">
      <c r="A902" s="378"/>
      <c r="B902" s="378"/>
      <c r="C902" s="378"/>
      <c r="D902" s="379"/>
      <c r="E902" s="380"/>
      <c r="F902" s="378"/>
      <c r="G902" s="378"/>
      <c r="H902" s="378"/>
      <c r="I902" s="378"/>
      <c r="J902" s="378"/>
      <c r="K902" s="378"/>
      <c r="L902" s="378"/>
      <c r="M902" s="381"/>
      <c r="N902" s="381"/>
      <c r="O902" s="381"/>
      <c r="P902" s="381"/>
      <c r="Q902" s="381"/>
      <c r="R902" s="381"/>
      <c r="S902" s="381"/>
      <c r="T902" s="381"/>
      <c r="U902" s="381"/>
      <c r="V902" s="381"/>
      <c r="W902" s="381"/>
      <c r="X902" s="381"/>
      <c r="Y902" s="381"/>
      <c r="Z902" s="381"/>
      <c r="AA902" s="381"/>
      <c r="AB902" s="381"/>
      <c r="AC902" s="382"/>
      <c r="AD902" s="382"/>
    </row>
    <row r="903" spans="1:30" ht="12.75" customHeight="1" x14ac:dyDescent="0.2">
      <c r="A903" s="378"/>
      <c r="B903" s="378"/>
      <c r="C903" s="378"/>
      <c r="D903" s="379"/>
      <c r="E903" s="380"/>
      <c r="F903" s="378"/>
      <c r="G903" s="378"/>
      <c r="H903" s="378"/>
      <c r="I903" s="378"/>
      <c r="J903" s="378"/>
      <c r="K903" s="378"/>
      <c r="L903" s="378"/>
      <c r="M903" s="381"/>
      <c r="N903" s="381"/>
      <c r="O903" s="381"/>
      <c r="P903" s="381"/>
      <c r="Q903" s="381"/>
      <c r="R903" s="381"/>
      <c r="S903" s="381"/>
      <c r="T903" s="381"/>
      <c r="U903" s="381"/>
      <c r="V903" s="381"/>
      <c r="W903" s="381"/>
      <c r="X903" s="381"/>
      <c r="Y903" s="381"/>
      <c r="Z903" s="381"/>
      <c r="AA903" s="381"/>
      <c r="AB903" s="381"/>
      <c r="AC903" s="382"/>
      <c r="AD903" s="382"/>
    </row>
    <row r="904" spans="1:30" ht="12.75" customHeight="1" x14ac:dyDescent="0.2">
      <c r="A904" s="378"/>
      <c r="B904" s="378"/>
      <c r="C904" s="378"/>
      <c r="D904" s="379"/>
      <c r="E904" s="380"/>
      <c r="F904" s="378"/>
      <c r="G904" s="378"/>
      <c r="H904" s="378"/>
      <c r="I904" s="378"/>
      <c r="J904" s="378"/>
      <c r="K904" s="378"/>
      <c r="L904" s="378"/>
      <c r="M904" s="381"/>
      <c r="N904" s="381"/>
      <c r="O904" s="381"/>
      <c r="P904" s="381"/>
      <c r="Q904" s="381"/>
      <c r="R904" s="381"/>
      <c r="S904" s="381"/>
      <c r="T904" s="381"/>
      <c r="U904" s="381"/>
      <c r="V904" s="381"/>
      <c r="W904" s="381"/>
      <c r="X904" s="381"/>
      <c r="Y904" s="381"/>
      <c r="Z904" s="381"/>
      <c r="AA904" s="381"/>
      <c r="AB904" s="381"/>
      <c r="AC904" s="382"/>
      <c r="AD904" s="382"/>
    </row>
    <row r="905" spans="1:30" ht="12.75" customHeight="1" x14ac:dyDescent="0.2">
      <c r="A905" s="378"/>
      <c r="B905" s="378"/>
      <c r="C905" s="378"/>
      <c r="D905" s="379"/>
      <c r="E905" s="380"/>
      <c r="F905" s="378"/>
      <c r="G905" s="378"/>
      <c r="H905" s="378"/>
      <c r="I905" s="378"/>
      <c r="J905" s="378"/>
      <c r="K905" s="378"/>
      <c r="L905" s="378"/>
      <c r="M905" s="381"/>
      <c r="N905" s="381"/>
      <c r="O905" s="381"/>
      <c r="P905" s="381"/>
      <c r="Q905" s="381"/>
      <c r="R905" s="381"/>
      <c r="S905" s="381"/>
      <c r="T905" s="381"/>
      <c r="U905" s="381"/>
      <c r="V905" s="381"/>
      <c r="W905" s="381"/>
      <c r="X905" s="381"/>
      <c r="Y905" s="381"/>
      <c r="Z905" s="381"/>
      <c r="AA905" s="381"/>
      <c r="AB905" s="381"/>
      <c r="AC905" s="382"/>
      <c r="AD905" s="382"/>
    </row>
    <row r="906" spans="1:30" ht="12.75" customHeight="1" x14ac:dyDescent="0.2">
      <c r="A906" s="378"/>
      <c r="B906" s="378"/>
      <c r="C906" s="378"/>
      <c r="D906" s="379"/>
      <c r="E906" s="380"/>
      <c r="F906" s="378"/>
      <c r="G906" s="378"/>
      <c r="H906" s="378"/>
      <c r="I906" s="378"/>
      <c r="J906" s="378"/>
      <c r="K906" s="378"/>
      <c r="L906" s="378"/>
      <c r="M906" s="381"/>
      <c r="N906" s="381"/>
      <c r="O906" s="381"/>
      <c r="P906" s="381"/>
      <c r="Q906" s="381"/>
      <c r="R906" s="381"/>
      <c r="S906" s="381"/>
      <c r="T906" s="381"/>
      <c r="U906" s="381"/>
      <c r="V906" s="381"/>
      <c r="W906" s="381"/>
      <c r="X906" s="381"/>
      <c r="Y906" s="381"/>
      <c r="Z906" s="381"/>
      <c r="AA906" s="381"/>
      <c r="AB906" s="381"/>
      <c r="AC906" s="382"/>
      <c r="AD906" s="382"/>
    </row>
    <row r="907" spans="1:30" ht="12.75" customHeight="1" x14ac:dyDescent="0.2">
      <c r="A907" s="378"/>
      <c r="B907" s="378"/>
      <c r="C907" s="378"/>
      <c r="D907" s="379"/>
      <c r="E907" s="380"/>
      <c r="F907" s="378"/>
      <c r="G907" s="378"/>
      <c r="H907" s="378"/>
      <c r="I907" s="378"/>
      <c r="J907" s="378"/>
      <c r="K907" s="378"/>
      <c r="L907" s="378"/>
      <c r="M907" s="381"/>
      <c r="N907" s="381"/>
      <c r="O907" s="381"/>
      <c r="P907" s="381"/>
      <c r="Q907" s="381"/>
      <c r="R907" s="381"/>
      <c r="S907" s="381"/>
      <c r="T907" s="381"/>
      <c r="U907" s="381"/>
      <c r="V907" s="381"/>
      <c r="W907" s="381"/>
      <c r="X907" s="381"/>
      <c r="Y907" s="381"/>
      <c r="Z907" s="381"/>
      <c r="AA907" s="381"/>
      <c r="AB907" s="381"/>
      <c r="AC907" s="382"/>
      <c r="AD907" s="382"/>
    </row>
    <row r="908" spans="1:30" ht="12.75" customHeight="1" x14ac:dyDescent="0.2">
      <c r="A908" s="378"/>
      <c r="B908" s="378"/>
      <c r="C908" s="378"/>
      <c r="D908" s="379"/>
      <c r="E908" s="380"/>
      <c r="F908" s="378"/>
      <c r="G908" s="378"/>
      <c r="H908" s="378"/>
      <c r="I908" s="378"/>
      <c r="J908" s="378"/>
      <c r="K908" s="378"/>
      <c r="L908" s="378"/>
      <c r="M908" s="381"/>
      <c r="N908" s="381"/>
      <c r="O908" s="381"/>
      <c r="P908" s="381"/>
      <c r="Q908" s="381"/>
      <c r="R908" s="381"/>
      <c r="S908" s="381"/>
      <c r="T908" s="381"/>
      <c r="U908" s="381"/>
      <c r="V908" s="381"/>
      <c r="W908" s="381"/>
      <c r="X908" s="381"/>
      <c r="Y908" s="381"/>
      <c r="Z908" s="381"/>
      <c r="AA908" s="381"/>
      <c r="AB908" s="381"/>
      <c r="AC908" s="382"/>
      <c r="AD908" s="382"/>
    </row>
    <row r="909" spans="1:30" ht="12.75" customHeight="1" x14ac:dyDescent="0.2">
      <c r="A909" s="378"/>
      <c r="B909" s="378"/>
      <c r="C909" s="378"/>
      <c r="D909" s="379"/>
      <c r="E909" s="380"/>
      <c r="F909" s="378"/>
      <c r="G909" s="378"/>
      <c r="H909" s="378"/>
      <c r="I909" s="378"/>
      <c r="J909" s="378"/>
      <c r="K909" s="378"/>
      <c r="L909" s="378"/>
      <c r="M909" s="381"/>
      <c r="N909" s="381"/>
      <c r="O909" s="381"/>
      <c r="P909" s="381"/>
      <c r="Q909" s="381"/>
      <c r="R909" s="381"/>
      <c r="S909" s="381"/>
      <c r="T909" s="381"/>
      <c r="U909" s="381"/>
      <c r="V909" s="381"/>
      <c r="W909" s="381"/>
      <c r="X909" s="381"/>
      <c r="Y909" s="381"/>
      <c r="Z909" s="381"/>
      <c r="AA909" s="381"/>
      <c r="AB909" s="381"/>
      <c r="AC909" s="382"/>
      <c r="AD909" s="382"/>
    </row>
    <row r="910" spans="1:30" ht="12.75" customHeight="1" x14ac:dyDescent="0.2">
      <c r="A910" s="378"/>
      <c r="B910" s="378"/>
      <c r="C910" s="378"/>
      <c r="D910" s="379"/>
      <c r="E910" s="380"/>
      <c r="F910" s="378"/>
      <c r="G910" s="378"/>
      <c r="H910" s="378"/>
      <c r="I910" s="378"/>
      <c r="J910" s="378"/>
      <c r="K910" s="378"/>
      <c r="L910" s="378"/>
      <c r="M910" s="381"/>
      <c r="N910" s="381"/>
      <c r="O910" s="381"/>
      <c r="P910" s="381"/>
      <c r="Q910" s="381"/>
      <c r="R910" s="381"/>
      <c r="S910" s="381"/>
      <c r="T910" s="381"/>
      <c r="U910" s="381"/>
      <c r="V910" s="381"/>
      <c r="W910" s="381"/>
      <c r="X910" s="381"/>
      <c r="Y910" s="381"/>
      <c r="Z910" s="381"/>
      <c r="AA910" s="381"/>
      <c r="AB910" s="381"/>
      <c r="AC910" s="382"/>
      <c r="AD910" s="382"/>
    </row>
    <row r="911" spans="1:30" ht="12.75" customHeight="1" x14ac:dyDescent="0.2">
      <c r="A911" s="378"/>
      <c r="B911" s="378"/>
      <c r="C911" s="378"/>
      <c r="D911" s="379"/>
      <c r="E911" s="380"/>
      <c r="F911" s="378"/>
      <c r="G911" s="378"/>
      <c r="H911" s="378"/>
      <c r="I911" s="378"/>
      <c r="J911" s="378"/>
      <c r="K911" s="378"/>
      <c r="L911" s="378"/>
      <c r="M911" s="381"/>
      <c r="N911" s="381"/>
      <c r="O911" s="381"/>
      <c r="P911" s="381"/>
      <c r="Q911" s="381"/>
      <c r="R911" s="381"/>
      <c r="S911" s="381"/>
      <c r="T911" s="381"/>
      <c r="U911" s="381"/>
      <c r="V911" s="381"/>
      <c r="W911" s="381"/>
      <c r="X911" s="381"/>
      <c r="Y911" s="381"/>
      <c r="Z911" s="381"/>
      <c r="AA911" s="381"/>
      <c r="AB911" s="381"/>
      <c r="AC911" s="382"/>
      <c r="AD911" s="382"/>
    </row>
    <row r="912" spans="1:30" ht="12.75" customHeight="1" x14ac:dyDescent="0.2">
      <c r="A912" s="378"/>
      <c r="B912" s="378"/>
      <c r="C912" s="378"/>
      <c r="D912" s="379"/>
      <c r="E912" s="380"/>
      <c r="F912" s="378"/>
      <c r="G912" s="378"/>
      <c r="H912" s="378"/>
      <c r="I912" s="378"/>
      <c r="J912" s="378"/>
      <c r="K912" s="378"/>
      <c r="L912" s="378"/>
      <c r="M912" s="381"/>
      <c r="N912" s="381"/>
      <c r="O912" s="381"/>
      <c r="P912" s="381"/>
      <c r="Q912" s="381"/>
      <c r="R912" s="381"/>
      <c r="S912" s="381"/>
      <c r="T912" s="381"/>
      <c r="U912" s="381"/>
      <c r="V912" s="381"/>
      <c r="W912" s="381"/>
      <c r="X912" s="381"/>
      <c r="Y912" s="381"/>
      <c r="Z912" s="381"/>
      <c r="AA912" s="381"/>
      <c r="AB912" s="381"/>
      <c r="AC912" s="382"/>
      <c r="AD912" s="382"/>
    </row>
    <row r="913" spans="1:30" ht="12.75" customHeight="1" x14ac:dyDescent="0.2">
      <c r="A913" s="378"/>
      <c r="B913" s="378"/>
      <c r="C913" s="378"/>
      <c r="D913" s="379"/>
      <c r="E913" s="380"/>
      <c r="F913" s="378"/>
      <c r="G913" s="378"/>
      <c r="H913" s="378"/>
      <c r="I913" s="378"/>
      <c r="J913" s="378"/>
      <c r="K913" s="378"/>
      <c r="L913" s="378"/>
      <c r="M913" s="381"/>
      <c r="N913" s="381"/>
      <c r="O913" s="381"/>
      <c r="P913" s="381"/>
      <c r="Q913" s="381"/>
      <c r="R913" s="381"/>
      <c r="S913" s="381"/>
      <c r="T913" s="381"/>
      <c r="U913" s="381"/>
      <c r="V913" s="381"/>
      <c r="W913" s="381"/>
      <c r="X913" s="381"/>
      <c r="Y913" s="381"/>
      <c r="Z913" s="381"/>
      <c r="AA913" s="381"/>
      <c r="AB913" s="381"/>
      <c r="AC913" s="382"/>
      <c r="AD913" s="382"/>
    </row>
    <row r="914" spans="1:30" ht="12.75" customHeight="1" x14ac:dyDescent="0.2">
      <c r="A914" s="378"/>
      <c r="B914" s="378"/>
      <c r="C914" s="378"/>
      <c r="D914" s="379"/>
      <c r="E914" s="380"/>
      <c r="F914" s="378"/>
      <c r="G914" s="378"/>
      <c r="H914" s="378"/>
      <c r="I914" s="378"/>
      <c r="J914" s="378"/>
      <c r="K914" s="378"/>
      <c r="L914" s="378"/>
      <c r="M914" s="381"/>
      <c r="N914" s="381"/>
      <c r="O914" s="381"/>
      <c r="P914" s="381"/>
      <c r="Q914" s="381"/>
      <c r="R914" s="381"/>
      <c r="S914" s="381"/>
      <c r="T914" s="381"/>
      <c r="U914" s="381"/>
      <c r="V914" s="381"/>
      <c r="W914" s="381"/>
      <c r="X914" s="381"/>
      <c r="Y914" s="381"/>
      <c r="Z914" s="381"/>
      <c r="AA914" s="381"/>
      <c r="AB914" s="381"/>
      <c r="AC914" s="382"/>
      <c r="AD914" s="382"/>
    </row>
    <row r="915" spans="1:30" ht="12.75" customHeight="1" x14ac:dyDescent="0.2">
      <c r="A915" s="378"/>
      <c r="B915" s="378"/>
      <c r="C915" s="378"/>
      <c r="D915" s="379"/>
      <c r="E915" s="380"/>
      <c r="F915" s="378"/>
      <c r="G915" s="378"/>
      <c r="H915" s="378"/>
      <c r="I915" s="378"/>
      <c r="J915" s="378"/>
      <c r="K915" s="378"/>
      <c r="L915" s="378"/>
      <c r="M915" s="381"/>
      <c r="N915" s="381"/>
      <c r="O915" s="381"/>
      <c r="P915" s="381"/>
      <c r="Q915" s="381"/>
      <c r="R915" s="381"/>
      <c r="S915" s="381"/>
      <c r="T915" s="381"/>
      <c r="U915" s="381"/>
      <c r="V915" s="381"/>
      <c r="W915" s="381"/>
      <c r="X915" s="381"/>
      <c r="Y915" s="381"/>
      <c r="Z915" s="381"/>
      <c r="AA915" s="381"/>
      <c r="AB915" s="381"/>
      <c r="AC915" s="382"/>
      <c r="AD915" s="382"/>
    </row>
    <row r="916" spans="1:30" ht="12.75" customHeight="1" x14ac:dyDescent="0.2">
      <c r="A916" s="378"/>
      <c r="B916" s="378"/>
      <c r="C916" s="378"/>
      <c r="D916" s="379"/>
      <c r="E916" s="380"/>
      <c r="F916" s="378"/>
      <c r="G916" s="378"/>
      <c r="H916" s="378"/>
      <c r="I916" s="378"/>
      <c r="J916" s="378"/>
      <c r="K916" s="378"/>
      <c r="L916" s="378"/>
      <c r="M916" s="381"/>
      <c r="N916" s="381"/>
      <c r="O916" s="381"/>
      <c r="P916" s="381"/>
      <c r="Q916" s="381"/>
      <c r="R916" s="381"/>
      <c r="S916" s="381"/>
      <c r="T916" s="381"/>
      <c r="U916" s="381"/>
      <c r="V916" s="381"/>
      <c r="W916" s="381"/>
      <c r="X916" s="381"/>
      <c r="Y916" s="381"/>
      <c r="Z916" s="381"/>
      <c r="AA916" s="381"/>
      <c r="AB916" s="381"/>
      <c r="AC916" s="382"/>
      <c r="AD916" s="382"/>
    </row>
    <row r="917" spans="1:30" ht="12.75" customHeight="1" x14ac:dyDescent="0.2">
      <c r="A917" s="378"/>
      <c r="B917" s="378"/>
      <c r="C917" s="378"/>
      <c r="D917" s="379"/>
      <c r="E917" s="380"/>
      <c r="F917" s="378"/>
      <c r="G917" s="378"/>
      <c r="H917" s="378"/>
      <c r="I917" s="378"/>
      <c r="J917" s="378"/>
      <c r="K917" s="378"/>
      <c r="L917" s="378"/>
      <c r="M917" s="381"/>
      <c r="N917" s="381"/>
      <c r="O917" s="381"/>
      <c r="P917" s="381"/>
      <c r="Q917" s="381"/>
      <c r="R917" s="381"/>
      <c r="S917" s="381"/>
      <c r="T917" s="381"/>
      <c r="U917" s="381"/>
      <c r="V917" s="381"/>
      <c r="W917" s="381"/>
      <c r="X917" s="381"/>
      <c r="Y917" s="381"/>
      <c r="Z917" s="381"/>
      <c r="AA917" s="381"/>
      <c r="AB917" s="381"/>
      <c r="AC917" s="382"/>
      <c r="AD917" s="382"/>
    </row>
    <row r="918" spans="1:30" ht="12.75" customHeight="1" x14ac:dyDescent="0.2">
      <c r="A918" s="378"/>
      <c r="B918" s="378"/>
      <c r="C918" s="378"/>
      <c r="D918" s="379"/>
      <c r="E918" s="380"/>
      <c r="F918" s="378"/>
      <c r="G918" s="378"/>
      <c r="H918" s="378"/>
      <c r="I918" s="378"/>
      <c r="J918" s="378"/>
      <c r="K918" s="378"/>
      <c r="L918" s="378"/>
      <c r="M918" s="381"/>
      <c r="N918" s="381"/>
      <c r="O918" s="381"/>
      <c r="P918" s="381"/>
      <c r="Q918" s="381"/>
      <c r="R918" s="381"/>
      <c r="S918" s="381"/>
      <c r="T918" s="381"/>
      <c r="U918" s="381"/>
      <c r="V918" s="381"/>
      <c r="W918" s="381"/>
      <c r="X918" s="381"/>
      <c r="Y918" s="381"/>
      <c r="Z918" s="381"/>
      <c r="AA918" s="381"/>
      <c r="AB918" s="381"/>
      <c r="AC918" s="382"/>
      <c r="AD918" s="382"/>
    </row>
    <row r="919" spans="1:30" ht="12.75" customHeight="1" x14ac:dyDescent="0.2">
      <c r="A919" s="378"/>
      <c r="B919" s="378"/>
      <c r="C919" s="378"/>
      <c r="D919" s="379"/>
      <c r="E919" s="380"/>
      <c r="F919" s="378"/>
      <c r="G919" s="378"/>
      <c r="H919" s="378"/>
      <c r="I919" s="378"/>
      <c r="J919" s="378"/>
      <c r="K919" s="378"/>
      <c r="L919" s="378"/>
      <c r="M919" s="381"/>
      <c r="N919" s="381"/>
      <c r="O919" s="381"/>
      <c r="P919" s="381"/>
      <c r="Q919" s="381"/>
      <c r="R919" s="381"/>
      <c r="S919" s="381"/>
      <c r="T919" s="381"/>
      <c r="U919" s="381"/>
      <c r="V919" s="381"/>
      <c r="W919" s="381"/>
      <c r="X919" s="381"/>
      <c r="Y919" s="381"/>
      <c r="Z919" s="381"/>
      <c r="AA919" s="381"/>
      <c r="AB919" s="381"/>
      <c r="AC919" s="382"/>
      <c r="AD919" s="382"/>
    </row>
    <row r="920" spans="1:30" ht="12.75" customHeight="1" x14ac:dyDescent="0.2">
      <c r="A920" s="378"/>
      <c r="B920" s="378"/>
      <c r="C920" s="378"/>
      <c r="D920" s="379"/>
      <c r="E920" s="380"/>
      <c r="F920" s="378"/>
      <c r="G920" s="378"/>
      <c r="H920" s="378"/>
      <c r="I920" s="378"/>
      <c r="J920" s="378"/>
      <c r="K920" s="378"/>
      <c r="L920" s="378"/>
      <c r="M920" s="381"/>
      <c r="N920" s="381"/>
      <c r="O920" s="381"/>
      <c r="P920" s="381"/>
      <c r="Q920" s="381"/>
      <c r="R920" s="381"/>
      <c r="S920" s="381"/>
      <c r="T920" s="381"/>
      <c r="U920" s="381"/>
      <c r="V920" s="381"/>
      <c r="W920" s="381"/>
      <c r="X920" s="381"/>
      <c r="Y920" s="381"/>
      <c r="Z920" s="381"/>
      <c r="AA920" s="381"/>
      <c r="AB920" s="381"/>
      <c r="AC920" s="382"/>
      <c r="AD920" s="382"/>
    </row>
    <row r="921" spans="1:30" ht="12.75" customHeight="1" x14ac:dyDescent="0.2">
      <c r="A921" s="378"/>
      <c r="B921" s="378"/>
      <c r="C921" s="378"/>
      <c r="D921" s="379"/>
      <c r="E921" s="380"/>
      <c r="F921" s="378"/>
      <c r="G921" s="378"/>
      <c r="H921" s="378"/>
      <c r="I921" s="378"/>
      <c r="J921" s="378"/>
      <c r="K921" s="378"/>
      <c r="L921" s="378"/>
      <c r="M921" s="381"/>
      <c r="N921" s="381"/>
      <c r="O921" s="381"/>
      <c r="P921" s="381"/>
      <c r="Q921" s="381"/>
      <c r="R921" s="381"/>
      <c r="S921" s="381"/>
      <c r="T921" s="381"/>
      <c r="U921" s="381"/>
      <c r="V921" s="381"/>
      <c r="W921" s="381"/>
      <c r="X921" s="381"/>
      <c r="Y921" s="381"/>
      <c r="Z921" s="381"/>
      <c r="AA921" s="381"/>
      <c r="AB921" s="381"/>
      <c r="AC921" s="382"/>
      <c r="AD921" s="382"/>
    </row>
    <row r="922" spans="1:30" ht="12.75" customHeight="1" x14ac:dyDescent="0.2">
      <c r="A922" s="378"/>
      <c r="B922" s="378"/>
      <c r="C922" s="378"/>
      <c r="D922" s="379"/>
      <c r="E922" s="380"/>
      <c r="F922" s="378"/>
      <c r="G922" s="378"/>
      <c r="H922" s="378"/>
      <c r="I922" s="378"/>
      <c r="J922" s="378"/>
      <c r="K922" s="378"/>
      <c r="L922" s="378"/>
      <c r="M922" s="381"/>
      <c r="N922" s="381"/>
      <c r="O922" s="381"/>
      <c r="P922" s="381"/>
      <c r="Q922" s="381"/>
      <c r="R922" s="381"/>
      <c r="S922" s="381"/>
      <c r="T922" s="381"/>
      <c r="U922" s="381"/>
      <c r="V922" s="381"/>
      <c r="W922" s="381"/>
      <c r="X922" s="381"/>
      <c r="Y922" s="381"/>
      <c r="Z922" s="381"/>
      <c r="AA922" s="381"/>
      <c r="AB922" s="381"/>
      <c r="AC922" s="382"/>
      <c r="AD922" s="382"/>
    </row>
    <row r="923" spans="1:30" ht="12.75" customHeight="1" x14ac:dyDescent="0.2">
      <c r="A923" s="378"/>
      <c r="B923" s="378"/>
      <c r="C923" s="378"/>
      <c r="D923" s="379"/>
      <c r="E923" s="380"/>
      <c r="F923" s="378"/>
      <c r="G923" s="378"/>
      <c r="H923" s="378"/>
      <c r="I923" s="378"/>
      <c r="J923" s="378"/>
      <c r="K923" s="378"/>
      <c r="L923" s="378"/>
      <c r="M923" s="381"/>
      <c r="N923" s="381"/>
      <c r="O923" s="381"/>
      <c r="P923" s="381"/>
      <c r="Q923" s="381"/>
      <c r="R923" s="381"/>
      <c r="S923" s="381"/>
      <c r="T923" s="381"/>
      <c r="U923" s="381"/>
      <c r="V923" s="381"/>
      <c r="W923" s="381"/>
      <c r="X923" s="381"/>
      <c r="Y923" s="381"/>
      <c r="Z923" s="381"/>
      <c r="AA923" s="381"/>
      <c r="AB923" s="381"/>
      <c r="AC923" s="382"/>
      <c r="AD923" s="382"/>
    </row>
    <row r="924" spans="1:30" ht="12.75" customHeight="1" x14ac:dyDescent="0.2">
      <c r="A924" s="378"/>
      <c r="B924" s="378"/>
      <c r="C924" s="378"/>
      <c r="D924" s="379"/>
      <c r="E924" s="380"/>
      <c r="F924" s="378"/>
      <c r="G924" s="378"/>
      <c r="H924" s="378"/>
      <c r="I924" s="378"/>
      <c r="J924" s="378"/>
      <c r="K924" s="378"/>
      <c r="L924" s="378"/>
      <c r="M924" s="381"/>
      <c r="N924" s="381"/>
      <c r="O924" s="381"/>
      <c r="P924" s="381"/>
      <c r="Q924" s="381"/>
      <c r="R924" s="381"/>
      <c r="S924" s="381"/>
      <c r="T924" s="381"/>
      <c r="U924" s="381"/>
      <c r="V924" s="381"/>
      <c r="W924" s="381"/>
      <c r="X924" s="381"/>
      <c r="Y924" s="381"/>
      <c r="Z924" s="381"/>
      <c r="AA924" s="381"/>
      <c r="AB924" s="381"/>
      <c r="AC924" s="382"/>
      <c r="AD924" s="382"/>
    </row>
    <row r="925" spans="1:30" ht="12.75" customHeight="1" x14ac:dyDescent="0.2">
      <c r="A925" s="378"/>
      <c r="B925" s="378"/>
      <c r="C925" s="378"/>
      <c r="D925" s="379"/>
      <c r="E925" s="380"/>
      <c r="F925" s="378"/>
      <c r="G925" s="378"/>
      <c r="H925" s="378"/>
      <c r="I925" s="378"/>
      <c r="J925" s="378"/>
      <c r="K925" s="378"/>
      <c r="L925" s="378"/>
      <c r="M925" s="381"/>
      <c r="N925" s="381"/>
      <c r="O925" s="381"/>
      <c r="P925" s="381"/>
      <c r="Q925" s="381"/>
      <c r="R925" s="381"/>
      <c r="S925" s="381"/>
      <c r="T925" s="381"/>
      <c r="U925" s="381"/>
      <c r="V925" s="381"/>
      <c r="W925" s="381"/>
      <c r="X925" s="381"/>
      <c r="Y925" s="381"/>
      <c r="Z925" s="381"/>
      <c r="AA925" s="381"/>
      <c r="AB925" s="381"/>
      <c r="AC925" s="382"/>
      <c r="AD925" s="382"/>
    </row>
    <row r="926" spans="1:30" ht="12.75" customHeight="1" x14ac:dyDescent="0.2">
      <c r="A926" s="378"/>
      <c r="B926" s="378"/>
      <c r="C926" s="378"/>
      <c r="D926" s="379"/>
      <c r="E926" s="380"/>
      <c r="F926" s="378"/>
      <c r="G926" s="378"/>
      <c r="H926" s="378"/>
      <c r="I926" s="378"/>
      <c r="J926" s="378"/>
      <c r="K926" s="378"/>
      <c r="L926" s="378"/>
      <c r="M926" s="381"/>
      <c r="N926" s="381"/>
      <c r="O926" s="381"/>
      <c r="P926" s="381"/>
      <c r="Q926" s="381"/>
      <c r="R926" s="381"/>
      <c r="S926" s="381"/>
      <c r="T926" s="381"/>
      <c r="U926" s="381"/>
      <c r="V926" s="381"/>
      <c r="W926" s="381"/>
      <c r="X926" s="381"/>
      <c r="Y926" s="381"/>
      <c r="Z926" s="381"/>
      <c r="AA926" s="381"/>
      <c r="AB926" s="381"/>
      <c r="AC926" s="382"/>
      <c r="AD926" s="382"/>
    </row>
    <row r="927" spans="1:30" ht="12.75" customHeight="1" x14ac:dyDescent="0.2">
      <c r="A927" s="378"/>
      <c r="B927" s="378"/>
      <c r="C927" s="378"/>
      <c r="D927" s="379"/>
      <c r="E927" s="380"/>
      <c r="F927" s="378"/>
      <c r="G927" s="378"/>
      <c r="H927" s="378"/>
      <c r="I927" s="378"/>
      <c r="J927" s="378"/>
      <c r="K927" s="378"/>
      <c r="L927" s="378"/>
      <c r="M927" s="381"/>
      <c r="N927" s="381"/>
      <c r="O927" s="381"/>
      <c r="P927" s="381"/>
      <c r="Q927" s="381"/>
      <c r="R927" s="381"/>
      <c r="S927" s="381"/>
      <c r="T927" s="381"/>
      <c r="U927" s="381"/>
      <c r="V927" s="381"/>
      <c r="W927" s="381"/>
      <c r="X927" s="381"/>
      <c r="Y927" s="381"/>
      <c r="Z927" s="381"/>
      <c r="AA927" s="381"/>
      <c r="AB927" s="381"/>
      <c r="AC927" s="382"/>
      <c r="AD927" s="382"/>
    </row>
    <row r="928" spans="1:30" ht="12.75" customHeight="1" x14ac:dyDescent="0.2">
      <c r="A928" s="378"/>
      <c r="B928" s="378"/>
      <c r="C928" s="378"/>
      <c r="D928" s="379"/>
      <c r="E928" s="380"/>
      <c r="F928" s="378"/>
      <c r="G928" s="378"/>
      <c r="H928" s="378"/>
      <c r="I928" s="378"/>
      <c r="J928" s="378"/>
      <c r="K928" s="378"/>
      <c r="L928" s="378"/>
      <c r="M928" s="381"/>
      <c r="N928" s="381"/>
      <c r="O928" s="381"/>
      <c r="P928" s="381"/>
      <c r="Q928" s="381"/>
      <c r="R928" s="381"/>
      <c r="S928" s="381"/>
      <c r="T928" s="381"/>
      <c r="U928" s="381"/>
      <c r="V928" s="381"/>
      <c r="W928" s="381"/>
      <c r="X928" s="381"/>
      <c r="Y928" s="381"/>
      <c r="Z928" s="381"/>
      <c r="AA928" s="381"/>
      <c r="AB928" s="381"/>
      <c r="AC928" s="382"/>
      <c r="AD928" s="382"/>
    </row>
    <row r="929" spans="1:30" ht="12.75" customHeight="1" x14ac:dyDescent="0.2">
      <c r="A929" s="378"/>
      <c r="B929" s="378"/>
      <c r="C929" s="378"/>
      <c r="D929" s="379"/>
      <c r="E929" s="380"/>
      <c r="F929" s="378"/>
      <c r="G929" s="378"/>
      <c r="H929" s="378"/>
      <c r="I929" s="378"/>
      <c r="J929" s="378"/>
      <c r="K929" s="378"/>
      <c r="L929" s="378"/>
      <c r="M929" s="381"/>
      <c r="N929" s="381"/>
      <c r="O929" s="381"/>
      <c r="P929" s="381"/>
      <c r="Q929" s="381"/>
      <c r="R929" s="381"/>
      <c r="S929" s="381"/>
      <c r="T929" s="381"/>
      <c r="U929" s="381"/>
      <c r="V929" s="381"/>
      <c r="W929" s="381"/>
      <c r="X929" s="381"/>
      <c r="Y929" s="381"/>
      <c r="Z929" s="381"/>
      <c r="AA929" s="381"/>
      <c r="AB929" s="381"/>
      <c r="AC929" s="382"/>
      <c r="AD929" s="382"/>
    </row>
    <row r="930" spans="1:30" ht="12.75" customHeight="1" x14ac:dyDescent="0.2">
      <c r="A930" s="378"/>
      <c r="B930" s="378"/>
      <c r="C930" s="378"/>
      <c r="D930" s="379"/>
      <c r="E930" s="380"/>
      <c r="F930" s="378"/>
      <c r="G930" s="378"/>
      <c r="H930" s="378"/>
      <c r="I930" s="378"/>
      <c r="J930" s="378"/>
      <c r="K930" s="378"/>
      <c r="L930" s="378"/>
      <c r="M930" s="381"/>
      <c r="N930" s="381"/>
      <c r="O930" s="381"/>
      <c r="P930" s="381"/>
      <c r="Q930" s="381"/>
      <c r="R930" s="381"/>
      <c r="S930" s="381"/>
      <c r="T930" s="381"/>
      <c r="U930" s="381"/>
      <c r="V930" s="381"/>
      <c r="W930" s="381"/>
      <c r="X930" s="381"/>
      <c r="Y930" s="381"/>
      <c r="Z930" s="381"/>
      <c r="AA930" s="381"/>
      <c r="AB930" s="381"/>
      <c r="AC930" s="382"/>
      <c r="AD930" s="382"/>
    </row>
    <row r="931" spans="1:30" ht="12.75" customHeight="1" x14ac:dyDescent="0.2">
      <c r="A931" s="378"/>
      <c r="B931" s="378"/>
      <c r="C931" s="378"/>
      <c r="D931" s="379"/>
      <c r="E931" s="380"/>
      <c r="F931" s="378"/>
      <c r="G931" s="378"/>
      <c r="H931" s="378"/>
      <c r="I931" s="378"/>
      <c r="J931" s="378"/>
      <c r="K931" s="378"/>
      <c r="L931" s="378"/>
      <c r="M931" s="381"/>
      <c r="N931" s="381"/>
      <c r="O931" s="381"/>
      <c r="P931" s="381"/>
      <c r="Q931" s="381"/>
      <c r="R931" s="381"/>
      <c r="S931" s="381"/>
      <c r="T931" s="381"/>
      <c r="U931" s="381"/>
      <c r="V931" s="381"/>
      <c r="W931" s="381"/>
      <c r="X931" s="381"/>
      <c r="Y931" s="381"/>
      <c r="Z931" s="381"/>
      <c r="AA931" s="381"/>
      <c r="AB931" s="381"/>
      <c r="AC931" s="382"/>
      <c r="AD931" s="382"/>
    </row>
    <row r="932" spans="1:30" ht="12.75" customHeight="1" x14ac:dyDescent="0.2">
      <c r="A932" s="378"/>
      <c r="B932" s="378"/>
      <c r="C932" s="378"/>
      <c r="D932" s="379"/>
      <c r="E932" s="380"/>
      <c r="F932" s="378"/>
      <c r="G932" s="378"/>
      <c r="H932" s="378"/>
      <c r="I932" s="378"/>
      <c r="J932" s="378"/>
      <c r="K932" s="378"/>
      <c r="L932" s="378"/>
      <c r="M932" s="381"/>
      <c r="N932" s="381"/>
      <c r="O932" s="381"/>
      <c r="P932" s="381"/>
      <c r="Q932" s="381"/>
      <c r="R932" s="381"/>
      <c r="S932" s="381"/>
      <c r="T932" s="381"/>
      <c r="U932" s="381"/>
      <c r="V932" s="381"/>
      <c r="W932" s="381"/>
      <c r="X932" s="381"/>
      <c r="Y932" s="381"/>
      <c r="Z932" s="381"/>
      <c r="AA932" s="381"/>
      <c r="AB932" s="381"/>
      <c r="AC932" s="382"/>
      <c r="AD932" s="382"/>
    </row>
    <row r="933" spans="1:30" ht="12.75" customHeight="1" x14ac:dyDescent="0.2">
      <c r="A933" s="378"/>
      <c r="B933" s="378"/>
      <c r="C933" s="378"/>
      <c r="D933" s="379"/>
      <c r="E933" s="380"/>
      <c r="F933" s="378"/>
      <c r="G933" s="378"/>
      <c r="H933" s="378"/>
      <c r="I933" s="378"/>
      <c r="J933" s="378"/>
      <c r="K933" s="378"/>
      <c r="L933" s="378"/>
      <c r="M933" s="381"/>
      <c r="N933" s="381"/>
      <c r="O933" s="381"/>
      <c r="P933" s="381"/>
      <c r="Q933" s="381"/>
      <c r="R933" s="381"/>
      <c r="S933" s="381"/>
      <c r="T933" s="381"/>
      <c r="U933" s="381"/>
      <c r="V933" s="381"/>
      <c r="W933" s="381"/>
      <c r="X933" s="381"/>
      <c r="Y933" s="381"/>
      <c r="Z933" s="381"/>
      <c r="AA933" s="381"/>
      <c r="AB933" s="381"/>
      <c r="AC933" s="382"/>
      <c r="AD933" s="382"/>
    </row>
    <row r="934" spans="1:30" ht="12.75" customHeight="1" x14ac:dyDescent="0.2">
      <c r="A934" s="378"/>
      <c r="B934" s="378"/>
      <c r="C934" s="378"/>
      <c r="D934" s="379"/>
      <c r="E934" s="380"/>
      <c r="F934" s="378"/>
      <c r="G934" s="378"/>
      <c r="H934" s="378"/>
      <c r="I934" s="378"/>
      <c r="J934" s="378"/>
      <c r="K934" s="378"/>
      <c r="L934" s="378"/>
      <c r="M934" s="381"/>
      <c r="N934" s="381"/>
      <c r="O934" s="381"/>
      <c r="P934" s="381"/>
      <c r="Q934" s="381"/>
      <c r="R934" s="381"/>
      <c r="S934" s="381"/>
      <c r="T934" s="381"/>
      <c r="U934" s="381"/>
      <c r="V934" s="381"/>
      <c r="W934" s="381"/>
      <c r="X934" s="381"/>
      <c r="Y934" s="381"/>
      <c r="Z934" s="381"/>
      <c r="AA934" s="381"/>
      <c r="AB934" s="381"/>
      <c r="AC934" s="382"/>
      <c r="AD934" s="382"/>
    </row>
    <row r="935" spans="1:30" ht="12.75" customHeight="1" x14ac:dyDescent="0.2">
      <c r="A935" s="378"/>
      <c r="B935" s="378"/>
      <c r="C935" s="378"/>
      <c r="D935" s="379"/>
      <c r="E935" s="380"/>
      <c r="F935" s="378"/>
      <c r="G935" s="378"/>
      <c r="H935" s="378"/>
      <c r="I935" s="378"/>
      <c r="J935" s="378"/>
      <c r="K935" s="378"/>
      <c r="L935" s="378"/>
      <c r="M935" s="381"/>
      <c r="N935" s="381"/>
      <c r="O935" s="381"/>
      <c r="P935" s="381"/>
      <c r="Q935" s="381"/>
      <c r="R935" s="381"/>
      <c r="S935" s="381"/>
      <c r="T935" s="381"/>
      <c r="U935" s="381"/>
      <c r="V935" s="381"/>
      <c r="W935" s="381"/>
      <c r="X935" s="381"/>
      <c r="Y935" s="381"/>
      <c r="Z935" s="381"/>
      <c r="AA935" s="381"/>
      <c r="AB935" s="381"/>
      <c r="AC935" s="382"/>
      <c r="AD935" s="382"/>
    </row>
    <row r="936" spans="1:30" ht="12.75" customHeight="1" x14ac:dyDescent="0.2">
      <c r="A936" s="378"/>
      <c r="B936" s="378"/>
      <c r="C936" s="378"/>
      <c r="D936" s="379"/>
      <c r="E936" s="380"/>
      <c r="F936" s="378"/>
      <c r="G936" s="378"/>
      <c r="H936" s="378"/>
      <c r="I936" s="378"/>
      <c r="J936" s="378"/>
      <c r="K936" s="378"/>
      <c r="L936" s="378"/>
      <c r="M936" s="381"/>
      <c r="N936" s="381"/>
      <c r="O936" s="381"/>
      <c r="P936" s="381"/>
      <c r="Q936" s="381"/>
      <c r="R936" s="381"/>
      <c r="S936" s="381"/>
      <c r="T936" s="381"/>
      <c r="U936" s="381"/>
      <c r="V936" s="381"/>
      <c r="W936" s="381"/>
      <c r="X936" s="381"/>
      <c r="Y936" s="381"/>
      <c r="Z936" s="381"/>
      <c r="AA936" s="381"/>
      <c r="AB936" s="381"/>
      <c r="AC936" s="382"/>
      <c r="AD936" s="382"/>
    </row>
    <row r="937" spans="1:30" ht="12.75" customHeight="1" x14ac:dyDescent="0.2">
      <c r="A937" s="378"/>
      <c r="B937" s="378"/>
      <c r="C937" s="378"/>
      <c r="D937" s="379"/>
      <c r="E937" s="380"/>
      <c r="F937" s="378"/>
      <c r="G937" s="378"/>
      <c r="H937" s="378"/>
      <c r="I937" s="378"/>
      <c r="J937" s="378"/>
      <c r="K937" s="378"/>
      <c r="L937" s="378"/>
      <c r="M937" s="381"/>
      <c r="N937" s="381"/>
      <c r="O937" s="381"/>
      <c r="P937" s="381"/>
      <c r="Q937" s="381"/>
      <c r="R937" s="381"/>
      <c r="S937" s="381"/>
      <c r="T937" s="381"/>
      <c r="U937" s="381"/>
      <c r="V937" s="381"/>
      <c r="W937" s="381"/>
      <c r="X937" s="381"/>
      <c r="Y937" s="381"/>
      <c r="Z937" s="381"/>
      <c r="AA937" s="381"/>
      <c r="AB937" s="381"/>
      <c r="AC937" s="382"/>
      <c r="AD937" s="382"/>
    </row>
    <row r="938" spans="1:30" ht="12.75" customHeight="1" x14ac:dyDescent="0.2">
      <c r="A938" s="378"/>
      <c r="B938" s="378"/>
      <c r="C938" s="378"/>
      <c r="D938" s="379"/>
      <c r="E938" s="380"/>
      <c r="F938" s="378"/>
      <c r="G938" s="378"/>
      <c r="H938" s="378"/>
      <c r="I938" s="378"/>
      <c r="J938" s="378"/>
      <c r="K938" s="378"/>
      <c r="L938" s="378"/>
      <c r="M938" s="381"/>
      <c r="N938" s="381"/>
      <c r="O938" s="381"/>
      <c r="P938" s="381"/>
      <c r="Q938" s="381"/>
      <c r="R938" s="381"/>
      <c r="S938" s="381"/>
      <c r="T938" s="381"/>
      <c r="U938" s="381"/>
      <c r="V938" s="381"/>
      <c r="W938" s="381"/>
      <c r="X938" s="381"/>
      <c r="Y938" s="381"/>
      <c r="Z938" s="381"/>
      <c r="AA938" s="381"/>
      <c r="AB938" s="381"/>
      <c r="AC938" s="382"/>
      <c r="AD938" s="382"/>
    </row>
    <row r="939" spans="1:30" ht="12.75" customHeight="1" x14ac:dyDescent="0.2">
      <c r="A939" s="378"/>
      <c r="B939" s="378"/>
      <c r="C939" s="378"/>
      <c r="D939" s="379"/>
      <c r="E939" s="380"/>
      <c r="F939" s="378"/>
      <c r="G939" s="378"/>
      <c r="H939" s="378"/>
      <c r="I939" s="378"/>
      <c r="J939" s="378"/>
      <c r="K939" s="378"/>
      <c r="L939" s="378"/>
      <c r="M939" s="381"/>
      <c r="N939" s="381"/>
      <c r="O939" s="381"/>
      <c r="P939" s="381"/>
      <c r="Q939" s="381"/>
      <c r="R939" s="381"/>
      <c r="S939" s="381"/>
      <c r="T939" s="381"/>
      <c r="U939" s="381"/>
      <c r="V939" s="381"/>
      <c r="W939" s="381"/>
      <c r="X939" s="381"/>
      <c r="Y939" s="381"/>
      <c r="Z939" s="381"/>
      <c r="AA939" s="381"/>
      <c r="AB939" s="381"/>
      <c r="AC939" s="382"/>
      <c r="AD939" s="382"/>
    </row>
    <row r="940" spans="1:30" ht="12.75" customHeight="1" x14ac:dyDescent="0.2">
      <c r="A940" s="378"/>
      <c r="B940" s="378"/>
      <c r="C940" s="378"/>
      <c r="D940" s="379"/>
      <c r="E940" s="380"/>
      <c r="F940" s="378"/>
      <c r="G940" s="378"/>
      <c r="H940" s="378"/>
      <c r="I940" s="378"/>
      <c r="J940" s="378"/>
      <c r="K940" s="378"/>
      <c r="L940" s="378"/>
      <c r="M940" s="381"/>
      <c r="N940" s="381"/>
      <c r="O940" s="381"/>
      <c r="P940" s="381"/>
      <c r="Q940" s="381"/>
      <c r="R940" s="381"/>
      <c r="S940" s="381"/>
      <c r="T940" s="381"/>
      <c r="U940" s="381"/>
      <c r="V940" s="381"/>
      <c r="W940" s="381"/>
      <c r="X940" s="381"/>
      <c r="Y940" s="381"/>
      <c r="Z940" s="381"/>
      <c r="AA940" s="381"/>
      <c r="AB940" s="381"/>
      <c r="AC940" s="382"/>
      <c r="AD940" s="382"/>
    </row>
    <row r="941" spans="1:30" ht="12.75" customHeight="1" x14ac:dyDescent="0.2">
      <c r="A941" s="378"/>
      <c r="B941" s="378"/>
      <c r="C941" s="378"/>
      <c r="D941" s="379"/>
      <c r="E941" s="380"/>
      <c r="F941" s="378"/>
      <c r="G941" s="378"/>
      <c r="H941" s="378"/>
      <c r="I941" s="378"/>
      <c r="J941" s="378"/>
      <c r="K941" s="378"/>
      <c r="L941" s="378"/>
      <c r="M941" s="381"/>
      <c r="N941" s="381"/>
      <c r="O941" s="381"/>
      <c r="P941" s="381"/>
      <c r="Q941" s="381"/>
      <c r="R941" s="381"/>
      <c r="S941" s="381"/>
      <c r="T941" s="381"/>
      <c r="U941" s="381"/>
      <c r="V941" s="381"/>
      <c r="W941" s="381"/>
      <c r="X941" s="381"/>
      <c r="Y941" s="381"/>
      <c r="Z941" s="381"/>
      <c r="AA941" s="381"/>
      <c r="AB941" s="381"/>
      <c r="AC941" s="382"/>
      <c r="AD941" s="382"/>
    </row>
    <row r="942" spans="1:30" ht="12.75" customHeight="1" x14ac:dyDescent="0.2">
      <c r="A942" s="378"/>
      <c r="B942" s="378"/>
      <c r="C942" s="378"/>
      <c r="D942" s="379"/>
      <c r="E942" s="380"/>
      <c r="F942" s="378"/>
      <c r="G942" s="378"/>
      <c r="H942" s="378"/>
      <c r="I942" s="378"/>
      <c r="J942" s="378"/>
      <c r="K942" s="378"/>
      <c r="L942" s="378"/>
      <c r="M942" s="381"/>
      <c r="N942" s="381"/>
      <c r="O942" s="381"/>
      <c r="P942" s="381"/>
      <c r="Q942" s="381"/>
      <c r="R942" s="381"/>
      <c r="S942" s="381"/>
      <c r="T942" s="381"/>
      <c r="U942" s="381"/>
      <c r="V942" s="381"/>
      <c r="W942" s="381"/>
      <c r="X942" s="381"/>
      <c r="Y942" s="381"/>
      <c r="Z942" s="381"/>
      <c r="AA942" s="381"/>
      <c r="AB942" s="381"/>
      <c r="AC942" s="382"/>
      <c r="AD942" s="382"/>
    </row>
    <row r="943" spans="1:30" ht="12.75" customHeight="1" x14ac:dyDescent="0.2">
      <c r="A943" s="378"/>
      <c r="B943" s="378"/>
      <c r="C943" s="378"/>
      <c r="D943" s="379"/>
      <c r="E943" s="380"/>
      <c r="F943" s="378"/>
      <c r="G943" s="378"/>
      <c r="H943" s="378"/>
      <c r="I943" s="378"/>
      <c r="J943" s="378"/>
      <c r="K943" s="378"/>
      <c r="L943" s="378"/>
      <c r="M943" s="381"/>
      <c r="N943" s="381"/>
      <c r="O943" s="381"/>
      <c r="P943" s="381"/>
      <c r="Q943" s="381"/>
      <c r="R943" s="381"/>
      <c r="S943" s="381"/>
      <c r="T943" s="381"/>
      <c r="U943" s="381"/>
      <c r="V943" s="381"/>
      <c r="W943" s="381"/>
      <c r="X943" s="381"/>
      <c r="Y943" s="381"/>
      <c r="Z943" s="381"/>
      <c r="AA943" s="381"/>
      <c r="AB943" s="381"/>
      <c r="AC943" s="382"/>
      <c r="AD943" s="382"/>
    </row>
    <row r="944" spans="1:30" ht="12.75" customHeight="1" x14ac:dyDescent="0.2">
      <c r="A944" s="378"/>
      <c r="B944" s="378"/>
      <c r="C944" s="378"/>
      <c r="D944" s="379"/>
      <c r="E944" s="380"/>
      <c r="F944" s="378"/>
      <c r="G944" s="378"/>
      <c r="H944" s="378"/>
      <c r="I944" s="378"/>
      <c r="J944" s="378"/>
      <c r="K944" s="378"/>
      <c r="L944" s="378"/>
      <c r="M944" s="381"/>
      <c r="N944" s="381"/>
      <c r="O944" s="381"/>
      <c r="P944" s="381"/>
      <c r="Q944" s="381"/>
      <c r="R944" s="381"/>
      <c r="S944" s="381"/>
      <c r="T944" s="381"/>
      <c r="U944" s="381"/>
      <c r="V944" s="381"/>
      <c r="W944" s="381"/>
      <c r="X944" s="381"/>
      <c r="Y944" s="381"/>
      <c r="Z944" s="381"/>
      <c r="AA944" s="381"/>
      <c r="AB944" s="381"/>
      <c r="AC944" s="382"/>
      <c r="AD944" s="382"/>
    </row>
    <row r="945" spans="1:30" ht="12.75" customHeight="1" x14ac:dyDescent="0.2">
      <c r="A945" s="378"/>
      <c r="B945" s="378"/>
      <c r="C945" s="378"/>
      <c r="D945" s="379"/>
      <c r="E945" s="380"/>
      <c r="F945" s="378"/>
      <c r="G945" s="378"/>
      <c r="H945" s="378"/>
      <c r="I945" s="378"/>
      <c r="J945" s="378"/>
      <c r="K945" s="378"/>
      <c r="L945" s="378"/>
      <c r="M945" s="381"/>
      <c r="N945" s="381"/>
      <c r="O945" s="381"/>
      <c r="P945" s="381"/>
      <c r="Q945" s="381"/>
      <c r="R945" s="381"/>
      <c r="S945" s="381"/>
      <c r="T945" s="381"/>
      <c r="U945" s="381"/>
      <c r="V945" s="381"/>
      <c r="W945" s="381"/>
      <c r="X945" s="381"/>
      <c r="Y945" s="381"/>
      <c r="Z945" s="381"/>
      <c r="AA945" s="381"/>
      <c r="AB945" s="381"/>
      <c r="AC945" s="382"/>
      <c r="AD945" s="382"/>
    </row>
    <row r="946" spans="1:30" ht="12.75" customHeight="1" x14ac:dyDescent="0.2">
      <c r="A946" s="378"/>
      <c r="B946" s="378"/>
      <c r="C946" s="378"/>
      <c r="D946" s="379"/>
      <c r="E946" s="380"/>
      <c r="F946" s="378"/>
      <c r="G946" s="378"/>
      <c r="H946" s="378"/>
      <c r="I946" s="378"/>
      <c r="J946" s="378"/>
      <c r="K946" s="378"/>
      <c r="L946" s="378"/>
      <c r="M946" s="381"/>
      <c r="N946" s="381"/>
      <c r="O946" s="381"/>
      <c r="P946" s="381"/>
      <c r="Q946" s="381"/>
      <c r="R946" s="381"/>
      <c r="S946" s="381"/>
      <c r="T946" s="381"/>
      <c r="U946" s="381"/>
      <c r="V946" s="381"/>
      <c r="W946" s="381"/>
      <c r="X946" s="381"/>
      <c r="Y946" s="381"/>
      <c r="Z946" s="381"/>
      <c r="AA946" s="381"/>
      <c r="AB946" s="381"/>
      <c r="AC946" s="382"/>
      <c r="AD946" s="382"/>
    </row>
    <row r="947" spans="1:30" ht="12.75" customHeight="1" x14ac:dyDescent="0.2">
      <c r="A947" s="378"/>
      <c r="B947" s="378"/>
      <c r="C947" s="378"/>
      <c r="D947" s="379"/>
      <c r="E947" s="380"/>
      <c r="F947" s="378"/>
      <c r="G947" s="378"/>
      <c r="H947" s="378"/>
      <c r="I947" s="378"/>
      <c r="J947" s="378"/>
      <c r="K947" s="378"/>
      <c r="L947" s="378"/>
      <c r="M947" s="381"/>
      <c r="N947" s="381"/>
      <c r="O947" s="381"/>
      <c r="P947" s="381"/>
      <c r="Q947" s="381"/>
      <c r="R947" s="381"/>
      <c r="S947" s="381"/>
      <c r="T947" s="381"/>
      <c r="U947" s="381"/>
      <c r="V947" s="381"/>
      <c r="W947" s="381"/>
      <c r="X947" s="381"/>
      <c r="Y947" s="381"/>
      <c r="Z947" s="381"/>
      <c r="AA947" s="381"/>
      <c r="AB947" s="381"/>
      <c r="AC947" s="382"/>
      <c r="AD947" s="382"/>
    </row>
    <row r="948" spans="1:30" ht="12.75" customHeight="1" x14ac:dyDescent="0.2">
      <c r="A948" s="378"/>
      <c r="B948" s="378"/>
      <c r="C948" s="378"/>
      <c r="D948" s="379"/>
      <c r="E948" s="380"/>
      <c r="F948" s="378"/>
      <c r="G948" s="378"/>
      <c r="H948" s="378"/>
      <c r="I948" s="378"/>
      <c r="J948" s="378"/>
      <c r="K948" s="378"/>
      <c r="L948" s="378"/>
      <c r="M948" s="381"/>
      <c r="N948" s="381"/>
      <c r="O948" s="381"/>
      <c r="P948" s="381"/>
      <c r="Q948" s="381"/>
      <c r="R948" s="381"/>
      <c r="S948" s="381"/>
      <c r="T948" s="381"/>
      <c r="U948" s="381"/>
      <c r="V948" s="381"/>
      <c r="W948" s="381"/>
      <c r="X948" s="381"/>
      <c r="Y948" s="381"/>
      <c r="Z948" s="381"/>
      <c r="AA948" s="381"/>
      <c r="AB948" s="381"/>
      <c r="AC948" s="382"/>
      <c r="AD948" s="382"/>
    </row>
    <row r="949" spans="1:30" ht="12.75" customHeight="1" x14ac:dyDescent="0.2">
      <c r="A949" s="378"/>
      <c r="B949" s="378"/>
      <c r="C949" s="378"/>
      <c r="D949" s="379"/>
      <c r="E949" s="380"/>
      <c r="F949" s="378"/>
      <c r="G949" s="378"/>
      <c r="H949" s="378"/>
      <c r="I949" s="378"/>
      <c r="J949" s="378"/>
      <c r="K949" s="378"/>
      <c r="L949" s="378"/>
      <c r="M949" s="381"/>
      <c r="N949" s="381"/>
      <c r="O949" s="381"/>
      <c r="P949" s="381"/>
      <c r="Q949" s="381"/>
      <c r="R949" s="381"/>
      <c r="S949" s="381"/>
      <c r="T949" s="381"/>
      <c r="U949" s="381"/>
      <c r="V949" s="381"/>
      <c r="W949" s="381"/>
      <c r="X949" s="381"/>
      <c r="Y949" s="381"/>
      <c r="Z949" s="381"/>
      <c r="AA949" s="381"/>
      <c r="AB949" s="381"/>
      <c r="AC949" s="382"/>
      <c r="AD949" s="382"/>
    </row>
    <row r="950" spans="1:30" ht="12.75" customHeight="1" x14ac:dyDescent="0.2">
      <c r="A950" s="378"/>
      <c r="B950" s="378"/>
      <c r="C950" s="378"/>
      <c r="D950" s="379"/>
      <c r="E950" s="380"/>
      <c r="F950" s="378"/>
      <c r="G950" s="378"/>
      <c r="H950" s="378"/>
      <c r="I950" s="378"/>
      <c r="J950" s="378"/>
      <c r="K950" s="378"/>
      <c r="L950" s="378"/>
      <c r="M950" s="381"/>
      <c r="N950" s="381"/>
      <c r="O950" s="381"/>
      <c r="P950" s="381"/>
      <c r="Q950" s="381"/>
      <c r="R950" s="381"/>
      <c r="S950" s="381"/>
      <c r="T950" s="381"/>
      <c r="U950" s="381"/>
      <c r="V950" s="381"/>
      <c r="W950" s="381"/>
      <c r="X950" s="381"/>
      <c r="Y950" s="381"/>
      <c r="Z950" s="381"/>
      <c r="AA950" s="381"/>
      <c r="AB950" s="381"/>
      <c r="AC950" s="382"/>
      <c r="AD950" s="382"/>
    </row>
    <row r="951" spans="1:30" ht="12.75" customHeight="1" x14ac:dyDescent="0.2">
      <c r="A951" s="378"/>
      <c r="B951" s="378"/>
      <c r="C951" s="378"/>
      <c r="D951" s="379"/>
      <c r="E951" s="380"/>
      <c r="F951" s="378"/>
      <c r="G951" s="378"/>
      <c r="H951" s="378"/>
      <c r="I951" s="378"/>
      <c r="J951" s="378"/>
      <c r="K951" s="378"/>
      <c r="L951" s="378"/>
      <c r="M951" s="381"/>
      <c r="N951" s="381"/>
      <c r="O951" s="381"/>
      <c r="P951" s="381"/>
      <c r="Q951" s="381"/>
      <c r="R951" s="381"/>
      <c r="S951" s="381"/>
      <c r="T951" s="381"/>
      <c r="U951" s="381"/>
      <c r="V951" s="381"/>
      <c r="W951" s="381"/>
      <c r="X951" s="381"/>
      <c r="Y951" s="381"/>
      <c r="Z951" s="381"/>
      <c r="AA951" s="381"/>
      <c r="AB951" s="381"/>
      <c r="AC951" s="382"/>
      <c r="AD951" s="382"/>
    </row>
    <row r="952" spans="1:30" ht="12.75" customHeight="1" x14ac:dyDescent="0.2">
      <c r="A952" s="378"/>
      <c r="B952" s="378"/>
      <c r="C952" s="378"/>
      <c r="D952" s="379"/>
      <c r="E952" s="380"/>
      <c r="F952" s="378"/>
      <c r="G952" s="378"/>
      <c r="H952" s="378"/>
      <c r="I952" s="378"/>
      <c r="J952" s="378"/>
      <c r="K952" s="378"/>
      <c r="L952" s="378"/>
      <c r="M952" s="381"/>
      <c r="N952" s="381"/>
      <c r="O952" s="381"/>
      <c r="P952" s="381"/>
      <c r="Q952" s="381"/>
      <c r="R952" s="381"/>
      <c r="S952" s="381"/>
      <c r="T952" s="381"/>
      <c r="U952" s="381"/>
      <c r="V952" s="381"/>
      <c r="W952" s="381"/>
      <c r="X952" s="381"/>
      <c r="Y952" s="381"/>
      <c r="Z952" s="381"/>
      <c r="AA952" s="381"/>
      <c r="AB952" s="381"/>
      <c r="AC952" s="382"/>
      <c r="AD952" s="382"/>
    </row>
    <row r="953" spans="1:30" ht="12.75" customHeight="1" x14ac:dyDescent="0.2">
      <c r="A953" s="378"/>
      <c r="B953" s="378"/>
      <c r="C953" s="378"/>
      <c r="D953" s="379"/>
      <c r="E953" s="380"/>
      <c r="F953" s="378"/>
      <c r="G953" s="378"/>
      <c r="H953" s="378"/>
      <c r="I953" s="378"/>
      <c r="J953" s="378"/>
      <c r="K953" s="378"/>
      <c r="L953" s="378"/>
      <c r="M953" s="381"/>
      <c r="N953" s="381"/>
      <c r="O953" s="381"/>
      <c r="P953" s="381"/>
      <c r="Q953" s="381"/>
      <c r="R953" s="381"/>
      <c r="S953" s="381"/>
      <c r="T953" s="381"/>
      <c r="U953" s="381"/>
      <c r="V953" s="381"/>
      <c r="W953" s="381"/>
      <c r="X953" s="381"/>
      <c r="Y953" s="381"/>
      <c r="Z953" s="381"/>
      <c r="AA953" s="381"/>
      <c r="AB953" s="381"/>
      <c r="AC953" s="382"/>
      <c r="AD953" s="382"/>
    </row>
    <row r="954" spans="1:30" ht="12.75" customHeight="1" x14ac:dyDescent="0.2">
      <c r="A954" s="378"/>
      <c r="B954" s="378"/>
      <c r="C954" s="378"/>
      <c r="D954" s="379"/>
      <c r="E954" s="380"/>
      <c r="F954" s="378"/>
      <c r="G954" s="378"/>
      <c r="H954" s="378"/>
      <c r="I954" s="378"/>
      <c r="J954" s="378"/>
      <c r="K954" s="378"/>
      <c r="L954" s="378"/>
      <c r="M954" s="381"/>
      <c r="N954" s="381"/>
      <c r="O954" s="381"/>
      <c r="P954" s="381"/>
      <c r="Q954" s="381"/>
      <c r="R954" s="381"/>
      <c r="S954" s="381"/>
      <c r="T954" s="381"/>
      <c r="U954" s="381"/>
      <c r="V954" s="381"/>
      <c r="W954" s="381"/>
      <c r="X954" s="381"/>
      <c r="Y954" s="381"/>
      <c r="Z954" s="381"/>
      <c r="AA954" s="381"/>
      <c r="AB954" s="381"/>
      <c r="AC954" s="382"/>
      <c r="AD954" s="382"/>
    </row>
    <row r="955" spans="1:30" ht="12.75" customHeight="1" x14ac:dyDescent="0.2">
      <c r="A955" s="378"/>
      <c r="B955" s="378"/>
      <c r="C955" s="378"/>
      <c r="D955" s="379"/>
      <c r="E955" s="380"/>
      <c r="F955" s="378"/>
      <c r="G955" s="378"/>
      <c r="H955" s="378"/>
      <c r="I955" s="378"/>
      <c r="J955" s="378"/>
      <c r="K955" s="378"/>
      <c r="L955" s="378"/>
      <c r="M955" s="381"/>
      <c r="N955" s="381"/>
      <c r="O955" s="381"/>
      <c r="P955" s="381"/>
      <c r="Q955" s="381"/>
      <c r="R955" s="381"/>
      <c r="S955" s="381"/>
      <c r="T955" s="381"/>
      <c r="U955" s="381"/>
      <c r="V955" s="381"/>
      <c r="W955" s="381"/>
      <c r="X955" s="381"/>
      <c r="Y955" s="381"/>
      <c r="Z955" s="381"/>
      <c r="AA955" s="381"/>
      <c r="AB955" s="381"/>
      <c r="AC955" s="382"/>
      <c r="AD955" s="382"/>
    </row>
    <row r="956" spans="1:30" ht="12.75" customHeight="1" x14ac:dyDescent="0.2">
      <c r="A956" s="378"/>
      <c r="B956" s="378"/>
      <c r="C956" s="378"/>
      <c r="D956" s="379"/>
      <c r="E956" s="380"/>
      <c r="F956" s="378"/>
      <c r="G956" s="378"/>
      <c r="H956" s="378"/>
      <c r="I956" s="378"/>
      <c r="J956" s="378"/>
      <c r="K956" s="378"/>
      <c r="L956" s="378"/>
      <c r="M956" s="381"/>
      <c r="N956" s="381"/>
      <c r="O956" s="381"/>
      <c r="P956" s="381"/>
      <c r="Q956" s="381"/>
      <c r="R956" s="381"/>
      <c r="S956" s="381"/>
      <c r="T956" s="381"/>
      <c r="U956" s="381"/>
      <c r="V956" s="381"/>
      <c r="W956" s="381"/>
      <c r="X956" s="381"/>
      <c r="Y956" s="381"/>
      <c r="Z956" s="381"/>
      <c r="AA956" s="381"/>
      <c r="AB956" s="381"/>
      <c r="AC956" s="382"/>
      <c r="AD956" s="382"/>
    </row>
    <row r="957" spans="1:30" ht="12.75" customHeight="1" x14ac:dyDescent="0.2">
      <c r="A957" s="378"/>
      <c r="B957" s="378"/>
      <c r="C957" s="378"/>
      <c r="D957" s="379"/>
      <c r="E957" s="380"/>
      <c r="F957" s="378"/>
      <c r="G957" s="378"/>
      <c r="H957" s="378"/>
      <c r="I957" s="378"/>
      <c r="J957" s="378"/>
      <c r="K957" s="378"/>
      <c r="L957" s="378"/>
      <c r="M957" s="381"/>
      <c r="N957" s="381"/>
      <c r="O957" s="381"/>
      <c r="P957" s="381"/>
      <c r="Q957" s="381"/>
      <c r="R957" s="381"/>
      <c r="S957" s="381"/>
      <c r="T957" s="381"/>
      <c r="U957" s="381"/>
      <c r="V957" s="381"/>
      <c r="W957" s="381"/>
      <c r="X957" s="381"/>
      <c r="Y957" s="381"/>
      <c r="Z957" s="381"/>
      <c r="AA957" s="381"/>
      <c r="AB957" s="381"/>
      <c r="AC957" s="382"/>
      <c r="AD957" s="382"/>
    </row>
    <row r="958" spans="1:30" ht="12.75" customHeight="1" x14ac:dyDescent="0.2">
      <c r="A958" s="378"/>
      <c r="B958" s="378"/>
      <c r="C958" s="378"/>
      <c r="D958" s="379"/>
      <c r="E958" s="380"/>
      <c r="F958" s="378"/>
      <c r="G958" s="378"/>
      <c r="H958" s="378"/>
      <c r="I958" s="378"/>
      <c r="J958" s="378"/>
      <c r="K958" s="378"/>
      <c r="L958" s="378"/>
      <c r="M958" s="381"/>
      <c r="N958" s="381"/>
      <c r="O958" s="381"/>
      <c r="P958" s="381"/>
      <c r="Q958" s="381"/>
      <c r="R958" s="381"/>
      <c r="S958" s="381"/>
      <c r="T958" s="381"/>
      <c r="U958" s="381"/>
      <c r="V958" s="381"/>
      <c r="W958" s="381"/>
      <c r="X958" s="381"/>
      <c r="Y958" s="381"/>
      <c r="Z958" s="381"/>
      <c r="AA958" s="381"/>
      <c r="AB958" s="381"/>
      <c r="AC958" s="382"/>
      <c r="AD958" s="382"/>
    </row>
    <row r="959" spans="1:30" ht="12.75" customHeight="1" x14ac:dyDescent="0.2">
      <c r="A959" s="378"/>
      <c r="B959" s="378"/>
      <c r="C959" s="378"/>
      <c r="D959" s="379"/>
      <c r="E959" s="380"/>
      <c r="F959" s="378"/>
      <c r="G959" s="378"/>
      <c r="H959" s="378"/>
      <c r="I959" s="378"/>
      <c r="J959" s="378"/>
      <c r="K959" s="378"/>
      <c r="L959" s="378"/>
      <c r="M959" s="381"/>
      <c r="N959" s="381"/>
      <c r="O959" s="381"/>
      <c r="P959" s="381"/>
      <c r="Q959" s="381"/>
      <c r="R959" s="381"/>
      <c r="S959" s="381"/>
      <c r="T959" s="381"/>
      <c r="U959" s="381"/>
      <c r="V959" s="381"/>
      <c r="W959" s="381"/>
      <c r="X959" s="381"/>
      <c r="Y959" s="381"/>
      <c r="Z959" s="381"/>
      <c r="AA959" s="381"/>
      <c r="AB959" s="381"/>
      <c r="AC959" s="382"/>
      <c r="AD959" s="382"/>
    </row>
    <row r="960" spans="1:30" ht="12.75" customHeight="1" x14ac:dyDescent="0.2">
      <c r="A960" s="378"/>
      <c r="B960" s="378"/>
      <c r="C960" s="378"/>
      <c r="D960" s="379"/>
      <c r="E960" s="380"/>
      <c r="F960" s="378"/>
      <c r="G960" s="378"/>
      <c r="H960" s="378"/>
      <c r="I960" s="378"/>
      <c r="J960" s="378"/>
      <c r="K960" s="378"/>
      <c r="L960" s="378"/>
      <c r="M960" s="381"/>
      <c r="N960" s="381"/>
      <c r="O960" s="381"/>
      <c r="P960" s="381"/>
      <c r="Q960" s="381"/>
      <c r="R960" s="381"/>
      <c r="S960" s="381"/>
      <c r="T960" s="381"/>
      <c r="U960" s="381"/>
      <c r="V960" s="381"/>
      <c r="W960" s="381"/>
      <c r="X960" s="381"/>
      <c r="Y960" s="381"/>
      <c r="Z960" s="381"/>
      <c r="AA960" s="381"/>
      <c r="AB960" s="381"/>
      <c r="AC960" s="382"/>
      <c r="AD960" s="382"/>
    </row>
    <row r="961" spans="1:30" ht="12.75" customHeight="1" x14ac:dyDescent="0.2">
      <c r="A961" s="378"/>
      <c r="B961" s="378"/>
      <c r="C961" s="378"/>
      <c r="D961" s="379"/>
      <c r="E961" s="380"/>
      <c r="F961" s="378"/>
      <c r="G961" s="378"/>
      <c r="H961" s="378"/>
      <c r="I961" s="378"/>
      <c r="J961" s="378"/>
      <c r="K961" s="378"/>
      <c r="L961" s="378"/>
      <c r="M961" s="381"/>
      <c r="N961" s="381"/>
      <c r="O961" s="381"/>
      <c r="P961" s="381"/>
      <c r="Q961" s="381"/>
      <c r="R961" s="381"/>
      <c r="S961" s="381"/>
      <c r="T961" s="381"/>
      <c r="U961" s="381"/>
      <c r="V961" s="381"/>
      <c r="W961" s="381"/>
      <c r="X961" s="381"/>
      <c r="Y961" s="381"/>
      <c r="Z961" s="381"/>
      <c r="AA961" s="381"/>
      <c r="AB961" s="381"/>
      <c r="AC961" s="382"/>
      <c r="AD961" s="382"/>
    </row>
    <row r="962" spans="1:30" ht="12.75" customHeight="1" x14ac:dyDescent="0.2">
      <c r="A962" s="378"/>
      <c r="B962" s="378"/>
      <c r="C962" s="378"/>
      <c r="D962" s="379"/>
      <c r="E962" s="380"/>
      <c r="F962" s="378"/>
      <c r="G962" s="378"/>
      <c r="H962" s="378"/>
      <c r="I962" s="378"/>
      <c r="J962" s="378"/>
      <c r="K962" s="378"/>
      <c r="L962" s="378"/>
      <c r="M962" s="381"/>
      <c r="N962" s="381"/>
      <c r="O962" s="381"/>
      <c r="P962" s="381"/>
      <c r="Q962" s="381"/>
      <c r="R962" s="381"/>
      <c r="S962" s="381"/>
      <c r="T962" s="381"/>
      <c r="U962" s="381"/>
      <c r="V962" s="381"/>
      <c r="W962" s="381"/>
      <c r="X962" s="381"/>
      <c r="Y962" s="381"/>
      <c r="Z962" s="381"/>
      <c r="AA962" s="381"/>
      <c r="AB962" s="381"/>
      <c r="AC962" s="382"/>
      <c r="AD962" s="382"/>
    </row>
    <row r="963" spans="1:30" ht="12.75" customHeight="1" x14ac:dyDescent="0.2">
      <c r="A963" s="378"/>
      <c r="B963" s="378"/>
      <c r="C963" s="378"/>
      <c r="D963" s="379"/>
      <c r="E963" s="380"/>
      <c r="F963" s="378"/>
      <c r="G963" s="378"/>
      <c r="H963" s="378"/>
      <c r="I963" s="378"/>
      <c r="J963" s="378"/>
      <c r="K963" s="378"/>
      <c r="L963" s="378"/>
      <c r="M963" s="381"/>
      <c r="N963" s="381"/>
      <c r="O963" s="381"/>
      <c r="P963" s="381"/>
      <c r="Q963" s="381"/>
      <c r="R963" s="381"/>
      <c r="S963" s="381"/>
      <c r="T963" s="381"/>
      <c r="U963" s="381"/>
      <c r="V963" s="381"/>
      <c r="W963" s="381"/>
      <c r="X963" s="381"/>
      <c r="Y963" s="381"/>
      <c r="Z963" s="381"/>
      <c r="AA963" s="381"/>
      <c r="AB963" s="381"/>
      <c r="AC963" s="382"/>
      <c r="AD963" s="382"/>
    </row>
    <row r="964" spans="1:30" ht="12.75" customHeight="1" x14ac:dyDescent="0.2">
      <c r="A964" s="378"/>
      <c r="B964" s="378"/>
      <c r="C964" s="378"/>
      <c r="D964" s="379"/>
      <c r="E964" s="380"/>
      <c r="F964" s="378"/>
      <c r="G964" s="378"/>
      <c r="H964" s="378"/>
      <c r="I964" s="378"/>
      <c r="J964" s="378"/>
      <c r="K964" s="378"/>
      <c r="L964" s="378"/>
      <c r="M964" s="381"/>
      <c r="N964" s="381"/>
      <c r="O964" s="381"/>
      <c r="P964" s="381"/>
      <c r="Q964" s="381"/>
      <c r="R964" s="381"/>
      <c r="S964" s="381"/>
      <c r="T964" s="381"/>
      <c r="U964" s="381"/>
      <c r="V964" s="381"/>
      <c r="W964" s="381"/>
      <c r="X964" s="381"/>
      <c r="Y964" s="381"/>
      <c r="Z964" s="381"/>
      <c r="AA964" s="381"/>
      <c r="AB964" s="381"/>
      <c r="AC964" s="382"/>
      <c r="AD964" s="382"/>
    </row>
    <row r="965" spans="1:30" ht="12.75" customHeight="1" x14ac:dyDescent="0.2">
      <c r="A965" s="378"/>
      <c r="B965" s="378"/>
      <c r="C965" s="378"/>
      <c r="D965" s="379"/>
      <c r="E965" s="380"/>
      <c r="F965" s="378"/>
      <c r="G965" s="378"/>
      <c r="H965" s="378"/>
      <c r="I965" s="378"/>
      <c r="J965" s="378"/>
      <c r="K965" s="378"/>
      <c r="L965" s="378"/>
      <c r="M965" s="381"/>
      <c r="N965" s="381"/>
      <c r="O965" s="381"/>
      <c r="P965" s="381"/>
      <c r="Q965" s="381"/>
      <c r="R965" s="381"/>
      <c r="S965" s="381"/>
      <c r="T965" s="381"/>
      <c r="U965" s="381"/>
      <c r="V965" s="381"/>
      <c r="W965" s="381"/>
      <c r="X965" s="381"/>
      <c r="Y965" s="381"/>
      <c r="Z965" s="381"/>
      <c r="AA965" s="381"/>
      <c r="AB965" s="381"/>
      <c r="AC965" s="382"/>
      <c r="AD965" s="382"/>
    </row>
    <row r="966" spans="1:30" ht="12.75" customHeight="1" x14ac:dyDescent="0.2">
      <c r="A966" s="378"/>
      <c r="B966" s="378"/>
      <c r="C966" s="378"/>
      <c r="D966" s="379"/>
      <c r="E966" s="380"/>
      <c r="F966" s="378"/>
      <c r="G966" s="378"/>
      <c r="H966" s="378"/>
      <c r="I966" s="378"/>
      <c r="J966" s="378"/>
      <c r="K966" s="378"/>
      <c r="L966" s="378"/>
      <c r="M966" s="381"/>
      <c r="N966" s="381"/>
      <c r="O966" s="381"/>
      <c r="P966" s="381"/>
      <c r="Q966" s="381"/>
      <c r="R966" s="381"/>
      <c r="S966" s="381"/>
      <c r="T966" s="381"/>
      <c r="U966" s="381"/>
      <c r="V966" s="381"/>
      <c r="W966" s="381"/>
      <c r="X966" s="381"/>
      <c r="Y966" s="381"/>
      <c r="Z966" s="381"/>
      <c r="AA966" s="381"/>
      <c r="AB966" s="381"/>
      <c r="AC966" s="382"/>
      <c r="AD966" s="382"/>
    </row>
    <row r="967" spans="1:30" ht="12.75" customHeight="1" x14ac:dyDescent="0.2">
      <c r="A967" s="378"/>
      <c r="B967" s="378"/>
      <c r="C967" s="378"/>
      <c r="D967" s="379"/>
      <c r="E967" s="380"/>
      <c r="F967" s="378"/>
      <c r="G967" s="378"/>
      <c r="H967" s="378"/>
      <c r="I967" s="378"/>
      <c r="J967" s="378"/>
      <c r="K967" s="378"/>
      <c r="L967" s="378"/>
      <c r="M967" s="381"/>
      <c r="N967" s="381"/>
      <c r="O967" s="381"/>
      <c r="P967" s="381"/>
      <c r="Q967" s="381"/>
      <c r="R967" s="381"/>
      <c r="S967" s="381"/>
      <c r="T967" s="381"/>
      <c r="U967" s="381"/>
      <c r="V967" s="381"/>
      <c r="W967" s="381"/>
      <c r="X967" s="381"/>
      <c r="Y967" s="381"/>
      <c r="Z967" s="381"/>
      <c r="AA967" s="381"/>
      <c r="AB967" s="381"/>
      <c r="AC967" s="382"/>
      <c r="AD967" s="382"/>
    </row>
    <row r="968" spans="1:30" ht="12.75" customHeight="1" x14ac:dyDescent="0.2">
      <c r="A968" s="378"/>
      <c r="B968" s="378"/>
      <c r="C968" s="378"/>
      <c r="D968" s="379"/>
      <c r="E968" s="380"/>
      <c r="F968" s="378"/>
      <c r="G968" s="378"/>
      <c r="H968" s="378"/>
      <c r="I968" s="378"/>
      <c r="J968" s="378"/>
      <c r="K968" s="378"/>
      <c r="L968" s="378"/>
      <c r="M968" s="381"/>
      <c r="N968" s="381"/>
      <c r="O968" s="381"/>
      <c r="P968" s="381"/>
      <c r="Q968" s="381"/>
      <c r="R968" s="381"/>
      <c r="S968" s="381"/>
      <c r="T968" s="381"/>
      <c r="U968" s="381"/>
      <c r="V968" s="381"/>
      <c r="W968" s="381"/>
      <c r="X968" s="381"/>
      <c r="Y968" s="381"/>
      <c r="Z968" s="381"/>
      <c r="AA968" s="381"/>
      <c r="AB968" s="381"/>
      <c r="AC968" s="382"/>
      <c r="AD968" s="382"/>
    </row>
    <row r="969" spans="1:30" ht="12.75" customHeight="1" x14ac:dyDescent="0.2">
      <c r="A969" s="378"/>
      <c r="B969" s="378"/>
      <c r="C969" s="378"/>
      <c r="D969" s="379"/>
      <c r="E969" s="380"/>
      <c r="F969" s="378"/>
      <c r="G969" s="378"/>
      <c r="H969" s="378"/>
      <c r="I969" s="378"/>
      <c r="J969" s="378"/>
      <c r="K969" s="378"/>
      <c r="L969" s="378"/>
      <c r="M969" s="381"/>
      <c r="N969" s="381"/>
      <c r="O969" s="381"/>
      <c r="P969" s="381"/>
      <c r="Q969" s="381"/>
      <c r="R969" s="381"/>
      <c r="S969" s="381"/>
      <c r="T969" s="381"/>
      <c r="U969" s="381"/>
      <c r="V969" s="381"/>
      <c r="W969" s="381"/>
      <c r="X969" s="381"/>
      <c r="Y969" s="381"/>
      <c r="Z969" s="381"/>
      <c r="AA969" s="381"/>
      <c r="AB969" s="381"/>
      <c r="AC969" s="382"/>
      <c r="AD969" s="382"/>
    </row>
    <row r="970" spans="1:30" ht="12.75" customHeight="1" x14ac:dyDescent="0.2">
      <c r="A970" s="378"/>
      <c r="B970" s="378"/>
      <c r="C970" s="378"/>
      <c r="D970" s="379"/>
      <c r="E970" s="380"/>
      <c r="F970" s="378"/>
      <c r="G970" s="378"/>
      <c r="H970" s="378"/>
      <c r="I970" s="378"/>
      <c r="J970" s="378"/>
      <c r="K970" s="378"/>
      <c r="L970" s="378"/>
      <c r="M970" s="381"/>
      <c r="N970" s="381"/>
      <c r="O970" s="381"/>
      <c r="P970" s="381"/>
      <c r="Q970" s="381"/>
      <c r="R970" s="381"/>
      <c r="S970" s="381"/>
      <c r="T970" s="381"/>
      <c r="U970" s="381"/>
      <c r="V970" s="381"/>
      <c r="W970" s="381"/>
      <c r="X970" s="381"/>
      <c r="Y970" s="381"/>
      <c r="Z970" s="381"/>
      <c r="AA970" s="381"/>
      <c r="AB970" s="381"/>
      <c r="AC970" s="382"/>
      <c r="AD970" s="382"/>
    </row>
    <row r="971" spans="1:30" ht="12.75" customHeight="1" x14ac:dyDescent="0.2">
      <c r="A971" s="378"/>
      <c r="B971" s="378"/>
      <c r="C971" s="378"/>
      <c r="D971" s="379"/>
      <c r="E971" s="380"/>
      <c r="F971" s="378"/>
      <c r="G971" s="378"/>
      <c r="H971" s="378"/>
      <c r="I971" s="378"/>
      <c r="J971" s="378"/>
      <c r="K971" s="378"/>
      <c r="L971" s="378"/>
      <c r="M971" s="381"/>
      <c r="N971" s="381"/>
      <c r="O971" s="381"/>
      <c r="P971" s="381"/>
      <c r="Q971" s="381"/>
      <c r="R971" s="381"/>
      <c r="S971" s="381"/>
      <c r="T971" s="381"/>
      <c r="U971" s="381"/>
      <c r="V971" s="381"/>
      <c r="W971" s="381"/>
      <c r="X971" s="381"/>
      <c r="Y971" s="381"/>
      <c r="Z971" s="381"/>
      <c r="AA971" s="381"/>
      <c r="AB971" s="381"/>
      <c r="AC971" s="382"/>
      <c r="AD971" s="382"/>
    </row>
    <row r="972" spans="1:30" ht="12.75" customHeight="1" x14ac:dyDescent="0.2">
      <c r="A972" s="378"/>
      <c r="B972" s="378"/>
      <c r="C972" s="378"/>
      <c r="D972" s="379"/>
      <c r="E972" s="380"/>
      <c r="F972" s="378"/>
      <c r="G972" s="378"/>
      <c r="H972" s="378"/>
      <c r="I972" s="378"/>
      <c r="J972" s="378"/>
      <c r="K972" s="378"/>
      <c r="L972" s="378"/>
      <c r="M972" s="381"/>
      <c r="N972" s="381"/>
      <c r="O972" s="381"/>
      <c r="P972" s="381"/>
      <c r="Q972" s="381"/>
      <c r="R972" s="381"/>
      <c r="S972" s="381"/>
      <c r="T972" s="381"/>
      <c r="U972" s="381"/>
      <c r="V972" s="381"/>
      <c r="W972" s="381"/>
      <c r="X972" s="381"/>
      <c r="Y972" s="381"/>
      <c r="Z972" s="381"/>
      <c r="AA972" s="381"/>
      <c r="AB972" s="381"/>
      <c r="AC972" s="382"/>
      <c r="AD972" s="382"/>
    </row>
    <row r="973" spans="1:30" ht="12.75" customHeight="1" x14ac:dyDescent="0.2">
      <c r="A973" s="378"/>
      <c r="B973" s="378"/>
      <c r="C973" s="378"/>
      <c r="D973" s="379"/>
      <c r="E973" s="380"/>
      <c r="F973" s="378"/>
      <c r="G973" s="378"/>
      <c r="H973" s="378"/>
      <c r="I973" s="378"/>
      <c r="J973" s="378"/>
      <c r="K973" s="378"/>
      <c r="L973" s="378"/>
      <c r="M973" s="381"/>
      <c r="N973" s="381"/>
      <c r="O973" s="381"/>
      <c r="P973" s="381"/>
      <c r="Q973" s="381"/>
      <c r="R973" s="381"/>
      <c r="S973" s="381"/>
      <c r="T973" s="381"/>
      <c r="U973" s="381"/>
      <c r="V973" s="381"/>
      <c r="W973" s="381"/>
      <c r="X973" s="381"/>
      <c r="Y973" s="381"/>
      <c r="Z973" s="381"/>
      <c r="AA973" s="381"/>
      <c r="AB973" s="381"/>
      <c r="AC973" s="382"/>
      <c r="AD973" s="382"/>
    </row>
    <row r="974" spans="1:30" ht="12.75" customHeight="1" x14ac:dyDescent="0.2">
      <c r="A974" s="378"/>
      <c r="B974" s="378"/>
      <c r="C974" s="378"/>
      <c r="D974" s="379"/>
      <c r="E974" s="380"/>
      <c r="F974" s="378"/>
      <c r="G974" s="378"/>
      <c r="H974" s="378"/>
      <c r="I974" s="378"/>
      <c r="J974" s="378"/>
      <c r="K974" s="378"/>
      <c r="L974" s="378"/>
      <c r="M974" s="381"/>
      <c r="N974" s="381"/>
      <c r="O974" s="381"/>
      <c r="P974" s="381"/>
      <c r="Q974" s="381"/>
      <c r="R974" s="381"/>
      <c r="S974" s="381"/>
      <c r="T974" s="381"/>
      <c r="U974" s="381"/>
      <c r="V974" s="381"/>
      <c r="W974" s="381"/>
      <c r="X974" s="381"/>
      <c r="Y974" s="381"/>
      <c r="Z974" s="381"/>
      <c r="AA974" s="381"/>
      <c r="AB974" s="381"/>
      <c r="AC974" s="382"/>
      <c r="AD974" s="382"/>
    </row>
    <row r="975" spans="1:30" ht="12.75" customHeight="1" x14ac:dyDescent="0.2">
      <c r="A975" s="378"/>
      <c r="B975" s="378"/>
      <c r="C975" s="378"/>
      <c r="D975" s="379"/>
      <c r="E975" s="380"/>
      <c r="F975" s="378"/>
      <c r="G975" s="378"/>
      <c r="H975" s="378"/>
      <c r="I975" s="378"/>
      <c r="J975" s="378"/>
      <c r="K975" s="378"/>
      <c r="L975" s="378"/>
      <c r="M975" s="381"/>
      <c r="N975" s="381"/>
      <c r="O975" s="381"/>
      <c r="P975" s="381"/>
      <c r="Q975" s="381"/>
      <c r="R975" s="381"/>
      <c r="S975" s="381"/>
      <c r="T975" s="381"/>
      <c r="U975" s="381"/>
      <c r="V975" s="381"/>
      <c r="W975" s="381"/>
      <c r="X975" s="381"/>
      <c r="Y975" s="381"/>
      <c r="Z975" s="381"/>
      <c r="AA975" s="381"/>
      <c r="AB975" s="381"/>
      <c r="AC975" s="382"/>
      <c r="AD975" s="382"/>
    </row>
    <row r="976" spans="1:30" ht="12.75" customHeight="1" x14ac:dyDescent="0.2">
      <c r="A976" s="378"/>
      <c r="B976" s="378"/>
      <c r="C976" s="378"/>
      <c r="D976" s="379"/>
      <c r="E976" s="380"/>
      <c r="F976" s="378"/>
      <c r="G976" s="378"/>
      <c r="H976" s="378"/>
      <c r="I976" s="378"/>
      <c r="J976" s="378"/>
      <c r="K976" s="378"/>
      <c r="L976" s="378"/>
      <c r="M976" s="381"/>
      <c r="N976" s="381"/>
      <c r="O976" s="381"/>
      <c r="P976" s="381"/>
      <c r="Q976" s="381"/>
      <c r="R976" s="381"/>
      <c r="S976" s="381"/>
      <c r="T976" s="381"/>
      <c r="U976" s="381"/>
      <c r="V976" s="381"/>
      <c r="W976" s="381"/>
      <c r="X976" s="381"/>
      <c r="Y976" s="381"/>
      <c r="Z976" s="381"/>
      <c r="AA976" s="381"/>
      <c r="AB976" s="381"/>
      <c r="AC976" s="382"/>
      <c r="AD976" s="382"/>
    </row>
    <row r="977" spans="1:30" ht="12.75" customHeight="1" x14ac:dyDescent="0.2">
      <c r="A977" s="378"/>
      <c r="B977" s="378"/>
      <c r="C977" s="378"/>
      <c r="D977" s="379"/>
      <c r="E977" s="380"/>
      <c r="F977" s="378"/>
      <c r="G977" s="378"/>
      <c r="H977" s="378"/>
      <c r="I977" s="378"/>
      <c r="J977" s="378"/>
      <c r="K977" s="378"/>
      <c r="L977" s="378"/>
      <c r="M977" s="381"/>
      <c r="N977" s="381"/>
      <c r="O977" s="381"/>
      <c r="P977" s="381"/>
      <c r="Q977" s="381"/>
      <c r="R977" s="381"/>
      <c r="S977" s="381"/>
      <c r="T977" s="381"/>
      <c r="U977" s="381"/>
      <c r="V977" s="381"/>
      <c r="W977" s="381"/>
      <c r="X977" s="381"/>
      <c r="Y977" s="381"/>
      <c r="Z977" s="381"/>
      <c r="AA977" s="381"/>
      <c r="AB977" s="381"/>
      <c r="AC977" s="382"/>
      <c r="AD977" s="382"/>
    </row>
    <row r="978" spans="1:30" ht="12.75" customHeight="1" x14ac:dyDescent="0.2">
      <c r="A978" s="378"/>
      <c r="B978" s="378"/>
      <c r="C978" s="378"/>
      <c r="D978" s="379"/>
      <c r="E978" s="380"/>
      <c r="F978" s="378"/>
      <c r="G978" s="378"/>
      <c r="H978" s="378"/>
      <c r="I978" s="378"/>
      <c r="J978" s="378"/>
      <c r="K978" s="378"/>
      <c r="L978" s="378"/>
      <c r="M978" s="381"/>
      <c r="N978" s="381"/>
      <c r="O978" s="381"/>
      <c r="P978" s="381"/>
      <c r="Q978" s="381"/>
      <c r="R978" s="381"/>
      <c r="S978" s="381"/>
      <c r="T978" s="381"/>
      <c r="U978" s="381"/>
      <c r="V978" s="381"/>
      <c r="W978" s="381"/>
      <c r="X978" s="381"/>
      <c r="Y978" s="381"/>
      <c r="Z978" s="381"/>
      <c r="AA978" s="381"/>
      <c r="AB978" s="381"/>
      <c r="AC978" s="382"/>
      <c r="AD978" s="382"/>
    </row>
    <row r="979" spans="1:30" ht="12.75" customHeight="1" x14ac:dyDescent="0.2">
      <c r="A979" s="378"/>
      <c r="B979" s="378"/>
      <c r="C979" s="378"/>
      <c r="D979" s="379"/>
      <c r="E979" s="380"/>
      <c r="F979" s="378"/>
      <c r="G979" s="378"/>
      <c r="H979" s="378"/>
      <c r="I979" s="378"/>
      <c r="J979" s="378"/>
      <c r="K979" s="378"/>
      <c r="L979" s="378"/>
      <c r="M979" s="381"/>
      <c r="N979" s="381"/>
      <c r="O979" s="381"/>
      <c r="P979" s="381"/>
      <c r="Q979" s="381"/>
      <c r="R979" s="381"/>
      <c r="S979" s="381"/>
      <c r="T979" s="381"/>
      <c r="U979" s="381"/>
      <c r="V979" s="381"/>
      <c r="W979" s="381"/>
      <c r="X979" s="381"/>
      <c r="Y979" s="381"/>
      <c r="Z979" s="381"/>
      <c r="AA979" s="381"/>
      <c r="AB979" s="381"/>
      <c r="AC979" s="382"/>
      <c r="AD979" s="382"/>
    </row>
    <row r="980" spans="1:30" ht="12.75" customHeight="1" x14ac:dyDescent="0.2">
      <c r="A980" s="378"/>
      <c r="B980" s="378"/>
      <c r="C980" s="378"/>
      <c r="D980" s="379"/>
      <c r="E980" s="380"/>
      <c r="F980" s="378"/>
      <c r="G980" s="378"/>
      <c r="H980" s="378"/>
      <c r="I980" s="378"/>
      <c r="J980" s="378"/>
      <c r="K980" s="378"/>
      <c r="L980" s="378"/>
      <c r="M980" s="381"/>
      <c r="N980" s="381"/>
      <c r="O980" s="381"/>
      <c r="P980" s="381"/>
      <c r="Q980" s="381"/>
      <c r="R980" s="381"/>
      <c r="S980" s="381"/>
      <c r="T980" s="381"/>
      <c r="U980" s="381"/>
      <c r="V980" s="381"/>
      <c r="W980" s="381"/>
      <c r="X980" s="381"/>
      <c r="Y980" s="381"/>
      <c r="Z980" s="381"/>
      <c r="AA980" s="381"/>
      <c r="AB980" s="381"/>
      <c r="AC980" s="382"/>
      <c r="AD980" s="382"/>
    </row>
    <row r="981" spans="1:30" ht="12.75" customHeight="1" x14ac:dyDescent="0.2">
      <c r="A981" s="378"/>
      <c r="B981" s="378"/>
      <c r="C981" s="378"/>
      <c r="D981" s="379"/>
      <c r="E981" s="380"/>
      <c r="F981" s="378"/>
      <c r="G981" s="378"/>
      <c r="H981" s="378"/>
      <c r="I981" s="378"/>
      <c r="J981" s="378"/>
      <c r="K981" s="378"/>
      <c r="L981" s="378"/>
      <c r="M981" s="381"/>
      <c r="N981" s="381"/>
      <c r="O981" s="381"/>
      <c r="P981" s="381"/>
      <c r="Q981" s="381"/>
      <c r="R981" s="381"/>
      <c r="S981" s="381"/>
      <c r="T981" s="381"/>
      <c r="U981" s="381"/>
      <c r="V981" s="381"/>
      <c r="W981" s="381"/>
      <c r="X981" s="381"/>
      <c r="Y981" s="381"/>
      <c r="Z981" s="381"/>
      <c r="AA981" s="381"/>
      <c r="AB981" s="381"/>
      <c r="AC981" s="382"/>
      <c r="AD981" s="382"/>
    </row>
    <row r="982" spans="1:30" ht="12.75" customHeight="1" x14ac:dyDescent="0.2">
      <c r="A982" s="378"/>
      <c r="B982" s="378"/>
      <c r="C982" s="378"/>
      <c r="D982" s="379"/>
      <c r="E982" s="380"/>
      <c r="F982" s="378"/>
      <c r="G982" s="378"/>
      <c r="H982" s="378"/>
      <c r="I982" s="378"/>
      <c r="J982" s="378"/>
      <c r="K982" s="378"/>
      <c r="L982" s="378"/>
      <c r="M982" s="381"/>
      <c r="N982" s="381"/>
      <c r="O982" s="381"/>
      <c r="P982" s="381"/>
      <c r="Q982" s="381"/>
      <c r="R982" s="381"/>
      <c r="S982" s="381"/>
      <c r="T982" s="381"/>
      <c r="U982" s="381"/>
      <c r="V982" s="381"/>
      <c r="W982" s="381"/>
      <c r="X982" s="381"/>
      <c r="Y982" s="381"/>
      <c r="Z982" s="381"/>
      <c r="AA982" s="381"/>
      <c r="AB982" s="381"/>
      <c r="AC982" s="382"/>
      <c r="AD982" s="382"/>
    </row>
    <row r="983" spans="1:30" ht="12.75" customHeight="1" x14ac:dyDescent="0.2">
      <c r="A983" s="378"/>
      <c r="B983" s="378"/>
      <c r="C983" s="378"/>
      <c r="D983" s="379"/>
      <c r="E983" s="380"/>
      <c r="F983" s="378"/>
      <c r="G983" s="378"/>
      <c r="H983" s="378"/>
      <c r="I983" s="378"/>
      <c r="J983" s="378"/>
      <c r="K983" s="378"/>
      <c r="L983" s="378"/>
      <c r="M983" s="381"/>
      <c r="N983" s="381"/>
      <c r="O983" s="381"/>
      <c r="P983" s="381"/>
      <c r="Q983" s="381"/>
      <c r="R983" s="381"/>
      <c r="S983" s="381"/>
      <c r="T983" s="381"/>
      <c r="U983" s="381"/>
      <c r="V983" s="381"/>
      <c r="W983" s="381"/>
      <c r="X983" s="381"/>
      <c r="Y983" s="381"/>
      <c r="Z983" s="381"/>
      <c r="AA983" s="381"/>
      <c r="AB983" s="381"/>
      <c r="AC983" s="382"/>
      <c r="AD983" s="382"/>
    </row>
    <row r="984" spans="1:30" ht="12.75" customHeight="1" x14ac:dyDescent="0.2">
      <c r="A984" s="378"/>
      <c r="B984" s="378"/>
      <c r="C984" s="378"/>
      <c r="D984" s="379"/>
      <c r="E984" s="380"/>
      <c r="F984" s="378"/>
      <c r="G984" s="378"/>
      <c r="H984" s="378"/>
      <c r="I984" s="378"/>
      <c r="J984" s="378"/>
      <c r="K984" s="378"/>
      <c r="L984" s="378"/>
      <c r="M984" s="381"/>
      <c r="N984" s="381"/>
      <c r="O984" s="381"/>
      <c r="P984" s="381"/>
      <c r="Q984" s="381"/>
      <c r="R984" s="381"/>
      <c r="S984" s="381"/>
      <c r="T984" s="381"/>
      <c r="U984" s="381"/>
      <c r="V984" s="381"/>
      <c r="W984" s="381"/>
      <c r="X984" s="381"/>
      <c r="Y984" s="381"/>
      <c r="Z984" s="381"/>
      <c r="AA984" s="381"/>
      <c r="AB984" s="381"/>
      <c r="AC984" s="382"/>
      <c r="AD984" s="382"/>
    </row>
    <row r="985" spans="1:30" ht="12.75" customHeight="1" x14ac:dyDescent="0.2">
      <c r="A985" s="378"/>
      <c r="B985" s="378"/>
      <c r="C985" s="378"/>
      <c r="D985" s="379"/>
      <c r="E985" s="380"/>
      <c r="F985" s="378"/>
      <c r="G985" s="378"/>
      <c r="H985" s="378"/>
      <c r="I985" s="378"/>
      <c r="J985" s="378"/>
      <c r="K985" s="378"/>
      <c r="L985" s="378"/>
      <c r="M985" s="381"/>
      <c r="N985" s="381"/>
      <c r="O985" s="381"/>
      <c r="P985" s="381"/>
      <c r="Q985" s="381"/>
      <c r="R985" s="381"/>
      <c r="S985" s="381"/>
      <c r="T985" s="381"/>
      <c r="U985" s="381"/>
      <c r="V985" s="381"/>
      <c r="W985" s="381"/>
      <c r="X985" s="381"/>
      <c r="Y985" s="381"/>
      <c r="Z985" s="381"/>
      <c r="AA985" s="381"/>
      <c r="AB985" s="381"/>
      <c r="AC985" s="382"/>
      <c r="AD985" s="382"/>
    </row>
    <row r="986" spans="1:30" ht="12.75" customHeight="1" x14ac:dyDescent="0.2">
      <c r="A986" s="378"/>
      <c r="B986" s="378"/>
      <c r="C986" s="378"/>
      <c r="D986" s="379"/>
      <c r="E986" s="380"/>
      <c r="F986" s="378"/>
      <c r="G986" s="378"/>
      <c r="H986" s="378"/>
      <c r="I986" s="378"/>
      <c r="J986" s="378"/>
      <c r="K986" s="378"/>
      <c r="L986" s="378"/>
      <c r="M986" s="381"/>
      <c r="N986" s="381"/>
      <c r="O986" s="381"/>
      <c r="P986" s="381"/>
      <c r="Q986" s="381"/>
      <c r="R986" s="381"/>
      <c r="S986" s="381"/>
      <c r="T986" s="381"/>
      <c r="U986" s="381"/>
      <c r="V986" s="381"/>
      <c r="W986" s="381"/>
      <c r="X986" s="381"/>
      <c r="Y986" s="381"/>
      <c r="Z986" s="381"/>
      <c r="AA986" s="381"/>
      <c r="AB986" s="381"/>
      <c r="AC986" s="382"/>
      <c r="AD986" s="382"/>
    </row>
    <row r="987" spans="1:30" ht="12.75" customHeight="1" x14ac:dyDescent="0.2">
      <c r="A987" s="378"/>
      <c r="B987" s="378"/>
      <c r="C987" s="378"/>
      <c r="D987" s="379"/>
      <c r="E987" s="380"/>
      <c r="F987" s="378"/>
      <c r="G987" s="378"/>
      <c r="H987" s="378"/>
      <c r="I987" s="378"/>
      <c r="J987" s="378"/>
      <c r="K987" s="378"/>
      <c r="L987" s="378"/>
      <c r="M987" s="381"/>
      <c r="N987" s="381"/>
      <c r="O987" s="381"/>
      <c r="P987" s="381"/>
      <c r="Q987" s="381"/>
      <c r="R987" s="381"/>
      <c r="S987" s="381"/>
      <c r="T987" s="381"/>
      <c r="U987" s="381"/>
      <c r="V987" s="381"/>
      <c r="W987" s="381"/>
      <c r="X987" s="381"/>
      <c r="Y987" s="381"/>
      <c r="Z987" s="381"/>
      <c r="AA987" s="381"/>
      <c r="AB987" s="381"/>
      <c r="AC987" s="382"/>
      <c r="AD987" s="382"/>
    </row>
    <row r="988" spans="1:30" ht="12.75" customHeight="1" x14ac:dyDescent="0.2">
      <c r="A988" s="378"/>
      <c r="B988" s="378"/>
      <c r="C988" s="378"/>
      <c r="D988" s="379"/>
      <c r="E988" s="380"/>
      <c r="F988" s="378"/>
      <c r="G988" s="378"/>
      <c r="H988" s="378"/>
      <c r="I988" s="378"/>
      <c r="J988" s="378"/>
      <c r="K988" s="378"/>
      <c r="L988" s="378"/>
      <c r="M988" s="381"/>
      <c r="N988" s="381"/>
      <c r="O988" s="381"/>
      <c r="P988" s="381"/>
      <c r="Q988" s="381"/>
      <c r="R988" s="381"/>
      <c r="S988" s="381"/>
      <c r="T988" s="381"/>
      <c r="U988" s="381"/>
      <c r="V988" s="381"/>
      <c r="W988" s="381"/>
      <c r="X988" s="381"/>
      <c r="Y988" s="381"/>
      <c r="Z988" s="381"/>
      <c r="AA988" s="381"/>
      <c r="AB988" s="381"/>
      <c r="AC988" s="382"/>
      <c r="AD988" s="382"/>
    </row>
    <row r="989" spans="1:30" ht="12.75" customHeight="1" x14ac:dyDescent="0.2">
      <c r="A989" s="378"/>
      <c r="B989" s="378"/>
      <c r="C989" s="378"/>
      <c r="D989" s="379"/>
      <c r="E989" s="380"/>
      <c r="F989" s="378"/>
      <c r="G989" s="378"/>
      <c r="H989" s="378"/>
      <c r="I989" s="378"/>
      <c r="J989" s="378"/>
      <c r="K989" s="378"/>
      <c r="L989" s="378"/>
      <c r="M989" s="381"/>
      <c r="N989" s="381"/>
      <c r="O989" s="381"/>
      <c r="P989" s="381"/>
      <c r="Q989" s="381"/>
      <c r="R989" s="381"/>
      <c r="S989" s="381"/>
      <c r="T989" s="381"/>
      <c r="U989" s="381"/>
      <c r="V989" s="381"/>
      <c r="W989" s="381"/>
      <c r="X989" s="381"/>
      <c r="Y989" s="381"/>
      <c r="Z989" s="381"/>
      <c r="AA989" s="381"/>
      <c r="AB989" s="381"/>
      <c r="AC989" s="382"/>
      <c r="AD989" s="382"/>
    </row>
    <row r="990" spans="1:30" ht="12.75" customHeight="1" x14ac:dyDescent="0.2">
      <c r="A990" s="378"/>
      <c r="B990" s="378"/>
      <c r="C990" s="378"/>
      <c r="D990" s="379"/>
      <c r="E990" s="380"/>
      <c r="F990" s="378"/>
      <c r="G990" s="378"/>
      <c r="H990" s="378"/>
      <c r="I990" s="378"/>
      <c r="J990" s="378"/>
      <c r="K990" s="378"/>
      <c r="L990" s="378"/>
      <c r="M990" s="381"/>
      <c r="N990" s="381"/>
      <c r="O990" s="381"/>
      <c r="P990" s="381"/>
      <c r="Q990" s="381"/>
      <c r="R990" s="381"/>
      <c r="S990" s="381"/>
      <c r="T990" s="381"/>
      <c r="U990" s="381"/>
      <c r="V990" s="381"/>
      <c r="W990" s="381"/>
      <c r="X990" s="381"/>
      <c r="Y990" s="381"/>
      <c r="Z990" s="381"/>
      <c r="AA990" s="381"/>
      <c r="AB990" s="381"/>
      <c r="AC990" s="382"/>
      <c r="AD990" s="382"/>
    </row>
    <row r="991" spans="1:30" ht="12.75" customHeight="1" x14ac:dyDescent="0.2">
      <c r="A991" s="378"/>
      <c r="B991" s="378"/>
      <c r="C991" s="378"/>
      <c r="D991" s="379"/>
      <c r="E991" s="380"/>
      <c r="F991" s="378"/>
      <c r="G991" s="378"/>
      <c r="H991" s="378"/>
      <c r="I991" s="378"/>
      <c r="J991" s="378"/>
      <c r="K991" s="378"/>
      <c r="L991" s="378"/>
      <c r="M991" s="381"/>
      <c r="N991" s="381"/>
      <c r="O991" s="381"/>
      <c r="P991" s="381"/>
      <c r="Q991" s="381"/>
      <c r="R991" s="381"/>
      <c r="S991" s="381"/>
      <c r="T991" s="381"/>
      <c r="U991" s="381"/>
      <c r="V991" s="381"/>
      <c r="W991" s="381"/>
      <c r="X991" s="381"/>
      <c r="Y991" s="381"/>
      <c r="Z991" s="381"/>
      <c r="AA991" s="381"/>
      <c r="AB991" s="381"/>
      <c r="AC991" s="382"/>
      <c r="AD991" s="382"/>
    </row>
    <row r="992" spans="1:30" ht="12.75" customHeight="1" x14ac:dyDescent="0.2">
      <c r="A992" s="378"/>
      <c r="B992" s="378"/>
      <c r="C992" s="378"/>
      <c r="D992" s="379"/>
      <c r="E992" s="380"/>
      <c r="F992" s="378"/>
      <c r="G992" s="378"/>
      <c r="H992" s="378"/>
      <c r="I992" s="378"/>
      <c r="J992" s="378"/>
      <c r="K992" s="378"/>
      <c r="L992" s="378"/>
      <c r="M992" s="381"/>
      <c r="N992" s="381"/>
      <c r="O992" s="381"/>
      <c r="P992" s="381"/>
      <c r="Q992" s="381"/>
      <c r="R992" s="381"/>
      <c r="S992" s="381"/>
      <c r="T992" s="381"/>
      <c r="U992" s="381"/>
      <c r="V992" s="381"/>
      <c r="W992" s="381"/>
      <c r="X992" s="381"/>
      <c r="Y992" s="381"/>
      <c r="Z992" s="381"/>
      <c r="AA992" s="381"/>
      <c r="AB992" s="381"/>
      <c r="AC992" s="382"/>
      <c r="AD992" s="382"/>
    </row>
    <row r="993" spans="1:30" ht="12.75" customHeight="1" x14ac:dyDescent="0.2">
      <c r="A993" s="378"/>
      <c r="B993" s="378"/>
      <c r="C993" s="378"/>
      <c r="D993" s="379"/>
      <c r="E993" s="380"/>
      <c r="F993" s="378"/>
      <c r="G993" s="378"/>
      <c r="H993" s="378"/>
      <c r="I993" s="378"/>
      <c r="J993" s="378"/>
      <c r="K993" s="378"/>
      <c r="L993" s="378"/>
      <c r="M993" s="381"/>
      <c r="N993" s="381"/>
      <c r="O993" s="381"/>
      <c r="P993" s="381"/>
      <c r="Q993" s="381"/>
      <c r="R993" s="381"/>
      <c r="S993" s="381"/>
      <c r="T993" s="381"/>
      <c r="U993" s="381"/>
      <c r="V993" s="381"/>
      <c r="W993" s="381"/>
      <c r="X993" s="381"/>
      <c r="Y993" s="381"/>
      <c r="Z993" s="381"/>
      <c r="AA993" s="381"/>
      <c r="AB993" s="381"/>
      <c r="AC993" s="382"/>
      <c r="AD993" s="382"/>
    </row>
    <row r="994" spans="1:30" ht="12.75" customHeight="1" x14ac:dyDescent="0.2">
      <c r="A994" s="378"/>
      <c r="B994" s="378"/>
      <c r="C994" s="378"/>
      <c r="D994" s="379"/>
      <c r="E994" s="380"/>
      <c r="F994" s="378"/>
      <c r="G994" s="378"/>
      <c r="H994" s="378"/>
      <c r="I994" s="378"/>
      <c r="J994" s="378"/>
      <c r="K994" s="378"/>
      <c r="L994" s="378"/>
      <c r="M994" s="381"/>
      <c r="N994" s="381"/>
      <c r="O994" s="381"/>
      <c r="P994" s="381"/>
      <c r="Q994" s="381"/>
      <c r="R994" s="381"/>
      <c r="S994" s="381"/>
      <c r="T994" s="381"/>
      <c r="U994" s="381"/>
      <c r="V994" s="381"/>
      <c r="W994" s="381"/>
      <c r="X994" s="381"/>
      <c r="Y994" s="381"/>
      <c r="Z994" s="381"/>
      <c r="AA994" s="381"/>
      <c r="AB994" s="381"/>
      <c r="AC994" s="382"/>
      <c r="AD994" s="382"/>
    </row>
    <row r="995" spans="1:30" ht="12.75" customHeight="1" x14ac:dyDescent="0.2">
      <c r="A995" s="378"/>
      <c r="B995" s="378"/>
      <c r="C995" s="378"/>
      <c r="D995" s="379"/>
      <c r="E995" s="380"/>
      <c r="F995" s="378"/>
      <c r="G995" s="378"/>
      <c r="H995" s="378"/>
      <c r="I995" s="378"/>
      <c r="J995" s="378"/>
      <c r="K995" s="378"/>
      <c r="L995" s="378"/>
      <c r="M995" s="381"/>
      <c r="N995" s="381"/>
      <c r="O995" s="381"/>
      <c r="P995" s="381"/>
      <c r="Q995" s="381"/>
      <c r="R995" s="381"/>
      <c r="S995" s="381"/>
      <c r="T995" s="381"/>
      <c r="U995" s="381"/>
      <c r="V995" s="381"/>
      <c r="W995" s="381"/>
      <c r="X995" s="381"/>
      <c r="Y995" s="381"/>
      <c r="Z995" s="381"/>
      <c r="AA995" s="381"/>
      <c r="AB995" s="381"/>
      <c r="AC995" s="382"/>
      <c r="AD995" s="382"/>
    </row>
    <row r="996" spans="1:30" ht="12.75" customHeight="1" x14ac:dyDescent="0.2">
      <c r="A996" s="378"/>
      <c r="B996" s="378"/>
      <c r="C996" s="378"/>
      <c r="D996" s="379"/>
      <c r="E996" s="380"/>
      <c r="F996" s="378"/>
      <c r="G996" s="378"/>
      <c r="H996" s="378"/>
      <c r="I996" s="378"/>
      <c r="J996" s="378"/>
      <c r="K996" s="378"/>
      <c r="L996" s="378"/>
      <c r="M996" s="381"/>
      <c r="N996" s="381"/>
      <c r="O996" s="381"/>
      <c r="P996" s="381"/>
      <c r="Q996" s="381"/>
      <c r="R996" s="381"/>
      <c r="S996" s="381"/>
      <c r="T996" s="381"/>
      <c r="U996" s="381"/>
      <c r="V996" s="381"/>
      <c r="W996" s="381"/>
      <c r="X996" s="381"/>
      <c r="Y996" s="381"/>
      <c r="Z996" s="381"/>
      <c r="AA996" s="381"/>
      <c r="AB996" s="381"/>
      <c r="AC996" s="382"/>
      <c r="AD996" s="382"/>
    </row>
    <row r="997" spans="1:30" ht="12.75" customHeight="1" x14ac:dyDescent="0.2">
      <c r="A997" s="378"/>
      <c r="B997" s="378"/>
      <c r="C997" s="378"/>
      <c r="D997" s="379"/>
      <c r="E997" s="380"/>
      <c r="F997" s="378"/>
      <c r="G997" s="378"/>
      <c r="H997" s="378"/>
      <c r="I997" s="378"/>
      <c r="J997" s="378"/>
      <c r="K997" s="378"/>
      <c r="L997" s="378"/>
      <c r="M997" s="381"/>
      <c r="N997" s="381"/>
      <c r="O997" s="381"/>
      <c r="P997" s="381"/>
      <c r="Q997" s="381"/>
      <c r="R997" s="381"/>
      <c r="S997" s="381"/>
      <c r="T997" s="381"/>
      <c r="U997" s="381"/>
      <c r="V997" s="381"/>
      <c r="W997" s="381"/>
      <c r="X997" s="381"/>
      <c r="Y997" s="381"/>
      <c r="Z997" s="381"/>
      <c r="AA997" s="381"/>
      <c r="AB997" s="381"/>
      <c r="AC997" s="382"/>
      <c r="AD997" s="382"/>
    </row>
    <row r="998" spans="1:30" ht="12.75" customHeight="1" x14ac:dyDescent="0.2">
      <c r="A998" s="378"/>
      <c r="B998" s="378"/>
      <c r="C998" s="378"/>
      <c r="D998" s="379"/>
      <c r="E998" s="380"/>
      <c r="F998" s="378"/>
      <c r="G998" s="378"/>
      <c r="H998" s="378"/>
      <c r="I998" s="378"/>
      <c r="J998" s="378"/>
      <c r="K998" s="378"/>
      <c r="L998" s="378"/>
      <c r="M998" s="381"/>
      <c r="N998" s="381"/>
      <c r="O998" s="381"/>
      <c r="P998" s="381"/>
      <c r="Q998" s="381"/>
      <c r="R998" s="381"/>
      <c r="S998" s="381"/>
      <c r="T998" s="381"/>
      <c r="U998" s="381"/>
      <c r="V998" s="381"/>
      <c r="W998" s="381"/>
      <c r="X998" s="381"/>
      <c r="Y998" s="381"/>
      <c r="Z998" s="381"/>
      <c r="AA998" s="381"/>
      <c r="AB998" s="381"/>
      <c r="AC998" s="382"/>
      <c r="AD998" s="382"/>
    </row>
    <row r="999" spans="1:30" ht="12.75" customHeight="1" x14ac:dyDescent="0.2">
      <c r="A999" s="378"/>
      <c r="B999" s="378"/>
      <c r="C999" s="378"/>
      <c r="D999" s="379"/>
      <c r="E999" s="380"/>
      <c r="F999" s="378"/>
      <c r="G999" s="378"/>
      <c r="H999" s="378"/>
      <c r="I999" s="378"/>
      <c r="J999" s="378"/>
      <c r="K999" s="378"/>
      <c r="L999" s="378"/>
      <c r="M999" s="381"/>
      <c r="N999" s="381"/>
      <c r="O999" s="381"/>
      <c r="P999" s="381"/>
      <c r="Q999" s="381"/>
      <c r="R999" s="381"/>
      <c r="S999" s="381"/>
      <c r="T999" s="381"/>
      <c r="U999" s="381"/>
      <c r="V999" s="381"/>
      <c r="W999" s="381"/>
      <c r="X999" s="381"/>
      <c r="Y999" s="381"/>
      <c r="Z999" s="381"/>
      <c r="AA999" s="381"/>
      <c r="AB999" s="381"/>
      <c r="AC999" s="382"/>
      <c r="AD999" s="382"/>
    </row>
    <row r="1000" spans="1:30" ht="12.75" customHeight="1" x14ac:dyDescent="0.2">
      <c r="A1000" s="378"/>
      <c r="B1000" s="378"/>
      <c r="C1000" s="378"/>
      <c r="D1000" s="379"/>
      <c r="E1000" s="380"/>
      <c r="F1000" s="378"/>
      <c r="G1000" s="378"/>
      <c r="H1000" s="378"/>
      <c r="I1000" s="378"/>
      <c r="J1000" s="378"/>
      <c r="K1000" s="378"/>
      <c r="L1000" s="378"/>
      <c r="M1000" s="381"/>
      <c r="N1000" s="381"/>
      <c r="O1000" s="381"/>
      <c r="P1000" s="381"/>
      <c r="Q1000" s="381"/>
      <c r="R1000" s="381"/>
      <c r="S1000" s="381"/>
      <c r="T1000" s="381"/>
      <c r="U1000" s="381"/>
      <c r="V1000" s="381"/>
      <c r="W1000" s="381"/>
      <c r="X1000" s="381"/>
      <c r="Y1000" s="381"/>
      <c r="Z1000" s="381"/>
      <c r="AA1000" s="381"/>
      <c r="AB1000" s="381"/>
      <c r="AC1000" s="382"/>
      <c r="AD1000" s="382"/>
    </row>
  </sheetData>
  <mergeCells count="21">
    <mergeCell ref="A18:A21"/>
    <mergeCell ref="B18:B21"/>
    <mergeCell ref="C18:C21"/>
    <mergeCell ref="A9:A12"/>
    <mergeCell ref="B9:B12"/>
    <mergeCell ref="C9:C12"/>
    <mergeCell ref="A13:A17"/>
    <mergeCell ref="B13:B17"/>
    <mergeCell ref="C13:C17"/>
    <mergeCell ref="A6:C6"/>
    <mergeCell ref="D6:AD6"/>
    <mergeCell ref="A7:L7"/>
    <mergeCell ref="M7:Y7"/>
    <mergeCell ref="Z7:AB7"/>
    <mergeCell ref="AC7:AD7"/>
    <mergeCell ref="A1:C4"/>
    <mergeCell ref="D1:AB4"/>
    <mergeCell ref="AC1:AD2"/>
    <mergeCell ref="AC3:AD4"/>
    <mergeCell ref="A5:C5"/>
    <mergeCell ref="D5:AD5"/>
  </mergeCells>
  <dataValidations count="11">
    <dataValidation type="list" allowBlank="1" showErrorMessage="1" sqref="K9:K21" xr:uid="{00000000-0002-0000-2100-000000000000}">
      <formula1>"Se investigan y resuelven oportunamente,No se investigan y resuelven oportunamente,Seleccione"</formula1>
    </dataValidation>
    <dataValidation type="list" allowBlank="1" showErrorMessage="1" sqref="G9:G21" xr:uid="{00000000-0002-0000-2100-000001000000}">
      <formula1>"Adecuado,Inadecuado,Seleccione"</formula1>
    </dataValidation>
    <dataValidation type="list" allowBlank="1" showErrorMessage="1" sqref="L9:L21" xr:uid="{00000000-0002-0000-2100-000002000000}">
      <formula1>"Completa,Incompleta,No existe,Seleccione"</formula1>
    </dataValidation>
    <dataValidation type="list" allowBlank="1" showErrorMessage="1" sqref="H9:H21" xr:uid="{00000000-0002-0000-2100-000003000000}">
      <formula1>"Oportuna,Inoportuna,Seleccione"</formula1>
    </dataValidation>
    <dataValidation type="list" allowBlank="1" showErrorMessage="1" sqref="F9:F21" xr:uid="{00000000-0002-0000-2100-000004000000}">
      <formula1>"Asignado,No asignado,Seleccione"</formula1>
    </dataValidation>
    <dataValidation type="list" allowBlank="1" showErrorMessage="1" sqref="J9:J21" xr:uid="{00000000-0002-0000-2100-000005000000}">
      <formula1>"Confiable,No Confiable,Seleccione"</formula1>
    </dataValidation>
    <dataValidation type="list" allowBlank="1" showErrorMessage="1" sqref="U9:V12" xr:uid="{00000000-0002-0000-2100-000006000000}">
      <formula1>"SI,NO,Seleccione"</formula1>
    </dataValidation>
    <dataValidation type="list" allowBlank="1" showErrorMessage="1" sqref="I9:I21" xr:uid="{00000000-0002-0000-2100-000007000000}">
      <formula1>"Prevenir,Detectar,No es un control,Seleccione"</formula1>
    </dataValidation>
    <dataValidation type="list" allowBlank="1" showErrorMessage="1" sqref="U13:V21" xr:uid="{00000000-0002-0000-2100-000008000000}">
      <formula1>"SI,NO"</formula1>
    </dataValidation>
    <dataValidation type="list" allowBlank="1" showErrorMessage="1" sqref="Z10:Z21" xr:uid="{00000000-0002-0000-2100-000009000000}">
      <formula1>"Siempre se ejecuta,Algunas veces se ejecuta,No se ejecuta"</formula1>
    </dataValidation>
    <dataValidation type="list" allowBlank="1" showErrorMessage="1" sqref="Z9" xr:uid="{00000000-0002-0000-2100-00000A000000}">
      <formula1>"Siempre se ejecuta,Algunas veces se ejecuta,No se ejecuta,Seleccione"</formula1>
    </dataValidation>
  </dataValidations>
  <pageMargins left="0.11811023622047245" right="0.11811023622047245" top="1.1417322834645669" bottom="0.74803149606299213" header="0" footer="0"/>
  <pageSetup orientation="landscape" r:id="rId1"/>
  <headerFooter>
    <oddHeader>&amp;C Matriz de Riesgos</oddHeader>
  </headerFooter>
  <rowBreaks count="1" manualBreakCount="1">
    <brk id="17" man="1"/>
  </rowBreaks>
  <colBreaks count="1" manualBreakCount="1">
    <brk id="12" man="1"/>
  </colBreaks>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Z1000"/>
  <sheetViews>
    <sheetView showGridLines="0" workbookViewId="0">
      <selection sqref="A1:C2"/>
    </sheetView>
  </sheetViews>
  <sheetFormatPr baseColWidth="10" defaultColWidth="12.625" defaultRowHeight="15" customHeight="1" x14ac:dyDescent="0.2"/>
  <cols>
    <col min="1" max="1" width="3.625" style="531" customWidth="1"/>
    <col min="2" max="2" width="26.625" style="531" customWidth="1"/>
    <col min="3" max="3" width="38.875" style="531" customWidth="1"/>
    <col min="4" max="4" width="38.5" style="531" customWidth="1"/>
    <col min="5" max="5" width="20.5" style="531" customWidth="1"/>
    <col min="6" max="6" width="25.875" style="531" customWidth="1"/>
    <col min="7" max="7" width="23" style="531" customWidth="1"/>
    <col min="8" max="10" width="19.375" style="531" customWidth="1"/>
    <col min="11" max="11" width="18.25" style="531" customWidth="1"/>
    <col min="12" max="12" width="41.625" style="531" customWidth="1"/>
    <col min="13" max="13" width="27.25" style="531" customWidth="1"/>
    <col min="14" max="15" width="10.75" style="531" customWidth="1"/>
    <col min="16" max="16" width="27.25" style="531" customWidth="1"/>
    <col min="17" max="22" width="25.75" style="531" customWidth="1"/>
    <col min="23" max="23" width="33.5" style="531" customWidth="1"/>
    <col min="24" max="24" width="45.625" style="531" customWidth="1"/>
    <col min="25" max="26" width="9.375" style="531" customWidth="1"/>
    <col min="27" max="16384" width="12.625" style="531"/>
  </cols>
  <sheetData>
    <row r="1" spans="1:26" ht="44.25" customHeight="1" x14ac:dyDescent="0.2">
      <c r="A1" s="1386"/>
      <c r="B1" s="1355"/>
      <c r="C1" s="1356"/>
      <c r="D1" s="1387" t="s">
        <v>314</v>
      </c>
      <c r="E1" s="1355"/>
      <c r="F1" s="1355"/>
      <c r="G1" s="1355"/>
      <c r="H1" s="1355"/>
      <c r="I1" s="1355"/>
      <c r="J1" s="1355"/>
      <c r="K1" s="1355"/>
      <c r="L1" s="1355"/>
      <c r="M1" s="1355"/>
      <c r="N1" s="1355"/>
      <c r="O1" s="1355"/>
      <c r="P1" s="1355"/>
      <c r="Q1" s="1355"/>
      <c r="R1" s="1355"/>
      <c r="S1" s="1355"/>
      <c r="T1" s="1355"/>
      <c r="U1" s="1355"/>
      <c r="V1" s="1356"/>
      <c r="W1" s="601" t="s">
        <v>315</v>
      </c>
      <c r="X1" s="602"/>
      <c r="Y1" s="603"/>
      <c r="Z1" s="603"/>
    </row>
    <row r="2" spans="1:26" ht="51.75" customHeight="1" x14ac:dyDescent="0.2">
      <c r="A2" s="1358"/>
      <c r="B2" s="1338"/>
      <c r="C2" s="1341"/>
      <c r="D2" s="1358"/>
      <c r="E2" s="1338"/>
      <c r="F2" s="1338"/>
      <c r="G2" s="1338"/>
      <c r="H2" s="1338"/>
      <c r="I2" s="1338"/>
      <c r="J2" s="1338"/>
      <c r="K2" s="1338"/>
      <c r="L2" s="1338"/>
      <c r="M2" s="1338"/>
      <c r="N2" s="1338"/>
      <c r="O2" s="1338"/>
      <c r="P2" s="1338"/>
      <c r="Q2" s="1338"/>
      <c r="R2" s="1338"/>
      <c r="S2" s="1338"/>
      <c r="T2" s="1338"/>
      <c r="U2" s="1338"/>
      <c r="V2" s="1341"/>
      <c r="W2" s="601" t="s">
        <v>316</v>
      </c>
      <c r="X2" s="602"/>
      <c r="Y2" s="603"/>
      <c r="Z2" s="603"/>
    </row>
    <row r="3" spans="1:26" ht="30" x14ac:dyDescent="0.2">
      <c r="A3" s="1388" t="s">
        <v>57</v>
      </c>
      <c r="B3" s="1338"/>
      <c r="C3" s="1338"/>
      <c r="D3" s="1338"/>
      <c r="E3" s="1338"/>
      <c r="F3" s="1338"/>
      <c r="G3" s="1389"/>
      <c r="H3" s="1390"/>
      <c r="I3" s="1338"/>
      <c r="J3" s="1338"/>
      <c r="K3" s="1338"/>
      <c r="L3" s="1391" t="s">
        <v>60</v>
      </c>
      <c r="M3" s="1338"/>
      <c r="N3" s="1338"/>
      <c r="O3" s="1338"/>
      <c r="P3" s="1389"/>
      <c r="Q3" s="1391" t="s">
        <v>61</v>
      </c>
      <c r="R3" s="1338"/>
      <c r="S3" s="1338"/>
      <c r="T3" s="1338"/>
      <c r="U3" s="1338"/>
      <c r="V3" s="1389"/>
      <c r="W3" s="604" t="s">
        <v>62</v>
      </c>
      <c r="X3" s="604" t="s">
        <v>63</v>
      </c>
      <c r="Y3" s="603"/>
      <c r="Z3" s="603"/>
    </row>
    <row r="4" spans="1:26" ht="38.25" x14ac:dyDescent="0.2">
      <c r="A4" s="605" t="s">
        <v>44</v>
      </c>
      <c r="B4" s="606" t="s">
        <v>64</v>
      </c>
      <c r="C4" s="606" t="s">
        <v>65</v>
      </c>
      <c r="D4" s="606" t="s">
        <v>317</v>
      </c>
      <c r="E4" s="606" t="s">
        <v>68</v>
      </c>
      <c r="F4" s="606" t="s">
        <v>69</v>
      </c>
      <c r="G4" s="607" t="s">
        <v>71</v>
      </c>
      <c r="H4" s="606" t="s">
        <v>81</v>
      </c>
      <c r="I4" s="606" t="s">
        <v>82</v>
      </c>
      <c r="J4" s="606" t="s">
        <v>83</v>
      </c>
      <c r="K4" s="608" t="s">
        <v>84</v>
      </c>
      <c r="L4" s="605" t="s">
        <v>85</v>
      </c>
      <c r="M4" s="606" t="s">
        <v>86</v>
      </c>
      <c r="N4" s="606" t="s">
        <v>87</v>
      </c>
      <c r="O4" s="606" t="s">
        <v>88</v>
      </c>
      <c r="P4" s="607" t="s">
        <v>89</v>
      </c>
      <c r="Q4" s="605" t="s">
        <v>90</v>
      </c>
      <c r="R4" s="606" t="s">
        <v>91</v>
      </c>
      <c r="S4" s="606" t="s">
        <v>92</v>
      </c>
      <c r="T4" s="606" t="s">
        <v>91</v>
      </c>
      <c r="U4" s="606" t="s">
        <v>93</v>
      </c>
      <c r="V4" s="607" t="s">
        <v>91</v>
      </c>
      <c r="W4" s="609" t="s">
        <v>94</v>
      </c>
      <c r="X4" s="609" t="s">
        <v>95</v>
      </c>
      <c r="Y4" s="449"/>
      <c r="Z4" s="449"/>
    </row>
    <row r="5" spans="1:26" ht="204" x14ac:dyDescent="0.2">
      <c r="A5" s="328">
        <v>1</v>
      </c>
      <c r="B5" s="329" t="s">
        <v>486</v>
      </c>
      <c r="C5" s="610" t="s">
        <v>430</v>
      </c>
      <c r="D5" s="610" t="s">
        <v>431</v>
      </c>
      <c r="E5" s="611" t="s">
        <v>182</v>
      </c>
      <c r="F5" s="397" t="s">
        <v>204</v>
      </c>
      <c r="G5" s="612" t="s">
        <v>150</v>
      </c>
      <c r="H5" s="344" t="s">
        <v>224</v>
      </c>
      <c r="I5" s="344" t="s">
        <v>226</v>
      </c>
      <c r="J5" s="613" t="s">
        <v>152</v>
      </c>
      <c r="K5" s="614" t="s">
        <v>202</v>
      </c>
      <c r="L5" s="274" t="s">
        <v>500</v>
      </c>
      <c r="M5" s="615" t="s">
        <v>501</v>
      </c>
      <c r="N5" s="616">
        <v>44136</v>
      </c>
      <c r="O5" s="616">
        <v>44561</v>
      </c>
      <c r="P5" s="372" t="s">
        <v>363</v>
      </c>
      <c r="Q5" s="617"/>
      <c r="R5" s="617"/>
      <c r="S5" s="617"/>
      <c r="T5" s="617"/>
      <c r="U5" s="617"/>
      <c r="V5" s="617"/>
      <c r="W5" s="617"/>
      <c r="X5" s="617"/>
      <c r="Y5" s="603"/>
      <c r="Z5" s="603"/>
    </row>
    <row r="6" spans="1:26" ht="120" x14ac:dyDescent="0.2">
      <c r="A6" s="328">
        <v>2</v>
      </c>
      <c r="B6" s="329" t="s">
        <v>490</v>
      </c>
      <c r="C6" s="618" t="s">
        <v>434</v>
      </c>
      <c r="D6" s="619" t="s">
        <v>435</v>
      </c>
      <c r="E6" s="620" t="s">
        <v>237</v>
      </c>
      <c r="F6" s="620" t="s">
        <v>199</v>
      </c>
      <c r="G6" s="612" t="s">
        <v>149</v>
      </c>
      <c r="H6" s="344" t="s">
        <v>318</v>
      </c>
      <c r="I6" s="344" t="s">
        <v>226</v>
      </c>
      <c r="J6" s="613" t="s">
        <v>152</v>
      </c>
      <c r="K6" s="620" t="s">
        <v>958</v>
      </c>
      <c r="L6" s="274" t="s">
        <v>510</v>
      </c>
      <c r="M6" s="615" t="s">
        <v>501</v>
      </c>
      <c r="N6" s="616">
        <v>44136</v>
      </c>
      <c r="O6" s="616">
        <v>44561</v>
      </c>
      <c r="P6" s="372" t="s">
        <v>511</v>
      </c>
      <c r="Q6" s="617"/>
      <c r="R6" s="617"/>
      <c r="S6" s="617"/>
      <c r="T6" s="617"/>
      <c r="U6" s="617"/>
      <c r="V6" s="617"/>
      <c r="W6" s="617"/>
      <c r="X6" s="617"/>
      <c r="Y6" s="603"/>
      <c r="Z6" s="603"/>
    </row>
    <row r="7" spans="1:26" ht="90" x14ac:dyDescent="0.2">
      <c r="A7" s="328">
        <v>3</v>
      </c>
      <c r="B7" s="329" t="s">
        <v>494</v>
      </c>
      <c r="C7" s="621" t="s">
        <v>438</v>
      </c>
      <c r="D7" s="622" t="s">
        <v>439</v>
      </c>
      <c r="E7" s="620" t="s">
        <v>237</v>
      </c>
      <c r="F7" s="620" t="s">
        <v>184</v>
      </c>
      <c r="G7" s="612" t="s">
        <v>150</v>
      </c>
      <c r="H7" s="344" t="s">
        <v>318</v>
      </c>
      <c r="I7" s="344" t="s">
        <v>204</v>
      </c>
      <c r="J7" s="613" t="s">
        <v>151</v>
      </c>
      <c r="K7" s="620" t="s">
        <v>187</v>
      </c>
      <c r="L7" s="274" t="s">
        <v>361</v>
      </c>
      <c r="M7" s="615" t="s">
        <v>501</v>
      </c>
      <c r="N7" s="616">
        <v>44136</v>
      </c>
      <c r="O7" s="616">
        <v>44561</v>
      </c>
      <c r="P7" s="372" t="s">
        <v>363</v>
      </c>
      <c r="Q7" s="623"/>
      <c r="R7" s="623"/>
      <c r="S7" s="623"/>
      <c r="T7" s="623"/>
      <c r="U7" s="623"/>
      <c r="V7" s="623"/>
      <c r="W7" s="623"/>
      <c r="X7" s="623"/>
      <c r="Y7" s="603"/>
      <c r="Z7" s="603"/>
    </row>
    <row r="8" spans="1:26" x14ac:dyDescent="0.2">
      <c r="A8" s="603"/>
      <c r="B8" s="603"/>
      <c r="C8" s="603"/>
      <c r="D8" s="603"/>
      <c r="E8" s="603"/>
      <c r="F8" s="603"/>
      <c r="G8" s="603"/>
      <c r="H8" s="603"/>
      <c r="I8" s="603"/>
      <c r="J8" s="603"/>
      <c r="K8" s="449"/>
      <c r="L8" s="603"/>
      <c r="M8" s="603"/>
      <c r="N8" s="603"/>
      <c r="O8" s="603"/>
      <c r="P8" s="603"/>
      <c r="Q8" s="603"/>
      <c r="R8" s="603"/>
      <c r="S8" s="603"/>
      <c r="T8" s="603"/>
      <c r="U8" s="603"/>
      <c r="V8" s="603"/>
      <c r="W8" s="603"/>
      <c r="X8" s="603"/>
      <c r="Y8" s="603"/>
      <c r="Z8" s="603"/>
    </row>
    <row r="9" spans="1:26" x14ac:dyDescent="0.2">
      <c r="A9" s="603"/>
      <c r="B9" s="603"/>
      <c r="C9" s="603"/>
      <c r="D9" s="603"/>
      <c r="E9" s="603"/>
      <c r="F9" s="603"/>
      <c r="G9" s="603"/>
      <c r="H9" s="603"/>
      <c r="I9" s="603"/>
      <c r="J9" s="603"/>
      <c r="K9" s="449"/>
      <c r="L9" s="603"/>
      <c r="M9" s="603"/>
      <c r="N9" s="603"/>
      <c r="O9" s="603"/>
      <c r="P9" s="603"/>
      <c r="Q9" s="603"/>
      <c r="R9" s="603"/>
      <c r="S9" s="603"/>
      <c r="T9" s="603"/>
      <c r="U9" s="603"/>
      <c r="V9" s="603"/>
      <c r="W9" s="603"/>
      <c r="X9" s="603"/>
      <c r="Y9" s="603"/>
      <c r="Z9" s="603"/>
    </row>
    <row r="10" spans="1:26" x14ac:dyDescent="0.2">
      <c r="A10" s="603"/>
      <c r="B10" s="603"/>
      <c r="C10" s="603"/>
      <c r="D10" s="603"/>
      <c r="E10" s="603"/>
      <c r="F10" s="603"/>
      <c r="G10" s="603"/>
      <c r="H10" s="603"/>
      <c r="I10" s="603"/>
      <c r="J10" s="603"/>
      <c r="K10" s="449"/>
      <c r="L10" s="603"/>
      <c r="M10" s="603"/>
      <c r="N10" s="603"/>
      <c r="O10" s="603"/>
      <c r="P10" s="603"/>
      <c r="Q10" s="603"/>
      <c r="R10" s="603"/>
      <c r="S10" s="603"/>
      <c r="T10" s="603"/>
      <c r="U10" s="603"/>
      <c r="V10" s="603"/>
      <c r="W10" s="603"/>
      <c r="X10" s="603"/>
      <c r="Y10" s="603"/>
      <c r="Z10" s="603"/>
    </row>
    <row r="11" spans="1:26" x14ac:dyDescent="0.2">
      <c r="A11" s="603"/>
      <c r="B11" s="603"/>
      <c r="C11" s="603"/>
      <c r="D11" s="603"/>
      <c r="E11" s="603"/>
      <c r="F11" s="603"/>
      <c r="G11" s="603"/>
      <c r="H11" s="603"/>
      <c r="I11" s="603"/>
      <c r="J11" s="603"/>
      <c r="K11" s="449"/>
      <c r="L11" s="603"/>
      <c r="M11" s="603"/>
      <c r="N11" s="603"/>
      <c r="O11" s="603"/>
      <c r="P11" s="603"/>
      <c r="Q11" s="603"/>
      <c r="R11" s="603"/>
      <c r="S11" s="603"/>
      <c r="T11" s="603"/>
      <c r="U11" s="603"/>
      <c r="V11" s="603"/>
      <c r="W11" s="603"/>
      <c r="X11" s="603"/>
      <c r="Y11" s="603"/>
      <c r="Z11" s="603"/>
    </row>
    <row r="12" spans="1:26" x14ac:dyDescent="0.2">
      <c r="A12" s="603"/>
      <c r="B12" s="603"/>
      <c r="C12" s="603"/>
      <c r="D12" s="603"/>
      <c r="E12" s="603"/>
      <c r="F12" s="603"/>
      <c r="G12" s="603"/>
      <c r="H12" s="603"/>
      <c r="I12" s="603"/>
      <c r="J12" s="603"/>
      <c r="K12" s="449"/>
      <c r="L12" s="603"/>
      <c r="M12" s="603"/>
      <c r="N12" s="603"/>
      <c r="O12" s="603"/>
      <c r="P12" s="603"/>
      <c r="Q12" s="603"/>
      <c r="R12" s="603"/>
      <c r="S12" s="603"/>
      <c r="T12" s="603"/>
      <c r="U12" s="603"/>
      <c r="V12" s="603"/>
      <c r="W12" s="603"/>
      <c r="X12" s="603"/>
      <c r="Y12" s="603"/>
      <c r="Z12" s="603"/>
    </row>
    <row r="13" spans="1:26" x14ac:dyDescent="0.2">
      <c r="A13" s="603"/>
      <c r="B13" s="603"/>
      <c r="C13" s="603"/>
      <c r="D13" s="603"/>
      <c r="E13" s="603"/>
      <c r="F13" s="603"/>
      <c r="G13" s="603"/>
      <c r="H13" s="603"/>
      <c r="I13" s="603"/>
      <c r="J13" s="603"/>
      <c r="K13" s="449"/>
      <c r="L13" s="603"/>
      <c r="M13" s="603"/>
      <c r="N13" s="603"/>
      <c r="O13" s="603"/>
      <c r="P13" s="603"/>
      <c r="Q13" s="603"/>
      <c r="R13" s="603"/>
      <c r="S13" s="603"/>
      <c r="T13" s="603"/>
      <c r="U13" s="603"/>
      <c r="V13" s="603"/>
      <c r="W13" s="603"/>
      <c r="X13" s="603"/>
      <c r="Y13" s="603"/>
      <c r="Z13" s="603"/>
    </row>
    <row r="14" spans="1:26" x14ac:dyDescent="0.2">
      <c r="A14" s="603"/>
      <c r="B14" s="603"/>
      <c r="C14" s="603"/>
      <c r="D14" s="603"/>
      <c r="E14" s="603"/>
      <c r="F14" s="603"/>
      <c r="G14" s="603"/>
      <c r="H14" s="603"/>
      <c r="I14" s="603"/>
      <c r="J14" s="603"/>
      <c r="K14" s="449"/>
      <c r="L14" s="603"/>
      <c r="M14" s="603"/>
      <c r="N14" s="603"/>
      <c r="O14" s="603"/>
      <c r="P14" s="603"/>
      <c r="Q14" s="603"/>
      <c r="R14" s="603"/>
      <c r="S14" s="603"/>
      <c r="T14" s="603"/>
      <c r="U14" s="603"/>
      <c r="V14" s="603"/>
      <c r="W14" s="603"/>
      <c r="X14" s="603"/>
      <c r="Y14" s="603"/>
      <c r="Z14" s="603"/>
    </row>
    <row r="15" spans="1:26" x14ac:dyDescent="0.2">
      <c r="A15" s="603"/>
      <c r="B15" s="603"/>
      <c r="C15" s="603"/>
      <c r="D15" s="603"/>
      <c r="E15" s="603"/>
      <c r="F15" s="603"/>
      <c r="G15" s="603"/>
      <c r="H15" s="603"/>
      <c r="I15" s="603"/>
      <c r="J15" s="603"/>
      <c r="K15" s="449"/>
      <c r="L15" s="603"/>
      <c r="M15" s="603"/>
      <c r="N15" s="603"/>
      <c r="O15" s="603"/>
      <c r="P15" s="603"/>
      <c r="Q15" s="603"/>
      <c r="R15" s="603"/>
      <c r="S15" s="603"/>
      <c r="T15" s="603"/>
      <c r="U15" s="603"/>
      <c r="V15" s="603"/>
      <c r="W15" s="603"/>
      <c r="X15" s="603"/>
      <c r="Y15" s="603"/>
      <c r="Z15" s="603"/>
    </row>
    <row r="16" spans="1:26" x14ac:dyDescent="0.2">
      <c r="A16" s="603"/>
      <c r="B16" s="603"/>
      <c r="C16" s="603"/>
      <c r="D16" s="603"/>
      <c r="E16" s="603"/>
      <c r="F16" s="603"/>
      <c r="G16" s="603"/>
      <c r="H16" s="603"/>
      <c r="I16" s="603"/>
      <c r="J16" s="603"/>
      <c r="K16" s="449"/>
      <c r="L16" s="603"/>
      <c r="M16" s="603"/>
      <c r="N16" s="603"/>
      <c r="O16" s="603"/>
      <c r="P16" s="603"/>
      <c r="Q16" s="603"/>
      <c r="R16" s="603"/>
      <c r="S16" s="603"/>
      <c r="T16" s="603"/>
      <c r="U16" s="603"/>
      <c r="V16" s="603"/>
      <c r="W16" s="603"/>
      <c r="X16" s="603"/>
      <c r="Y16" s="603"/>
      <c r="Z16" s="603"/>
    </row>
    <row r="17" spans="1:26" x14ac:dyDescent="0.2">
      <c r="A17" s="603"/>
      <c r="B17" s="603"/>
      <c r="C17" s="603"/>
      <c r="D17" s="603"/>
      <c r="E17" s="603"/>
      <c r="F17" s="603"/>
      <c r="G17" s="603"/>
      <c r="H17" s="603"/>
      <c r="I17" s="603"/>
      <c r="J17" s="603"/>
      <c r="K17" s="449"/>
      <c r="L17" s="603"/>
      <c r="M17" s="603"/>
      <c r="N17" s="603"/>
      <c r="O17" s="603"/>
      <c r="P17" s="603"/>
      <c r="Q17" s="603"/>
      <c r="R17" s="603"/>
      <c r="S17" s="603"/>
      <c r="T17" s="603"/>
      <c r="U17" s="603"/>
      <c r="V17" s="603"/>
      <c r="W17" s="603"/>
      <c r="X17" s="603"/>
      <c r="Y17" s="603"/>
      <c r="Z17" s="603"/>
    </row>
    <row r="18" spans="1:26" x14ac:dyDescent="0.2">
      <c r="A18" s="603"/>
      <c r="B18" s="603"/>
      <c r="C18" s="603"/>
      <c r="D18" s="603"/>
      <c r="E18" s="603"/>
      <c r="F18" s="603"/>
      <c r="G18" s="603"/>
      <c r="H18" s="603"/>
      <c r="I18" s="603"/>
      <c r="J18" s="603"/>
      <c r="K18" s="449"/>
      <c r="L18" s="603"/>
      <c r="M18" s="603"/>
      <c r="N18" s="603"/>
      <c r="O18" s="603"/>
      <c r="P18" s="603"/>
      <c r="Q18" s="603"/>
      <c r="R18" s="603"/>
      <c r="S18" s="603"/>
      <c r="T18" s="603"/>
      <c r="U18" s="603"/>
      <c r="V18" s="603"/>
      <c r="W18" s="603"/>
      <c r="X18" s="603"/>
      <c r="Y18" s="603"/>
      <c r="Z18" s="603"/>
    </row>
    <row r="19" spans="1:26" x14ac:dyDescent="0.2">
      <c r="A19" s="603"/>
      <c r="B19" s="603"/>
      <c r="C19" s="603"/>
      <c r="D19" s="603"/>
      <c r="E19" s="603"/>
      <c r="F19" s="603"/>
      <c r="G19" s="603"/>
      <c r="H19" s="603"/>
      <c r="I19" s="603"/>
      <c r="J19" s="603"/>
      <c r="K19" s="449"/>
      <c r="L19" s="603"/>
      <c r="M19" s="603"/>
      <c r="N19" s="603"/>
      <c r="O19" s="603"/>
      <c r="P19" s="603"/>
      <c r="Q19" s="603"/>
      <c r="R19" s="603"/>
      <c r="S19" s="603"/>
      <c r="T19" s="603"/>
      <c r="U19" s="603"/>
      <c r="V19" s="603"/>
      <c r="W19" s="603"/>
      <c r="X19" s="603"/>
      <c r="Y19" s="603"/>
      <c r="Z19" s="603"/>
    </row>
    <row r="20" spans="1:26" x14ac:dyDescent="0.2">
      <c r="A20" s="603"/>
      <c r="B20" s="603"/>
      <c r="C20" s="603"/>
      <c r="D20" s="603"/>
      <c r="E20" s="603"/>
      <c r="F20" s="603"/>
      <c r="G20" s="603"/>
      <c r="H20" s="603"/>
      <c r="I20" s="603"/>
      <c r="J20" s="603"/>
      <c r="K20" s="449"/>
      <c r="L20" s="603"/>
      <c r="M20" s="603"/>
      <c r="N20" s="603"/>
      <c r="O20" s="603"/>
      <c r="P20" s="603"/>
      <c r="Q20" s="603"/>
      <c r="R20" s="603"/>
      <c r="S20" s="603"/>
      <c r="T20" s="603"/>
      <c r="U20" s="603"/>
      <c r="V20" s="603"/>
      <c r="W20" s="603"/>
      <c r="X20" s="603"/>
      <c r="Y20" s="603"/>
      <c r="Z20" s="603"/>
    </row>
    <row r="21" spans="1:26" ht="15.75" customHeight="1" x14ac:dyDescent="0.2">
      <c r="A21" s="603"/>
      <c r="B21" s="603"/>
      <c r="C21" s="603"/>
      <c r="D21" s="603"/>
      <c r="E21" s="603"/>
      <c r="F21" s="603"/>
      <c r="G21" s="603"/>
      <c r="H21" s="603"/>
      <c r="I21" s="603"/>
      <c r="J21" s="603"/>
      <c r="K21" s="449"/>
      <c r="L21" s="603"/>
      <c r="M21" s="603"/>
      <c r="N21" s="603"/>
      <c r="O21" s="603"/>
      <c r="P21" s="603"/>
      <c r="Q21" s="603"/>
      <c r="R21" s="603"/>
      <c r="S21" s="603"/>
      <c r="T21" s="603"/>
      <c r="U21" s="603"/>
      <c r="V21" s="603"/>
      <c r="W21" s="603"/>
      <c r="X21" s="603"/>
      <c r="Y21" s="603"/>
      <c r="Z21" s="603"/>
    </row>
    <row r="22" spans="1:26" ht="15.75" customHeight="1" x14ac:dyDescent="0.2">
      <c r="A22" s="603"/>
      <c r="B22" s="603"/>
      <c r="C22" s="603"/>
      <c r="D22" s="603"/>
      <c r="E22" s="603"/>
      <c r="F22" s="603"/>
      <c r="G22" s="603"/>
      <c r="H22" s="603"/>
      <c r="I22" s="603"/>
      <c r="J22" s="603"/>
      <c r="K22" s="449"/>
      <c r="L22" s="603"/>
      <c r="M22" s="603"/>
      <c r="N22" s="603"/>
      <c r="O22" s="603"/>
      <c r="P22" s="603"/>
      <c r="Q22" s="603"/>
      <c r="R22" s="603"/>
      <c r="S22" s="603"/>
      <c r="T22" s="603"/>
      <c r="U22" s="603"/>
      <c r="V22" s="603"/>
      <c r="W22" s="603"/>
      <c r="X22" s="603"/>
      <c r="Y22" s="603"/>
      <c r="Z22" s="603"/>
    </row>
    <row r="23" spans="1:26" ht="15.75" customHeight="1" x14ac:dyDescent="0.2">
      <c r="A23" s="603"/>
      <c r="B23" s="603"/>
      <c r="C23" s="603"/>
      <c r="D23" s="603"/>
      <c r="E23" s="603"/>
      <c r="F23" s="603"/>
      <c r="G23" s="603"/>
      <c r="H23" s="603"/>
      <c r="I23" s="603"/>
      <c r="J23" s="603"/>
      <c r="K23" s="449"/>
      <c r="L23" s="603"/>
      <c r="M23" s="603"/>
      <c r="N23" s="603"/>
      <c r="O23" s="603"/>
      <c r="P23" s="603"/>
      <c r="Q23" s="603"/>
      <c r="R23" s="603"/>
      <c r="S23" s="603"/>
      <c r="T23" s="603"/>
      <c r="U23" s="603"/>
      <c r="V23" s="603"/>
      <c r="W23" s="603"/>
      <c r="X23" s="603"/>
      <c r="Y23" s="603"/>
      <c r="Z23" s="603"/>
    </row>
    <row r="24" spans="1:26" ht="15.75" customHeight="1" x14ac:dyDescent="0.2">
      <c r="A24" s="603"/>
      <c r="B24" s="603"/>
      <c r="C24" s="603"/>
      <c r="D24" s="603"/>
      <c r="E24" s="603"/>
      <c r="F24" s="603"/>
      <c r="G24" s="603"/>
      <c r="H24" s="603"/>
      <c r="I24" s="603"/>
      <c r="J24" s="603"/>
      <c r="K24" s="449"/>
      <c r="L24" s="603"/>
      <c r="M24" s="603"/>
      <c r="N24" s="603"/>
      <c r="O24" s="603"/>
      <c r="P24" s="603"/>
      <c r="Q24" s="603"/>
      <c r="R24" s="603"/>
      <c r="S24" s="603"/>
      <c r="T24" s="603"/>
      <c r="U24" s="603"/>
      <c r="V24" s="603"/>
      <c r="W24" s="603"/>
      <c r="X24" s="603"/>
      <c r="Y24" s="603"/>
      <c r="Z24" s="603"/>
    </row>
    <row r="25" spans="1:26" ht="15.75" customHeight="1" x14ac:dyDescent="0.2">
      <c r="A25" s="603"/>
      <c r="B25" s="603"/>
      <c r="C25" s="603"/>
      <c r="D25" s="603"/>
      <c r="E25" s="603"/>
      <c r="F25" s="603"/>
      <c r="G25" s="603"/>
      <c r="H25" s="603"/>
      <c r="I25" s="603"/>
      <c r="J25" s="603"/>
      <c r="K25" s="449"/>
      <c r="L25" s="603"/>
      <c r="M25" s="603"/>
      <c r="N25" s="603"/>
      <c r="O25" s="603"/>
      <c r="P25" s="603"/>
      <c r="Q25" s="603"/>
      <c r="R25" s="603"/>
      <c r="S25" s="603"/>
      <c r="T25" s="603"/>
      <c r="U25" s="603"/>
      <c r="V25" s="603"/>
      <c r="W25" s="603"/>
      <c r="X25" s="603"/>
      <c r="Y25" s="603"/>
      <c r="Z25" s="603"/>
    </row>
    <row r="26" spans="1:26" ht="15.75" customHeight="1" x14ac:dyDescent="0.2">
      <c r="A26" s="603"/>
      <c r="B26" s="603"/>
      <c r="C26" s="603"/>
      <c r="D26" s="603"/>
      <c r="E26" s="603"/>
      <c r="F26" s="603"/>
      <c r="G26" s="603"/>
      <c r="H26" s="603"/>
      <c r="I26" s="603"/>
      <c r="J26" s="603"/>
      <c r="K26" s="449"/>
      <c r="L26" s="603"/>
      <c r="M26" s="603"/>
      <c r="N26" s="603"/>
      <c r="O26" s="603"/>
      <c r="P26" s="603"/>
      <c r="Q26" s="603"/>
      <c r="R26" s="603"/>
      <c r="S26" s="603"/>
      <c r="T26" s="603"/>
      <c r="U26" s="603"/>
      <c r="V26" s="603"/>
      <c r="W26" s="603"/>
      <c r="X26" s="603"/>
      <c r="Y26" s="603"/>
      <c r="Z26" s="603"/>
    </row>
    <row r="27" spans="1:26" ht="15.75" customHeight="1" x14ac:dyDescent="0.2">
      <c r="A27" s="603"/>
      <c r="B27" s="603"/>
      <c r="C27" s="603"/>
      <c r="D27" s="603"/>
      <c r="E27" s="603"/>
      <c r="F27" s="603"/>
      <c r="G27" s="603"/>
      <c r="H27" s="603"/>
      <c r="I27" s="603"/>
      <c r="J27" s="603"/>
      <c r="K27" s="449"/>
      <c r="L27" s="603"/>
      <c r="M27" s="603"/>
      <c r="N27" s="603"/>
      <c r="O27" s="603"/>
      <c r="P27" s="603"/>
      <c r="Q27" s="603"/>
      <c r="R27" s="603"/>
      <c r="S27" s="603"/>
      <c r="T27" s="603"/>
      <c r="U27" s="603"/>
      <c r="V27" s="603"/>
      <c r="W27" s="603"/>
      <c r="X27" s="603"/>
      <c r="Y27" s="603"/>
      <c r="Z27" s="603"/>
    </row>
    <row r="28" spans="1:26" ht="15.75" customHeight="1" x14ac:dyDescent="0.2">
      <c r="A28" s="603"/>
      <c r="B28" s="603"/>
      <c r="C28" s="603"/>
      <c r="D28" s="603"/>
      <c r="E28" s="603"/>
      <c r="F28" s="603"/>
      <c r="G28" s="603"/>
      <c r="H28" s="603"/>
      <c r="I28" s="603"/>
      <c r="J28" s="603"/>
      <c r="K28" s="449"/>
      <c r="L28" s="603"/>
      <c r="M28" s="603"/>
      <c r="N28" s="603"/>
      <c r="O28" s="603"/>
      <c r="P28" s="603"/>
      <c r="Q28" s="603"/>
      <c r="R28" s="603"/>
      <c r="S28" s="603"/>
      <c r="T28" s="603"/>
      <c r="U28" s="603"/>
      <c r="V28" s="603"/>
      <c r="W28" s="603"/>
      <c r="X28" s="603"/>
      <c r="Y28" s="603"/>
      <c r="Z28" s="603"/>
    </row>
    <row r="29" spans="1:26" ht="15.75" customHeight="1" x14ac:dyDescent="0.2">
      <c r="A29" s="603"/>
      <c r="B29" s="603"/>
      <c r="C29" s="603"/>
      <c r="D29" s="603"/>
      <c r="E29" s="603"/>
      <c r="F29" s="603"/>
      <c r="G29" s="603"/>
      <c r="H29" s="603"/>
      <c r="I29" s="603"/>
      <c r="J29" s="603"/>
      <c r="K29" s="449"/>
      <c r="L29" s="603"/>
      <c r="M29" s="603"/>
      <c r="N29" s="603"/>
      <c r="O29" s="603"/>
      <c r="P29" s="603"/>
      <c r="Q29" s="603"/>
      <c r="R29" s="603"/>
      <c r="S29" s="603"/>
      <c r="T29" s="603"/>
      <c r="U29" s="603"/>
      <c r="V29" s="603"/>
      <c r="W29" s="603"/>
      <c r="X29" s="603"/>
      <c r="Y29" s="603"/>
      <c r="Z29" s="603"/>
    </row>
    <row r="30" spans="1:26" ht="15.75" customHeight="1" x14ac:dyDescent="0.2">
      <c r="A30" s="603"/>
      <c r="B30" s="603"/>
      <c r="C30" s="603"/>
      <c r="D30" s="603"/>
      <c r="E30" s="603"/>
      <c r="F30" s="603"/>
      <c r="G30" s="603"/>
      <c r="H30" s="603"/>
      <c r="I30" s="603"/>
      <c r="J30" s="603"/>
      <c r="K30" s="449"/>
      <c r="L30" s="603"/>
      <c r="M30" s="603"/>
      <c r="N30" s="603"/>
      <c r="O30" s="603"/>
      <c r="P30" s="603"/>
      <c r="Q30" s="603"/>
      <c r="R30" s="603"/>
      <c r="S30" s="603"/>
      <c r="T30" s="603"/>
      <c r="U30" s="603"/>
      <c r="V30" s="603"/>
      <c r="W30" s="603"/>
      <c r="X30" s="603"/>
      <c r="Y30" s="603"/>
      <c r="Z30" s="603"/>
    </row>
    <row r="31" spans="1:26" ht="15.75" customHeight="1" x14ac:dyDescent="0.2">
      <c r="A31" s="603"/>
      <c r="B31" s="603"/>
      <c r="C31" s="603"/>
      <c r="D31" s="603"/>
      <c r="E31" s="603"/>
      <c r="F31" s="603"/>
      <c r="G31" s="603"/>
      <c r="H31" s="603"/>
      <c r="I31" s="603"/>
      <c r="J31" s="603"/>
      <c r="K31" s="449"/>
      <c r="L31" s="603"/>
      <c r="M31" s="603"/>
      <c r="N31" s="603"/>
      <c r="O31" s="603"/>
      <c r="P31" s="603"/>
      <c r="Q31" s="603"/>
      <c r="R31" s="603"/>
      <c r="S31" s="603"/>
      <c r="T31" s="603"/>
      <c r="U31" s="603"/>
      <c r="V31" s="603"/>
      <c r="W31" s="603"/>
      <c r="X31" s="603"/>
      <c r="Y31" s="603"/>
      <c r="Z31" s="603"/>
    </row>
    <row r="32" spans="1:26" ht="15.75" customHeight="1" x14ac:dyDescent="0.2">
      <c r="A32" s="603"/>
      <c r="B32" s="603"/>
      <c r="C32" s="603"/>
      <c r="D32" s="603"/>
      <c r="E32" s="603"/>
      <c r="F32" s="603"/>
      <c r="G32" s="603"/>
      <c r="H32" s="603"/>
      <c r="I32" s="603"/>
      <c r="J32" s="603"/>
      <c r="K32" s="449"/>
      <c r="L32" s="603"/>
      <c r="M32" s="603"/>
      <c r="N32" s="603"/>
      <c r="O32" s="603"/>
      <c r="P32" s="603"/>
      <c r="Q32" s="603"/>
      <c r="R32" s="603"/>
      <c r="S32" s="603"/>
      <c r="T32" s="603"/>
      <c r="U32" s="603"/>
      <c r="V32" s="603"/>
      <c r="W32" s="603"/>
      <c r="X32" s="603"/>
      <c r="Y32" s="603"/>
      <c r="Z32" s="603"/>
    </row>
    <row r="33" spans="1:26" ht="15.75" customHeight="1" x14ac:dyDescent="0.2">
      <c r="A33" s="603"/>
      <c r="B33" s="603"/>
      <c r="C33" s="603"/>
      <c r="D33" s="603"/>
      <c r="E33" s="603"/>
      <c r="F33" s="603"/>
      <c r="G33" s="603"/>
      <c r="H33" s="603"/>
      <c r="I33" s="603"/>
      <c r="J33" s="603"/>
      <c r="K33" s="449"/>
      <c r="L33" s="603"/>
      <c r="M33" s="603"/>
      <c r="N33" s="603"/>
      <c r="O33" s="603"/>
      <c r="P33" s="603"/>
      <c r="Q33" s="603"/>
      <c r="R33" s="603"/>
      <c r="S33" s="603"/>
      <c r="T33" s="603"/>
      <c r="U33" s="603"/>
      <c r="V33" s="603"/>
      <c r="W33" s="603"/>
      <c r="X33" s="603"/>
      <c r="Y33" s="603"/>
      <c r="Z33" s="603"/>
    </row>
    <row r="34" spans="1:26" ht="15.75" customHeight="1" x14ac:dyDescent="0.2">
      <c r="A34" s="603"/>
      <c r="B34" s="603"/>
      <c r="C34" s="603"/>
      <c r="D34" s="603"/>
      <c r="E34" s="603"/>
      <c r="F34" s="603"/>
      <c r="G34" s="603"/>
      <c r="H34" s="603"/>
      <c r="I34" s="603"/>
      <c r="J34" s="603"/>
      <c r="K34" s="449"/>
      <c r="L34" s="603"/>
      <c r="M34" s="603"/>
      <c r="N34" s="603"/>
      <c r="O34" s="603"/>
      <c r="P34" s="603"/>
      <c r="Q34" s="603"/>
      <c r="R34" s="603"/>
      <c r="S34" s="603"/>
      <c r="T34" s="603"/>
      <c r="U34" s="603"/>
      <c r="V34" s="603"/>
      <c r="W34" s="603"/>
      <c r="X34" s="603"/>
      <c r="Y34" s="603"/>
      <c r="Z34" s="603"/>
    </row>
    <row r="35" spans="1:26" ht="15.75" customHeight="1" x14ac:dyDescent="0.2">
      <c r="A35" s="603"/>
      <c r="B35" s="603"/>
      <c r="C35" s="603"/>
      <c r="D35" s="603"/>
      <c r="E35" s="603"/>
      <c r="F35" s="603"/>
      <c r="G35" s="603"/>
      <c r="H35" s="603"/>
      <c r="I35" s="603"/>
      <c r="J35" s="603"/>
      <c r="K35" s="449"/>
      <c r="L35" s="603"/>
      <c r="M35" s="603"/>
      <c r="N35" s="603"/>
      <c r="O35" s="603"/>
      <c r="P35" s="603"/>
      <c r="Q35" s="603"/>
      <c r="R35" s="603"/>
      <c r="S35" s="603"/>
      <c r="T35" s="603"/>
      <c r="U35" s="603"/>
      <c r="V35" s="603"/>
      <c r="W35" s="603"/>
      <c r="X35" s="603"/>
      <c r="Y35" s="603"/>
      <c r="Z35" s="603"/>
    </row>
    <row r="36" spans="1:26" ht="15.75" customHeight="1" x14ac:dyDescent="0.2">
      <c r="A36" s="603"/>
      <c r="B36" s="603"/>
      <c r="C36" s="603"/>
      <c r="D36" s="603"/>
      <c r="E36" s="603"/>
      <c r="F36" s="603"/>
      <c r="G36" s="603"/>
      <c r="H36" s="603"/>
      <c r="I36" s="603"/>
      <c r="J36" s="603"/>
      <c r="K36" s="449"/>
      <c r="L36" s="603"/>
      <c r="M36" s="603"/>
      <c r="N36" s="603"/>
      <c r="O36" s="603"/>
      <c r="P36" s="603"/>
      <c r="Q36" s="603"/>
      <c r="R36" s="603"/>
      <c r="S36" s="603"/>
      <c r="T36" s="603"/>
      <c r="U36" s="603"/>
      <c r="V36" s="603"/>
      <c r="W36" s="603"/>
      <c r="X36" s="603"/>
      <c r="Y36" s="603"/>
      <c r="Z36" s="603"/>
    </row>
    <row r="37" spans="1:26" ht="15.75" customHeight="1" x14ac:dyDescent="0.2">
      <c r="A37" s="603"/>
      <c r="B37" s="603"/>
      <c r="C37" s="603"/>
      <c r="D37" s="603"/>
      <c r="E37" s="603"/>
      <c r="F37" s="603"/>
      <c r="G37" s="603"/>
      <c r="H37" s="603"/>
      <c r="I37" s="603"/>
      <c r="J37" s="603"/>
      <c r="K37" s="449"/>
      <c r="L37" s="603"/>
      <c r="M37" s="603"/>
      <c r="N37" s="603"/>
      <c r="O37" s="603"/>
      <c r="P37" s="603"/>
      <c r="Q37" s="603"/>
      <c r="R37" s="603"/>
      <c r="S37" s="603"/>
      <c r="T37" s="603"/>
      <c r="U37" s="603"/>
      <c r="V37" s="603"/>
      <c r="W37" s="603"/>
      <c r="X37" s="603"/>
      <c r="Y37" s="603"/>
      <c r="Z37" s="603"/>
    </row>
    <row r="38" spans="1:26" ht="15.75" customHeight="1" x14ac:dyDescent="0.2">
      <c r="A38" s="603"/>
      <c r="B38" s="603"/>
      <c r="C38" s="603"/>
      <c r="D38" s="603"/>
      <c r="E38" s="603"/>
      <c r="F38" s="603"/>
      <c r="G38" s="603"/>
      <c r="H38" s="603"/>
      <c r="I38" s="603"/>
      <c r="J38" s="603"/>
      <c r="K38" s="449"/>
      <c r="L38" s="603"/>
      <c r="M38" s="603"/>
      <c r="N38" s="603"/>
      <c r="O38" s="603"/>
      <c r="P38" s="603"/>
      <c r="Q38" s="603"/>
      <c r="R38" s="603"/>
      <c r="S38" s="603"/>
      <c r="T38" s="603"/>
      <c r="U38" s="603"/>
      <c r="V38" s="603"/>
      <c r="W38" s="603"/>
      <c r="X38" s="603"/>
      <c r="Y38" s="603"/>
      <c r="Z38" s="603"/>
    </row>
    <row r="39" spans="1:26" ht="15.75" customHeight="1" x14ac:dyDescent="0.2">
      <c r="A39" s="603"/>
      <c r="B39" s="603"/>
      <c r="C39" s="603"/>
      <c r="D39" s="603"/>
      <c r="E39" s="603"/>
      <c r="F39" s="603"/>
      <c r="G39" s="603"/>
      <c r="H39" s="603"/>
      <c r="I39" s="603"/>
      <c r="J39" s="603"/>
      <c r="K39" s="449"/>
      <c r="L39" s="603"/>
      <c r="M39" s="603"/>
      <c r="N39" s="603"/>
      <c r="O39" s="603"/>
      <c r="P39" s="603"/>
      <c r="Q39" s="603"/>
      <c r="R39" s="603"/>
      <c r="S39" s="603"/>
      <c r="T39" s="603"/>
      <c r="U39" s="603"/>
      <c r="V39" s="603"/>
      <c r="W39" s="603"/>
      <c r="X39" s="603"/>
      <c r="Y39" s="603"/>
      <c r="Z39" s="603"/>
    </row>
    <row r="40" spans="1:26" ht="15.75" customHeight="1" x14ac:dyDescent="0.2">
      <c r="A40" s="603"/>
      <c r="B40" s="603"/>
      <c r="C40" s="603"/>
      <c r="D40" s="603"/>
      <c r="E40" s="603"/>
      <c r="F40" s="603"/>
      <c r="G40" s="603"/>
      <c r="H40" s="603"/>
      <c r="I40" s="603"/>
      <c r="J40" s="603"/>
      <c r="K40" s="449"/>
      <c r="L40" s="603"/>
      <c r="M40" s="603"/>
      <c r="N40" s="603"/>
      <c r="O40" s="603"/>
      <c r="P40" s="603"/>
      <c r="Q40" s="603"/>
      <c r="R40" s="603"/>
      <c r="S40" s="603"/>
      <c r="T40" s="603"/>
      <c r="U40" s="603"/>
      <c r="V40" s="603"/>
      <c r="W40" s="603"/>
      <c r="X40" s="603"/>
      <c r="Y40" s="603"/>
      <c r="Z40" s="603"/>
    </row>
    <row r="41" spans="1:26" ht="15.75" customHeight="1" x14ac:dyDescent="0.2">
      <c r="A41" s="603"/>
      <c r="B41" s="603"/>
      <c r="C41" s="603"/>
      <c r="D41" s="603"/>
      <c r="E41" s="603"/>
      <c r="F41" s="603"/>
      <c r="G41" s="603"/>
      <c r="H41" s="603"/>
      <c r="I41" s="603"/>
      <c r="J41" s="603"/>
      <c r="K41" s="449"/>
      <c r="L41" s="603"/>
      <c r="M41" s="603"/>
      <c r="N41" s="603"/>
      <c r="O41" s="603"/>
      <c r="P41" s="603"/>
      <c r="Q41" s="603"/>
      <c r="R41" s="603"/>
      <c r="S41" s="603"/>
      <c r="T41" s="603"/>
      <c r="U41" s="603"/>
      <c r="V41" s="603"/>
      <c r="W41" s="603"/>
      <c r="X41" s="603"/>
      <c r="Y41" s="603"/>
      <c r="Z41" s="603"/>
    </row>
    <row r="42" spans="1:26" ht="15.75" customHeight="1" x14ac:dyDescent="0.2">
      <c r="A42" s="603"/>
      <c r="B42" s="603"/>
      <c r="C42" s="603"/>
      <c r="D42" s="603"/>
      <c r="E42" s="603"/>
      <c r="F42" s="603"/>
      <c r="G42" s="603"/>
      <c r="H42" s="603"/>
      <c r="I42" s="603"/>
      <c r="J42" s="603"/>
      <c r="K42" s="449"/>
      <c r="L42" s="603"/>
      <c r="M42" s="603"/>
      <c r="N42" s="603"/>
      <c r="O42" s="603"/>
      <c r="P42" s="603"/>
      <c r="Q42" s="603"/>
      <c r="R42" s="603"/>
      <c r="S42" s="603"/>
      <c r="T42" s="603"/>
      <c r="U42" s="603"/>
      <c r="V42" s="603"/>
      <c r="W42" s="603"/>
      <c r="X42" s="603"/>
      <c r="Y42" s="603"/>
      <c r="Z42" s="603"/>
    </row>
    <row r="43" spans="1:26" ht="15.75" customHeight="1" x14ac:dyDescent="0.2">
      <c r="A43" s="603"/>
      <c r="B43" s="603"/>
      <c r="C43" s="603"/>
      <c r="D43" s="603"/>
      <c r="E43" s="603"/>
      <c r="F43" s="603"/>
      <c r="G43" s="603"/>
      <c r="H43" s="603"/>
      <c r="I43" s="603"/>
      <c r="J43" s="603"/>
      <c r="K43" s="449"/>
      <c r="L43" s="603"/>
      <c r="M43" s="603"/>
      <c r="N43" s="603"/>
      <c r="O43" s="603"/>
      <c r="P43" s="603"/>
      <c r="Q43" s="603"/>
      <c r="R43" s="603"/>
      <c r="S43" s="603"/>
      <c r="T43" s="603"/>
      <c r="U43" s="603"/>
      <c r="V43" s="603"/>
      <c r="W43" s="603"/>
      <c r="X43" s="603"/>
      <c r="Y43" s="603"/>
      <c r="Z43" s="603"/>
    </row>
    <row r="44" spans="1:26" ht="15.75" customHeight="1" x14ac:dyDescent="0.2">
      <c r="A44" s="603"/>
      <c r="B44" s="603"/>
      <c r="C44" s="603"/>
      <c r="D44" s="603"/>
      <c r="E44" s="603"/>
      <c r="F44" s="603"/>
      <c r="G44" s="603"/>
      <c r="H44" s="603"/>
      <c r="I44" s="603"/>
      <c r="J44" s="603"/>
      <c r="K44" s="449"/>
      <c r="L44" s="603"/>
      <c r="M44" s="603"/>
      <c r="N44" s="603"/>
      <c r="O44" s="603"/>
      <c r="P44" s="603"/>
      <c r="Q44" s="603"/>
      <c r="R44" s="603"/>
      <c r="S44" s="603"/>
      <c r="T44" s="603"/>
      <c r="U44" s="603"/>
      <c r="V44" s="603"/>
      <c r="W44" s="603"/>
      <c r="X44" s="603"/>
      <c r="Y44" s="603"/>
      <c r="Z44" s="603"/>
    </row>
    <row r="45" spans="1:26" ht="15.75" customHeight="1" x14ac:dyDescent="0.2">
      <c r="A45" s="603"/>
      <c r="B45" s="603"/>
      <c r="C45" s="603"/>
      <c r="D45" s="603"/>
      <c r="E45" s="603"/>
      <c r="F45" s="603"/>
      <c r="G45" s="603"/>
      <c r="H45" s="603"/>
      <c r="I45" s="603"/>
      <c r="J45" s="603"/>
      <c r="K45" s="449"/>
      <c r="L45" s="603"/>
      <c r="M45" s="603"/>
      <c r="N45" s="603"/>
      <c r="O45" s="603"/>
      <c r="P45" s="603"/>
      <c r="Q45" s="603"/>
      <c r="R45" s="603"/>
      <c r="S45" s="603"/>
      <c r="T45" s="603"/>
      <c r="U45" s="603"/>
      <c r="V45" s="603"/>
      <c r="W45" s="603"/>
      <c r="X45" s="603"/>
      <c r="Y45" s="603"/>
      <c r="Z45" s="603"/>
    </row>
    <row r="46" spans="1:26" ht="15.75" customHeight="1" x14ac:dyDescent="0.2">
      <c r="A46" s="603"/>
      <c r="B46" s="603"/>
      <c r="C46" s="603"/>
      <c r="D46" s="603"/>
      <c r="E46" s="603"/>
      <c r="F46" s="603"/>
      <c r="G46" s="603"/>
      <c r="H46" s="603"/>
      <c r="I46" s="603"/>
      <c r="J46" s="603"/>
      <c r="K46" s="449"/>
      <c r="L46" s="603"/>
      <c r="M46" s="603"/>
      <c r="N46" s="603"/>
      <c r="O46" s="603"/>
      <c r="P46" s="603"/>
      <c r="Q46" s="603"/>
      <c r="R46" s="603"/>
      <c r="S46" s="603"/>
      <c r="T46" s="603"/>
      <c r="U46" s="603"/>
      <c r="V46" s="603"/>
      <c r="W46" s="603"/>
      <c r="X46" s="603"/>
      <c r="Y46" s="603"/>
      <c r="Z46" s="603"/>
    </row>
    <row r="47" spans="1:26" ht="15.75" customHeight="1" x14ac:dyDescent="0.2">
      <c r="A47" s="603"/>
      <c r="B47" s="603"/>
      <c r="C47" s="603"/>
      <c r="D47" s="603"/>
      <c r="E47" s="603"/>
      <c r="F47" s="603"/>
      <c r="G47" s="603"/>
      <c r="H47" s="603"/>
      <c r="I47" s="603"/>
      <c r="J47" s="603"/>
      <c r="K47" s="449"/>
      <c r="L47" s="603"/>
      <c r="M47" s="603"/>
      <c r="N47" s="603"/>
      <c r="O47" s="603"/>
      <c r="P47" s="603"/>
      <c r="Q47" s="603"/>
      <c r="R47" s="603"/>
      <c r="S47" s="603"/>
      <c r="T47" s="603"/>
      <c r="U47" s="603"/>
      <c r="V47" s="603"/>
      <c r="W47" s="603"/>
      <c r="X47" s="603"/>
      <c r="Y47" s="603"/>
      <c r="Z47" s="603"/>
    </row>
    <row r="48" spans="1:26" ht="15.75" customHeight="1" x14ac:dyDescent="0.2">
      <c r="A48" s="603"/>
      <c r="B48" s="603"/>
      <c r="C48" s="603"/>
      <c r="D48" s="603"/>
      <c r="E48" s="603"/>
      <c r="F48" s="603"/>
      <c r="G48" s="603"/>
      <c r="H48" s="603"/>
      <c r="I48" s="603"/>
      <c r="J48" s="603"/>
      <c r="K48" s="449"/>
      <c r="L48" s="603"/>
      <c r="M48" s="603"/>
      <c r="N48" s="603"/>
      <c r="O48" s="603"/>
      <c r="P48" s="603"/>
      <c r="Q48" s="603"/>
      <c r="R48" s="603"/>
      <c r="S48" s="603"/>
      <c r="T48" s="603"/>
      <c r="U48" s="603"/>
      <c r="V48" s="603"/>
      <c r="W48" s="603"/>
      <c r="X48" s="603"/>
      <c r="Y48" s="603"/>
      <c r="Z48" s="603"/>
    </row>
    <row r="49" spans="1:26" ht="15.75" customHeight="1" x14ac:dyDescent="0.2">
      <c r="A49" s="603"/>
      <c r="B49" s="603"/>
      <c r="C49" s="603"/>
      <c r="D49" s="603"/>
      <c r="E49" s="603"/>
      <c r="F49" s="603"/>
      <c r="G49" s="603"/>
      <c r="H49" s="603"/>
      <c r="I49" s="603"/>
      <c r="J49" s="603"/>
      <c r="K49" s="449"/>
      <c r="L49" s="603"/>
      <c r="M49" s="603"/>
      <c r="N49" s="603"/>
      <c r="O49" s="603"/>
      <c r="P49" s="603"/>
      <c r="Q49" s="603"/>
      <c r="R49" s="603"/>
      <c r="S49" s="603"/>
      <c r="T49" s="603"/>
      <c r="U49" s="603"/>
      <c r="V49" s="603"/>
      <c r="W49" s="603"/>
      <c r="X49" s="603"/>
      <c r="Y49" s="603"/>
      <c r="Z49" s="603"/>
    </row>
    <row r="50" spans="1:26" ht="15.75" customHeight="1" x14ac:dyDescent="0.2">
      <c r="A50" s="603"/>
      <c r="B50" s="603"/>
      <c r="C50" s="603"/>
      <c r="D50" s="603"/>
      <c r="E50" s="603"/>
      <c r="F50" s="603"/>
      <c r="G50" s="603"/>
      <c r="H50" s="603"/>
      <c r="I50" s="603"/>
      <c r="J50" s="603"/>
      <c r="K50" s="449"/>
      <c r="L50" s="603"/>
      <c r="M50" s="603"/>
      <c r="N50" s="603"/>
      <c r="O50" s="603"/>
      <c r="P50" s="603"/>
      <c r="Q50" s="603"/>
      <c r="R50" s="603"/>
      <c r="S50" s="603"/>
      <c r="T50" s="603"/>
      <c r="U50" s="603"/>
      <c r="V50" s="603"/>
      <c r="W50" s="603"/>
      <c r="X50" s="603"/>
      <c r="Y50" s="603"/>
      <c r="Z50" s="603"/>
    </row>
    <row r="51" spans="1:26" ht="15.75" customHeight="1" x14ac:dyDescent="0.2">
      <c r="A51" s="603"/>
      <c r="B51" s="603"/>
      <c r="C51" s="603"/>
      <c r="D51" s="603"/>
      <c r="E51" s="603"/>
      <c r="F51" s="603"/>
      <c r="G51" s="603"/>
      <c r="H51" s="603"/>
      <c r="I51" s="603"/>
      <c r="J51" s="603"/>
      <c r="K51" s="449"/>
      <c r="L51" s="603"/>
      <c r="M51" s="603"/>
      <c r="N51" s="603"/>
      <c r="O51" s="603"/>
      <c r="P51" s="603"/>
      <c r="Q51" s="603"/>
      <c r="R51" s="603"/>
      <c r="S51" s="603"/>
      <c r="T51" s="603"/>
      <c r="U51" s="603"/>
      <c r="V51" s="603"/>
      <c r="W51" s="603"/>
      <c r="X51" s="603"/>
      <c r="Y51" s="603"/>
      <c r="Z51" s="603"/>
    </row>
    <row r="52" spans="1:26" ht="15.75" customHeight="1" x14ac:dyDescent="0.2">
      <c r="A52" s="603"/>
      <c r="B52" s="603"/>
      <c r="C52" s="603"/>
      <c r="D52" s="603"/>
      <c r="E52" s="603"/>
      <c r="F52" s="603"/>
      <c r="G52" s="603"/>
      <c r="H52" s="603"/>
      <c r="I52" s="603"/>
      <c r="J52" s="603"/>
      <c r="K52" s="449"/>
      <c r="L52" s="603"/>
      <c r="M52" s="603"/>
      <c r="N52" s="603"/>
      <c r="O52" s="603"/>
      <c r="P52" s="603"/>
      <c r="Q52" s="603"/>
      <c r="R52" s="603"/>
      <c r="S52" s="603"/>
      <c r="T52" s="603"/>
      <c r="U52" s="603"/>
      <c r="V52" s="603"/>
      <c r="W52" s="603"/>
      <c r="X52" s="603"/>
      <c r="Y52" s="603"/>
      <c r="Z52" s="603"/>
    </row>
    <row r="53" spans="1:26" ht="15.75" customHeight="1" x14ac:dyDescent="0.2">
      <c r="A53" s="603"/>
      <c r="B53" s="603"/>
      <c r="C53" s="603"/>
      <c r="D53" s="603"/>
      <c r="E53" s="603"/>
      <c r="F53" s="603"/>
      <c r="G53" s="603"/>
      <c r="H53" s="603"/>
      <c r="I53" s="603"/>
      <c r="J53" s="603"/>
      <c r="K53" s="449"/>
      <c r="L53" s="603"/>
      <c r="M53" s="603"/>
      <c r="N53" s="603"/>
      <c r="O53" s="603"/>
      <c r="P53" s="603"/>
      <c r="Q53" s="603"/>
      <c r="R53" s="603"/>
      <c r="S53" s="603"/>
      <c r="T53" s="603"/>
      <c r="U53" s="603"/>
      <c r="V53" s="603"/>
      <c r="W53" s="603"/>
      <c r="X53" s="603"/>
      <c r="Y53" s="603"/>
      <c r="Z53" s="603"/>
    </row>
    <row r="54" spans="1:26" ht="15.75" customHeight="1" x14ac:dyDescent="0.2">
      <c r="A54" s="603"/>
      <c r="B54" s="603"/>
      <c r="C54" s="603"/>
      <c r="D54" s="603"/>
      <c r="E54" s="603"/>
      <c r="F54" s="603"/>
      <c r="G54" s="603"/>
      <c r="H54" s="603"/>
      <c r="I54" s="603"/>
      <c r="J54" s="603"/>
      <c r="K54" s="449"/>
      <c r="L54" s="603"/>
      <c r="M54" s="603"/>
      <c r="N54" s="603"/>
      <c r="O54" s="603"/>
      <c r="P54" s="603"/>
      <c r="Q54" s="603"/>
      <c r="R54" s="603"/>
      <c r="S54" s="603"/>
      <c r="T54" s="603"/>
      <c r="U54" s="603"/>
      <c r="V54" s="603"/>
      <c r="W54" s="603"/>
      <c r="X54" s="603"/>
      <c r="Y54" s="603"/>
      <c r="Z54" s="603"/>
    </row>
    <row r="55" spans="1:26" ht="15.75" customHeight="1" x14ac:dyDescent="0.2">
      <c r="A55" s="603"/>
      <c r="B55" s="603"/>
      <c r="C55" s="603"/>
      <c r="D55" s="603"/>
      <c r="E55" s="603"/>
      <c r="F55" s="603"/>
      <c r="G55" s="603"/>
      <c r="H55" s="603"/>
      <c r="I55" s="603"/>
      <c r="J55" s="603"/>
      <c r="K55" s="449"/>
      <c r="L55" s="603"/>
      <c r="M55" s="603"/>
      <c r="N55" s="603"/>
      <c r="O55" s="603"/>
      <c r="P55" s="603"/>
      <c r="Q55" s="603"/>
      <c r="R55" s="603"/>
      <c r="S55" s="603"/>
      <c r="T55" s="603"/>
      <c r="U55" s="603"/>
      <c r="V55" s="603"/>
      <c r="W55" s="603"/>
      <c r="X55" s="603"/>
      <c r="Y55" s="603"/>
      <c r="Z55" s="603"/>
    </row>
    <row r="56" spans="1:26" ht="15.75" customHeight="1" x14ac:dyDescent="0.2">
      <c r="A56" s="603"/>
      <c r="B56" s="603"/>
      <c r="C56" s="603"/>
      <c r="D56" s="603"/>
      <c r="E56" s="603"/>
      <c r="F56" s="603"/>
      <c r="G56" s="603"/>
      <c r="H56" s="603"/>
      <c r="I56" s="603"/>
      <c r="J56" s="603"/>
      <c r="K56" s="449"/>
      <c r="L56" s="603"/>
      <c r="M56" s="603"/>
      <c r="N56" s="603"/>
      <c r="O56" s="603"/>
      <c r="P56" s="603"/>
      <c r="Q56" s="603"/>
      <c r="R56" s="603"/>
      <c r="S56" s="603"/>
      <c r="T56" s="603"/>
      <c r="U56" s="603"/>
      <c r="V56" s="603"/>
      <c r="W56" s="603"/>
      <c r="X56" s="603"/>
      <c r="Y56" s="603"/>
      <c r="Z56" s="603"/>
    </row>
    <row r="57" spans="1:26" ht="15.75" customHeight="1" x14ac:dyDescent="0.2">
      <c r="A57" s="603"/>
      <c r="B57" s="603"/>
      <c r="C57" s="603"/>
      <c r="D57" s="603"/>
      <c r="E57" s="603"/>
      <c r="F57" s="603"/>
      <c r="G57" s="603"/>
      <c r="H57" s="603"/>
      <c r="I57" s="603"/>
      <c r="J57" s="603"/>
      <c r="K57" s="449"/>
      <c r="L57" s="603"/>
      <c r="M57" s="603"/>
      <c r="N57" s="603"/>
      <c r="O57" s="603"/>
      <c r="P57" s="603"/>
      <c r="Q57" s="603"/>
      <c r="R57" s="603"/>
      <c r="S57" s="603"/>
      <c r="T57" s="603"/>
      <c r="U57" s="603"/>
      <c r="V57" s="603"/>
      <c r="W57" s="603"/>
      <c r="X57" s="603"/>
      <c r="Y57" s="603"/>
      <c r="Z57" s="603"/>
    </row>
    <row r="58" spans="1:26" ht="15.75" customHeight="1" x14ac:dyDescent="0.2">
      <c r="A58" s="603"/>
      <c r="B58" s="603"/>
      <c r="C58" s="603"/>
      <c r="D58" s="603"/>
      <c r="E58" s="603"/>
      <c r="F58" s="603"/>
      <c r="G58" s="603"/>
      <c r="H58" s="603"/>
      <c r="I58" s="603"/>
      <c r="J58" s="603"/>
      <c r="K58" s="449"/>
      <c r="L58" s="603"/>
      <c r="M58" s="603"/>
      <c r="N58" s="603"/>
      <c r="O58" s="603"/>
      <c r="P58" s="603"/>
      <c r="Q58" s="603"/>
      <c r="R58" s="603"/>
      <c r="S58" s="603"/>
      <c r="T58" s="603"/>
      <c r="U58" s="603"/>
      <c r="V58" s="603"/>
      <c r="W58" s="603"/>
      <c r="X58" s="603"/>
      <c r="Y58" s="603"/>
      <c r="Z58" s="603"/>
    </row>
    <row r="59" spans="1:26" ht="15.75" customHeight="1" x14ac:dyDescent="0.2">
      <c r="A59" s="603"/>
      <c r="B59" s="603"/>
      <c r="C59" s="603"/>
      <c r="D59" s="603"/>
      <c r="E59" s="603"/>
      <c r="F59" s="603"/>
      <c r="G59" s="603"/>
      <c r="H59" s="603"/>
      <c r="I59" s="603"/>
      <c r="J59" s="603"/>
      <c r="K59" s="449"/>
      <c r="L59" s="603"/>
      <c r="M59" s="603"/>
      <c r="N59" s="603"/>
      <c r="O59" s="603"/>
      <c r="P59" s="603"/>
      <c r="Q59" s="603"/>
      <c r="R59" s="603"/>
      <c r="S59" s="603"/>
      <c r="T59" s="603"/>
      <c r="U59" s="603"/>
      <c r="V59" s="603"/>
      <c r="W59" s="603"/>
      <c r="X59" s="603"/>
      <c r="Y59" s="603"/>
      <c r="Z59" s="603"/>
    </row>
    <row r="60" spans="1:26" ht="15.75" customHeight="1" x14ac:dyDescent="0.2">
      <c r="A60" s="603"/>
      <c r="B60" s="603"/>
      <c r="C60" s="603"/>
      <c r="D60" s="603"/>
      <c r="E60" s="603"/>
      <c r="F60" s="603"/>
      <c r="G60" s="603"/>
      <c r="H60" s="603"/>
      <c r="I60" s="603"/>
      <c r="J60" s="603"/>
      <c r="K60" s="449"/>
      <c r="L60" s="603"/>
      <c r="M60" s="603"/>
      <c r="N60" s="603"/>
      <c r="O60" s="603"/>
      <c r="P60" s="603"/>
      <c r="Q60" s="603"/>
      <c r="R60" s="603"/>
      <c r="S60" s="603"/>
      <c r="T60" s="603"/>
      <c r="U60" s="603"/>
      <c r="V60" s="603"/>
      <c r="W60" s="603"/>
      <c r="X60" s="603"/>
      <c r="Y60" s="603"/>
      <c r="Z60" s="603"/>
    </row>
    <row r="61" spans="1:26" ht="15.75" customHeight="1" x14ac:dyDescent="0.2">
      <c r="A61" s="603"/>
      <c r="B61" s="603"/>
      <c r="C61" s="603"/>
      <c r="D61" s="603"/>
      <c r="E61" s="603"/>
      <c r="F61" s="603"/>
      <c r="G61" s="603"/>
      <c r="H61" s="603"/>
      <c r="I61" s="603"/>
      <c r="J61" s="603"/>
      <c r="K61" s="449"/>
      <c r="L61" s="603"/>
      <c r="M61" s="603"/>
      <c r="N61" s="603"/>
      <c r="O61" s="603"/>
      <c r="P61" s="603"/>
      <c r="Q61" s="603"/>
      <c r="R61" s="603"/>
      <c r="S61" s="603"/>
      <c r="T61" s="603"/>
      <c r="U61" s="603"/>
      <c r="V61" s="603"/>
      <c r="W61" s="603"/>
      <c r="X61" s="603"/>
      <c r="Y61" s="603"/>
      <c r="Z61" s="603"/>
    </row>
    <row r="62" spans="1:26" ht="15.75" customHeight="1" x14ac:dyDescent="0.2">
      <c r="A62" s="603"/>
      <c r="B62" s="603"/>
      <c r="C62" s="603"/>
      <c r="D62" s="603"/>
      <c r="E62" s="603"/>
      <c r="F62" s="603"/>
      <c r="G62" s="603"/>
      <c r="H62" s="603"/>
      <c r="I62" s="603"/>
      <c r="J62" s="603"/>
      <c r="K62" s="449"/>
      <c r="L62" s="603"/>
      <c r="M62" s="603"/>
      <c r="N62" s="603"/>
      <c r="O62" s="603"/>
      <c r="P62" s="603"/>
      <c r="Q62" s="603"/>
      <c r="R62" s="603"/>
      <c r="S62" s="603"/>
      <c r="T62" s="603"/>
      <c r="U62" s="603"/>
      <c r="V62" s="603"/>
      <c r="W62" s="603"/>
      <c r="X62" s="603"/>
      <c r="Y62" s="603"/>
      <c r="Z62" s="603"/>
    </row>
    <row r="63" spans="1:26" ht="15.75" customHeight="1" x14ac:dyDescent="0.2">
      <c r="A63" s="603"/>
      <c r="B63" s="603"/>
      <c r="C63" s="603"/>
      <c r="D63" s="603"/>
      <c r="E63" s="603"/>
      <c r="F63" s="603"/>
      <c r="G63" s="603"/>
      <c r="H63" s="603"/>
      <c r="I63" s="603"/>
      <c r="J63" s="603"/>
      <c r="K63" s="449"/>
      <c r="L63" s="603"/>
      <c r="M63" s="603"/>
      <c r="N63" s="603"/>
      <c r="O63" s="603"/>
      <c r="P63" s="603"/>
      <c r="Q63" s="603"/>
      <c r="R63" s="603"/>
      <c r="S63" s="603"/>
      <c r="T63" s="603"/>
      <c r="U63" s="603"/>
      <c r="V63" s="603"/>
      <c r="W63" s="603"/>
      <c r="X63" s="603"/>
      <c r="Y63" s="603"/>
      <c r="Z63" s="603"/>
    </row>
    <row r="64" spans="1:26" ht="15.75" customHeight="1" x14ac:dyDescent="0.2">
      <c r="A64" s="603"/>
      <c r="B64" s="603"/>
      <c r="C64" s="603"/>
      <c r="D64" s="603"/>
      <c r="E64" s="603"/>
      <c r="F64" s="603"/>
      <c r="G64" s="603"/>
      <c r="H64" s="603"/>
      <c r="I64" s="603"/>
      <c r="J64" s="603"/>
      <c r="K64" s="449"/>
      <c r="L64" s="603"/>
      <c r="M64" s="603"/>
      <c r="N64" s="603"/>
      <c r="O64" s="603"/>
      <c r="P64" s="603"/>
      <c r="Q64" s="603"/>
      <c r="R64" s="603"/>
      <c r="S64" s="603"/>
      <c r="T64" s="603"/>
      <c r="U64" s="603"/>
      <c r="V64" s="603"/>
      <c r="W64" s="603"/>
      <c r="X64" s="603"/>
      <c r="Y64" s="603"/>
      <c r="Z64" s="603"/>
    </row>
    <row r="65" spans="1:26" ht="15.75" customHeight="1" x14ac:dyDescent="0.2">
      <c r="A65" s="603"/>
      <c r="B65" s="603"/>
      <c r="C65" s="603"/>
      <c r="D65" s="603"/>
      <c r="E65" s="603"/>
      <c r="F65" s="603"/>
      <c r="G65" s="603"/>
      <c r="H65" s="603"/>
      <c r="I65" s="603"/>
      <c r="J65" s="603"/>
      <c r="K65" s="449"/>
      <c r="L65" s="603"/>
      <c r="M65" s="603"/>
      <c r="N65" s="603"/>
      <c r="O65" s="603"/>
      <c r="P65" s="603"/>
      <c r="Q65" s="603"/>
      <c r="R65" s="603"/>
      <c r="S65" s="603"/>
      <c r="T65" s="603"/>
      <c r="U65" s="603"/>
      <c r="V65" s="603"/>
      <c r="W65" s="603"/>
      <c r="X65" s="603"/>
      <c r="Y65" s="603"/>
      <c r="Z65" s="603"/>
    </row>
    <row r="66" spans="1:26" ht="15.75" customHeight="1" x14ac:dyDescent="0.2">
      <c r="A66" s="603"/>
      <c r="B66" s="603"/>
      <c r="C66" s="603"/>
      <c r="D66" s="603"/>
      <c r="E66" s="603"/>
      <c r="F66" s="603"/>
      <c r="G66" s="603"/>
      <c r="H66" s="603"/>
      <c r="I66" s="603"/>
      <c r="J66" s="603"/>
      <c r="K66" s="449"/>
      <c r="L66" s="603"/>
      <c r="M66" s="603"/>
      <c r="N66" s="603"/>
      <c r="O66" s="603"/>
      <c r="P66" s="603"/>
      <c r="Q66" s="603"/>
      <c r="R66" s="603"/>
      <c r="S66" s="603"/>
      <c r="T66" s="603"/>
      <c r="U66" s="603"/>
      <c r="V66" s="603"/>
      <c r="W66" s="603"/>
      <c r="X66" s="603"/>
      <c r="Y66" s="603"/>
      <c r="Z66" s="603"/>
    </row>
    <row r="67" spans="1:26" ht="15.75" customHeight="1" x14ac:dyDescent="0.2">
      <c r="A67" s="603"/>
      <c r="B67" s="603"/>
      <c r="C67" s="603"/>
      <c r="D67" s="603"/>
      <c r="E67" s="603"/>
      <c r="F67" s="603"/>
      <c r="G67" s="603"/>
      <c r="H67" s="603"/>
      <c r="I67" s="603"/>
      <c r="J67" s="603"/>
      <c r="K67" s="449"/>
      <c r="L67" s="603"/>
      <c r="M67" s="603"/>
      <c r="N67" s="603"/>
      <c r="O67" s="603"/>
      <c r="P67" s="603"/>
      <c r="Q67" s="603"/>
      <c r="R67" s="603"/>
      <c r="S67" s="603"/>
      <c r="T67" s="603"/>
      <c r="U67" s="603"/>
      <c r="V67" s="603"/>
      <c r="W67" s="603"/>
      <c r="X67" s="603"/>
      <c r="Y67" s="603"/>
      <c r="Z67" s="603"/>
    </row>
    <row r="68" spans="1:26" ht="15.75" customHeight="1" x14ac:dyDescent="0.2">
      <c r="A68" s="603"/>
      <c r="B68" s="603"/>
      <c r="C68" s="603"/>
      <c r="D68" s="603"/>
      <c r="E68" s="603"/>
      <c r="F68" s="603"/>
      <c r="G68" s="603"/>
      <c r="H68" s="603"/>
      <c r="I68" s="603"/>
      <c r="J68" s="603"/>
      <c r="K68" s="449"/>
      <c r="L68" s="603"/>
      <c r="M68" s="603"/>
      <c r="N68" s="603"/>
      <c r="O68" s="603"/>
      <c r="P68" s="603"/>
      <c r="Q68" s="603"/>
      <c r="R68" s="603"/>
      <c r="S68" s="603"/>
      <c r="T68" s="603"/>
      <c r="U68" s="603"/>
      <c r="V68" s="603"/>
      <c r="W68" s="603"/>
      <c r="X68" s="603"/>
      <c r="Y68" s="603"/>
      <c r="Z68" s="603"/>
    </row>
    <row r="69" spans="1:26" ht="15.75" customHeight="1" x14ac:dyDescent="0.2">
      <c r="A69" s="603"/>
      <c r="B69" s="603"/>
      <c r="C69" s="603"/>
      <c r="D69" s="603"/>
      <c r="E69" s="603"/>
      <c r="F69" s="603"/>
      <c r="G69" s="603"/>
      <c r="H69" s="603"/>
      <c r="I69" s="603"/>
      <c r="J69" s="603"/>
      <c r="K69" s="449"/>
      <c r="L69" s="603"/>
      <c r="M69" s="603"/>
      <c r="N69" s="603"/>
      <c r="O69" s="603"/>
      <c r="P69" s="603"/>
      <c r="Q69" s="603"/>
      <c r="R69" s="603"/>
      <c r="S69" s="603"/>
      <c r="T69" s="603"/>
      <c r="U69" s="603"/>
      <c r="V69" s="603"/>
      <c r="W69" s="603"/>
      <c r="X69" s="603"/>
      <c r="Y69" s="603"/>
      <c r="Z69" s="603"/>
    </row>
    <row r="70" spans="1:26" ht="15.75" customHeight="1" x14ac:dyDescent="0.2">
      <c r="A70" s="603"/>
      <c r="B70" s="603"/>
      <c r="C70" s="603"/>
      <c r="D70" s="603"/>
      <c r="E70" s="603"/>
      <c r="F70" s="603"/>
      <c r="G70" s="603"/>
      <c r="H70" s="603"/>
      <c r="I70" s="603"/>
      <c r="J70" s="603"/>
      <c r="K70" s="449"/>
      <c r="L70" s="603"/>
      <c r="M70" s="603"/>
      <c r="N70" s="603"/>
      <c r="O70" s="603"/>
      <c r="P70" s="603"/>
      <c r="Q70" s="603"/>
      <c r="R70" s="603"/>
      <c r="S70" s="603"/>
      <c r="T70" s="603"/>
      <c r="U70" s="603"/>
      <c r="V70" s="603"/>
      <c r="W70" s="603"/>
      <c r="X70" s="603"/>
      <c r="Y70" s="603"/>
      <c r="Z70" s="603"/>
    </row>
    <row r="71" spans="1:26" ht="15.75" customHeight="1" x14ac:dyDescent="0.2">
      <c r="A71" s="603"/>
      <c r="B71" s="603"/>
      <c r="C71" s="603"/>
      <c r="D71" s="603"/>
      <c r="E71" s="603"/>
      <c r="F71" s="603"/>
      <c r="G71" s="603"/>
      <c r="H71" s="603"/>
      <c r="I71" s="603"/>
      <c r="J71" s="603"/>
      <c r="K71" s="449"/>
      <c r="L71" s="603"/>
      <c r="M71" s="603"/>
      <c r="N71" s="603"/>
      <c r="O71" s="603"/>
      <c r="P71" s="603"/>
      <c r="Q71" s="603"/>
      <c r="R71" s="603"/>
      <c r="S71" s="603"/>
      <c r="T71" s="603"/>
      <c r="U71" s="603"/>
      <c r="V71" s="603"/>
      <c r="W71" s="603"/>
      <c r="X71" s="603"/>
      <c r="Y71" s="603"/>
      <c r="Z71" s="603"/>
    </row>
    <row r="72" spans="1:26" ht="15.75" customHeight="1" x14ac:dyDescent="0.2">
      <c r="A72" s="603"/>
      <c r="B72" s="603"/>
      <c r="C72" s="603"/>
      <c r="D72" s="603"/>
      <c r="E72" s="603"/>
      <c r="F72" s="603"/>
      <c r="G72" s="603"/>
      <c r="H72" s="603"/>
      <c r="I72" s="603"/>
      <c r="J72" s="603"/>
      <c r="K72" s="449"/>
      <c r="L72" s="603"/>
      <c r="M72" s="603"/>
      <c r="N72" s="603"/>
      <c r="O72" s="603"/>
      <c r="P72" s="603"/>
      <c r="Q72" s="603"/>
      <c r="R72" s="603"/>
      <c r="S72" s="603"/>
      <c r="T72" s="603"/>
      <c r="U72" s="603"/>
      <c r="V72" s="603"/>
      <c r="W72" s="603"/>
      <c r="X72" s="603"/>
      <c r="Y72" s="603"/>
      <c r="Z72" s="603"/>
    </row>
    <row r="73" spans="1:26" ht="15.75" customHeight="1" x14ac:dyDescent="0.2">
      <c r="A73" s="603"/>
      <c r="B73" s="603"/>
      <c r="C73" s="603"/>
      <c r="D73" s="603"/>
      <c r="E73" s="603"/>
      <c r="F73" s="603"/>
      <c r="G73" s="603"/>
      <c r="H73" s="603"/>
      <c r="I73" s="603"/>
      <c r="J73" s="603"/>
      <c r="K73" s="449"/>
      <c r="L73" s="603"/>
      <c r="M73" s="603"/>
      <c r="N73" s="603"/>
      <c r="O73" s="603"/>
      <c r="P73" s="603"/>
      <c r="Q73" s="603"/>
      <c r="R73" s="603"/>
      <c r="S73" s="603"/>
      <c r="T73" s="603"/>
      <c r="U73" s="603"/>
      <c r="V73" s="603"/>
      <c r="W73" s="603"/>
      <c r="X73" s="603"/>
      <c r="Y73" s="603"/>
      <c r="Z73" s="603"/>
    </row>
    <row r="74" spans="1:26" ht="15.75" customHeight="1" x14ac:dyDescent="0.2">
      <c r="A74" s="603"/>
      <c r="B74" s="603"/>
      <c r="C74" s="603"/>
      <c r="D74" s="603"/>
      <c r="E74" s="603"/>
      <c r="F74" s="603"/>
      <c r="G74" s="603"/>
      <c r="H74" s="603"/>
      <c r="I74" s="603"/>
      <c r="J74" s="603"/>
      <c r="K74" s="449"/>
      <c r="L74" s="603"/>
      <c r="M74" s="603"/>
      <c r="N74" s="603"/>
      <c r="O74" s="603"/>
      <c r="P74" s="603"/>
      <c r="Q74" s="603"/>
      <c r="R74" s="603"/>
      <c r="S74" s="603"/>
      <c r="T74" s="603"/>
      <c r="U74" s="603"/>
      <c r="V74" s="603"/>
      <c r="W74" s="603"/>
      <c r="X74" s="603"/>
      <c r="Y74" s="603"/>
      <c r="Z74" s="603"/>
    </row>
    <row r="75" spans="1:26" ht="15.75" customHeight="1" x14ac:dyDescent="0.2">
      <c r="A75" s="603"/>
      <c r="B75" s="603"/>
      <c r="C75" s="603"/>
      <c r="D75" s="603"/>
      <c r="E75" s="603"/>
      <c r="F75" s="603"/>
      <c r="G75" s="603"/>
      <c r="H75" s="603"/>
      <c r="I75" s="603"/>
      <c r="J75" s="603"/>
      <c r="K75" s="449"/>
      <c r="L75" s="603"/>
      <c r="M75" s="603"/>
      <c r="N75" s="603"/>
      <c r="O75" s="603"/>
      <c r="P75" s="603"/>
      <c r="Q75" s="603"/>
      <c r="R75" s="603"/>
      <c r="S75" s="603"/>
      <c r="T75" s="603"/>
      <c r="U75" s="603"/>
      <c r="V75" s="603"/>
      <c r="W75" s="603"/>
      <c r="X75" s="603"/>
      <c r="Y75" s="603"/>
      <c r="Z75" s="603"/>
    </row>
    <row r="76" spans="1:26" ht="15.75" customHeight="1" x14ac:dyDescent="0.2">
      <c r="A76" s="603"/>
      <c r="B76" s="603"/>
      <c r="C76" s="603"/>
      <c r="D76" s="603"/>
      <c r="E76" s="603"/>
      <c r="F76" s="603"/>
      <c r="G76" s="603"/>
      <c r="H76" s="603"/>
      <c r="I76" s="603"/>
      <c r="J76" s="603"/>
      <c r="K76" s="449"/>
      <c r="L76" s="603"/>
      <c r="M76" s="603"/>
      <c r="N76" s="603"/>
      <c r="O76" s="603"/>
      <c r="P76" s="603"/>
      <c r="Q76" s="603"/>
      <c r="R76" s="603"/>
      <c r="S76" s="603"/>
      <c r="T76" s="603"/>
      <c r="U76" s="603"/>
      <c r="V76" s="603"/>
      <c r="W76" s="603"/>
      <c r="X76" s="603"/>
      <c r="Y76" s="603"/>
      <c r="Z76" s="603"/>
    </row>
    <row r="77" spans="1:26" ht="15.75" customHeight="1" x14ac:dyDescent="0.2">
      <c r="A77" s="603"/>
      <c r="B77" s="603"/>
      <c r="C77" s="603"/>
      <c r="D77" s="603"/>
      <c r="E77" s="603"/>
      <c r="F77" s="603"/>
      <c r="G77" s="603"/>
      <c r="H77" s="603"/>
      <c r="I77" s="603"/>
      <c r="J77" s="603"/>
      <c r="K77" s="449"/>
      <c r="L77" s="603"/>
      <c r="M77" s="603"/>
      <c r="N77" s="603"/>
      <c r="O77" s="603"/>
      <c r="P77" s="603"/>
      <c r="Q77" s="603"/>
      <c r="R77" s="603"/>
      <c r="S77" s="603"/>
      <c r="T77" s="603"/>
      <c r="U77" s="603"/>
      <c r="V77" s="603"/>
      <c r="W77" s="603"/>
      <c r="X77" s="603"/>
      <c r="Y77" s="603"/>
      <c r="Z77" s="603"/>
    </row>
    <row r="78" spans="1:26" ht="15.75" customHeight="1" x14ac:dyDescent="0.2">
      <c r="A78" s="603"/>
      <c r="B78" s="603"/>
      <c r="C78" s="603"/>
      <c r="D78" s="603"/>
      <c r="E78" s="603"/>
      <c r="F78" s="603"/>
      <c r="G78" s="603"/>
      <c r="H78" s="603"/>
      <c r="I78" s="603"/>
      <c r="J78" s="603"/>
      <c r="K78" s="449"/>
      <c r="L78" s="603"/>
      <c r="M78" s="603"/>
      <c r="N78" s="603"/>
      <c r="O78" s="603"/>
      <c r="P78" s="603"/>
      <c r="Q78" s="603"/>
      <c r="R78" s="603"/>
      <c r="S78" s="603"/>
      <c r="T78" s="603"/>
      <c r="U78" s="603"/>
      <c r="V78" s="603"/>
      <c r="W78" s="603"/>
      <c r="X78" s="603"/>
      <c r="Y78" s="603"/>
      <c r="Z78" s="603"/>
    </row>
    <row r="79" spans="1:26" ht="15.75" customHeight="1" x14ac:dyDescent="0.2">
      <c r="A79" s="603"/>
      <c r="B79" s="603"/>
      <c r="C79" s="603"/>
      <c r="D79" s="603"/>
      <c r="E79" s="603"/>
      <c r="F79" s="603"/>
      <c r="G79" s="603"/>
      <c r="H79" s="603"/>
      <c r="I79" s="603"/>
      <c r="J79" s="603"/>
      <c r="K79" s="449"/>
      <c r="L79" s="603"/>
      <c r="M79" s="603"/>
      <c r="N79" s="603"/>
      <c r="O79" s="603"/>
      <c r="P79" s="603"/>
      <c r="Q79" s="603"/>
      <c r="R79" s="603"/>
      <c r="S79" s="603"/>
      <c r="T79" s="603"/>
      <c r="U79" s="603"/>
      <c r="V79" s="603"/>
      <c r="W79" s="603"/>
      <c r="X79" s="603"/>
      <c r="Y79" s="603"/>
      <c r="Z79" s="603"/>
    </row>
    <row r="80" spans="1:26" ht="15.75" customHeight="1" x14ac:dyDescent="0.2">
      <c r="A80" s="603"/>
      <c r="B80" s="603"/>
      <c r="C80" s="603"/>
      <c r="D80" s="603"/>
      <c r="E80" s="603"/>
      <c r="F80" s="603"/>
      <c r="G80" s="603"/>
      <c r="H80" s="603"/>
      <c r="I80" s="603"/>
      <c r="J80" s="603"/>
      <c r="K80" s="449"/>
      <c r="L80" s="603"/>
      <c r="M80" s="603"/>
      <c r="N80" s="603"/>
      <c r="O80" s="603"/>
      <c r="P80" s="603"/>
      <c r="Q80" s="603"/>
      <c r="R80" s="603"/>
      <c r="S80" s="603"/>
      <c r="T80" s="603"/>
      <c r="U80" s="603"/>
      <c r="V80" s="603"/>
      <c r="W80" s="603"/>
      <c r="X80" s="603"/>
      <c r="Y80" s="603"/>
      <c r="Z80" s="603"/>
    </row>
    <row r="81" spans="1:26" ht="15.75" customHeight="1" x14ac:dyDescent="0.2">
      <c r="A81" s="603"/>
      <c r="B81" s="603"/>
      <c r="C81" s="603"/>
      <c r="D81" s="603"/>
      <c r="E81" s="603"/>
      <c r="F81" s="603"/>
      <c r="G81" s="603"/>
      <c r="H81" s="603"/>
      <c r="I81" s="603"/>
      <c r="J81" s="603"/>
      <c r="K81" s="449"/>
      <c r="L81" s="603"/>
      <c r="M81" s="603"/>
      <c r="N81" s="603"/>
      <c r="O81" s="603"/>
      <c r="P81" s="603"/>
      <c r="Q81" s="603"/>
      <c r="R81" s="603"/>
      <c r="S81" s="603"/>
      <c r="T81" s="603"/>
      <c r="U81" s="603"/>
      <c r="V81" s="603"/>
      <c r="W81" s="603"/>
      <c r="X81" s="603"/>
      <c r="Y81" s="603"/>
      <c r="Z81" s="603"/>
    </row>
    <row r="82" spans="1:26" ht="15.75" customHeight="1" x14ac:dyDescent="0.2">
      <c r="A82" s="603"/>
      <c r="B82" s="603"/>
      <c r="C82" s="603"/>
      <c r="D82" s="603"/>
      <c r="E82" s="603"/>
      <c r="F82" s="603"/>
      <c r="G82" s="603"/>
      <c r="H82" s="603"/>
      <c r="I82" s="603"/>
      <c r="J82" s="603"/>
      <c r="K82" s="449"/>
      <c r="L82" s="603"/>
      <c r="M82" s="603"/>
      <c r="N82" s="603"/>
      <c r="O82" s="603"/>
      <c r="P82" s="603"/>
      <c r="Q82" s="603"/>
      <c r="R82" s="603"/>
      <c r="S82" s="603"/>
      <c r="T82" s="603"/>
      <c r="U82" s="603"/>
      <c r="V82" s="603"/>
      <c r="W82" s="603"/>
      <c r="X82" s="603"/>
      <c r="Y82" s="603"/>
      <c r="Z82" s="603"/>
    </row>
    <row r="83" spans="1:26" ht="15.75" customHeight="1" x14ac:dyDescent="0.2">
      <c r="A83" s="603"/>
      <c r="B83" s="603"/>
      <c r="C83" s="603"/>
      <c r="D83" s="603"/>
      <c r="E83" s="603"/>
      <c r="F83" s="603"/>
      <c r="G83" s="603"/>
      <c r="H83" s="603"/>
      <c r="I83" s="603"/>
      <c r="J83" s="603"/>
      <c r="K83" s="449"/>
      <c r="L83" s="603"/>
      <c r="M83" s="603"/>
      <c r="N83" s="603"/>
      <c r="O83" s="603"/>
      <c r="P83" s="603"/>
      <c r="Q83" s="603"/>
      <c r="R83" s="603"/>
      <c r="S83" s="603"/>
      <c r="T83" s="603"/>
      <c r="U83" s="603"/>
      <c r="V83" s="603"/>
      <c r="W83" s="603"/>
      <c r="X83" s="603"/>
      <c r="Y83" s="603"/>
      <c r="Z83" s="603"/>
    </row>
    <row r="84" spans="1:26" ht="15.75" customHeight="1" x14ac:dyDescent="0.2">
      <c r="A84" s="603"/>
      <c r="B84" s="603"/>
      <c r="C84" s="603"/>
      <c r="D84" s="603"/>
      <c r="E84" s="603"/>
      <c r="F84" s="603"/>
      <c r="G84" s="603"/>
      <c r="H84" s="603"/>
      <c r="I84" s="603"/>
      <c r="J84" s="603"/>
      <c r="K84" s="449"/>
      <c r="L84" s="603"/>
      <c r="M84" s="603"/>
      <c r="N84" s="603"/>
      <c r="O84" s="603"/>
      <c r="P84" s="603"/>
      <c r="Q84" s="603"/>
      <c r="R84" s="603"/>
      <c r="S84" s="603"/>
      <c r="T84" s="603"/>
      <c r="U84" s="603"/>
      <c r="V84" s="603"/>
      <c r="W84" s="603"/>
      <c r="X84" s="603"/>
      <c r="Y84" s="603"/>
      <c r="Z84" s="603"/>
    </row>
    <row r="85" spans="1:26" ht="15.75" customHeight="1" x14ac:dyDescent="0.2">
      <c r="A85" s="603"/>
      <c r="B85" s="603"/>
      <c r="C85" s="603"/>
      <c r="D85" s="603"/>
      <c r="E85" s="603"/>
      <c r="F85" s="603"/>
      <c r="G85" s="603"/>
      <c r="H85" s="603"/>
      <c r="I85" s="603"/>
      <c r="J85" s="603"/>
      <c r="K85" s="449"/>
      <c r="L85" s="603"/>
      <c r="M85" s="603"/>
      <c r="N85" s="603"/>
      <c r="O85" s="603"/>
      <c r="P85" s="603"/>
      <c r="Q85" s="603"/>
      <c r="R85" s="603"/>
      <c r="S85" s="603"/>
      <c r="T85" s="603"/>
      <c r="U85" s="603"/>
      <c r="V85" s="603"/>
      <c r="W85" s="603"/>
      <c r="X85" s="603"/>
      <c r="Y85" s="603"/>
      <c r="Z85" s="603"/>
    </row>
    <row r="86" spans="1:26" ht="15.75" customHeight="1" x14ac:dyDescent="0.2">
      <c r="A86" s="603"/>
      <c r="B86" s="603"/>
      <c r="C86" s="603"/>
      <c r="D86" s="603"/>
      <c r="E86" s="603"/>
      <c r="F86" s="603"/>
      <c r="G86" s="603"/>
      <c r="H86" s="603"/>
      <c r="I86" s="603"/>
      <c r="J86" s="603"/>
      <c r="K86" s="449"/>
      <c r="L86" s="603"/>
      <c r="M86" s="603"/>
      <c r="N86" s="603"/>
      <c r="O86" s="603"/>
      <c r="P86" s="603"/>
      <c r="Q86" s="603"/>
      <c r="R86" s="603"/>
      <c r="S86" s="603"/>
      <c r="T86" s="603"/>
      <c r="U86" s="603"/>
      <c r="V86" s="603"/>
      <c r="W86" s="603"/>
      <c r="X86" s="603"/>
      <c r="Y86" s="603"/>
      <c r="Z86" s="603"/>
    </row>
    <row r="87" spans="1:26" ht="15.75" customHeight="1" x14ac:dyDescent="0.2">
      <c r="A87" s="603"/>
      <c r="B87" s="603"/>
      <c r="C87" s="603"/>
      <c r="D87" s="603"/>
      <c r="E87" s="603"/>
      <c r="F87" s="603"/>
      <c r="G87" s="603"/>
      <c r="H87" s="603"/>
      <c r="I87" s="603"/>
      <c r="J87" s="603"/>
      <c r="K87" s="449"/>
      <c r="L87" s="603"/>
      <c r="M87" s="603"/>
      <c r="N87" s="603"/>
      <c r="O87" s="603"/>
      <c r="P87" s="603"/>
      <c r="Q87" s="603"/>
      <c r="R87" s="603"/>
      <c r="S87" s="603"/>
      <c r="T87" s="603"/>
      <c r="U87" s="603"/>
      <c r="V87" s="603"/>
      <c r="W87" s="603"/>
      <c r="X87" s="603"/>
      <c r="Y87" s="603"/>
      <c r="Z87" s="603"/>
    </row>
    <row r="88" spans="1:26" ht="15.75" customHeight="1" x14ac:dyDescent="0.2">
      <c r="A88" s="603"/>
      <c r="B88" s="603"/>
      <c r="C88" s="603"/>
      <c r="D88" s="603"/>
      <c r="E88" s="603"/>
      <c r="F88" s="603"/>
      <c r="G88" s="603"/>
      <c r="H88" s="603"/>
      <c r="I88" s="603"/>
      <c r="J88" s="603"/>
      <c r="K88" s="449"/>
      <c r="L88" s="603"/>
      <c r="M88" s="603"/>
      <c r="N88" s="603"/>
      <c r="O88" s="603"/>
      <c r="P88" s="603"/>
      <c r="Q88" s="603"/>
      <c r="R88" s="603"/>
      <c r="S88" s="603"/>
      <c r="T88" s="603"/>
      <c r="U88" s="603"/>
      <c r="V88" s="603"/>
      <c r="W88" s="603"/>
      <c r="X88" s="603"/>
      <c r="Y88" s="603"/>
      <c r="Z88" s="603"/>
    </row>
    <row r="89" spans="1:26" ht="15.75" customHeight="1" x14ac:dyDescent="0.2">
      <c r="A89" s="603"/>
      <c r="B89" s="603"/>
      <c r="C89" s="603"/>
      <c r="D89" s="603"/>
      <c r="E89" s="603"/>
      <c r="F89" s="603"/>
      <c r="G89" s="603"/>
      <c r="H89" s="603"/>
      <c r="I89" s="603"/>
      <c r="J89" s="603"/>
      <c r="K89" s="449"/>
      <c r="L89" s="603"/>
      <c r="M89" s="603"/>
      <c r="N89" s="603"/>
      <c r="O89" s="603"/>
      <c r="P89" s="603"/>
      <c r="Q89" s="603"/>
      <c r="R89" s="603"/>
      <c r="S89" s="603"/>
      <c r="T89" s="603"/>
      <c r="U89" s="603"/>
      <c r="V89" s="603"/>
      <c r="W89" s="603"/>
      <c r="X89" s="603"/>
      <c r="Y89" s="603"/>
      <c r="Z89" s="603"/>
    </row>
    <row r="90" spans="1:26" ht="15.75" customHeight="1" x14ac:dyDescent="0.2">
      <c r="A90" s="603"/>
      <c r="B90" s="603"/>
      <c r="C90" s="603"/>
      <c r="D90" s="603"/>
      <c r="E90" s="603"/>
      <c r="F90" s="603"/>
      <c r="G90" s="603"/>
      <c r="H90" s="603"/>
      <c r="I90" s="603"/>
      <c r="J90" s="603"/>
      <c r="K90" s="449"/>
      <c r="L90" s="603"/>
      <c r="M90" s="603"/>
      <c r="N90" s="603"/>
      <c r="O90" s="603"/>
      <c r="P90" s="603"/>
      <c r="Q90" s="603"/>
      <c r="R90" s="603"/>
      <c r="S90" s="603"/>
      <c r="T90" s="603"/>
      <c r="U90" s="603"/>
      <c r="V90" s="603"/>
      <c r="W90" s="603"/>
      <c r="X90" s="603"/>
      <c r="Y90" s="603"/>
      <c r="Z90" s="603"/>
    </row>
    <row r="91" spans="1:26" ht="15.75" customHeight="1" x14ac:dyDescent="0.2">
      <c r="A91" s="603"/>
      <c r="B91" s="603"/>
      <c r="C91" s="603"/>
      <c r="D91" s="603"/>
      <c r="E91" s="603"/>
      <c r="F91" s="603"/>
      <c r="G91" s="603"/>
      <c r="H91" s="603"/>
      <c r="I91" s="603"/>
      <c r="J91" s="603"/>
      <c r="K91" s="449"/>
      <c r="L91" s="603"/>
      <c r="M91" s="603"/>
      <c r="N91" s="603"/>
      <c r="O91" s="603"/>
      <c r="P91" s="603"/>
      <c r="Q91" s="603"/>
      <c r="R91" s="603"/>
      <c r="S91" s="603"/>
      <c r="T91" s="603"/>
      <c r="U91" s="603"/>
      <c r="V91" s="603"/>
      <c r="W91" s="603"/>
      <c r="X91" s="603"/>
      <c r="Y91" s="603"/>
      <c r="Z91" s="603"/>
    </row>
    <row r="92" spans="1:26" ht="15.75" customHeight="1" x14ac:dyDescent="0.2">
      <c r="A92" s="603"/>
      <c r="B92" s="603"/>
      <c r="C92" s="603"/>
      <c r="D92" s="603"/>
      <c r="E92" s="603"/>
      <c r="F92" s="603"/>
      <c r="G92" s="603"/>
      <c r="H92" s="603"/>
      <c r="I92" s="603"/>
      <c r="J92" s="603"/>
      <c r="K92" s="449"/>
      <c r="L92" s="603"/>
      <c r="M92" s="603"/>
      <c r="N92" s="603"/>
      <c r="O92" s="603"/>
      <c r="P92" s="603"/>
      <c r="Q92" s="603"/>
      <c r="R92" s="603"/>
      <c r="S92" s="603"/>
      <c r="T92" s="603"/>
      <c r="U92" s="603"/>
      <c r="V92" s="603"/>
      <c r="W92" s="603"/>
      <c r="X92" s="603"/>
      <c r="Y92" s="603"/>
      <c r="Z92" s="603"/>
    </row>
    <row r="93" spans="1:26" ht="15.75" customHeight="1" x14ac:dyDescent="0.2">
      <c r="A93" s="603"/>
      <c r="B93" s="603"/>
      <c r="C93" s="603"/>
      <c r="D93" s="603"/>
      <c r="E93" s="603"/>
      <c r="F93" s="603"/>
      <c r="G93" s="603"/>
      <c r="H93" s="603"/>
      <c r="I93" s="603"/>
      <c r="J93" s="603"/>
      <c r="K93" s="449"/>
      <c r="L93" s="603"/>
      <c r="M93" s="603"/>
      <c r="N93" s="603"/>
      <c r="O93" s="603"/>
      <c r="P93" s="603"/>
      <c r="Q93" s="603"/>
      <c r="R93" s="603"/>
      <c r="S93" s="603"/>
      <c r="T93" s="603"/>
      <c r="U93" s="603"/>
      <c r="V93" s="603"/>
      <c r="W93" s="603"/>
      <c r="X93" s="603"/>
      <c r="Y93" s="603"/>
      <c r="Z93" s="603"/>
    </row>
    <row r="94" spans="1:26" ht="15.75" customHeight="1" x14ac:dyDescent="0.2">
      <c r="A94" s="603"/>
      <c r="B94" s="603"/>
      <c r="C94" s="603"/>
      <c r="D94" s="603"/>
      <c r="E94" s="603"/>
      <c r="F94" s="603"/>
      <c r="G94" s="603"/>
      <c r="H94" s="603"/>
      <c r="I94" s="603"/>
      <c r="J94" s="603"/>
      <c r="K94" s="449"/>
      <c r="L94" s="603"/>
      <c r="M94" s="603"/>
      <c r="N94" s="603"/>
      <c r="O94" s="603"/>
      <c r="P94" s="603"/>
      <c r="Q94" s="603"/>
      <c r="R94" s="603"/>
      <c r="S94" s="603"/>
      <c r="T94" s="603"/>
      <c r="U94" s="603"/>
      <c r="V94" s="603"/>
      <c r="W94" s="603"/>
      <c r="X94" s="603"/>
      <c r="Y94" s="603"/>
      <c r="Z94" s="603"/>
    </row>
    <row r="95" spans="1:26" ht="15.75" customHeight="1" x14ac:dyDescent="0.2">
      <c r="A95" s="603"/>
      <c r="B95" s="603"/>
      <c r="C95" s="603"/>
      <c r="D95" s="603"/>
      <c r="E95" s="603"/>
      <c r="F95" s="603"/>
      <c r="G95" s="603"/>
      <c r="H95" s="603"/>
      <c r="I95" s="603"/>
      <c r="J95" s="603"/>
      <c r="K95" s="449"/>
      <c r="L95" s="603"/>
      <c r="M95" s="603"/>
      <c r="N95" s="603"/>
      <c r="O95" s="603"/>
      <c r="P95" s="603"/>
      <c r="Q95" s="603"/>
      <c r="R95" s="603"/>
      <c r="S95" s="603"/>
      <c r="T95" s="603"/>
      <c r="U95" s="603"/>
      <c r="V95" s="603"/>
      <c r="W95" s="603"/>
      <c r="X95" s="603"/>
      <c r="Y95" s="603"/>
      <c r="Z95" s="603"/>
    </row>
    <row r="96" spans="1:26" ht="15.75" customHeight="1" x14ac:dyDescent="0.2">
      <c r="A96" s="603"/>
      <c r="B96" s="603"/>
      <c r="C96" s="603"/>
      <c r="D96" s="603"/>
      <c r="E96" s="603"/>
      <c r="F96" s="603"/>
      <c r="G96" s="603"/>
      <c r="H96" s="603"/>
      <c r="I96" s="603"/>
      <c r="J96" s="603"/>
      <c r="K96" s="449"/>
      <c r="L96" s="603"/>
      <c r="M96" s="603"/>
      <c r="N96" s="603"/>
      <c r="O96" s="603"/>
      <c r="P96" s="603"/>
      <c r="Q96" s="603"/>
      <c r="R96" s="603"/>
      <c r="S96" s="603"/>
      <c r="T96" s="603"/>
      <c r="U96" s="603"/>
      <c r="V96" s="603"/>
      <c r="W96" s="603"/>
      <c r="X96" s="603"/>
      <c r="Y96" s="603"/>
      <c r="Z96" s="603"/>
    </row>
    <row r="97" spans="1:26" ht="15.75" customHeight="1" x14ac:dyDescent="0.2">
      <c r="A97" s="603"/>
      <c r="B97" s="603"/>
      <c r="C97" s="603"/>
      <c r="D97" s="603"/>
      <c r="E97" s="603"/>
      <c r="F97" s="603"/>
      <c r="G97" s="603"/>
      <c r="H97" s="603"/>
      <c r="I97" s="603"/>
      <c r="J97" s="603"/>
      <c r="K97" s="449"/>
      <c r="L97" s="603"/>
      <c r="M97" s="603"/>
      <c r="N97" s="603"/>
      <c r="O97" s="603"/>
      <c r="P97" s="603"/>
      <c r="Q97" s="603"/>
      <c r="R97" s="603"/>
      <c r="S97" s="603"/>
      <c r="T97" s="603"/>
      <c r="U97" s="603"/>
      <c r="V97" s="603"/>
      <c r="W97" s="603"/>
      <c r="X97" s="603"/>
      <c r="Y97" s="603"/>
      <c r="Z97" s="603"/>
    </row>
    <row r="98" spans="1:26" ht="15.75" customHeight="1" x14ac:dyDescent="0.2">
      <c r="A98" s="603"/>
      <c r="B98" s="603"/>
      <c r="C98" s="603"/>
      <c r="D98" s="603"/>
      <c r="E98" s="603"/>
      <c r="F98" s="603"/>
      <c r="G98" s="603"/>
      <c r="H98" s="603"/>
      <c r="I98" s="603"/>
      <c r="J98" s="603"/>
      <c r="K98" s="449"/>
      <c r="L98" s="603"/>
      <c r="M98" s="603"/>
      <c r="N98" s="603"/>
      <c r="O98" s="603"/>
      <c r="P98" s="603"/>
      <c r="Q98" s="603"/>
      <c r="R98" s="603"/>
      <c r="S98" s="603"/>
      <c r="T98" s="603"/>
      <c r="U98" s="603"/>
      <c r="V98" s="603"/>
      <c r="W98" s="603"/>
      <c r="X98" s="603"/>
      <c r="Y98" s="603"/>
      <c r="Z98" s="603"/>
    </row>
    <row r="99" spans="1:26" ht="15.75" customHeight="1" x14ac:dyDescent="0.2">
      <c r="A99" s="603"/>
      <c r="B99" s="603"/>
      <c r="C99" s="603"/>
      <c r="D99" s="603"/>
      <c r="E99" s="603"/>
      <c r="F99" s="603"/>
      <c r="G99" s="603"/>
      <c r="H99" s="603"/>
      <c r="I99" s="603"/>
      <c r="J99" s="603"/>
      <c r="K99" s="449"/>
      <c r="L99" s="603"/>
      <c r="M99" s="603"/>
      <c r="N99" s="603"/>
      <c r="O99" s="603"/>
      <c r="P99" s="603"/>
      <c r="Q99" s="603"/>
      <c r="R99" s="603"/>
      <c r="S99" s="603"/>
      <c r="T99" s="603"/>
      <c r="U99" s="603"/>
      <c r="V99" s="603"/>
      <c r="W99" s="603"/>
      <c r="X99" s="603"/>
      <c r="Y99" s="603"/>
      <c r="Z99" s="603"/>
    </row>
    <row r="100" spans="1:26" ht="15.75" customHeight="1" x14ac:dyDescent="0.2">
      <c r="A100" s="603"/>
      <c r="B100" s="603"/>
      <c r="C100" s="603"/>
      <c r="D100" s="603"/>
      <c r="E100" s="603"/>
      <c r="F100" s="603"/>
      <c r="G100" s="603"/>
      <c r="H100" s="603"/>
      <c r="I100" s="603"/>
      <c r="J100" s="603"/>
      <c r="K100" s="449"/>
      <c r="L100" s="603"/>
      <c r="M100" s="603"/>
      <c r="N100" s="603"/>
      <c r="O100" s="603"/>
      <c r="P100" s="603"/>
      <c r="Q100" s="603"/>
      <c r="R100" s="603"/>
      <c r="S100" s="603"/>
      <c r="T100" s="603"/>
      <c r="U100" s="603"/>
      <c r="V100" s="603"/>
      <c r="W100" s="603"/>
      <c r="X100" s="603"/>
      <c r="Y100" s="603"/>
      <c r="Z100" s="603"/>
    </row>
    <row r="101" spans="1:26" ht="15.75" customHeight="1" x14ac:dyDescent="0.2">
      <c r="A101" s="603"/>
      <c r="B101" s="603"/>
      <c r="C101" s="603"/>
      <c r="D101" s="603"/>
      <c r="E101" s="603"/>
      <c r="F101" s="603"/>
      <c r="G101" s="603"/>
      <c r="H101" s="603"/>
      <c r="I101" s="603"/>
      <c r="J101" s="603"/>
      <c r="K101" s="449"/>
      <c r="L101" s="603"/>
      <c r="M101" s="603"/>
      <c r="N101" s="603"/>
      <c r="O101" s="603"/>
      <c r="P101" s="603"/>
      <c r="Q101" s="603"/>
      <c r="R101" s="603"/>
      <c r="S101" s="603"/>
      <c r="T101" s="603"/>
      <c r="U101" s="603"/>
      <c r="V101" s="603"/>
      <c r="W101" s="603"/>
      <c r="X101" s="603"/>
      <c r="Y101" s="603"/>
      <c r="Z101" s="603"/>
    </row>
    <row r="102" spans="1:26" ht="15.75" customHeight="1" x14ac:dyDescent="0.2">
      <c r="A102" s="603"/>
      <c r="B102" s="603"/>
      <c r="C102" s="603"/>
      <c r="D102" s="603"/>
      <c r="E102" s="603"/>
      <c r="F102" s="603"/>
      <c r="G102" s="603"/>
      <c r="H102" s="603"/>
      <c r="I102" s="603"/>
      <c r="J102" s="603"/>
      <c r="K102" s="449"/>
      <c r="L102" s="603"/>
      <c r="M102" s="603"/>
      <c r="N102" s="603"/>
      <c r="O102" s="603"/>
      <c r="P102" s="603"/>
      <c r="Q102" s="603"/>
      <c r="R102" s="603"/>
      <c r="S102" s="603"/>
      <c r="T102" s="603"/>
      <c r="U102" s="603"/>
      <c r="V102" s="603"/>
      <c r="W102" s="603"/>
      <c r="X102" s="603"/>
      <c r="Y102" s="603"/>
      <c r="Z102" s="603"/>
    </row>
    <row r="103" spans="1:26" ht="15.75" customHeight="1" x14ac:dyDescent="0.2">
      <c r="A103" s="603"/>
      <c r="B103" s="603"/>
      <c r="C103" s="603"/>
      <c r="D103" s="603"/>
      <c r="E103" s="603"/>
      <c r="F103" s="603"/>
      <c r="G103" s="603"/>
      <c r="H103" s="603"/>
      <c r="I103" s="603"/>
      <c r="J103" s="603"/>
      <c r="K103" s="449"/>
      <c r="L103" s="603"/>
      <c r="M103" s="603"/>
      <c r="N103" s="603"/>
      <c r="O103" s="603"/>
      <c r="P103" s="603"/>
      <c r="Q103" s="603"/>
      <c r="R103" s="603"/>
      <c r="S103" s="603"/>
      <c r="T103" s="603"/>
      <c r="U103" s="603"/>
      <c r="V103" s="603"/>
      <c r="W103" s="603"/>
      <c r="X103" s="603"/>
      <c r="Y103" s="603"/>
      <c r="Z103" s="603"/>
    </row>
    <row r="104" spans="1:26" ht="15.75" customHeight="1" x14ac:dyDescent="0.2">
      <c r="A104" s="603"/>
      <c r="B104" s="603"/>
      <c r="C104" s="603"/>
      <c r="D104" s="603"/>
      <c r="E104" s="603"/>
      <c r="F104" s="603"/>
      <c r="G104" s="603"/>
      <c r="H104" s="603"/>
      <c r="I104" s="603"/>
      <c r="J104" s="603"/>
      <c r="K104" s="449"/>
      <c r="L104" s="603"/>
      <c r="M104" s="603"/>
      <c r="N104" s="603"/>
      <c r="O104" s="603"/>
      <c r="P104" s="603"/>
      <c r="Q104" s="603"/>
      <c r="R104" s="603"/>
      <c r="S104" s="603"/>
      <c r="T104" s="603"/>
      <c r="U104" s="603"/>
      <c r="V104" s="603"/>
      <c r="W104" s="603"/>
      <c r="X104" s="603"/>
      <c r="Y104" s="603"/>
      <c r="Z104" s="603"/>
    </row>
    <row r="105" spans="1:26" ht="15.75" customHeight="1" x14ac:dyDescent="0.2">
      <c r="A105" s="603"/>
      <c r="B105" s="603"/>
      <c r="C105" s="603"/>
      <c r="D105" s="603"/>
      <c r="E105" s="603"/>
      <c r="F105" s="603"/>
      <c r="G105" s="603"/>
      <c r="H105" s="603"/>
      <c r="I105" s="603"/>
      <c r="J105" s="603"/>
      <c r="K105" s="449"/>
      <c r="L105" s="603"/>
      <c r="M105" s="603"/>
      <c r="N105" s="603"/>
      <c r="O105" s="603"/>
      <c r="P105" s="603"/>
      <c r="Q105" s="603"/>
      <c r="R105" s="603"/>
      <c r="S105" s="603"/>
      <c r="T105" s="603"/>
      <c r="U105" s="603"/>
      <c r="V105" s="603"/>
      <c r="W105" s="603"/>
      <c r="X105" s="603"/>
      <c r="Y105" s="603"/>
      <c r="Z105" s="603"/>
    </row>
    <row r="106" spans="1:26" ht="15.75" customHeight="1" x14ac:dyDescent="0.2">
      <c r="A106" s="603"/>
      <c r="B106" s="603"/>
      <c r="C106" s="603"/>
      <c r="D106" s="603"/>
      <c r="E106" s="603"/>
      <c r="F106" s="603"/>
      <c r="G106" s="603"/>
      <c r="H106" s="603"/>
      <c r="I106" s="603"/>
      <c r="J106" s="603"/>
      <c r="K106" s="449"/>
      <c r="L106" s="603"/>
      <c r="M106" s="603"/>
      <c r="N106" s="603"/>
      <c r="O106" s="603"/>
      <c r="P106" s="603"/>
      <c r="Q106" s="603"/>
      <c r="R106" s="603"/>
      <c r="S106" s="603"/>
      <c r="T106" s="603"/>
      <c r="U106" s="603"/>
      <c r="V106" s="603"/>
      <c r="W106" s="603"/>
      <c r="X106" s="603"/>
      <c r="Y106" s="603"/>
      <c r="Z106" s="603"/>
    </row>
    <row r="107" spans="1:26" ht="15.75" customHeight="1" x14ac:dyDescent="0.2">
      <c r="A107" s="603"/>
      <c r="B107" s="603"/>
      <c r="C107" s="603"/>
      <c r="D107" s="603"/>
      <c r="E107" s="603"/>
      <c r="F107" s="603"/>
      <c r="G107" s="603"/>
      <c r="H107" s="603"/>
      <c r="I107" s="603"/>
      <c r="J107" s="603"/>
      <c r="K107" s="449"/>
      <c r="L107" s="603"/>
      <c r="M107" s="603"/>
      <c r="N107" s="603"/>
      <c r="O107" s="603"/>
      <c r="P107" s="603"/>
      <c r="Q107" s="603"/>
      <c r="R107" s="603"/>
      <c r="S107" s="603"/>
      <c r="T107" s="603"/>
      <c r="U107" s="603"/>
      <c r="V107" s="603"/>
      <c r="W107" s="603"/>
      <c r="X107" s="603"/>
      <c r="Y107" s="603"/>
      <c r="Z107" s="603"/>
    </row>
    <row r="108" spans="1:26" ht="15.75" customHeight="1" x14ac:dyDescent="0.2">
      <c r="A108" s="603"/>
      <c r="B108" s="603"/>
      <c r="C108" s="603"/>
      <c r="D108" s="603"/>
      <c r="E108" s="603"/>
      <c r="F108" s="603"/>
      <c r="G108" s="603"/>
      <c r="H108" s="603"/>
      <c r="I108" s="603"/>
      <c r="J108" s="603"/>
      <c r="K108" s="449"/>
      <c r="L108" s="603"/>
      <c r="M108" s="603"/>
      <c r="N108" s="603"/>
      <c r="O108" s="603"/>
      <c r="P108" s="603"/>
      <c r="Q108" s="603"/>
      <c r="R108" s="603"/>
      <c r="S108" s="603"/>
      <c r="T108" s="603"/>
      <c r="U108" s="603"/>
      <c r="V108" s="603"/>
      <c r="W108" s="603"/>
      <c r="X108" s="603"/>
      <c r="Y108" s="603"/>
      <c r="Z108" s="603"/>
    </row>
    <row r="109" spans="1:26" ht="15.75" customHeight="1" x14ac:dyDescent="0.2">
      <c r="A109" s="603"/>
      <c r="B109" s="603"/>
      <c r="C109" s="603"/>
      <c r="D109" s="603"/>
      <c r="E109" s="603"/>
      <c r="F109" s="603"/>
      <c r="G109" s="603"/>
      <c r="H109" s="603"/>
      <c r="I109" s="603"/>
      <c r="J109" s="603"/>
      <c r="K109" s="449"/>
      <c r="L109" s="603"/>
      <c r="M109" s="603"/>
      <c r="N109" s="603"/>
      <c r="O109" s="603"/>
      <c r="P109" s="603"/>
      <c r="Q109" s="603"/>
      <c r="R109" s="603"/>
      <c r="S109" s="603"/>
      <c r="T109" s="603"/>
      <c r="U109" s="603"/>
      <c r="V109" s="603"/>
      <c r="W109" s="603"/>
      <c r="X109" s="603"/>
      <c r="Y109" s="603"/>
      <c r="Z109" s="603"/>
    </row>
    <row r="110" spans="1:26" ht="15.75" customHeight="1" x14ac:dyDescent="0.2">
      <c r="A110" s="603"/>
      <c r="B110" s="603"/>
      <c r="C110" s="603"/>
      <c r="D110" s="603"/>
      <c r="E110" s="603"/>
      <c r="F110" s="603"/>
      <c r="G110" s="603"/>
      <c r="H110" s="603"/>
      <c r="I110" s="603"/>
      <c r="J110" s="603"/>
      <c r="K110" s="449"/>
      <c r="L110" s="603"/>
      <c r="M110" s="603"/>
      <c r="N110" s="603"/>
      <c r="O110" s="603"/>
      <c r="P110" s="603"/>
      <c r="Q110" s="603"/>
      <c r="R110" s="603"/>
      <c r="S110" s="603"/>
      <c r="T110" s="603"/>
      <c r="U110" s="603"/>
      <c r="V110" s="603"/>
      <c r="W110" s="603"/>
      <c r="X110" s="603"/>
      <c r="Y110" s="603"/>
      <c r="Z110" s="603"/>
    </row>
    <row r="111" spans="1:26" ht="15.75" customHeight="1" x14ac:dyDescent="0.2">
      <c r="A111" s="603"/>
      <c r="B111" s="603"/>
      <c r="C111" s="603"/>
      <c r="D111" s="603"/>
      <c r="E111" s="603"/>
      <c r="F111" s="603"/>
      <c r="G111" s="603"/>
      <c r="H111" s="603"/>
      <c r="I111" s="603"/>
      <c r="J111" s="603"/>
      <c r="K111" s="449"/>
      <c r="L111" s="603"/>
      <c r="M111" s="603"/>
      <c r="N111" s="603"/>
      <c r="O111" s="603"/>
      <c r="P111" s="603"/>
      <c r="Q111" s="603"/>
      <c r="R111" s="603"/>
      <c r="S111" s="603"/>
      <c r="T111" s="603"/>
      <c r="U111" s="603"/>
      <c r="V111" s="603"/>
      <c r="W111" s="603"/>
      <c r="X111" s="603"/>
      <c r="Y111" s="603"/>
      <c r="Z111" s="603"/>
    </row>
    <row r="112" spans="1:26" ht="15.75" customHeight="1" x14ac:dyDescent="0.2">
      <c r="A112" s="603"/>
      <c r="B112" s="603"/>
      <c r="C112" s="603"/>
      <c r="D112" s="603"/>
      <c r="E112" s="603"/>
      <c r="F112" s="603"/>
      <c r="G112" s="603"/>
      <c r="H112" s="603"/>
      <c r="I112" s="603"/>
      <c r="J112" s="603"/>
      <c r="K112" s="449"/>
      <c r="L112" s="603"/>
      <c r="M112" s="603"/>
      <c r="N112" s="603"/>
      <c r="O112" s="603"/>
      <c r="P112" s="603"/>
      <c r="Q112" s="603"/>
      <c r="R112" s="603"/>
      <c r="S112" s="603"/>
      <c r="T112" s="603"/>
      <c r="U112" s="603"/>
      <c r="V112" s="603"/>
      <c r="W112" s="603"/>
      <c r="X112" s="603"/>
      <c r="Y112" s="603"/>
      <c r="Z112" s="603"/>
    </row>
    <row r="113" spans="1:26" ht="15.75" customHeight="1" x14ac:dyDescent="0.2">
      <c r="A113" s="603"/>
      <c r="B113" s="603"/>
      <c r="C113" s="603"/>
      <c r="D113" s="603"/>
      <c r="E113" s="603"/>
      <c r="F113" s="603"/>
      <c r="G113" s="603"/>
      <c r="H113" s="603"/>
      <c r="I113" s="603"/>
      <c r="J113" s="603"/>
      <c r="K113" s="449"/>
      <c r="L113" s="603"/>
      <c r="M113" s="603"/>
      <c r="N113" s="603"/>
      <c r="O113" s="603"/>
      <c r="P113" s="603"/>
      <c r="Q113" s="603"/>
      <c r="R113" s="603"/>
      <c r="S113" s="603"/>
      <c r="T113" s="603"/>
      <c r="U113" s="603"/>
      <c r="V113" s="603"/>
      <c r="W113" s="603"/>
      <c r="X113" s="603"/>
      <c r="Y113" s="603"/>
      <c r="Z113" s="603"/>
    </row>
    <row r="114" spans="1:26" ht="15.75" customHeight="1" x14ac:dyDescent="0.2">
      <c r="A114" s="603"/>
      <c r="B114" s="603"/>
      <c r="C114" s="603"/>
      <c r="D114" s="603"/>
      <c r="E114" s="603"/>
      <c r="F114" s="603"/>
      <c r="G114" s="603"/>
      <c r="H114" s="603"/>
      <c r="I114" s="603"/>
      <c r="J114" s="603"/>
      <c r="K114" s="449"/>
      <c r="L114" s="603"/>
      <c r="M114" s="603"/>
      <c r="N114" s="603"/>
      <c r="O114" s="603"/>
      <c r="P114" s="603"/>
      <c r="Q114" s="603"/>
      <c r="R114" s="603"/>
      <c r="S114" s="603"/>
      <c r="T114" s="603"/>
      <c r="U114" s="603"/>
      <c r="V114" s="603"/>
      <c r="W114" s="603"/>
      <c r="X114" s="603"/>
      <c r="Y114" s="603"/>
      <c r="Z114" s="603"/>
    </row>
    <row r="115" spans="1:26" ht="15.75" customHeight="1" x14ac:dyDescent="0.2">
      <c r="A115" s="603"/>
      <c r="B115" s="603"/>
      <c r="C115" s="603"/>
      <c r="D115" s="603"/>
      <c r="E115" s="603"/>
      <c r="F115" s="603"/>
      <c r="G115" s="603"/>
      <c r="H115" s="603"/>
      <c r="I115" s="603"/>
      <c r="J115" s="603"/>
      <c r="K115" s="449"/>
      <c r="L115" s="603"/>
      <c r="M115" s="603"/>
      <c r="N115" s="603"/>
      <c r="O115" s="603"/>
      <c r="P115" s="603"/>
      <c r="Q115" s="603"/>
      <c r="R115" s="603"/>
      <c r="S115" s="603"/>
      <c r="T115" s="603"/>
      <c r="U115" s="603"/>
      <c r="V115" s="603"/>
      <c r="W115" s="603"/>
      <c r="X115" s="603"/>
      <c r="Y115" s="603"/>
      <c r="Z115" s="603"/>
    </row>
    <row r="116" spans="1:26" ht="15.75" customHeight="1" x14ac:dyDescent="0.2">
      <c r="A116" s="603"/>
      <c r="B116" s="603"/>
      <c r="C116" s="603"/>
      <c r="D116" s="603"/>
      <c r="E116" s="603"/>
      <c r="F116" s="603"/>
      <c r="G116" s="603"/>
      <c r="H116" s="603"/>
      <c r="I116" s="603"/>
      <c r="J116" s="603"/>
      <c r="K116" s="449"/>
      <c r="L116" s="603"/>
      <c r="M116" s="603"/>
      <c r="N116" s="603"/>
      <c r="O116" s="603"/>
      <c r="P116" s="603"/>
      <c r="Q116" s="603"/>
      <c r="R116" s="603"/>
      <c r="S116" s="603"/>
      <c r="T116" s="603"/>
      <c r="U116" s="603"/>
      <c r="V116" s="603"/>
      <c r="W116" s="603"/>
      <c r="X116" s="603"/>
      <c r="Y116" s="603"/>
      <c r="Z116" s="603"/>
    </row>
    <row r="117" spans="1:26" ht="15.75" customHeight="1" x14ac:dyDescent="0.2">
      <c r="A117" s="603"/>
      <c r="B117" s="603"/>
      <c r="C117" s="603"/>
      <c r="D117" s="603"/>
      <c r="E117" s="603"/>
      <c r="F117" s="603"/>
      <c r="G117" s="603"/>
      <c r="H117" s="603"/>
      <c r="I117" s="603"/>
      <c r="J117" s="603"/>
      <c r="K117" s="449"/>
      <c r="L117" s="603"/>
      <c r="M117" s="603"/>
      <c r="N117" s="603"/>
      <c r="O117" s="603"/>
      <c r="P117" s="603"/>
      <c r="Q117" s="603"/>
      <c r="R117" s="603"/>
      <c r="S117" s="603"/>
      <c r="T117" s="603"/>
      <c r="U117" s="603"/>
      <c r="V117" s="603"/>
      <c r="W117" s="603"/>
      <c r="X117" s="603"/>
      <c r="Y117" s="603"/>
      <c r="Z117" s="603"/>
    </row>
    <row r="118" spans="1:26" ht="15.75" customHeight="1" x14ac:dyDescent="0.2">
      <c r="A118" s="603"/>
      <c r="B118" s="603"/>
      <c r="C118" s="603"/>
      <c r="D118" s="603"/>
      <c r="E118" s="603"/>
      <c r="F118" s="603"/>
      <c r="G118" s="603"/>
      <c r="H118" s="603"/>
      <c r="I118" s="603"/>
      <c r="J118" s="603"/>
      <c r="K118" s="449"/>
      <c r="L118" s="603"/>
      <c r="M118" s="603"/>
      <c r="N118" s="603"/>
      <c r="O118" s="603"/>
      <c r="P118" s="603"/>
      <c r="Q118" s="603"/>
      <c r="R118" s="603"/>
      <c r="S118" s="603"/>
      <c r="T118" s="603"/>
      <c r="U118" s="603"/>
      <c r="V118" s="603"/>
      <c r="W118" s="603"/>
      <c r="X118" s="603"/>
      <c r="Y118" s="603"/>
      <c r="Z118" s="603"/>
    </row>
    <row r="119" spans="1:26" ht="15.75" customHeight="1" x14ac:dyDescent="0.2">
      <c r="A119" s="603"/>
      <c r="B119" s="603"/>
      <c r="C119" s="603"/>
      <c r="D119" s="603"/>
      <c r="E119" s="603"/>
      <c r="F119" s="603"/>
      <c r="G119" s="603"/>
      <c r="H119" s="603"/>
      <c r="I119" s="603"/>
      <c r="J119" s="603"/>
      <c r="K119" s="449"/>
      <c r="L119" s="603"/>
      <c r="M119" s="603"/>
      <c r="N119" s="603"/>
      <c r="O119" s="603"/>
      <c r="P119" s="603"/>
      <c r="Q119" s="603"/>
      <c r="R119" s="603"/>
      <c r="S119" s="603"/>
      <c r="T119" s="603"/>
      <c r="U119" s="603"/>
      <c r="V119" s="603"/>
      <c r="W119" s="603"/>
      <c r="X119" s="603"/>
      <c r="Y119" s="603"/>
      <c r="Z119" s="603"/>
    </row>
    <row r="120" spans="1:26" ht="15.75" customHeight="1" x14ac:dyDescent="0.2">
      <c r="A120" s="603"/>
      <c r="B120" s="603"/>
      <c r="C120" s="603"/>
      <c r="D120" s="603"/>
      <c r="E120" s="603"/>
      <c r="F120" s="603"/>
      <c r="G120" s="603"/>
      <c r="H120" s="603"/>
      <c r="I120" s="603"/>
      <c r="J120" s="603"/>
      <c r="K120" s="449"/>
      <c r="L120" s="603"/>
      <c r="M120" s="603"/>
      <c r="N120" s="603"/>
      <c r="O120" s="603"/>
      <c r="P120" s="603"/>
      <c r="Q120" s="603"/>
      <c r="R120" s="603"/>
      <c r="S120" s="603"/>
      <c r="T120" s="603"/>
      <c r="U120" s="603"/>
      <c r="V120" s="603"/>
      <c r="W120" s="603"/>
      <c r="X120" s="603"/>
      <c r="Y120" s="603"/>
      <c r="Z120" s="603"/>
    </row>
    <row r="121" spans="1:26" ht="15.75" customHeight="1" x14ac:dyDescent="0.2">
      <c r="A121" s="603"/>
      <c r="B121" s="603"/>
      <c r="C121" s="603"/>
      <c r="D121" s="603"/>
      <c r="E121" s="603"/>
      <c r="F121" s="603"/>
      <c r="G121" s="603"/>
      <c r="H121" s="603"/>
      <c r="I121" s="603"/>
      <c r="J121" s="603"/>
      <c r="K121" s="449"/>
      <c r="L121" s="603"/>
      <c r="M121" s="603"/>
      <c r="N121" s="603"/>
      <c r="O121" s="603"/>
      <c r="P121" s="603"/>
      <c r="Q121" s="603"/>
      <c r="R121" s="603"/>
      <c r="S121" s="603"/>
      <c r="T121" s="603"/>
      <c r="U121" s="603"/>
      <c r="V121" s="603"/>
      <c r="W121" s="603"/>
      <c r="X121" s="603"/>
      <c r="Y121" s="603"/>
      <c r="Z121" s="603"/>
    </row>
    <row r="122" spans="1:26" ht="15.75" customHeight="1" x14ac:dyDescent="0.2">
      <c r="A122" s="603"/>
      <c r="B122" s="603"/>
      <c r="C122" s="603"/>
      <c r="D122" s="603"/>
      <c r="E122" s="603"/>
      <c r="F122" s="603"/>
      <c r="G122" s="603"/>
      <c r="H122" s="603"/>
      <c r="I122" s="603"/>
      <c r="J122" s="603"/>
      <c r="K122" s="449"/>
      <c r="L122" s="603"/>
      <c r="M122" s="603"/>
      <c r="N122" s="603"/>
      <c r="O122" s="603"/>
      <c r="P122" s="603"/>
      <c r="Q122" s="603"/>
      <c r="R122" s="603"/>
      <c r="S122" s="603"/>
      <c r="T122" s="603"/>
      <c r="U122" s="603"/>
      <c r="V122" s="603"/>
      <c r="W122" s="603"/>
      <c r="X122" s="603"/>
      <c r="Y122" s="603"/>
      <c r="Z122" s="603"/>
    </row>
    <row r="123" spans="1:26" ht="15.75" customHeight="1" x14ac:dyDescent="0.2">
      <c r="A123" s="603"/>
      <c r="B123" s="603"/>
      <c r="C123" s="603"/>
      <c r="D123" s="603"/>
      <c r="E123" s="603"/>
      <c r="F123" s="603"/>
      <c r="G123" s="603"/>
      <c r="H123" s="603"/>
      <c r="I123" s="603"/>
      <c r="J123" s="603"/>
      <c r="K123" s="449"/>
      <c r="L123" s="603"/>
      <c r="M123" s="603"/>
      <c r="N123" s="603"/>
      <c r="O123" s="603"/>
      <c r="P123" s="603"/>
      <c r="Q123" s="603"/>
      <c r="R123" s="603"/>
      <c r="S123" s="603"/>
      <c r="T123" s="603"/>
      <c r="U123" s="603"/>
      <c r="V123" s="603"/>
      <c r="W123" s="603"/>
      <c r="X123" s="603"/>
      <c r="Y123" s="603"/>
      <c r="Z123" s="603"/>
    </row>
    <row r="124" spans="1:26" ht="15.75" customHeight="1" x14ac:dyDescent="0.2">
      <c r="A124" s="603"/>
      <c r="B124" s="603"/>
      <c r="C124" s="603"/>
      <c r="D124" s="603"/>
      <c r="E124" s="603"/>
      <c r="F124" s="603"/>
      <c r="G124" s="603"/>
      <c r="H124" s="603"/>
      <c r="I124" s="603"/>
      <c r="J124" s="603"/>
      <c r="K124" s="449"/>
      <c r="L124" s="603"/>
      <c r="M124" s="603"/>
      <c r="N124" s="603"/>
      <c r="O124" s="603"/>
      <c r="P124" s="603"/>
      <c r="Q124" s="603"/>
      <c r="R124" s="603"/>
      <c r="S124" s="603"/>
      <c r="T124" s="603"/>
      <c r="U124" s="603"/>
      <c r="V124" s="603"/>
      <c r="W124" s="603"/>
      <c r="X124" s="603"/>
      <c r="Y124" s="603"/>
      <c r="Z124" s="603"/>
    </row>
    <row r="125" spans="1:26" ht="15.75" customHeight="1" x14ac:dyDescent="0.2">
      <c r="A125" s="603"/>
      <c r="B125" s="603"/>
      <c r="C125" s="603"/>
      <c r="D125" s="603"/>
      <c r="E125" s="603"/>
      <c r="F125" s="603"/>
      <c r="G125" s="603"/>
      <c r="H125" s="603"/>
      <c r="I125" s="603"/>
      <c r="J125" s="603"/>
      <c r="K125" s="449"/>
      <c r="L125" s="603"/>
      <c r="M125" s="603"/>
      <c r="N125" s="603"/>
      <c r="O125" s="603"/>
      <c r="P125" s="603"/>
      <c r="Q125" s="603"/>
      <c r="R125" s="603"/>
      <c r="S125" s="603"/>
      <c r="T125" s="603"/>
      <c r="U125" s="603"/>
      <c r="V125" s="603"/>
      <c r="W125" s="603"/>
      <c r="X125" s="603"/>
      <c r="Y125" s="603"/>
      <c r="Z125" s="603"/>
    </row>
    <row r="126" spans="1:26" ht="15.75" customHeight="1" x14ac:dyDescent="0.2">
      <c r="A126" s="603"/>
      <c r="B126" s="603"/>
      <c r="C126" s="603"/>
      <c r="D126" s="603"/>
      <c r="E126" s="603"/>
      <c r="F126" s="603"/>
      <c r="G126" s="603"/>
      <c r="H126" s="603"/>
      <c r="I126" s="603"/>
      <c r="J126" s="603"/>
      <c r="K126" s="449"/>
      <c r="L126" s="603"/>
      <c r="M126" s="603"/>
      <c r="N126" s="603"/>
      <c r="O126" s="603"/>
      <c r="P126" s="603"/>
      <c r="Q126" s="603"/>
      <c r="R126" s="603"/>
      <c r="S126" s="603"/>
      <c r="T126" s="603"/>
      <c r="U126" s="603"/>
      <c r="V126" s="603"/>
      <c r="W126" s="603"/>
      <c r="X126" s="603"/>
      <c r="Y126" s="603"/>
      <c r="Z126" s="603"/>
    </row>
    <row r="127" spans="1:26" ht="15.75" customHeight="1" x14ac:dyDescent="0.2">
      <c r="A127" s="603"/>
      <c r="B127" s="603"/>
      <c r="C127" s="603"/>
      <c r="D127" s="603"/>
      <c r="E127" s="603"/>
      <c r="F127" s="603"/>
      <c r="G127" s="603"/>
      <c r="H127" s="603"/>
      <c r="I127" s="603"/>
      <c r="J127" s="603"/>
      <c r="K127" s="449"/>
      <c r="L127" s="603"/>
      <c r="M127" s="603"/>
      <c r="N127" s="603"/>
      <c r="O127" s="603"/>
      <c r="P127" s="603"/>
      <c r="Q127" s="603"/>
      <c r="R127" s="603"/>
      <c r="S127" s="603"/>
      <c r="T127" s="603"/>
      <c r="U127" s="603"/>
      <c r="V127" s="603"/>
      <c r="W127" s="603"/>
      <c r="X127" s="603"/>
      <c r="Y127" s="603"/>
      <c r="Z127" s="603"/>
    </row>
    <row r="128" spans="1:26" ht="15.75" customHeight="1" x14ac:dyDescent="0.2">
      <c r="A128" s="603"/>
      <c r="B128" s="603"/>
      <c r="C128" s="603"/>
      <c r="D128" s="603"/>
      <c r="E128" s="603"/>
      <c r="F128" s="603"/>
      <c r="G128" s="603"/>
      <c r="H128" s="603"/>
      <c r="I128" s="603"/>
      <c r="J128" s="603"/>
      <c r="K128" s="449"/>
      <c r="L128" s="603"/>
      <c r="M128" s="603"/>
      <c r="N128" s="603"/>
      <c r="O128" s="603"/>
      <c r="P128" s="603"/>
      <c r="Q128" s="603"/>
      <c r="R128" s="603"/>
      <c r="S128" s="603"/>
      <c r="T128" s="603"/>
      <c r="U128" s="603"/>
      <c r="V128" s="603"/>
      <c r="W128" s="603"/>
      <c r="X128" s="603"/>
      <c r="Y128" s="603"/>
      <c r="Z128" s="603"/>
    </row>
    <row r="129" spans="1:26" ht="15.75" customHeight="1" x14ac:dyDescent="0.2">
      <c r="A129" s="603"/>
      <c r="B129" s="603"/>
      <c r="C129" s="603"/>
      <c r="D129" s="603"/>
      <c r="E129" s="603"/>
      <c r="F129" s="603"/>
      <c r="G129" s="603"/>
      <c r="H129" s="603"/>
      <c r="I129" s="603"/>
      <c r="J129" s="603"/>
      <c r="K129" s="449"/>
      <c r="L129" s="603"/>
      <c r="M129" s="603"/>
      <c r="N129" s="603"/>
      <c r="O129" s="603"/>
      <c r="P129" s="603"/>
      <c r="Q129" s="603"/>
      <c r="R129" s="603"/>
      <c r="S129" s="603"/>
      <c r="T129" s="603"/>
      <c r="U129" s="603"/>
      <c r="V129" s="603"/>
      <c r="W129" s="603"/>
      <c r="X129" s="603"/>
      <c r="Y129" s="603"/>
      <c r="Z129" s="603"/>
    </row>
    <row r="130" spans="1:26" ht="15.75" customHeight="1" x14ac:dyDescent="0.2">
      <c r="A130" s="603"/>
      <c r="B130" s="603"/>
      <c r="C130" s="603"/>
      <c r="D130" s="603"/>
      <c r="E130" s="603"/>
      <c r="F130" s="603"/>
      <c r="G130" s="603"/>
      <c r="H130" s="603"/>
      <c r="I130" s="603"/>
      <c r="J130" s="603"/>
      <c r="K130" s="449"/>
      <c r="L130" s="603"/>
      <c r="M130" s="603"/>
      <c r="N130" s="603"/>
      <c r="O130" s="603"/>
      <c r="P130" s="603"/>
      <c r="Q130" s="603"/>
      <c r="R130" s="603"/>
      <c r="S130" s="603"/>
      <c r="T130" s="603"/>
      <c r="U130" s="603"/>
      <c r="V130" s="603"/>
      <c r="W130" s="603"/>
      <c r="X130" s="603"/>
      <c r="Y130" s="603"/>
      <c r="Z130" s="603"/>
    </row>
    <row r="131" spans="1:26" ht="15.75" customHeight="1" x14ac:dyDescent="0.2">
      <c r="A131" s="603"/>
      <c r="B131" s="603"/>
      <c r="C131" s="603"/>
      <c r="D131" s="603"/>
      <c r="E131" s="603"/>
      <c r="F131" s="603"/>
      <c r="G131" s="603"/>
      <c r="H131" s="603"/>
      <c r="I131" s="603"/>
      <c r="J131" s="603"/>
      <c r="K131" s="449"/>
      <c r="L131" s="603"/>
      <c r="M131" s="603"/>
      <c r="N131" s="603"/>
      <c r="O131" s="603"/>
      <c r="P131" s="603"/>
      <c r="Q131" s="603"/>
      <c r="R131" s="603"/>
      <c r="S131" s="603"/>
      <c r="T131" s="603"/>
      <c r="U131" s="603"/>
      <c r="V131" s="603"/>
      <c r="W131" s="603"/>
      <c r="X131" s="603"/>
      <c r="Y131" s="603"/>
      <c r="Z131" s="603"/>
    </row>
    <row r="132" spans="1:26" ht="15.75" customHeight="1" x14ac:dyDescent="0.2">
      <c r="A132" s="603"/>
      <c r="B132" s="603"/>
      <c r="C132" s="603"/>
      <c r="D132" s="603"/>
      <c r="E132" s="603"/>
      <c r="F132" s="603"/>
      <c r="G132" s="603"/>
      <c r="H132" s="603"/>
      <c r="I132" s="603"/>
      <c r="J132" s="603"/>
      <c r="K132" s="449"/>
      <c r="L132" s="603"/>
      <c r="M132" s="603"/>
      <c r="N132" s="603"/>
      <c r="O132" s="603"/>
      <c r="P132" s="603"/>
      <c r="Q132" s="603"/>
      <c r="R132" s="603"/>
      <c r="S132" s="603"/>
      <c r="T132" s="603"/>
      <c r="U132" s="603"/>
      <c r="V132" s="603"/>
      <c r="W132" s="603"/>
      <c r="X132" s="603"/>
      <c r="Y132" s="603"/>
      <c r="Z132" s="603"/>
    </row>
    <row r="133" spans="1:26" ht="15.75" customHeight="1" x14ac:dyDescent="0.2">
      <c r="A133" s="603"/>
      <c r="B133" s="603"/>
      <c r="C133" s="603"/>
      <c r="D133" s="603"/>
      <c r="E133" s="603"/>
      <c r="F133" s="603"/>
      <c r="G133" s="603"/>
      <c r="H133" s="603"/>
      <c r="I133" s="603"/>
      <c r="J133" s="603"/>
      <c r="K133" s="449"/>
      <c r="L133" s="603"/>
      <c r="M133" s="603"/>
      <c r="N133" s="603"/>
      <c r="O133" s="603"/>
      <c r="P133" s="603"/>
      <c r="Q133" s="603"/>
      <c r="R133" s="603"/>
      <c r="S133" s="603"/>
      <c r="T133" s="603"/>
      <c r="U133" s="603"/>
      <c r="V133" s="603"/>
      <c r="W133" s="603"/>
      <c r="X133" s="603"/>
      <c r="Y133" s="603"/>
      <c r="Z133" s="603"/>
    </row>
    <row r="134" spans="1:26" ht="15.75" customHeight="1" x14ac:dyDescent="0.2">
      <c r="A134" s="603"/>
      <c r="B134" s="603"/>
      <c r="C134" s="603"/>
      <c r="D134" s="603"/>
      <c r="E134" s="603"/>
      <c r="F134" s="603"/>
      <c r="G134" s="603"/>
      <c r="H134" s="603"/>
      <c r="I134" s="603"/>
      <c r="J134" s="603"/>
      <c r="K134" s="449"/>
      <c r="L134" s="603"/>
      <c r="M134" s="603"/>
      <c r="N134" s="603"/>
      <c r="O134" s="603"/>
      <c r="P134" s="603"/>
      <c r="Q134" s="603"/>
      <c r="R134" s="603"/>
      <c r="S134" s="603"/>
      <c r="T134" s="603"/>
      <c r="U134" s="603"/>
      <c r="V134" s="603"/>
      <c r="W134" s="603"/>
      <c r="X134" s="603"/>
      <c r="Y134" s="603"/>
      <c r="Z134" s="603"/>
    </row>
    <row r="135" spans="1:26" ht="15.75" customHeight="1" x14ac:dyDescent="0.2">
      <c r="A135" s="603"/>
      <c r="B135" s="603"/>
      <c r="C135" s="603"/>
      <c r="D135" s="603"/>
      <c r="E135" s="603"/>
      <c r="F135" s="603"/>
      <c r="G135" s="603"/>
      <c r="H135" s="603"/>
      <c r="I135" s="603"/>
      <c r="J135" s="603"/>
      <c r="K135" s="449"/>
      <c r="L135" s="603"/>
      <c r="M135" s="603"/>
      <c r="N135" s="603"/>
      <c r="O135" s="603"/>
      <c r="P135" s="603"/>
      <c r="Q135" s="603"/>
      <c r="R135" s="603"/>
      <c r="S135" s="603"/>
      <c r="T135" s="603"/>
      <c r="U135" s="603"/>
      <c r="V135" s="603"/>
      <c r="W135" s="603"/>
      <c r="X135" s="603"/>
      <c r="Y135" s="603"/>
      <c r="Z135" s="603"/>
    </row>
    <row r="136" spans="1:26" ht="15.75" customHeight="1" x14ac:dyDescent="0.2">
      <c r="A136" s="603"/>
      <c r="B136" s="603"/>
      <c r="C136" s="603"/>
      <c r="D136" s="603"/>
      <c r="E136" s="603"/>
      <c r="F136" s="603"/>
      <c r="G136" s="603"/>
      <c r="H136" s="603"/>
      <c r="I136" s="603"/>
      <c r="J136" s="603"/>
      <c r="K136" s="449"/>
      <c r="L136" s="603"/>
      <c r="M136" s="603"/>
      <c r="N136" s="603"/>
      <c r="O136" s="603"/>
      <c r="P136" s="603"/>
      <c r="Q136" s="603"/>
      <c r="R136" s="603"/>
      <c r="S136" s="603"/>
      <c r="T136" s="603"/>
      <c r="U136" s="603"/>
      <c r="V136" s="603"/>
      <c r="W136" s="603"/>
      <c r="X136" s="603"/>
      <c r="Y136" s="603"/>
      <c r="Z136" s="603"/>
    </row>
    <row r="137" spans="1:26" ht="15.75" customHeight="1" x14ac:dyDescent="0.2">
      <c r="A137" s="603"/>
      <c r="B137" s="603"/>
      <c r="C137" s="603"/>
      <c r="D137" s="603"/>
      <c r="E137" s="603"/>
      <c r="F137" s="603"/>
      <c r="G137" s="603"/>
      <c r="H137" s="603"/>
      <c r="I137" s="603"/>
      <c r="J137" s="603"/>
      <c r="K137" s="449"/>
      <c r="L137" s="603"/>
      <c r="M137" s="603"/>
      <c r="N137" s="603"/>
      <c r="O137" s="603"/>
      <c r="P137" s="603"/>
      <c r="Q137" s="603"/>
      <c r="R137" s="603"/>
      <c r="S137" s="603"/>
      <c r="T137" s="603"/>
      <c r="U137" s="603"/>
      <c r="V137" s="603"/>
      <c r="W137" s="603"/>
      <c r="X137" s="603"/>
      <c r="Y137" s="603"/>
      <c r="Z137" s="603"/>
    </row>
    <row r="138" spans="1:26" ht="15.75" customHeight="1" x14ac:dyDescent="0.2">
      <c r="A138" s="603"/>
      <c r="B138" s="603"/>
      <c r="C138" s="603"/>
      <c r="D138" s="603"/>
      <c r="E138" s="603"/>
      <c r="F138" s="603"/>
      <c r="G138" s="603"/>
      <c r="H138" s="603"/>
      <c r="I138" s="603"/>
      <c r="J138" s="603"/>
      <c r="K138" s="449"/>
      <c r="L138" s="603"/>
      <c r="M138" s="603"/>
      <c r="N138" s="603"/>
      <c r="O138" s="603"/>
      <c r="P138" s="603"/>
      <c r="Q138" s="603"/>
      <c r="R138" s="603"/>
      <c r="S138" s="603"/>
      <c r="T138" s="603"/>
      <c r="U138" s="603"/>
      <c r="V138" s="603"/>
      <c r="W138" s="603"/>
      <c r="X138" s="603"/>
      <c r="Y138" s="603"/>
      <c r="Z138" s="603"/>
    </row>
    <row r="139" spans="1:26" ht="15.75" customHeight="1" x14ac:dyDescent="0.2">
      <c r="A139" s="603"/>
      <c r="B139" s="603"/>
      <c r="C139" s="603"/>
      <c r="D139" s="603"/>
      <c r="E139" s="603"/>
      <c r="F139" s="603"/>
      <c r="G139" s="603"/>
      <c r="H139" s="603"/>
      <c r="I139" s="603"/>
      <c r="J139" s="603"/>
      <c r="K139" s="449"/>
      <c r="L139" s="603"/>
      <c r="M139" s="603"/>
      <c r="N139" s="603"/>
      <c r="O139" s="603"/>
      <c r="P139" s="603"/>
      <c r="Q139" s="603"/>
      <c r="R139" s="603"/>
      <c r="S139" s="603"/>
      <c r="T139" s="603"/>
      <c r="U139" s="603"/>
      <c r="V139" s="603"/>
      <c r="W139" s="603"/>
      <c r="X139" s="603"/>
      <c r="Y139" s="603"/>
      <c r="Z139" s="603"/>
    </row>
    <row r="140" spans="1:26" ht="15.75" customHeight="1" x14ac:dyDescent="0.2">
      <c r="A140" s="603"/>
      <c r="B140" s="603"/>
      <c r="C140" s="603"/>
      <c r="D140" s="603"/>
      <c r="E140" s="603"/>
      <c r="F140" s="603"/>
      <c r="G140" s="603"/>
      <c r="H140" s="603"/>
      <c r="I140" s="603"/>
      <c r="J140" s="603"/>
      <c r="K140" s="449"/>
      <c r="L140" s="603"/>
      <c r="M140" s="603"/>
      <c r="N140" s="603"/>
      <c r="O140" s="603"/>
      <c r="P140" s="603"/>
      <c r="Q140" s="603"/>
      <c r="R140" s="603"/>
      <c r="S140" s="603"/>
      <c r="T140" s="603"/>
      <c r="U140" s="603"/>
      <c r="V140" s="603"/>
      <c r="W140" s="603"/>
      <c r="X140" s="603"/>
      <c r="Y140" s="603"/>
      <c r="Z140" s="603"/>
    </row>
    <row r="141" spans="1:26" ht="15.75" customHeight="1" x14ac:dyDescent="0.2">
      <c r="A141" s="603"/>
      <c r="B141" s="603"/>
      <c r="C141" s="603"/>
      <c r="D141" s="603"/>
      <c r="E141" s="603"/>
      <c r="F141" s="603"/>
      <c r="G141" s="603"/>
      <c r="H141" s="603"/>
      <c r="I141" s="603"/>
      <c r="J141" s="603"/>
      <c r="K141" s="449"/>
      <c r="L141" s="603"/>
      <c r="M141" s="603"/>
      <c r="N141" s="603"/>
      <c r="O141" s="603"/>
      <c r="P141" s="603"/>
      <c r="Q141" s="603"/>
      <c r="R141" s="603"/>
      <c r="S141" s="603"/>
      <c r="T141" s="603"/>
      <c r="U141" s="603"/>
      <c r="V141" s="603"/>
      <c r="W141" s="603"/>
      <c r="X141" s="603"/>
      <c r="Y141" s="603"/>
      <c r="Z141" s="603"/>
    </row>
    <row r="142" spans="1:26" ht="15.75" customHeight="1" x14ac:dyDescent="0.2">
      <c r="A142" s="603"/>
      <c r="B142" s="603"/>
      <c r="C142" s="603"/>
      <c r="D142" s="603"/>
      <c r="E142" s="603"/>
      <c r="F142" s="603"/>
      <c r="G142" s="603"/>
      <c r="H142" s="603"/>
      <c r="I142" s="603"/>
      <c r="J142" s="603"/>
      <c r="K142" s="449"/>
      <c r="L142" s="603"/>
      <c r="M142" s="603"/>
      <c r="N142" s="603"/>
      <c r="O142" s="603"/>
      <c r="P142" s="603"/>
      <c r="Q142" s="603"/>
      <c r="R142" s="603"/>
      <c r="S142" s="603"/>
      <c r="T142" s="603"/>
      <c r="U142" s="603"/>
      <c r="V142" s="603"/>
      <c r="W142" s="603"/>
      <c r="X142" s="603"/>
      <c r="Y142" s="603"/>
      <c r="Z142" s="603"/>
    </row>
    <row r="143" spans="1:26" ht="15.75" customHeight="1" x14ac:dyDescent="0.2">
      <c r="A143" s="603"/>
      <c r="B143" s="603"/>
      <c r="C143" s="603"/>
      <c r="D143" s="603"/>
      <c r="E143" s="603"/>
      <c r="F143" s="603"/>
      <c r="G143" s="603"/>
      <c r="H143" s="603"/>
      <c r="I143" s="603"/>
      <c r="J143" s="603"/>
      <c r="K143" s="449"/>
      <c r="L143" s="603"/>
      <c r="M143" s="603"/>
      <c r="N143" s="603"/>
      <c r="O143" s="603"/>
      <c r="P143" s="603"/>
      <c r="Q143" s="603"/>
      <c r="R143" s="603"/>
      <c r="S143" s="603"/>
      <c r="T143" s="603"/>
      <c r="U143" s="603"/>
      <c r="V143" s="603"/>
      <c r="W143" s="603"/>
      <c r="X143" s="603"/>
      <c r="Y143" s="603"/>
      <c r="Z143" s="603"/>
    </row>
    <row r="144" spans="1:26" ht="15.75" customHeight="1" x14ac:dyDescent="0.2">
      <c r="A144" s="603"/>
      <c r="B144" s="603"/>
      <c r="C144" s="603"/>
      <c r="D144" s="603"/>
      <c r="E144" s="603"/>
      <c r="F144" s="603"/>
      <c r="G144" s="603"/>
      <c r="H144" s="603"/>
      <c r="I144" s="603"/>
      <c r="J144" s="603"/>
      <c r="K144" s="449"/>
      <c r="L144" s="603"/>
      <c r="M144" s="603"/>
      <c r="N144" s="603"/>
      <c r="O144" s="603"/>
      <c r="P144" s="603"/>
      <c r="Q144" s="603"/>
      <c r="R144" s="603"/>
      <c r="S144" s="603"/>
      <c r="T144" s="603"/>
      <c r="U144" s="603"/>
      <c r="V144" s="603"/>
      <c r="W144" s="603"/>
      <c r="X144" s="603"/>
      <c r="Y144" s="603"/>
      <c r="Z144" s="603"/>
    </row>
    <row r="145" spans="1:26" ht="15.75" customHeight="1" x14ac:dyDescent="0.2">
      <c r="A145" s="603"/>
      <c r="B145" s="603"/>
      <c r="C145" s="603"/>
      <c r="D145" s="603"/>
      <c r="E145" s="603"/>
      <c r="F145" s="603"/>
      <c r="G145" s="603"/>
      <c r="H145" s="603"/>
      <c r="I145" s="603"/>
      <c r="J145" s="603"/>
      <c r="K145" s="449"/>
      <c r="L145" s="603"/>
      <c r="M145" s="603"/>
      <c r="N145" s="603"/>
      <c r="O145" s="603"/>
      <c r="P145" s="603"/>
      <c r="Q145" s="603"/>
      <c r="R145" s="603"/>
      <c r="S145" s="603"/>
      <c r="T145" s="603"/>
      <c r="U145" s="603"/>
      <c r="V145" s="603"/>
      <c r="W145" s="603"/>
      <c r="X145" s="603"/>
      <c r="Y145" s="603"/>
      <c r="Z145" s="603"/>
    </row>
    <row r="146" spans="1:26" ht="15.75" customHeight="1" x14ac:dyDescent="0.2">
      <c r="A146" s="603"/>
      <c r="B146" s="603"/>
      <c r="C146" s="603"/>
      <c r="D146" s="603"/>
      <c r="E146" s="603"/>
      <c r="F146" s="603"/>
      <c r="G146" s="603"/>
      <c r="H146" s="603"/>
      <c r="I146" s="603"/>
      <c r="J146" s="603"/>
      <c r="K146" s="449"/>
      <c r="L146" s="603"/>
      <c r="M146" s="603"/>
      <c r="N146" s="603"/>
      <c r="O146" s="603"/>
      <c r="P146" s="603"/>
      <c r="Q146" s="603"/>
      <c r="R146" s="603"/>
      <c r="S146" s="603"/>
      <c r="T146" s="603"/>
      <c r="U146" s="603"/>
      <c r="V146" s="603"/>
      <c r="W146" s="603"/>
      <c r="X146" s="603"/>
      <c r="Y146" s="603"/>
      <c r="Z146" s="603"/>
    </row>
    <row r="147" spans="1:26" ht="15.75" customHeight="1" x14ac:dyDescent="0.2">
      <c r="A147" s="603"/>
      <c r="B147" s="603"/>
      <c r="C147" s="603"/>
      <c r="D147" s="603"/>
      <c r="E147" s="603"/>
      <c r="F147" s="603"/>
      <c r="G147" s="603"/>
      <c r="H147" s="603"/>
      <c r="I147" s="603"/>
      <c r="J147" s="603"/>
      <c r="K147" s="449"/>
      <c r="L147" s="603"/>
      <c r="M147" s="603"/>
      <c r="N147" s="603"/>
      <c r="O147" s="603"/>
      <c r="P147" s="603"/>
      <c r="Q147" s="603"/>
      <c r="R147" s="603"/>
      <c r="S147" s="603"/>
      <c r="T147" s="603"/>
      <c r="U147" s="603"/>
      <c r="V147" s="603"/>
      <c r="W147" s="603"/>
      <c r="X147" s="603"/>
      <c r="Y147" s="603"/>
      <c r="Z147" s="603"/>
    </row>
    <row r="148" spans="1:26" ht="15.75" customHeight="1" x14ac:dyDescent="0.2">
      <c r="A148" s="603"/>
      <c r="B148" s="603"/>
      <c r="C148" s="603"/>
      <c r="D148" s="603"/>
      <c r="E148" s="603"/>
      <c r="F148" s="603"/>
      <c r="G148" s="603"/>
      <c r="H148" s="603"/>
      <c r="I148" s="603"/>
      <c r="J148" s="603"/>
      <c r="K148" s="449"/>
      <c r="L148" s="603"/>
      <c r="M148" s="603"/>
      <c r="N148" s="603"/>
      <c r="O148" s="603"/>
      <c r="P148" s="603"/>
      <c r="Q148" s="603"/>
      <c r="R148" s="603"/>
      <c r="S148" s="603"/>
      <c r="T148" s="603"/>
      <c r="U148" s="603"/>
      <c r="V148" s="603"/>
      <c r="W148" s="603"/>
      <c r="X148" s="603"/>
      <c r="Y148" s="603"/>
      <c r="Z148" s="603"/>
    </row>
    <row r="149" spans="1:26" ht="15.75" customHeight="1" x14ac:dyDescent="0.2">
      <c r="A149" s="603"/>
      <c r="B149" s="603"/>
      <c r="C149" s="603"/>
      <c r="D149" s="603"/>
      <c r="E149" s="603"/>
      <c r="F149" s="603"/>
      <c r="G149" s="603"/>
      <c r="H149" s="603"/>
      <c r="I149" s="603"/>
      <c r="J149" s="603"/>
      <c r="K149" s="449"/>
      <c r="L149" s="603"/>
      <c r="M149" s="603"/>
      <c r="N149" s="603"/>
      <c r="O149" s="603"/>
      <c r="P149" s="603"/>
      <c r="Q149" s="603"/>
      <c r="R149" s="603"/>
      <c r="S149" s="603"/>
      <c r="T149" s="603"/>
      <c r="U149" s="603"/>
      <c r="V149" s="603"/>
      <c r="W149" s="603"/>
      <c r="X149" s="603"/>
      <c r="Y149" s="603"/>
      <c r="Z149" s="603"/>
    </row>
    <row r="150" spans="1:26" ht="15.75" customHeight="1" x14ac:dyDescent="0.2">
      <c r="A150" s="603"/>
      <c r="B150" s="603"/>
      <c r="C150" s="603"/>
      <c r="D150" s="603"/>
      <c r="E150" s="603"/>
      <c r="F150" s="603"/>
      <c r="G150" s="603"/>
      <c r="H150" s="603"/>
      <c r="I150" s="603"/>
      <c r="J150" s="603"/>
      <c r="K150" s="449"/>
      <c r="L150" s="603"/>
      <c r="M150" s="603"/>
      <c r="N150" s="603"/>
      <c r="O150" s="603"/>
      <c r="P150" s="603"/>
      <c r="Q150" s="603"/>
      <c r="R150" s="603"/>
      <c r="S150" s="603"/>
      <c r="T150" s="603"/>
      <c r="U150" s="603"/>
      <c r="V150" s="603"/>
      <c r="W150" s="603"/>
      <c r="X150" s="603"/>
      <c r="Y150" s="603"/>
      <c r="Z150" s="603"/>
    </row>
    <row r="151" spans="1:26" ht="15.75" customHeight="1" x14ac:dyDescent="0.2">
      <c r="A151" s="603"/>
      <c r="B151" s="603"/>
      <c r="C151" s="603"/>
      <c r="D151" s="603"/>
      <c r="E151" s="603"/>
      <c r="F151" s="603"/>
      <c r="G151" s="603"/>
      <c r="H151" s="603"/>
      <c r="I151" s="603"/>
      <c r="J151" s="603"/>
      <c r="K151" s="449"/>
      <c r="L151" s="603"/>
      <c r="M151" s="603"/>
      <c r="N151" s="603"/>
      <c r="O151" s="603"/>
      <c r="P151" s="603"/>
      <c r="Q151" s="603"/>
      <c r="R151" s="603"/>
      <c r="S151" s="603"/>
      <c r="T151" s="603"/>
      <c r="U151" s="603"/>
      <c r="V151" s="603"/>
      <c r="W151" s="603"/>
      <c r="X151" s="603"/>
      <c r="Y151" s="603"/>
      <c r="Z151" s="603"/>
    </row>
    <row r="152" spans="1:26" ht="15.75" customHeight="1" x14ac:dyDescent="0.2">
      <c r="A152" s="603"/>
      <c r="B152" s="603"/>
      <c r="C152" s="603"/>
      <c r="D152" s="603"/>
      <c r="E152" s="603"/>
      <c r="F152" s="603"/>
      <c r="G152" s="603"/>
      <c r="H152" s="603"/>
      <c r="I152" s="603"/>
      <c r="J152" s="603"/>
      <c r="K152" s="449"/>
      <c r="L152" s="603"/>
      <c r="M152" s="603"/>
      <c r="N152" s="603"/>
      <c r="O152" s="603"/>
      <c r="P152" s="603"/>
      <c r="Q152" s="603"/>
      <c r="R152" s="603"/>
      <c r="S152" s="603"/>
      <c r="T152" s="603"/>
      <c r="U152" s="603"/>
      <c r="V152" s="603"/>
      <c r="W152" s="603"/>
      <c r="X152" s="603"/>
      <c r="Y152" s="603"/>
      <c r="Z152" s="603"/>
    </row>
    <row r="153" spans="1:26" ht="15.75" customHeight="1" x14ac:dyDescent="0.2">
      <c r="A153" s="603"/>
      <c r="B153" s="603"/>
      <c r="C153" s="603"/>
      <c r="D153" s="603"/>
      <c r="E153" s="603"/>
      <c r="F153" s="603"/>
      <c r="G153" s="603"/>
      <c r="H153" s="603"/>
      <c r="I153" s="603"/>
      <c r="J153" s="603"/>
      <c r="K153" s="449"/>
      <c r="L153" s="603"/>
      <c r="M153" s="603"/>
      <c r="N153" s="603"/>
      <c r="O153" s="603"/>
      <c r="P153" s="603"/>
      <c r="Q153" s="603"/>
      <c r="R153" s="603"/>
      <c r="S153" s="603"/>
      <c r="T153" s="603"/>
      <c r="U153" s="603"/>
      <c r="V153" s="603"/>
      <c r="W153" s="603"/>
      <c r="X153" s="603"/>
      <c r="Y153" s="603"/>
      <c r="Z153" s="603"/>
    </row>
    <row r="154" spans="1:26" ht="15.75" customHeight="1" x14ac:dyDescent="0.2">
      <c r="A154" s="603"/>
      <c r="B154" s="603"/>
      <c r="C154" s="603"/>
      <c r="D154" s="603"/>
      <c r="E154" s="603"/>
      <c r="F154" s="603"/>
      <c r="G154" s="603"/>
      <c r="H154" s="603"/>
      <c r="I154" s="603"/>
      <c r="J154" s="603"/>
      <c r="K154" s="449"/>
      <c r="L154" s="603"/>
      <c r="M154" s="603"/>
      <c r="N154" s="603"/>
      <c r="O154" s="603"/>
      <c r="P154" s="603"/>
      <c r="Q154" s="603"/>
      <c r="R154" s="603"/>
      <c r="S154" s="603"/>
      <c r="T154" s="603"/>
      <c r="U154" s="603"/>
      <c r="V154" s="603"/>
      <c r="W154" s="603"/>
      <c r="X154" s="603"/>
      <c r="Y154" s="603"/>
      <c r="Z154" s="603"/>
    </row>
    <row r="155" spans="1:26" ht="15.75" customHeight="1" x14ac:dyDescent="0.2">
      <c r="A155" s="603"/>
      <c r="B155" s="603"/>
      <c r="C155" s="603"/>
      <c r="D155" s="603"/>
      <c r="E155" s="603"/>
      <c r="F155" s="603"/>
      <c r="G155" s="603"/>
      <c r="H155" s="603"/>
      <c r="I155" s="603"/>
      <c r="J155" s="603"/>
      <c r="K155" s="449"/>
      <c r="L155" s="603"/>
      <c r="M155" s="603"/>
      <c r="N155" s="603"/>
      <c r="O155" s="603"/>
      <c r="P155" s="603"/>
      <c r="Q155" s="603"/>
      <c r="R155" s="603"/>
      <c r="S155" s="603"/>
      <c r="T155" s="603"/>
      <c r="U155" s="603"/>
      <c r="V155" s="603"/>
      <c r="W155" s="603"/>
      <c r="X155" s="603"/>
      <c r="Y155" s="603"/>
      <c r="Z155" s="603"/>
    </row>
    <row r="156" spans="1:26" ht="15.75" customHeight="1" x14ac:dyDescent="0.2">
      <c r="A156" s="603"/>
      <c r="B156" s="603"/>
      <c r="C156" s="603"/>
      <c r="D156" s="603"/>
      <c r="E156" s="603"/>
      <c r="F156" s="603"/>
      <c r="G156" s="603"/>
      <c r="H156" s="603"/>
      <c r="I156" s="603"/>
      <c r="J156" s="603"/>
      <c r="K156" s="449"/>
      <c r="L156" s="603"/>
      <c r="M156" s="603"/>
      <c r="N156" s="603"/>
      <c r="O156" s="603"/>
      <c r="P156" s="603"/>
      <c r="Q156" s="603"/>
      <c r="R156" s="603"/>
      <c r="S156" s="603"/>
      <c r="T156" s="603"/>
      <c r="U156" s="603"/>
      <c r="V156" s="603"/>
      <c r="W156" s="603"/>
      <c r="X156" s="603"/>
      <c r="Y156" s="603"/>
      <c r="Z156" s="603"/>
    </row>
    <row r="157" spans="1:26" ht="15.75" customHeight="1" x14ac:dyDescent="0.2">
      <c r="A157" s="603"/>
      <c r="B157" s="603"/>
      <c r="C157" s="603"/>
      <c r="D157" s="603"/>
      <c r="E157" s="603"/>
      <c r="F157" s="603"/>
      <c r="G157" s="603"/>
      <c r="H157" s="603"/>
      <c r="I157" s="603"/>
      <c r="J157" s="603"/>
      <c r="K157" s="449"/>
      <c r="L157" s="603"/>
      <c r="M157" s="603"/>
      <c r="N157" s="603"/>
      <c r="O157" s="603"/>
      <c r="P157" s="603"/>
      <c r="Q157" s="603"/>
      <c r="R157" s="603"/>
      <c r="S157" s="603"/>
      <c r="T157" s="603"/>
      <c r="U157" s="603"/>
      <c r="V157" s="603"/>
      <c r="W157" s="603"/>
      <c r="X157" s="603"/>
      <c r="Y157" s="603"/>
      <c r="Z157" s="603"/>
    </row>
    <row r="158" spans="1:26" ht="15.75" customHeight="1" x14ac:dyDescent="0.2">
      <c r="A158" s="603"/>
      <c r="B158" s="603"/>
      <c r="C158" s="603"/>
      <c r="D158" s="603"/>
      <c r="E158" s="603"/>
      <c r="F158" s="603"/>
      <c r="G158" s="603"/>
      <c r="H158" s="603"/>
      <c r="I158" s="603"/>
      <c r="J158" s="603"/>
      <c r="K158" s="449"/>
      <c r="L158" s="603"/>
      <c r="M158" s="603"/>
      <c r="N158" s="603"/>
      <c r="O158" s="603"/>
      <c r="P158" s="603"/>
      <c r="Q158" s="603"/>
      <c r="R158" s="603"/>
      <c r="S158" s="603"/>
      <c r="T158" s="603"/>
      <c r="U158" s="603"/>
      <c r="V158" s="603"/>
      <c r="W158" s="603"/>
      <c r="X158" s="603"/>
      <c r="Y158" s="603"/>
      <c r="Z158" s="603"/>
    </row>
    <row r="159" spans="1:26" ht="15.75" customHeight="1" x14ac:dyDescent="0.2">
      <c r="A159" s="603"/>
      <c r="B159" s="603"/>
      <c r="C159" s="603"/>
      <c r="D159" s="603"/>
      <c r="E159" s="603"/>
      <c r="F159" s="603"/>
      <c r="G159" s="603"/>
      <c r="H159" s="603"/>
      <c r="I159" s="603"/>
      <c r="J159" s="603"/>
      <c r="K159" s="449"/>
      <c r="L159" s="603"/>
      <c r="M159" s="603"/>
      <c r="N159" s="603"/>
      <c r="O159" s="603"/>
      <c r="P159" s="603"/>
      <c r="Q159" s="603"/>
      <c r="R159" s="603"/>
      <c r="S159" s="603"/>
      <c r="T159" s="603"/>
      <c r="U159" s="603"/>
      <c r="V159" s="603"/>
      <c r="W159" s="603"/>
      <c r="X159" s="603"/>
      <c r="Y159" s="603"/>
      <c r="Z159" s="603"/>
    </row>
    <row r="160" spans="1:26" ht="15.75" customHeight="1" x14ac:dyDescent="0.2">
      <c r="A160" s="603"/>
      <c r="B160" s="603"/>
      <c r="C160" s="603"/>
      <c r="D160" s="603"/>
      <c r="E160" s="603"/>
      <c r="F160" s="603"/>
      <c r="G160" s="603"/>
      <c r="H160" s="603"/>
      <c r="I160" s="603"/>
      <c r="J160" s="603"/>
      <c r="K160" s="449"/>
      <c r="L160" s="603"/>
      <c r="M160" s="603"/>
      <c r="N160" s="603"/>
      <c r="O160" s="603"/>
      <c r="P160" s="603"/>
      <c r="Q160" s="603"/>
      <c r="R160" s="603"/>
      <c r="S160" s="603"/>
      <c r="T160" s="603"/>
      <c r="U160" s="603"/>
      <c r="V160" s="603"/>
      <c r="W160" s="603"/>
      <c r="X160" s="603"/>
      <c r="Y160" s="603"/>
      <c r="Z160" s="603"/>
    </row>
    <row r="161" spans="1:26" ht="15.75" customHeight="1" x14ac:dyDescent="0.2">
      <c r="A161" s="603"/>
      <c r="B161" s="603"/>
      <c r="C161" s="603"/>
      <c r="D161" s="603"/>
      <c r="E161" s="603"/>
      <c r="F161" s="603"/>
      <c r="G161" s="603"/>
      <c r="H161" s="603"/>
      <c r="I161" s="603"/>
      <c r="J161" s="603"/>
      <c r="K161" s="449"/>
      <c r="L161" s="603"/>
      <c r="M161" s="603"/>
      <c r="N161" s="603"/>
      <c r="O161" s="603"/>
      <c r="P161" s="603"/>
      <c r="Q161" s="603"/>
      <c r="R161" s="603"/>
      <c r="S161" s="603"/>
      <c r="T161" s="603"/>
      <c r="U161" s="603"/>
      <c r="V161" s="603"/>
      <c r="W161" s="603"/>
      <c r="X161" s="603"/>
      <c r="Y161" s="603"/>
      <c r="Z161" s="603"/>
    </row>
    <row r="162" spans="1:26" ht="15.75" customHeight="1" x14ac:dyDescent="0.2">
      <c r="A162" s="603"/>
      <c r="B162" s="603"/>
      <c r="C162" s="603"/>
      <c r="D162" s="603"/>
      <c r="E162" s="603"/>
      <c r="F162" s="603"/>
      <c r="G162" s="603"/>
      <c r="H162" s="603"/>
      <c r="I162" s="603"/>
      <c r="J162" s="603"/>
      <c r="K162" s="449"/>
      <c r="L162" s="603"/>
      <c r="M162" s="603"/>
      <c r="N162" s="603"/>
      <c r="O162" s="603"/>
      <c r="P162" s="603"/>
      <c r="Q162" s="603"/>
      <c r="R162" s="603"/>
      <c r="S162" s="603"/>
      <c r="T162" s="603"/>
      <c r="U162" s="603"/>
      <c r="V162" s="603"/>
      <c r="W162" s="603"/>
      <c r="X162" s="603"/>
      <c r="Y162" s="603"/>
      <c r="Z162" s="603"/>
    </row>
    <row r="163" spans="1:26" ht="15.75" customHeight="1" x14ac:dyDescent="0.2">
      <c r="A163" s="603"/>
      <c r="B163" s="603"/>
      <c r="C163" s="603"/>
      <c r="D163" s="603"/>
      <c r="E163" s="603"/>
      <c r="F163" s="603"/>
      <c r="G163" s="603"/>
      <c r="H163" s="603"/>
      <c r="I163" s="603"/>
      <c r="J163" s="603"/>
      <c r="K163" s="449"/>
      <c r="L163" s="603"/>
      <c r="M163" s="603"/>
      <c r="N163" s="603"/>
      <c r="O163" s="603"/>
      <c r="P163" s="603"/>
      <c r="Q163" s="603"/>
      <c r="R163" s="603"/>
      <c r="S163" s="603"/>
      <c r="T163" s="603"/>
      <c r="U163" s="603"/>
      <c r="V163" s="603"/>
      <c r="W163" s="603"/>
      <c r="X163" s="603"/>
      <c r="Y163" s="603"/>
      <c r="Z163" s="603"/>
    </row>
    <row r="164" spans="1:26" ht="15.75" customHeight="1" x14ac:dyDescent="0.2">
      <c r="A164" s="603"/>
      <c r="B164" s="603"/>
      <c r="C164" s="603"/>
      <c r="D164" s="603"/>
      <c r="E164" s="603"/>
      <c r="F164" s="603"/>
      <c r="G164" s="603"/>
      <c r="H164" s="603"/>
      <c r="I164" s="603"/>
      <c r="J164" s="603"/>
      <c r="K164" s="449"/>
      <c r="L164" s="603"/>
      <c r="M164" s="603"/>
      <c r="N164" s="603"/>
      <c r="O164" s="603"/>
      <c r="P164" s="603"/>
      <c r="Q164" s="603"/>
      <c r="R164" s="603"/>
      <c r="S164" s="603"/>
      <c r="T164" s="603"/>
      <c r="U164" s="603"/>
      <c r="V164" s="603"/>
      <c r="W164" s="603"/>
      <c r="X164" s="603"/>
      <c r="Y164" s="603"/>
      <c r="Z164" s="603"/>
    </row>
    <row r="165" spans="1:26" ht="15.75" customHeight="1" x14ac:dyDescent="0.2">
      <c r="A165" s="603"/>
      <c r="B165" s="603"/>
      <c r="C165" s="603"/>
      <c r="D165" s="603"/>
      <c r="E165" s="603"/>
      <c r="F165" s="603"/>
      <c r="G165" s="603"/>
      <c r="H165" s="603"/>
      <c r="I165" s="603"/>
      <c r="J165" s="603"/>
      <c r="K165" s="449"/>
      <c r="L165" s="603"/>
      <c r="M165" s="603"/>
      <c r="N165" s="603"/>
      <c r="O165" s="603"/>
      <c r="P165" s="603"/>
      <c r="Q165" s="603"/>
      <c r="R165" s="603"/>
      <c r="S165" s="603"/>
      <c r="T165" s="603"/>
      <c r="U165" s="603"/>
      <c r="V165" s="603"/>
      <c r="W165" s="603"/>
      <c r="X165" s="603"/>
      <c r="Y165" s="603"/>
      <c r="Z165" s="603"/>
    </row>
    <row r="166" spans="1:26" ht="15.75" customHeight="1" x14ac:dyDescent="0.2">
      <c r="A166" s="603"/>
      <c r="B166" s="603"/>
      <c r="C166" s="603"/>
      <c r="D166" s="603"/>
      <c r="E166" s="603"/>
      <c r="F166" s="603"/>
      <c r="G166" s="603"/>
      <c r="H166" s="603"/>
      <c r="I166" s="603"/>
      <c r="J166" s="603"/>
      <c r="K166" s="449"/>
      <c r="L166" s="603"/>
      <c r="M166" s="603"/>
      <c r="N166" s="603"/>
      <c r="O166" s="603"/>
      <c r="P166" s="603"/>
      <c r="Q166" s="603"/>
      <c r="R166" s="603"/>
      <c r="S166" s="603"/>
      <c r="T166" s="603"/>
      <c r="U166" s="603"/>
      <c r="V166" s="603"/>
      <c r="W166" s="603"/>
      <c r="X166" s="603"/>
      <c r="Y166" s="603"/>
      <c r="Z166" s="603"/>
    </row>
    <row r="167" spans="1:26" ht="15.75" customHeight="1" x14ac:dyDescent="0.2">
      <c r="A167" s="603"/>
      <c r="B167" s="603"/>
      <c r="C167" s="603"/>
      <c r="D167" s="603"/>
      <c r="E167" s="603"/>
      <c r="F167" s="603"/>
      <c r="G167" s="603"/>
      <c r="H167" s="603"/>
      <c r="I167" s="603"/>
      <c r="J167" s="603"/>
      <c r="K167" s="449"/>
      <c r="L167" s="603"/>
      <c r="M167" s="603"/>
      <c r="N167" s="603"/>
      <c r="O167" s="603"/>
      <c r="P167" s="603"/>
      <c r="Q167" s="603"/>
      <c r="R167" s="603"/>
      <c r="S167" s="603"/>
      <c r="T167" s="603"/>
      <c r="U167" s="603"/>
      <c r="V167" s="603"/>
      <c r="W167" s="603"/>
      <c r="X167" s="603"/>
      <c r="Y167" s="603"/>
      <c r="Z167" s="603"/>
    </row>
    <row r="168" spans="1:26" ht="15.75" customHeight="1" x14ac:dyDescent="0.2">
      <c r="A168" s="603"/>
      <c r="B168" s="603"/>
      <c r="C168" s="603"/>
      <c r="D168" s="603"/>
      <c r="E168" s="603"/>
      <c r="F168" s="603"/>
      <c r="G168" s="603"/>
      <c r="H168" s="603"/>
      <c r="I168" s="603"/>
      <c r="J168" s="603"/>
      <c r="K168" s="449"/>
      <c r="L168" s="603"/>
      <c r="M168" s="603"/>
      <c r="N168" s="603"/>
      <c r="O168" s="603"/>
      <c r="P168" s="603"/>
      <c r="Q168" s="603"/>
      <c r="R168" s="603"/>
      <c r="S168" s="603"/>
      <c r="T168" s="603"/>
      <c r="U168" s="603"/>
      <c r="V168" s="603"/>
      <c r="W168" s="603"/>
      <c r="X168" s="603"/>
      <c r="Y168" s="603"/>
      <c r="Z168" s="603"/>
    </row>
    <row r="169" spans="1:26" ht="15.75" customHeight="1" x14ac:dyDescent="0.2">
      <c r="A169" s="603"/>
      <c r="B169" s="603"/>
      <c r="C169" s="603"/>
      <c r="D169" s="603"/>
      <c r="E169" s="603"/>
      <c r="F169" s="603"/>
      <c r="G169" s="603"/>
      <c r="H169" s="603"/>
      <c r="I169" s="603"/>
      <c r="J169" s="603"/>
      <c r="K169" s="449"/>
      <c r="L169" s="603"/>
      <c r="M169" s="603"/>
      <c r="N169" s="603"/>
      <c r="O169" s="603"/>
      <c r="P169" s="603"/>
      <c r="Q169" s="603"/>
      <c r="R169" s="603"/>
      <c r="S169" s="603"/>
      <c r="T169" s="603"/>
      <c r="U169" s="603"/>
      <c r="V169" s="603"/>
      <c r="W169" s="603"/>
      <c r="X169" s="603"/>
      <c r="Y169" s="603"/>
      <c r="Z169" s="603"/>
    </row>
    <row r="170" spans="1:26" ht="15.75" customHeight="1" x14ac:dyDescent="0.2">
      <c r="A170" s="603"/>
      <c r="B170" s="603"/>
      <c r="C170" s="603"/>
      <c r="D170" s="603"/>
      <c r="E170" s="603"/>
      <c r="F170" s="603"/>
      <c r="G170" s="603"/>
      <c r="H170" s="603"/>
      <c r="I170" s="603"/>
      <c r="J170" s="603"/>
      <c r="K170" s="449"/>
      <c r="L170" s="603"/>
      <c r="M170" s="603"/>
      <c r="N170" s="603"/>
      <c r="O170" s="603"/>
      <c r="P170" s="603"/>
      <c r="Q170" s="603"/>
      <c r="R170" s="603"/>
      <c r="S170" s="603"/>
      <c r="T170" s="603"/>
      <c r="U170" s="603"/>
      <c r="V170" s="603"/>
      <c r="W170" s="603"/>
      <c r="X170" s="603"/>
      <c r="Y170" s="603"/>
      <c r="Z170" s="603"/>
    </row>
    <row r="171" spans="1:26" ht="15.75" customHeight="1" x14ac:dyDescent="0.2">
      <c r="A171" s="603"/>
      <c r="B171" s="603"/>
      <c r="C171" s="603"/>
      <c r="D171" s="603"/>
      <c r="E171" s="603"/>
      <c r="F171" s="603"/>
      <c r="G171" s="603"/>
      <c r="H171" s="603"/>
      <c r="I171" s="603"/>
      <c r="J171" s="603"/>
      <c r="K171" s="449"/>
      <c r="L171" s="603"/>
      <c r="M171" s="603"/>
      <c r="N171" s="603"/>
      <c r="O171" s="603"/>
      <c r="P171" s="603"/>
      <c r="Q171" s="603"/>
      <c r="R171" s="603"/>
      <c r="S171" s="603"/>
      <c r="T171" s="603"/>
      <c r="U171" s="603"/>
      <c r="V171" s="603"/>
      <c r="W171" s="603"/>
      <c r="X171" s="603"/>
      <c r="Y171" s="603"/>
      <c r="Z171" s="603"/>
    </row>
    <row r="172" spans="1:26" ht="15.75" customHeight="1" x14ac:dyDescent="0.2">
      <c r="A172" s="603"/>
      <c r="B172" s="603"/>
      <c r="C172" s="603"/>
      <c r="D172" s="603"/>
      <c r="E172" s="603"/>
      <c r="F172" s="603"/>
      <c r="G172" s="603"/>
      <c r="H172" s="603"/>
      <c r="I172" s="603"/>
      <c r="J172" s="603"/>
      <c r="K172" s="449"/>
      <c r="L172" s="603"/>
      <c r="M172" s="603"/>
      <c r="N172" s="603"/>
      <c r="O172" s="603"/>
      <c r="P172" s="603"/>
      <c r="Q172" s="603"/>
      <c r="R172" s="603"/>
      <c r="S172" s="603"/>
      <c r="T172" s="603"/>
      <c r="U172" s="603"/>
      <c r="V172" s="603"/>
      <c r="W172" s="603"/>
      <c r="X172" s="603"/>
      <c r="Y172" s="603"/>
      <c r="Z172" s="603"/>
    </row>
    <row r="173" spans="1:26" ht="15.75" customHeight="1" x14ac:dyDescent="0.2">
      <c r="A173" s="603"/>
      <c r="B173" s="603"/>
      <c r="C173" s="603"/>
      <c r="D173" s="603"/>
      <c r="E173" s="603"/>
      <c r="F173" s="603"/>
      <c r="G173" s="603"/>
      <c r="H173" s="603"/>
      <c r="I173" s="603"/>
      <c r="J173" s="603"/>
      <c r="K173" s="449"/>
      <c r="L173" s="603"/>
      <c r="M173" s="603"/>
      <c r="N173" s="603"/>
      <c r="O173" s="603"/>
      <c r="P173" s="603"/>
      <c r="Q173" s="603"/>
      <c r="R173" s="603"/>
      <c r="S173" s="603"/>
      <c r="T173" s="603"/>
      <c r="U173" s="603"/>
      <c r="V173" s="603"/>
      <c r="W173" s="603"/>
      <c r="X173" s="603"/>
      <c r="Y173" s="603"/>
      <c r="Z173" s="603"/>
    </row>
    <row r="174" spans="1:26" ht="15.75" customHeight="1" x14ac:dyDescent="0.2">
      <c r="A174" s="603"/>
      <c r="B174" s="603"/>
      <c r="C174" s="603"/>
      <c r="D174" s="603"/>
      <c r="E174" s="603"/>
      <c r="F174" s="603"/>
      <c r="G174" s="603"/>
      <c r="H174" s="603"/>
      <c r="I174" s="603"/>
      <c r="J174" s="603"/>
      <c r="K174" s="449"/>
      <c r="L174" s="603"/>
      <c r="M174" s="603"/>
      <c r="N174" s="603"/>
      <c r="O174" s="603"/>
      <c r="P174" s="603"/>
      <c r="Q174" s="603"/>
      <c r="R174" s="603"/>
      <c r="S174" s="603"/>
      <c r="T174" s="603"/>
      <c r="U174" s="603"/>
      <c r="V174" s="603"/>
      <c r="W174" s="603"/>
      <c r="X174" s="603"/>
      <c r="Y174" s="603"/>
      <c r="Z174" s="603"/>
    </row>
    <row r="175" spans="1:26" ht="15.75" customHeight="1" x14ac:dyDescent="0.2">
      <c r="A175" s="603"/>
      <c r="B175" s="603"/>
      <c r="C175" s="603"/>
      <c r="D175" s="603"/>
      <c r="E175" s="603"/>
      <c r="F175" s="603"/>
      <c r="G175" s="603"/>
      <c r="H175" s="603"/>
      <c r="I175" s="603"/>
      <c r="J175" s="603"/>
      <c r="K175" s="449"/>
      <c r="L175" s="603"/>
      <c r="M175" s="603"/>
      <c r="N175" s="603"/>
      <c r="O175" s="603"/>
      <c r="P175" s="603"/>
      <c r="Q175" s="603"/>
      <c r="R175" s="603"/>
      <c r="S175" s="603"/>
      <c r="T175" s="603"/>
      <c r="U175" s="603"/>
      <c r="V175" s="603"/>
      <c r="W175" s="603"/>
      <c r="X175" s="603"/>
      <c r="Y175" s="603"/>
      <c r="Z175" s="603"/>
    </row>
    <row r="176" spans="1:26" ht="15.75" customHeight="1" x14ac:dyDescent="0.2">
      <c r="A176" s="603"/>
      <c r="B176" s="603"/>
      <c r="C176" s="603"/>
      <c r="D176" s="603"/>
      <c r="E176" s="603"/>
      <c r="F176" s="603"/>
      <c r="G176" s="603"/>
      <c r="H176" s="603"/>
      <c r="I176" s="603"/>
      <c r="J176" s="603"/>
      <c r="K176" s="449"/>
      <c r="L176" s="603"/>
      <c r="M176" s="603"/>
      <c r="N176" s="603"/>
      <c r="O176" s="603"/>
      <c r="P176" s="603"/>
      <c r="Q176" s="603"/>
      <c r="R176" s="603"/>
      <c r="S176" s="603"/>
      <c r="T176" s="603"/>
      <c r="U176" s="603"/>
      <c r="V176" s="603"/>
      <c r="W176" s="603"/>
      <c r="X176" s="603"/>
      <c r="Y176" s="603"/>
      <c r="Z176" s="603"/>
    </row>
    <row r="177" spans="1:26" ht="15.75" customHeight="1" x14ac:dyDescent="0.2">
      <c r="A177" s="603"/>
      <c r="B177" s="603"/>
      <c r="C177" s="603"/>
      <c r="D177" s="603"/>
      <c r="E177" s="603"/>
      <c r="F177" s="603"/>
      <c r="G177" s="603"/>
      <c r="H177" s="603"/>
      <c r="I177" s="603"/>
      <c r="J177" s="603"/>
      <c r="K177" s="449"/>
      <c r="L177" s="603"/>
      <c r="M177" s="603"/>
      <c r="N177" s="603"/>
      <c r="O177" s="603"/>
      <c r="P177" s="603"/>
      <c r="Q177" s="603"/>
      <c r="R177" s="603"/>
      <c r="S177" s="603"/>
      <c r="T177" s="603"/>
      <c r="U177" s="603"/>
      <c r="V177" s="603"/>
      <c r="W177" s="603"/>
      <c r="X177" s="603"/>
      <c r="Y177" s="603"/>
      <c r="Z177" s="603"/>
    </row>
    <row r="178" spans="1:26" ht="15.75" customHeight="1" x14ac:dyDescent="0.2">
      <c r="A178" s="603"/>
      <c r="B178" s="603"/>
      <c r="C178" s="603"/>
      <c r="D178" s="603"/>
      <c r="E178" s="603"/>
      <c r="F178" s="603"/>
      <c r="G178" s="603"/>
      <c r="H178" s="603"/>
      <c r="I178" s="603"/>
      <c r="J178" s="603"/>
      <c r="K178" s="449"/>
      <c r="L178" s="603"/>
      <c r="M178" s="603"/>
      <c r="N178" s="603"/>
      <c r="O178" s="603"/>
      <c r="P178" s="603"/>
      <c r="Q178" s="603"/>
      <c r="R178" s="603"/>
      <c r="S178" s="603"/>
      <c r="T178" s="603"/>
      <c r="U178" s="603"/>
      <c r="V178" s="603"/>
      <c r="W178" s="603"/>
      <c r="X178" s="603"/>
      <c r="Y178" s="603"/>
      <c r="Z178" s="603"/>
    </row>
    <row r="179" spans="1:26" ht="15.75" customHeight="1" x14ac:dyDescent="0.2">
      <c r="A179" s="603"/>
      <c r="B179" s="603"/>
      <c r="C179" s="603"/>
      <c r="D179" s="603"/>
      <c r="E179" s="603"/>
      <c r="F179" s="603"/>
      <c r="G179" s="603"/>
      <c r="H179" s="603"/>
      <c r="I179" s="603"/>
      <c r="J179" s="603"/>
      <c r="K179" s="449"/>
      <c r="L179" s="603"/>
      <c r="M179" s="603"/>
      <c r="N179" s="603"/>
      <c r="O179" s="603"/>
      <c r="P179" s="603"/>
      <c r="Q179" s="603"/>
      <c r="R179" s="603"/>
      <c r="S179" s="603"/>
      <c r="T179" s="603"/>
      <c r="U179" s="603"/>
      <c r="V179" s="603"/>
      <c r="W179" s="603"/>
      <c r="X179" s="603"/>
      <c r="Y179" s="603"/>
      <c r="Z179" s="603"/>
    </row>
    <row r="180" spans="1:26" ht="15.75" customHeight="1" x14ac:dyDescent="0.2">
      <c r="A180" s="603"/>
      <c r="B180" s="603"/>
      <c r="C180" s="603"/>
      <c r="D180" s="603"/>
      <c r="E180" s="603"/>
      <c r="F180" s="603"/>
      <c r="G180" s="603"/>
      <c r="H180" s="603"/>
      <c r="I180" s="603"/>
      <c r="J180" s="603"/>
      <c r="K180" s="449"/>
      <c r="L180" s="603"/>
      <c r="M180" s="603"/>
      <c r="N180" s="603"/>
      <c r="O180" s="603"/>
      <c r="P180" s="603"/>
      <c r="Q180" s="603"/>
      <c r="R180" s="603"/>
      <c r="S180" s="603"/>
      <c r="T180" s="603"/>
      <c r="U180" s="603"/>
      <c r="V180" s="603"/>
      <c r="W180" s="603"/>
      <c r="X180" s="603"/>
      <c r="Y180" s="603"/>
      <c r="Z180" s="603"/>
    </row>
    <row r="181" spans="1:26" ht="15.75" customHeight="1" x14ac:dyDescent="0.2">
      <c r="A181" s="603"/>
      <c r="B181" s="603"/>
      <c r="C181" s="603"/>
      <c r="D181" s="603"/>
      <c r="E181" s="603"/>
      <c r="F181" s="603"/>
      <c r="G181" s="603"/>
      <c r="H181" s="603"/>
      <c r="I181" s="603"/>
      <c r="J181" s="603"/>
      <c r="K181" s="449"/>
      <c r="L181" s="603"/>
      <c r="M181" s="603"/>
      <c r="N181" s="603"/>
      <c r="O181" s="603"/>
      <c r="P181" s="603"/>
      <c r="Q181" s="603"/>
      <c r="R181" s="603"/>
      <c r="S181" s="603"/>
      <c r="T181" s="603"/>
      <c r="U181" s="603"/>
      <c r="V181" s="603"/>
      <c r="W181" s="603"/>
      <c r="X181" s="603"/>
      <c r="Y181" s="603"/>
      <c r="Z181" s="603"/>
    </row>
    <row r="182" spans="1:26" ht="15.75" customHeight="1" x14ac:dyDescent="0.2">
      <c r="A182" s="603"/>
      <c r="B182" s="603"/>
      <c r="C182" s="603"/>
      <c r="D182" s="603"/>
      <c r="E182" s="603"/>
      <c r="F182" s="603"/>
      <c r="G182" s="603"/>
      <c r="H182" s="603"/>
      <c r="I182" s="603"/>
      <c r="J182" s="603"/>
      <c r="K182" s="449"/>
      <c r="L182" s="603"/>
      <c r="M182" s="603"/>
      <c r="N182" s="603"/>
      <c r="O182" s="603"/>
      <c r="P182" s="603"/>
      <c r="Q182" s="603"/>
      <c r="R182" s="603"/>
      <c r="S182" s="603"/>
      <c r="T182" s="603"/>
      <c r="U182" s="603"/>
      <c r="V182" s="603"/>
      <c r="W182" s="603"/>
      <c r="X182" s="603"/>
      <c r="Y182" s="603"/>
      <c r="Z182" s="603"/>
    </row>
    <row r="183" spans="1:26" ht="15.75" customHeight="1" x14ac:dyDescent="0.2">
      <c r="A183" s="603"/>
      <c r="B183" s="603"/>
      <c r="C183" s="603"/>
      <c r="D183" s="603"/>
      <c r="E183" s="603"/>
      <c r="F183" s="603"/>
      <c r="G183" s="603"/>
      <c r="H183" s="603"/>
      <c r="I183" s="603"/>
      <c r="J183" s="603"/>
      <c r="K183" s="449"/>
      <c r="L183" s="603"/>
      <c r="M183" s="603"/>
      <c r="N183" s="603"/>
      <c r="O183" s="603"/>
      <c r="P183" s="603"/>
      <c r="Q183" s="603"/>
      <c r="R183" s="603"/>
      <c r="S183" s="603"/>
      <c r="T183" s="603"/>
      <c r="U183" s="603"/>
      <c r="V183" s="603"/>
      <c r="W183" s="603"/>
      <c r="X183" s="603"/>
      <c r="Y183" s="603"/>
      <c r="Z183" s="603"/>
    </row>
    <row r="184" spans="1:26" ht="15.75" customHeight="1" x14ac:dyDescent="0.2">
      <c r="A184" s="603"/>
      <c r="B184" s="603"/>
      <c r="C184" s="603"/>
      <c r="D184" s="603"/>
      <c r="E184" s="603"/>
      <c r="F184" s="603"/>
      <c r="G184" s="603"/>
      <c r="H184" s="603"/>
      <c r="I184" s="603"/>
      <c r="J184" s="603"/>
      <c r="K184" s="449"/>
      <c r="L184" s="603"/>
      <c r="M184" s="603"/>
      <c r="N184" s="603"/>
      <c r="O184" s="603"/>
      <c r="P184" s="603"/>
      <c r="Q184" s="603"/>
      <c r="R184" s="603"/>
      <c r="S184" s="603"/>
      <c r="T184" s="603"/>
      <c r="U184" s="603"/>
      <c r="V184" s="603"/>
      <c r="W184" s="603"/>
      <c r="X184" s="603"/>
      <c r="Y184" s="603"/>
      <c r="Z184" s="603"/>
    </row>
    <row r="185" spans="1:26" ht="15.75" customHeight="1" x14ac:dyDescent="0.2">
      <c r="A185" s="603"/>
      <c r="B185" s="603"/>
      <c r="C185" s="603"/>
      <c r="D185" s="603"/>
      <c r="E185" s="603"/>
      <c r="F185" s="603"/>
      <c r="G185" s="603"/>
      <c r="H185" s="603"/>
      <c r="I185" s="603"/>
      <c r="J185" s="603"/>
      <c r="K185" s="449"/>
      <c r="L185" s="603"/>
      <c r="M185" s="603"/>
      <c r="N185" s="603"/>
      <c r="O185" s="603"/>
      <c r="P185" s="603"/>
      <c r="Q185" s="603"/>
      <c r="R185" s="603"/>
      <c r="S185" s="603"/>
      <c r="T185" s="603"/>
      <c r="U185" s="603"/>
      <c r="V185" s="603"/>
      <c r="W185" s="603"/>
      <c r="X185" s="603"/>
      <c r="Y185" s="603"/>
      <c r="Z185" s="603"/>
    </row>
    <row r="186" spans="1:26" ht="15.75" customHeight="1" x14ac:dyDescent="0.2">
      <c r="A186" s="603"/>
      <c r="B186" s="603"/>
      <c r="C186" s="603"/>
      <c r="D186" s="603"/>
      <c r="E186" s="603"/>
      <c r="F186" s="603"/>
      <c r="G186" s="603"/>
      <c r="H186" s="603"/>
      <c r="I186" s="603"/>
      <c r="J186" s="603"/>
      <c r="K186" s="449"/>
      <c r="L186" s="603"/>
      <c r="M186" s="603"/>
      <c r="N186" s="603"/>
      <c r="O186" s="603"/>
      <c r="P186" s="603"/>
      <c r="Q186" s="603"/>
      <c r="R186" s="603"/>
      <c r="S186" s="603"/>
      <c r="T186" s="603"/>
      <c r="U186" s="603"/>
      <c r="V186" s="603"/>
      <c r="W186" s="603"/>
      <c r="X186" s="603"/>
      <c r="Y186" s="603"/>
      <c r="Z186" s="603"/>
    </row>
    <row r="187" spans="1:26" ht="15.75" customHeight="1" x14ac:dyDescent="0.2">
      <c r="A187" s="603"/>
      <c r="B187" s="603"/>
      <c r="C187" s="603"/>
      <c r="D187" s="603"/>
      <c r="E187" s="603"/>
      <c r="F187" s="603"/>
      <c r="G187" s="603"/>
      <c r="H187" s="603"/>
      <c r="I187" s="603"/>
      <c r="J187" s="603"/>
      <c r="K187" s="449"/>
      <c r="L187" s="603"/>
      <c r="M187" s="603"/>
      <c r="N187" s="603"/>
      <c r="O187" s="603"/>
      <c r="P187" s="603"/>
      <c r="Q187" s="603"/>
      <c r="R187" s="603"/>
      <c r="S187" s="603"/>
      <c r="T187" s="603"/>
      <c r="U187" s="603"/>
      <c r="V187" s="603"/>
      <c r="W187" s="603"/>
      <c r="X187" s="603"/>
      <c r="Y187" s="603"/>
      <c r="Z187" s="603"/>
    </row>
    <row r="188" spans="1:26" ht="15.75" customHeight="1" x14ac:dyDescent="0.2">
      <c r="A188" s="603"/>
      <c r="B188" s="603"/>
      <c r="C188" s="603"/>
      <c r="D188" s="603"/>
      <c r="E188" s="603"/>
      <c r="F188" s="603"/>
      <c r="G188" s="603"/>
      <c r="H188" s="603"/>
      <c r="I188" s="603"/>
      <c r="J188" s="603"/>
      <c r="K188" s="449"/>
      <c r="L188" s="603"/>
      <c r="M188" s="603"/>
      <c r="N188" s="603"/>
      <c r="O188" s="603"/>
      <c r="P188" s="603"/>
      <c r="Q188" s="603"/>
      <c r="R188" s="603"/>
      <c r="S188" s="603"/>
      <c r="T188" s="603"/>
      <c r="U188" s="603"/>
      <c r="V188" s="603"/>
      <c r="W188" s="603"/>
      <c r="X188" s="603"/>
      <c r="Y188" s="603"/>
      <c r="Z188" s="603"/>
    </row>
    <row r="189" spans="1:26" ht="15.75" customHeight="1" x14ac:dyDescent="0.2">
      <c r="A189" s="603"/>
      <c r="B189" s="603"/>
      <c r="C189" s="603"/>
      <c r="D189" s="603"/>
      <c r="E189" s="603"/>
      <c r="F189" s="603"/>
      <c r="G189" s="603"/>
      <c r="H189" s="603"/>
      <c r="I189" s="603"/>
      <c r="J189" s="603"/>
      <c r="K189" s="449"/>
      <c r="L189" s="603"/>
      <c r="M189" s="603"/>
      <c r="N189" s="603"/>
      <c r="O189" s="603"/>
      <c r="P189" s="603"/>
      <c r="Q189" s="603"/>
      <c r="R189" s="603"/>
      <c r="S189" s="603"/>
      <c r="T189" s="603"/>
      <c r="U189" s="603"/>
      <c r="V189" s="603"/>
      <c r="W189" s="603"/>
      <c r="X189" s="603"/>
      <c r="Y189" s="603"/>
      <c r="Z189" s="603"/>
    </row>
    <row r="190" spans="1:26" ht="15.75" customHeight="1" x14ac:dyDescent="0.2">
      <c r="A190" s="603"/>
      <c r="B190" s="603"/>
      <c r="C190" s="603"/>
      <c r="D190" s="603"/>
      <c r="E190" s="603"/>
      <c r="F190" s="603"/>
      <c r="G190" s="603"/>
      <c r="H190" s="603"/>
      <c r="I190" s="603"/>
      <c r="J190" s="603"/>
      <c r="K190" s="449"/>
      <c r="L190" s="603"/>
      <c r="M190" s="603"/>
      <c r="N190" s="603"/>
      <c r="O190" s="603"/>
      <c r="P190" s="603"/>
      <c r="Q190" s="603"/>
      <c r="R190" s="603"/>
      <c r="S190" s="603"/>
      <c r="T190" s="603"/>
      <c r="U190" s="603"/>
      <c r="V190" s="603"/>
      <c r="W190" s="603"/>
      <c r="X190" s="603"/>
      <c r="Y190" s="603"/>
      <c r="Z190" s="603"/>
    </row>
    <row r="191" spans="1:26" ht="15.75" customHeight="1" x14ac:dyDescent="0.2">
      <c r="A191" s="603"/>
      <c r="B191" s="603"/>
      <c r="C191" s="603"/>
      <c r="D191" s="603"/>
      <c r="E191" s="603"/>
      <c r="F191" s="603"/>
      <c r="G191" s="603"/>
      <c r="H191" s="603"/>
      <c r="I191" s="603"/>
      <c r="J191" s="603"/>
      <c r="K191" s="449"/>
      <c r="L191" s="603"/>
      <c r="M191" s="603"/>
      <c r="N191" s="603"/>
      <c r="O191" s="603"/>
      <c r="P191" s="603"/>
      <c r="Q191" s="603"/>
      <c r="R191" s="603"/>
      <c r="S191" s="603"/>
      <c r="T191" s="603"/>
      <c r="U191" s="603"/>
      <c r="V191" s="603"/>
      <c r="W191" s="603"/>
      <c r="X191" s="603"/>
      <c r="Y191" s="603"/>
      <c r="Z191" s="603"/>
    </row>
    <row r="192" spans="1:26" ht="15.75" customHeight="1" x14ac:dyDescent="0.2">
      <c r="A192" s="603"/>
      <c r="B192" s="603"/>
      <c r="C192" s="603"/>
      <c r="D192" s="603"/>
      <c r="E192" s="603"/>
      <c r="F192" s="603"/>
      <c r="G192" s="603"/>
      <c r="H192" s="603"/>
      <c r="I192" s="603"/>
      <c r="J192" s="603"/>
      <c r="K192" s="449"/>
      <c r="L192" s="603"/>
      <c r="M192" s="603"/>
      <c r="N192" s="603"/>
      <c r="O192" s="603"/>
      <c r="P192" s="603"/>
      <c r="Q192" s="603"/>
      <c r="R192" s="603"/>
      <c r="S192" s="603"/>
      <c r="T192" s="603"/>
      <c r="U192" s="603"/>
      <c r="V192" s="603"/>
      <c r="W192" s="603"/>
      <c r="X192" s="603"/>
      <c r="Y192" s="603"/>
      <c r="Z192" s="603"/>
    </row>
    <row r="193" spans="1:26" ht="15.75" customHeight="1" x14ac:dyDescent="0.2">
      <c r="A193" s="603"/>
      <c r="B193" s="603"/>
      <c r="C193" s="603"/>
      <c r="D193" s="603"/>
      <c r="E193" s="603"/>
      <c r="F193" s="603"/>
      <c r="G193" s="603"/>
      <c r="H193" s="603"/>
      <c r="I193" s="603"/>
      <c r="J193" s="603"/>
      <c r="K193" s="449"/>
      <c r="L193" s="603"/>
      <c r="M193" s="603"/>
      <c r="N193" s="603"/>
      <c r="O193" s="603"/>
      <c r="P193" s="603"/>
      <c r="Q193" s="603"/>
      <c r="R193" s="603"/>
      <c r="S193" s="603"/>
      <c r="T193" s="603"/>
      <c r="U193" s="603"/>
      <c r="V193" s="603"/>
      <c r="W193" s="603"/>
      <c r="X193" s="603"/>
      <c r="Y193" s="603"/>
      <c r="Z193" s="603"/>
    </row>
    <row r="194" spans="1:26" ht="15.75" customHeight="1" x14ac:dyDescent="0.2">
      <c r="A194" s="603"/>
      <c r="B194" s="603"/>
      <c r="C194" s="603"/>
      <c r="D194" s="603"/>
      <c r="E194" s="603"/>
      <c r="F194" s="603"/>
      <c r="G194" s="603"/>
      <c r="H194" s="603"/>
      <c r="I194" s="603"/>
      <c r="J194" s="603"/>
      <c r="K194" s="449"/>
      <c r="L194" s="603"/>
      <c r="M194" s="603"/>
      <c r="N194" s="603"/>
      <c r="O194" s="603"/>
      <c r="P194" s="603"/>
      <c r="Q194" s="603"/>
      <c r="R194" s="603"/>
      <c r="S194" s="603"/>
      <c r="T194" s="603"/>
      <c r="U194" s="603"/>
      <c r="V194" s="603"/>
      <c r="W194" s="603"/>
      <c r="X194" s="603"/>
      <c r="Y194" s="603"/>
      <c r="Z194" s="603"/>
    </row>
    <row r="195" spans="1:26" ht="15.75" customHeight="1" x14ac:dyDescent="0.2">
      <c r="A195" s="603"/>
      <c r="B195" s="603"/>
      <c r="C195" s="603"/>
      <c r="D195" s="603"/>
      <c r="E195" s="603"/>
      <c r="F195" s="603"/>
      <c r="G195" s="603"/>
      <c r="H195" s="603"/>
      <c r="I195" s="603"/>
      <c r="J195" s="603"/>
      <c r="K195" s="449"/>
      <c r="L195" s="603"/>
      <c r="M195" s="603"/>
      <c r="N195" s="603"/>
      <c r="O195" s="603"/>
      <c r="P195" s="603"/>
      <c r="Q195" s="603"/>
      <c r="R195" s="603"/>
      <c r="S195" s="603"/>
      <c r="T195" s="603"/>
      <c r="U195" s="603"/>
      <c r="V195" s="603"/>
      <c r="W195" s="603"/>
      <c r="X195" s="603"/>
      <c r="Y195" s="603"/>
      <c r="Z195" s="603"/>
    </row>
    <row r="196" spans="1:26" ht="15.75" customHeight="1" x14ac:dyDescent="0.2">
      <c r="A196" s="603"/>
      <c r="B196" s="603"/>
      <c r="C196" s="603"/>
      <c r="D196" s="603"/>
      <c r="E196" s="603"/>
      <c r="F196" s="603"/>
      <c r="G196" s="603"/>
      <c r="H196" s="603"/>
      <c r="I196" s="603"/>
      <c r="J196" s="603"/>
      <c r="K196" s="449"/>
      <c r="L196" s="603"/>
      <c r="M196" s="603"/>
      <c r="N196" s="603"/>
      <c r="O196" s="603"/>
      <c r="P196" s="603"/>
      <c r="Q196" s="603"/>
      <c r="R196" s="603"/>
      <c r="S196" s="603"/>
      <c r="T196" s="603"/>
      <c r="U196" s="603"/>
      <c r="V196" s="603"/>
      <c r="W196" s="603"/>
      <c r="X196" s="603"/>
      <c r="Y196" s="603"/>
      <c r="Z196" s="603"/>
    </row>
    <row r="197" spans="1:26" ht="15.75" customHeight="1" x14ac:dyDescent="0.2">
      <c r="A197" s="603"/>
      <c r="B197" s="603"/>
      <c r="C197" s="603"/>
      <c r="D197" s="603"/>
      <c r="E197" s="603"/>
      <c r="F197" s="603"/>
      <c r="G197" s="603"/>
      <c r="H197" s="603"/>
      <c r="I197" s="603"/>
      <c r="J197" s="603"/>
      <c r="K197" s="449"/>
      <c r="L197" s="603"/>
      <c r="M197" s="603"/>
      <c r="N197" s="603"/>
      <c r="O197" s="603"/>
      <c r="P197" s="603"/>
      <c r="Q197" s="603"/>
      <c r="R197" s="603"/>
      <c r="S197" s="603"/>
      <c r="T197" s="603"/>
      <c r="U197" s="603"/>
      <c r="V197" s="603"/>
      <c r="W197" s="603"/>
      <c r="X197" s="603"/>
      <c r="Y197" s="603"/>
      <c r="Z197" s="603"/>
    </row>
    <row r="198" spans="1:26" ht="15.75" customHeight="1" x14ac:dyDescent="0.2">
      <c r="A198" s="603"/>
      <c r="B198" s="603"/>
      <c r="C198" s="603"/>
      <c r="D198" s="603"/>
      <c r="E198" s="603"/>
      <c r="F198" s="603"/>
      <c r="G198" s="603"/>
      <c r="H198" s="603"/>
      <c r="I198" s="603"/>
      <c r="J198" s="603"/>
      <c r="K198" s="449"/>
      <c r="L198" s="603"/>
      <c r="M198" s="603"/>
      <c r="N198" s="603"/>
      <c r="O198" s="603"/>
      <c r="P198" s="603"/>
      <c r="Q198" s="603"/>
      <c r="R198" s="603"/>
      <c r="S198" s="603"/>
      <c r="T198" s="603"/>
      <c r="U198" s="603"/>
      <c r="V198" s="603"/>
      <c r="W198" s="603"/>
      <c r="X198" s="603"/>
      <c r="Y198" s="603"/>
      <c r="Z198" s="603"/>
    </row>
    <row r="199" spans="1:26" ht="15.75" customHeight="1" x14ac:dyDescent="0.2">
      <c r="A199" s="603"/>
      <c r="B199" s="603"/>
      <c r="C199" s="603"/>
      <c r="D199" s="603"/>
      <c r="E199" s="603"/>
      <c r="F199" s="603"/>
      <c r="G199" s="603"/>
      <c r="H199" s="603"/>
      <c r="I199" s="603"/>
      <c r="J199" s="603"/>
      <c r="K199" s="449"/>
      <c r="L199" s="603"/>
      <c r="M199" s="603"/>
      <c r="N199" s="603"/>
      <c r="O199" s="603"/>
      <c r="P199" s="603"/>
      <c r="Q199" s="603"/>
      <c r="R199" s="603"/>
      <c r="S199" s="603"/>
      <c r="T199" s="603"/>
      <c r="U199" s="603"/>
      <c r="V199" s="603"/>
      <c r="W199" s="603"/>
      <c r="X199" s="603"/>
      <c r="Y199" s="603"/>
      <c r="Z199" s="603"/>
    </row>
    <row r="200" spans="1:26" ht="15.75" customHeight="1" x14ac:dyDescent="0.2">
      <c r="A200" s="603"/>
      <c r="B200" s="603"/>
      <c r="C200" s="603"/>
      <c r="D200" s="603"/>
      <c r="E200" s="603"/>
      <c r="F200" s="603"/>
      <c r="G200" s="603"/>
      <c r="H200" s="603"/>
      <c r="I200" s="603"/>
      <c r="J200" s="603"/>
      <c r="K200" s="449"/>
      <c r="L200" s="603"/>
      <c r="M200" s="603"/>
      <c r="N200" s="603"/>
      <c r="O200" s="603"/>
      <c r="P200" s="603"/>
      <c r="Q200" s="603"/>
      <c r="R200" s="603"/>
      <c r="S200" s="603"/>
      <c r="T200" s="603"/>
      <c r="U200" s="603"/>
      <c r="V200" s="603"/>
      <c r="W200" s="603"/>
      <c r="X200" s="603"/>
      <c r="Y200" s="603"/>
      <c r="Z200" s="603"/>
    </row>
    <row r="201" spans="1:26" ht="15.75" customHeight="1" x14ac:dyDescent="0.2">
      <c r="A201" s="603"/>
      <c r="B201" s="603"/>
      <c r="C201" s="603"/>
      <c r="D201" s="603"/>
      <c r="E201" s="603"/>
      <c r="F201" s="603"/>
      <c r="G201" s="603"/>
      <c r="H201" s="603"/>
      <c r="I201" s="603"/>
      <c r="J201" s="603"/>
      <c r="K201" s="449"/>
      <c r="L201" s="603"/>
      <c r="M201" s="603"/>
      <c r="N201" s="603"/>
      <c r="O201" s="603"/>
      <c r="P201" s="603"/>
      <c r="Q201" s="603"/>
      <c r="R201" s="603"/>
      <c r="S201" s="603"/>
      <c r="T201" s="603"/>
      <c r="U201" s="603"/>
      <c r="V201" s="603"/>
      <c r="W201" s="603"/>
      <c r="X201" s="603"/>
      <c r="Y201" s="603"/>
      <c r="Z201" s="603"/>
    </row>
    <row r="202" spans="1:26" ht="15.75" customHeight="1" x14ac:dyDescent="0.2">
      <c r="A202" s="603"/>
      <c r="B202" s="603"/>
      <c r="C202" s="603"/>
      <c r="D202" s="603"/>
      <c r="E202" s="603"/>
      <c r="F202" s="603"/>
      <c r="G202" s="603"/>
      <c r="H202" s="603"/>
      <c r="I202" s="603"/>
      <c r="J202" s="603"/>
      <c r="K202" s="449"/>
      <c r="L202" s="603"/>
      <c r="M202" s="603"/>
      <c r="N202" s="603"/>
      <c r="O202" s="603"/>
      <c r="P202" s="603"/>
      <c r="Q202" s="603"/>
      <c r="R202" s="603"/>
      <c r="S202" s="603"/>
      <c r="T202" s="603"/>
      <c r="U202" s="603"/>
      <c r="V202" s="603"/>
      <c r="W202" s="603"/>
      <c r="X202" s="603"/>
      <c r="Y202" s="603"/>
      <c r="Z202" s="603"/>
    </row>
    <row r="203" spans="1:26" ht="15.75" customHeight="1" x14ac:dyDescent="0.2">
      <c r="A203" s="603"/>
      <c r="B203" s="603"/>
      <c r="C203" s="603"/>
      <c r="D203" s="603"/>
      <c r="E203" s="603"/>
      <c r="F203" s="603"/>
      <c r="G203" s="603"/>
      <c r="H203" s="603"/>
      <c r="I203" s="603"/>
      <c r="J203" s="603"/>
      <c r="K203" s="449"/>
      <c r="L203" s="603"/>
      <c r="M203" s="603"/>
      <c r="N203" s="603"/>
      <c r="O203" s="603"/>
      <c r="P203" s="603"/>
      <c r="Q203" s="603"/>
      <c r="R203" s="603"/>
      <c r="S203" s="603"/>
      <c r="T203" s="603"/>
      <c r="U203" s="603"/>
      <c r="V203" s="603"/>
      <c r="W203" s="603"/>
      <c r="X203" s="603"/>
      <c r="Y203" s="603"/>
      <c r="Z203" s="603"/>
    </row>
    <row r="204" spans="1:26" ht="15.75" customHeight="1" x14ac:dyDescent="0.2">
      <c r="A204" s="603"/>
      <c r="B204" s="603"/>
      <c r="C204" s="603"/>
      <c r="D204" s="603"/>
      <c r="E204" s="603"/>
      <c r="F204" s="603"/>
      <c r="G204" s="603"/>
      <c r="H204" s="603"/>
      <c r="I204" s="603"/>
      <c r="J204" s="603"/>
      <c r="K204" s="449"/>
      <c r="L204" s="603"/>
      <c r="M204" s="603"/>
      <c r="N204" s="603"/>
      <c r="O204" s="603"/>
      <c r="P204" s="603"/>
      <c r="Q204" s="603"/>
      <c r="R204" s="603"/>
      <c r="S204" s="603"/>
      <c r="T204" s="603"/>
      <c r="U204" s="603"/>
      <c r="V204" s="603"/>
      <c r="W204" s="603"/>
      <c r="X204" s="603"/>
      <c r="Y204" s="603"/>
      <c r="Z204" s="603"/>
    </row>
    <row r="205" spans="1:26" ht="15.75" customHeight="1" x14ac:dyDescent="0.2">
      <c r="A205" s="603"/>
      <c r="B205" s="603"/>
      <c r="C205" s="603"/>
      <c r="D205" s="603"/>
      <c r="E205" s="603"/>
      <c r="F205" s="603"/>
      <c r="G205" s="603"/>
      <c r="H205" s="603"/>
      <c r="I205" s="603"/>
      <c r="J205" s="603"/>
      <c r="K205" s="449"/>
      <c r="L205" s="603"/>
      <c r="M205" s="603"/>
      <c r="N205" s="603"/>
      <c r="O205" s="603"/>
      <c r="P205" s="603"/>
      <c r="Q205" s="603"/>
      <c r="R205" s="603"/>
      <c r="S205" s="603"/>
      <c r="T205" s="603"/>
      <c r="U205" s="603"/>
      <c r="V205" s="603"/>
      <c r="W205" s="603"/>
      <c r="X205" s="603"/>
      <c r="Y205" s="603"/>
      <c r="Z205" s="603"/>
    </row>
    <row r="206" spans="1:26" ht="15.75" customHeight="1" x14ac:dyDescent="0.2">
      <c r="A206" s="603"/>
      <c r="B206" s="603"/>
      <c r="C206" s="603"/>
      <c r="D206" s="603"/>
      <c r="E206" s="603"/>
      <c r="F206" s="603"/>
      <c r="G206" s="603"/>
      <c r="H206" s="603"/>
      <c r="I206" s="603"/>
      <c r="J206" s="603"/>
      <c r="K206" s="449"/>
      <c r="L206" s="603"/>
      <c r="M206" s="603"/>
      <c r="N206" s="603"/>
      <c r="O206" s="603"/>
      <c r="P206" s="603"/>
      <c r="Q206" s="603"/>
      <c r="R206" s="603"/>
      <c r="S206" s="603"/>
      <c r="T206" s="603"/>
      <c r="U206" s="603"/>
      <c r="V206" s="603"/>
      <c r="W206" s="603"/>
      <c r="X206" s="603"/>
      <c r="Y206" s="603"/>
      <c r="Z206" s="603"/>
    </row>
    <row r="207" spans="1:26" ht="15.75" customHeight="1" x14ac:dyDescent="0.2">
      <c r="A207" s="603"/>
      <c r="B207" s="603"/>
      <c r="C207" s="603"/>
      <c r="D207" s="603"/>
      <c r="E207" s="603"/>
      <c r="F207" s="603"/>
      <c r="G207" s="603"/>
      <c r="H207" s="603"/>
      <c r="I207" s="603"/>
      <c r="J207" s="603"/>
      <c r="K207" s="449"/>
      <c r="L207" s="603"/>
      <c r="M207" s="603"/>
      <c r="N207" s="603"/>
      <c r="O207" s="603"/>
      <c r="P207" s="603"/>
      <c r="Q207" s="603"/>
      <c r="R207" s="603"/>
      <c r="S207" s="603"/>
      <c r="T207" s="603"/>
      <c r="U207" s="603"/>
      <c r="V207" s="603"/>
      <c r="W207" s="603"/>
      <c r="X207" s="603"/>
      <c r="Y207" s="603"/>
      <c r="Z207" s="603"/>
    </row>
    <row r="208" spans="1:26" ht="15.75" customHeight="1" x14ac:dyDescent="0.2">
      <c r="A208" s="603"/>
      <c r="B208" s="603"/>
      <c r="C208" s="603"/>
      <c r="D208" s="603"/>
      <c r="E208" s="603"/>
      <c r="F208" s="603"/>
      <c r="G208" s="603"/>
      <c r="H208" s="603"/>
      <c r="I208" s="603"/>
      <c r="J208" s="603"/>
      <c r="K208" s="449"/>
      <c r="L208" s="603"/>
      <c r="M208" s="603"/>
      <c r="N208" s="603"/>
      <c r="O208" s="603"/>
      <c r="P208" s="603"/>
      <c r="Q208" s="603"/>
      <c r="R208" s="603"/>
      <c r="S208" s="603"/>
      <c r="T208" s="603"/>
      <c r="U208" s="603"/>
      <c r="V208" s="603"/>
      <c r="W208" s="603"/>
      <c r="X208" s="603"/>
      <c r="Y208" s="603"/>
      <c r="Z208" s="603"/>
    </row>
    <row r="209" spans="1:26" ht="15.75" customHeight="1" x14ac:dyDescent="0.2">
      <c r="A209" s="603"/>
      <c r="B209" s="603"/>
      <c r="C209" s="603"/>
      <c r="D209" s="603"/>
      <c r="E209" s="603"/>
      <c r="F209" s="603"/>
      <c r="G209" s="603"/>
      <c r="H209" s="603"/>
      <c r="I209" s="603"/>
      <c r="J209" s="603"/>
      <c r="K209" s="449"/>
      <c r="L209" s="603"/>
      <c r="M209" s="603"/>
      <c r="N209" s="603"/>
      <c r="O209" s="603"/>
      <c r="P209" s="603"/>
      <c r="Q209" s="603"/>
      <c r="R209" s="603"/>
      <c r="S209" s="603"/>
      <c r="T209" s="603"/>
      <c r="U209" s="603"/>
      <c r="V209" s="603"/>
      <c r="W209" s="603"/>
      <c r="X209" s="603"/>
      <c r="Y209" s="603"/>
      <c r="Z209" s="603"/>
    </row>
    <row r="210" spans="1:26" ht="15.75" customHeight="1" x14ac:dyDescent="0.2">
      <c r="A210" s="603"/>
      <c r="B210" s="603"/>
      <c r="C210" s="603"/>
      <c r="D210" s="603"/>
      <c r="E210" s="603"/>
      <c r="F210" s="603"/>
      <c r="G210" s="603"/>
      <c r="H210" s="603"/>
      <c r="I210" s="603"/>
      <c r="J210" s="603"/>
      <c r="K210" s="449"/>
      <c r="L210" s="603"/>
      <c r="M210" s="603"/>
      <c r="N210" s="603"/>
      <c r="O210" s="603"/>
      <c r="P210" s="603"/>
      <c r="Q210" s="603"/>
      <c r="R210" s="603"/>
      <c r="S210" s="603"/>
      <c r="T210" s="603"/>
      <c r="U210" s="603"/>
      <c r="V210" s="603"/>
      <c r="W210" s="603"/>
      <c r="X210" s="603"/>
      <c r="Y210" s="603"/>
      <c r="Z210" s="603"/>
    </row>
    <row r="211" spans="1:26" ht="15.75" customHeight="1" x14ac:dyDescent="0.2">
      <c r="A211" s="603"/>
      <c r="B211" s="603"/>
      <c r="C211" s="603"/>
      <c r="D211" s="603"/>
      <c r="E211" s="603"/>
      <c r="F211" s="603"/>
      <c r="G211" s="603"/>
      <c r="H211" s="603"/>
      <c r="I211" s="603"/>
      <c r="J211" s="603"/>
      <c r="K211" s="449"/>
      <c r="L211" s="603"/>
      <c r="M211" s="603"/>
      <c r="N211" s="603"/>
      <c r="O211" s="603"/>
      <c r="P211" s="603"/>
      <c r="Q211" s="603"/>
      <c r="R211" s="603"/>
      <c r="S211" s="603"/>
      <c r="T211" s="603"/>
      <c r="U211" s="603"/>
      <c r="V211" s="603"/>
      <c r="W211" s="603"/>
      <c r="X211" s="603"/>
      <c r="Y211" s="603"/>
      <c r="Z211" s="603"/>
    </row>
    <row r="212" spans="1:26" ht="15.75" customHeight="1" x14ac:dyDescent="0.2">
      <c r="A212" s="603"/>
      <c r="B212" s="603"/>
      <c r="C212" s="603"/>
      <c r="D212" s="603"/>
      <c r="E212" s="603"/>
      <c r="F212" s="603"/>
      <c r="G212" s="603"/>
      <c r="H212" s="603"/>
      <c r="I212" s="603"/>
      <c r="J212" s="603"/>
      <c r="K212" s="449"/>
      <c r="L212" s="603"/>
      <c r="M212" s="603"/>
      <c r="N212" s="603"/>
      <c r="O212" s="603"/>
      <c r="P212" s="603"/>
      <c r="Q212" s="603"/>
      <c r="R212" s="603"/>
      <c r="S212" s="603"/>
      <c r="T212" s="603"/>
      <c r="U212" s="603"/>
      <c r="V212" s="603"/>
      <c r="W212" s="603"/>
      <c r="X212" s="603"/>
      <c r="Y212" s="603"/>
      <c r="Z212" s="603"/>
    </row>
    <row r="213" spans="1:26" ht="15.75" customHeight="1" x14ac:dyDescent="0.2">
      <c r="A213" s="603"/>
      <c r="B213" s="603"/>
      <c r="C213" s="603"/>
      <c r="D213" s="603"/>
      <c r="E213" s="603"/>
      <c r="F213" s="603"/>
      <c r="G213" s="603"/>
      <c r="H213" s="603"/>
      <c r="I213" s="603"/>
      <c r="J213" s="603"/>
      <c r="K213" s="449"/>
      <c r="L213" s="603"/>
      <c r="M213" s="603"/>
      <c r="N213" s="603"/>
      <c r="O213" s="603"/>
      <c r="P213" s="603"/>
      <c r="Q213" s="603"/>
      <c r="R213" s="603"/>
      <c r="S213" s="603"/>
      <c r="T213" s="603"/>
      <c r="U213" s="603"/>
      <c r="V213" s="603"/>
      <c r="W213" s="603"/>
      <c r="X213" s="603"/>
      <c r="Y213" s="603"/>
      <c r="Z213" s="603"/>
    </row>
    <row r="214" spans="1:26" ht="15.75" customHeight="1" x14ac:dyDescent="0.2">
      <c r="A214" s="603"/>
      <c r="B214" s="603"/>
      <c r="C214" s="603"/>
      <c r="D214" s="603"/>
      <c r="E214" s="603"/>
      <c r="F214" s="603"/>
      <c r="G214" s="603"/>
      <c r="H214" s="603"/>
      <c r="I214" s="603"/>
      <c r="J214" s="603"/>
      <c r="K214" s="449"/>
      <c r="L214" s="603"/>
      <c r="M214" s="603"/>
      <c r="N214" s="603"/>
      <c r="O214" s="603"/>
      <c r="P214" s="603"/>
      <c r="Q214" s="603"/>
      <c r="R214" s="603"/>
      <c r="S214" s="603"/>
      <c r="T214" s="603"/>
      <c r="U214" s="603"/>
      <c r="V214" s="603"/>
      <c r="W214" s="603"/>
      <c r="X214" s="603"/>
      <c r="Y214" s="603"/>
      <c r="Z214" s="603"/>
    </row>
    <row r="215" spans="1:26" ht="15.75" customHeight="1" x14ac:dyDescent="0.2">
      <c r="A215" s="603"/>
      <c r="B215" s="603"/>
      <c r="C215" s="603"/>
      <c r="D215" s="603"/>
      <c r="E215" s="603"/>
      <c r="F215" s="603"/>
      <c r="G215" s="603"/>
      <c r="H215" s="603"/>
      <c r="I215" s="603"/>
      <c r="J215" s="603"/>
      <c r="K215" s="449"/>
      <c r="L215" s="603"/>
      <c r="M215" s="603"/>
      <c r="N215" s="603"/>
      <c r="O215" s="603"/>
      <c r="P215" s="603"/>
      <c r="Q215" s="603"/>
      <c r="R215" s="603"/>
      <c r="S215" s="603"/>
      <c r="T215" s="603"/>
      <c r="U215" s="603"/>
      <c r="V215" s="603"/>
      <c r="W215" s="603"/>
      <c r="X215" s="603"/>
      <c r="Y215" s="603"/>
      <c r="Z215" s="603"/>
    </row>
    <row r="216" spans="1:26" ht="15.75" customHeight="1" x14ac:dyDescent="0.2">
      <c r="A216" s="603"/>
      <c r="B216" s="603"/>
      <c r="C216" s="603"/>
      <c r="D216" s="603"/>
      <c r="E216" s="603"/>
      <c r="F216" s="603"/>
      <c r="G216" s="603"/>
      <c r="H216" s="603"/>
      <c r="I216" s="603"/>
      <c r="J216" s="603"/>
      <c r="K216" s="449"/>
      <c r="L216" s="603"/>
      <c r="M216" s="603"/>
      <c r="N216" s="603"/>
      <c r="O216" s="603"/>
      <c r="P216" s="603"/>
      <c r="Q216" s="603"/>
      <c r="R216" s="603"/>
      <c r="S216" s="603"/>
      <c r="T216" s="603"/>
      <c r="U216" s="603"/>
      <c r="V216" s="603"/>
      <c r="W216" s="603"/>
      <c r="X216" s="603"/>
      <c r="Y216" s="603"/>
      <c r="Z216" s="603"/>
    </row>
    <row r="217" spans="1:26" ht="15.75" customHeight="1" x14ac:dyDescent="0.2">
      <c r="A217" s="603"/>
      <c r="B217" s="603"/>
      <c r="C217" s="603"/>
      <c r="D217" s="603"/>
      <c r="E217" s="603"/>
      <c r="F217" s="603"/>
      <c r="G217" s="603"/>
      <c r="H217" s="603"/>
      <c r="I217" s="603"/>
      <c r="J217" s="603"/>
      <c r="K217" s="449"/>
      <c r="L217" s="603"/>
      <c r="M217" s="603"/>
      <c r="N217" s="603"/>
      <c r="O217" s="603"/>
      <c r="P217" s="603"/>
      <c r="Q217" s="603"/>
      <c r="R217" s="603"/>
      <c r="S217" s="603"/>
      <c r="T217" s="603"/>
      <c r="U217" s="603"/>
      <c r="V217" s="603"/>
      <c r="W217" s="603"/>
      <c r="X217" s="603"/>
      <c r="Y217" s="603"/>
      <c r="Z217" s="603"/>
    </row>
    <row r="218" spans="1:26" ht="15.75" customHeight="1" x14ac:dyDescent="0.2">
      <c r="A218" s="603"/>
      <c r="B218" s="603"/>
      <c r="C218" s="603"/>
      <c r="D218" s="603"/>
      <c r="E218" s="603"/>
      <c r="F218" s="603"/>
      <c r="G218" s="603"/>
      <c r="H218" s="603"/>
      <c r="I218" s="603"/>
      <c r="J218" s="603"/>
      <c r="K218" s="449"/>
      <c r="L218" s="603"/>
      <c r="M218" s="603"/>
      <c r="N218" s="603"/>
      <c r="O218" s="603"/>
      <c r="P218" s="603"/>
      <c r="Q218" s="603"/>
      <c r="R218" s="603"/>
      <c r="S218" s="603"/>
      <c r="T218" s="603"/>
      <c r="U218" s="603"/>
      <c r="V218" s="603"/>
      <c r="W218" s="603"/>
      <c r="X218" s="603"/>
      <c r="Y218" s="603"/>
      <c r="Z218" s="603"/>
    </row>
    <row r="219" spans="1:26" ht="15.75" customHeight="1" x14ac:dyDescent="0.2">
      <c r="A219" s="603"/>
      <c r="B219" s="603"/>
      <c r="C219" s="603"/>
      <c r="D219" s="603"/>
      <c r="E219" s="603"/>
      <c r="F219" s="603"/>
      <c r="G219" s="603"/>
      <c r="H219" s="603"/>
      <c r="I219" s="603"/>
      <c r="J219" s="603"/>
      <c r="K219" s="449"/>
      <c r="L219" s="603"/>
      <c r="M219" s="603"/>
      <c r="N219" s="603"/>
      <c r="O219" s="603"/>
      <c r="P219" s="603"/>
      <c r="Q219" s="603"/>
      <c r="R219" s="603"/>
      <c r="S219" s="603"/>
      <c r="T219" s="603"/>
      <c r="U219" s="603"/>
      <c r="V219" s="603"/>
      <c r="W219" s="603"/>
      <c r="X219" s="603"/>
      <c r="Y219" s="603"/>
      <c r="Z219" s="603"/>
    </row>
    <row r="220" spans="1:26" ht="15.75" customHeight="1" x14ac:dyDescent="0.2">
      <c r="A220" s="603"/>
      <c r="B220" s="603"/>
      <c r="C220" s="603"/>
      <c r="D220" s="603"/>
      <c r="E220" s="603"/>
      <c r="F220" s="603"/>
      <c r="G220" s="603"/>
      <c r="H220" s="603"/>
      <c r="I220" s="603"/>
      <c r="J220" s="603"/>
      <c r="K220" s="449"/>
      <c r="L220" s="603"/>
      <c r="M220" s="603"/>
      <c r="N220" s="603"/>
      <c r="O220" s="603"/>
      <c r="P220" s="603"/>
      <c r="Q220" s="603"/>
      <c r="R220" s="603"/>
      <c r="S220" s="603"/>
      <c r="T220" s="603"/>
      <c r="U220" s="603"/>
      <c r="V220" s="603"/>
      <c r="W220" s="603"/>
      <c r="X220" s="603"/>
      <c r="Y220" s="603"/>
      <c r="Z220" s="603"/>
    </row>
    <row r="221" spans="1:26" ht="15.75" customHeight="1" x14ac:dyDescent="0.2">
      <c r="A221" s="603"/>
      <c r="B221" s="603"/>
      <c r="C221" s="603"/>
      <c r="D221" s="603"/>
      <c r="E221" s="603"/>
      <c r="F221" s="603"/>
      <c r="G221" s="603"/>
      <c r="H221" s="603"/>
      <c r="I221" s="603"/>
      <c r="J221" s="603"/>
      <c r="K221" s="449"/>
      <c r="L221" s="603"/>
      <c r="M221" s="603"/>
      <c r="N221" s="603"/>
      <c r="O221" s="603"/>
      <c r="P221" s="603"/>
      <c r="Q221" s="603"/>
      <c r="R221" s="603"/>
      <c r="S221" s="603"/>
      <c r="T221" s="603"/>
      <c r="U221" s="603"/>
      <c r="V221" s="603"/>
      <c r="W221" s="603"/>
      <c r="X221" s="603"/>
      <c r="Y221" s="603"/>
      <c r="Z221" s="603"/>
    </row>
    <row r="222" spans="1:26" ht="15.75" customHeight="1" x14ac:dyDescent="0.2">
      <c r="A222" s="603"/>
      <c r="B222" s="603"/>
      <c r="C222" s="603"/>
      <c r="D222" s="603"/>
      <c r="E222" s="603"/>
      <c r="F222" s="603"/>
      <c r="G222" s="603"/>
      <c r="H222" s="603"/>
      <c r="I222" s="603"/>
      <c r="J222" s="603"/>
      <c r="K222" s="449"/>
      <c r="L222" s="603"/>
      <c r="M222" s="603"/>
      <c r="N222" s="603"/>
      <c r="O222" s="603"/>
      <c r="P222" s="603"/>
      <c r="Q222" s="603"/>
      <c r="R222" s="603"/>
      <c r="S222" s="603"/>
      <c r="T222" s="603"/>
      <c r="U222" s="603"/>
      <c r="V222" s="603"/>
      <c r="W222" s="603"/>
      <c r="X222" s="603"/>
      <c r="Y222" s="603"/>
      <c r="Z222" s="603"/>
    </row>
    <row r="223" spans="1:26" ht="15.75" customHeight="1" x14ac:dyDescent="0.2">
      <c r="A223" s="603"/>
      <c r="B223" s="603"/>
      <c r="C223" s="603"/>
      <c r="D223" s="603"/>
      <c r="E223" s="603"/>
      <c r="F223" s="603"/>
      <c r="G223" s="603"/>
      <c r="H223" s="603"/>
      <c r="I223" s="603"/>
      <c r="J223" s="603"/>
      <c r="K223" s="449"/>
      <c r="L223" s="603"/>
      <c r="M223" s="603"/>
      <c r="N223" s="603"/>
      <c r="O223" s="603"/>
      <c r="P223" s="603"/>
      <c r="Q223" s="603"/>
      <c r="R223" s="603"/>
      <c r="S223" s="603"/>
      <c r="T223" s="603"/>
      <c r="U223" s="603"/>
      <c r="V223" s="603"/>
      <c r="W223" s="603"/>
      <c r="X223" s="603"/>
      <c r="Y223" s="603"/>
      <c r="Z223" s="603"/>
    </row>
    <row r="224" spans="1:26" ht="15.75" customHeight="1" x14ac:dyDescent="0.2">
      <c r="A224" s="603"/>
      <c r="B224" s="603"/>
      <c r="C224" s="603"/>
      <c r="D224" s="603"/>
      <c r="E224" s="603"/>
      <c r="F224" s="603"/>
      <c r="G224" s="603"/>
      <c r="H224" s="603"/>
      <c r="I224" s="603"/>
      <c r="J224" s="603"/>
      <c r="K224" s="449"/>
      <c r="L224" s="603"/>
      <c r="M224" s="603"/>
      <c r="N224" s="603"/>
      <c r="O224" s="603"/>
      <c r="P224" s="603"/>
      <c r="Q224" s="603"/>
      <c r="R224" s="603"/>
      <c r="S224" s="603"/>
      <c r="T224" s="603"/>
      <c r="U224" s="603"/>
      <c r="V224" s="603"/>
      <c r="W224" s="603"/>
      <c r="X224" s="603"/>
      <c r="Y224" s="603"/>
      <c r="Z224" s="603"/>
    </row>
    <row r="225" spans="1:26" ht="15.75" customHeight="1" x14ac:dyDescent="0.2">
      <c r="A225" s="603"/>
      <c r="B225" s="603"/>
      <c r="C225" s="603"/>
      <c r="D225" s="603"/>
      <c r="E225" s="603"/>
      <c r="F225" s="603"/>
      <c r="G225" s="603"/>
      <c r="H225" s="603"/>
      <c r="I225" s="603"/>
      <c r="J225" s="603"/>
      <c r="K225" s="449"/>
      <c r="L225" s="603"/>
      <c r="M225" s="603"/>
      <c r="N225" s="603"/>
      <c r="O225" s="603"/>
      <c r="P225" s="603"/>
      <c r="Q225" s="603"/>
      <c r="R225" s="603"/>
      <c r="S225" s="603"/>
      <c r="T225" s="603"/>
      <c r="U225" s="603"/>
      <c r="V225" s="603"/>
      <c r="W225" s="603"/>
      <c r="X225" s="603"/>
      <c r="Y225" s="603"/>
      <c r="Z225" s="603"/>
    </row>
    <row r="226" spans="1:26" ht="15.75" customHeight="1" x14ac:dyDescent="0.2">
      <c r="A226" s="603"/>
      <c r="B226" s="603"/>
      <c r="C226" s="603"/>
      <c r="D226" s="603"/>
      <c r="E226" s="603"/>
      <c r="F226" s="603"/>
      <c r="G226" s="603"/>
      <c r="H226" s="603"/>
      <c r="I226" s="603"/>
      <c r="J226" s="603"/>
      <c r="K226" s="449"/>
      <c r="L226" s="603"/>
      <c r="M226" s="603"/>
      <c r="N226" s="603"/>
      <c r="O226" s="603"/>
      <c r="P226" s="603"/>
      <c r="Q226" s="603"/>
      <c r="R226" s="603"/>
      <c r="S226" s="603"/>
      <c r="T226" s="603"/>
      <c r="U226" s="603"/>
      <c r="V226" s="603"/>
      <c r="W226" s="603"/>
      <c r="X226" s="603"/>
      <c r="Y226" s="603"/>
      <c r="Z226" s="603"/>
    </row>
    <row r="227" spans="1:26" ht="15.75" customHeight="1" x14ac:dyDescent="0.2">
      <c r="A227" s="603"/>
      <c r="B227" s="603"/>
      <c r="C227" s="603"/>
      <c r="D227" s="603"/>
      <c r="E227" s="603"/>
      <c r="F227" s="603"/>
      <c r="G227" s="603"/>
      <c r="H227" s="603"/>
      <c r="I227" s="603"/>
      <c r="J227" s="603"/>
      <c r="K227" s="449"/>
      <c r="L227" s="603"/>
      <c r="M227" s="603"/>
      <c r="N227" s="603"/>
      <c r="O227" s="603"/>
      <c r="P227" s="603"/>
      <c r="Q227" s="603"/>
      <c r="R227" s="603"/>
      <c r="S227" s="603"/>
      <c r="T227" s="603"/>
      <c r="U227" s="603"/>
      <c r="V227" s="603"/>
      <c r="W227" s="603"/>
      <c r="X227" s="603"/>
      <c r="Y227" s="603"/>
      <c r="Z227" s="603"/>
    </row>
    <row r="228" spans="1:26" ht="15.75" customHeight="1" x14ac:dyDescent="0.2">
      <c r="A228" s="603"/>
      <c r="B228" s="603"/>
      <c r="C228" s="603"/>
      <c r="D228" s="603"/>
      <c r="E228" s="603"/>
      <c r="F228" s="603"/>
      <c r="G228" s="603"/>
      <c r="H228" s="603"/>
      <c r="I228" s="603"/>
      <c r="J228" s="603"/>
      <c r="K228" s="449"/>
      <c r="L228" s="603"/>
      <c r="M228" s="603"/>
      <c r="N228" s="603"/>
      <c r="O228" s="603"/>
      <c r="P228" s="603"/>
      <c r="Q228" s="603"/>
      <c r="R228" s="603"/>
      <c r="S228" s="603"/>
      <c r="T228" s="603"/>
      <c r="U228" s="603"/>
      <c r="V228" s="603"/>
      <c r="W228" s="603"/>
      <c r="X228" s="603"/>
      <c r="Y228" s="603"/>
      <c r="Z228" s="603"/>
    </row>
    <row r="229" spans="1:26" ht="15.75" customHeight="1" x14ac:dyDescent="0.2">
      <c r="A229" s="603"/>
      <c r="B229" s="603"/>
      <c r="C229" s="603"/>
      <c r="D229" s="603"/>
      <c r="E229" s="603"/>
      <c r="F229" s="603"/>
      <c r="G229" s="603"/>
      <c r="H229" s="603"/>
      <c r="I229" s="603"/>
      <c r="J229" s="603"/>
      <c r="K229" s="449"/>
      <c r="L229" s="603"/>
      <c r="M229" s="603"/>
      <c r="N229" s="603"/>
      <c r="O229" s="603"/>
      <c r="P229" s="603"/>
      <c r="Q229" s="603"/>
      <c r="R229" s="603"/>
      <c r="S229" s="603"/>
      <c r="T229" s="603"/>
      <c r="U229" s="603"/>
      <c r="V229" s="603"/>
      <c r="W229" s="603"/>
      <c r="X229" s="603"/>
      <c r="Y229" s="603"/>
      <c r="Z229" s="603"/>
    </row>
    <row r="230" spans="1:26" ht="15.75" customHeight="1" x14ac:dyDescent="0.2">
      <c r="A230" s="603"/>
      <c r="B230" s="603"/>
      <c r="C230" s="603"/>
      <c r="D230" s="603"/>
      <c r="E230" s="603"/>
      <c r="F230" s="603"/>
      <c r="G230" s="603"/>
      <c r="H230" s="603"/>
      <c r="I230" s="603"/>
      <c r="J230" s="603"/>
      <c r="K230" s="449"/>
      <c r="L230" s="603"/>
      <c r="M230" s="603"/>
      <c r="N230" s="603"/>
      <c r="O230" s="603"/>
      <c r="P230" s="603"/>
      <c r="Q230" s="603"/>
      <c r="R230" s="603"/>
      <c r="S230" s="603"/>
      <c r="T230" s="603"/>
      <c r="U230" s="603"/>
      <c r="V230" s="603"/>
      <c r="W230" s="603"/>
      <c r="X230" s="603"/>
      <c r="Y230" s="603"/>
      <c r="Z230" s="603"/>
    </row>
    <row r="231" spans="1:26" ht="15.75" customHeight="1" x14ac:dyDescent="0.2">
      <c r="A231" s="603"/>
      <c r="B231" s="603"/>
      <c r="C231" s="603"/>
      <c r="D231" s="603"/>
      <c r="E231" s="603"/>
      <c r="F231" s="603"/>
      <c r="G231" s="603"/>
      <c r="H231" s="603"/>
      <c r="I231" s="603"/>
      <c r="J231" s="603"/>
      <c r="K231" s="449"/>
      <c r="L231" s="603"/>
      <c r="M231" s="603"/>
      <c r="N231" s="603"/>
      <c r="O231" s="603"/>
      <c r="P231" s="603"/>
      <c r="Q231" s="603"/>
      <c r="R231" s="603"/>
      <c r="S231" s="603"/>
      <c r="T231" s="603"/>
      <c r="U231" s="603"/>
      <c r="V231" s="603"/>
      <c r="W231" s="603"/>
      <c r="X231" s="603"/>
      <c r="Y231" s="603"/>
      <c r="Z231" s="603"/>
    </row>
    <row r="232" spans="1:26" ht="15.75" customHeight="1" x14ac:dyDescent="0.2">
      <c r="A232" s="603"/>
      <c r="B232" s="603"/>
      <c r="C232" s="603"/>
      <c r="D232" s="603"/>
      <c r="E232" s="603"/>
      <c r="F232" s="603"/>
      <c r="G232" s="603"/>
      <c r="H232" s="603"/>
      <c r="I232" s="603"/>
      <c r="J232" s="603"/>
      <c r="K232" s="449"/>
      <c r="L232" s="603"/>
      <c r="M232" s="603"/>
      <c r="N232" s="603"/>
      <c r="O232" s="603"/>
      <c r="P232" s="603"/>
      <c r="Q232" s="603"/>
      <c r="R232" s="603"/>
      <c r="S232" s="603"/>
      <c r="T232" s="603"/>
      <c r="U232" s="603"/>
      <c r="V232" s="603"/>
      <c r="W232" s="603"/>
      <c r="X232" s="603"/>
      <c r="Y232" s="603"/>
      <c r="Z232" s="603"/>
    </row>
    <row r="233" spans="1:26" ht="15.75" customHeight="1" x14ac:dyDescent="0.2">
      <c r="A233" s="603"/>
      <c r="B233" s="603"/>
      <c r="C233" s="603"/>
      <c r="D233" s="603"/>
      <c r="E233" s="603"/>
      <c r="F233" s="603"/>
      <c r="G233" s="603"/>
      <c r="H233" s="603"/>
      <c r="I233" s="603"/>
      <c r="J233" s="603"/>
      <c r="K233" s="449"/>
      <c r="L233" s="603"/>
      <c r="M233" s="603"/>
      <c r="N233" s="603"/>
      <c r="O233" s="603"/>
      <c r="P233" s="603"/>
      <c r="Q233" s="603"/>
      <c r="R233" s="603"/>
      <c r="S233" s="603"/>
      <c r="T233" s="603"/>
      <c r="U233" s="603"/>
      <c r="V233" s="603"/>
      <c r="W233" s="603"/>
      <c r="X233" s="603"/>
      <c r="Y233" s="603"/>
      <c r="Z233" s="603"/>
    </row>
    <row r="234" spans="1:26" ht="15.75" customHeight="1" x14ac:dyDescent="0.2">
      <c r="A234" s="603"/>
      <c r="B234" s="603"/>
      <c r="C234" s="603"/>
      <c r="D234" s="603"/>
      <c r="E234" s="603"/>
      <c r="F234" s="603"/>
      <c r="G234" s="603"/>
      <c r="H234" s="603"/>
      <c r="I234" s="603"/>
      <c r="J234" s="603"/>
      <c r="K234" s="449"/>
      <c r="L234" s="603"/>
      <c r="M234" s="603"/>
      <c r="N234" s="603"/>
      <c r="O234" s="603"/>
      <c r="P234" s="603"/>
      <c r="Q234" s="603"/>
      <c r="R234" s="603"/>
      <c r="S234" s="603"/>
      <c r="T234" s="603"/>
      <c r="U234" s="603"/>
      <c r="V234" s="603"/>
      <c r="W234" s="603"/>
      <c r="X234" s="603"/>
      <c r="Y234" s="603"/>
      <c r="Z234" s="603"/>
    </row>
    <row r="235" spans="1:26" ht="15.75" customHeight="1" x14ac:dyDescent="0.2">
      <c r="A235" s="603"/>
      <c r="B235" s="603"/>
      <c r="C235" s="603"/>
      <c r="D235" s="603"/>
      <c r="E235" s="603"/>
      <c r="F235" s="603"/>
      <c r="G235" s="603"/>
      <c r="H235" s="603"/>
      <c r="I235" s="603"/>
      <c r="J235" s="603"/>
      <c r="K235" s="449"/>
      <c r="L235" s="603"/>
      <c r="M235" s="603"/>
      <c r="N235" s="603"/>
      <c r="O235" s="603"/>
      <c r="P235" s="603"/>
      <c r="Q235" s="603"/>
      <c r="R235" s="603"/>
      <c r="S235" s="603"/>
      <c r="T235" s="603"/>
      <c r="U235" s="603"/>
      <c r="V235" s="603"/>
      <c r="W235" s="603"/>
      <c r="X235" s="603"/>
      <c r="Y235" s="603"/>
      <c r="Z235" s="603"/>
    </row>
    <row r="236" spans="1:26" ht="15.75" customHeight="1" x14ac:dyDescent="0.2">
      <c r="A236" s="603"/>
      <c r="B236" s="603"/>
      <c r="C236" s="603"/>
      <c r="D236" s="603"/>
      <c r="E236" s="603"/>
      <c r="F236" s="603"/>
      <c r="G236" s="603"/>
      <c r="H236" s="603"/>
      <c r="I236" s="603"/>
      <c r="J236" s="603"/>
      <c r="K236" s="449"/>
      <c r="L236" s="603"/>
      <c r="M236" s="603"/>
      <c r="N236" s="603"/>
      <c r="O236" s="603"/>
      <c r="P236" s="603"/>
      <c r="Q236" s="603"/>
      <c r="R236" s="603"/>
      <c r="S236" s="603"/>
      <c r="T236" s="603"/>
      <c r="U236" s="603"/>
      <c r="V236" s="603"/>
      <c r="W236" s="603"/>
      <c r="X236" s="603"/>
      <c r="Y236" s="603"/>
      <c r="Z236" s="603"/>
    </row>
    <row r="237" spans="1:26" ht="15.75" customHeight="1" x14ac:dyDescent="0.2">
      <c r="A237" s="603"/>
      <c r="B237" s="603"/>
      <c r="C237" s="603"/>
      <c r="D237" s="603"/>
      <c r="E237" s="603"/>
      <c r="F237" s="603"/>
      <c r="G237" s="603"/>
      <c r="H237" s="603"/>
      <c r="I237" s="603"/>
      <c r="J237" s="603"/>
      <c r="K237" s="449"/>
      <c r="L237" s="603"/>
      <c r="M237" s="603"/>
      <c r="N237" s="603"/>
      <c r="O237" s="603"/>
      <c r="P237" s="603"/>
      <c r="Q237" s="603"/>
      <c r="R237" s="603"/>
      <c r="S237" s="603"/>
      <c r="T237" s="603"/>
      <c r="U237" s="603"/>
      <c r="V237" s="603"/>
      <c r="W237" s="603"/>
      <c r="X237" s="603"/>
      <c r="Y237" s="603"/>
      <c r="Z237" s="603"/>
    </row>
    <row r="238" spans="1:26" ht="15.75" customHeight="1" x14ac:dyDescent="0.2">
      <c r="A238" s="603"/>
      <c r="B238" s="603"/>
      <c r="C238" s="603"/>
      <c r="D238" s="603"/>
      <c r="E238" s="603"/>
      <c r="F238" s="603"/>
      <c r="G238" s="603"/>
      <c r="H238" s="603"/>
      <c r="I238" s="603"/>
      <c r="J238" s="603"/>
      <c r="K238" s="449"/>
      <c r="L238" s="603"/>
      <c r="M238" s="603"/>
      <c r="N238" s="603"/>
      <c r="O238" s="603"/>
      <c r="P238" s="603"/>
      <c r="Q238" s="603"/>
      <c r="R238" s="603"/>
      <c r="S238" s="603"/>
      <c r="T238" s="603"/>
      <c r="U238" s="603"/>
      <c r="V238" s="603"/>
      <c r="W238" s="603"/>
      <c r="X238" s="603"/>
      <c r="Y238" s="603"/>
      <c r="Z238" s="603"/>
    </row>
    <row r="239" spans="1:26" ht="15.75" customHeight="1" x14ac:dyDescent="0.2">
      <c r="A239" s="603"/>
      <c r="B239" s="603"/>
      <c r="C239" s="603"/>
      <c r="D239" s="603"/>
      <c r="E239" s="603"/>
      <c r="F239" s="603"/>
      <c r="G239" s="603"/>
      <c r="H239" s="603"/>
      <c r="I239" s="603"/>
      <c r="J239" s="603"/>
      <c r="K239" s="449"/>
      <c r="L239" s="603"/>
      <c r="M239" s="603"/>
      <c r="N239" s="603"/>
      <c r="O239" s="603"/>
      <c r="P239" s="603"/>
      <c r="Q239" s="603"/>
      <c r="R239" s="603"/>
      <c r="S239" s="603"/>
      <c r="T239" s="603"/>
      <c r="U239" s="603"/>
      <c r="V239" s="603"/>
      <c r="W239" s="603"/>
      <c r="X239" s="603"/>
      <c r="Y239" s="603"/>
      <c r="Z239" s="603"/>
    </row>
    <row r="240" spans="1:26" ht="15.75" customHeight="1" x14ac:dyDescent="0.2">
      <c r="A240" s="603"/>
      <c r="B240" s="603"/>
      <c r="C240" s="603"/>
      <c r="D240" s="603"/>
      <c r="E240" s="603"/>
      <c r="F240" s="603"/>
      <c r="G240" s="603"/>
      <c r="H240" s="603"/>
      <c r="I240" s="603"/>
      <c r="J240" s="603"/>
      <c r="K240" s="449"/>
      <c r="L240" s="603"/>
      <c r="M240" s="603"/>
      <c r="N240" s="603"/>
      <c r="O240" s="603"/>
      <c r="P240" s="603"/>
      <c r="Q240" s="603"/>
      <c r="R240" s="603"/>
      <c r="S240" s="603"/>
      <c r="T240" s="603"/>
      <c r="U240" s="603"/>
      <c r="V240" s="603"/>
      <c r="W240" s="603"/>
      <c r="X240" s="603"/>
      <c r="Y240" s="603"/>
      <c r="Z240" s="603"/>
    </row>
    <row r="241" spans="1:26" ht="15.75" customHeight="1" x14ac:dyDescent="0.2">
      <c r="A241" s="603"/>
      <c r="B241" s="603"/>
      <c r="C241" s="603"/>
      <c r="D241" s="603"/>
      <c r="E241" s="603"/>
      <c r="F241" s="603"/>
      <c r="G241" s="603"/>
      <c r="H241" s="603"/>
      <c r="I241" s="603"/>
      <c r="J241" s="603"/>
      <c r="K241" s="449"/>
      <c r="L241" s="603"/>
      <c r="M241" s="603"/>
      <c r="N241" s="603"/>
      <c r="O241" s="603"/>
      <c r="P241" s="603"/>
      <c r="Q241" s="603"/>
      <c r="R241" s="603"/>
      <c r="S241" s="603"/>
      <c r="T241" s="603"/>
      <c r="U241" s="603"/>
      <c r="V241" s="603"/>
      <c r="W241" s="603"/>
      <c r="X241" s="603"/>
      <c r="Y241" s="603"/>
      <c r="Z241" s="603"/>
    </row>
    <row r="242" spans="1:26" ht="15.75" customHeight="1" x14ac:dyDescent="0.2">
      <c r="A242" s="603"/>
      <c r="B242" s="603"/>
      <c r="C242" s="603"/>
      <c r="D242" s="603"/>
      <c r="E242" s="603"/>
      <c r="F242" s="603"/>
      <c r="G242" s="603"/>
      <c r="H242" s="603"/>
      <c r="I242" s="603"/>
      <c r="J242" s="603"/>
      <c r="K242" s="449"/>
      <c r="L242" s="603"/>
      <c r="M242" s="603"/>
      <c r="N242" s="603"/>
      <c r="O242" s="603"/>
      <c r="P242" s="603"/>
      <c r="Q242" s="603"/>
      <c r="R242" s="603"/>
      <c r="S242" s="603"/>
      <c r="T242" s="603"/>
      <c r="U242" s="603"/>
      <c r="V242" s="603"/>
      <c r="W242" s="603"/>
      <c r="X242" s="603"/>
      <c r="Y242" s="603"/>
      <c r="Z242" s="603"/>
    </row>
    <row r="243" spans="1:26" ht="15.75" customHeight="1" x14ac:dyDescent="0.2">
      <c r="A243" s="603"/>
      <c r="B243" s="603"/>
      <c r="C243" s="603"/>
      <c r="D243" s="603"/>
      <c r="E243" s="603"/>
      <c r="F243" s="603"/>
      <c r="G243" s="603"/>
      <c r="H243" s="603"/>
      <c r="I243" s="603"/>
      <c r="J243" s="603"/>
      <c r="K243" s="449"/>
      <c r="L243" s="603"/>
      <c r="M243" s="603"/>
      <c r="N243" s="603"/>
      <c r="O243" s="603"/>
      <c r="P243" s="603"/>
      <c r="Q243" s="603"/>
      <c r="R243" s="603"/>
      <c r="S243" s="603"/>
      <c r="T243" s="603"/>
      <c r="U243" s="603"/>
      <c r="V243" s="603"/>
      <c r="W243" s="603"/>
      <c r="X243" s="603"/>
      <c r="Y243" s="603"/>
      <c r="Z243" s="603"/>
    </row>
    <row r="244" spans="1:26" ht="15.75" customHeight="1" x14ac:dyDescent="0.2">
      <c r="A244" s="603"/>
      <c r="B244" s="603"/>
      <c r="C244" s="603"/>
      <c r="D244" s="603"/>
      <c r="E244" s="603"/>
      <c r="F244" s="603"/>
      <c r="G244" s="603"/>
      <c r="H244" s="603"/>
      <c r="I244" s="603"/>
      <c r="J244" s="603"/>
      <c r="K244" s="449"/>
      <c r="L244" s="603"/>
      <c r="M244" s="603"/>
      <c r="N244" s="603"/>
      <c r="O244" s="603"/>
      <c r="P244" s="603"/>
      <c r="Q244" s="603"/>
      <c r="R244" s="603"/>
      <c r="S244" s="603"/>
      <c r="T244" s="603"/>
      <c r="U244" s="603"/>
      <c r="V244" s="603"/>
      <c r="W244" s="603"/>
      <c r="X244" s="603"/>
      <c r="Y244" s="603"/>
      <c r="Z244" s="603"/>
    </row>
    <row r="245" spans="1:26" ht="15.75" customHeight="1" x14ac:dyDescent="0.2">
      <c r="A245" s="603"/>
      <c r="B245" s="603"/>
      <c r="C245" s="603"/>
      <c r="D245" s="603"/>
      <c r="E245" s="603"/>
      <c r="F245" s="603"/>
      <c r="G245" s="603"/>
      <c r="H245" s="603"/>
      <c r="I245" s="603"/>
      <c r="J245" s="603"/>
      <c r="K245" s="449"/>
      <c r="L245" s="603"/>
      <c r="M245" s="603"/>
      <c r="N245" s="603"/>
      <c r="O245" s="603"/>
      <c r="P245" s="603"/>
      <c r="Q245" s="603"/>
      <c r="R245" s="603"/>
      <c r="S245" s="603"/>
      <c r="T245" s="603"/>
      <c r="U245" s="603"/>
      <c r="V245" s="603"/>
      <c r="W245" s="603"/>
      <c r="X245" s="603"/>
      <c r="Y245" s="603"/>
      <c r="Z245" s="603"/>
    </row>
    <row r="246" spans="1:26" ht="15.75" customHeight="1" x14ac:dyDescent="0.2">
      <c r="A246" s="603"/>
      <c r="B246" s="603"/>
      <c r="C246" s="603"/>
      <c r="D246" s="603"/>
      <c r="E246" s="603"/>
      <c r="F246" s="603"/>
      <c r="G246" s="603"/>
      <c r="H246" s="603"/>
      <c r="I246" s="603"/>
      <c r="J246" s="603"/>
      <c r="K246" s="449"/>
      <c r="L246" s="603"/>
      <c r="M246" s="603"/>
      <c r="N246" s="603"/>
      <c r="O246" s="603"/>
      <c r="P246" s="603"/>
      <c r="Q246" s="603"/>
      <c r="R246" s="603"/>
      <c r="S246" s="603"/>
      <c r="T246" s="603"/>
      <c r="U246" s="603"/>
      <c r="V246" s="603"/>
      <c r="W246" s="603"/>
      <c r="X246" s="603"/>
      <c r="Y246" s="603"/>
      <c r="Z246" s="603"/>
    </row>
    <row r="247" spans="1:26" ht="15.75" customHeight="1" x14ac:dyDescent="0.2">
      <c r="A247" s="603"/>
      <c r="B247" s="603"/>
      <c r="C247" s="603"/>
      <c r="D247" s="603"/>
      <c r="E247" s="603"/>
      <c r="F247" s="603"/>
      <c r="G247" s="603"/>
      <c r="H247" s="603"/>
      <c r="I247" s="603"/>
      <c r="J247" s="603"/>
      <c r="K247" s="449"/>
      <c r="L247" s="603"/>
      <c r="M247" s="603"/>
      <c r="N247" s="603"/>
      <c r="O247" s="603"/>
      <c r="P247" s="603"/>
      <c r="Q247" s="603"/>
      <c r="R247" s="603"/>
      <c r="S247" s="603"/>
      <c r="T247" s="603"/>
      <c r="U247" s="603"/>
      <c r="V247" s="603"/>
      <c r="W247" s="603"/>
      <c r="X247" s="603"/>
      <c r="Y247" s="603"/>
      <c r="Z247" s="603"/>
    </row>
    <row r="248" spans="1:26" ht="15.75" customHeight="1" x14ac:dyDescent="0.2">
      <c r="A248" s="603"/>
      <c r="B248" s="603"/>
      <c r="C248" s="603"/>
      <c r="D248" s="603"/>
      <c r="E248" s="603"/>
      <c r="F248" s="603"/>
      <c r="G248" s="603"/>
      <c r="H248" s="603"/>
      <c r="I248" s="603"/>
      <c r="J248" s="603"/>
      <c r="K248" s="449"/>
      <c r="L248" s="603"/>
      <c r="M248" s="603"/>
      <c r="N248" s="603"/>
      <c r="O248" s="603"/>
      <c r="P248" s="603"/>
      <c r="Q248" s="603"/>
      <c r="R248" s="603"/>
      <c r="S248" s="603"/>
      <c r="T248" s="603"/>
      <c r="U248" s="603"/>
      <c r="V248" s="603"/>
      <c r="W248" s="603"/>
      <c r="X248" s="603"/>
      <c r="Y248" s="603"/>
      <c r="Z248" s="603"/>
    </row>
    <row r="249" spans="1:26" ht="15.75" customHeight="1" x14ac:dyDescent="0.2">
      <c r="A249" s="603"/>
      <c r="B249" s="603"/>
      <c r="C249" s="603"/>
      <c r="D249" s="603"/>
      <c r="E249" s="603"/>
      <c r="F249" s="603"/>
      <c r="G249" s="603"/>
      <c r="H249" s="603"/>
      <c r="I249" s="603"/>
      <c r="J249" s="603"/>
      <c r="K249" s="449"/>
      <c r="L249" s="603"/>
      <c r="M249" s="603"/>
      <c r="N249" s="603"/>
      <c r="O249" s="603"/>
      <c r="P249" s="603"/>
      <c r="Q249" s="603"/>
      <c r="R249" s="603"/>
      <c r="S249" s="603"/>
      <c r="T249" s="603"/>
      <c r="U249" s="603"/>
      <c r="V249" s="603"/>
      <c r="W249" s="603"/>
      <c r="X249" s="603"/>
      <c r="Y249" s="603"/>
      <c r="Z249" s="603"/>
    </row>
    <row r="250" spans="1:26" ht="15.75" customHeight="1" x14ac:dyDescent="0.2">
      <c r="A250" s="603"/>
      <c r="B250" s="603"/>
      <c r="C250" s="603"/>
      <c r="D250" s="603"/>
      <c r="E250" s="603"/>
      <c r="F250" s="603"/>
      <c r="G250" s="603"/>
      <c r="H250" s="603"/>
      <c r="I250" s="603"/>
      <c r="J250" s="603"/>
      <c r="K250" s="449"/>
      <c r="L250" s="603"/>
      <c r="M250" s="603"/>
      <c r="N250" s="603"/>
      <c r="O250" s="603"/>
      <c r="P250" s="603"/>
      <c r="Q250" s="603"/>
      <c r="R250" s="603"/>
      <c r="S250" s="603"/>
      <c r="T250" s="603"/>
      <c r="U250" s="603"/>
      <c r="V250" s="603"/>
      <c r="W250" s="603"/>
      <c r="X250" s="603"/>
      <c r="Y250" s="603"/>
      <c r="Z250" s="603"/>
    </row>
    <row r="251" spans="1:26" ht="15.75" customHeight="1" x14ac:dyDescent="0.2">
      <c r="A251" s="603"/>
      <c r="B251" s="603"/>
      <c r="C251" s="603"/>
      <c r="D251" s="603"/>
      <c r="E251" s="603"/>
      <c r="F251" s="603"/>
      <c r="G251" s="603"/>
      <c r="H251" s="603"/>
      <c r="I251" s="603"/>
      <c r="J251" s="603"/>
      <c r="K251" s="449"/>
      <c r="L251" s="603"/>
      <c r="M251" s="603"/>
      <c r="N251" s="603"/>
      <c r="O251" s="603"/>
      <c r="P251" s="603"/>
      <c r="Q251" s="603"/>
      <c r="R251" s="603"/>
      <c r="S251" s="603"/>
      <c r="T251" s="603"/>
      <c r="U251" s="603"/>
      <c r="V251" s="603"/>
      <c r="W251" s="603"/>
      <c r="X251" s="603"/>
      <c r="Y251" s="603"/>
      <c r="Z251" s="603"/>
    </row>
    <row r="252" spans="1:26" ht="15.75" customHeight="1" x14ac:dyDescent="0.2">
      <c r="A252" s="603"/>
      <c r="B252" s="603"/>
      <c r="C252" s="603"/>
      <c r="D252" s="603"/>
      <c r="E252" s="603"/>
      <c r="F252" s="603"/>
      <c r="G252" s="603"/>
      <c r="H252" s="603"/>
      <c r="I252" s="603"/>
      <c r="J252" s="603"/>
      <c r="K252" s="449"/>
      <c r="L252" s="603"/>
      <c r="M252" s="603"/>
      <c r="N252" s="603"/>
      <c r="O252" s="603"/>
      <c r="P252" s="603"/>
      <c r="Q252" s="603"/>
      <c r="R252" s="603"/>
      <c r="S252" s="603"/>
      <c r="T252" s="603"/>
      <c r="U252" s="603"/>
      <c r="V252" s="603"/>
      <c r="W252" s="603"/>
      <c r="X252" s="603"/>
      <c r="Y252" s="603"/>
      <c r="Z252" s="603"/>
    </row>
    <row r="253" spans="1:26" ht="15.75" customHeight="1" x14ac:dyDescent="0.2">
      <c r="A253" s="603"/>
      <c r="B253" s="603"/>
      <c r="C253" s="603"/>
      <c r="D253" s="603"/>
      <c r="E253" s="603"/>
      <c r="F253" s="603"/>
      <c r="G253" s="603"/>
      <c r="H253" s="603"/>
      <c r="I253" s="603"/>
      <c r="J253" s="603"/>
      <c r="K253" s="449"/>
      <c r="L253" s="603"/>
      <c r="M253" s="603"/>
      <c r="N253" s="603"/>
      <c r="O253" s="603"/>
      <c r="P253" s="603"/>
      <c r="Q253" s="603"/>
      <c r="R253" s="603"/>
      <c r="S253" s="603"/>
      <c r="T253" s="603"/>
      <c r="U253" s="603"/>
      <c r="V253" s="603"/>
      <c r="W253" s="603"/>
      <c r="X253" s="603"/>
      <c r="Y253" s="603"/>
      <c r="Z253" s="603"/>
    </row>
    <row r="254" spans="1:26" ht="15.75" customHeight="1" x14ac:dyDescent="0.2">
      <c r="A254" s="603"/>
      <c r="B254" s="603"/>
      <c r="C254" s="603"/>
      <c r="D254" s="603"/>
      <c r="E254" s="603"/>
      <c r="F254" s="603"/>
      <c r="G254" s="603"/>
      <c r="H254" s="603"/>
      <c r="I254" s="603"/>
      <c r="J254" s="603"/>
      <c r="K254" s="449"/>
      <c r="L254" s="603"/>
      <c r="M254" s="603"/>
      <c r="N254" s="603"/>
      <c r="O254" s="603"/>
      <c r="P254" s="603"/>
      <c r="Q254" s="603"/>
      <c r="R254" s="603"/>
      <c r="S254" s="603"/>
      <c r="T254" s="603"/>
      <c r="U254" s="603"/>
      <c r="V254" s="603"/>
      <c r="W254" s="603"/>
      <c r="X254" s="603"/>
      <c r="Y254" s="603"/>
      <c r="Z254" s="603"/>
    </row>
    <row r="255" spans="1:26" ht="15.75" customHeight="1" x14ac:dyDescent="0.2">
      <c r="A255" s="603"/>
      <c r="B255" s="603"/>
      <c r="C255" s="603"/>
      <c r="D255" s="603"/>
      <c r="E255" s="603"/>
      <c r="F255" s="603"/>
      <c r="G255" s="603"/>
      <c r="H255" s="603"/>
      <c r="I255" s="603"/>
      <c r="J255" s="603"/>
      <c r="K255" s="449"/>
      <c r="L255" s="603"/>
      <c r="M255" s="603"/>
      <c r="N255" s="603"/>
      <c r="O255" s="603"/>
      <c r="P255" s="603"/>
      <c r="Q255" s="603"/>
      <c r="R255" s="603"/>
      <c r="S255" s="603"/>
      <c r="T255" s="603"/>
      <c r="U255" s="603"/>
      <c r="V255" s="603"/>
      <c r="W255" s="603"/>
      <c r="X255" s="603"/>
      <c r="Y255" s="603"/>
      <c r="Z255" s="603"/>
    </row>
    <row r="256" spans="1:26" ht="15.75" customHeight="1" x14ac:dyDescent="0.2">
      <c r="A256" s="603"/>
      <c r="B256" s="603"/>
      <c r="C256" s="603"/>
      <c r="D256" s="603"/>
      <c r="E256" s="603"/>
      <c r="F256" s="603"/>
      <c r="G256" s="603"/>
      <c r="H256" s="603"/>
      <c r="I256" s="603"/>
      <c r="J256" s="603"/>
      <c r="K256" s="449"/>
      <c r="L256" s="603"/>
      <c r="M256" s="603"/>
      <c r="N256" s="603"/>
      <c r="O256" s="603"/>
      <c r="P256" s="603"/>
      <c r="Q256" s="603"/>
      <c r="R256" s="603"/>
      <c r="S256" s="603"/>
      <c r="T256" s="603"/>
      <c r="U256" s="603"/>
      <c r="V256" s="603"/>
      <c r="W256" s="603"/>
      <c r="X256" s="603"/>
      <c r="Y256" s="603"/>
      <c r="Z256" s="603"/>
    </row>
    <row r="257" spans="1:26" ht="15.75" customHeight="1" x14ac:dyDescent="0.2">
      <c r="A257" s="603"/>
      <c r="B257" s="603"/>
      <c r="C257" s="603"/>
      <c r="D257" s="603"/>
      <c r="E257" s="603"/>
      <c r="F257" s="603"/>
      <c r="G257" s="603"/>
      <c r="H257" s="603"/>
      <c r="I257" s="603"/>
      <c r="J257" s="603"/>
      <c r="K257" s="449"/>
      <c r="L257" s="603"/>
      <c r="M257" s="603"/>
      <c r="N257" s="603"/>
      <c r="O257" s="603"/>
      <c r="P257" s="603"/>
      <c r="Q257" s="603"/>
      <c r="R257" s="603"/>
      <c r="S257" s="603"/>
      <c r="T257" s="603"/>
      <c r="U257" s="603"/>
      <c r="V257" s="603"/>
      <c r="W257" s="603"/>
      <c r="X257" s="603"/>
      <c r="Y257" s="603"/>
      <c r="Z257" s="603"/>
    </row>
    <row r="258" spans="1:26" ht="15.75" customHeight="1" x14ac:dyDescent="0.2">
      <c r="A258" s="603"/>
      <c r="B258" s="603"/>
      <c r="C258" s="603"/>
      <c r="D258" s="603"/>
      <c r="E258" s="603"/>
      <c r="F258" s="603"/>
      <c r="G258" s="603"/>
      <c r="H258" s="603"/>
      <c r="I258" s="603"/>
      <c r="J258" s="603"/>
      <c r="K258" s="449"/>
      <c r="L258" s="603"/>
      <c r="M258" s="603"/>
      <c r="N258" s="603"/>
      <c r="O258" s="603"/>
      <c r="P258" s="603"/>
      <c r="Q258" s="603"/>
      <c r="R258" s="603"/>
      <c r="S258" s="603"/>
      <c r="T258" s="603"/>
      <c r="U258" s="603"/>
      <c r="V258" s="603"/>
      <c r="W258" s="603"/>
      <c r="X258" s="603"/>
      <c r="Y258" s="603"/>
      <c r="Z258" s="603"/>
    </row>
    <row r="259" spans="1:26" ht="15.75" customHeight="1" x14ac:dyDescent="0.2">
      <c r="A259" s="603"/>
      <c r="B259" s="603"/>
      <c r="C259" s="603"/>
      <c r="D259" s="603"/>
      <c r="E259" s="603"/>
      <c r="F259" s="603"/>
      <c r="G259" s="603"/>
      <c r="H259" s="603"/>
      <c r="I259" s="603"/>
      <c r="J259" s="603"/>
      <c r="K259" s="449"/>
      <c r="L259" s="603"/>
      <c r="M259" s="603"/>
      <c r="N259" s="603"/>
      <c r="O259" s="603"/>
      <c r="P259" s="603"/>
      <c r="Q259" s="603"/>
      <c r="R259" s="603"/>
      <c r="S259" s="603"/>
      <c r="T259" s="603"/>
      <c r="U259" s="603"/>
      <c r="V259" s="603"/>
      <c r="W259" s="603"/>
      <c r="X259" s="603"/>
      <c r="Y259" s="603"/>
      <c r="Z259" s="603"/>
    </row>
    <row r="260" spans="1:26" ht="15.75" customHeight="1" x14ac:dyDescent="0.2">
      <c r="A260" s="603"/>
      <c r="B260" s="603"/>
      <c r="C260" s="603"/>
      <c r="D260" s="603"/>
      <c r="E260" s="603"/>
      <c r="F260" s="603"/>
      <c r="G260" s="603"/>
      <c r="H260" s="603"/>
      <c r="I260" s="603"/>
      <c r="J260" s="603"/>
      <c r="K260" s="449"/>
      <c r="L260" s="603"/>
      <c r="M260" s="603"/>
      <c r="N260" s="603"/>
      <c r="O260" s="603"/>
      <c r="P260" s="603"/>
      <c r="Q260" s="603"/>
      <c r="R260" s="603"/>
      <c r="S260" s="603"/>
      <c r="T260" s="603"/>
      <c r="U260" s="603"/>
      <c r="V260" s="603"/>
      <c r="W260" s="603"/>
      <c r="X260" s="603"/>
      <c r="Y260" s="603"/>
      <c r="Z260" s="603"/>
    </row>
    <row r="261" spans="1:26" ht="15.75" customHeight="1" x14ac:dyDescent="0.2">
      <c r="A261" s="603"/>
      <c r="B261" s="603"/>
      <c r="C261" s="603"/>
      <c r="D261" s="603"/>
      <c r="E261" s="603"/>
      <c r="F261" s="603"/>
      <c r="G261" s="603"/>
      <c r="H261" s="603"/>
      <c r="I261" s="603"/>
      <c r="J261" s="603"/>
      <c r="K261" s="449"/>
      <c r="L261" s="603"/>
      <c r="M261" s="603"/>
      <c r="N261" s="603"/>
      <c r="O261" s="603"/>
      <c r="P261" s="603"/>
      <c r="Q261" s="603"/>
      <c r="R261" s="603"/>
      <c r="S261" s="603"/>
      <c r="T261" s="603"/>
      <c r="U261" s="603"/>
      <c r="V261" s="603"/>
      <c r="W261" s="603"/>
      <c r="X261" s="603"/>
      <c r="Y261" s="603"/>
      <c r="Z261" s="603"/>
    </row>
    <row r="262" spans="1:26" ht="15.75" customHeight="1" x14ac:dyDescent="0.2">
      <c r="A262" s="603"/>
      <c r="B262" s="603"/>
      <c r="C262" s="603"/>
      <c r="D262" s="603"/>
      <c r="E262" s="603"/>
      <c r="F262" s="603"/>
      <c r="G262" s="603"/>
      <c r="H262" s="603"/>
      <c r="I262" s="603"/>
      <c r="J262" s="603"/>
      <c r="K262" s="449"/>
      <c r="L262" s="603"/>
      <c r="M262" s="603"/>
      <c r="N262" s="603"/>
      <c r="O262" s="603"/>
      <c r="P262" s="603"/>
      <c r="Q262" s="603"/>
      <c r="R262" s="603"/>
      <c r="S262" s="603"/>
      <c r="T262" s="603"/>
      <c r="U262" s="603"/>
      <c r="V262" s="603"/>
      <c r="W262" s="603"/>
      <c r="X262" s="603"/>
      <c r="Y262" s="603"/>
      <c r="Z262" s="603"/>
    </row>
    <row r="263" spans="1:26" ht="15.75" customHeight="1" x14ac:dyDescent="0.2">
      <c r="A263" s="603"/>
      <c r="B263" s="603"/>
      <c r="C263" s="603"/>
      <c r="D263" s="603"/>
      <c r="E263" s="603"/>
      <c r="F263" s="603"/>
      <c r="G263" s="603"/>
      <c r="H263" s="603"/>
      <c r="I263" s="603"/>
      <c r="J263" s="603"/>
      <c r="K263" s="449"/>
      <c r="L263" s="603"/>
      <c r="M263" s="603"/>
      <c r="N263" s="603"/>
      <c r="O263" s="603"/>
      <c r="P263" s="603"/>
      <c r="Q263" s="603"/>
      <c r="R263" s="603"/>
      <c r="S263" s="603"/>
      <c r="T263" s="603"/>
      <c r="U263" s="603"/>
      <c r="V263" s="603"/>
      <c r="W263" s="603"/>
      <c r="X263" s="603"/>
      <c r="Y263" s="603"/>
      <c r="Z263" s="603"/>
    </row>
    <row r="264" spans="1:26" ht="15.75" customHeight="1" x14ac:dyDescent="0.2">
      <c r="A264" s="603"/>
      <c r="B264" s="603"/>
      <c r="C264" s="603"/>
      <c r="D264" s="603"/>
      <c r="E264" s="603"/>
      <c r="F264" s="603"/>
      <c r="G264" s="603"/>
      <c r="H264" s="603"/>
      <c r="I264" s="603"/>
      <c r="J264" s="603"/>
      <c r="K264" s="449"/>
      <c r="L264" s="603"/>
      <c r="M264" s="603"/>
      <c r="N264" s="603"/>
      <c r="O264" s="603"/>
      <c r="P264" s="603"/>
      <c r="Q264" s="603"/>
      <c r="R264" s="603"/>
      <c r="S264" s="603"/>
      <c r="T264" s="603"/>
      <c r="U264" s="603"/>
      <c r="V264" s="603"/>
      <c r="W264" s="603"/>
      <c r="X264" s="603"/>
      <c r="Y264" s="603"/>
      <c r="Z264" s="603"/>
    </row>
    <row r="265" spans="1:26" ht="15.75" customHeight="1" x14ac:dyDescent="0.2">
      <c r="A265" s="603"/>
      <c r="B265" s="603"/>
      <c r="C265" s="603"/>
      <c r="D265" s="603"/>
      <c r="E265" s="603"/>
      <c r="F265" s="603"/>
      <c r="G265" s="603"/>
      <c r="H265" s="603"/>
      <c r="I265" s="603"/>
      <c r="J265" s="603"/>
      <c r="K265" s="449"/>
      <c r="L265" s="603"/>
      <c r="M265" s="603"/>
      <c r="N265" s="603"/>
      <c r="O265" s="603"/>
      <c r="P265" s="603"/>
      <c r="Q265" s="603"/>
      <c r="R265" s="603"/>
      <c r="S265" s="603"/>
      <c r="T265" s="603"/>
      <c r="U265" s="603"/>
      <c r="V265" s="603"/>
      <c r="W265" s="603"/>
      <c r="X265" s="603"/>
      <c r="Y265" s="603"/>
      <c r="Z265" s="603"/>
    </row>
    <row r="266" spans="1:26" ht="15.75" customHeight="1" x14ac:dyDescent="0.2">
      <c r="A266" s="603"/>
      <c r="B266" s="603"/>
      <c r="C266" s="603"/>
      <c r="D266" s="603"/>
      <c r="E266" s="603"/>
      <c r="F266" s="603"/>
      <c r="G266" s="603"/>
      <c r="H266" s="603"/>
      <c r="I266" s="603"/>
      <c r="J266" s="603"/>
      <c r="K266" s="449"/>
      <c r="L266" s="603"/>
      <c r="M266" s="603"/>
      <c r="N266" s="603"/>
      <c r="O266" s="603"/>
      <c r="P266" s="603"/>
      <c r="Q266" s="603"/>
      <c r="R266" s="603"/>
      <c r="S266" s="603"/>
      <c r="T266" s="603"/>
      <c r="U266" s="603"/>
      <c r="V266" s="603"/>
      <c r="W266" s="603"/>
      <c r="X266" s="603"/>
      <c r="Y266" s="603"/>
      <c r="Z266" s="603"/>
    </row>
    <row r="267" spans="1:26" ht="15.75" customHeight="1" x14ac:dyDescent="0.2">
      <c r="A267" s="603"/>
      <c r="B267" s="603"/>
      <c r="C267" s="603"/>
      <c r="D267" s="603"/>
      <c r="E267" s="603"/>
      <c r="F267" s="603"/>
      <c r="G267" s="603"/>
      <c r="H267" s="603"/>
      <c r="I267" s="603"/>
      <c r="J267" s="603"/>
      <c r="K267" s="449"/>
      <c r="L267" s="603"/>
      <c r="M267" s="603"/>
      <c r="N267" s="603"/>
      <c r="O267" s="603"/>
      <c r="P267" s="603"/>
      <c r="Q267" s="603"/>
      <c r="R267" s="603"/>
      <c r="S267" s="603"/>
      <c r="T267" s="603"/>
      <c r="U267" s="603"/>
      <c r="V267" s="603"/>
      <c r="W267" s="603"/>
      <c r="X267" s="603"/>
      <c r="Y267" s="603"/>
      <c r="Z267" s="603"/>
    </row>
    <row r="268" spans="1:26" ht="15.75" customHeight="1" x14ac:dyDescent="0.2">
      <c r="A268" s="603"/>
      <c r="B268" s="603"/>
      <c r="C268" s="603"/>
      <c r="D268" s="603"/>
      <c r="E268" s="603"/>
      <c r="F268" s="603"/>
      <c r="G268" s="603"/>
      <c r="H268" s="603"/>
      <c r="I268" s="603"/>
      <c r="J268" s="603"/>
      <c r="K268" s="449"/>
      <c r="L268" s="603"/>
      <c r="M268" s="603"/>
      <c r="N268" s="603"/>
      <c r="O268" s="603"/>
      <c r="P268" s="603"/>
      <c r="Q268" s="603"/>
      <c r="R268" s="603"/>
      <c r="S268" s="603"/>
      <c r="T268" s="603"/>
      <c r="U268" s="603"/>
      <c r="V268" s="603"/>
      <c r="W268" s="603"/>
      <c r="X268" s="603"/>
      <c r="Y268" s="603"/>
      <c r="Z268" s="603"/>
    </row>
    <row r="269" spans="1:26" ht="15.75" customHeight="1" x14ac:dyDescent="0.2">
      <c r="A269" s="603"/>
      <c r="B269" s="603"/>
      <c r="C269" s="603"/>
      <c r="D269" s="603"/>
      <c r="E269" s="603"/>
      <c r="F269" s="603"/>
      <c r="G269" s="603"/>
      <c r="H269" s="603"/>
      <c r="I269" s="603"/>
      <c r="J269" s="603"/>
      <c r="K269" s="449"/>
      <c r="L269" s="603"/>
      <c r="M269" s="603"/>
      <c r="N269" s="603"/>
      <c r="O269" s="603"/>
      <c r="P269" s="603"/>
      <c r="Q269" s="603"/>
      <c r="R269" s="603"/>
      <c r="S269" s="603"/>
      <c r="T269" s="603"/>
      <c r="U269" s="603"/>
      <c r="V269" s="603"/>
      <c r="W269" s="603"/>
      <c r="X269" s="603"/>
      <c r="Y269" s="603"/>
      <c r="Z269" s="603"/>
    </row>
    <row r="270" spans="1:26" ht="15.75" customHeight="1" x14ac:dyDescent="0.2">
      <c r="A270" s="603"/>
      <c r="B270" s="603"/>
      <c r="C270" s="603"/>
      <c r="D270" s="603"/>
      <c r="E270" s="603"/>
      <c r="F270" s="603"/>
      <c r="G270" s="603"/>
      <c r="H270" s="603"/>
      <c r="I270" s="603"/>
      <c r="J270" s="603"/>
      <c r="K270" s="449"/>
      <c r="L270" s="603"/>
      <c r="M270" s="603"/>
      <c r="N270" s="603"/>
      <c r="O270" s="603"/>
      <c r="P270" s="603"/>
      <c r="Q270" s="603"/>
      <c r="R270" s="603"/>
      <c r="S270" s="603"/>
      <c r="T270" s="603"/>
      <c r="U270" s="603"/>
      <c r="V270" s="603"/>
      <c r="W270" s="603"/>
      <c r="X270" s="603"/>
      <c r="Y270" s="603"/>
      <c r="Z270" s="603"/>
    </row>
    <row r="271" spans="1:26" ht="15.75" customHeight="1" x14ac:dyDescent="0.2">
      <c r="A271" s="603"/>
      <c r="B271" s="603"/>
      <c r="C271" s="603"/>
      <c r="D271" s="603"/>
      <c r="E271" s="603"/>
      <c r="F271" s="603"/>
      <c r="G271" s="603"/>
      <c r="H271" s="603"/>
      <c r="I271" s="603"/>
      <c r="J271" s="603"/>
      <c r="K271" s="449"/>
      <c r="L271" s="603"/>
      <c r="M271" s="603"/>
      <c r="N271" s="603"/>
      <c r="O271" s="603"/>
      <c r="P271" s="603"/>
      <c r="Q271" s="603"/>
      <c r="R271" s="603"/>
      <c r="S271" s="603"/>
      <c r="T271" s="603"/>
      <c r="U271" s="603"/>
      <c r="V271" s="603"/>
      <c r="W271" s="603"/>
      <c r="X271" s="603"/>
      <c r="Y271" s="603"/>
      <c r="Z271" s="603"/>
    </row>
    <row r="272" spans="1:26" ht="15.75" customHeight="1" x14ac:dyDescent="0.2">
      <c r="A272" s="603"/>
      <c r="B272" s="603"/>
      <c r="C272" s="603"/>
      <c r="D272" s="603"/>
      <c r="E272" s="603"/>
      <c r="F272" s="603"/>
      <c r="G272" s="603"/>
      <c r="H272" s="603"/>
      <c r="I272" s="603"/>
      <c r="J272" s="603"/>
      <c r="K272" s="449"/>
      <c r="L272" s="603"/>
      <c r="M272" s="603"/>
      <c r="N272" s="603"/>
      <c r="O272" s="603"/>
      <c r="P272" s="603"/>
      <c r="Q272" s="603"/>
      <c r="R272" s="603"/>
      <c r="S272" s="603"/>
      <c r="T272" s="603"/>
      <c r="U272" s="603"/>
      <c r="V272" s="603"/>
      <c r="W272" s="603"/>
      <c r="X272" s="603"/>
      <c r="Y272" s="603"/>
      <c r="Z272" s="603"/>
    </row>
    <row r="273" spans="1:26" ht="15.75" customHeight="1" x14ac:dyDescent="0.2">
      <c r="A273" s="603"/>
      <c r="B273" s="603"/>
      <c r="C273" s="603"/>
      <c r="D273" s="603"/>
      <c r="E273" s="603"/>
      <c r="F273" s="603"/>
      <c r="G273" s="603"/>
      <c r="H273" s="603"/>
      <c r="I273" s="603"/>
      <c r="J273" s="603"/>
      <c r="K273" s="449"/>
      <c r="L273" s="603"/>
      <c r="M273" s="603"/>
      <c r="N273" s="603"/>
      <c r="O273" s="603"/>
      <c r="P273" s="603"/>
      <c r="Q273" s="603"/>
      <c r="R273" s="603"/>
      <c r="S273" s="603"/>
      <c r="T273" s="603"/>
      <c r="U273" s="603"/>
      <c r="V273" s="603"/>
      <c r="W273" s="603"/>
      <c r="X273" s="603"/>
      <c r="Y273" s="603"/>
      <c r="Z273" s="603"/>
    </row>
    <row r="274" spans="1:26" ht="15.75" customHeight="1" x14ac:dyDescent="0.2">
      <c r="A274" s="603"/>
      <c r="B274" s="603"/>
      <c r="C274" s="603"/>
      <c r="D274" s="603"/>
      <c r="E274" s="603"/>
      <c r="F274" s="603"/>
      <c r="G274" s="603"/>
      <c r="H274" s="603"/>
      <c r="I274" s="603"/>
      <c r="J274" s="603"/>
      <c r="K274" s="449"/>
      <c r="L274" s="603"/>
      <c r="M274" s="603"/>
      <c r="N274" s="603"/>
      <c r="O274" s="603"/>
      <c r="P274" s="603"/>
      <c r="Q274" s="603"/>
      <c r="R274" s="603"/>
      <c r="S274" s="603"/>
      <c r="T274" s="603"/>
      <c r="U274" s="603"/>
      <c r="V274" s="603"/>
      <c r="W274" s="603"/>
      <c r="X274" s="603"/>
      <c r="Y274" s="603"/>
      <c r="Z274" s="603"/>
    </row>
    <row r="275" spans="1:26" ht="15.75" customHeight="1" x14ac:dyDescent="0.2">
      <c r="A275" s="603"/>
      <c r="B275" s="603"/>
      <c r="C275" s="603"/>
      <c r="D275" s="603"/>
      <c r="E275" s="603"/>
      <c r="F275" s="603"/>
      <c r="G275" s="603"/>
      <c r="H275" s="603"/>
      <c r="I275" s="603"/>
      <c r="J275" s="603"/>
      <c r="K275" s="449"/>
      <c r="L275" s="603"/>
      <c r="M275" s="603"/>
      <c r="N275" s="603"/>
      <c r="O275" s="603"/>
      <c r="P275" s="603"/>
      <c r="Q275" s="603"/>
      <c r="R275" s="603"/>
      <c r="S275" s="603"/>
      <c r="T275" s="603"/>
      <c r="U275" s="603"/>
      <c r="V275" s="603"/>
      <c r="W275" s="603"/>
      <c r="X275" s="603"/>
      <c r="Y275" s="603"/>
      <c r="Z275" s="603"/>
    </row>
    <row r="276" spans="1:26" ht="15.75" customHeight="1" x14ac:dyDescent="0.2">
      <c r="A276" s="603"/>
      <c r="B276" s="603"/>
      <c r="C276" s="603"/>
      <c r="D276" s="603"/>
      <c r="E276" s="603"/>
      <c r="F276" s="603"/>
      <c r="G276" s="603"/>
      <c r="H276" s="603"/>
      <c r="I276" s="603"/>
      <c r="J276" s="603"/>
      <c r="K276" s="449"/>
      <c r="L276" s="603"/>
      <c r="M276" s="603"/>
      <c r="N276" s="603"/>
      <c r="O276" s="603"/>
      <c r="P276" s="603"/>
      <c r="Q276" s="603"/>
      <c r="R276" s="603"/>
      <c r="S276" s="603"/>
      <c r="T276" s="603"/>
      <c r="U276" s="603"/>
      <c r="V276" s="603"/>
      <c r="W276" s="603"/>
      <c r="X276" s="603"/>
      <c r="Y276" s="603"/>
      <c r="Z276" s="603"/>
    </row>
    <row r="277" spans="1:26" ht="15.75" customHeight="1" x14ac:dyDescent="0.2">
      <c r="A277" s="603"/>
      <c r="B277" s="603"/>
      <c r="C277" s="603"/>
      <c r="D277" s="603"/>
      <c r="E277" s="603"/>
      <c r="F277" s="603"/>
      <c r="G277" s="603"/>
      <c r="H277" s="603"/>
      <c r="I277" s="603"/>
      <c r="J277" s="603"/>
      <c r="K277" s="449"/>
      <c r="L277" s="603"/>
      <c r="M277" s="603"/>
      <c r="N277" s="603"/>
      <c r="O277" s="603"/>
      <c r="P277" s="603"/>
      <c r="Q277" s="603"/>
      <c r="R277" s="603"/>
      <c r="S277" s="603"/>
      <c r="T277" s="603"/>
      <c r="U277" s="603"/>
      <c r="V277" s="603"/>
      <c r="W277" s="603"/>
      <c r="X277" s="603"/>
      <c r="Y277" s="603"/>
      <c r="Z277" s="603"/>
    </row>
    <row r="278" spans="1:26" ht="15.75" customHeight="1" x14ac:dyDescent="0.2">
      <c r="A278" s="603"/>
      <c r="B278" s="603"/>
      <c r="C278" s="603"/>
      <c r="D278" s="603"/>
      <c r="E278" s="603"/>
      <c r="F278" s="603"/>
      <c r="G278" s="603"/>
      <c r="H278" s="603"/>
      <c r="I278" s="603"/>
      <c r="J278" s="603"/>
      <c r="K278" s="449"/>
      <c r="L278" s="603"/>
      <c r="M278" s="603"/>
      <c r="N278" s="603"/>
      <c r="O278" s="603"/>
      <c r="P278" s="603"/>
      <c r="Q278" s="603"/>
      <c r="R278" s="603"/>
      <c r="S278" s="603"/>
      <c r="T278" s="603"/>
      <c r="U278" s="603"/>
      <c r="V278" s="603"/>
      <c r="W278" s="603"/>
      <c r="X278" s="603"/>
      <c r="Y278" s="603"/>
      <c r="Z278" s="603"/>
    </row>
    <row r="279" spans="1:26" ht="15.75" customHeight="1" x14ac:dyDescent="0.2">
      <c r="A279" s="603"/>
      <c r="B279" s="603"/>
      <c r="C279" s="603"/>
      <c r="D279" s="603"/>
      <c r="E279" s="603"/>
      <c r="F279" s="603"/>
      <c r="G279" s="603"/>
      <c r="H279" s="603"/>
      <c r="I279" s="603"/>
      <c r="J279" s="603"/>
      <c r="K279" s="449"/>
      <c r="L279" s="603"/>
      <c r="M279" s="603"/>
      <c r="N279" s="603"/>
      <c r="O279" s="603"/>
      <c r="P279" s="603"/>
      <c r="Q279" s="603"/>
      <c r="R279" s="603"/>
      <c r="S279" s="603"/>
      <c r="T279" s="603"/>
      <c r="U279" s="603"/>
      <c r="V279" s="603"/>
      <c r="W279" s="603"/>
      <c r="X279" s="603"/>
      <c r="Y279" s="603"/>
      <c r="Z279" s="603"/>
    </row>
    <row r="280" spans="1:26" ht="15.75" customHeight="1" x14ac:dyDescent="0.2">
      <c r="A280" s="603"/>
      <c r="B280" s="603"/>
      <c r="C280" s="603"/>
      <c r="D280" s="603"/>
      <c r="E280" s="603"/>
      <c r="F280" s="603"/>
      <c r="G280" s="603"/>
      <c r="H280" s="603"/>
      <c r="I280" s="603"/>
      <c r="J280" s="603"/>
      <c r="K280" s="449"/>
      <c r="L280" s="603"/>
      <c r="M280" s="603"/>
      <c r="N280" s="603"/>
      <c r="O280" s="603"/>
      <c r="P280" s="603"/>
      <c r="Q280" s="603"/>
      <c r="R280" s="603"/>
      <c r="S280" s="603"/>
      <c r="T280" s="603"/>
      <c r="U280" s="603"/>
      <c r="V280" s="603"/>
      <c r="W280" s="603"/>
      <c r="X280" s="603"/>
      <c r="Y280" s="603"/>
      <c r="Z280" s="603"/>
    </row>
    <row r="281" spans="1:26" ht="15.75" customHeight="1" x14ac:dyDescent="0.2">
      <c r="A281" s="603"/>
      <c r="B281" s="603"/>
      <c r="C281" s="603"/>
      <c r="D281" s="603"/>
      <c r="E281" s="603"/>
      <c r="F281" s="603"/>
      <c r="G281" s="603"/>
      <c r="H281" s="603"/>
      <c r="I281" s="603"/>
      <c r="J281" s="603"/>
      <c r="K281" s="449"/>
      <c r="L281" s="603"/>
      <c r="M281" s="603"/>
      <c r="N281" s="603"/>
      <c r="O281" s="603"/>
      <c r="P281" s="603"/>
      <c r="Q281" s="603"/>
      <c r="R281" s="603"/>
      <c r="S281" s="603"/>
      <c r="T281" s="603"/>
      <c r="U281" s="603"/>
      <c r="V281" s="603"/>
      <c r="W281" s="603"/>
      <c r="X281" s="603"/>
      <c r="Y281" s="603"/>
      <c r="Z281" s="603"/>
    </row>
    <row r="282" spans="1:26" ht="15.75" customHeight="1" x14ac:dyDescent="0.2">
      <c r="A282" s="603"/>
      <c r="B282" s="603"/>
      <c r="C282" s="603"/>
      <c r="D282" s="603"/>
      <c r="E282" s="603"/>
      <c r="F282" s="603"/>
      <c r="G282" s="603"/>
      <c r="H282" s="603"/>
      <c r="I282" s="603"/>
      <c r="J282" s="603"/>
      <c r="K282" s="449"/>
      <c r="L282" s="603"/>
      <c r="M282" s="603"/>
      <c r="N282" s="603"/>
      <c r="O282" s="603"/>
      <c r="P282" s="603"/>
      <c r="Q282" s="603"/>
      <c r="R282" s="603"/>
      <c r="S282" s="603"/>
      <c r="T282" s="603"/>
      <c r="U282" s="603"/>
      <c r="V282" s="603"/>
      <c r="W282" s="603"/>
      <c r="X282" s="603"/>
      <c r="Y282" s="603"/>
      <c r="Z282" s="603"/>
    </row>
    <row r="283" spans="1:26" ht="15.75" customHeight="1" x14ac:dyDescent="0.2">
      <c r="A283" s="603"/>
      <c r="B283" s="603"/>
      <c r="C283" s="603"/>
      <c r="D283" s="603"/>
      <c r="E283" s="603"/>
      <c r="F283" s="603"/>
      <c r="G283" s="603"/>
      <c r="H283" s="603"/>
      <c r="I283" s="603"/>
      <c r="J283" s="603"/>
      <c r="K283" s="449"/>
      <c r="L283" s="603"/>
      <c r="M283" s="603"/>
      <c r="N283" s="603"/>
      <c r="O283" s="603"/>
      <c r="P283" s="603"/>
      <c r="Q283" s="603"/>
      <c r="R283" s="603"/>
      <c r="S283" s="603"/>
      <c r="T283" s="603"/>
      <c r="U283" s="603"/>
      <c r="V283" s="603"/>
      <c r="W283" s="603"/>
      <c r="X283" s="603"/>
      <c r="Y283" s="603"/>
      <c r="Z283" s="603"/>
    </row>
    <row r="284" spans="1:26" ht="15.75" customHeight="1" x14ac:dyDescent="0.2">
      <c r="A284" s="603"/>
      <c r="B284" s="603"/>
      <c r="C284" s="603"/>
      <c r="D284" s="603"/>
      <c r="E284" s="603"/>
      <c r="F284" s="603"/>
      <c r="G284" s="603"/>
      <c r="H284" s="603"/>
      <c r="I284" s="603"/>
      <c r="J284" s="603"/>
      <c r="K284" s="449"/>
      <c r="L284" s="603"/>
      <c r="M284" s="603"/>
      <c r="N284" s="603"/>
      <c r="O284" s="603"/>
      <c r="P284" s="603"/>
      <c r="Q284" s="603"/>
      <c r="R284" s="603"/>
      <c r="S284" s="603"/>
      <c r="T284" s="603"/>
      <c r="U284" s="603"/>
      <c r="V284" s="603"/>
      <c r="W284" s="603"/>
      <c r="X284" s="603"/>
      <c r="Y284" s="603"/>
      <c r="Z284" s="603"/>
    </row>
    <row r="285" spans="1:26" ht="15.75" customHeight="1" x14ac:dyDescent="0.2">
      <c r="A285" s="603"/>
      <c r="B285" s="603"/>
      <c r="C285" s="603"/>
      <c r="D285" s="603"/>
      <c r="E285" s="603"/>
      <c r="F285" s="603"/>
      <c r="G285" s="603"/>
      <c r="H285" s="603"/>
      <c r="I285" s="603"/>
      <c r="J285" s="603"/>
      <c r="K285" s="449"/>
      <c r="L285" s="603"/>
      <c r="M285" s="603"/>
      <c r="N285" s="603"/>
      <c r="O285" s="603"/>
      <c r="P285" s="603"/>
      <c r="Q285" s="603"/>
      <c r="R285" s="603"/>
      <c r="S285" s="603"/>
      <c r="T285" s="603"/>
      <c r="U285" s="603"/>
      <c r="V285" s="603"/>
      <c r="W285" s="603"/>
      <c r="X285" s="603"/>
      <c r="Y285" s="603"/>
      <c r="Z285" s="603"/>
    </row>
    <row r="286" spans="1:26" ht="15.75" customHeight="1" x14ac:dyDescent="0.2">
      <c r="A286" s="603"/>
      <c r="B286" s="603"/>
      <c r="C286" s="603"/>
      <c r="D286" s="603"/>
      <c r="E286" s="603"/>
      <c r="F286" s="603"/>
      <c r="G286" s="603"/>
      <c r="H286" s="603"/>
      <c r="I286" s="603"/>
      <c r="J286" s="603"/>
      <c r="K286" s="449"/>
      <c r="L286" s="603"/>
      <c r="M286" s="603"/>
      <c r="N286" s="603"/>
      <c r="O286" s="603"/>
      <c r="P286" s="603"/>
      <c r="Q286" s="603"/>
      <c r="R286" s="603"/>
      <c r="S286" s="603"/>
      <c r="T286" s="603"/>
      <c r="U286" s="603"/>
      <c r="V286" s="603"/>
      <c r="W286" s="603"/>
      <c r="X286" s="603"/>
      <c r="Y286" s="603"/>
      <c r="Z286" s="603"/>
    </row>
    <row r="287" spans="1:26" ht="15.75" customHeight="1" x14ac:dyDescent="0.2">
      <c r="A287" s="603"/>
      <c r="B287" s="603"/>
      <c r="C287" s="603"/>
      <c r="D287" s="603"/>
      <c r="E287" s="603"/>
      <c r="F287" s="603"/>
      <c r="G287" s="603"/>
      <c r="H287" s="603"/>
      <c r="I287" s="603"/>
      <c r="J287" s="603"/>
      <c r="K287" s="449"/>
      <c r="L287" s="603"/>
      <c r="M287" s="603"/>
      <c r="N287" s="603"/>
      <c r="O287" s="603"/>
      <c r="P287" s="603"/>
      <c r="Q287" s="603"/>
      <c r="R287" s="603"/>
      <c r="S287" s="603"/>
      <c r="T287" s="603"/>
      <c r="U287" s="603"/>
      <c r="V287" s="603"/>
      <c r="W287" s="603"/>
      <c r="X287" s="603"/>
      <c r="Y287" s="603"/>
      <c r="Z287" s="603"/>
    </row>
    <row r="288" spans="1:26" ht="15.75" customHeight="1" x14ac:dyDescent="0.2">
      <c r="A288" s="603"/>
      <c r="B288" s="603"/>
      <c r="C288" s="603"/>
      <c r="D288" s="603"/>
      <c r="E288" s="603"/>
      <c r="F288" s="603"/>
      <c r="G288" s="603"/>
      <c r="H288" s="603"/>
      <c r="I288" s="603"/>
      <c r="J288" s="603"/>
      <c r="K288" s="449"/>
      <c r="L288" s="603"/>
      <c r="M288" s="603"/>
      <c r="N288" s="603"/>
      <c r="O288" s="603"/>
      <c r="P288" s="603"/>
      <c r="Q288" s="603"/>
      <c r="R288" s="603"/>
      <c r="S288" s="603"/>
      <c r="T288" s="603"/>
      <c r="U288" s="603"/>
      <c r="V288" s="603"/>
      <c r="W288" s="603"/>
      <c r="X288" s="603"/>
      <c r="Y288" s="603"/>
      <c r="Z288" s="603"/>
    </row>
    <row r="289" spans="1:26" ht="15.75" customHeight="1" x14ac:dyDescent="0.2">
      <c r="A289" s="603"/>
      <c r="B289" s="603"/>
      <c r="C289" s="603"/>
      <c r="D289" s="603"/>
      <c r="E289" s="603"/>
      <c r="F289" s="603"/>
      <c r="G289" s="603"/>
      <c r="H289" s="603"/>
      <c r="I289" s="603"/>
      <c r="J289" s="603"/>
      <c r="K289" s="449"/>
      <c r="L289" s="603"/>
      <c r="M289" s="603"/>
      <c r="N289" s="603"/>
      <c r="O289" s="603"/>
      <c r="P289" s="603"/>
      <c r="Q289" s="603"/>
      <c r="R289" s="603"/>
      <c r="S289" s="603"/>
      <c r="T289" s="603"/>
      <c r="U289" s="603"/>
      <c r="V289" s="603"/>
      <c r="W289" s="603"/>
      <c r="X289" s="603"/>
      <c r="Y289" s="603"/>
      <c r="Z289" s="603"/>
    </row>
    <row r="290" spans="1:26" ht="15.75" customHeight="1" x14ac:dyDescent="0.2">
      <c r="A290" s="603"/>
      <c r="B290" s="603"/>
      <c r="C290" s="603"/>
      <c r="D290" s="603"/>
      <c r="E290" s="603"/>
      <c r="F290" s="603"/>
      <c r="G290" s="603"/>
      <c r="H290" s="603"/>
      <c r="I290" s="603"/>
      <c r="J290" s="603"/>
      <c r="K290" s="449"/>
      <c r="L290" s="603"/>
      <c r="M290" s="603"/>
      <c r="N290" s="603"/>
      <c r="O290" s="603"/>
      <c r="P290" s="603"/>
      <c r="Q290" s="603"/>
      <c r="R290" s="603"/>
      <c r="S290" s="603"/>
      <c r="T290" s="603"/>
      <c r="U290" s="603"/>
      <c r="V290" s="603"/>
      <c r="W290" s="603"/>
      <c r="X290" s="603"/>
      <c r="Y290" s="603"/>
      <c r="Z290" s="603"/>
    </row>
    <row r="291" spans="1:26" ht="15.75" customHeight="1" x14ac:dyDescent="0.2">
      <c r="A291" s="603"/>
      <c r="B291" s="603"/>
      <c r="C291" s="603"/>
      <c r="D291" s="603"/>
      <c r="E291" s="603"/>
      <c r="F291" s="603"/>
      <c r="G291" s="603"/>
      <c r="H291" s="603"/>
      <c r="I291" s="603"/>
      <c r="J291" s="603"/>
      <c r="K291" s="449"/>
      <c r="L291" s="603"/>
      <c r="M291" s="603"/>
      <c r="N291" s="603"/>
      <c r="O291" s="603"/>
      <c r="P291" s="603"/>
      <c r="Q291" s="603"/>
      <c r="R291" s="603"/>
      <c r="S291" s="603"/>
      <c r="T291" s="603"/>
      <c r="U291" s="603"/>
      <c r="V291" s="603"/>
      <c r="W291" s="603"/>
      <c r="X291" s="603"/>
      <c r="Y291" s="603"/>
      <c r="Z291" s="603"/>
    </row>
    <row r="292" spans="1:26" ht="15.75" customHeight="1" x14ac:dyDescent="0.2">
      <c r="A292" s="603"/>
      <c r="B292" s="603"/>
      <c r="C292" s="603"/>
      <c r="D292" s="603"/>
      <c r="E292" s="603"/>
      <c r="F292" s="603"/>
      <c r="G292" s="603"/>
      <c r="H292" s="603"/>
      <c r="I292" s="603"/>
      <c r="J292" s="603"/>
      <c r="K292" s="449"/>
      <c r="L292" s="603"/>
      <c r="M292" s="603"/>
      <c r="N292" s="603"/>
      <c r="O292" s="603"/>
      <c r="P292" s="603"/>
      <c r="Q292" s="603"/>
      <c r="R292" s="603"/>
      <c r="S292" s="603"/>
      <c r="T292" s="603"/>
      <c r="U292" s="603"/>
      <c r="V292" s="603"/>
      <c r="W292" s="603"/>
      <c r="X292" s="603"/>
      <c r="Y292" s="603"/>
      <c r="Z292" s="603"/>
    </row>
    <row r="293" spans="1:26" ht="15.75" customHeight="1" x14ac:dyDescent="0.2">
      <c r="A293" s="603"/>
      <c r="B293" s="603"/>
      <c r="C293" s="603"/>
      <c r="D293" s="603"/>
      <c r="E293" s="603"/>
      <c r="F293" s="603"/>
      <c r="G293" s="603"/>
      <c r="H293" s="603"/>
      <c r="I293" s="603"/>
      <c r="J293" s="603"/>
      <c r="K293" s="449"/>
      <c r="L293" s="603"/>
      <c r="M293" s="603"/>
      <c r="N293" s="603"/>
      <c r="O293" s="603"/>
      <c r="P293" s="603"/>
      <c r="Q293" s="603"/>
      <c r="R293" s="603"/>
      <c r="S293" s="603"/>
      <c r="T293" s="603"/>
      <c r="U293" s="603"/>
      <c r="V293" s="603"/>
      <c r="W293" s="603"/>
      <c r="X293" s="603"/>
      <c r="Y293" s="603"/>
      <c r="Z293" s="603"/>
    </row>
    <row r="294" spans="1:26" ht="15.75" customHeight="1" x14ac:dyDescent="0.2">
      <c r="A294" s="603"/>
      <c r="B294" s="603"/>
      <c r="C294" s="603"/>
      <c r="D294" s="603"/>
      <c r="E294" s="603"/>
      <c r="F294" s="603"/>
      <c r="G294" s="603"/>
      <c r="H294" s="603"/>
      <c r="I294" s="603"/>
      <c r="J294" s="603"/>
      <c r="K294" s="449"/>
      <c r="L294" s="603"/>
      <c r="M294" s="603"/>
      <c r="N294" s="603"/>
      <c r="O294" s="603"/>
      <c r="P294" s="603"/>
      <c r="Q294" s="603"/>
      <c r="R294" s="603"/>
      <c r="S294" s="603"/>
      <c r="T294" s="603"/>
      <c r="U294" s="603"/>
      <c r="V294" s="603"/>
      <c r="W294" s="603"/>
      <c r="X294" s="603"/>
      <c r="Y294" s="603"/>
      <c r="Z294" s="603"/>
    </row>
    <row r="295" spans="1:26" ht="15.75" customHeight="1" x14ac:dyDescent="0.2">
      <c r="A295" s="603"/>
      <c r="B295" s="603"/>
      <c r="C295" s="603"/>
      <c r="D295" s="603"/>
      <c r="E295" s="603"/>
      <c r="F295" s="603"/>
      <c r="G295" s="603"/>
      <c r="H295" s="603"/>
      <c r="I295" s="603"/>
      <c r="J295" s="603"/>
      <c r="K295" s="449"/>
      <c r="L295" s="603"/>
      <c r="M295" s="603"/>
      <c r="N295" s="603"/>
      <c r="O295" s="603"/>
      <c r="P295" s="603"/>
      <c r="Q295" s="603"/>
      <c r="R295" s="603"/>
      <c r="S295" s="603"/>
      <c r="T295" s="603"/>
      <c r="U295" s="603"/>
      <c r="V295" s="603"/>
      <c r="W295" s="603"/>
      <c r="X295" s="603"/>
      <c r="Y295" s="603"/>
      <c r="Z295" s="603"/>
    </row>
    <row r="296" spans="1:26" ht="15.75" customHeight="1" x14ac:dyDescent="0.2">
      <c r="A296" s="603"/>
      <c r="B296" s="603"/>
      <c r="C296" s="603"/>
      <c r="D296" s="603"/>
      <c r="E296" s="603"/>
      <c r="F296" s="603"/>
      <c r="G296" s="603"/>
      <c r="H296" s="603"/>
      <c r="I296" s="603"/>
      <c r="J296" s="603"/>
      <c r="K296" s="449"/>
      <c r="L296" s="603"/>
      <c r="M296" s="603"/>
      <c r="N296" s="603"/>
      <c r="O296" s="603"/>
      <c r="P296" s="603"/>
      <c r="Q296" s="603"/>
      <c r="R296" s="603"/>
      <c r="S296" s="603"/>
      <c r="T296" s="603"/>
      <c r="U296" s="603"/>
      <c r="V296" s="603"/>
      <c r="W296" s="603"/>
      <c r="X296" s="603"/>
      <c r="Y296" s="603"/>
      <c r="Z296" s="603"/>
    </row>
    <row r="297" spans="1:26" ht="15.75" customHeight="1" x14ac:dyDescent="0.2">
      <c r="A297" s="603"/>
      <c r="B297" s="603"/>
      <c r="C297" s="603"/>
      <c r="D297" s="603"/>
      <c r="E297" s="603"/>
      <c r="F297" s="603"/>
      <c r="G297" s="603"/>
      <c r="H297" s="603"/>
      <c r="I297" s="603"/>
      <c r="J297" s="603"/>
      <c r="K297" s="449"/>
      <c r="L297" s="603"/>
      <c r="M297" s="603"/>
      <c r="N297" s="603"/>
      <c r="O297" s="603"/>
      <c r="P297" s="603"/>
      <c r="Q297" s="603"/>
      <c r="R297" s="603"/>
      <c r="S297" s="603"/>
      <c r="T297" s="603"/>
      <c r="U297" s="603"/>
      <c r="V297" s="603"/>
      <c r="W297" s="603"/>
      <c r="X297" s="603"/>
      <c r="Y297" s="603"/>
      <c r="Z297" s="603"/>
    </row>
    <row r="298" spans="1:26" ht="15.75" customHeight="1" x14ac:dyDescent="0.2">
      <c r="A298" s="603"/>
      <c r="B298" s="603"/>
      <c r="C298" s="603"/>
      <c r="D298" s="603"/>
      <c r="E298" s="603"/>
      <c r="F298" s="603"/>
      <c r="G298" s="603"/>
      <c r="H298" s="603"/>
      <c r="I298" s="603"/>
      <c r="J298" s="603"/>
      <c r="K298" s="449"/>
      <c r="L298" s="603"/>
      <c r="M298" s="603"/>
      <c r="N298" s="603"/>
      <c r="O298" s="603"/>
      <c r="P298" s="603"/>
      <c r="Q298" s="603"/>
      <c r="R298" s="603"/>
      <c r="S298" s="603"/>
      <c r="T298" s="603"/>
      <c r="U298" s="603"/>
      <c r="V298" s="603"/>
      <c r="W298" s="603"/>
      <c r="X298" s="603"/>
      <c r="Y298" s="603"/>
      <c r="Z298" s="603"/>
    </row>
    <row r="299" spans="1:26" ht="15.75" customHeight="1" x14ac:dyDescent="0.2">
      <c r="A299" s="603"/>
      <c r="B299" s="603"/>
      <c r="C299" s="603"/>
      <c r="D299" s="603"/>
      <c r="E299" s="603"/>
      <c r="F299" s="603"/>
      <c r="G299" s="603"/>
      <c r="H299" s="603"/>
      <c r="I299" s="603"/>
      <c r="J299" s="603"/>
      <c r="K299" s="449"/>
      <c r="L299" s="603"/>
      <c r="M299" s="603"/>
      <c r="N299" s="603"/>
      <c r="O299" s="603"/>
      <c r="P299" s="603"/>
      <c r="Q299" s="603"/>
      <c r="R299" s="603"/>
      <c r="S299" s="603"/>
      <c r="T299" s="603"/>
      <c r="U299" s="603"/>
      <c r="V299" s="603"/>
      <c r="W299" s="603"/>
      <c r="X299" s="603"/>
      <c r="Y299" s="603"/>
      <c r="Z299" s="603"/>
    </row>
    <row r="300" spans="1:26" ht="15.75" customHeight="1" x14ac:dyDescent="0.2">
      <c r="A300" s="603"/>
      <c r="B300" s="603"/>
      <c r="C300" s="603"/>
      <c r="D300" s="603"/>
      <c r="E300" s="603"/>
      <c r="F300" s="603"/>
      <c r="G300" s="603"/>
      <c r="H300" s="603"/>
      <c r="I300" s="603"/>
      <c r="J300" s="603"/>
      <c r="K300" s="449"/>
      <c r="L300" s="603"/>
      <c r="M300" s="603"/>
      <c r="N300" s="603"/>
      <c r="O300" s="603"/>
      <c r="P300" s="603"/>
      <c r="Q300" s="603"/>
      <c r="R300" s="603"/>
      <c r="S300" s="603"/>
      <c r="T300" s="603"/>
      <c r="U300" s="603"/>
      <c r="V300" s="603"/>
      <c r="W300" s="603"/>
      <c r="X300" s="603"/>
      <c r="Y300" s="603"/>
      <c r="Z300" s="603"/>
    </row>
    <row r="301" spans="1:26" ht="15.75" customHeight="1" x14ac:dyDescent="0.2">
      <c r="A301" s="603"/>
      <c r="B301" s="603"/>
      <c r="C301" s="603"/>
      <c r="D301" s="603"/>
      <c r="E301" s="603"/>
      <c r="F301" s="603"/>
      <c r="G301" s="603"/>
      <c r="H301" s="603"/>
      <c r="I301" s="603"/>
      <c r="J301" s="603"/>
      <c r="K301" s="449"/>
      <c r="L301" s="603"/>
      <c r="M301" s="603"/>
      <c r="N301" s="603"/>
      <c r="O301" s="603"/>
      <c r="P301" s="603"/>
      <c r="Q301" s="603"/>
      <c r="R301" s="603"/>
      <c r="S301" s="603"/>
      <c r="T301" s="603"/>
      <c r="U301" s="603"/>
      <c r="V301" s="603"/>
      <c r="W301" s="603"/>
      <c r="X301" s="603"/>
      <c r="Y301" s="603"/>
      <c r="Z301" s="603"/>
    </row>
    <row r="302" spans="1:26" ht="15.75" customHeight="1" x14ac:dyDescent="0.2">
      <c r="A302" s="603"/>
      <c r="B302" s="603"/>
      <c r="C302" s="603"/>
      <c r="D302" s="603"/>
      <c r="E302" s="603"/>
      <c r="F302" s="603"/>
      <c r="G302" s="603"/>
      <c r="H302" s="603"/>
      <c r="I302" s="603"/>
      <c r="J302" s="603"/>
      <c r="K302" s="449"/>
      <c r="L302" s="603"/>
      <c r="M302" s="603"/>
      <c r="N302" s="603"/>
      <c r="O302" s="603"/>
      <c r="P302" s="603"/>
      <c r="Q302" s="603"/>
      <c r="R302" s="603"/>
      <c r="S302" s="603"/>
      <c r="T302" s="603"/>
      <c r="U302" s="603"/>
      <c r="V302" s="603"/>
      <c r="W302" s="603"/>
      <c r="X302" s="603"/>
      <c r="Y302" s="603"/>
      <c r="Z302" s="603"/>
    </row>
    <row r="303" spans="1:26" ht="15.75" customHeight="1" x14ac:dyDescent="0.2">
      <c r="A303" s="603"/>
      <c r="B303" s="603"/>
      <c r="C303" s="603"/>
      <c r="D303" s="603"/>
      <c r="E303" s="603"/>
      <c r="F303" s="603"/>
      <c r="G303" s="603"/>
      <c r="H303" s="603"/>
      <c r="I303" s="603"/>
      <c r="J303" s="603"/>
      <c r="K303" s="449"/>
      <c r="L303" s="603"/>
      <c r="M303" s="603"/>
      <c r="N303" s="603"/>
      <c r="O303" s="603"/>
      <c r="P303" s="603"/>
      <c r="Q303" s="603"/>
      <c r="R303" s="603"/>
      <c r="S303" s="603"/>
      <c r="T303" s="603"/>
      <c r="U303" s="603"/>
      <c r="V303" s="603"/>
      <c r="W303" s="603"/>
      <c r="X303" s="603"/>
      <c r="Y303" s="603"/>
      <c r="Z303" s="603"/>
    </row>
    <row r="304" spans="1:26" ht="15.75" customHeight="1" x14ac:dyDescent="0.2">
      <c r="A304" s="603"/>
      <c r="B304" s="603"/>
      <c r="C304" s="603"/>
      <c r="D304" s="603"/>
      <c r="E304" s="603"/>
      <c r="F304" s="603"/>
      <c r="G304" s="603"/>
      <c r="H304" s="603"/>
      <c r="I304" s="603"/>
      <c r="J304" s="603"/>
      <c r="K304" s="449"/>
      <c r="L304" s="603"/>
      <c r="M304" s="603"/>
      <c r="N304" s="603"/>
      <c r="O304" s="603"/>
      <c r="P304" s="603"/>
      <c r="Q304" s="603"/>
      <c r="R304" s="603"/>
      <c r="S304" s="603"/>
      <c r="T304" s="603"/>
      <c r="U304" s="603"/>
      <c r="V304" s="603"/>
      <c r="W304" s="603"/>
      <c r="X304" s="603"/>
      <c r="Y304" s="603"/>
      <c r="Z304" s="603"/>
    </row>
    <row r="305" spans="1:26" ht="15.75" customHeight="1" x14ac:dyDescent="0.2">
      <c r="A305" s="603"/>
      <c r="B305" s="603"/>
      <c r="C305" s="603"/>
      <c r="D305" s="603"/>
      <c r="E305" s="603"/>
      <c r="F305" s="603"/>
      <c r="G305" s="603"/>
      <c r="H305" s="603"/>
      <c r="I305" s="603"/>
      <c r="J305" s="603"/>
      <c r="K305" s="449"/>
      <c r="L305" s="603"/>
      <c r="M305" s="603"/>
      <c r="N305" s="603"/>
      <c r="O305" s="603"/>
      <c r="P305" s="603"/>
      <c r="Q305" s="603"/>
      <c r="R305" s="603"/>
      <c r="S305" s="603"/>
      <c r="T305" s="603"/>
      <c r="U305" s="603"/>
      <c r="V305" s="603"/>
      <c r="W305" s="603"/>
      <c r="X305" s="603"/>
      <c r="Y305" s="603"/>
      <c r="Z305" s="603"/>
    </row>
    <row r="306" spans="1:26" ht="15.75" customHeight="1" x14ac:dyDescent="0.2">
      <c r="A306" s="603"/>
      <c r="B306" s="603"/>
      <c r="C306" s="603"/>
      <c r="D306" s="603"/>
      <c r="E306" s="603"/>
      <c r="F306" s="603"/>
      <c r="G306" s="603"/>
      <c r="H306" s="603"/>
      <c r="I306" s="603"/>
      <c r="J306" s="603"/>
      <c r="K306" s="449"/>
      <c r="L306" s="603"/>
      <c r="M306" s="603"/>
      <c r="N306" s="603"/>
      <c r="O306" s="603"/>
      <c r="P306" s="603"/>
      <c r="Q306" s="603"/>
      <c r="R306" s="603"/>
      <c r="S306" s="603"/>
      <c r="T306" s="603"/>
      <c r="U306" s="603"/>
      <c r="V306" s="603"/>
      <c r="W306" s="603"/>
      <c r="X306" s="603"/>
      <c r="Y306" s="603"/>
      <c r="Z306" s="603"/>
    </row>
    <row r="307" spans="1:26" ht="15.75" customHeight="1" x14ac:dyDescent="0.2">
      <c r="A307" s="603"/>
      <c r="B307" s="603"/>
      <c r="C307" s="603"/>
      <c r="D307" s="603"/>
      <c r="E307" s="603"/>
      <c r="F307" s="603"/>
      <c r="G307" s="603"/>
      <c r="H307" s="603"/>
      <c r="I307" s="603"/>
      <c r="J307" s="603"/>
      <c r="K307" s="449"/>
      <c r="L307" s="603"/>
      <c r="M307" s="603"/>
      <c r="N307" s="603"/>
      <c r="O307" s="603"/>
      <c r="P307" s="603"/>
      <c r="Q307" s="603"/>
      <c r="R307" s="603"/>
      <c r="S307" s="603"/>
      <c r="T307" s="603"/>
      <c r="U307" s="603"/>
      <c r="V307" s="603"/>
      <c r="W307" s="603"/>
      <c r="X307" s="603"/>
      <c r="Y307" s="603"/>
      <c r="Z307" s="603"/>
    </row>
    <row r="308" spans="1:26" ht="15.75" customHeight="1" x14ac:dyDescent="0.2">
      <c r="A308" s="603"/>
      <c r="B308" s="603"/>
      <c r="C308" s="603"/>
      <c r="D308" s="603"/>
      <c r="E308" s="603"/>
      <c r="F308" s="603"/>
      <c r="G308" s="603"/>
      <c r="H308" s="603"/>
      <c r="I308" s="603"/>
      <c r="J308" s="603"/>
      <c r="K308" s="449"/>
      <c r="L308" s="603"/>
      <c r="M308" s="603"/>
      <c r="N308" s="603"/>
      <c r="O308" s="603"/>
      <c r="P308" s="603"/>
      <c r="Q308" s="603"/>
      <c r="R308" s="603"/>
      <c r="S308" s="603"/>
      <c r="T308" s="603"/>
      <c r="U308" s="603"/>
      <c r="V308" s="603"/>
      <c r="W308" s="603"/>
      <c r="X308" s="603"/>
      <c r="Y308" s="603"/>
      <c r="Z308" s="603"/>
    </row>
    <row r="309" spans="1:26" ht="15.75" customHeight="1" x14ac:dyDescent="0.2">
      <c r="A309" s="603"/>
      <c r="B309" s="603"/>
      <c r="C309" s="603"/>
      <c r="D309" s="603"/>
      <c r="E309" s="603"/>
      <c r="F309" s="603"/>
      <c r="G309" s="603"/>
      <c r="H309" s="603"/>
      <c r="I309" s="603"/>
      <c r="J309" s="603"/>
      <c r="K309" s="449"/>
      <c r="L309" s="603"/>
      <c r="M309" s="603"/>
      <c r="N309" s="603"/>
      <c r="O309" s="603"/>
      <c r="P309" s="603"/>
      <c r="Q309" s="603"/>
      <c r="R309" s="603"/>
      <c r="S309" s="603"/>
      <c r="T309" s="603"/>
      <c r="U309" s="603"/>
      <c r="V309" s="603"/>
      <c r="W309" s="603"/>
      <c r="X309" s="603"/>
      <c r="Y309" s="603"/>
      <c r="Z309" s="603"/>
    </row>
    <row r="310" spans="1:26" ht="15.75" customHeight="1" x14ac:dyDescent="0.2">
      <c r="A310" s="603"/>
      <c r="B310" s="603"/>
      <c r="C310" s="603"/>
      <c r="D310" s="603"/>
      <c r="E310" s="603"/>
      <c r="F310" s="603"/>
      <c r="G310" s="603"/>
      <c r="H310" s="603"/>
      <c r="I310" s="603"/>
      <c r="J310" s="603"/>
      <c r="K310" s="449"/>
      <c r="L310" s="603"/>
      <c r="M310" s="603"/>
      <c r="N310" s="603"/>
      <c r="O310" s="603"/>
      <c r="P310" s="603"/>
      <c r="Q310" s="603"/>
      <c r="R310" s="603"/>
      <c r="S310" s="603"/>
      <c r="T310" s="603"/>
      <c r="U310" s="603"/>
      <c r="V310" s="603"/>
      <c r="W310" s="603"/>
      <c r="X310" s="603"/>
      <c r="Y310" s="603"/>
      <c r="Z310" s="603"/>
    </row>
    <row r="311" spans="1:26" ht="15.75" customHeight="1" x14ac:dyDescent="0.2">
      <c r="A311" s="603"/>
      <c r="B311" s="603"/>
      <c r="C311" s="603"/>
      <c r="D311" s="603"/>
      <c r="E311" s="603"/>
      <c r="F311" s="603"/>
      <c r="G311" s="603"/>
      <c r="H311" s="603"/>
      <c r="I311" s="603"/>
      <c r="J311" s="603"/>
      <c r="K311" s="449"/>
      <c r="L311" s="603"/>
      <c r="M311" s="603"/>
      <c r="N311" s="603"/>
      <c r="O311" s="603"/>
      <c r="P311" s="603"/>
      <c r="Q311" s="603"/>
      <c r="R311" s="603"/>
      <c r="S311" s="603"/>
      <c r="T311" s="603"/>
      <c r="U311" s="603"/>
      <c r="V311" s="603"/>
      <c r="W311" s="603"/>
      <c r="X311" s="603"/>
      <c r="Y311" s="603"/>
      <c r="Z311" s="603"/>
    </row>
    <row r="312" spans="1:26" ht="15.75" customHeight="1" x14ac:dyDescent="0.2">
      <c r="A312" s="603"/>
      <c r="B312" s="603"/>
      <c r="C312" s="603"/>
      <c r="D312" s="603"/>
      <c r="E312" s="603"/>
      <c r="F312" s="603"/>
      <c r="G312" s="603"/>
      <c r="H312" s="603"/>
      <c r="I312" s="603"/>
      <c r="J312" s="603"/>
      <c r="K312" s="449"/>
      <c r="L312" s="603"/>
      <c r="M312" s="603"/>
      <c r="N312" s="603"/>
      <c r="O312" s="603"/>
      <c r="P312" s="603"/>
      <c r="Q312" s="603"/>
      <c r="R312" s="603"/>
      <c r="S312" s="603"/>
      <c r="T312" s="603"/>
      <c r="U312" s="603"/>
      <c r="V312" s="603"/>
      <c r="W312" s="603"/>
      <c r="X312" s="603"/>
      <c r="Y312" s="603"/>
      <c r="Z312" s="603"/>
    </row>
    <row r="313" spans="1:26" ht="15.75" customHeight="1" x14ac:dyDescent="0.2">
      <c r="A313" s="603"/>
      <c r="B313" s="603"/>
      <c r="C313" s="603"/>
      <c r="D313" s="603"/>
      <c r="E313" s="603"/>
      <c r="F313" s="603"/>
      <c r="G313" s="603"/>
      <c r="H313" s="603"/>
      <c r="I313" s="603"/>
      <c r="J313" s="603"/>
      <c r="K313" s="449"/>
      <c r="L313" s="603"/>
      <c r="M313" s="603"/>
      <c r="N313" s="603"/>
      <c r="O313" s="603"/>
      <c r="P313" s="603"/>
      <c r="Q313" s="603"/>
      <c r="R313" s="603"/>
      <c r="S313" s="603"/>
      <c r="T313" s="603"/>
      <c r="U313" s="603"/>
      <c r="V313" s="603"/>
      <c r="W313" s="603"/>
      <c r="X313" s="603"/>
      <c r="Y313" s="603"/>
      <c r="Z313" s="603"/>
    </row>
    <row r="314" spans="1:26" ht="15.75" customHeight="1" x14ac:dyDescent="0.2">
      <c r="A314" s="603"/>
      <c r="B314" s="603"/>
      <c r="C314" s="603"/>
      <c r="D314" s="603"/>
      <c r="E314" s="603"/>
      <c r="F314" s="603"/>
      <c r="G314" s="603"/>
      <c r="H314" s="603"/>
      <c r="I314" s="603"/>
      <c r="J314" s="603"/>
      <c r="K314" s="449"/>
      <c r="L314" s="603"/>
      <c r="M314" s="603"/>
      <c r="N314" s="603"/>
      <c r="O314" s="603"/>
      <c r="P314" s="603"/>
      <c r="Q314" s="603"/>
      <c r="R314" s="603"/>
      <c r="S314" s="603"/>
      <c r="T314" s="603"/>
      <c r="U314" s="603"/>
      <c r="V314" s="603"/>
      <c r="W314" s="603"/>
      <c r="X314" s="603"/>
      <c r="Y314" s="603"/>
      <c r="Z314" s="603"/>
    </row>
    <row r="315" spans="1:26" ht="15.75" customHeight="1" x14ac:dyDescent="0.2">
      <c r="A315" s="603"/>
      <c r="B315" s="603"/>
      <c r="C315" s="603"/>
      <c r="D315" s="603"/>
      <c r="E315" s="603"/>
      <c r="F315" s="603"/>
      <c r="G315" s="603"/>
      <c r="H315" s="603"/>
      <c r="I315" s="603"/>
      <c r="J315" s="603"/>
      <c r="K315" s="449"/>
      <c r="L315" s="603"/>
      <c r="M315" s="603"/>
      <c r="N315" s="603"/>
      <c r="O315" s="603"/>
      <c r="P315" s="603"/>
      <c r="Q315" s="603"/>
      <c r="R315" s="603"/>
      <c r="S315" s="603"/>
      <c r="T315" s="603"/>
      <c r="U315" s="603"/>
      <c r="V315" s="603"/>
      <c r="W315" s="603"/>
      <c r="X315" s="603"/>
      <c r="Y315" s="603"/>
      <c r="Z315" s="603"/>
    </row>
    <row r="316" spans="1:26" ht="15.75" customHeight="1" x14ac:dyDescent="0.2">
      <c r="A316" s="603"/>
      <c r="B316" s="603"/>
      <c r="C316" s="603"/>
      <c r="D316" s="603"/>
      <c r="E316" s="603"/>
      <c r="F316" s="603"/>
      <c r="G316" s="603"/>
      <c r="H316" s="603"/>
      <c r="I316" s="603"/>
      <c r="J316" s="603"/>
      <c r="K316" s="449"/>
      <c r="L316" s="603"/>
      <c r="M316" s="603"/>
      <c r="N316" s="603"/>
      <c r="O316" s="603"/>
      <c r="P316" s="603"/>
      <c r="Q316" s="603"/>
      <c r="R316" s="603"/>
      <c r="S316" s="603"/>
      <c r="T316" s="603"/>
      <c r="U316" s="603"/>
      <c r="V316" s="603"/>
      <c r="W316" s="603"/>
      <c r="X316" s="603"/>
      <c r="Y316" s="603"/>
      <c r="Z316" s="603"/>
    </row>
    <row r="317" spans="1:26" ht="15.75" customHeight="1" x14ac:dyDescent="0.2">
      <c r="A317" s="603"/>
      <c r="B317" s="603"/>
      <c r="C317" s="603"/>
      <c r="D317" s="603"/>
      <c r="E317" s="603"/>
      <c r="F317" s="603"/>
      <c r="G317" s="603"/>
      <c r="H317" s="603"/>
      <c r="I317" s="603"/>
      <c r="J317" s="603"/>
      <c r="K317" s="449"/>
      <c r="L317" s="603"/>
      <c r="M317" s="603"/>
      <c r="N317" s="603"/>
      <c r="O317" s="603"/>
      <c r="P317" s="603"/>
      <c r="Q317" s="603"/>
      <c r="R317" s="603"/>
      <c r="S317" s="603"/>
      <c r="T317" s="603"/>
      <c r="U317" s="603"/>
      <c r="V317" s="603"/>
      <c r="W317" s="603"/>
      <c r="X317" s="603"/>
      <c r="Y317" s="603"/>
      <c r="Z317" s="603"/>
    </row>
    <row r="318" spans="1:26" ht="15.75" customHeight="1" x14ac:dyDescent="0.2">
      <c r="A318" s="603"/>
      <c r="B318" s="603"/>
      <c r="C318" s="603"/>
      <c r="D318" s="603"/>
      <c r="E318" s="603"/>
      <c r="F318" s="603"/>
      <c r="G318" s="603"/>
      <c r="H318" s="603"/>
      <c r="I318" s="603"/>
      <c r="J318" s="603"/>
      <c r="K318" s="449"/>
      <c r="L318" s="603"/>
      <c r="M318" s="603"/>
      <c r="N318" s="603"/>
      <c r="O318" s="603"/>
      <c r="P318" s="603"/>
      <c r="Q318" s="603"/>
      <c r="R318" s="603"/>
      <c r="S318" s="603"/>
      <c r="T318" s="603"/>
      <c r="U318" s="603"/>
      <c r="V318" s="603"/>
      <c r="W318" s="603"/>
      <c r="X318" s="603"/>
      <c r="Y318" s="603"/>
      <c r="Z318" s="603"/>
    </row>
    <row r="319" spans="1:26" ht="15.75" customHeight="1" x14ac:dyDescent="0.2">
      <c r="A319" s="603"/>
      <c r="B319" s="603"/>
      <c r="C319" s="603"/>
      <c r="D319" s="603"/>
      <c r="E319" s="603"/>
      <c r="F319" s="603"/>
      <c r="G319" s="603"/>
      <c r="H319" s="603"/>
      <c r="I319" s="603"/>
      <c r="J319" s="603"/>
      <c r="K319" s="449"/>
      <c r="L319" s="603"/>
      <c r="M319" s="603"/>
      <c r="N319" s="603"/>
      <c r="O319" s="603"/>
      <c r="P319" s="603"/>
      <c r="Q319" s="603"/>
      <c r="R319" s="603"/>
      <c r="S319" s="603"/>
      <c r="T319" s="603"/>
      <c r="U319" s="603"/>
      <c r="V319" s="603"/>
      <c r="W319" s="603"/>
      <c r="X319" s="603"/>
      <c r="Y319" s="603"/>
      <c r="Z319" s="603"/>
    </row>
    <row r="320" spans="1:26" ht="15.75" customHeight="1" x14ac:dyDescent="0.2">
      <c r="A320" s="603"/>
      <c r="B320" s="603"/>
      <c r="C320" s="603"/>
      <c r="D320" s="603"/>
      <c r="E320" s="603"/>
      <c r="F320" s="603"/>
      <c r="G320" s="603"/>
      <c r="H320" s="603"/>
      <c r="I320" s="603"/>
      <c r="J320" s="603"/>
      <c r="K320" s="449"/>
      <c r="L320" s="603"/>
      <c r="M320" s="603"/>
      <c r="N320" s="603"/>
      <c r="O320" s="603"/>
      <c r="P320" s="603"/>
      <c r="Q320" s="603"/>
      <c r="R320" s="603"/>
      <c r="S320" s="603"/>
      <c r="T320" s="603"/>
      <c r="U320" s="603"/>
      <c r="V320" s="603"/>
      <c r="W320" s="603"/>
      <c r="X320" s="603"/>
      <c r="Y320" s="603"/>
      <c r="Z320" s="603"/>
    </row>
    <row r="321" spans="1:26" ht="15.75" customHeight="1" x14ac:dyDescent="0.2">
      <c r="A321" s="603"/>
      <c r="B321" s="603"/>
      <c r="C321" s="603"/>
      <c r="D321" s="603"/>
      <c r="E321" s="603"/>
      <c r="F321" s="603"/>
      <c r="G321" s="603"/>
      <c r="H321" s="603"/>
      <c r="I321" s="603"/>
      <c r="J321" s="603"/>
      <c r="K321" s="449"/>
      <c r="L321" s="603"/>
      <c r="M321" s="603"/>
      <c r="N321" s="603"/>
      <c r="O321" s="603"/>
      <c r="P321" s="603"/>
      <c r="Q321" s="603"/>
      <c r="R321" s="603"/>
      <c r="S321" s="603"/>
      <c r="T321" s="603"/>
      <c r="U321" s="603"/>
      <c r="V321" s="603"/>
      <c r="W321" s="603"/>
      <c r="X321" s="603"/>
      <c r="Y321" s="603"/>
      <c r="Z321" s="603"/>
    </row>
    <row r="322" spans="1:26" ht="15.75" customHeight="1" x14ac:dyDescent="0.2">
      <c r="A322" s="603"/>
      <c r="B322" s="603"/>
      <c r="C322" s="603"/>
      <c r="D322" s="603"/>
      <c r="E322" s="603"/>
      <c r="F322" s="603"/>
      <c r="G322" s="603"/>
      <c r="H322" s="603"/>
      <c r="I322" s="603"/>
      <c r="J322" s="603"/>
      <c r="K322" s="449"/>
      <c r="L322" s="603"/>
      <c r="M322" s="603"/>
      <c r="N322" s="603"/>
      <c r="O322" s="603"/>
      <c r="P322" s="603"/>
      <c r="Q322" s="603"/>
      <c r="R322" s="603"/>
      <c r="S322" s="603"/>
      <c r="T322" s="603"/>
      <c r="U322" s="603"/>
      <c r="V322" s="603"/>
      <c r="W322" s="603"/>
      <c r="X322" s="603"/>
      <c r="Y322" s="603"/>
      <c r="Z322" s="603"/>
    </row>
    <row r="323" spans="1:26" ht="15.75" customHeight="1" x14ac:dyDescent="0.2">
      <c r="A323" s="603"/>
      <c r="B323" s="603"/>
      <c r="C323" s="603"/>
      <c r="D323" s="603"/>
      <c r="E323" s="603"/>
      <c r="F323" s="603"/>
      <c r="G323" s="603"/>
      <c r="H323" s="603"/>
      <c r="I323" s="603"/>
      <c r="J323" s="603"/>
      <c r="K323" s="449"/>
      <c r="L323" s="603"/>
      <c r="M323" s="603"/>
      <c r="N323" s="603"/>
      <c r="O323" s="603"/>
      <c r="P323" s="603"/>
      <c r="Q323" s="603"/>
      <c r="R323" s="603"/>
      <c r="S323" s="603"/>
      <c r="T323" s="603"/>
      <c r="U323" s="603"/>
      <c r="V323" s="603"/>
      <c r="W323" s="603"/>
      <c r="X323" s="603"/>
      <c r="Y323" s="603"/>
      <c r="Z323" s="603"/>
    </row>
    <row r="324" spans="1:26" ht="15.75" customHeight="1" x14ac:dyDescent="0.2">
      <c r="A324" s="603"/>
      <c r="B324" s="603"/>
      <c r="C324" s="603"/>
      <c r="D324" s="603"/>
      <c r="E324" s="603"/>
      <c r="F324" s="603"/>
      <c r="G324" s="603"/>
      <c r="H324" s="603"/>
      <c r="I324" s="603"/>
      <c r="J324" s="603"/>
      <c r="K324" s="449"/>
      <c r="L324" s="603"/>
      <c r="M324" s="603"/>
      <c r="N324" s="603"/>
      <c r="O324" s="603"/>
      <c r="P324" s="603"/>
      <c r="Q324" s="603"/>
      <c r="R324" s="603"/>
      <c r="S324" s="603"/>
      <c r="T324" s="603"/>
      <c r="U324" s="603"/>
      <c r="V324" s="603"/>
      <c r="W324" s="603"/>
      <c r="X324" s="603"/>
      <c r="Y324" s="603"/>
      <c r="Z324" s="603"/>
    </row>
    <row r="325" spans="1:26" ht="15.75" customHeight="1" x14ac:dyDescent="0.2">
      <c r="A325" s="603"/>
      <c r="B325" s="603"/>
      <c r="C325" s="603"/>
      <c r="D325" s="603"/>
      <c r="E325" s="603"/>
      <c r="F325" s="603"/>
      <c r="G325" s="603"/>
      <c r="H325" s="603"/>
      <c r="I325" s="603"/>
      <c r="J325" s="603"/>
      <c r="K325" s="449"/>
      <c r="L325" s="603"/>
      <c r="M325" s="603"/>
      <c r="N325" s="603"/>
      <c r="O325" s="603"/>
      <c r="P325" s="603"/>
      <c r="Q325" s="603"/>
      <c r="R325" s="603"/>
      <c r="S325" s="603"/>
      <c r="T325" s="603"/>
      <c r="U325" s="603"/>
      <c r="V325" s="603"/>
      <c r="W325" s="603"/>
      <c r="X325" s="603"/>
      <c r="Y325" s="603"/>
      <c r="Z325" s="603"/>
    </row>
    <row r="326" spans="1:26" ht="15.75" customHeight="1" x14ac:dyDescent="0.2">
      <c r="A326" s="603"/>
      <c r="B326" s="603"/>
      <c r="C326" s="603"/>
      <c r="D326" s="603"/>
      <c r="E326" s="603"/>
      <c r="F326" s="603"/>
      <c r="G326" s="603"/>
      <c r="H326" s="603"/>
      <c r="I326" s="603"/>
      <c r="J326" s="603"/>
      <c r="K326" s="449"/>
      <c r="L326" s="603"/>
      <c r="M326" s="603"/>
      <c r="N326" s="603"/>
      <c r="O326" s="603"/>
      <c r="P326" s="603"/>
      <c r="Q326" s="603"/>
      <c r="R326" s="603"/>
      <c r="S326" s="603"/>
      <c r="T326" s="603"/>
      <c r="U326" s="603"/>
      <c r="V326" s="603"/>
      <c r="W326" s="603"/>
      <c r="X326" s="603"/>
      <c r="Y326" s="603"/>
      <c r="Z326" s="603"/>
    </row>
    <row r="327" spans="1:26" ht="15.75" customHeight="1" x14ac:dyDescent="0.2">
      <c r="A327" s="603"/>
      <c r="B327" s="603"/>
      <c r="C327" s="603"/>
      <c r="D327" s="603"/>
      <c r="E327" s="603"/>
      <c r="F327" s="603"/>
      <c r="G327" s="603"/>
      <c r="H327" s="603"/>
      <c r="I327" s="603"/>
      <c r="J327" s="603"/>
      <c r="K327" s="449"/>
      <c r="L327" s="603"/>
      <c r="M327" s="603"/>
      <c r="N327" s="603"/>
      <c r="O327" s="603"/>
      <c r="P327" s="603"/>
      <c r="Q327" s="603"/>
      <c r="R327" s="603"/>
      <c r="S327" s="603"/>
      <c r="T327" s="603"/>
      <c r="U327" s="603"/>
      <c r="V327" s="603"/>
      <c r="W327" s="603"/>
      <c r="X327" s="603"/>
      <c r="Y327" s="603"/>
      <c r="Z327" s="603"/>
    </row>
    <row r="328" spans="1:26" ht="15.75" customHeight="1" x14ac:dyDescent="0.2">
      <c r="A328" s="603"/>
      <c r="B328" s="603"/>
      <c r="C328" s="603"/>
      <c r="D328" s="603"/>
      <c r="E328" s="603"/>
      <c r="F328" s="603"/>
      <c r="G328" s="603"/>
      <c r="H328" s="603"/>
      <c r="I328" s="603"/>
      <c r="J328" s="603"/>
      <c r="K328" s="449"/>
      <c r="L328" s="603"/>
      <c r="M328" s="603"/>
      <c r="N328" s="603"/>
      <c r="O328" s="603"/>
      <c r="P328" s="603"/>
      <c r="Q328" s="603"/>
      <c r="R328" s="603"/>
      <c r="S328" s="603"/>
      <c r="T328" s="603"/>
      <c r="U328" s="603"/>
      <c r="V328" s="603"/>
      <c r="W328" s="603"/>
      <c r="X328" s="603"/>
      <c r="Y328" s="603"/>
      <c r="Z328" s="603"/>
    </row>
    <row r="329" spans="1:26" ht="15.75" customHeight="1" x14ac:dyDescent="0.2">
      <c r="A329" s="603"/>
      <c r="B329" s="603"/>
      <c r="C329" s="603"/>
      <c r="D329" s="603"/>
      <c r="E329" s="603"/>
      <c r="F329" s="603"/>
      <c r="G329" s="603"/>
      <c r="H329" s="603"/>
      <c r="I329" s="603"/>
      <c r="J329" s="603"/>
      <c r="K329" s="449"/>
      <c r="L329" s="603"/>
      <c r="M329" s="603"/>
      <c r="N329" s="603"/>
      <c r="O329" s="603"/>
      <c r="P329" s="603"/>
      <c r="Q329" s="603"/>
      <c r="R329" s="603"/>
      <c r="S329" s="603"/>
      <c r="T329" s="603"/>
      <c r="U329" s="603"/>
      <c r="V329" s="603"/>
      <c r="W329" s="603"/>
      <c r="X329" s="603"/>
      <c r="Y329" s="603"/>
      <c r="Z329" s="603"/>
    </row>
    <row r="330" spans="1:26" ht="15.75" customHeight="1" x14ac:dyDescent="0.2">
      <c r="A330" s="603"/>
      <c r="B330" s="603"/>
      <c r="C330" s="603"/>
      <c r="D330" s="603"/>
      <c r="E330" s="603"/>
      <c r="F330" s="603"/>
      <c r="G330" s="603"/>
      <c r="H330" s="603"/>
      <c r="I330" s="603"/>
      <c r="J330" s="603"/>
      <c r="K330" s="449"/>
      <c r="L330" s="603"/>
      <c r="M330" s="603"/>
      <c r="N330" s="603"/>
      <c r="O330" s="603"/>
      <c r="P330" s="603"/>
      <c r="Q330" s="603"/>
      <c r="R330" s="603"/>
      <c r="S330" s="603"/>
      <c r="T330" s="603"/>
      <c r="U330" s="603"/>
      <c r="V330" s="603"/>
      <c r="W330" s="603"/>
      <c r="X330" s="603"/>
      <c r="Y330" s="603"/>
      <c r="Z330" s="603"/>
    </row>
    <row r="331" spans="1:26" ht="15.75" customHeight="1" x14ac:dyDescent="0.2">
      <c r="A331" s="603"/>
      <c r="B331" s="603"/>
      <c r="C331" s="603"/>
      <c r="D331" s="603"/>
      <c r="E331" s="603"/>
      <c r="F331" s="603"/>
      <c r="G331" s="603"/>
      <c r="H331" s="603"/>
      <c r="I331" s="603"/>
      <c r="J331" s="603"/>
      <c r="K331" s="449"/>
      <c r="L331" s="603"/>
      <c r="M331" s="603"/>
      <c r="N331" s="603"/>
      <c r="O331" s="603"/>
      <c r="P331" s="603"/>
      <c r="Q331" s="603"/>
      <c r="R331" s="603"/>
      <c r="S331" s="603"/>
      <c r="T331" s="603"/>
      <c r="U331" s="603"/>
      <c r="V331" s="603"/>
      <c r="W331" s="603"/>
      <c r="X331" s="603"/>
      <c r="Y331" s="603"/>
      <c r="Z331" s="603"/>
    </row>
    <row r="332" spans="1:26" ht="15.75" customHeight="1" x14ac:dyDescent="0.2">
      <c r="A332" s="603"/>
      <c r="B332" s="603"/>
      <c r="C332" s="603"/>
      <c r="D332" s="603"/>
      <c r="E332" s="603"/>
      <c r="F332" s="603"/>
      <c r="G332" s="603"/>
      <c r="H332" s="603"/>
      <c r="I332" s="603"/>
      <c r="J332" s="603"/>
      <c r="K332" s="449"/>
      <c r="L332" s="603"/>
      <c r="M332" s="603"/>
      <c r="N332" s="603"/>
      <c r="O332" s="603"/>
      <c r="P332" s="603"/>
      <c r="Q332" s="603"/>
      <c r="R332" s="603"/>
      <c r="S332" s="603"/>
      <c r="T332" s="603"/>
      <c r="U332" s="603"/>
      <c r="V332" s="603"/>
      <c r="W332" s="603"/>
      <c r="X332" s="603"/>
      <c r="Y332" s="603"/>
      <c r="Z332" s="603"/>
    </row>
    <row r="333" spans="1:26" ht="15.75" customHeight="1" x14ac:dyDescent="0.2">
      <c r="A333" s="603"/>
      <c r="B333" s="603"/>
      <c r="C333" s="603"/>
      <c r="D333" s="603"/>
      <c r="E333" s="603"/>
      <c r="F333" s="603"/>
      <c r="G333" s="603"/>
      <c r="H333" s="603"/>
      <c r="I333" s="603"/>
      <c r="J333" s="603"/>
      <c r="K333" s="449"/>
      <c r="L333" s="603"/>
      <c r="M333" s="603"/>
      <c r="N333" s="603"/>
      <c r="O333" s="603"/>
      <c r="P333" s="603"/>
      <c r="Q333" s="603"/>
      <c r="R333" s="603"/>
      <c r="S333" s="603"/>
      <c r="T333" s="603"/>
      <c r="U333" s="603"/>
      <c r="V333" s="603"/>
      <c r="W333" s="603"/>
      <c r="X333" s="603"/>
      <c r="Y333" s="603"/>
      <c r="Z333" s="603"/>
    </row>
    <row r="334" spans="1:26" ht="15.75" customHeight="1" x14ac:dyDescent="0.2">
      <c r="A334" s="603"/>
      <c r="B334" s="603"/>
      <c r="C334" s="603"/>
      <c r="D334" s="603"/>
      <c r="E334" s="603"/>
      <c r="F334" s="603"/>
      <c r="G334" s="603"/>
      <c r="H334" s="603"/>
      <c r="I334" s="603"/>
      <c r="J334" s="603"/>
      <c r="K334" s="449"/>
      <c r="L334" s="603"/>
      <c r="M334" s="603"/>
      <c r="N334" s="603"/>
      <c r="O334" s="603"/>
      <c r="P334" s="603"/>
      <c r="Q334" s="603"/>
      <c r="R334" s="603"/>
      <c r="S334" s="603"/>
      <c r="T334" s="603"/>
      <c r="U334" s="603"/>
      <c r="V334" s="603"/>
      <c r="W334" s="603"/>
      <c r="X334" s="603"/>
      <c r="Y334" s="603"/>
      <c r="Z334" s="603"/>
    </row>
    <row r="335" spans="1:26" ht="15.75" customHeight="1" x14ac:dyDescent="0.2">
      <c r="A335" s="603"/>
      <c r="B335" s="603"/>
      <c r="C335" s="603"/>
      <c r="D335" s="603"/>
      <c r="E335" s="603"/>
      <c r="F335" s="603"/>
      <c r="G335" s="603"/>
      <c r="H335" s="603"/>
      <c r="I335" s="603"/>
      <c r="J335" s="603"/>
      <c r="K335" s="449"/>
      <c r="L335" s="603"/>
      <c r="M335" s="603"/>
      <c r="N335" s="603"/>
      <c r="O335" s="603"/>
      <c r="P335" s="603"/>
      <c r="Q335" s="603"/>
      <c r="R335" s="603"/>
      <c r="S335" s="603"/>
      <c r="T335" s="603"/>
      <c r="U335" s="603"/>
      <c r="V335" s="603"/>
      <c r="W335" s="603"/>
      <c r="X335" s="603"/>
      <c r="Y335" s="603"/>
      <c r="Z335" s="603"/>
    </row>
    <row r="336" spans="1:26" ht="15.75" customHeight="1" x14ac:dyDescent="0.2">
      <c r="A336" s="603"/>
      <c r="B336" s="603"/>
      <c r="C336" s="603"/>
      <c r="D336" s="603"/>
      <c r="E336" s="603"/>
      <c r="F336" s="603"/>
      <c r="G336" s="603"/>
      <c r="H336" s="603"/>
      <c r="I336" s="603"/>
      <c r="J336" s="603"/>
      <c r="K336" s="449"/>
      <c r="L336" s="603"/>
      <c r="M336" s="603"/>
      <c r="N336" s="603"/>
      <c r="O336" s="603"/>
      <c r="P336" s="603"/>
      <c r="Q336" s="603"/>
      <c r="R336" s="603"/>
      <c r="S336" s="603"/>
      <c r="T336" s="603"/>
      <c r="U336" s="603"/>
      <c r="V336" s="603"/>
      <c r="W336" s="603"/>
      <c r="X336" s="603"/>
      <c r="Y336" s="603"/>
      <c r="Z336" s="603"/>
    </row>
    <row r="337" spans="1:26" ht="15.75" customHeight="1" x14ac:dyDescent="0.2">
      <c r="A337" s="603"/>
      <c r="B337" s="603"/>
      <c r="C337" s="603"/>
      <c r="D337" s="603"/>
      <c r="E337" s="603"/>
      <c r="F337" s="603"/>
      <c r="G337" s="603"/>
      <c r="H337" s="603"/>
      <c r="I337" s="603"/>
      <c r="J337" s="603"/>
      <c r="K337" s="449"/>
      <c r="L337" s="603"/>
      <c r="M337" s="603"/>
      <c r="N337" s="603"/>
      <c r="O337" s="603"/>
      <c r="P337" s="603"/>
      <c r="Q337" s="603"/>
      <c r="R337" s="603"/>
      <c r="S337" s="603"/>
      <c r="T337" s="603"/>
      <c r="U337" s="603"/>
      <c r="V337" s="603"/>
      <c r="W337" s="603"/>
      <c r="X337" s="603"/>
      <c r="Y337" s="603"/>
      <c r="Z337" s="603"/>
    </row>
    <row r="338" spans="1:26" ht="15.75" customHeight="1" x14ac:dyDescent="0.2">
      <c r="A338" s="603"/>
      <c r="B338" s="603"/>
      <c r="C338" s="603"/>
      <c r="D338" s="603"/>
      <c r="E338" s="603"/>
      <c r="F338" s="603"/>
      <c r="G338" s="603"/>
      <c r="H338" s="603"/>
      <c r="I338" s="603"/>
      <c r="J338" s="603"/>
      <c r="K338" s="449"/>
      <c r="L338" s="603"/>
      <c r="M338" s="603"/>
      <c r="N338" s="603"/>
      <c r="O338" s="603"/>
      <c r="P338" s="603"/>
      <c r="Q338" s="603"/>
      <c r="R338" s="603"/>
      <c r="S338" s="603"/>
      <c r="T338" s="603"/>
      <c r="U338" s="603"/>
      <c r="V338" s="603"/>
      <c r="W338" s="603"/>
      <c r="X338" s="603"/>
      <c r="Y338" s="603"/>
      <c r="Z338" s="603"/>
    </row>
    <row r="339" spans="1:26" ht="15.75" customHeight="1" x14ac:dyDescent="0.2">
      <c r="A339" s="603"/>
      <c r="B339" s="603"/>
      <c r="C339" s="603"/>
      <c r="D339" s="603"/>
      <c r="E339" s="603"/>
      <c r="F339" s="603"/>
      <c r="G339" s="603"/>
      <c r="H339" s="603"/>
      <c r="I339" s="603"/>
      <c r="J339" s="603"/>
      <c r="K339" s="449"/>
      <c r="L339" s="603"/>
      <c r="M339" s="603"/>
      <c r="N339" s="603"/>
      <c r="O339" s="603"/>
      <c r="P339" s="603"/>
      <c r="Q339" s="603"/>
      <c r="R339" s="603"/>
      <c r="S339" s="603"/>
      <c r="T339" s="603"/>
      <c r="U339" s="603"/>
      <c r="V339" s="603"/>
      <c r="W339" s="603"/>
      <c r="X339" s="603"/>
      <c r="Y339" s="603"/>
      <c r="Z339" s="603"/>
    </row>
    <row r="340" spans="1:26" ht="15.75" customHeight="1" x14ac:dyDescent="0.2">
      <c r="A340" s="603"/>
      <c r="B340" s="603"/>
      <c r="C340" s="603"/>
      <c r="D340" s="603"/>
      <c r="E340" s="603"/>
      <c r="F340" s="603"/>
      <c r="G340" s="603"/>
      <c r="H340" s="603"/>
      <c r="I340" s="603"/>
      <c r="J340" s="603"/>
      <c r="K340" s="449"/>
      <c r="L340" s="603"/>
      <c r="M340" s="603"/>
      <c r="N340" s="603"/>
      <c r="O340" s="603"/>
      <c r="P340" s="603"/>
      <c r="Q340" s="603"/>
      <c r="R340" s="603"/>
      <c r="S340" s="603"/>
      <c r="T340" s="603"/>
      <c r="U340" s="603"/>
      <c r="V340" s="603"/>
      <c r="W340" s="603"/>
      <c r="X340" s="603"/>
      <c r="Y340" s="603"/>
      <c r="Z340" s="603"/>
    </row>
    <row r="341" spans="1:26" ht="15.75" customHeight="1" x14ac:dyDescent="0.2">
      <c r="A341" s="603"/>
      <c r="B341" s="603"/>
      <c r="C341" s="603"/>
      <c r="D341" s="603"/>
      <c r="E341" s="603"/>
      <c r="F341" s="603"/>
      <c r="G341" s="603"/>
      <c r="H341" s="603"/>
      <c r="I341" s="603"/>
      <c r="J341" s="603"/>
      <c r="K341" s="449"/>
      <c r="L341" s="603"/>
      <c r="M341" s="603"/>
      <c r="N341" s="603"/>
      <c r="O341" s="603"/>
      <c r="P341" s="603"/>
      <c r="Q341" s="603"/>
      <c r="R341" s="603"/>
      <c r="S341" s="603"/>
      <c r="T341" s="603"/>
      <c r="U341" s="603"/>
      <c r="V341" s="603"/>
      <c r="W341" s="603"/>
      <c r="X341" s="603"/>
      <c r="Y341" s="603"/>
      <c r="Z341" s="603"/>
    </row>
    <row r="342" spans="1:26" ht="15.75" customHeight="1" x14ac:dyDescent="0.2">
      <c r="A342" s="603"/>
      <c r="B342" s="603"/>
      <c r="C342" s="603"/>
      <c r="D342" s="603"/>
      <c r="E342" s="603"/>
      <c r="F342" s="603"/>
      <c r="G342" s="603"/>
      <c r="H342" s="603"/>
      <c r="I342" s="603"/>
      <c r="J342" s="603"/>
      <c r="K342" s="449"/>
      <c r="L342" s="603"/>
      <c r="M342" s="603"/>
      <c r="N342" s="603"/>
      <c r="O342" s="603"/>
      <c r="P342" s="603"/>
      <c r="Q342" s="603"/>
      <c r="R342" s="603"/>
      <c r="S342" s="603"/>
      <c r="T342" s="603"/>
      <c r="U342" s="603"/>
      <c r="V342" s="603"/>
      <c r="W342" s="603"/>
      <c r="X342" s="603"/>
      <c r="Y342" s="603"/>
      <c r="Z342" s="603"/>
    </row>
    <row r="343" spans="1:26" ht="15.75" customHeight="1" x14ac:dyDescent="0.2">
      <c r="A343" s="603"/>
      <c r="B343" s="603"/>
      <c r="C343" s="603"/>
      <c r="D343" s="603"/>
      <c r="E343" s="603"/>
      <c r="F343" s="603"/>
      <c r="G343" s="603"/>
      <c r="H343" s="603"/>
      <c r="I343" s="603"/>
      <c r="J343" s="603"/>
      <c r="K343" s="449"/>
      <c r="L343" s="603"/>
      <c r="M343" s="603"/>
      <c r="N343" s="603"/>
      <c r="O343" s="603"/>
      <c r="P343" s="603"/>
      <c r="Q343" s="603"/>
      <c r="R343" s="603"/>
      <c r="S343" s="603"/>
      <c r="T343" s="603"/>
      <c r="U343" s="603"/>
      <c r="V343" s="603"/>
      <c r="W343" s="603"/>
      <c r="X343" s="603"/>
      <c r="Y343" s="603"/>
      <c r="Z343" s="603"/>
    </row>
    <row r="344" spans="1:26" ht="15.75" customHeight="1" x14ac:dyDescent="0.2">
      <c r="A344" s="603"/>
      <c r="B344" s="603"/>
      <c r="C344" s="603"/>
      <c r="D344" s="603"/>
      <c r="E344" s="603"/>
      <c r="F344" s="603"/>
      <c r="G344" s="603"/>
      <c r="H344" s="603"/>
      <c r="I344" s="603"/>
      <c r="J344" s="603"/>
      <c r="K344" s="449"/>
      <c r="L344" s="603"/>
      <c r="M344" s="603"/>
      <c r="N344" s="603"/>
      <c r="O344" s="603"/>
      <c r="P344" s="603"/>
      <c r="Q344" s="603"/>
      <c r="R344" s="603"/>
      <c r="S344" s="603"/>
      <c r="T344" s="603"/>
      <c r="U344" s="603"/>
      <c r="V344" s="603"/>
      <c r="W344" s="603"/>
      <c r="X344" s="603"/>
      <c r="Y344" s="603"/>
      <c r="Z344" s="603"/>
    </row>
    <row r="345" spans="1:26" ht="15.75" customHeight="1" x14ac:dyDescent="0.2">
      <c r="A345" s="603"/>
      <c r="B345" s="603"/>
      <c r="C345" s="603"/>
      <c r="D345" s="603"/>
      <c r="E345" s="603"/>
      <c r="F345" s="603"/>
      <c r="G345" s="603"/>
      <c r="H345" s="603"/>
      <c r="I345" s="603"/>
      <c r="J345" s="603"/>
      <c r="K345" s="449"/>
      <c r="L345" s="603"/>
      <c r="M345" s="603"/>
      <c r="N345" s="603"/>
      <c r="O345" s="603"/>
      <c r="P345" s="603"/>
      <c r="Q345" s="603"/>
      <c r="R345" s="603"/>
      <c r="S345" s="603"/>
      <c r="T345" s="603"/>
      <c r="U345" s="603"/>
      <c r="V345" s="603"/>
      <c r="W345" s="603"/>
      <c r="X345" s="603"/>
      <c r="Y345" s="603"/>
      <c r="Z345" s="603"/>
    </row>
    <row r="346" spans="1:26" ht="15.75" customHeight="1" x14ac:dyDescent="0.2">
      <c r="A346" s="603"/>
      <c r="B346" s="603"/>
      <c r="C346" s="603"/>
      <c r="D346" s="603"/>
      <c r="E346" s="603"/>
      <c r="F346" s="603"/>
      <c r="G346" s="603"/>
      <c r="H346" s="603"/>
      <c r="I346" s="603"/>
      <c r="J346" s="603"/>
      <c r="K346" s="449"/>
      <c r="L346" s="603"/>
      <c r="M346" s="603"/>
      <c r="N346" s="603"/>
      <c r="O346" s="603"/>
      <c r="P346" s="603"/>
      <c r="Q346" s="603"/>
      <c r="R346" s="603"/>
      <c r="S346" s="603"/>
      <c r="T346" s="603"/>
      <c r="U346" s="603"/>
      <c r="V346" s="603"/>
      <c r="W346" s="603"/>
      <c r="X346" s="603"/>
      <c r="Y346" s="603"/>
      <c r="Z346" s="603"/>
    </row>
    <row r="347" spans="1:26" ht="15.75" customHeight="1" x14ac:dyDescent="0.2">
      <c r="A347" s="603"/>
      <c r="B347" s="603"/>
      <c r="C347" s="603"/>
      <c r="D347" s="603"/>
      <c r="E347" s="603"/>
      <c r="F347" s="603"/>
      <c r="G347" s="603"/>
      <c r="H347" s="603"/>
      <c r="I347" s="603"/>
      <c r="J347" s="603"/>
      <c r="K347" s="449"/>
      <c r="L347" s="603"/>
      <c r="M347" s="603"/>
      <c r="N347" s="603"/>
      <c r="O347" s="603"/>
      <c r="P347" s="603"/>
      <c r="Q347" s="603"/>
      <c r="R347" s="603"/>
      <c r="S347" s="603"/>
      <c r="T347" s="603"/>
      <c r="U347" s="603"/>
      <c r="V347" s="603"/>
      <c r="W347" s="603"/>
      <c r="X347" s="603"/>
      <c r="Y347" s="603"/>
      <c r="Z347" s="603"/>
    </row>
    <row r="348" spans="1:26" ht="15.75" customHeight="1" x14ac:dyDescent="0.2">
      <c r="A348" s="603"/>
      <c r="B348" s="603"/>
      <c r="C348" s="603"/>
      <c r="D348" s="603"/>
      <c r="E348" s="603"/>
      <c r="F348" s="603"/>
      <c r="G348" s="603"/>
      <c r="H348" s="603"/>
      <c r="I348" s="603"/>
      <c r="J348" s="603"/>
      <c r="K348" s="449"/>
      <c r="L348" s="603"/>
      <c r="M348" s="603"/>
      <c r="N348" s="603"/>
      <c r="O348" s="603"/>
      <c r="P348" s="603"/>
      <c r="Q348" s="603"/>
      <c r="R348" s="603"/>
      <c r="S348" s="603"/>
      <c r="T348" s="603"/>
      <c r="U348" s="603"/>
      <c r="V348" s="603"/>
      <c r="W348" s="603"/>
      <c r="X348" s="603"/>
      <c r="Y348" s="603"/>
      <c r="Z348" s="603"/>
    </row>
    <row r="349" spans="1:26" ht="15.75" customHeight="1" x14ac:dyDescent="0.2">
      <c r="A349" s="603"/>
      <c r="B349" s="603"/>
      <c r="C349" s="603"/>
      <c r="D349" s="603"/>
      <c r="E349" s="603"/>
      <c r="F349" s="603"/>
      <c r="G349" s="603"/>
      <c r="H349" s="603"/>
      <c r="I349" s="603"/>
      <c r="J349" s="603"/>
      <c r="K349" s="449"/>
      <c r="L349" s="603"/>
      <c r="M349" s="603"/>
      <c r="N349" s="603"/>
      <c r="O349" s="603"/>
      <c r="P349" s="603"/>
      <c r="Q349" s="603"/>
      <c r="R349" s="603"/>
      <c r="S349" s="603"/>
      <c r="T349" s="603"/>
      <c r="U349" s="603"/>
      <c r="V349" s="603"/>
      <c r="W349" s="603"/>
      <c r="X349" s="603"/>
      <c r="Y349" s="603"/>
      <c r="Z349" s="603"/>
    </row>
    <row r="350" spans="1:26" ht="15.75" customHeight="1" x14ac:dyDescent="0.2">
      <c r="A350" s="603"/>
      <c r="B350" s="603"/>
      <c r="C350" s="603"/>
      <c r="D350" s="603"/>
      <c r="E350" s="603"/>
      <c r="F350" s="603"/>
      <c r="G350" s="603"/>
      <c r="H350" s="603"/>
      <c r="I350" s="603"/>
      <c r="J350" s="603"/>
      <c r="K350" s="449"/>
      <c r="L350" s="603"/>
      <c r="M350" s="603"/>
      <c r="N350" s="603"/>
      <c r="O350" s="603"/>
      <c r="P350" s="603"/>
      <c r="Q350" s="603"/>
      <c r="R350" s="603"/>
      <c r="S350" s="603"/>
      <c r="T350" s="603"/>
      <c r="U350" s="603"/>
      <c r="V350" s="603"/>
      <c r="W350" s="603"/>
      <c r="X350" s="603"/>
      <c r="Y350" s="603"/>
      <c r="Z350" s="603"/>
    </row>
    <row r="351" spans="1:26" ht="15.75" customHeight="1" x14ac:dyDescent="0.2">
      <c r="A351" s="603"/>
      <c r="B351" s="603"/>
      <c r="C351" s="603"/>
      <c r="D351" s="603"/>
      <c r="E351" s="603"/>
      <c r="F351" s="603"/>
      <c r="G351" s="603"/>
      <c r="H351" s="603"/>
      <c r="I351" s="603"/>
      <c r="J351" s="603"/>
      <c r="K351" s="449"/>
      <c r="L351" s="603"/>
      <c r="M351" s="603"/>
      <c r="N351" s="603"/>
      <c r="O351" s="603"/>
      <c r="P351" s="603"/>
      <c r="Q351" s="603"/>
      <c r="R351" s="603"/>
      <c r="S351" s="603"/>
      <c r="T351" s="603"/>
      <c r="U351" s="603"/>
      <c r="V351" s="603"/>
      <c r="W351" s="603"/>
      <c r="X351" s="603"/>
      <c r="Y351" s="603"/>
      <c r="Z351" s="603"/>
    </row>
    <row r="352" spans="1:26" ht="15.75" customHeight="1" x14ac:dyDescent="0.2">
      <c r="A352" s="603"/>
      <c r="B352" s="603"/>
      <c r="C352" s="603"/>
      <c r="D352" s="603"/>
      <c r="E352" s="603"/>
      <c r="F352" s="603"/>
      <c r="G352" s="603"/>
      <c r="H352" s="603"/>
      <c r="I352" s="603"/>
      <c r="J352" s="603"/>
      <c r="K352" s="449"/>
      <c r="L352" s="603"/>
      <c r="M352" s="603"/>
      <c r="N352" s="603"/>
      <c r="O352" s="603"/>
      <c r="P352" s="603"/>
      <c r="Q352" s="603"/>
      <c r="R352" s="603"/>
      <c r="S352" s="603"/>
      <c r="T352" s="603"/>
      <c r="U352" s="603"/>
      <c r="V352" s="603"/>
      <c r="W352" s="603"/>
      <c r="X352" s="603"/>
      <c r="Y352" s="603"/>
      <c r="Z352" s="603"/>
    </row>
    <row r="353" spans="1:26" ht="15.75" customHeight="1" x14ac:dyDescent="0.2">
      <c r="A353" s="603"/>
      <c r="B353" s="603"/>
      <c r="C353" s="603"/>
      <c r="D353" s="603"/>
      <c r="E353" s="603"/>
      <c r="F353" s="603"/>
      <c r="G353" s="603"/>
      <c r="H353" s="603"/>
      <c r="I353" s="603"/>
      <c r="J353" s="603"/>
      <c r="K353" s="449"/>
      <c r="L353" s="603"/>
      <c r="M353" s="603"/>
      <c r="N353" s="603"/>
      <c r="O353" s="603"/>
      <c r="P353" s="603"/>
      <c r="Q353" s="603"/>
      <c r="R353" s="603"/>
      <c r="S353" s="603"/>
      <c r="T353" s="603"/>
      <c r="U353" s="603"/>
      <c r="V353" s="603"/>
      <c r="W353" s="603"/>
      <c r="X353" s="603"/>
      <c r="Y353" s="603"/>
      <c r="Z353" s="603"/>
    </row>
    <row r="354" spans="1:26" ht="15.75" customHeight="1" x14ac:dyDescent="0.2">
      <c r="A354" s="603"/>
      <c r="B354" s="603"/>
      <c r="C354" s="603"/>
      <c r="D354" s="603"/>
      <c r="E354" s="603"/>
      <c r="F354" s="603"/>
      <c r="G354" s="603"/>
      <c r="H354" s="603"/>
      <c r="I354" s="603"/>
      <c r="J354" s="603"/>
      <c r="K354" s="449"/>
      <c r="L354" s="603"/>
      <c r="M354" s="603"/>
      <c r="N354" s="603"/>
      <c r="O354" s="603"/>
      <c r="P354" s="603"/>
      <c r="Q354" s="603"/>
      <c r="R354" s="603"/>
      <c r="S354" s="603"/>
      <c r="T354" s="603"/>
      <c r="U354" s="603"/>
      <c r="V354" s="603"/>
      <c r="W354" s="603"/>
      <c r="X354" s="603"/>
      <c r="Y354" s="603"/>
      <c r="Z354" s="603"/>
    </row>
    <row r="355" spans="1:26" ht="15.75" customHeight="1" x14ac:dyDescent="0.2">
      <c r="A355" s="603"/>
      <c r="B355" s="603"/>
      <c r="C355" s="603"/>
      <c r="D355" s="603"/>
      <c r="E355" s="603"/>
      <c r="F355" s="603"/>
      <c r="G355" s="603"/>
      <c r="H355" s="603"/>
      <c r="I355" s="603"/>
      <c r="J355" s="603"/>
      <c r="K355" s="449"/>
      <c r="L355" s="603"/>
      <c r="M355" s="603"/>
      <c r="N355" s="603"/>
      <c r="O355" s="603"/>
      <c r="P355" s="603"/>
      <c r="Q355" s="603"/>
      <c r="R355" s="603"/>
      <c r="S355" s="603"/>
      <c r="T355" s="603"/>
      <c r="U355" s="603"/>
      <c r="V355" s="603"/>
      <c r="W355" s="603"/>
      <c r="X355" s="603"/>
      <c r="Y355" s="603"/>
      <c r="Z355" s="603"/>
    </row>
    <row r="356" spans="1:26" ht="15.75" customHeight="1" x14ac:dyDescent="0.2">
      <c r="A356" s="603"/>
      <c r="B356" s="603"/>
      <c r="C356" s="603"/>
      <c r="D356" s="603"/>
      <c r="E356" s="603"/>
      <c r="F356" s="603"/>
      <c r="G356" s="603"/>
      <c r="H356" s="603"/>
      <c r="I356" s="603"/>
      <c r="J356" s="603"/>
      <c r="K356" s="449"/>
      <c r="L356" s="603"/>
      <c r="M356" s="603"/>
      <c r="N356" s="603"/>
      <c r="O356" s="603"/>
      <c r="P356" s="603"/>
      <c r="Q356" s="603"/>
      <c r="R356" s="603"/>
      <c r="S356" s="603"/>
      <c r="T356" s="603"/>
      <c r="U356" s="603"/>
      <c r="V356" s="603"/>
      <c r="W356" s="603"/>
      <c r="X356" s="603"/>
      <c r="Y356" s="603"/>
      <c r="Z356" s="603"/>
    </row>
    <row r="357" spans="1:26" ht="15.75" customHeight="1" x14ac:dyDescent="0.2">
      <c r="A357" s="603"/>
      <c r="B357" s="603"/>
      <c r="C357" s="603"/>
      <c r="D357" s="603"/>
      <c r="E357" s="603"/>
      <c r="F357" s="603"/>
      <c r="G357" s="603"/>
      <c r="H357" s="603"/>
      <c r="I357" s="603"/>
      <c r="J357" s="603"/>
      <c r="K357" s="449"/>
      <c r="L357" s="603"/>
      <c r="M357" s="603"/>
      <c r="N357" s="603"/>
      <c r="O357" s="603"/>
      <c r="P357" s="603"/>
      <c r="Q357" s="603"/>
      <c r="R357" s="603"/>
      <c r="S357" s="603"/>
      <c r="T357" s="603"/>
      <c r="U357" s="603"/>
      <c r="V357" s="603"/>
      <c r="W357" s="603"/>
      <c r="X357" s="603"/>
      <c r="Y357" s="603"/>
      <c r="Z357" s="603"/>
    </row>
    <row r="358" spans="1:26" ht="15.75" customHeight="1" x14ac:dyDescent="0.2">
      <c r="A358" s="603"/>
      <c r="B358" s="603"/>
      <c r="C358" s="603"/>
      <c r="D358" s="603"/>
      <c r="E358" s="603"/>
      <c r="F358" s="603"/>
      <c r="G358" s="603"/>
      <c r="H358" s="603"/>
      <c r="I358" s="603"/>
      <c r="J358" s="603"/>
      <c r="K358" s="449"/>
      <c r="L358" s="603"/>
      <c r="M358" s="603"/>
      <c r="N358" s="603"/>
      <c r="O358" s="603"/>
      <c r="P358" s="603"/>
      <c r="Q358" s="603"/>
      <c r="R358" s="603"/>
      <c r="S358" s="603"/>
      <c r="T358" s="603"/>
      <c r="U358" s="603"/>
      <c r="V358" s="603"/>
      <c r="W358" s="603"/>
      <c r="X358" s="603"/>
      <c r="Y358" s="603"/>
      <c r="Z358" s="603"/>
    </row>
    <row r="359" spans="1:26" ht="15.75" customHeight="1" x14ac:dyDescent="0.2">
      <c r="A359" s="603"/>
      <c r="B359" s="603"/>
      <c r="C359" s="603"/>
      <c r="D359" s="603"/>
      <c r="E359" s="603"/>
      <c r="F359" s="603"/>
      <c r="G359" s="603"/>
      <c r="H359" s="603"/>
      <c r="I359" s="603"/>
      <c r="J359" s="603"/>
      <c r="K359" s="449"/>
      <c r="L359" s="603"/>
      <c r="M359" s="603"/>
      <c r="N359" s="603"/>
      <c r="O359" s="603"/>
      <c r="P359" s="603"/>
      <c r="Q359" s="603"/>
      <c r="R359" s="603"/>
      <c r="S359" s="603"/>
      <c r="T359" s="603"/>
      <c r="U359" s="603"/>
      <c r="V359" s="603"/>
      <c r="W359" s="603"/>
      <c r="X359" s="603"/>
      <c r="Y359" s="603"/>
      <c r="Z359" s="603"/>
    </row>
    <row r="360" spans="1:26" ht="15.75" customHeight="1" x14ac:dyDescent="0.2">
      <c r="A360" s="603"/>
      <c r="B360" s="603"/>
      <c r="C360" s="603"/>
      <c r="D360" s="603"/>
      <c r="E360" s="603"/>
      <c r="F360" s="603"/>
      <c r="G360" s="603"/>
      <c r="H360" s="603"/>
      <c r="I360" s="603"/>
      <c r="J360" s="603"/>
      <c r="K360" s="449"/>
      <c r="L360" s="603"/>
      <c r="M360" s="603"/>
      <c r="N360" s="603"/>
      <c r="O360" s="603"/>
      <c r="P360" s="603"/>
      <c r="Q360" s="603"/>
      <c r="R360" s="603"/>
      <c r="S360" s="603"/>
      <c r="T360" s="603"/>
      <c r="U360" s="603"/>
      <c r="V360" s="603"/>
      <c r="W360" s="603"/>
      <c r="X360" s="603"/>
      <c r="Y360" s="603"/>
      <c r="Z360" s="603"/>
    </row>
    <row r="361" spans="1:26" ht="15.75" customHeight="1" x14ac:dyDescent="0.2">
      <c r="A361" s="603"/>
      <c r="B361" s="603"/>
      <c r="C361" s="603"/>
      <c r="D361" s="603"/>
      <c r="E361" s="603"/>
      <c r="F361" s="603"/>
      <c r="G361" s="603"/>
      <c r="H361" s="603"/>
      <c r="I361" s="603"/>
      <c r="J361" s="603"/>
      <c r="K361" s="449"/>
      <c r="L361" s="603"/>
      <c r="M361" s="603"/>
      <c r="N361" s="603"/>
      <c r="O361" s="603"/>
      <c r="P361" s="603"/>
      <c r="Q361" s="603"/>
      <c r="R361" s="603"/>
      <c r="S361" s="603"/>
      <c r="T361" s="603"/>
      <c r="U361" s="603"/>
      <c r="V361" s="603"/>
      <c r="W361" s="603"/>
      <c r="X361" s="603"/>
      <c r="Y361" s="603"/>
      <c r="Z361" s="603"/>
    </row>
    <row r="362" spans="1:26" ht="15.75" customHeight="1" x14ac:dyDescent="0.2">
      <c r="A362" s="603"/>
      <c r="B362" s="603"/>
      <c r="C362" s="603"/>
      <c r="D362" s="603"/>
      <c r="E362" s="603"/>
      <c r="F362" s="603"/>
      <c r="G362" s="603"/>
      <c r="H362" s="603"/>
      <c r="I362" s="603"/>
      <c r="J362" s="603"/>
      <c r="K362" s="449"/>
      <c r="L362" s="603"/>
      <c r="M362" s="603"/>
      <c r="N362" s="603"/>
      <c r="O362" s="603"/>
      <c r="P362" s="603"/>
      <c r="Q362" s="603"/>
      <c r="R362" s="603"/>
      <c r="S362" s="603"/>
      <c r="T362" s="603"/>
      <c r="U362" s="603"/>
      <c r="V362" s="603"/>
      <c r="W362" s="603"/>
      <c r="X362" s="603"/>
      <c r="Y362" s="603"/>
      <c r="Z362" s="603"/>
    </row>
    <row r="363" spans="1:26" ht="15.75" customHeight="1" x14ac:dyDescent="0.2">
      <c r="A363" s="603"/>
      <c r="B363" s="603"/>
      <c r="C363" s="603"/>
      <c r="D363" s="603"/>
      <c r="E363" s="603"/>
      <c r="F363" s="603"/>
      <c r="G363" s="603"/>
      <c r="H363" s="603"/>
      <c r="I363" s="603"/>
      <c r="J363" s="603"/>
      <c r="K363" s="449"/>
      <c r="L363" s="603"/>
      <c r="M363" s="603"/>
      <c r="N363" s="603"/>
      <c r="O363" s="603"/>
      <c r="P363" s="603"/>
      <c r="Q363" s="603"/>
      <c r="R363" s="603"/>
      <c r="S363" s="603"/>
      <c r="T363" s="603"/>
      <c r="U363" s="603"/>
      <c r="V363" s="603"/>
      <c r="W363" s="603"/>
      <c r="X363" s="603"/>
      <c r="Y363" s="603"/>
      <c r="Z363" s="603"/>
    </row>
    <row r="364" spans="1:26" ht="15.75" customHeight="1" x14ac:dyDescent="0.2">
      <c r="A364" s="603"/>
      <c r="B364" s="603"/>
      <c r="C364" s="603"/>
      <c r="D364" s="603"/>
      <c r="E364" s="603"/>
      <c r="F364" s="603"/>
      <c r="G364" s="603"/>
      <c r="H364" s="603"/>
      <c r="I364" s="603"/>
      <c r="J364" s="603"/>
      <c r="K364" s="449"/>
      <c r="L364" s="603"/>
      <c r="M364" s="603"/>
      <c r="N364" s="603"/>
      <c r="O364" s="603"/>
      <c r="P364" s="603"/>
      <c r="Q364" s="603"/>
      <c r="R364" s="603"/>
      <c r="S364" s="603"/>
      <c r="T364" s="603"/>
      <c r="U364" s="603"/>
      <c r="V364" s="603"/>
      <c r="W364" s="603"/>
      <c r="X364" s="603"/>
      <c r="Y364" s="603"/>
      <c r="Z364" s="603"/>
    </row>
    <row r="365" spans="1:26" ht="15.75" customHeight="1" x14ac:dyDescent="0.2">
      <c r="A365" s="603"/>
      <c r="B365" s="603"/>
      <c r="C365" s="603"/>
      <c r="D365" s="603"/>
      <c r="E365" s="603"/>
      <c r="F365" s="603"/>
      <c r="G365" s="603"/>
      <c r="H365" s="603"/>
      <c r="I365" s="603"/>
      <c r="J365" s="603"/>
      <c r="K365" s="449"/>
      <c r="L365" s="603"/>
      <c r="M365" s="603"/>
      <c r="N365" s="603"/>
      <c r="O365" s="603"/>
      <c r="P365" s="603"/>
      <c r="Q365" s="603"/>
      <c r="R365" s="603"/>
      <c r="S365" s="603"/>
      <c r="T365" s="603"/>
      <c r="U365" s="603"/>
      <c r="V365" s="603"/>
      <c r="W365" s="603"/>
      <c r="X365" s="603"/>
      <c r="Y365" s="603"/>
      <c r="Z365" s="603"/>
    </row>
    <row r="366" spans="1:26" ht="15.75" customHeight="1" x14ac:dyDescent="0.2">
      <c r="A366" s="603"/>
      <c r="B366" s="603"/>
      <c r="C366" s="603"/>
      <c r="D366" s="603"/>
      <c r="E366" s="603"/>
      <c r="F366" s="603"/>
      <c r="G366" s="603"/>
      <c r="H366" s="603"/>
      <c r="I366" s="603"/>
      <c r="J366" s="603"/>
      <c r="K366" s="449"/>
      <c r="L366" s="603"/>
      <c r="M366" s="603"/>
      <c r="N366" s="603"/>
      <c r="O366" s="603"/>
      <c r="P366" s="603"/>
      <c r="Q366" s="603"/>
      <c r="R366" s="603"/>
      <c r="S366" s="603"/>
      <c r="T366" s="603"/>
      <c r="U366" s="603"/>
      <c r="V366" s="603"/>
      <c r="W366" s="603"/>
      <c r="X366" s="603"/>
      <c r="Y366" s="603"/>
      <c r="Z366" s="603"/>
    </row>
    <row r="367" spans="1:26" ht="15.75" customHeight="1" x14ac:dyDescent="0.2">
      <c r="A367" s="603"/>
      <c r="B367" s="603"/>
      <c r="C367" s="603"/>
      <c r="D367" s="603"/>
      <c r="E367" s="603"/>
      <c r="F367" s="603"/>
      <c r="G367" s="603"/>
      <c r="H367" s="603"/>
      <c r="I367" s="603"/>
      <c r="J367" s="603"/>
      <c r="K367" s="449"/>
      <c r="L367" s="603"/>
      <c r="M367" s="603"/>
      <c r="N367" s="603"/>
      <c r="O367" s="603"/>
      <c r="P367" s="603"/>
      <c r="Q367" s="603"/>
      <c r="R367" s="603"/>
      <c r="S367" s="603"/>
      <c r="T367" s="603"/>
      <c r="U367" s="603"/>
      <c r="V367" s="603"/>
      <c r="W367" s="603"/>
      <c r="X367" s="603"/>
      <c r="Y367" s="603"/>
      <c r="Z367" s="603"/>
    </row>
    <row r="368" spans="1:26" ht="15.75" customHeight="1" x14ac:dyDescent="0.2">
      <c r="A368" s="603"/>
      <c r="B368" s="603"/>
      <c r="C368" s="603"/>
      <c r="D368" s="603"/>
      <c r="E368" s="603"/>
      <c r="F368" s="603"/>
      <c r="G368" s="603"/>
      <c r="H368" s="603"/>
      <c r="I368" s="603"/>
      <c r="J368" s="603"/>
      <c r="K368" s="449"/>
      <c r="L368" s="603"/>
      <c r="M368" s="603"/>
      <c r="N368" s="603"/>
      <c r="O368" s="603"/>
      <c r="P368" s="603"/>
      <c r="Q368" s="603"/>
      <c r="R368" s="603"/>
      <c r="S368" s="603"/>
      <c r="T368" s="603"/>
      <c r="U368" s="603"/>
      <c r="V368" s="603"/>
      <c r="W368" s="603"/>
      <c r="X368" s="603"/>
      <c r="Y368" s="603"/>
      <c r="Z368" s="603"/>
    </row>
    <row r="369" spans="1:26" ht="15.75" customHeight="1" x14ac:dyDescent="0.2">
      <c r="A369" s="603"/>
      <c r="B369" s="603"/>
      <c r="C369" s="603"/>
      <c r="D369" s="603"/>
      <c r="E369" s="603"/>
      <c r="F369" s="603"/>
      <c r="G369" s="603"/>
      <c r="H369" s="603"/>
      <c r="I369" s="603"/>
      <c r="J369" s="603"/>
      <c r="K369" s="449"/>
      <c r="L369" s="603"/>
      <c r="M369" s="603"/>
      <c r="N369" s="603"/>
      <c r="O369" s="603"/>
      <c r="P369" s="603"/>
      <c r="Q369" s="603"/>
      <c r="R369" s="603"/>
      <c r="S369" s="603"/>
      <c r="T369" s="603"/>
      <c r="U369" s="603"/>
      <c r="V369" s="603"/>
      <c r="W369" s="603"/>
      <c r="X369" s="603"/>
      <c r="Y369" s="603"/>
      <c r="Z369" s="603"/>
    </row>
    <row r="370" spans="1:26" ht="15.75" customHeight="1" x14ac:dyDescent="0.2">
      <c r="A370" s="603"/>
      <c r="B370" s="603"/>
      <c r="C370" s="603"/>
      <c r="D370" s="603"/>
      <c r="E370" s="603"/>
      <c r="F370" s="603"/>
      <c r="G370" s="603"/>
      <c r="H370" s="603"/>
      <c r="I370" s="603"/>
      <c r="J370" s="603"/>
      <c r="K370" s="449"/>
      <c r="L370" s="603"/>
      <c r="M370" s="603"/>
      <c r="N370" s="603"/>
      <c r="O370" s="603"/>
      <c r="P370" s="603"/>
      <c r="Q370" s="603"/>
      <c r="R370" s="603"/>
      <c r="S370" s="603"/>
      <c r="T370" s="603"/>
      <c r="U370" s="603"/>
      <c r="V370" s="603"/>
      <c r="W370" s="603"/>
      <c r="X370" s="603"/>
      <c r="Y370" s="603"/>
      <c r="Z370" s="603"/>
    </row>
    <row r="371" spans="1:26" ht="15.75" customHeight="1" x14ac:dyDescent="0.2">
      <c r="A371" s="603"/>
      <c r="B371" s="603"/>
      <c r="C371" s="603"/>
      <c r="D371" s="603"/>
      <c r="E371" s="603"/>
      <c r="F371" s="603"/>
      <c r="G371" s="603"/>
      <c r="H371" s="603"/>
      <c r="I371" s="603"/>
      <c r="J371" s="603"/>
      <c r="K371" s="449"/>
      <c r="L371" s="603"/>
      <c r="M371" s="603"/>
      <c r="N371" s="603"/>
      <c r="O371" s="603"/>
      <c r="P371" s="603"/>
      <c r="Q371" s="603"/>
      <c r="R371" s="603"/>
      <c r="S371" s="603"/>
      <c r="T371" s="603"/>
      <c r="U371" s="603"/>
      <c r="V371" s="603"/>
      <c r="W371" s="603"/>
      <c r="X371" s="603"/>
      <c r="Y371" s="603"/>
      <c r="Z371" s="603"/>
    </row>
    <row r="372" spans="1:26" ht="15.75" customHeight="1" x14ac:dyDescent="0.2">
      <c r="A372" s="603"/>
      <c r="B372" s="603"/>
      <c r="C372" s="603"/>
      <c r="D372" s="603"/>
      <c r="E372" s="603"/>
      <c r="F372" s="603"/>
      <c r="G372" s="603"/>
      <c r="H372" s="603"/>
      <c r="I372" s="603"/>
      <c r="J372" s="603"/>
      <c r="K372" s="449"/>
      <c r="L372" s="603"/>
      <c r="M372" s="603"/>
      <c r="N372" s="603"/>
      <c r="O372" s="603"/>
      <c r="P372" s="603"/>
      <c r="Q372" s="603"/>
      <c r="R372" s="603"/>
      <c r="S372" s="603"/>
      <c r="T372" s="603"/>
      <c r="U372" s="603"/>
      <c r="V372" s="603"/>
      <c r="W372" s="603"/>
      <c r="X372" s="603"/>
      <c r="Y372" s="603"/>
      <c r="Z372" s="603"/>
    </row>
    <row r="373" spans="1:26" ht="15.75" customHeight="1" x14ac:dyDescent="0.2">
      <c r="A373" s="603"/>
      <c r="B373" s="603"/>
      <c r="C373" s="603"/>
      <c r="D373" s="603"/>
      <c r="E373" s="603"/>
      <c r="F373" s="603"/>
      <c r="G373" s="603"/>
      <c r="H373" s="603"/>
      <c r="I373" s="603"/>
      <c r="J373" s="603"/>
      <c r="K373" s="449"/>
      <c r="L373" s="603"/>
      <c r="M373" s="603"/>
      <c r="N373" s="603"/>
      <c r="O373" s="603"/>
      <c r="P373" s="603"/>
      <c r="Q373" s="603"/>
      <c r="R373" s="603"/>
      <c r="S373" s="603"/>
      <c r="T373" s="603"/>
      <c r="U373" s="603"/>
      <c r="V373" s="603"/>
      <c r="W373" s="603"/>
      <c r="X373" s="603"/>
      <c r="Y373" s="603"/>
      <c r="Z373" s="603"/>
    </row>
    <row r="374" spans="1:26" ht="15.75" customHeight="1" x14ac:dyDescent="0.2">
      <c r="A374" s="603"/>
      <c r="B374" s="603"/>
      <c r="C374" s="603"/>
      <c r="D374" s="603"/>
      <c r="E374" s="603"/>
      <c r="F374" s="603"/>
      <c r="G374" s="603"/>
      <c r="H374" s="603"/>
      <c r="I374" s="603"/>
      <c r="J374" s="603"/>
      <c r="K374" s="449"/>
      <c r="L374" s="603"/>
      <c r="M374" s="603"/>
      <c r="N374" s="603"/>
      <c r="O374" s="603"/>
      <c r="P374" s="603"/>
      <c r="Q374" s="603"/>
      <c r="R374" s="603"/>
      <c r="S374" s="603"/>
      <c r="T374" s="603"/>
      <c r="U374" s="603"/>
      <c r="V374" s="603"/>
      <c r="W374" s="603"/>
      <c r="X374" s="603"/>
      <c r="Y374" s="603"/>
      <c r="Z374" s="603"/>
    </row>
    <row r="375" spans="1:26" ht="15.75" customHeight="1" x14ac:dyDescent="0.2">
      <c r="A375" s="603"/>
      <c r="B375" s="603"/>
      <c r="C375" s="603"/>
      <c r="D375" s="603"/>
      <c r="E375" s="603"/>
      <c r="F375" s="603"/>
      <c r="G375" s="603"/>
      <c r="H375" s="603"/>
      <c r="I375" s="603"/>
      <c r="J375" s="603"/>
      <c r="K375" s="449"/>
      <c r="L375" s="603"/>
      <c r="M375" s="603"/>
      <c r="N375" s="603"/>
      <c r="O375" s="603"/>
      <c r="P375" s="603"/>
      <c r="Q375" s="603"/>
      <c r="R375" s="603"/>
      <c r="S375" s="603"/>
      <c r="T375" s="603"/>
      <c r="U375" s="603"/>
      <c r="V375" s="603"/>
      <c r="W375" s="603"/>
      <c r="X375" s="603"/>
      <c r="Y375" s="603"/>
      <c r="Z375" s="603"/>
    </row>
    <row r="376" spans="1:26" ht="15.75" customHeight="1" x14ac:dyDescent="0.2">
      <c r="A376" s="603"/>
      <c r="B376" s="603"/>
      <c r="C376" s="603"/>
      <c r="D376" s="603"/>
      <c r="E376" s="603"/>
      <c r="F376" s="603"/>
      <c r="G376" s="603"/>
      <c r="H376" s="603"/>
      <c r="I376" s="603"/>
      <c r="J376" s="603"/>
      <c r="K376" s="449"/>
      <c r="L376" s="603"/>
      <c r="M376" s="603"/>
      <c r="N376" s="603"/>
      <c r="O376" s="603"/>
      <c r="P376" s="603"/>
      <c r="Q376" s="603"/>
      <c r="R376" s="603"/>
      <c r="S376" s="603"/>
      <c r="T376" s="603"/>
      <c r="U376" s="603"/>
      <c r="V376" s="603"/>
      <c r="W376" s="603"/>
      <c r="X376" s="603"/>
      <c r="Y376" s="603"/>
      <c r="Z376" s="603"/>
    </row>
    <row r="377" spans="1:26" ht="15.75" customHeight="1" x14ac:dyDescent="0.2">
      <c r="A377" s="603"/>
      <c r="B377" s="603"/>
      <c r="C377" s="603"/>
      <c r="D377" s="603"/>
      <c r="E377" s="603"/>
      <c r="F377" s="603"/>
      <c r="G377" s="603"/>
      <c r="H377" s="603"/>
      <c r="I377" s="603"/>
      <c r="J377" s="603"/>
      <c r="K377" s="449"/>
      <c r="L377" s="603"/>
      <c r="M377" s="603"/>
      <c r="N377" s="603"/>
      <c r="O377" s="603"/>
      <c r="P377" s="603"/>
      <c r="Q377" s="603"/>
      <c r="R377" s="603"/>
      <c r="S377" s="603"/>
      <c r="T377" s="603"/>
      <c r="U377" s="603"/>
      <c r="V377" s="603"/>
      <c r="W377" s="603"/>
      <c r="X377" s="603"/>
      <c r="Y377" s="603"/>
      <c r="Z377" s="603"/>
    </row>
    <row r="378" spans="1:26" ht="15.75" customHeight="1" x14ac:dyDescent="0.2">
      <c r="A378" s="603"/>
      <c r="B378" s="603"/>
      <c r="C378" s="603"/>
      <c r="D378" s="603"/>
      <c r="E378" s="603"/>
      <c r="F378" s="603"/>
      <c r="G378" s="603"/>
      <c r="H378" s="603"/>
      <c r="I378" s="603"/>
      <c r="J378" s="603"/>
      <c r="K378" s="449"/>
      <c r="L378" s="603"/>
      <c r="M378" s="603"/>
      <c r="N378" s="603"/>
      <c r="O378" s="603"/>
      <c r="P378" s="603"/>
      <c r="Q378" s="603"/>
      <c r="R378" s="603"/>
      <c r="S378" s="603"/>
      <c r="T378" s="603"/>
      <c r="U378" s="603"/>
      <c r="V378" s="603"/>
      <c r="W378" s="603"/>
      <c r="X378" s="603"/>
      <c r="Y378" s="603"/>
      <c r="Z378" s="603"/>
    </row>
    <row r="379" spans="1:26" ht="15.75" customHeight="1" x14ac:dyDescent="0.2">
      <c r="A379" s="603"/>
      <c r="B379" s="603"/>
      <c r="C379" s="603"/>
      <c r="D379" s="603"/>
      <c r="E379" s="603"/>
      <c r="F379" s="603"/>
      <c r="G379" s="603"/>
      <c r="H379" s="603"/>
      <c r="I379" s="603"/>
      <c r="J379" s="603"/>
      <c r="K379" s="449"/>
      <c r="L379" s="603"/>
      <c r="M379" s="603"/>
      <c r="N379" s="603"/>
      <c r="O379" s="603"/>
      <c r="P379" s="603"/>
      <c r="Q379" s="603"/>
      <c r="R379" s="603"/>
      <c r="S379" s="603"/>
      <c r="T379" s="603"/>
      <c r="U379" s="603"/>
      <c r="V379" s="603"/>
      <c r="W379" s="603"/>
      <c r="X379" s="603"/>
      <c r="Y379" s="603"/>
      <c r="Z379" s="603"/>
    </row>
    <row r="380" spans="1:26" ht="15.75" customHeight="1" x14ac:dyDescent="0.2">
      <c r="A380" s="603"/>
      <c r="B380" s="603"/>
      <c r="C380" s="603"/>
      <c r="D380" s="603"/>
      <c r="E380" s="603"/>
      <c r="F380" s="603"/>
      <c r="G380" s="603"/>
      <c r="H380" s="603"/>
      <c r="I380" s="603"/>
      <c r="J380" s="603"/>
      <c r="K380" s="449"/>
      <c r="L380" s="603"/>
      <c r="M380" s="603"/>
      <c r="N380" s="603"/>
      <c r="O380" s="603"/>
      <c r="P380" s="603"/>
      <c r="Q380" s="603"/>
      <c r="R380" s="603"/>
      <c r="S380" s="603"/>
      <c r="T380" s="603"/>
      <c r="U380" s="603"/>
      <c r="V380" s="603"/>
      <c r="W380" s="603"/>
      <c r="X380" s="603"/>
      <c r="Y380" s="603"/>
      <c r="Z380" s="603"/>
    </row>
    <row r="381" spans="1:26" ht="15.75" customHeight="1" x14ac:dyDescent="0.2">
      <c r="A381" s="603"/>
      <c r="B381" s="603"/>
      <c r="C381" s="603"/>
      <c r="D381" s="603"/>
      <c r="E381" s="603"/>
      <c r="F381" s="603"/>
      <c r="G381" s="603"/>
      <c r="H381" s="603"/>
      <c r="I381" s="603"/>
      <c r="J381" s="603"/>
      <c r="K381" s="449"/>
      <c r="L381" s="603"/>
      <c r="M381" s="603"/>
      <c r="N381" s="603"/>
      <c r="O381" s="603"/>
      <c r="P381" s="603"/>
      <c r="Q381" s="603"/>
      <c r="R381" s="603"/>
      <c r="S381" s="603"/>
      <c r="T381" s="603"/>
      <c r="U381" s="603"/>
      <c r="V381" s="603"/>
      <c r="W381" s="603"/>
      <c r="X381" s="603"/>
      <c r="Y381" s="603"/>
      <c r="Z381" s="603"/>
    </row>
    <row r="382" spans="1:26" ht="15.75" customHeight="1" x14ac:dyDescent="0.2">
      <c r="A382" s="603"/>
      <c r="B382" s="603"/>
      <c r="C382" s="603"/>
      <c r="D382" s="603"/>
      <c r="E382" s="603"/>
      <c r="F382" s="603"/>
      <c r="G382" s="603"/>
      <c r="H382" s="603"/>
      <c r="I382" s="603"/>
      <c r="J382" s="603"/>
      <c r="K382" s="449"/>
      <c r="L382" s="603"/>
      <c r="M382" s="603"/>
      <c r="N382" s="603"/>
      <c r="O382" s="603"/>
      <c r="P382" s="603"/>
      <c r="Q382" s="603"/>
      <c r="R382" s="603"/>
      <c r="S382" s="603"/>
      <c r="T382" s="603"/>
      <c r="U382" s="603"/>
      <c r="V382" s="603"/>
      <c r="W382" s="603"/>
      <c r="X382" s="603"/>
      <c r="Y382" s="603"/>
      <c r="Z382" s="603"/>
    </row>
    <row r="383" spans="1:26" ht="15.75" customHeight="1" x14ac:dyDescent="0.2">
      <c r="A383" s="603"/>
      <c r="B383" s="603"/>
      <c r="C383" s="603"/>
      <c r="D383" s="603"/>
      <c r="E383" s="603"/>
      <c r="F383" s="603"/>
      <c r="G383" s="603"/>
      <c r="H383" s="603"/>
      <c r="I383" s="603"/>
      <c r="J383" s="603"/>
      <c r="K383" s="449"/>
      <c r="L383" s="603"/>
      <c r="M383" s="603"/>
      <c r="N383" s="603"/>
      <c r="O383" s="603"/>
      <c r="P383" s="603"/>
      <c r="Q383" s="603"/>
      <c r="R383" s="603"/>
      <c r="S383" s="603"/>
      <c r="T383" s="603"/>
      <c r="U383" s="603"/>
      <c r="V383" s="603"/>
      <c r="W383" s="603"/>
      <c r="X383" s="603"/>
      <c r="Y383" s="603"/>
      <c r="Z383" s="603"/>
    </row>
    <row r="384" spans="1:26" ht="15.75" customHeight="1" x14ac:dyDescent="0.2">
      <c r="A384" s="603"/>
      <c r="B384" s="603"/>
      <c r="C384" s="603"/>
      <c r="D384" s="603"/>
      <c r="E384" s="603"/>
      <c r="F384" s="603"/>
      <c r="G384" s="603"/>
      <c r="H384" s="603"/>
      <c r="I384" s="603"/>
      <c r="J384" s="603"/>
      <c r="K384" s="449"/>
      <c r="L384" s="603"/>
      <c r="M384" s="603"/>
      <c r="N384" s="603"/>
      <c r="O384" s="603"/>
      <c r="P384" s="603"/>
      <c r="Q384" s="603"/>
      <c r="R384" s="603"/>
      <c r="S384" s="603"/>
      <c r="T384" s="603"/>
      <c r="U384" s="603"/>
      <c r="V384" s="603"/>
      <c r="W384" s="603"/>
      <c r="X384" s="603"/>
      <c r="Y384" s="603"/>
      <c r="Z384" s="603"/>
    </row>
    <row r="385" spans="1:26" ht="15.75" customHeight="1" x14ac:dyDescent="0.2">
      <c r="A385" s="603"/>
      <c r="B385" s="603"/>
      <c r="C385" s="603"/>
      <c r="D385" s="603"/>
      <c r="E385" s="603"/>
      <c r="F385" s="603"/>
      <c r="G385" s="603"/>
      <c r="H385" s="603"/>
      <c r="I385" s="603"/>
      <c r="J385" s="603"/>
      <c r="K385" s="449"/>
      <c r="L385" s="603"/>
      <c r="M385" s="603"/>
      <c r="N385" s="603"/>
      <c r="O385" s="603"/>
      <c r="P385" s="603"/>
      <c r="Q385" s="603"/>
      <c r="R385" s="603"/>
      <c r="S385" s="603"/>
      <c r="T385" s="603"/>
      <c r="U385" s="603"/>
      <c r="V385" s="603"/>
      <c r="W385" s="603"/>
      <c r="X385" s="603"/>
      <c r="Y385" s="603"/>
      <c r="Z385" s="603"/>
    </row>
    <row r="386" spans="1:26" ht="15.75" customHeight="1" x14ac:dyDescent="0.2">
      <c r="A386" s="603"/>
      <c r="B386" s="603"/>
      <c r="C386" s="603"/>
      <c r="D386" s="603"/>
      <c r="E386" s="603"/>
      <c r="F386" s="603"/>
      <c r="G386" s="603"/>
      <c r="H386" s="603"/>
      <c r="I386" s="603"/>
      <c r="J386" s="603"/>
      <c r="K386" s="449"/>
      <c r="L386" s="603"/>
      <c r="M386" s="603"/>
      <c r="N386" s="603"/>
      <c r="O386" s="603"/>
      <c r="P386" s="603"/>
      <c r="Q386" s="603"/>
      <c r="R386" s="603"/>
      <c r="S386" s="603"/>
      <c r="T386" s="603"/>
      <c r="U386" s="603"/>
      <c r="V386" s="603"/>
      <c r="W386" s="603"/>
      <c r="X386" s="603"/>
      <c r="Y386" s="603"/>
      <c r="Z386" s="603"/>
    </row>
    <row r="387" spans="1:26" ht="15.75" customHeight="1" x14ac:dyDescent="0.2">
      <c r="A387" s="603"/>
      <c r="B387" s="603"/>
      <c r="C387" s="603"/>
      <c r="D387" s="603"/>
      <c r="E387" s="603"/>
      <c r="F387" s="603"/>
      <c r="G387" s="603"/>
      <c r="H387" s="603"/>
      <c r="I387" s="603"/>
      <c r="J387" s="603"/>
      <c r="K387" s="449"/>
      <c r="L387" s="603"/>
      <c r="M387" s="603"/>
      <c r="N387" s="603"/>
      <c r="O387" s="603"/>
      <c r="P387" s="603"/>
      <c r="Q387" s="603"/>
      <c r="R387" s="603"/>
      <c r="S387" s="603"/>
      <c r="T387" s="603"/>
      <c r="U387" s="603"/>
      <c r="V387" s="603"/>
      <c r="W387" s="603"/>
      <c r="X387" s="603"/>
      <c r="Y387" s="603"/>
      <c r="Z387" s="603"/>
    </row>
    <row r="388" spans="1:26" ht="15.75" customHeight="1" x14ac:dyDescent="0.2">
      <c r="A388" s="603"/>
      <c r="B388" s="603"/>
      <c r="C388" s="603"/>
      <c r="D388" s="603"/>
      <c r="E388" s="603"/>
      <c r="F388" s="603"/>
      <c r="G388" s="603"/>
      <c r="H388" s="603"/>
      <c r="I388" s="603"/>
      <c r="J388" s="603"/>
      <c r="K388" s="449"/>
      <c r="L388" s="603"/>
      <c r="M388" s="603"/>
      <c r="N388" s="603"/>
      <c r="O388" s="603"/>
      <c r="P388" s="603"/>
      <c r="Q388" s="603"/>
      <c r="R388" s="603"/>
      <c r="S388" s="603"/>
      <c r="T388" s="603"/>
      <c r="U388" s="603"/>
      <c r="V388" s="603"/>
      <c r="W388" s="603"/>
      <c r="X388" s="603"/>
      <c r="Y388" s="603"/>
      <c r="Z388" s="603"/>
    </row>
    <row r="389" spans="1:26" ht="15.75" customHeight="1" x14ac:dyDescent="0.2">
      <c r="A389" s="603"/>
      <c r="B389" s="603"/>
      <c r="C389" s="603"/>
      <c r="D389" s="603"/>
      <c r="E389" s="603"/>
      <c r="F389" s="603"/>
      <c r="G389" s="603"/>
      <c r="H389" s="603"/>
      <c r="I389" s="603"/>
      <c r="J389" s="603"/>
      <c r="K389" s="449"/>
      <c r="L389" s="603"/>
      <c r="M389" s="603"/>
      <c r="N389" s="603"/>
      <c r="O389" s="603"/>
      <c r="P389" s="603"/>
      <c r="Q389" s="603"/>
      <c r="R389" s="603"/>
      <c r="S389" s="603"/>
      <c r="T389" s="603"/>
      <c r="U389" s="603"/>
      <c r="V389" s="603"/>
      <c r="W389" s="603"/>
      <c r="X389" s="603"/>
      <c r="Y389" s="603"/>
      <c r="Z389" s="603"/>
    </row>
    <row r="390" spans="1:26" ht="15.75" customHeight="1" x14ac:dyDescent="0.2">
      <c r="A390" s="603"/>
      <c r="B390" s="603"/>
      <c r="C390" s="603"/>
      <c r="D390" s="603"/>
      <c r="E390" s="603"/>
      <c r="F390" s="603"/>
      <c r="G390" s="603"/>
      <c r="H390" s="603"/>
      <c r="I390" s="603"/>
      <c r="J390" s="603"/>
      <c r="K390" s="449"/>
      <c r="L390" s="603"/>
      <c r="M390" s="603"/>
      <c r="N390" s="603"/>
      <c r="O390" s="603"/>
      <c r="P390" s="603"/>
      <c r="Q390" s="603"/>
      <c r="R390" s="603"/>
      <c r="S390" s="603"/>
      <c r="T390" s="603"/>
      <c r="U390" s="603"/>
      <c r="V390" s="603"/>
      <c r="W390" s="603"/>
      <c r="X390" s="603"/>
      <c r="Y390" s="603"/>
      <c r="Z390" s="603"/>
    </row>
    <row r="391" spans="1:26" ht="15.75" customHeight="1" x14ac:dyDescent="0.2">
      <c r="A391" s="603"/>
      <c r="B391" s="603"/>
      <c r="C391" s="603"/>
      <c r="D391" s="603"/>
      <c r="E391" s="603"/>
      <c r="F391" s="603"/>
      <c r="G391" s="603"/>
      <c r="H391" s="603"/>
      <c r="I391" s="603"/>
      <c r="J391" s="603"/>
      <c r="K391" s="449"/>
      <c r="L391" s="603"/>
      <c r="M391" s="603"/>
      <c r="N391" s="603"/>
      <c r="O391" s="603"/>
      <c r="P391" s="603"/>
      <c r="Q391" s="603"/>
      <c r="R391" s="603"/>
      <c r="S391" s="603"/>
      <c r="T391" s="603"/>
      <c r="U391" s="603"/>
      <c r="V391" s="603"/>
      <c r="W391" s="603"/>
      <c r="X391" s="603"/>
      <c r="Y391" s="603"/>
      <c r="Z391" s="603"/>
    </row>
    <row r="392" spans="1:26" ht="15.75" customHeight="1" x14ac:dyDescent="0.2">
      <c r="A392" s="603"/>
      <c r="B392" s="603"/>
      <c r="C392" s="603"/>
      <c r="D392" s="603"/>
      <c r="E392" s="603"/>
      <c r="F392" s="603"/>
      <c r="G392" s="603"/>
      <c r="H392" s="603"/>
      <c r="I392" s="603"/>
      <c r="J392" s="603"/>
      <c r="K392" s="449"/>
      <c r="L392" s="603"/>
      <c r="M392" s="603"/>
      <c r="N392" s="603"/>
      <c r="O392" s="603"/>
      <c r="P392" s="603"/>
      <c r="Q392" s="603"/>
      <c r="R392" s="603"/>
      <c r="S392" s="603"/>
      <c r="T392" s="603"/>
      <c r="U392" s="603"/>
      <c r="V392" s="603"/>
      <c r="W392" s="603"/>
      <c r="X392" s="603"/>
      <c r="Y392" s="603"/>
      <c r="Z392" s="603"/>
    </row>
    <row r="393" spans="1:26" ht="15.75" customHeight="1" x14ac:dyDescent="0.2">
      <c r="A393" s="603"/>
      <c r="B393" s="603"/>
      <c r="C393" s="603"/>
      <c r="D393" s="603"/>
      <c r="E393" s="603"/>
      <c r="F393" s="603"/>
      <c r="G393" s="603"/>
      <c r="H393" s="603"/>
      <c r="I393" s="603"/>
      <c r="J393" s="603"/>
      <c r="K393" s="449"/>
      <c r="L393" s="603"/>
      <c r="M393" s="603"/>
      <c r="N393" s="603"/>
      <c r="O393" s="603"/>
      <c r="P393" s="603"/>
      <c r="Q393" s="603"/>
      <c r="R393" s="603"/>
      <c r="S393" s="603"/>
      <c r="T393" s="603"/>
      <c r="U393" s="603"/>
      <c r="V393" s="603"/>
      <c r="W393" s="603"/>
      <c r="X393" s="603"/>
      <c r="Y393" s="603"/>
      <c r="Z393" s="603"/>
    </row>
    <row r="394" spans="1:26" ht="15.75" customHeight="1" x14ac:dyDescent="0.2">
      <c r="A394" s="603"/>
      <c r="B394" s="603"/>
      <c r="C394" s="603"/>
      <c r="D394" s="603"/>
      <c r="E394" s="603"/>
      <c r="F394" s="603"/>
      <c r="G394" s="603"/>
      <c r="H394" s="603"/>
      <c r="I394" s="603"/>
      <c r="J394" s="603"/>
      <c r="K394" s="449"/>
      <c r="L394" s="603"/>
      <c r="M394" s="603"/>
      <c r="N394" s="603"/>
      <c r="O394" s="603"/>
      <c r="P394" s="603"/>
      <c r="Q394" s="603"/>
      <c r="R394" s="603"/>
      <c r="S394" s="603"/>
      <c r="T394" s="603"/>
      <c r="U394" s="603"/>
      <c r="V394" s="603"/>
      <c r="W394" s="603"/>
      <c r="X394" s="603"/>
      <c r="Y394" s="603"/>
      <c r="Z394" s="603"/>
    </row>
    <row r="395" spans="1:26" ht="15.75" customHeight="1" x14ac:dyDescent="0.2">
      <c r="A395" s="603"/>
      <c r="B395" s="603"/>
      <c r="C395" s="603"/>
      <c r="D395" s="603"/>
      <c r="E395" s="603"/>
      <c r="F395" s="603"/>
      <c r="G395" s="603"/>
      <c r="H395" s="603"/>
      <c r="I395" s="603"/>
      <c r="J395" s="603"/>
      <c r="K395" s="449"/>
      <c r="L395" s="603"/>
      <c r="M395" s="603"/>
      <c r="N395" s="603"/>
      <c r="O395" s="603"/>
      <c r="P395" s="603"/>
      <c r="Q395" s="603"/>
      <c r="R395" s="603"/>
      <c r="S395" s="603"/>
      <c r="T395" s="603"/>
      <c r="U395" s="603"/>
      <c r="V395" s="603"/>
      <c r="W395" s="603"/>
      <c r="X395" s="603"/>
      <c r="Y395" s="603"/>
      <c r="Z395" s="603"/>
    </row>
    <row r="396" spans="1:26" ht="15.75" customHeight="1" x14ac:dyDescent="0.2">
      <c r="A396" s="603"/>
      <c r="B396" s="603"/>
      <c r="C396" s="603"/>
      <c r="D396" s="603"/>
      <c r="E396" s="603"/>
      <c r="F396" s="603"/>
      <c r="G396" s="603"/>
      <c r="H396" s="603"/>
      <c r="I396" s="603"/>
      <c r="J396" s="603"/>
      <c r="K396" s="449"/>
      <c r="L396" s="603"/>
      <c r="M396" s="603"/>
      <c r="N396" s="603"/>
      <c r="O396" s="603"/>
      <c r="P396" s="603"/>
      <c r="Q396" s="603"/>
      <c r="R396" s="603"/>
      <c r="S396" s="603"/>
      <c r="T396" s="603"/>
      <c r="U396" s="603"/>
      <c r="V396" s="603"/>
      <c r="W396" s="603"/>
      <c r="X396" s="603"/>
      <c r="Y396" s="603"/>
      <c r="Z396" s="603"/>
    </row>
    <row r="397" spans="1:26" ht="15.75" customHeight="1" x14ac:dyDescent="0.2">
      <c r="A397" s="603"/>
      <c r="B397" s="603"/>
      <c r="C397" s="603"/>
      <c r="D397" s="603"/>
      <c r="E397" s="603"/>
      <c r="F397" s="603"/>
      <c r="G397" s="603"/>
      <c r="H397" s="603"/>
      <c r="I397" s="603"/>
      <c r="J397" s="603"/>
      <c r="K397" s="449"/>
      <c r="L397" s="603"/>
      <c r="M397" s="603"/>
      <c r="N397" s="603"/>
      <c r="O397" s="603"/>
      <c r="P397" s="603"/>
      <c r="Q397" s="603"/>
      <c r="R397" s="603"/>
      <c r="S397" s="603"/>
      <c r="T397" s="603"/>
      <c r="U397" s="603"/>
      <c r="V397" s="603"/>
      <c r="W397" s="603"/>
      <c r="X397" s="603"/>
      <c r="Y397" s="603"/>
      <c r="Z397" s="603"/>
    </row>
    <row r="398" spans="1:26" ht="15.75" customHeight="1" x14ac:dyDescent="0.2">
      <c r="A398" s="603"/>
      <c r="B398" s="603"/>
      <c r="C398" s="603"/>
      <c r="D398" s="603"/>
      <c r="E398" s="603"/>
      <c r="F398" s="603"/>
      <c r="G398" s="603"/>
      <c r="H398" s="603"/>
      <c r="I398" s="603"/>
      <c r="J398" s="603"/>
      <c r="K398" s="449"/>
      <c r="L398" s="603"/>
      <c r="M398" s="603"/>
      <c r="N398" s="603"/>
      <c r="O398" s="603"/>
      <c r="P398" s="603"/>
      <c r="Q398" s="603"/>
      <c r="R398" s="603"/>
      <c r="S398" s="603"/>
      <c r="T398" s="603"/>
      <c r="U398" s="603"/>
      <c r="V398" s="603"/>
      <c r="W398" s="603"/>
      <c r="X398" s="603"/>
      <c r="Y398" s="603"/>
      <c r="Z398" s="603"/>
    </row>
    <row r="399" spans="1:26" ht="15.75" customHeight="1" x14ac:dyDescent="0.2">
      <c r="A399" s="603"/>
      <c r="B399" s="603"/>
      <c r="C399" s="603"/>
      <c r="D399" s="603"/>
      <c r="E399" s="603"/>
      <c r="F399" s="603"/>
      <c r="G399" s="603"/>
      <c r="H399" s="603"/>
      <c r="I399" s="603"/>
      <c r="J399" s="603"/>
      <c r="K399" s="449"/>
      <c r="L399" s="603"/>
      <c r="M399" s="603"/>
      <c r="N399" s="603"/>
      <c r="O399" s="603"/>
      <c r="P399" s="603"/>
      <c r="Q399" s="603"/>
      <c r="R399" s="603"/>
      <c r="S399" s="603"/>
      <c r="T399" s="603"/>
      <c r="U399" s="603"/>
      <c r="V399" s="603"/>
      <c r="W399" s="603"/>
      <c r="X399" s="603"/>
      <c r="Y399" s="603"/>
      <c r="Z399" s="603"/>
    </row>
    <row r="400" spans="1:26" ht="15.75" customHeight="1" x14ac:dyDescent="0.2">
      <c r="A400" s="603"/>
      <c r="B400" s="603"/>
      <c r="C400" s="603"/>
      <c r="D400" s="603"/>
      <c r="E400" s="603"/>
      <c r="F400" s="603"/>
      <c r="G400" s="603"/>
      <c r="H400" s="603"/>
      <c r="I400" s="603"/>
      <c r="J400" s="603"/>
      <c r="K400" s="449"/>
      <c r="L400" s="603"/>
      <c r="M400" s="603"/>
      <c r="N400" s="603"/>
      <c r="O400" s="603"/>
      <c r="P400" s="603"/>
      <c r="Q400" s="603"/>
      <c r="R400" s="603"/>
      <c r="S400" s="603"/>
      <c r="T400" s="603"/>
      <c r="U400" s="603"/>
      <c r="V400" s="603"/>
      <c r="W400" s="603"/>
      <c r="X400" s="603"/>
      <c r="Y400" s="603"/>
      <c r="Z400" s="603"/>
    </row>
    <row r="401" spans="1:26" ht="15.75" customHeight="1" x14ac:dyDescent="0.2">
      <c r="A401" s="603"/>
      <c r="B401" s="603"/>
      <c r="C401" s="603"/>
      <c r="D401" s="603"/>
      <c r="E401" s="603"/>
      <c r="F401" s="603"/>
      <c r="G401" s="603"/>
      <c r="H401" s="603"/>
      <c r="I401" s="603"/>
      <c r="J401" s="603"/>
      <c r="K401" s="449"/>
      <c r="L401" s="603"/>
      <c r="M401" s="603"/>
      <c r="N401" s="603"/>
      <c r="O401" s="603"/>
      <c r="P401" s="603"/>
      <c r="Q401" s="603"/>
      <c r="R401" s="603"/>
      <c r="S401" s="603"/>
      <c r="T401" s="603"/>
      <c r="U401" s="603"/>
      <c r="V401" s="603"/>
      <c r="W401" s="603"/>
      <c r="X401" s="603"/>
      <c r="Y401" s="603"/>
      <c r="Z401" s="603"/>
    </row>
    <row r="402" spans="1:26" ht="15.75" customHeight="1" x14ac:dyDescent="0.2">
      <c r="A402" s="603"/>
      <c r="B402" s="603"/>
      <c r="C402" s="603"/>
      <c r="D402" s="603"/>
      <c r="E402" s="603"/>
      <c r="F402" s="603"/>
      <c r="G402" s="603"/>
      <c r="H402" s="603"/>
      <c r="I402" s="603"/>
      <c r="J402" s="603"/>
      <c r="K402" s="449"/>
      <c r="L402" s="603"/>
      <c r="M402" s="603"/>
      <c r="N402" s="603"/>
      <c r="O402" s="603"/>
      <c r="P402" s="603"/>
      <c r="Q402" s="603"/>
      <c r="R402" s="603"/>
      <c r="S402" s="603"/>
      <c r="T402" s="603"/>
      <c r="U402" s="603"/>
      <c r="V402" s="603"/>
      <c r="W402" s="603"/>
      <c r="X402" s="603"/>
      <c r="Y402" s="603"/>
      <c r="Z402" s="603"/>
    </row>
    <row r="403" spans="1:26" ht="15.75" customHeight="1" x14ac:dyDescent="0.2">
      <c r="A403" s="603"/>
      <c r="B403" s="603"/>
      <c r="C403" s="603"/>
      <c r="D403" s="603"/>
      <c r="E403" s="603"/>
      <c r="F403" s="603"/>
      <c r="G403" s="603"/>
      <c r="H403" s="603"/>
      <c r="I403" s="603"/>
      <c r="J403" s="603"/>
      <c r="K403" s="449"/>
      <c r="L403" s="603"/>
      <c r="M403" s="603"/>
      <c r="N403" s="603"/>
      <c r="O403" s="603"/>
      <c r="P403" s="603"/>
      <c r="Q403" s="603"/>
      <c r="R403" s="603"/>
      <c r="S403" s="603"/>
      <c r="T403" s="603"/>
      <c r="U403" s="603"/>
      <c r="V403" s="603"/>
      <c r="W403" s="603"/>
      <c r="X403" s="603"/>
      <c r="Y403" s="603"/>
      <c r="Z403" s="603"/>
    </row>
    <row r="404" spans="1:26" ht="15.75" customHeight="1" x14ac:dyDescent="0.2">
      <c r="A404" s="603"/>
      <c r="B404" s="603"/>
      <c r="C404" s="603"/>
      <c r="D404" s="603"/>
      <c r="E404" s="603"/>
      <c r="F404" s="603"/>
      <c r="G404" s="603"/>
      <c r="H404" s="603"/>
      <c r="I404" s="603"/>
      <c r="J404" s="603"/>
      <c r="K404" s="449"/>
      <c r="L404" s="603"/>
      <c r="M404" s="603"/>
      <c r="N404" s="603"/>
      <c r="O404" s="603"/>
      <c r="P404" s="603"/>
      <c r="Q404" s="603"/>
      <c r="R404" s="603"/>
      <c r="S404" s="603"/>
      <c r="T404" s="603"/>
      <c r="U404" s="603"/>
      <c r="V404" s="603"/>
      <c r="W404" s="603"/>
      <c r="X404" s="603"/>
      <c r="Y404" s="603"/>
      <c r="Z404" s="603"/>
    </row>
    <row r="405" spans="1:26" ht="15.75" customHeight="1" x14ac:dyDescent="0.2">
      <c r="A405" s="603"/>
      <c r="B405" s="603"/>
      <c r="C405" s="603"/>
      <c r="D405" s="603"/>
      <c r="E405" s="603"/>
      <c r="F405" s="603"/>
      <c r="G405" s="603"/>
      <c r="H405" s="603"/>
      <c r="I405" s="603"/>
      <c r="J405" s="603"/>
      <c r="K405" s="449"/>
      <c r="L405" s="603"/>
      <c r="M405" s="603"/>
      <c r="N405" s="603"/>
      <c r="O405" s="603"/>
      <c r="P405" s="603"/>
      <c r="Q405" s="603"/>
      <c r="R405" s="603"/>
      <c r="S405" s="603"/>
      <c r="T405" s="603"/>
      <c r="U405" s="603"/>
      <c r="V405" s="603"/>
      <c r="W405" s="603"/>
      <c r="X405" s="603"/>
      <c r="Y405" s="603"/>
      <c r="Z405" s="603"/>
    </row>
    <row r="406" spans="1:26" ht="15.75" customHeight="1" x14ac:dyDescent="0.2">
      <c r="A406" s="603"/>
      <c r="B406" s="603"/>
      <c r="C406" s="603"/>
      <c r="D406" s="603"/>
      <c r="E406" s="603"/>
      <c r="F406" s="603"/>
      <c r="G406" s="603"/>
      <c r="H406" s="603"/>
      <c r="I406" s="603"/>
      <c r="J406" s="603"/>
      <c r="K406" s="449"/>
      <c r="L406" s="603"/>
      <c r="M406" s="603"/>
      <c r="N406" s="603"/>
      <c r="O406" s="603"/>
      <c r="P406" s="603"/>
      <c r="Q406" s="603"/>
      <c r="R406" s="603"/>
      <c r="S406" s="603"/>
      <c r="T406" s="603"/>
      <c r="U406" s="603"/>
      <c r="V406" s="603"/>
      <c r="W406" s="603"/>
      <c r="X406" s="603"/>
      <c r="Y406" s="603"/>
      <c r="Z406" s="603"/>
    </row>
    <row r="407" spans="1:26" ht="15.75" customHeight="1" x14ac:dyDescent="0.2">
      <c r="A407" s="603"/>
      <c r="B407" s="603"/>
      <c r="C407" s="603"/>
      <c r="D407" s="603"/>
      <c r="E407" s="603"/>
      <c r="F407" s="603"/>
      <c r="G407" s="603"/>
      <c r="H407" s="603"/>
      <c r="I407" s="603"/>
      <c r="J407" s="603"/>
      <c r="K407" s="449"/>
      <c r="L407" s="603"/>
      <c r="M407" s="603"/>
      <c r="N407" s="603"/>
      <c r="O407" s="603"/>
      <c r="P407" s="603"/>
      <c r="Q407" s="603"/>
      <c r="R407" s="603"/>
      <c r="S407" s="603"/>
      <c r="T407" s="603"/>
      <c r="U407" s="603"/>
      <c r="V407" s="603"/>
      <c r="W407" s="603"/>
      <c r="X407" s="603"/>
      <c r="Y407" s="603"/>
      <c r="Z407" s="603"/>
    </row>
    <row r="408" spans="1:26" ht="15.75" customHeight="1" x14ac:dyDescent="0.2">
      <c r="A408" s="603"/>
      <c r="B408" s="603"/>
      <c r="C408" s="603"/>
      <c r="D408" s="603"/>
      <c r="E408" s="603"/>
      <c r="F408" s="603"/>
      <c r="G408" s="603"/>
      <c r="H408" s="603"/>
      <c r="I408" s="603"/>
      <c r="J408" s="603"/>
      <c r="K408" s="449"/>
      <c r="L408" s="603"/>
      <c r="M408" s="603"/>
      <c r="N408" s="603"/>
      <c r="O408" s="603"/>
      <c r="P408" s="603"/>
      <c r="Q408" s="603"/>
      <c r="R408" s="603"/>
      <c r="S408" s="603"/>
      <c r="T408" s="603"/>
      <c r="U408" s="603"/>
      <c r="V408" s="603"/>
      <c r="W408" s="603"/>
      <c r="X408" s="603"/>
      <c r="Y408" s="603"/>
      <c r="Z408" s="603"/>
    </row>
    <row r="409" spans="1:26" ht="15.75" customHeight="1" x14ac:dyDescent="0.2">
      <c r="A409" s="603"/>
      <c r="B409" s="603"/>
      <c r="C409" s="603"/>
      <c r="D409" s="603"/>
      <c r="E409" s="603"/>
      <c r="F409" s="603"/>
      <c r="G409" s="603"/>
      <c r="H409" s="603"/>
      <c r="I409" s="603"/>
      <c r="J409" s="603"/>
      <c r="K409" s="449"/>
      <c r="L409" s="603"/>
      <c r="M409" s="603"/>
      <c r="N409" s="603"/>
      <c r="O409" s="603"/>
      <c r="P409" s="603"/>
      <c r="Q409" s="603"/>
      <c r="R409" s="603"/>
      <c r="S409" s="603"/>
      <c r="T409" s="603"/>
      <c r="U409" s="603"/>
      <c r="V409" s="603"/>
      <c r="W409" s="603"/>
      <c r="X409" s="603"/>
      <c r="Y409" s="603"/>
      <c r="Z409" s="603"/>
    </row>
    <row r="410" spans="1:26" ht="15.75" customHeight="1" x14ac:dyDescent="0.2">
      <c r="A410" s="603"/>
      <c r="B410" s="603"/>
      <c r="C410" s="603"/>
      <c r="D410" s="603"/>
      <c r="E410" s="603"/>
      <c r="F410" s="603"/>
      <c r="G410" s="603"/>
      <c r="H410" s="603"/>
      <c r="I410" s="603"/>
      <c r="J410" s="603"/>
      <c r="K410" s="449"/>
      <c r="L410" s="603"/>
      <c r="M410" s="603"/>
      <c r="N410" s="603"/>
      <c r="O410" s="603"/>
      <c r="P410" s="603"/>
      <c r="Q410" s="603"/>
      <c r="R410" s="603"/>
      <c r="S410" s="603"/>
      <c r="T410" s="603"/>
      <c r="U410" s="603"/>
      <c r="V410" s="603"/>
      <c r="W410" s="603"/>
      <c r="X410" s="603"/>
      <c r="Y410" s="603"/>
      <c r="Z410" s="603"/>
    </row>
    <row r="411" spans="1:26" ht="15.75" customHeight="1" x14ac:dyDescent="0.2">
      <c r="A411" s="603"/>
      <c r="B411" s="603"/>
      <c r="C411" s="603"/>
      <c r="D411" s="603"/>
      <c r="E411" s="603"/>
      <c r="F411" s="603"/>
      <c r="G411" s="603"/>
      <c r="H411" s="603"/>
      <c r="I411" s="603"/>
      <c r="J411" s="603"/>
      <c r="K411" s="449"/>
      <c r="L411" s="603"/>
      <c r="M411" s="603"/>
      <c r="N411" s="603"/>
      <c r="O411" s="603"/>
      <c r="P411" s="603"/>
      <c r="Q411" s="603"/>
      <c r="R411" s="603"/>
      <c r="S411" s="603"/>
      <c r="T411" s="603"/>
      <c r="U411" s="603"/>
      <c r="V411" s="603"/>
      <c r="W411" s="603"/>
      <c r="X411" s="603"/>
      <c r="Y411" s="603"/>
      <c r="Z411" s="603"/>
    </row>
    <row r="412" spans="1:26" ht="15.75" customHeight="1" x14ac:dyDescent="0.2">
      <c r="A412" s="603"/>
      <c r="B412" s="603"/>
      <c r="C412" s="603"/>
      <c r="D412" s="603"/>
      <c r="E412" s="603"/>
      <c r="F412" s="603"/>
      <c r="G412" s="603"/>
      <c r="H412" s="603"/>
      <c r="I412" s="603"/>
      <c r="J412" s="603"/>
      <c r="K412" s="449"/>
      <c r="L412" s="603"/>
      <c r="M412" s="603"/>
      <c r="N412" s="603"/>
      <c r="O412" s="603"/>
      <c r="P412" s="603"/>
      <c r="Q412" s="603"/>
      <c r="R412" s="603"/>
      <c r="S412" s="603"/>
      <c r="T412" s="603"/>
      <c r="U412" s="603"/>
      <c r="V412" s="603"/>
      <c r="W412" s="603"/>
      <c r="X412" s="603"/>
      <c r="Y412" s="603"/>
      <c r="Z412" s="603"/>
    </row>
    <row r="413" spans="1:26" ht="15.75" customHeight="1" x14ac:dyDescent="0.2">
      <c r="A413" s="603"/>
      <c r="B413" s="603"/>
      <c r="C413" s="603"/>
      <c r="D413" s="603"/>
      <c r="E413" s="603"/>
      <c r="F413" s="603"/>
      <c r="G413" s="603"/>
      <c r="H413" s="603"/>
      <c r="I413" s="603"/>
      <c r="J413" s="603"/>
      <c r="K413" s="449"/>
      <c r="L413" s="603"/>
      <c r="M413" s="603"/>
      <c r="N413" s="603"/>
      <c r="O413" s="603"/>
      <c r="P413" s="603"/>
      <c r="Q413" s="603"/>
      <c r="R413" s="603"/>
      <c r="S413" s="603"/>
      <c r="T413" s="603"/>
      <c r="U413" s="603"/>
      <c r="V413" s="603"/>
      <c r="W413" s="603"/>
      <c r="X413" s="603"/>
      <c r="Y413" s="603"/>
      <c r="Z413" s="603"/>
    </row>
    <row r="414" spans="1:26" ht="15.75" customHeight="1" x14ac:dyDescent="0.2">
      <c r="A414" s="603"/>
      <c r="B414" s="603"/>
      <c r="C414" s="603"/>
      <c r="D414" s="603"/>
      <c r="E414" s="603"/>
      <c r="F414" s="603"/>
      <c r="G414" s="603"/>
      <c r="H414" s="603"/>
      <c r="I414" s="603"/>
      <c r="J414" s="603"/>
      <c r="K414" s="449"/>
      <c r="L414" s="603"/>
      <c r="M414" s="603"/>
      <c r="N414" s="603"/>
      <c r="O414" s="603"/>
      <c r="P414" s="603"/>
      <c r="Q414" s="603"/>
      <c r="R414" s="603"/>
      <c r="S414" s="603"/>
      <c r="T414" s="603"/>
      <c r="U414" s="603"/>
      <c r="V414" s="603"/>
      <c r="W414" s="603"/>
      <c r="X414" s="603"/>
      <c r="Y414" s="603"/>
      <c r="Z414" s="603"/>
    </row>
    <row r="415" spans="1:26" ht="15.75" customHeight="1" x14ac:dyDescent="0.2">
      <c r="A415" s="603"/>
      <c r="B415" s="603"/>
      <c r="C415" s="603"/>
      <c r="D415" s="603"/>
      <c r="E415" s="603"/>
      <c r="F415" s="603"/>
      <c r="G415" s="603"/>
      <c r="H415" s="603"/>
      <c r="I415" s="603"/>
      <c r="J415" s="603"/>
      <c r="K415" s="449"/>
      <c r="L415" s="603"/>
      <c r="M415" s="603"/>
      <c r="N415" s="603"/>
      <c r="O415" s="603"/>
      <c r="P415" s="603"/>
      <c r="Q415" s="603"/>
      <c r="R415" s="603"/>
      <c r="S415" s="603"/>
      <c r="T415" s="603"/>
      <c r="U415" s="603"/>
      <c r="V415" s="603"/>
      <c r="W415" s="603"/>
      <c r="X415" s="603"/>
      <c r="Y415" s="603"/>
      <c r="Z415" s="603"/>
    </row>
    <row r="416" spans="1:26" ht="15.75" customHeight="1" x14ac:dyDescent="0.2">
      <c r="A416" s="603"/>
      <c r="B416" s="603"/>
      <c r="C416" s="603"/>
      <c r="D416" s="603"/>
      <c r="E416" s="603"/>
      <c r="F416" s="603"/>
      <c r="G416" s="603"/>
      <c r="H416" s="603"/>
      <c r="I416" s="603"/>
      <c r="J416" s="603"/>
      <c r="K416" s="449"/>
      <c r="L416" s="603"/>
      <c r="M416" s="603"/>
      <c r="N416" s="603"/>
      <c r="O416" s="603"/>
      <c r="P416" s="603"/>
      <c r="Q416" s="603"/>
      <c r="R416" s="603"/>
      <c r="S416" s="603"/>
      <c r="T416" s="603"/>
      <c r="U416" s="603"/>
      <c r="V416" s="603"/>
      <c r="W416" s="603"/>
      <c r="X416" s="603"/>
      <c r="Y416" s="603"/>
      <c r="Z416" s="603"/>
    </row>
    <row r="417" spans="1:26" ht="15.75" customHeight="1" x14ac:dyDescent="0.2">
      <c r="A417" s="603"/>
      <c r="B417" s="603"/>
      <c r="C417" s="603"/>
      <c r="D417" s="603"/>
      <c r="E417" s="603"/>
      <c r="F417" s="603"/>
      <c r="G417" s="603"/>
      <c r="H417" s="603"/>
      <c r="I417" s="603"/>
      <c r="J417" s="603"/>
      <c r="K417" s="449"/>
      <c r="L417" s="603"/>
      <c r="M417" s="603"/>
      <c r="N417" s="603"/>
      <c r="O417" s="603"/>
      <c r="P417" s="603"/>
      <c r="Q417" s="603"/>
      <c r="R417" s="603"/>
      <c r="S417" s="603"/>
      <c r="T417" s="603"/>
      <c r="U417" s="603"/>
      <c r="V417" s="603"/>
      <c r="W417" s="603"/>
      <c r="X417" s="603"/>
      <c r="Y417" s="603"/>
      <c r="Z417" s="603"/>
    </row>
    <row r="418" spans="1:26" ht="15.75" customHeight="1" x14ac:dyDescent="0.2">
      <c r="A418" s="603"/>
      <c r="B418" s="603"/>
      <c r="C418" s="603"/>
      <c r="D418" s="603"/>
      <c r="E418" s="603"/>
      <c r="F418" s="603"/>
      <c r="G418" s="603"/>
      <c r="H418" s="603"/>
      <c r="I418" s="603"/>
      <c r="J418" s="603"/>
      <c r="K418" s="449"/>
      <c r="L418" s="603"/>
      <c r="M418" s="603"/>
      <c r="N418" s="603"/>
      <c r="O418" s="603"/>
      <c r="P418" s="603"/>
      <c r="Q418" s="603"/>
      <c r="R418" s="603"/>
      <c r="S418" s="603"/>
      <c r="T418" s="603"/>
      <c r="U418" s="603"/>
      <c r="V418" s="603"/>
      <c r="W418" s="603"/>
      <c r="X418" s="603"/>
      <c r="Y418" s="603"/>
      <c r="Z418" s="603"/>
    </row>
    <row r="419" spans="1:26" ht="15.75" customHeight="1" x14ac:dyDescent="0.2">
      <c r="A419" s="603"/>
      <c r="B419" s="603"/>
      <c r="C419" s="603"/>
      <c r="D419" s="603"/>
      <c r="E419" s="603"/>
      <c r="F419" s="603"/>
      <c r="G419" s="603"/>
      <c r="H419" s="603"/>
      <c r="I419" s="603"/>
      <c r="J419" s="603"/>
      <c r="K419" s="449"/>
      <c r="L419" s="603"/>
      <c r="M419" s="603"/>
      <c r="N419" s="603"/>
      <c r="O419" s="603"/>
      <c r="P419" s="603"/>
      <c r="Q419" s="603"/>
      <c r="R419" s="603"/>
      <c r="S419" s="603"/>
      <c r="T419" s="603"/>
      <c r="U419" s="603"/>
      <c r="V419" s="603"/>
      <c r="W419" s="603"/>
      <c r="X419" s="603"/>
      <c r="Y419" s="603"/>
      <c r="Z419" s="603"/>
    </row>
    <row r="420" spans="1:26" ht="15.75" customHeight="1" x14ac:dyDescent="0.2">
      <c r="A420" s="603"/>
      <c r="B420" s="603"/>
      <c r="C420" s="603"/>
      <c r="D420" s="603"/>
      <c r="E420" s="603"/>
      <c r="F420" s="603"/>
      <c r="G420" s="603"/>
      <c r="H420" s="603"/>
      <c r="I420" s="603"/>
      <c r="J420" s="603"/>
      <c r="K420" s="449"/>
      <c r="L420" s="603"/>
      <c r="M420" s="603"/>
      <c r="N420" s="603"/>
      <c r="O420" s="603"/>
      <c r="P420" s="603"/>
      <c r="Q420" s="603"/>
      <c r="R420" s="603"/>
      <c r="S420" s="603"/>
      <c r="T420" s="603"/>
      <c r="U420" s="603"/>
      <c r="V420" s="603"/>
      <c r="W420" s="603"/>
      <c r="X420" s="603"/>
      <c r="Y420" s="603"/>
      <c r="Z420" s="603"/>
    </row>
    <row r="421" spans="1:26" ht="15.75" customHeight="1" x14ac:dyDescent="0.2">
      <c r="A421" s="603"/>
      <c r="B421" s="603"/>
      <c r="C421" s="603"/>
      <c r="D421" s="603"/>
      <c r="E421" s="603"/>
      <c r="F421" s="603"/>
      <c r="G421" s="603"/>
      <c r="H421" s="603"/>
      <c r="I421" s="603"/>
      <c r="J421" s="603"/>
      <c r="K421" s="449"/>
      <c r="L421" s="603"/>
      <c r="M421" s="603"/>
      <c r="N421" s="603"/>
      <c r="O421" s="603"/>
      <c r="P421" s="603"/>
      <c r="Q421" s="603"/>
      <c r="R421" s="603"/>
      <c r="S421" s="603"/>
      <c r="T421" s="603"/>
      <c r="U421" s="603"/>
      <c r="V421" s="603"/>
      <c r="W421" s="603"/>
      <c r="X421" s="603"/>
      <c r="Y421" s="603"/>
      <c r="Z421" s="603"/>
    </row>
    <row r="422" spans="1:26" ht="15.75" customHeight="1" x14ac:dyDescent="0.2">
      <c r="A422" s="603"/>
      <c r="B422" s="603"/>
      <c r="C422" s="603"/>
      <c r="D422" s="603"/>
      <c r="E422" s="603"/>
      <c r="F422" s="603"/>
      <c r="G422" s="603"/>
      <c r="H422" s="603"/>
      <c r="I422" s="603"/>
      <c r="J422" s="603"/>
      <c r="K422" s="449"/>
      <c r="L422" s="603"/>
      <c r="M422" s="603"/>
      <c r="N422" s="603"/>
      <c r="O422" s="603"/>
      <c r="P422" s="603"/>
      <c r="Q422" s="603"/>
      <c r="R422" s="603"/>
      <c r="S422" s="603"/>
      <c r="T422" s="603"/>
      <c r="U422" s="603"/>
      <c r="V422" s="603"/>
      <c r="W422" s="603"/>
      <c r="X422" s="603"/>
      <c r="Y422" s="603"/>
      <c r="Z422" s="603"/>
    </row>
    <row r="423" spans="1:26" ht="15.75" customHeight="1" x14ac:dyDescent="0.2">
      <c r="A423" s="603"/>
      <c r="B423" s="603"/>
      <c r="C423" s="603"/>
      <c r="D423" s="603"/>
      <c r="E423" s="603"/>
      <c r="F423" s="603"/>
      <c r="G423" s="603"/>
      <c r="H423" s="603"/>
      <c r="I423" s="603"/>
      <c r="J423" s="603"/>
      <c r="K423" s="449"/>
      <c r="L423" s="603"/>
      <c r="M423" s="603"/>
      <c r="N423" s="603"/>
      <c r="O423" s="603"/>
      <c r="P423" s="603"/>
      <c r="Q423" s="603"/>
      <c r="R423" s="603"/>
      <c r="S423" s="603"/>
      <c r="T423" s="603"/>
      <c r="U423" s="603"/>
      <c r="V423" s="603"/>
      <c r="W423" s="603"/>
      <c r="X423" s="603"/>
      <c r="Y423" s="603"/>
      <c r="Z423" s="603"/>
    </row>
    <row r="424" spans="1:26" ht="15.75" customHeight="1" x14ac:dyDescent="0.2">
      <c r="A424" s="603"/>
      <c r="B424" s="603"/>
      <c r="C424" s="603"/>
      <c r="D424" s="603"/>
      <c r="E424" s="603"/>
      <c r="F424" s="603"/>
      <c r="G424" s="603"/>
      <c r="H424" s="603"/>
      <c r="I424" s="603"/>
      <c r="J424" s="603"/>
      <c r="K424" s="449"/>
      <c r="L424" s="603"/>
      <c r="M424" s="603"/>
      <c r="N424" s="603"/>
      <c r="O424" s="603"/>
      <c r="P424" s="603"/>
      <c r="Q424" s="603"/>
      <c r="R424" s="603"/>
      <c r="S424" s="603"/>
      <c r="T424" s="603"/>
      <c r="U424" s="603"/>
      <c r="V424" s="603"/>
      <c r="W424" s="603"/>
      <c r="X424" s="603"/>
      <c r="Y424" s="603"/>
      <c r="Z424" s="603"/>
    </row>
    <row r="425" spans="1:26" ht="15.75" customHeight="1" x14ac:dyDescent="0.2">
      <c r="A425" s="603"/>
      <c r="B425" s="603"/>
      <c r="C425" s="603"/>
      <c r="D425" s="603"/>
      <c r="E425" s="603"/>
      <c r="F425" s="603"/>
      <c r="G425" s="603"/>
      <c r="H425" s="603"/>
      <c r="I425" s="603"/>
      <c r="J425" s="603"/>
      <c r="K425" s="449"/>
      <c r="L425" s="603"/>
      <c r="M425" s="603"/>
      <c r="N425" s="603"/>
      <c r="O425" s="603"/>
      <c r="P425" s="603"/>
      <c r="Q425" s="603"/>
      <c r="R425" s="603"/>
      <c r="S425" s="603"/>
      <c r="T425" s="603"/>
      <c r="U425" s="603"/>
      <c r="V425" s="603"/>
      <c r="W425" s="603"/>
      <c r="X425" s="603"/>
      <c r="Y425" s="603"/>
      <c r="Z425" s="603"/>
    </row>
    <row r="426" spans="1:26" ht="15.75" customHeight="1" x14ac:dyDescent="0.2">
      <c r="A426" s="603"/>
      <c r="B426" s="603"/>
      <c r="C426" s="603"/>
      <c r="D426" s="603"/>
      <c r="E426" s="603"/>
      <c r="F426" s="603"/>
      <c r="G426" s="603"/>
      <c r="H426" s="603"/>
      <c r="I426" s="603"/>
      <c r="J426" s="603"/>
      <c r="K426" s="449"/>
      <c r="L426" s="603"/>
      <c r="M426" s="603"/>
      <c r="N426" s="603"/>
      <c r="O426" s="603"/>
      <c r="P426" s="603"/>
      <c r="Q426" s="603"/>
      <c r="R426" s="603"/>
      <c r="S426" s="603"/>
      <c r="T426" s="603"/>
      <c r="U426" s="603"/>
      <c r="V426" s="603"/>
      <c r="W426" s="603"/>
      <c r="X426" s="603"/>
      <c r="Y426" s="603"/>
      <c r="Z426" s="603"/>
    </row>
    <row r="427" spans="1:26" ht="15.75" customHeight="1" x14ac:dyDescent="0.2">
      <c r="A427" s="603"/>
      <c r="B427" s="603"/>
      <c r="C427" s="603"/>
      <c r="D427" s="603"/>
      <c r="E427" s="603"/>
      <c r="F427" s="603"/>
      <c r="G427" s="603"/>
      <c r="H427" s="603"/>
      <c r="I427" s="603"/>
      <c r="J427" s="603"/>
      <c r="K427" s="449"/>
      <c r="L427" s="603"/>
      <c r="M427" s="603"/>
      <c r="N427" s="603"/>
      <c r="O427" s="603"/>
      <c r="P427" s="603"/>
      <c r="Q427" s="603"/>
      <c r="R427" s="603"/>
      <c r="S427" s="603"/>
      <c r="T427" s="603"/>
      <c r="U427" s="603"/>
      <c r="V427" s="603"/>
      <c r="W427" s="603"/>
      <c r="X427" s="603"/>
      <c r="Y427" s="603"/>
      <c r="Z427" s="603"/>
    </row>
    <row r="428" spans="1:26" ht="15.75" customHeight="1" x14ac:dyDescent="0.2">
      <c r="A428" s="603"/>
      <c r="B428" s="603"/>
      <c r="C428" s="603"/>
      <c r="D428" s="603"/>
      <c r="E428" s="603"/>
      <c r="F428" s="603"/>
      <c r="G428" s="603"/>
      <c r="H428" s="603"/>
      <c r="I428" s="603"/>
      <c r="J428" s="603"/>
      <c r="K428" s="449"/>
      <c r="L428" s="603"/>
      <c r="M428" s="603"/>
      <c r="N428" s="603"/>
      <c r="O428" s="603"/>
      <c r="P428" s="603"/>
      <c r="Q428" s="603"/>
      <c r="R428" s="603"/>
      <c r="S428" s="603"/>
      <c r="T428" s="603"/>
      <c r="U428" s="603"/>
      <c r="V428" s="603"/>
      <c r="W428" s="603"/>
      <c r="X428" s="603"/>
      <c r="Y428" s="603"/>
      <c r="Z428" s="603"/>
    </row>
    <row r="429" spans="1:26" ht="15.75" customHeight="1" x14ac:dyDescent="0.2">
      <c r="A429" s="603"/>
      <c r="B429" s="603"/>
      <c r="C429" s="603"/>
      <c r="D429" s="603"/>
      <c r="E429" s="603"/>
      <c r="F429" s="603"/>
      <c r="G429" s="603"/>
      <c r="H429" s="603"/>
      <c r="I429" s="603"/>
      <c r="J429" s="603"/>
      <c r="K429" s="449"/>
      <c r="L429" s="603"/>
      <c r="M429" s="603"/>
      <c r="N429" s="603"/>
      <c r="O429" s="603"/>
      <c r="P429" s="603"/>
      <c r="Q429" s="603"/>
      <c r="R429" s="603"/>
      <c r="S429" s="603"/>
      <c r="T429" s="603"/>
      <c r="U429" s="603"/>
      <c r="V429" s="603"/>
      <c r="W429" s="603"/>
      <c r="X429" s="603"/>
      <c r="Y429" s="603"/>
      <c r="Z429" s="603"/>
    </row>
    <row r="430" spans="1:26" ht="15.75" customHeight="1" x14ac:dyDescent="0.2">
      <c r="A430" s="603"/>
      <c r="B430" s="603"/>
      <c r="C430" s="603"/>
      <c r="D430" s="603"/>
      <c r="E430" s="603"/>
      <c r="F430" s="603"/>
      <c r="G430" s="603"/>
      <c r="H430" s="603"/>
      <c r="I430" s="603"/>
      <c r="J430" s="603"/>
      <c r="K430" s="449"/>
      <c r="L430" s="603"/>
      <c r="M430" s="603"/>
      <c r="N430" s="603"/>
      <c r="O430" s="603"/>
      <c r="P430" s="603"/>
      <c r="Q430" s="603"/>
      <c r="R430" s="603"/>
      <c r="S430" s="603"/>
      <c r="T430" s="603"/>
      <c r="U430" s="603"/>
      <c r="V430" s="603"/>
      <c r="W430" s="603"/>
      <c r="X430" s="603"/>
      <c r="Y430" s="603"/>
      <c r="Z430" s="603"/>
    </row>
    <row r="431" spans="1:26" ht="15.75" customHeight="1" x14ac:dyDescent="0.2">
      <c r="A431" s="603"/>
      <c r="B431" s="603"/>
      <c r="C431" s="603"/>
      <c r="D431" s="603"/>
      <c r="E431" s="603"/>
      <c r="F431" s="603"/>
      <c r="G431" s="603"/>
      <c r="H431" s="603"/>
      <c r="I431" s="603"/>
      <c r="J431" s="603"/>
      <c r="K431" s="449"/>
      <c r="L431" s="603"/>
      <c r="M431" s="603"/>
      <c r="N431" s="603"/>
      <c r="O431" s="603"/>
      <c r="P431" s="603"/>
      <c r="Q431" s="603"/>
      <c r="R431" s="603"/>
      <c r="S431" s="603"/>
      <c r="T431" s="603"/>
      <c r="U431" s="603"/>
      <c r="V431" s="603"/>
      <c r="W431" s="603"/>
      <c r="X431" s="603"/>
      <c r="Y431" s="603"/>
      <c r="Z431" s="603"/>
    </row>
    <row r="432" spans="1:26" ht="15.75" customHeight="1" x14ac:dyDescent="0.2">
      <c r="A432" s="603"/>
      <c r="B432" s="603"/>
      <c r="C432" s="603"/>
      <c r="D432" s="603"/>
      <c r="E432" s="603"/>
      <c r="F432" s="603"/>
      <c r="G432" s="603"/>
      <c r="H432" s="603"/>
      <c r="I432" s="603"/>
      <c r="J432" s="603"/>
      <c r="K432" s="449"/>
      <c r="L432" s="603"/>
      <c r="M432" s="603"/>
      <c r="N432" s="603"/>
      <c r="O432" s="603"/>
      <c r="P432" s="603"/>
      <c r="Q432" s="603"/>
      <c r="R432" s="603"/>
      <c r="S432" s="603"/>
      <c r="T432" s="603"/>
      <c r="U432" s="603"/>
      <c r="V432" s="603"/>
      <c r="W432" s="603"/>
      <c r="X432" s="603"/>
      <c r="Y432" s="603"/>
      <c r="Z432" s="603"/>
    </row>
    <row r="433" spans="1:26" ht="15.75" customHeight="1" x14ac:dyDescent="0.2">
      <c r="A433" s="603"/>
      <c r="B433" s="603"/>
      <c r="C433" s="603"/>
      <c r="D433" s="603"/>
      <c r="E433" s="603"/>
      <c r="F433" s="603"/>
      <c r="G433" s="603"/>
      <c r="H433" s="603"/>
      <c r="I433" s="603"/>
      <c r="J433" s="603"/>
      <c r="K433" s="449"/>
      <c r="L433" s="603"/>
      <c r="M433" s="603"/>
      <c r="N433" s="603"/>
      <c r="O433" s="603"/>
      <c r="P433" s="603"/>
      <c r="Q433" s="603"/>
      <c r="R433" s="603"/>
      <c r="S433" s="603"/>
      <c r="T433" s="603"/>
      <c r="U433" s="603"/>
      <c r="V433" s="603"/>
      <c r="W433" s="603"/>
      <c r="X433" s="603"/>
      <c r="Y433" s="603"/>
      <c r="Z433" s="603"/>
    </row>
    <row r="434" spans="1:26" ht="15.75" customHeight="1" x14ac:dyDescent="0.2">
      <c r="A434" s="603"/>
      <c r="B434" s="603"/>
      <c r="C434" s="603"/>
      <c r="D434" s="603"/>
      <c r="E434" s="603"/>
      <c r="F434" s="603"/>
      <c r="G434" s="603"/>
      <c r="H434" s="603"/>
      <c r="I434" s="603"/>
      <c r="J434" s="603"/>
      <c r="K434" s="449"/>
      <c r="L434" s="603"/>
      <c r="M434" s="603"/>
      <c r="N434" s="603"/>
      <c r="O434" s="603"/>
      <c r="P434" s="603"/>
      <c r="Q434" s="603"/>
      <c r="R434" s="603"/>
      <c r="S434" s="603"/>
      <c r="T434" s="603"/>
      <c r="U434" s="603"/>
      <c r="V434" s="603"/>
      <c r="W434" s="603"/>
      <c r="X434" s="603"/>
      <c r="Y434" s="603"/>
      <c r="Z434" s="603"/>
    </row>
    <row r="435" spans="1:26" ht="15.75" customHeight="1" x14ac:dyDescent="0.2">
      <c r="A435" s="603"/>
      <c r="B435" s="603"/>
      <c r="C435" s="603"/>
      <c r="D435" s="603"/>
      <c r="E435" s="603"/>
      <c r="F435" s="603"/>
      <c r="G435" s="603"/>
      <c r="H435" s="603"/>
      <c r="I435" s="603"/>
      <c r="J435" s="603"/>
      <c r="K435" s="449"/>
      <c r="L435" s="603"/>
      <c r="M435" s="603"/>
      <c r="N435" s="603"/>
      <c r="O435" s="603"/>
      <c r="P435" s="603"/>
      <c r="Q435" s="603"/>
      <c r="R435" s="603"/>
      <c r="S435" s="603"/>
      <c r="T435" s="603"/>
      <c r="U435" s="603"/>
      <c r="V435" s="603"/>
      <c r="W435" s="603"/>
      <c r="X435" s="603"/>
      <c r="Y435" s="603"/>
      <c r="Z435" s="603"/>
    </row>
    <row r="436" spans="1:26" ht="15.75" customHeight="1" x14ac:dyDescent="0.2">
      <c r="A436" s="603"/>
      <c r="B436" s="603"/>
      <c r="C436" s="603"/>
      <c r="D436" s="603"/>
      <c r="E436" s="603"/>
      <c r="F436" s="603"/>
      <c r="G436" s="603"/>
      <c r="H436" s="603"/>
      <c r="I436" s="603"/>
      <c r="J436" s="603"/>
      <c r="K436" s="449"/>
      <c r="L436" s="603"/>
      <c r="M436" s="603"/>
      <c r="N436" s="603"/>
      <c r="O436" s="603"/>
      <c r="P436" s="603"/>
      <c r="Q436" s="603"/>
      <c r="R436" s="603"/>
      <c r="S436" s="603"/>
      <c r="T436" s="603"/>
      <c r="U436" s="603"/>
      <c r="V436" s="603"/>
      <c r="W436" s="603"/>
      <c r="X436" s="603"/>
      <c r="Y436" s="603"/>
      <c r="Z436" s="603"/>
    </row>
    <row r="437" spans="1:26" ht="15.75" customHeight="1" x14ac:dyDescent="0.2">
      <c r="A437" s="603"/>
      <c r="B437" s="603"/>
      <c r="C437" s="603"/>
      <c r="D437" s="603"/>
      <c r="E437" s="603"/>
      <c r="F437" s="603"/>
      <c r="G437" s="603"/>
      <c r="H437" s="603"/>
      <c r="I437" s="603"/>
      <c r="J437" s="603"/>
      <c r="K437" s="449"/>
      <c r="L437" s="603"/>
      <c r="M437" s="603"/>
      <c r="N437" s="603"/>
      <c r="O437" s="603"/>
      <c r="P437" s="603"/>
      <c r="Q437" s="603"/>
      <c r="R437" s="603"/>
      <c r="S437" s="603"/>
      <c r="T437" s="603"/>
      <c r="U437" s="603"/>
      <c r="V437" s="603"/>
      <c r="W437" s="603"/>
      <c r="X437" s="603"/>
      <c r="Y437" s="603"/>
      <c r="Z437" s="603"/>
    </row>
    <row r="438" spans="1:26" ht="15.75" customHeight="1" x14ac:dyDescent="0.2">
      <c r="A438" s="603"/>
      <c r="B438" s="603"/>
      <c r="C438" s="603"/>
      <c r="D438" s="603"/>
      <c r="E438" s="603"/>
      <c r="F438" s="603"/>
      <c r="G438" s="603"/>
      <c r="H438" s="603"/>
      <c r="I438" s="603"/>
      <c r="J438" s="603"/>
      <c r="K438" s="449"/>
      <c r="L438" s="603"/>
      <c r="M438" s="603"/>
      <c r="N438" s="603"/>
      <c r="O438" s="603"/>
      <c r="P438" s="603"/>
      <c r="Q438" s="603"/>
      <c r="R438" s="603"/>
      <c r="S438" s="603"/>
      <c r="T438" s="603"/>
      <c r="U438" s="603"/>
      <c r="V438" s="603"/>
      <c r="W438" s="603"/>
      <c r="X438" s="603"/>
      <c r="Y438" s="603"/>
      <c r="Z438" s="603"/>
    </row>
    <row r="439" spans="1:26" ht="15.75" customHeight="1" x14ac:dyDescent="0.2">
      <c r="A439" s="603"/>
      <c r="B439" s="603"/>
      <c r="C439" s="603"/>
      <c r="D439" s="603"/>
      <c r="E439" s="603"/>
      <c r="F439" s="603"/>
      <c r="G439" s="603"/>
      <c r="H439" s="603"/>
      <c r="I439" s="603"/>
      <c r="J439" s="603"/>
      <c r="K439" s="449"/>
      <c r="L439" s="603"/>
      <c r="M439" s="603"/>
      <c r="N439" s="603"/>
      <c r="O439" s="603"/>
      <c r="P439" s="603"/>
      <c r="Q439" s="603"/>
      <c r="R439" s="603"/>
      <c r="S439" s="603"/>
      <c r="T439" s="603"/>
      <c r="U439" s="603"/>
      <c r="V439" s="603"/>
      <c r="W439" s="603"/>
      <c r="X439" s="603"/>
      <c r="Y439" s="603"/>
      <c r="Z439" s="603"/>
    </row>
    <row r="440" spans="1:26" ht="15.75" customHeight="1" x14ac:dyDescent="0.2">
      <c r="A440" s="603"/>
      <c r="B440" s="603"/>
      <c r="C440" s="603"/>
      <c r="D440" s="603"/>
      <c r="E440" s="603"/>
      <c r="F440" s="603"/>
      <c r="G440" s="603"/>
      <c r="H440" s="603"/>
      <c r="I440" s="603"/>
      <c r="J440" s="603"/>
      <c r="K440" s="449"/>
      <c r="L440" s="603"/>
      <c r="M440" s="603"/>
      <c r="N440" s="603"/>
      <c r="O440" s="603"/>
      <c r="P440" s="603"/>
      <c r="Q440" s="603"/>
      <c r="R440" s="603"/>
      <c r="S440" s="603"/>
      <c r="T440" s="603"/>
      <c r="U440" s="603"/>
      <c r="V440" s="603"/>
      <c r="W440" s="603"/>
      <c r="X440" s="603"/>
      <c r="Y440" s="603"/>
      <c r="Z440" s="603"/>
    </row>
    <row r="441" spans="1:26" ht="15.75" customHeight="1" x14ac:dyDescent="0.2">
      <c r="A441" s="603"/>
      <c r="B441" s="603"/>
      <c r="C441" s="603"/>
      <c r="D441" s="603"/>
      <c r="E441" s="603"/>
      <c r="F441" s="603"/>
      <c r="G441" s="603"/>
      <c r="H441" s="603"/>
      <c r="I441" s="603"/>
      <c r="J441" s="603"/>
      <c r="K441" s="449"/>
      <c r="L441" s="603"/>
      <c r="M441" s="603"/>
      <c r="N441" s="603"/>
      <c r="O441" s="603"/>
      <c r="P441" s="603"/>
      <c r="Q441" s="603"/>
      <c r="R441" s="603"/>
      <c r="S441" s="603"/>
      <c r="T441" s="603"/>
      <c r="U441" s="603"/>
      <c r="V441" s="603"/>
      <c r="W441" s="603"/>
      <c r="X441" s="603"/>
      <c r="Y441" s="603"/>
      <c r="Z441" s="603"/>
    </row>
    <row r="442" spans="1:26" ht="15.75" customHeight="1" x14ac:dyDescent="0.2">
      <c r="A442" s="603"/>
      <c r="B442" s="603"/>
      <c r="C442" s="603"/>
      <c r="D442" s="603"/>
      <c r="E442" s="603"/>
      <c r="F442" s="603"/>
      <c r="G442" s="603"/>
      <c r="H442" s="603"/>
      <c r="I442" s="603"/>
      <c r="J442" s="603"/>
      <c r="K442" s="449"/>
      <c r="L442" s="603"/>
      <c r="M442" s="603"/>
      <c r="N442" s="603"/>
      <c r="O442" s="603"/>
      <c r="P442" s="603"/>
      <c r="Q442" s="603"/>
      <c r="R442" s="603"/>
      <c r="S442" s="603"/>
      <c r="T442" s="603"/>
      <c r="U442" s="603"/>
      <c r="V442" s="603"/>
      <c r="W442" s="603"/>
      <c r="X442" s="603"/>
      <c r="Y442" s="603"/>
      <c r="Z442" s="603"/>
    </row>
    <row r="443" spans="1:26" ht="15.75" customHeight="1" x14ac:dyDescent="0.2">
      <c r="A443" s="603"/>
      <c r="B443" s="603"/>
      <c r="C443" s="603"/>
      <c r="D443" s="603"/>
      <c r="E443" s="603"/>
      <c r="F443" s="603"/>
      <c r="G443" s="603"/>
      <c r="H443" s="603"/>
      <c r="I443" s="603"/>
      <c r="J443" s="603"/>
      <c r="K443" s="449"/>
      <c r="L443" s="603"/>
      <c r="M443" s="603"/>
      <c r="N443" s="603"/>
      <c r="O443" s="603"/>
      <c r="P443" s="603"/>
      <c r="Q443" s="603"/>
      <c r="R443" s="603"/>
      <c r="S443" s="603"/>
      <c r="T443" s="603"/>
      <c r="U443" s="603"/>
      <c r="V443" s="603"/>
      <c r="W443" s="603"/>
      <c r="X443" s="603"/>
      <c r="Y443" s="603"/>
      <c r="Z443" s="603"/>
    </row>
    <row r="444" spans="1:26" ht="15.75" customHeight="1" x14ac:dyDescent="0.2">
      <c r="A444" s="603"/>
      <c r="B444" s="603"/>
      <c r="C444" s="603"/>
      <c r="D444" s="603"/>
      <c r="E444" s="603"/>
      <c r="F444" s="603"/>
      <c r="G444" s="603"/>
      <c r="H444" s="603"/>
      <c r="I444" s="603"/>
      <c r="J444" s="603"/>
      <c r="K444" s="449"/>
      <c r="L444" s="603"/>
      <c r="M444" s="603"/>
      <c r="N444" s="603"/>
      <c r="O444" s="603"/>
      <c r="P444" s="603"/>
      <c r="Q444" s="603"/>
      <c r="R444" s="603"/>
      <c r="S444" s="603"/>
      <c r="T444" s="603"/>
      <c r="U444" s="603"/>
      <c r="V444" s="603"/>
      <c r="W444" s="603"/>
      <c r="X444" s="603"/>
      <c r="Y444" s="603"/>
      <c r="Z444" s="603"/>
    </row>
    <row r="445" spans="1:26" ht="15.75" customHeight="1" x14ac:dyDescent="0.2">
      <c r="A445" s="603"/>
      <c r="B445" s="603"/>
      <c r="C445" s="603"/>
      <c r="D445" s="603"/>
      <c r="E445" s="603"/>
      <c r="F445" s="603"/>
      <c r="G445" s="603"/>
      <c r="H445" s="603"/>
      <c r="I445" s="603"/>
      <c r="J445" s="603"/>
      <c r="K445" s="449"/>
      <c r="L445" s="603"/>
      <c r="M445" s="603"/>
      <c r="N445" s="603"/>
      <c r="O445" s="603"/>
      <c r="P445" s="603"/>
      <c r="Q445" s="603"/>
      <c r="R445" s="603"/>
      <c r="S445" s="603"/>
      <c r="T445" s="603"/>
      <c r="U445" s="603"/>
      <c r="V445" s="603"/>
      <c r="W445" s="603"/>
      <c r="X445" s="603"/>
      <c r="Y445" s="603"/>
      <c r="Z445" s="603"/>
    </row>
    <row r="446" spans="1:26" ht="15.75" customHeight="1" x14ac:dyDescent="0.2">
      <c r="A446" s="603"/>
      <c r="B446" s="603"/>
      <c r="C446" s="603"/>
      <c r="D446" s="603"/>
      <c r="E446" s="603"/>
      <c r="F446" s="603"/>
      <c r="G446" s="603"/>
      <c r="H446" s="603"/>
      <c r="I446" s="603"/>
      <c r="J446" s="603"/>
      <c r="K446" s="449"/>
      <c r="L446" s="603"/>
      <c r="M446" s="603"/>
      <c r="N446" s="603"/>
      <c r="O446" s="603"/>
      <c r="P446" s="603"/>
      <c r="Q446" s="603"/>
      <c r="R446" s="603"/>
      <c r="S446" s="603"/>
      <c r="T446" s="603"/>
      <c r="U446" s="603"/>
      <c r="V446" s="603"/>
      <c r="W446" s="603"/>
      <c r="X446" s="603"/>
      <c r="Y446" s="603"/>
      <c r="Z446" s="603"/>
    </row>
    <row r="447" spans="1:26" ht="15.75" customHeight="1" x14ac:dyDescent="0.2">
      <c r="A447" s="603"/>
      <c r="B447" s="603"/>
      <c r="C447" s="603"/>
      <c r="D447" s="603"/>
      <c r="E447" s="603"/>
      <c r="F447" s="603"/>
      <c r="G447" s="603"/>
      <c r="H447" s="603"/>
      <c r="I447" s="603"/>
      <c r="J447" s="603"/>
      <c r="K447" s="449"/>
      <c r="L447" s="603"/>
      <c r="M447" s="603"/>
      <c r="N447" s="603"/>
      <c r="O447" s="603"/>
      <c r="P447" s="603"/>
      <c r="Q447" s="603"/>
      <c r="R447" s="603"/>
      <c r="S447" s="603"/>
      <c r="T447" s="603"/>
      <c r="U447" s="603"/>
      <c r="V447" s="603"/>
      <c r="W447" s="603"/>
      <c r="X447" s="603"/>
      <c r="Y447" s="603"/>
      <c r="Z447" s="603"/>
    </row>
    <row r="448" spans="1:26" ht="15.75" customHeight="1" x14ac:dyDescent="0.2">
      <c r="A448" s="603"/>
      <c r="B448" s="603"/>
      <c r="C448" s="603"/>
      <c r="D448" s="603"/>
      <c r="E448" s="603"/>
      <c r="F448" s="603"/>
      <c r="G448" s="603"/>
      <c r="H448" s="603"/>
      <c r="I448" s="603"/>
      <c r="J448" s="603"/>
      <c r="K448" s="449"/>
      <c r="L448" s="603"/>
      <c r="M448" s="603"/>
      <c r="N448" s="603"/>
      <c r="O448" s="603"/>
      <c r="P448" s="603"/>
      <c r="Q448" s="603"/>
      <c r="R448" s="603"/>
      <c r="S448" s="603"/>
      <c r="T448" s="603"/>
      <c r="U448" s="603"/>
      <c r="V448" s="603"/>
      <c r="W448" s="603"/>
      <c r="X448" s="603"/>
      <c r="Y448" s="603"/>
      <c r="Z448" s="603"/>
    </row>
    <row r="449" spans="1:26" ht="15.75" customHeight="1" x14ac:dyDescent="0.2">
      <c r="A449" s="603"/>
      <c r="B449" s="603"/>
      <c r="C449" s="603"/>
      <c r="D449" s="603"/>
      <c r="E449" s="603"/>
      <c r="F449" s="603"/>
      <c r="G449" s="603"/>
      <c r="H449" s="603"/>
      <c r="I449" s="603"/>
      <c r="J449" s="603"/>
      <c r="K449" s="449"/>
      <c r="L449" s="603"/>
      <c r="M449" s="603"/>
      <c r="N449" s="603"/>
      <c r="O449" s="603"/>
      <c r="P449" s="603"/>
      <c r="Q449" s="603"/>
      <c r="R449" s="603"/>
      <c r="S449" s="603"/>
      <c r="T449" s="603"/>
      <c r="U449" s="603"/>
      <c r="V449" s="603"/>
      <c r="W449" s="603"/>
      <c r="X449" s="603"/>
      <c r="Y449" s="603"/>
      <c r="Z449" s="603"/>
    </row>
    <row r="450" spans="1:26" ht="15.75" customHeight="1" x14ac:dyDescent="0.2">
      <c r="A450" s="603"/>
      <c r="B450" s="603"/>
      <c r="C450" s="603"/>
      <c r="D450" s="603"/>
      <c r="E450" s="603"/>
      <c r="F450" s="603"/>
      <c r="G450" s="603"/>
      <c r="H450" s="603"/>
      <c r="I450" s="603"/>
      <c r="J450" s="603"/>
      <c r="K450" s="449"/>
      <c r="L450" s="603"/>
      <c r="M450" s="603"/>
      <c r="N450" s="603"/>
      <c r="O450" s="603"/>
      <c r="P450" s="603"/>
      <c r="Q450" s="603"/>
      <c r="R450" s="603"/>
      <c r="S450" s="603"/>
      <c r="T450" s="603"/>
      <c r="U450" s="603"/>
      <c r="V450" s="603"/>
      <c r="W450" s="603"/>
      <c r="X450" s="603"/>
      <c r="Y450" s="603"/>
      <c r="Z450" s="603"/>
    </row>
    <row r="451" spans="1:26" ht="15.75" customHeight="1" x14ac:dyDescent="0.2">
      <c r="A451" s="603"/>
      <c r="B451" s="603"/>
      <c r="C451" s="603"/>
      <c r="D451" s="603"/>
      <c r="E451" s="603"/>
      <c r="F451" s="603"/>
      <c r="G451" s="603"/>
      <c r="H451" s="603"/>
      <c r="I451" s="603"/>
      <c r="J451" s="603"/>
      <c r="K451" s="449"/>
      <c r="L451" s="603"/>
      <c r="M451" s="603"/>
      <c r="N451" s="603"/>
      <c r="O451" s="603"/>
      <c r="P451" s="603"/>
      <c r="Q451" s="603"/>
      <c r="R451" s="603"/>
      <c r="S451" s="603"/>
      <c r="T451" s="603"/>
      <c r="U451" s="603"/>
      <c r="V451" s="603"/>
      <c r="W451" s="603"/>
      <c r="X451" s="603"/>
      <c r="Y451" s="603"/>
      <c r="Z451" s="603"/>
    </row>
    <row r="452" spans="1:26" ht="15.75" customHeight="1" x14ac:dyDescent="0.2">
      <c r="A452" s="603"/>
      <c r="B452" s="603"/>
      <c r="C452" s="603"/>
      <c r="D452" s="603"/>
      <c r="E452" s="603"/>
      <c r="F452" s="603"/>
      <c r="G452" s="603"/>
      <c r="H452" s="603"/>
      <c r="I452" s="603"/>
      <c r="J452" s="603"/>
      <c r="K452" s="449"/>
      <c r="L452" s="603"/>
      <c r="M452" s="603"/>
      <c r="N452" s="603"/>
      <c r="O452" s="603"/>
      <c r="P452" s="603"/>
      <c r="Q452" s="603"/>
      <c r="R452" s="603"/>
      <c r="S452" s="603"/>
      <c r="T452" s="603"/>
      <c r="U452" s="603"/>
      <c r="V452" s="603"/>
      <c r="W452" s="603"/>
      <c r="X452" s="603"/>
      <c r="Y452" s="603"/>
      <c r="Z452" s="603"/>
    </row>
    <row r="453" spans="1:26" ht="15.75" customHeight="1" x14ac:dyDescent="0.2">
      <c r="A453" s="603"/>
      <c r="B453" s="603"/>
      <c r="C453" s="603"/>
      <c r="D453" s="603"/>
      <c r="E453" s="603"/>
      <c r="F453" s="603"/>
      <c r="G453" s="603"/>
      <c r="H453" s="603"/>
      <c r="I453" s="603"/>
      <c r="J453" s="603"/>
      <c r="K453" s="449"/>
      <c r="L453" s="603"/>
      <c r="M453" s="603"/>
      <c r="N453" s="603"/>
      <c r="O453" s="603"/>
      <c r="P453" s="603"/>
      <c r="Q453" s="603"/>
      <c r="R453" s="603"/>
      <c r="S453" s="603"/>
      <c r="T453" s="603"/>
      <c r="U453" s="603"/>
      <c r="V453" s="603"/>
      <c r="W453" s="603"/>
      <c r="X453" s="603"/>
      <c r="Y453" s="603"/>
      <c r="Z453" s="603"/>
    </row>
    <row r="454" spans="1:26" ht="15.75" customHeight="1" x14ac:dyDescent="0.2">
      <c r="A454" s="603"/>
      <c r="B454" s="603"/>
      <c r="C454" s="603"/>
      <c r="D454" s="603"/>
      <c r="E454" s="603"/>
      <c r="F454" s="603"/>
      <c r="G454" s="603"/>
      <c r="H454" s="603"/>
      <c r="I454" s="603"/>
      <c r="J454" s="603"/>
      <c r="K454" s="449"/>
      <c r="L454" s="603"/>
      <c r="M454" s="603"/>
      <c r="N454" s="603"/>
      <c r="O454" s="603"/>
      <c r="P454" s="603"/>
      <c r="Q454" s="603"/>
      <c r="R454" s="603"/>
      <c r="S454" s="603"/>
      <c r="T454" s="603"/>
      <c r="U454" s="603"/>
      <c r="V454" s="603"/>
      <c r="W454" s="603"/>
      <c r="X454" s="603"/>
      <c r="Y454" s="603"/>
      <c r="Z454" s="603"/>
    </row>
    <row r="455" spans="1:26" ht="15.75" customHeight="1" x14ac:dyDescent="0.2">
      <c r="A455" s="603"/>
      <c r="B455" s="603"/>
      <c r="C455" s="603"/>
      <c r="D455" s="603"/>
      <c r="E455" s="603"/>
      <c r="F455" s="603"/>
      <c r="G455" s="603"/>
      <c r="H455" s="603"/>
      <c r="I455" s="603"/>
      <c r="J455" s="603"/>
      <c r="K455" s="449"/>
      <c r="L455" s="603"/>
      <c r="M455" s="603"/>
      <c r="N455" s="603"/>
      <c r="O455" s="603"/>
      <c r="P455" s="603"/>
      <c r="Q455" s="603"/>
      <c r="R455" s="603"/>
      <c r="S455" s="603"/>
      <c r="T455" s="603"/>
      <c r="U455" s="603"/>
      <c r="V455" s="603"/>
      <c r="W455" s="603"/>
      <c r="X455" s="603"/>
      <c r="Y455" s="603"/>
      <c r="Z455" s="603"/>
    </row>
    <row r="456" spans="1:26" ht="15.75" customHeight="1" x14ac:dyDescent="0.2">
      <c r="A456" s="603"/>
      <c r="B456" s="603"/>
      <c r="C456" s="603"/>
      <c r="D456" s="603"/>
      <c r="E456" s="603"/>
      <c r="F456" s="603"/>
      <c r="G456" s="603"/>
      <c r="H456" s="603"/>
      <c r="I456" s="603"/>
      <c r="J456" s="603"/>
      <c r="K456" s="449"/>
      <c r="L456" s="603"/>
      <c r="M456" s="603"/>
      <c r="N456" s="603"/>
      <c r="O456" s="603"/>
      <c r="P456" s="603"/>
      <c r="Q456" s="603"/>
      <c r="R456" s="603"/>
      <c r="S456" s="603"/>
      <c r="T456" s="603"/>
      <c r="U456" s="603"/>
      <c r="V456" s="603"/>
      <c r="W456" s="603"/>
      <c r="X456" s="603"/>
      <c r="Y456" s="603"/>
      <c r="Z456" s="603"/>
    </row>
    <row r="457" spans="1:26" ht="15.75" customHeight="1" x14ac:dyDescent="0.2">
      <c r="A457" s="603"/>
      <c r="B457" s="603"/>
      <c r="C457" s="603"/>
      <c r="D457" s="603"/>
      <c r="E457" s="603"/>
      <c r="F457" s="603"/>
      <c r="G457" s="603"/>
      <c r="H457" s="603"/>
      <c r="I457" s="603"/>
      <c r="J457" s="603"/>
      <c r="K457" s="449"/>
      <c r="L457" s="603"/>
      <c r="M457" s="603"/>
      <c r="N457" s="603"/>
      <c r="O457" s="603"/>
      <c r="P457" s="603"/>
      <c r="Q457" s="603"/>
      <c r="R457" s="603"/>
      <c r="S457" s="603"/>
      <c r="T457" s="603"/>
      <c r="U457" s="603"/>
      <c r="V457" s="603"/>
      <c r="W457" s="603"/>
      <c r="X457" s="603"/>
      <c r="Y457" s="603"/>
      <c r="Z457" s="603"/>
    </row>
    <row r="458" spans="1:26" ht="15.75" customHeight="1" x14ac:dyDescent="0.2">
      <c r="A458" s="603"/>
      <c r="B458" s="603"/>
      <c r="C458" s="603"/>
      <c r="D458" s="603"/>
      <c r="E458" s="603"/>
      <c r="F458" s="603"/>
      <c r="G458" s="603"/>
      <c r="H458" s="603"/>
      <c r="I458" s="603"/>
      <c r="J458" s="603"/>
      <c r="K458" s="449"/>
      <c r="L458" s="603"/>
      <c r="M458" s="603"/>
      <c r="N458" s="603"/>
      <c r="O458" s="603"/>
      <c r="P458" s="603"/>
      <c r="Q458" s="603"/>
      <c r="R458" s="603"/>
      <c r="S458" s="603"/>
      <c r="T458" s="603"/>
      <c r="U458" s="603"/>
      <c r="V458" s="603"/>
      <c r="W458" s="603"/>
      <c r="X458" s="603"/>
      <c r="Y458" s="603"/>
      <c r="Z458" s="603"/>
    </row>
    <row r="459" spans="1:26" ht="15.75" customHeight="1" x14ac:dyDescent="0.2">
      <c r="A459" s="603"/>
      <c r="B459" s="603"/>
      <c r="C459" s="603"/>
      <c r="D459" s="603"/>
      <c r="E459" s="603"/>
      <c r="F459" s="603"/>
      <c r="G459" s="603"/>
      <c r="H459" s="603"/>
      <c r="I459" s="603"/>
      <c r="J459" s="603"/>
      <c r="K459" s="449"/>
      <c r="L459" s="603"/>
      <c r="M459" s="603"/>
      <c r="N459" s="603"/>
      <c r="O459" s="603"/>
      <c r="P459" s="603"/>
      <c r="Q459" s="603"/>
      <c r="R459" s="603"/>
      <c r="S459" s="603"/>
      <c r="T459" s="603"/>
      <c r="U459" s="603"/>
      <c r="V459" s="603"/>
      <c r="W459" s="603"/>
      <c r="X459" s="603"/>
      <c r="Y459" s="603"/>
      <c r="Z459" s="603"/>
    </row>
    <row r="460" spans="1:26" ht="15.75" customHeight="1" x14ac:dyDescent="0.2">
      <c r="A460" s="603"/>
      <c r="B460" s="603"/>
      <c r="C460" s="603"/>
      <c r="D460" s="603"/>
      <c r="E460" s="603"/>
      <c r="F460" s="603"/>
      <c r="G460" s="603"/>
      <c r="H460" s="603"/>
      <c r="I460" s="603"/>
      <c r="J460" s="603"/>
      <c r="K460" s="449"/>
      <c r="L460" s="603"/>
      <c r="M460" s="603"/>
      <c r="N460" s="603"/>
      <c r="O460" s="603"/>
      <c r="P460" s="603"/>
      <c r="Q460" s="603"/>
      <c r="R460" s="603"/>
      <c r="S460" s="603"/>
      <c r="T460" s="603"/>
      <c r="U460" s="603"/>
      <c r="V460" s="603"/>
      <c r="W460" s="603"/>
      <c r="X460" s="603"/>
      <c r="Y460" s="603"/>
      <c r="Z460" s="603"/>
    </row>
    <row r="461" spans="1:26" ht="15.75" customHeight="1" x14ac:dyDescent="0.2">
      <c r="A461" s="603"/>
      <c r="B461" s="603"/>
      <c r="C461" s="603"/>
      <c r="D461" s="603"/>
      <c r="E461" s="603"/>
      <c r="F461" s="603"/>
      <c r="G461" s="603"/>
      <c r="H461" s="603"/>
      <c r="I461" s="603"/>
      <c r="J461" s="603"/>
      <c r="K461" s="449"/>
      <c r="L461" s="603"/>
      <c r="M461" s="603"/>
      <c r="N461" s="603"/>
      <c r="O461" s="603"/>
      <c r="P461" s="603"/>
      <c r="Q461" s="603"/>
      <c r="R461" s="603"/>
      <c r="S461" s="603"/>
      <c r="T461" s="603"/>
      <c r="U461" s="603"/>
      <c r="V461" s="603"/>
      <c r="W461" s="603"/>
      <c r="X461" s="603"/>
      <c r="Y461" s="603"/>
      <c r="Z461" s="603"/>
    </row>
    <row r="462" spans="1:26" ht="15.75" customHeight="1" x14ac:dyDescent="0.2">
      <c r="A462" s="603"/>
      <c r="B462" s="603"/>
      <c r="C462" s="603"/>
      <c r="D462" s="603"/>
      <c r="E462" s="603"/>
      <c r="F462" s="603"/>
      <c r="G462" s="603"/>
      <c r="H462" s="603"/>
      <c r="I462" s="603"/>
      <c r="J462" s="603"/>
      <c r="K462" s="449"/>
      <c r="L462" s="603"/>
      <c r="M462" s="603"/>
      <c r="N462" s="603"/>
      <c r="O462" s="603"/>
      <c r="P462" s="603"/>
      <c r="Q462" s="603"/>
      <c r="R462" s="603"/>
      <c r="S462" s="603"/>
      <c r="T462" s="603"/>
      <c r="U462" s="603"/>
      <c r="V462" s="603"/>
      <c r="W462" s="603"/>
      <c r="X462" s="603"/>
      <c r="Y462" s="603"/>
      <c r="Z462" s="603"/>
    </row>
    <row r="463" spans="1:26" ht="15.75" customHeight="1" x14ac:dyDescent="0.2">
      <c r="A463" s="603"/>
      <c r="B463" s="603"/>
      <c r="C463" s="603"/>
      <c r="D463" s="603"/>
      <c r="E463" s="603"/>
      <c r="F463" s="603"/>
      <c r="G463" s="603"/>
      <c r="H463" s="603"/>
      <c r="I463" s="603"/>
      <c r="J463" s="603"/>
      <c r="K463" s="449"/>
      <c r="L463" s="603"/>
      <c r="M463" s="603"/>
      <c r="N463" s="603"/>
      <c r="O463" s="603"/>
      <c r="P463" s="603"/>
      <c r="Q463" s="603"/>
      <c r="R463" s="603"/>
      <c r="S463" s="603"/>
      <c r="T463" s="603"/>
      <c r="U463" s="603"/>
      <c r="V463" s="603"/>
      <c r="W463" s="603"/>
      <c r="X463" s="603"/>
      <c r="Y463" s="603"/>
      <c r="Z463" s="603"/>
    </row>
    <row r="464" spans="1:26" ht="15.75" customHeight="1" x14ac:dyDescent="0.2">
      <c r="A464" s="603"/>
      <c r="B464" s="603"/>
      <c r="C464" s="603"/>
      <c r="D464" s="603"/>
      <c r="E464" s="603"/>
      <c r="F464" s="603"/>
      <c r="G464" s="603"/>
      <c r="H464" s="603"/>
      <c r="I464" s="603"/>
      <c r="J464" s="603"/>
      <c r="K464" s="449"/>
      <c r="L464" s="603"/>
      <c r="M464" s="603"/>
      <c r="N464" s="603"/>
      <c r="O464" s="603"/>
      <c r="P464" s="603"/>
      <c r="Q464" s="603"/>
      <c r="R464" s="603"/>
      <c r="S464" s="603"/>
      <c r="T464" s="603"/>
      <c r="U464" s="603"/>
      <c r="V464" s="603"/>
      <c r="W464" s="603"/>
      <c r="X464" s="603"/>
      <c r="Y464" s="603"/>
      <c r="Z464" s="603"/>
    </row>
    <row r="465" spans="1:26" ht="15.75" customHeight="1" x14ac:dyDescent="0.2">
      <c r="A465" s="603"/>
      <c r="B465" s="603"/>
      <c r="C465" s="603"/>
      <c r="D465" s="603"/>
      <c r="E465" s="603"/>
      <c r="F465" s="603"/>
      <c r="G465" s="603"/>
      <c r="H465" s="603"/>
      <c r="I465" s="603"/>
      <c r="J465" s="603"/>
      <c r="K465" s="449"/>
      <c r="L465" s="603"/>
      <c r="M465" s="603"/>
      <c r="N465" s="603"/>
      <c r="O465" s="603"/>
      <c r="P465" s="603"/>
      <c r="Q465" s="603"/>
      <c r="R465" s="603"/>
      <c r="S465" s="603"/>
      <c r="T465" s="603"/>
      <c r="U465" s="603"/>
      <c r="V465" s="603"/>
      <c r="W465" s="603"/>
      <c r="X465" s="603"/>
      <c r="Y465" s="603"/>
      <c r="Z465" s="603"/>
    </row>
    <row r="466" spans="1:26" ht="15.75" customHeight="1" x14ac:dyDescent="0.2">
      <c r="A466" s="603"/>
      <c r="B466" s="603"/>
      <c r="C466" s="603"/>
      <c r="D466" s="603"/>
      <c r="E466" s="603"/>
      <c r="F466" s="603"/>
      <c r="G466" s="603"/>
      <c r="H466" s="603"/>
      <c r="I466" s="603"/>
      <c r="J466" s="603"/>
      <c r="K466" s="449"/>
      <c r="L466" s="603"/>
      <c r="M466" s="603"/>
      <c r="N466" s="603"/>
      <c r="O466" s="603"/>
      <c r="P466" s="603"/>
      <c r="Q466" s="603"/>
      <c r="R466" s="603"/>
      <c r="S466" s="603"/>
      <c r="T466" s="603"/>
      <c r="U466" s="603"/>
      <c r="V466" s="603"/>
      <c r="W466" s="603"/>
      <c r="X466" s="603"/>
      <c r="Y466" s="603"/>
      <c r="Z466" s="603"/>
    </row>
    <row r="467" spans="1:26" ht="15.75" customHeight="1" x14ac:dyDescent="0.2">
      <c r="A467" s="603"/>
      <c r="B467" s="603"/>
      <c r="C467" s="603"/>
      <c r="D467" s="603"/>
      <c r="E467" s="603"/>
      <c r="F467" s="603"/>
      <c r="G467" s="603"/>
      <c r="H467" s="603"/>
      <c r="I467" s="603"/>
      <c r="J467" s="603"/>
      <c r="K467" s="449"/>
      <c r="L467" s="603"/>
      <c r="M467" s="603"/>
      <c r="N467" s="603"/>
      <c r="O467" s="603"/>
      <c r="P467" s="603"/>
      <c r="Q467" s="603"/>
      <c r="R467" s="603"/>
      <c r="S467" s="603"/>
      <c r="T467" s="603"/>
      <c r="U467" s="603"/>
      <c r="V467" s="603"/>
      <c r="W467" s="603"/>
      <c r="X467" s="603"/>
      <c r="Y467" s="603"/>
      <c r="Z467" s="603"/>
    </row>
    <row r="468" spans="1:26" ht="15.75" customHeight="1" x14ac:dyDescent="0.2">
      <c r="A468" s="603"/>
      <c r="B468" s="603"/>
      <c r="C468" s="603"/>
      <c r="D468" s="603"/>
      <c r="E468" s="603"/>
      <c r="F468" s="603"/>
      <c r="G468" s="603"/>
      <c r="H468" s="603"/>
      <c r="I468" s="603"/>
      <c r="J468" s="603"/>
      <c r="K468" s="449"/>
      <c r="L468" s="603"/>
      <c r="M468" s="603"/>
      <c r="N468" s="603"/>
      <c r="O468" s="603"/>
      <c r="P468" s="603"/>
      <c r="Q468" s="603"/>
      <c r="R468" s="603"/>
      <c r="S468" s="603"/>
      <c r="T468" s="603"/>
      <c r="U468" s="603"/>
      <c r="V468" s="603"/>
      <c r="W468" s="603"/>
      <c r="X468" s="603"/>
      <c r="Y468" s="603"/>
      <c r="Z468" s="603"/>
    </row>
    <row r="469" spans="1:26" ht="15.75" customHeight="1" x14ac:dyDescent="0.2">
      <c r="A469" s="603"/>
      <c r="B469" s="603"/>
      <c r="C469" s="603"/>
      <c r="D469" s="603"/>
      <c r="E469" s="603"/>
      <c r="F469" s="603"/>
      <c r="G469" s="603"/>
      <c r="H469" s="603"/>
      <c r="I469" s="603"/>
      <c r="J469" s="603"/>
      <c r="K469" s="449"/>
      <c r="L469" s="603"/>
      <c r="M469" s="603"/>
      <c r="N469" s="603"/>
      <c r="O469" s="603"/>
      <c r="P469" s="603"/>
      <c r="Q469" s="603"/>
      <c r="R469" s="603"/>
      <c r="S469" s="603"/>
      <c r="T469" s="603"/>
      <c r="U469" s="603"/>
      <c r="V469" s="603"/>
      <c r="W469" s="603"/>
      <c r="X469" s="603"/>
      <c r="Y469" s="603"/>
      <c r="Z469" s="603"/>
    </row>
    <row r="470" spans="1:26" ht="15.75" customHeight="1" x14ac:dyDescent="0.2">
      <c r="A470" s="603"/>
      <c r="B470" s="603"/>
      <c r="C470" s="603"/>
      <c r="D470" s="603"/>
      <c r="E470" s="603"/>
      <c r="F470" s="603"/>
      <c r="G470" s="603"/>
      <c r="H470" s="603"/>
      <c r="I470" s="603"/>
      <c r="J470" s="603"/>
      <c r="K470" s="449"/>
      <c r="L470" s="603"/>
      <c r="M470" s="603"/>
      <c r="N470" s="603"/>
      <c r="O470" s="603"/>
      <c r="P470" s="603"/>
      <c r="Q470" s="603"/>
      <c r="R470" s="603"/>
      <c r="S470" s="603"/>
      <c r="T470" s="603"/>
      <c r="U470" s="603"/>
      <c r="V470" s="603"/>
      <c r="W470" s="603"/>
      <c r="X470" s="603"/>
      <c r="Y470" s="603"/>
      <c r="Z470" s="603"/>
    </row>
    <row r="471" spans="1:26" ht="15.75" customHeight="1" x14ac:dyDescent="0.2">
      <c r="A471" s="603"/>
      <c r="B471" s="603"/>
      <c r="C471" s="603"/>
      <c r="D471" s="603"/>
      <c r="E471" s="603"/>
      <c r="F471" s="603"/>
      <c r="G471" s="603"/>
      <c r="H471" s="603"/>
      <c r="I471" s="603"/>
      <c r="J471" s="603"/>
      <c r="K471" s="449"/>
      <c r="L471" s="603"/>
      <c r="M471" s="603"/>
      <c r="N471" s="603"/>
      <c r="O471" s="603"/>
      <c r="P471" s="603"/>
      <c r="Q471" s="603"/>
      <c r="R471" s="603"/>
      <c r="S471" s="603"/>
      <c r="T471" s="603"/>
      <c r="U471" s="603"/>
      <c r="V471" s="603"/>
      <c r="W471" s="603"/>
      <c r="X471" s="603"/>
      <c r="Y471" s="603"/>
      <c r="Z471" s="603"/>
    </row>
    <row r="472" spans="1:26" ht="15.75" customHeight="1" x14ac:dyDescent="0.2">
      <c r="A472" s="603"/>
      <c r="B472" s="603"/>
      <c r="C472" s="603"/>
      <c r="D472" s="603"/>
      <c r="E472" s="603"/>
      <c r="F472" s="603"/>
      <c r="G472" s="603"/>
      <c r="H472" s="603"/>
      <c r="I472" s="603"/>
      <c r="J472" s="603"/>
      <c r="K472" s="449"/>
      <c r="L472" s="603"/>
      <c r="M472" s="603"/>
      <c r="N472" s="603"/>
      <c r="O472" s="603"/>
      <c r="P472" s="603"/>
      <c r="Q472" s="603"/>
      <c r="R472" s="603"/>
      <c r="S472" s="603"/>
      <c r="T472" s="603"/>
      <c r="U472" s="603"/>
      <c r="V472" s="603"/>
      <c r="W472" s="603"/>
      <c r="X472" s="603"/>
      <c r="Y472" s="603"/>
      <c r="Z472" s="603"/>
    </row>
    <row r="473" spans="1:26" ht="15.75" customHeight="1" x14ac:dyDescent="0.2">
      <c r="A473" s="603"/>
      <c r="B473" s="603"/>
      <c r="C473" s="603"/>
      <c r="D473" s="603"/>
      <c r="E473" s="603"/>
      <c r="F473" s="603"/>
      <c r="G473" s="603"/>
      <c r="H473" s="603"/>
      <c r="I473" s="603"/>
      <c r="J473" s="603"/>
      <c r="K473" s="449"/>
      <c r="L473" s="603"/>
      <c r="M473" s="603"/>
      <c r="N473" s="603"/>
      <c r="O473" s="603"/>
      <c r="P473" s="603"/>
      <c r="Q473" s="603"/>
      <c r="R473" s="603"/>
      <c r="S473" s="603"/>
      <c r="T473" s="603"/>
      <c r="U473" s="603"/>
      <c r="V473" s="603"/>
      <c r="W473" s="603"/>
      <c r="X473" s="603"/>
      <c r="Y473" s="603"/>
      <c r="Z473" s="603"/>
    </row>
    <row r="474" spans="1:26" ht="15.75" customHeight="1" x14ac:dyDescent="0.2">
      <c r="A474" s="603"/>
      <c r="B474" s="603"/>
      <c r="C474" s="603"/>
      <c r="D474" s="603"/>
      <c r="E474" s="603"/>
      <c r="F474" s="603"/>
      <c r="G474" s="603"/>
      <c r="H474" s="603"/>
      <c r="I474" s="603"/>
      <c r="J474" s="603"/>
      <c r="K474" s="449"/>
      <c r="L474" s="603"/>
      <c r="M474" s="603"/>
      <c r="N474" s="603"/>
      <c r="O474" s="603"/>
      <c r="P474" s="603"/>
      <c r="Q474" s="603"/>
      <c r="R474" s="603"/>
      <c r="S474" s="603"/>
      <c r="T474" s="603"/>
      <c r="U474" s="603"/>
      <c r="V474" s="603"/>
      <c r="W474" s="603"/>
      <c r="X474" s="603"/>
      <c r="Y474" s="603"/>
      <c r="Z474" s="603"/>
    </row>
    <row r="475" spans="1:26" ht="15.75" customHeight="1" x14ac:dyDescent="0.2">
      <c r="A475" s="603"/>
      <c r="B475" s="603"/>
      <c r="C475" s="603"/>
      <c r="D475" s="603"/>
      <c r="E475" s="603"/>
      <c r="F475" s="603"/>
      <c r="G475" s="603"/>
      <c r="H475" s="603"/>
      <c r="I475" s="603"/>
      <c r="J475" s="603"/>
      <c r="K475" s="449"/>
      <c r="L475" s="603"/>
      <c r="M475" s="603"/>
      <c r="N475" s="603"/>
      <c r="O475" s="603"/>
      <c r="P475" s="603"/>
      <c r="Q475" s="603"/>
      <c r="R475" s="603"/>
      <c r="S475" s="603"/>
      <c r="T475" s="603"/>
      <c r="U475" s="603"/>
      <c r="V475" s="603"/>
      <c r="W475" s="603"/>
      <c r="X475" s="603"/>
      <c r="Y475" s="603"/>
      <c r="Z475" s="603"/>
    </row>
    <row r="476" spans="1:26" ht="15.75" customHeight="1" x14ac:dyDescent="0.2">
      <c r="A476" s="603"/>
      <c r="B476" s="603"/>
      <c r="C476" s="603"/>
      <c r="D476" s="603"/>
      <c r="E476" s="603"/>
      <c r="F476" s="603"/>
      <c r="G476" s="603"/>
      <c r="H476" s="603"/>
      <c r="I476" s="603"/>
      <c r="J476" s="603"/>
      <c r="K476" s="449"/>
      <c r="L476" s="603"/>
      <c r="M476" s="603"/>
      <c r="N476" s="603"/>
      <c r="O476" s="603"/>
      <c r="P476" s="603"/>
      <c r="Q476" s="603"/>
      <c r="R476" s="603"/>
      <c r="S476" s="603"/>
      <c r="T476" s="603"/>
      <c r="U476" s="603"/>
      <c r="V476" s="603"/>
      <c r="W476" s="603"/>
      <c r="X476" s="603"/>
      <c r="Y476" s="603"/>
      <c r="Z476" s="603"/>
    </row>
    <row r="477" spans="1:26" ht="15.75" customHeight="1" x14ac:dyDescent="0.2">
      <c r="A477" s="603"/>
      <c r="B477" s="603"/>
      <c r="C477" s="603"/>
      <c r="D477" s="603"/>
      <c r="E477" s="603"/>
      <c r="F477" s="603"/>
      <c r="G477" s="603"/>
      <c r="H477" s="603"/>
      <c r="I477" s="603"/>
      <c r="J477" s="603"/>
      <c r="K477" s="449"/>
      <c r="L477" s="603"/>
      <c r="M477" s="603"/>
      <c r="N477" s="603"/>
      <c r="O477" s="603"/>
      <c r="P477" s="603"/>
      <c r="Q477" s="603"/>
      <c r="R477" s="603"/>
      <c r="S477" s="603"/>
      <c r="T477" s="603"/>
      <c r="U477" s="603"/>
      <c r="V477" s="603"/>
      <c r="W477" s="603"/>
      <c r="X477" s="603"/>
      <c r="Y477" s="603"/>
      <c r="Z477" s="603"/>
    </row>
    <row r="478" spans="1:26" ht="15.75" customHeight="1" x14ac:dyDescent="0.2">
      <c r="A478" s="603"/>
      <c r="B478" s="603"/>
      <c r="C478" s="603"/>
      <c r="D478" s="603"/>
      <c r="E478" s="603"/>
      <c r="F478" s="603"/>
      <c r="G478" s="603"/>
      <c r="H478" s="603"/>
      <c r="I478" s="603"/>
      <c r="J478" s="603"/>
      <c r="K478" s="449"/>
      <c r="L478" s="603"/>
      <c r="M478" s="603"/>
      <c r="N478" s="603"/>
      <c r="O478" s="603"/>
      <c r="P478" s="603"/>
      <c r="Q478" s="603"/>
      <c r="R478" s="603"/>
      <c r="S478" s="603"/>
      <c r="T478" s="603"/>
      <c r="U478" s="603"/>
      <c r="V478" s="603"/>
      <c r="W478" s="603"/>
      <c r="X478" s="603"/>
      <c r="Y478" s="603"/>
      <c r="Z478" s="603"/>
    </row>
    <row r="479" spans="1:26" ht="15.75" customHeight="1" x14ac:dyDescent="0.2">
      <c r="A479" s="603"/>
      <c r="B479" s="603"/>
      <c r="C479" s="603"/>
      <c r="D479" s="603"/>
      <c r="E479" s="603"/>
      <c r="F479" s="603"/>
      <c r="G479" s="603"/>
      <c r="H479" s="603"/>
      <c r="I479" s="603"/>
      <c r="J479" s="603"/>
      <c r="K479" s="449"/>
      <c r="L479" s="603"/>
      <c r="M479" s="603"/>
      <c r="N479" s="603"/>
      <c r="O479" s="603"/>
      <c r="P479" s="603"/>
      <c r="Q479" s="603"/>
      <c r="R479" s="603"/>
      <c r="S479" s="603"/>
      <c r="T479" s="603"/>
      <c r="U479" s="603"/>
      <c r="V479" s="603"/>
      <c r="W479" s="603"/>
      <c r="X479" s="603"/>
      <c r="Y479" s="603"/>
      <c r="Z479" s="603"/>
    </row>
    <row r="480" spans="1:26" ht="15.75" customHeight="1" x14ac:dyDescent="0.2">
      <c r="A480" s="603"/>
      <c r="B480" s="603"/>
      <c r="C480" s="603"/>
      <c r="D480" s="603"/>
      <c r="E480" s="603"/>
      <c r="F480" s="603"/>
      <c r="G480" s="603"/>
      <c r="H480" s="603"/>
      <c r="I480" s="603"/>
      <c r="J480" s="603"/>
      <c r="K480" s="449"/>
      <c r="L480" s="603"/>
      <c r="M480" s="603"/>
      <c r="N480" s="603"/>
      <c r="O480" s="603"/>
      <c r="P480" s="603"/>
      <c r="Q480" s="603"/>
      <c r="R480" s="603"/>
      <c r="S480" s="603"/>
      <c r="T480" s="603"/>
      <c r="U480" s="603"/>
      <c r="V480" s="603"/>
      <c r="W480" s="603"/>
      <c r="X480" s="603"/>
      <c r="Y480" s="603"/>
      <c r="Z480" s="603"/>
    </row>
    <row r="481" spans="1:26" ht="15.75" customHeight="1" x14ac:dyDescent="0.2">
      <c r="A481" s="603"/>
      <c r="B481" s="603"/>
      <c r="C481" s="603"/>
      <c r="D481" s="603"/>
      <c r="E481" s="603"/>
      <c r="F481" s="603"/>
      <c r="G481" s="603"/>
      <c r="H481" s="603"/>
      <c r="I481" s="603"/>
      <c r="J481" s="603"/>
      <c r="K481" s="449"/>
      <c r="L481" s="603"/>
      <c r="M481" s="603"/>
      <c r="N481" s="603"/>
      <c r="O481" s="603"/>
      <c r="P481" s="603"/>
      <c r="Q481" s="603"/>
      <c r="R481" s="603"/>
      <c r="S481" s="603"/>
      <c r="T481" s="603"/>
      <c r="U481" s="603"/>
      <c r="V481" s="603"/>
      <c r="W481" s="603"/>
      <c r="X481" s="603"/>
      <c r="Y481" s="603"/>
      <c r="Z481" s="603"/>
    </row>
    <row r="482" spans="1:26" ht="15.75" customHeight="1" x14ac:dyDescent="0.2">
      <c r="A482" s="603"/>
      <c r="B482" s="603"/>
      <c r="C482" s="603"/>
      <c r="D482" s="603"/>
      <c r="E482" s="603"/>
      <c r="F482" s="603"/>
      <c r="G482" s="603"/>
      <c r="H482" s="603"/>
      <c r="I482" s="603"/>
      <c r="J482" s="603"/>
      <c r="K482" s="449"/>
      <c r="L482" s="603"/>
      <c r="M482" s="603"/>
      <c r="N482" s="603"/>
      <c r="O482" s="603"/>
      <c r="P482" s="603"/>
      <c r="Q482" s="603"/>
      <c r="R482" s="603"/>
      <c r="S482" s="603"/>
      <c r="T482" s="603"/>
      <c r="U482" s="603"/>
      <c r="V482" s="603"/>
      <c r="W482" s="603"/>
      <c r="X482" s="603"/>
      <c r="Y482" s="603"/>
      <c r="Z482" s="603"/>
    </row>
    <row r="483" spans="1:26" ht="15.75" customHeight="1" x14ac:dyDescent="0.2">
      <c r="A483" s="603"/>
      <c r="B483" s="603"/>
      <c r="C483" s="603"/>
      <c r="D483" s="603"/>
      <c r="E483" s="603"/>
      <c r="F483" s="603"/>
      <c r="G483" s="603"/>
      <c r="H483" s="603"/>
      <c r="I483" s="603"/>
      <c r="J483" s="603"/>
      <c r="K483" s="449"/>
      <c r="L483" s="603"/>
      <c r="M483" s="603"/>
      <c r="N483" s="603"/>
      <c r="O483" s="603"/>
      <c r="P483" s="603"/>
      <c r="Q483" s="603"/>
      <c r="R483" s="603"/>
      <c r="S483" s="603"/>
      <c r="T483" s="603"/>
      <c r="U483" s="603"/>
      <c r="V483" s="603"/>
      <c r="W483" s="603"/>
      <c r="X483" s="603"/>
      <c r="Y483" s="603"/>
      <c r="Z483" s="603"/>
    </row>
    <row r="484" spans="1:26" ht="15.75" customHeight="1" x14ac:dyDescent="0.2">
      <c r="A484" s="603"/>
      <c r="B484" s="603"/>
      <c r="C484" s="603"/>
      <c r="D484" s="603"/>
      <c r="E484" s="603"/>
      <c r="F484" s="603"/>
      <c r="G484" s="603"/>
      <c r="H484" s="603"/>
      <c r="I484" s="603"/>
      <c r="J484" s="603"/>
      <c r="K484" s="449"/>
      <c r="L484" s="603"/>
      <c r="M484" s="603"/>
      <c r="N484" s="603"/>
      <c r="O484" s="603"/>
      <c r="P484" s="603"/>
      <c r="Q484" s="603"/>
      <c r="R484" s="603"/>
      <c r="S484" s="603"/>
      <c r="T484" s="603"/>
      <c r="U484" s="603"/>
      <c r="V484" s="603"/>
      <c r="W484" s="603"/>
      <c r="X484" s="603"/>
      <c r="Y484" s="603"/>
      <c r="Z484" s="603"/>
    </row>
    <row r="485" spans="1:26" ht="15.75" customHeight="1" x14ac:dyDescent="0.2">
      <c r="A485" s="603"/>
      <c r="B485" s="603"/>
      <c r="C485" s="603"/>
      <c r="D485" s="603"/>
      <c r="E485" s="603"/>
      <c r="F485" s="603"/>
      <c r="G485" s="603"/>
      <c r="H485" s="603"/>
      <c r="I485" s="603"/>
      <c r="J485" s="603"/>
      <c r="K485" s="449"/>
      <c r="L485" s="603"/>
      <c r="M485" s="603"/>
      <c r="N485" s="603"/>
      <c r="O485" s="603"/>
      <c r="P485" s="603"/>
      <c r="Q485" s="603"/>
      <c r="R485" s="603"/>
      <c r="S485" s="603"/>
      <c r="T485" s="603"/>
      <c r="U485" s="603"/>
      <c r="V485" s="603"/>
      <c r="W485" s="603"/>
      <c r="X485" s="603"/>
      <c r="Y485" s="603"/>
      <c r="Z485" s="603"/>
    </row>
    <row r="486" spans="1:26" ht="15.75" customHeight="1" x14ac:dyDescent="0.2">
      <c r="A486" s="603"/>
      <c r="B486" s="603"/>
      <c r="C486" s="603"/>
      <c r="D486" s="603"/>
      <c r="E486" s="603"/>
      <c r="F486" s="603"/>
      <c r="G486" s="603"/>
      <c r="H486" s="603"/>
      <c r="I486" s="603"/>
      <c r="J486" s="603"/>
      <c r="K486" s="449"/>
      <c r="L486" s="603"/>
      <c r="M486" s="603"/>
      <c r="N486" s="603"/>
      <c r="O486" s="603"/>
      <c r="P486" s="603"/>
      <c r="Q486" s="603"/>
      <c r="R486" s="603"/>
      <c r="S486" s="603"/>
      <c r="T486" s="603"/>
      <c r="U486" s="603"/>
      <c r="V486" s="603"/>
      <c r="W486" s="603"/>
      <c r="X486" s="603"/>
      <c r="Y486" s="603"/>
      <c r="Z486" s="603"/>
    </row>
    <row r="487" spans="1:26" ht="15.75" customHeight="1" x14ac:dyDescent="0.2">
      <c r="A487" s="603"/>
      <c r="B487" s="603"/>
      <c r="C487" s="603"/>
      <c r="D487" s="603"/>
      <c r="E487" s="603"/>
      <c r="F487" s="603"/>
      <c r="G487" s="603"/>
      <c r="H487" s="603"/>
      <c r="I487" s="603"/>
      <c r="J487" s="603"/>
      <c r="K487" s="449"/>
      <c r="L487" s="603"/>
      <c r="M487" s="603"/>
      <c r="N487" s="603"/>
      <c r="O487" s="603"/>
      <c r="P487" s="603"/>
      <c r="Q487" s="603"/>
      <c r="R487" s="603"/>
      <c r="S487" s="603"/>
      <c r="T487" s="603"/>
      <c r="U487" s="603"/>
      <c r="V487" s="603"/>
      <c r="W487" s="603"/>
      <c r="X487" s="603"/>
      <c r="Y487" s="603"/>
      <c r="Z487" s="603"/>
    </row>
    <row r="488" spans="1:26" ht="15.75" customHeight="1" x14ac:dyDescent="0.2">
      <c r="A488" s="603"/>
      <c r="B488" s="603"/>
      <c r="C488" s="603"/>
      <c r="D488" s="603"/>
      <c r="E488" s="603"/>
      <c r="F488" s="603"/>
      <c r="G488" s="603"/>
      <c r="H488" s="603"/>
      <c r="I488" s="603"/>
      <c r="J488" s="603"/>
      <c r="K488" s="449"/>
      <c r="L488" s="603"/>
      <c r="M488" s="603"/>
      <c r="N488" s="603"/>
      <c r="O488" s="603"/>
      <c r="P488" s="603"/>
      <c r="Q488" s="603"/>
      <c r="R488" s="603"/>
      <c r="S488" s="603"/>
      <c r="T488" s="603"/>
      <c r="U488" s="603"/>
      <c r="V488" s="603"/>
      <c r="W488" s="603"/>
      <c r="X488" s="603"/>
      <c r="Y488" s="603"/>
      <c r="Z488" s="603"/>
    </row>
    <row r="489" spans="1:26" ht="15.75" customHeight="1" x14ac:dyDescent="0.2">
      <c r="A489" s="603"/>
      <c r="B489" s="603"/>
      <c r="C489" s="603"/>
      <c r="D489" s="603"/>
      <c r="E489" s="603"/>
      <c r="F489" s="603"/>
      <c r="G489" s="603"/>
      <c r="H489" s="603"/>
      <c r="I489" s="603"/>
      <c r="J489" s="603"/>
      <c r="K489" s="449"/>
      <c r="L489" s="603"/>
      <c r="M489" s="603"/>
      <c r="N489" s="603"/>
      <c r="O489" s="603"/>
      <c r="P489" s="603"/>
      <c r="Q489" s="603"/>
      <c r="R489" s="603"/>
      <c r="S489" s="603"/>
      <c r="T489" s="603"/>
      <c r="U489" s="603"/>
      <c r="V489" s="603"/>
      <c r="W489" s="603"/>
      <c r="X489" s="603"/>
      <c r="Y489" s="603"/>
      <c r="Z489" s="603"/>
    </row>
    <row r="490" spans="1:26" ht="15.75" customHeight="1" x14ac:dyDescent="0.2">
      <c r="A490" s="603"/>
      <c r="B490" s="603"/>
      <c r="C490" s="603"/>
      <c r="D490" s="603"/>
      <c r="E490" s="603"/>
      <c r="F490" s="603"/>
      <c r="G490" s="603"/>
      <c r="H490" s="603"/>
      <c r="I490" s="603"/>
      <c r="J490" s="603"/>
      <c r="K490" s="449"/>
      <c r="L490" s="603"/>
      <c r="M490" s="603"/>
      <c r="N490" s="603"/>
      <c r="O490" s="603"/>
      <c r="P490" s="603"/>
      <c r="Q490" s="603"/>
      <c r="R490" s="603"/>
      <c r="S490" s="603"/>
      <c r="T490" s="603"/>
      <c r="U490" s="603"/>
      <c r="V490" s="603"/>
      <c r="W490" s="603"/>
      <c r="X490" s="603"/>
      <c r="Y490" s="603"/>
      <c r="Z490" s="603"/>
    </row>
    <row r="491" spans="1:26" ht="15.75" customHeight="1" x14ac:dyDescent="0.2">
      <c r="A491" s="603"/>
      <c r="B491" s="603"/>
      <c r="C491" s="603"/>
      <c r="D491" s="603"/>
      <c r="E491" s="603"/>
      <c r="F491" s="603"/>
      <c r="G491" s="603"/>
      <c r="H491" s="603"/>
      <c r="I491" s="603"/>
      <c r="J491" s="603"/>
      <c r="K491" s="449"/>
      <c r="L491" s="603"/>
      <c r="M491" s="603"/>
      <c r="N491" s="603"/>
      <c r="O491" s="603"/>
      <c r="P491" s="603"/>
      <c r="Q491" s="603"/>
      <c r="R491" s="603"/>
      <c r="S491" s="603"/>
      <c r="T491" s="603"/>
      <c r="U491" s="603"/>
      <c r="V491" s="603"/>
      <c r="W491" s="603"/>
      <c r="X491" s="603"/>
      <c r="Y491" s="603"/>
      <c r="Z491" s="603"/>
    </row>
    <row r="492" spans="1:26" ht="15.75" customHeight="1" x14ac:dyDescent="0.2">
      <c r="A492" s="603"/>
      <c r="B492" s="603"/>
      <c r="C492" s="603"/>
      <c r="D492" s="603"/>
      <c r="E492" s="603"/>
      <c r="F492" s="603"/>
      <c r="G492" s="603"/>
      <c r="H492" s="603"/>
      <c r="I492" s="603"/>
      <c r="J492" s="603"/>
      <c r="K492" s="449"/>
      <c r="L492" s="603"/>
      <c r="M492" s="603"/>
      <c r="N492" s="603"/>
      <c r="O492" s="603"/>
      <c r="P492" s="603"/>
      <c r="Q492" s="603"/>
      <c r="R492" s="603"/>
      <c r="S492" s="603"/>
      <c r="T492" s="603"/>
      <c r="U492" s="603"/>
      <c r="V492" s="603"/>
      <c r="W492" s="603"/>
      <c r="X492" s="603"/>
      <c r="Y492" s="603"/>
      <c r="Z492" s="603"/>
    </row>
    <row r="493" spans="1:26" ht="15.75" customHeight="1" x14ac:dyDescent="0.2">
      <c r="A493" s="603"/>
      <c r="B493" s="603"/>
      <c r="C493" s="603"/>
      <c r="D493" s="603"/>
      <c r="E493" s="603"/>
      <c r="F493" s="603"/>
      <c r="G493" s="603"/>
      <c r="H493" s="603"/>
      <c r="I493" s="603"/>
      <c r="J493" s="603"/>
      <c r="K493" s="449"/>
      <c r="L493" s="603"/>
      <c r="M493" s="603"/>
      <c r="N493" s="603"/>
      <c r="O493" s="603"/>
      <c r="P493" s="603"/>
      <c r="Q493" s="603"/>
      <c r="R493" s="603"/>
      <c r="S493" s="603"/>
      <c r="T493" s="603"/>
      <c r="U493" s="603"/>
      <c r="V493" s="603"/>
      <c r="W493" s="603"/>
      <c r="X493" s="603"/>
      <c r="Y493" s="603"/>
      <c r="Z493" s="603"/>
    </row>
    <row r="494" spans="1:26" ht="15.75" customHeight="1" x14ac:dyDescent="0.2">
      <c r="A494" s="603"/>
      <c r="B494" s="603"/>
      <c r="C494" s="603"/>
      <c r="D494" s="603"/>
      <c r="E494" s="603"/>
      <c r="F494" s="603"/>
      <c r="G494" s="603"/>
      <c r="H494" s="603"/>
      <c r="I494" s="603"/>
      <c r="J494" s="603"/>
      <c r="K494" s="449"/>
      <c r="L494" s="603"/>
      <c r="M494" s="603"/>
      <c r="N494" s="603"/>
      <c r="O494" s="603"/>
      <c r="P494" s="603"/>
      <c r="Q494" s="603"/>
      <c r="R494" s="603"/>
      <c r="S494" s="603"/>
      <c r="T494" s="603"/>
      <c r="U494" s="603"/>
      <c r="V494" s="603"/>
      <c r="W494" s="603"/>
      <c r="X494" s="603"/>
      <c r="Y494" s="603"/>
      <c r="Z494" s="603"/>
    </row>
    <row r="495" spans="1:26" ht="15.75" customHeight="1" x14ac:dyDescent="0.2">
      <c r="A495" s="603"/>
      <c r="B495" s="603"/>
      <c r="C495" s="603"/>
      <c r="D495" s="603"/>
      <c r="E495" s="603"/>
      <c r="F495" s="603"/>
      <c r="G495" s="603"/>
      <c r="H495" s="603"/>
      <c r="I495" s="603"/>
      <c r="J495" s="603"/>
      <c r="K495" s="449"/>
      <c r="L495" s="603"/>
      <c r="M495" s="603"/>
      <c r="N495" s="603"/>
      <c r="O495" s="603"/>
      <c r="P495" s="603"/>
      <c r="Q495" s="603"/>
      <c r="R495" s="603"/>
      <c r="S495" s="603"/>
      <c r="T495" s="603"/>
      <c r="U495" s="603"/>
      <c r="V495" s="603"/>
      <c r="W495" s="603"/>
      <c r="X495" s="603"/>
      <c r="Y495" s="603"/>
      <c r="Z495" s="603"/>
    </row>
    <row r="496" spans="1:26" ht="15.75" customHeight="1" x14ac:dyDescent="0.2">
      <c r="A496" s="603"/>
      <c r="B496" s="603"/>
      <c r="C496" s="603"/>
      <c r="D496" s="603"/>
      <c r="E496" s="603"/>
      <c r="F496" s="603"/>
      <c r="G496" s="603"/>
      <c r="H496" s="603"/>
      <c r="I496" s="603"/>
      <c r="J496" s="603"/>
      <c r="K496" s="449"/>
      <c r="L496" s="603"/>
      <c r="M496" s="603"/>
      <c r="N496" s="603"/>
      <c r="O496" s="603"/>
      <c r="P496" s="603"/>
      <c r="Q496" s="603"/>
      <c r="R496" s="603"/>
      <c r="S496" s="603"/>
      <c r="T496" s="603"/>
      <c r="U496" s="603"/>
      <c r="V496" s="603"/>
      <c r="W496" s="603"/>
      <c r="X496" s="603"/>
      <c r="Y496" s="603"/>
      <c r="Z496" s="603"/>
    </row>
    <row r="497" spans="1:26" ht="15.75" customHeight="1" x14ac:dyDescent="0.2">
      <c r="A497" s="603"/>
      <c r="B497" s="603"/>
      <c r="C497" s="603"/>
      <c r="D497" s="603"/>
      <c r="E497" s="603"/>
      <c r="F497" s="603"/>
      <c r="G497" s="603"/>
      <c r="H497" s="603"/>
      <c r="I497" s="603"/>
      <c r="J497" s="603"/>
      <c r="K497" s="449"/>
      <c r="L497" s="603"/>
      <c r="M497" s="603"/>
      <c r="N497" s="603"/>
      <c r="O497" s="603"/>
      <c r="P497" s="603"/>
      <c r="Q497" s="603"/>
      <c r="R497" s="603"/>
      <c r="S497" s="603"/>
      <c r="T497" s="603"/>
      <c r="U497" s="603"/>
      <c r="V497" s="603"/>
      <c r="W497" s="603"/>
      <c r="X497" s="603"/>
      <c r="Y497" s="603"/>
      <c r="Z497" s="603"/>
    </row>
    <row r="498" spans="1:26" ht="15.75" customHeight="1" x14ac:dyDescent="0.2">
      <c r="A498" s="603"/>
      <c r="B498" s="603"/>
      <c r="C498" s="603"/>
      <c r="D498" s="603"/>
      <c r="E498" s="603"/>
      <c r="F498" s="603"/>
      <c r="G498" s="603"/>
      <c r="H498" s="603"/>
      <c r="I498" s="603"/>
      <c r="J498" s="603"/>
      <c r="K498" s="449"/>
      <c r="L498" s="603"/>
      <c r="M498" s="603"/>
      <c r="N498" s="603"/>
      <c r="O498" s="603"/>
      <c r="P498" s="603"/>
      <c r="Q498" s="603"/>
      <c r="R498" s="603"/>
      <c r="S498" s="603"/>
      <c r="T498" s="603"/>
      <c r="U498" s="603"/>
      <c r="V498" s="603"/>
      <c r="W498" s="603"/>
      <c r="X498" s="603"/>
      <c r="Y498" s="603"/>
      <c r="Z498" s="603"/>
    </row>
    <row r="499" spans="1:26" ht="15.75" customHeight="1" x14ac:dyDescent="0.2">
      <c r="A499" s="603"/>
      <c r="B499" s="603"/>
      <c r="C499" s="603"/>
      <c r="D499" s="603"/>
      <c r="E499" s="603"/>
      <c r="F499" s="603"/>
      <c r="G499" s="603"/>
      <c r="H499" s="603"/>
      <c r="I499" s="603"/>
      <c r="J499" s="603"/>
      <c r="K499" s="449"/>
      <c r="L499" s="603"/>
      <c r="M499" s="603"/>
      <c r="N499" s="603"/>
      <c r="O499" s="603"/>
      <c r="P499" s="603"/>
      <c r="Q499" s="603"/>
      <c r="R499" s="603"/>
      <c r="S499" s="603"/>
      <c r="T499" s="603"/>
      <c r="U499" s="603"/>
      <c r="V499" s="603"/>
      <c r="W499" s="603"/>
      <c r="X499" s="603"/>
      <c r="Y499" s="603"/>
      <c r="Z499" s="603"/>
    </row>
    <row r="500" spans="1:26" ht="15.75" customHeight="1" x14ac:dyDescent="0.2">
      <c r="A500" s="603"/>
      <c r="B500" s="603"/>
      <c r="C500" s="603"/>
      <c r="D500" s="603"/>
      <c r="E500" s="603"/>
      <c r="F500" s="603"/>
      <c r="G500" s="603"/>
      <c r="H500" s="603"/>
      <c r="I500" s="603"/>
      <c r="J500" s="603"/>
      <c r="K500" s="449"/>
      <c r="L500" s="603"/>
      <c r="M500" s="603"/>
      <c r="N500" s="603"/>
      <c r="O500" s="603"/>
      <c r="P500" s="603"/>
      <c r="Q500" s="603"/>
      <c r="R500" s="603"/>
      <c r="S500" s="603"/>
      <c r="T500" s="603"/>
      <c r="U500" s="603"/>
      <c r="V500" s="603"/>
      <c r="W500" s="603"/>
      <c r="X500" s="603"/>
      <c r="Y500" s="603"/>
      <c r="Z500" s="603"/>
    </row>
    <row r="501" spans="1:26" ht="15.75" customHeight="1" x14ac:dyDescent="0.2">
      <c r="A501" s="603"/>
      <c r="B501" s="603"/>
      <c r="C501" s="603"/>
      <c r="D501" s="603"/>
      <c r="E501" s="603"/>
      <c r="F501" s="603"/>
      <c r="G501" s="603"/>
      <c r="H501" s="603"/>
      <c r="I501" s="603"/>
      <c r="J501" s="603"/>
      <c r="K501" s="449"/>
      <c r="L501" s="603"/>
      <c r="M501" s="603"/>
      <c r="N501" s="603"/>
      <c r="O501" s="603"/>
      <c r="P501" s="603"/>
      <c r="Q501" s="603"/>
      <c r="R501" s="603"/>
      <c r="S501" s="603"/>
      <c r="T501" s="603"/>
      <c r="U501" s="603"/>
      <c r="V501" s="603"/>
      <c r="W501" s="603"/>
      <c r="X501" s="603"/>
      <c r="Y501" s="603"/>
      <c r="Z501" s="603"/>
    </row>
    <row r="502" spans="1:26" ht="15.75" customHeight="1" x14ac:dyDescent="0.2">
      <c r="A502" s="603"/>
      <c r="B502" s="603"/>
      <c r="C502" s="603"/>
      <c r="D502" s="603"/>
      <c r="E502" s="603"/>
      <c r="F502" s="603"/>
      <c r="G502" s="603"/>
      <c r="H502" s="603"/>
      <c r="I502" s="603"/>
      <c r="J502" s="603"/>
      <c r="K502" s="449"/>
      <c r="L502" s="603"/>
      <c r="M502" s="603"/>
      <c r="N502" s="603"/>
      <c r="O502" s="603"/>
      <c r="P502" s="603"/>
      <c r="Q502" s="603"/>
      <c r="R502" s="603"/>
      <c r="S502" s="603"/>
      <c r="T502" s="603"/>
      <c r="U502" s="603"/>
      <c r="V502" s="603"/>
      <c r="W502" s="603"/>
      <c r="X502" s="603"/>
      <c r="Y502" s="603"/>
      <c r="Z502" s="603"/>
    </row>
    <row r="503" spans="1:26" ht="15.75" customHeight="1" x14ac:dyDescent="0.2">
      <c r="A503" s="603"/>
      <c r="B503" s="603"/>
      <c r="C503" s="603"/>
      <c r="D503" s="603"/>
      <c r="E503" s="603"/>
      <c r="F503" s="603"/>
      <c r="G503" s="603"/>
      <c r="H503" s="603"/>
      <c r="I503" s="603"/>
      <c r="J503" s="603"/>
      <c r="K503" s="449"/>
      <c r="L503" s="603"/>
      <c r="M503" s="603"/>
      <c r="N503" s="603"/>
      <c r="O503" s="603"/>
      <c r="P503" s="603"/>
      <c r="Q503" s="603"/>
      <c r="R503" s="603"/>
      <c r="S503" s="603"/>
      <c r="T503" s="603"/>
      <c r="U503" s="603"/>
      <c r="V503" s="603"/>
      <c r="W503" s="603"/>
      <c r="X503" s="603"/>
      <c r="Y503" s="603"/>
      <c r="Z503" s="603"/>
    </row>
    <row r="504" spans="1:26" ht="15.75" customHeight="1" x14ac:dyDescent="0.2">
      <c r="A504" s="603"/>
      <c r="B504" s="603"/>
      <c r="C504" s="603"/>
      <c r="D504" s="603"/>
      <c r="E504" s="603"/>
      <c r="F504" s="603"/>
      <c r="G504" s="603"/>
      <c r="H504" s="603"/>
      <c r="I504" s="603"/>
      <c r="J504" s="603"/>
      <c r="K504" s="449"/>
      <c r="L504" s="603"/>
      <c r="M504" s="603"/>
      <c r="N504" s="603"/>
      <c r="O504" s="603"/>
      <c r="P504" s="603"/>
      <c r="Q504" s="603"/>
      <c r="R504" s="603"/>
      <c r="S504" s="603"/>
      <c r="T504" s="603"/>
      <c r="U504" s="603"/>
      <c r="V504" s="603"/>
      <c r="W504" s="603"/>
      <c r="X504" s="603"/>
      <c r="Y504" s="603"/>
      <c r="Z504" s="603"/>
    </row>
    <row r="505" spans="1:26" ht="15.75" customHeight="1" x14ac:dyDescent="0.2">
      <c r="A505" s="603"/>
      <c r="B505" s="603"/>
      <c r="C505" s="603"/>
      <c r="D505" s="603"/>
      <c r="E505" s="603"/>
      <c r="F505" s="603"/>
      <c r="G505" s="603"/>
      <c r="H505" s="603"/>
      <c r="I505" s="603"/>
      <c r="J505" s="603"/>
      <c r="K505" s="449"/>
      <c r="L505" s="603"/>
      <c r="M505" s="603"/>
      <c r="N505" s="603"/>
      <c r="O505" s="603"/>
      <c r="P505" s="603"/>
      <c r="Q505" s="603"/>
      <c r="R505" s="603"/>
      <c r="S505" s="603"/>
      <c r="T505" s="603"/>
      <c r="U505" s="603"/>
      <c r="V505" s="603"/>
      <c r="W505" s="603"/>
      <c r="X505" s="603"/>
      <c r="Y505" s="603"/>
      <c r="Z505" s="603"/>
    </row>
    <row r="506" spans="1:26" ht="15.75" customHeight="1" x14ac:dyDescent="0.2">
      <c r="A506" s="603"/>
      <c r="B506" s="603"/>
      <c r="C506" s="603"/>
      <c r="D506" s="603"/>
      <c r="E506" s="603"/>
      <c r="F506" s="603"/>
      <c r="G506" s="603"/>
      <c r="H506" s="603"/>
      <c r="I506" s="603"/>
      <c r="J506" s="603"/>
      <c r="K506" s="449"/>
      <c r="L506" s="603"/>
      <c r="M506" s="603"/>
      <c r="N506" s="603"/>
      <c r="O506" s="603"/>
      <c r="P506" s="603"/>
      <c r="Q506" s="603"/>
      <c r="R506" s="603"/>
      <c r="S506" s="603"/>
      <c r="T506" s="603"/>
      <c r="U506" s="603"/>
      <c r="V506" s="603"/>
      <c r="W506" s="603"/>
      <c r="X506" s="603"/>
      <c r="Y506" s="603"/>
      <c r="Z506" s="603"/>
    </row>
    <row r="507" spans="1:26" ht="15.75" customHeight="1" x14ac:dyDescent="0.2">
      <c r="A507" s="603"/>
      <c r="B507" s="603"/>
      <c r="C507" s="603"/>
      <c r="D507" s="603"/>
      <c r="E507" s="603"/>
      <c r="F507" s="603"/>
      <c r="G507" s="603"/>
      <c r="H507" s="603"/>
      <c r="I507" s="603"/>
      <c r="J507" s="603"/>
      <c r="K507" s="449"/>
      <c r="L507" s="603"/>
      <c r="M507" s="603"/>
      <c r="N507" s="603"/>
      <c r="O507" s="603"/>
      <c r="P507" s="603"/>
      <c r="Q507" s="603"/>
      <c r="R507" s="603"/>
      <c r="S507" s="603"/>
      <c r="T507" s="603"/>
      <c r="U507" s="603"/>
      <c r="V507" s="603"/>
      <c r="W507" s="603"/>
      <c r="X507" s="603"/>
      <c r="Y507" s="603"/>
      <c r="Z507" s="603"/>
    </row>
    <row r="508" spans="1:26" ht="15.75" customHeight="1" x14ac:dyDescent="0.2">
      <c r="A508" s="603"/>
      <c r="B508" s="603"/>
      <c r="C508" s="603"/>
      <c r="D508" s="603"/>
      <c r="E508" s="603"/>
      <c r="F508" s="603"/>
      <c r="G508" s="603"/>
      <c r="H508" s="603"/>
      <c r="I508" s="603"/>
      <c r="J508" s="603"/>
      <c r="K508" s="449"/>
      <c r="L508" s="603"/>
      <c r="M508" s="603"/>
      <c r="N508" s="603"/>
      <c r="O508" s="603"/>
      <c r="P508" s="603"/>
      <c r="Q508" s="603"/>
      <c r="R508" s="603"/>
      <c r="S508" s="603"/>
      <c r="T508" s="603"/>
      <c r="U508" s="603"/>
      <c r="V508" s="603"/>
      <c r="W508" s="603"/>
      <c r="X508" s="603"/>
      <c r="Y508" s="603"/>
      <c r="Z508" s="603"/>
    </row>
    <row r="509" spans="1:26" ht="15.75" customHeight="1" x14ac:dyDescent="0.2">
      <c r="A509" s="603"/>
      <c r="B509" s="603"/>
      <c r="C509" s="603"/>
      <c r="D509" s="603"/>
      <c r="E509" s="603"/>
      <c r="F509" s="603"/>
      <c r="G509" s="603"/>
      <c r="H509" s="603"/>
      <c r="I509" s="603"/>
      <c r="J509" s="603"/>
      <c r="K509" s="449"/>
      <c r="L509" s="603"/>
      <c r="M509" s="603"/>
      <c r="N509" s="603"/>
      <c r="O509" s="603"/>
      <c r="P509" s="603"/>
      <c r="Q509" s="603"/>
      <c r="R509" s="603"/>
      <c r="S509" s="603"/>
      <c r="T509" s="603"/>
      <c r="U509" s="603"/>
      <c r="V509" s="603"/>
      <c r="W509" s="603"/>
      <c r="X509" s="603"/>
      <c r="Y509" s="603"/>
      <c r="Z509" s="603"/>
    </row>
    <row r="510" spans="1:26" ht="15.75" customHeight="1" x14ac:dyDescent="0.2">
      <c r="A510" s="603"/>
      <c r="B510" s="603"/>
      <c r="C510" s="603"/>
      <c r="D510" s="603"/>
      <c r="E510" s="603"/>
      <c r="F510" s="603"/>
      <c r="G510" s="603"/>
      <c r="H510" s="603"/>
      <c r="I510" s="603"/>
      <c r="J510" s="603"/>
      <c r="K510" s="449"/>
      <c r="L510" s="603"/>
      <c r="M510" s="603"/>
      <c r="N510" s="603"/>
      <c r="O510" s="603"/>
      <c r="P510" s="603"/>
      <c r="Q510" s="603"/>
      <c r="R510" s="603"/>
      <c r="S510" s="603"/>
      <c r="T510" s="603"/>
      <c r="U510" s="603"/>
      <c r="V510" s="603"/>
      <c r="W510" s="603"/>
      <c r="X510" s="603"/>
      <c r="Y510" s="603"/>
      <c r="Z510" s="603"/>
    </row>
    <row r="511" spans="1:26" ht="15.75" customHeight="1" x14ac:dyDescent="0.2">
      <c r="A511" s="603"/>
      <c r="B511" s="603"/>
      <c r="C511" s="603"/>
      <c r="D511" s="603"/>
      <c r="E511" s="603"/>
      <c r="F511" s="603"/>
      <c r="G511" s="603"/>
      <c r="H511" s="603"/>
      <c r="I511" s="603"/>
      <c r="J511" s="603"/>
      <c r="K511" s="449"/>
      <c r="L511" s="603"/>
      <c r="M511" s="603"/>
      <c r="N511" s="603"/>
      <c r="O511" s="603"/>
      <c r="P511" s="603"/>
      <c r="Q511" s="603"/>
      <c r="R511" s="603"/>
      <c r="S511" s="603"/>
      <c r="T511" s="603"/>
      <c r="U511" s="603"/>
      <c r="V511" s="603"/>
      <c r="W511" s="603"/>
      <c r="X511" s="603"/>
      <c r="Y511" s="603"/>
      <c r="Z511" s="603"/>
    </row>
    <row r="512" spans="1:26" ht="15.75" customHeight="1" x14ac:dyDescent="0.2">
      <c r="A512" s="603"/>
      <c r="B512" s="603"/>
      <c r="C512" s="603"/>
      <c r="D512" s="603"/>
      <c r="E512" s="603"/>
      <c r="F512" s="603"/>
      <c r="G512" s="603"/>
      <c r="H512" s="603"/>
      <c r="I512" s="603"/>
      <c r="J512" s="603"/>
      <c r="K512" s="449"/>
      <c r="L512" s="603"/>
      <c r="M512" s="603"/>
      <c r="N512" s="603"/>
      <c r="O512" s="603"/>
      <c r="P512" s="603"/>
      <c r="Q512" s="603"/>
      <c r="R512" s="603"/>
      <c r="S512" s="603"/>
      <c r="T512" s="603"/>
      <c r="U512" s="603"/>
      <c r="V512" s="603"/>
      <c r="W512" s="603"/>
      <c r="X512" s="603"/>
      <c r="Y512" s="603"/>
      <c r="Z512" s="603"/>
    </row>
    <row r="513" spans="1:26" ht="15.75" customHeight="1" x14ac:dyDescent="0.2">
      <c r="A513" s="603"/>
      <c r="B513" s="603"/>
      <c r="C513" s="603"/>
      <c r="D513" s="603"/>
      <c r="E513" s="603"/>
      <c r="F513" s="603"/>
      <c r="G513" s="603"/>
      <c r="H513" s="603"/>
      <c r="I513" s="603"/>
      <c r="J513" s="603"/>
      <c r="K513" s="449"/>
      <c r="L513" s="603"/>
      <c r="M513" s="603"/>
      <c r="N513" s="603"/>
      <c r="O513" s="603"/>
      <c r="P513" s="603"/>
      <c r="Q513" s="603"/>
      <c r="R513" s="603"/>
      <c r="S513" s="603"/>
      <c r="T513" s="603"/>
      <c r="U513" s="603"/>
      <c r="V513" s="603"/>
      <c r="W513" s="603"/>
      <c r="X513" s="603"/>
      <c r="Y513" s="603"/>
      <c r="Z513" s="603"/>
    </row>
    <row r="514" spans="1:26" ht="15.75" customHeight="1" x14ac:dyDescent="0.2">
      <c r="A514" s="603"/>
      <c r="B514" s="603"/>
      <c r="C514" s="603"/>
      <c r="D514" s="603"/>
      <c r="E514" s="603"/>
      <c r="F514" s="603"/>
      <c r="G514" s="603"/>
      <c r="H514" s="603"/>
      <c r="I514" s="603"/>
      <c r="J514" s="603"/>
      <c r="K514" s="449"/>
      <c r="L514" s="603"/>
      <c r="M514" s="603"/>
      <c r="N514" s="603"/>
      <c r="O514" s="603"/>
      <c r="P514" s="603"/>
      <c r="Q514" s="603"/>
      <c r="R514" s="603"/>
      <c r="S514" s="603"/>
      <c r="T514" s="603"/>
      <c r="U514" s="603"/>
      <c r="V514" s="603"/>
      <c r="W514" s="603"/>
      <c r="X514" s="603"/>
      <c r="Y514" s="603"/>
      <c r="Z514" s="603"/>
    </row>
    <row r="515" spans="1:26" ht="15.75" customHeight="1" x14ac:dyDescent="0.2">
      <c r="A515" s="603"/>
      <c r="B515" s="603"/>
      <c r="C515" s="603"/>
      <c r="D515" s="603"/>
      <c r="E515" s="603"/>
      <c r="F515" s="603"/>
      <c r="G515" s="603"/>
      <c r="H515" s="603"/>
      <c r="I515" s="603"/>
      <c r="J515" s="603"/>
      <c r="K515" s="449"/>
      <c r="L515" s="603"/>
      <c r="M515" s="603"/>
      <c r="N515" s="603"/>
      <c r="O515" s="603"/>
      <c r="P515" s="603"/>
      <c r="Q515" s="603"/>
      <c r="R515" s="603"/>
      <c r="S515" s="603"/>
      <c r="T515" s="603"/>
      <c r="U515" s="603"/>
      <c r="V515" s="603"/>
      <c r="W515" s="603"/>
      <c r="X515" s="603"/>
      <c r="Y515" s="603"/>
      <c r="Z515" s="603"/>
    </row>
    <row r="516" spans="1:26" ht="15.75" customHeight="1" x14ac:dyDescent="0.2">
      <c r="A516" s="603"/>
      <c r="B516" s="603"/>
      <c r="C516" s="603"/>
      <c r="D516" s="603"/>
      <c r="E516" s="603"/>
      <c r="F516" s="603"/>
      <c r="G516" s="603"/>
      <c r="H516" s="603"/>
      <c r="I516" s="603"/>
      <c r="J516" s="603"/>
      <c r="K516" s="449"/>
      <c r="L516" s="603"/>
      <c r="M516" s="603"/>
      <c r="N516" s="603"/>
      <c r="O516" s="603"/>
      <c r="P516" s="603"/>
      <c r="Q516" s="603"/>
      <c r="R516" s="603"/>
      <c r="S516" s="603"/>
      <c r="T516" s="603"/>
      <c r="U516" s="603"/>
      <c r="V516" s="603"/>
      <c r="W516" s="603"/>
      <c r="X516" s="603"/>
      <c r="Y516" s="603"/>
      <c r="Z516" s="603"/>
    </row>
    <row r="517" spans="1:26" ht="15.75" customHeight="1" x14ac:dyDescent="0.2">
      <c r="A517" s="603"/>
      <c r="B517" s="603"/>
      <c r="C517" s="603"/>
      <c r="D517" s="603"/>
      <c r="E517" s="603"/>
      <c r="F517" s="603"/>
      <c r="G517" s="603"/>
      <c r="H517" s="603"/>
      <c r="I517" s="603"/>
      <c r="J517" s="603"/>
      <c r="K517" s="449"/>
      <c r="L517" s="603"/>
      <c r="M517" s="603"/>
      <c r="N517" s="603"/>
      <c r="O517" s="603"/>
      <c r="P517" s="603"/>
      <c r="Q517" s="603"/>
      <c r="R517" s="603"/>
      <c r="S517" s="603"/>
      <c r="T517" s="603"/>
      <c r="U517" s="603"/>
      <c r="V517" s="603"/>
      <c r="W517" s="603"/>
      <c r="X517" s="603"/>
      <c r="Y517" s="603"/>
      <c r="Z517" s="603"/>
    </row>
    <row r="518" spans="1:26" ht="15.75" customHeight="1" x14ac:dyDescent="0.2">
      <c r="A518" s="603"/>
      <c r="B518" s="603"/>
      <c r="C518" s="603"/>
      <c r="D518" s="603"/>
      <c r="E518" s="603"/>
      <c r="F518" s="603"/>
      <c r="G518" s="603"/>
      <c r="H518" s="603"/>
      <c r="I518" s="603"/>
      <c r="J518" s="603"/>
      <c r="K518" s="449"/>
      <c r="L518" s="603"/>
      <c r="M518" s="603"/>
      <c r="N518" s="603"/>
      <c r="O518" s="603"/>
      <c r="P518" s="603"/>
      <c r="Q518" s="603"/>
      <c r="R518" s="603"/>
      <c r="S518" s="603"/>
      <c r="T518" s="603"/>
      <c r="U518" s="603"/>
      <c r="V518" s="603"/>
      <c r="W518" s="603"/>
      <c r="X518" s="603"/>
      <c r="Y518" s="603"/>
      <c r="Z518" s="603"/>
    </row>
    <row r="519" spans="1:26" ht="15.75" customHeight="1" x14ac:dyDescent="0.2">
      <c r="A519" s="603"/>
      <c r="B519" s="603"/>
      <c r="C519" s="603"/>
      <c r="D519" s="603"/>
      <c r="E519" s="603"/>
      <c r="F519" s="603"/>
      <c r="G519" s="603"/>
      <c r="H519" s="603"/>
      <c r="I519" s="603"/>
      <c r="J519" s="603"/>
      <c r="K519" s="449"/>
      <c r="L519" s="603"/>
      <c r="M519" s="603"/>
      <c r="N519" s="603"/>
      <c r="O519" s="603"/>
      <c r="P519" s="603"/>
      <c r="Q519" s="603"/>
      <c r="R519" s="603"/>
      <c r="S519" s="603"/>
      <c r="T519" s="603"/>
      <c r="U519" s="603"/>
      <c r="V519" s="603"/>
      <c r="W519" s="603"/>
      <c r="X519" s="603"/>
      <c r="Y519" s="603"/>
      <c r="Z519" s="603"/>
    </row>
    <row r="520" spans="1:26" ht="15.75" customHeight="1" x14ac:dyDescent="0.2">
      <c r="A520" s="603"/>
      <c r="B520" s="603"/>
      <c r="C520" s="603"/>
      <c r="D520" s="603"/>
      <c r="E520" s="603"/>
      <c r="F520" s="603"/>
      <c r="G520" s="603"/>
      <c r="H520" s="603"/>
      <c r="I520" s="603"/>
      <c r="J520" s="603"/>
      <c r="K520" s="449"/>
      <c r="L520" s="603"/>
      <c r="M520" s="603"/>
      <c r="N520" s="603"/>
      <c r="O520" s="603"/>
      <c r="P520" s="603"/>
      <c r="Q520" s="603"/>
      <c r="R520" s="603"/>
      <c r="S520" s="603"/>
      <c r="T520" s="603"/>
      <c r="U520" s="603"/>
      <c r="V520" s="603"/>
      <c r="W520" s="603"/>
      <c r="X520" s="603"/>
      <c r="Y520" s="603"/>
      <c r="Z520" s="603"/>
    </row>
    <row r="521" spans="1:26" ht="15.75" customHeight="1" x14ac:dyDescent="0.2">
      <c r="A521" s="603"/>
      <c r="B521" s="603"/>
      <c r="C521" s="603"/>
      <c r="D521" s="603"/>
      <c r="E521" s="603"/>
      <c r="F521" s="603"/>
      <c r="G521" s="603"/>
      <c r="H521" s="603"/>
      <c r="I521" s="603"/>
      <c r="J521" s="603"/>
      <c r="K521" s="449"/>
      <c r="L521" s="603"/>
      <c r="M521" s="603"/>
      <c r="N521" s="603"/>
      <c r="O521" s="603"/>
      <c r="P521" s="603"/>
      <c r="Q521" s="603"/>
      <c r="R521" s="603"/>
      <c r="S521" s="603"/>
      <c r="T521" s="603"/>
      <c r="U521" s="603"/>
      <c r="V521" s="603"/>
      <c r="W521" s="603"/>
      <c r="X521" s="603"/>
      <c r="Y521" s="603"/>
      <c r="Z521" s="603"/>
    </row>
    <row r="522" spans="1:26" ht="15.75" customHeight="1" x14ac:dyDescent="0.2">
      <c r="A522" s="603"/>
      <c r="B522" s="603"/>
      <c r="C522" s="603"/>
      <c r="D522" s="603"/>
      <c r="E522" s="603"/>
      <c r="F522" s="603"/>
      <c r="G522" s="603"/>
      <c r="H522" s="603"/>
      <c r="I522" s="603"/>
      <c r="J522" s="603"/>
      <c r="K522" s="449"/>
      <c r="L522" s="603"/>
      <c r="M522" s="603"/>
      <c r="N522" s="603"/>
      <c r="O522" s="603"/>
      <c r="P522" s="603"/>
      <c r="Q522" s="603"/>
      <c r="R522" s="603"/>
      <c r="S522" s="603"/>
      <c r="T522" s="603"/>
      <c r="U522" s="603"/>
      <c r="V522" s="603"/>
      <c r="W522" s="603"/>
      <c r="X522" s="603"/>
      <c r="Y522" s="603"/>
      <c r="Z522" s="603"/>
    </row>
    <row r="523" spans="1:26" ht="15.75" customHeight="1" x14ac:dyDescent="0.2">
      <c r="A523" s="603"/>
      <c r="B523" s="603"/>
      <c r="C523" s="603"/>
      <c r="D523" s="603"/>
      <c r="E523" s="603"/>
      <c r="F523" s="603"/>
      <c r="G523" s="603"/>
      <c r="H523" s="603"/>
      <c r="I523" s="603"/>
      <c r="J523" s="603"/>
      <c r="K523" s="449"/>
      <c r="L523" s="603"/>
      <c r="M523" s="603"/>
      <c r="N523" s="603"/>
      <c r="O523" s="603"/>
      <c r="P523" s="603"/>
      <c r="Q523" s="603"/>
      <c r="R523" s="603"/>
      <c r="S523" s="603"/>
      <c r="T523" s="603"/>
      <c r="U523" s="603"/>
      <c r="V523" s="603"/>
      <c r="W523" s="603"/>
      <c r="X523" s="603"/>
      <c r="Y523" s="603"/>
      <c r="Z523" s="603"/>
    </row>
    <row r="524" spans="1:26" ht="15.75" customHeight="1" x14ac:dyDescent="0.2">
      <c r="A524" s="603"/>
      <c r="B524" s="603"/>
      <c r="C524" s="603"/>
      <c r="D524" s="603"/>
      <c r="E524" s="603"/>
      <c r="F524" s="603"/>
      <c r="G524" s="603"/>
      <c r="H524" s="603"/>
      <c r="I524" s="603"/>
      <c r="J524" s="603"/>
      <c r="K524" s="449"/>
      <c r="L524" s="603"/>
      <c r="M524" s="603"/>
      <c r="N524" s="603"/>
      <c r="O524" s="603"/>
      <c r="P524" s="603"/>
      <c r="Q524" s="603"/>
      <c r="R524" s="603"/>
      <c r="S524" s="603"/>
      <c r="T524" s="603"/>
      <c r="U524" s="603"/>
      <c r="V524" s="603"/>
      <c r="W524" s="603"/>
      <c r="X524" s="603"/>
      <c r="Y524" s="603"/>
      <c r="Z524" s="603"/>
    </row>
    <row r="525" spans="1:26" ht="15.75" customHeight="1" x14ac:dyDescent="0.2">
      <c r="A525" s="603"/>
      <c r="B525" s="603"/>
      <c r="C525" s="603"/>
      <c r="D525" s="603"/>
      <c r="E525" s="603"/>
      <c r="F525" s="603"/>
      <c r="G525" s="603"/>
      <c r="H525" s="603"/>
      <c r="I525" s="603"/>
      <c r="J525" s="603"/>
      <c r="K525" s="449"/>
      <c r="L525" s="603"/>
      <c r="M525" s="603"/>
      <c r="N525" s="603"/>
      <c r="O525" s="603"/>
      <c r="P525" s="603"/>
      <c r="Q525" s="603"/>
      <c r="R525" s="603"/>
      <c r="S525" s="603"/>
      <c r="T525" s="603"/>
      <c r="U525" s="603"/>
      <c r="V525" s="603"/>
      <c r="W525" s="603"/>
      <c r="X525" s="603"/>
      <c r="Y525" s="603"/>
      <c r="Z525" s="603"/>
    </row>
    <row r="526" spans="1:26" ht="15.75" customHeight="1" x14ac:dyDescent="0.2">
      <c r="A526" s="603"/>
      <c r="B526" s="603"/>
      <c r="C526" s="603"/>
      <c r="D526" s="603"/>
      <c r="E526" s="603"/>
      <c r="F526" s="603"/>
      <c r="G526" s="603"/>
      <c r="H526" s="603"/>
      <c r="I526" s="603"/>
      <c r="J526" s="603"/>
      <c r="K526" s="449"/>
      <c r="L526" s="603"/>
      <c r="M526" s="603"/>
      <c r="N526" s="603"/>
      <c r="O526" s="603"/>
      <c r="P526" s="603"/>
      <c r="Q526" s="603"/>
      <c r="R526" s="603"/>
      <c r="S526" s="603"/>
      <c r="T526" s="603"/>
      <c r="U526" s="603"/>
      <c r="V526" s="603"/>
      <c r="W526" s="603"/>
      <c r="X526" s="603"/>
      <c r="Y526" s="603"/>
      <c r="Z526" s="603"/>
    </row>
    <row r="527" spans="1:26" ht="15.75" customHeight="1" x14ac:dyDescent="0.2">
      <c r="A527" s="603"/>
      <c r="B527" s="603"/>
      <c r="C527" s="603"/>
      <c r="D527" s="603"/>
      <c r="E527" s="603"/>
      <c r="F527" s="603"/>
      <c r="G527" s="603"/>
      <c r="H527" s="603"/>
      <c r="I527" s="603"/>
      <c r="J527" s="603"/>
      <c r="K527" s="449"/>
      <c r="L527" s="603"/>
      <c r="M527" s="603"/>
      <c r="N527" s="603"/>
      <c r="O527" s="603"/>
      <c r="P527" s="603"/>
      <c r="Q527" s="603"/>
      <c r="R527" s="603"/>
      <c r="S527" s="603"/>
      <c r="T527" s="603"/>
      <c r="U527" s="603"/>
      <c r="V527" s="603"/>
      <c r="W527" s="603"/>
      <c r="X527" s="603"/>
      <c r="Y527" s="603"/>
      <c r="Z527" s="603"/>
    </row>
    <row r="528" spans="1:26" ht="15.75" customHeight="1" x14ac:dyDescent="0.2">
      <c r="A528" s="603"/>
      <c r="B528" s="603"/>
      <c r="C528" s="603"/>
      <c r="D528" s="603"/>
      <c r="E528" s="603"/>
      <c r="F528" s="603"/>
      <c r="G528" s="603"/>
      <c r="H528" s="603"/>
      <c r="I528" s="603"/>
      <c r="J528" s="603"/>
      <c r="K528" s="449"/>
      <c r="L528" s="603"/>
      <c r="M528" s="603"/>
      <c r="N528" s="603"/>
      <c r="O528" s="603"/>
      <c r="P528" s="603"/>
      <c r="Q528" s="603"/>
      <c r="R528" s="603"/>
      <c r="S528" s="603"/>
      <c r="T528" s="603"/>
      <c r="U528" s="603"/>
      <c r="V528" s="603"/>
      <c r="W528" s="603"/>
      <c r="X528" s="603"/>
      <c r="Y528" s="603"/>
      <c r="Z528" s="603"/>
    </row>
    <row r="529" spans="1:26" ht="15.75" customHeight="1" x14ac:dyDescent="0.2">
      <c r="A529" s="603"/>
      <c r="B529" s="603"/>
      <c r="C529" s="603"/>
      <c r="D529" s="603"/>
      <c r="E529" s="603"/>
      <c r="F529" s="603"/>
      <c r="G529" s="603"/>
      <c r="H529" s="603"/>
      <c r="I529" s="603"/>
      <c r="J529" s="603"/>
      <c r="K529" s="449"/>
      <c r="L529" s="603"/>
      <c r="M529" s="603"/>
      <c r="N529" s="603"/>
      <c r="O529" s="603"/>
      <c r="P529" s="603"/>
      <c r="Q529" s="603"/>
      <c r="R529" s="603"/>
      <c r="S529" s="603"/>
      <c r="T529" s="603"/>
      <c r="U529" s="603"/>
      <c r="V529" s="603"/>
      <c r="W529" s="603"/>
      <c r="X529" s="603"/>
      <c r="Y529" s="603"/>
      <c r="Z529" s="603"/>
    </row>
    <row r="530" spans="1:26" ht="15.75" customHeight="1" x14ac:dyDescent="0.2">
      <c r="A530" s="603"/>
      <c r="B530" s="603"/>
      <c r="C530" s="603"/>
      <c r="D530" s="603"/>
      <c r="E530" s="603"/>
      <c r="F530" s="603"/>
      <c r="G530" s="603"/>
      <c r="H530" s="603"/>
      <c r="I530" s="603"/>
      <c r="J530" s="603"/>
      <c r="K530" s="449"/>
      <c r="L530" s="603"/>
      <c r="M530" s="603"/>
      <c r="N530" s="603"/>
      <c r="O530" s="603"/>
      <c r="P530" s="603"/>
      <c r="Q530" s="603"/>
      <c r="R530" s="603"/>
      <c r="S530" s="603"/>
      <c r="T530" s="603"/>
      <c r="U530" s="603"/>
      <c r="V530" s="603"/>
      <c r="W530" s="603"/>
      <c r="X530" s="603"/>
      <c r="Y530" s="603"/>
      <c r="Z530" s="603"/>
    </row>
    <row r="531" spans="1:26" ht="15.75" customHeight="1" x14ac:dyDescent="0.2">
      <c r="A531" s="603"/>
      <c r="B531" s="603"/>
      <c r="C531" s="603"/>
      <c r="D531" s="603"/>
      <c r="E531" s="603"/>
      <c r="F531" s="603"/>
      <c r="G531" s="603"/>
      <c r="H531" s="603"/>
      <c r="I531" s="603"/>
      <c r="J531" s="603"/>
      <c r="K531" s="449"/>
      <c r="L531" s="603"/>
      <c r="M531" s="603"/>
      <c r="N531" s="603"/>
      <c r="O531" s="603"/>
      <c r="P531" s="603"/>
      <c r="Q531" s="603"/>
      <c r="R531" s="603"/>
      <c r="S531" s="603"/>
      <c r="T531" s="603"/>
      <c r="U531" s="603"/>
      <c r="V531" s="603"/>
      <c r="W531" s="603"/>
      <c r="X531" s="603"/>
      <c r="Y531" s="603"/>
      <c r="Z531" s="603"/>
    </row>
    <row r="532" spans="1:26" ht="15.75" customHeight="1" x14ac:dyDescent="0.2">
      <c r="A532" s="603"/>
      <c r="B532" s="603"/>
      <c r="C532" s="603"/>
      <c r="D532" s="603"/>
      <c r="E532" s="603"/>
      <c r="F532" s="603"/>
      <c r="G532" s="603"/>
      <c r="H532" s="603"/>
      <c r="I532" s="603"/>
      <c r="J532" s="603"/>
      <c r="K532" s="449"/>
      <c r="L532" s="603"/>
      <c r="M532" s="603"/>
      <c r="N532" s="603"/>
      <c r="O532" s="603"/>
      <c r="P532" s="603"/>
      <c r="Q532" s="603"/>
      <c r="R532" s="603"/>
      <c r="S532" s="603"/>
      <c r="T532" s="603"/>
      <c r="U532" s="603"/>
      <c r="V532" s="603"/>
      <c r="W532" s="603"/>
      <c r="X532" s="603"/>
      <c r="Y532" s="603"/>
      <c r="Z532" s="603"/>
    </row>
    <row r="533" spans="1:26" ht="15.75" customHeight="1" x14ac:dyDescent="0.2">
      <c r="A533" s="603"/>
      <c r="B533" s="603"/>
      <c r="C533" s="603"/>
      <c r="D533" s="603"/>
      <c r="E533" s="603"/>
      <c r="F533" s="603"/>
      <c r="G533" s="603"/>
      <c r="H533" s="603"/>
      <c r="I533" s="603"/>
      <c r="J533" s="603"/>
      <c r="K533" s="449"/>
      <c r="L533" s="603"/>
      <c r="M533" s="603"/>
      <c r="N533" s="603"/>
      <c r="O533" s="603"/>
      <c r="P533" s="603"/>
      <c r="Q533" s="603"/>
      <c r="R533" s="603"/>
      <c r="S533" s="603"/>
      <c r="T533" s="603"/>
      <c r="U533" s="603"/>
      <c r="V533" s="603"/>
      <c r="W533" s="603"/>
      <c r="X533" s="603"/>
      <c r="Y533" s="603"/>
      <c r="Z533" s="603"/>
    </row>
    <row r="534" spans="1:26" ht="15.75" customHeight="1" x14ac:dyDescent="0.2">
      <c r="A534" s="603"/>
      <c r="B534" s="603"/>
      <c r="C534" s="603"/>
      <c r="D534" s="603"/>
      <c r="E534" s="603"/>
      <c r="F534" s="603"/>
      <c r="G534" s="603"/>
      <c r="H534" s="603"/>
      <c r="I534" s="603"/>
      <c r="J534" s="603"/>
      <c r="K534" s="449"/>
      <c r="L534" s="603"/>
      <c r="M534" s="603"/>
      <c r="N534" s="603"/>
      <c r="O534" s="603"/>
      <c r="P534" s="603"/>
      <c r="Q534" s="603"/>
      <c r="R534" s="603"/>
      <c r="S534" s="603"/>
      <c r="T534" s="603"/>
      <c r="U534" s="603"/>
      <c r="V534" s="603"/>
      <c r="W534" s="603"/>
      <c r="X534" s="603"/>
      <c r="Y534" s="603"/>
      <c r="Z534" s="603"/>
    </row>
    <row r="535" spans="1:26" ht="15.75" customHeight="1" x14ac:dyDescent="0.2">
      <c r="A535" s="603"/>
      <c r="B535" s="603"/>
      <c r="C535" s="603"/>
      <c r="D535" s="603"/>
      <c r="E535" s="603"/>
      <c r="F535" s="603"/>
      <c r="G535" s="603"/>
      <c r="H535" s="603"/>
      <c r="I535" s="603"/>
      <c r="J535" s="603"/>
      <c r="K535" s="449"/>
      <c r="L535" s="603"/>
      <c r="M535" s="603"/>
      <c r="N535" s="603"/>
      <c r="O535" s="603"/>
      <c r="P535" s="603"/>
      <c r="Q535" s="603"/>
      <c r="R535" s="603"/>
      <c r="S535" s="603"/>
      <c r="T535" s="603"/>
      <c r="U535" s="603"/>
      <c r="V535" s="603"/>
      <c r="W535" s="603"/>
      <c r="X535" s="603"/>
      <c r="Y535" s="603"/>
      <c r="Z535" s="603"/>
    </row>
    <row r="536" spans="1:26" ht="15.75" customHeight="1" x14ac:dyDescent="0.2">
      <c r="A536" s="603"/>
      <c r="B536" s="603"/>
      <c r="C536" s="603"/>
      <c r="D536" s="603"/>
      <c r="E536" s="603"/>
      <c r="F536" s="603"/>
      <c r="G536" s="603"/>
      <c r="H536" s="603"/>
      <c r="I536" s="603"/>
      <c r="J536" s="603"/>
      <c r="K536" s="449"/>
      <c r="L536" s="603"/>
      <c r="M536" s="603"/>
      <c r="N536" s="603"/>
      <c r="O536" s="603"/>
      <c r="P536" s="603"/>
      <c r="Q536" s="603"/>
      <c r="R536" s="603"/>
      <c r="S536" s="603"/>
      <c r="T536" s="603"/>
      <c r="U536" s="603"/>
      <c r="V536" s="603"/>
      <c r="W536" s="603"/>
      <c r="X536" s="603"/>
      <c r="Y536" s="603"/>
      <c r="Z536" s="603"/>
    </row>
    <row r="537" spans="1:26" ht="15.75" customHeight="1" x14ac:dyDescent="0.2">
      <c r="A537" s="603"/>
      <c r="B537" s="603"/>
      <c r="C537" s="603"/>
      <c r="D537" s="603"/>
      <c r="E537" s="603"/>
      <c r="F537" s="603"/>
      <c r="G537" s="603"/>
      <c r="H537" s="603"/>
      <c r="I537" s="603"/>
      <c r="J537" s="603"/>
      <c r="K537" s="449"/>
      <c r="L537" s="603"/>
      <c r="M537" s="603"/>
      <c r="N537" s="603"/>
      <c r="O537" s="603"/>
      <c r="P537" s="603"/>
      <c r="Q537" s="603"/>
      <c r="R537" s="603"/>
      <c r="S537" s="603"/>
      <c r="T537" s="603"/>
      <c r="U537" s="603"/>
      <c r="V537" s="603"/>
      <c r="W537" s="603"/>
      <c r="X537" s="603"/>
      <c r="Y537" s="603"/>
      <c r="Z537" s="603"/>
    </row>
    <row r="538" spans="1:26" ht="15.75" customHeight="1" x14ac:dyDescent="0.2">
      <c r="A538" s="603"/>
      <c r="B538" s="603"/>
      <c r="C538" s="603"/>
      <c r="D538" s="603"/>
      <c r="E538" s="603"/>
      <c r="F538" s="603"/>
      <c r="G538" s="603"/>
      <c r="H538" s="603"/>
      <c r="I538" s="603"/>
      <c r="J538" s="603"/>
      <c r="K538" s="449"/>
      <c r="L538" s="603"/>
      <c r="M538" s="603"/>
      <c r="N538" s="603"/>
      <c r="O538" s="603"/>
      <c r="P538" s="603"/>
      <c r="Q538" s="603"/>
      <c r="R538" s="603"/>
      <c r="S538" s="603"/>
      <c r="T538" s="603"/>
      <c r="U538" s="603"/>
      <c r="V538" s="603"/>
      <c r="W538" s="603"/>
      <c r="X538" s="603"/>
      <c r="Y538" s="603"/>
      <c r="Z538" s="603"/>
    </row>
    <row r="539" spans="1:26" ht="15.75" customHeight="1" x14ac:dyDescent="0.2">
      <c r="A539" s="603"/>
      <c r="B539" s="603"/>
      <c r="C539" s="603"/>
      <c r="D539" s="603"/>
      <c r="E539" s="603"/>
      <c r="F539" s="603"/>
      <c r="G539" s="603"/>
      <c r="H539" s="603"/>
      <c r="I539" s="603"/>
      <c r="J539" s="603"/>
      <c r="K539" s="449"/>
      <c r="L539" s="603"/>
      <c r="M539" s="603"/>
      <c r="N539" s="603"/>
      <c r="O539" s="603"/>
      <c r="P539" s="603"/>
      <c r="Q539" s="603"/>
      <c r="R539" s="603"/>
      <c r="S539" s="603"/>
      <c r="T539" s="603"/>
      <c r="U539" s="603"/>
      <c r="V539" s="603"/>
      <c r="W539" s="603"/>
      <c r="X539" s="603"/>
      <c r="Y539" s="603"/>
      <c r="Z539" s="603"/>
    </row>
    <row r="540" spans="1:26" ht="15.75" customHeight="1" x14ac:dyDescent="0.2">
      <c r="A540" s="603"/>
      <c r="B540" s="603"/>
      <c r="C540" s="603"/>
      <c r="D540" s="603"/>
      <c r="E540" s="603"/>
      <c r="F540" s="603"/>
      <c r="G540" s="603"/>
      <c r="H540" s="603"/>
      <c r="I540" s="603"/>
      <c r="J540" s="603"/>
      <c r="K540" s="449"/>
      <c r="L540" s="603"/>
      <c r="M540" s="603"/>
      <c r="N540" s="603"/>
      <c r="O540" s="603"/>
      <c r="P540" s="603"/>
      <c r="Q540" s="603"/>
      <c r="R540" s="603"/>
      <c r="S540" s="603"/>
      <c r="T540" s="603"/>
      <c r="U540" s="603"/>
      <c r="V540" s="603"/>
      <c r="W540" s="603"/>
      <c r="X540" s="603"/>
      <c r="Y540" s="603"/>
      <c r="Z540" s="603"/>
    </row>
    <row r="541" spans="1:26" ht="15.75" customHeight="1" x14ac:dyDescent="0.2">
      <c r="A541" s="603"/>
      <c r="B541" s="603"/>
      <c r="C541" s="603"/>
      <c r="D541" s="603"/>
      <c r="E541" s="603"/>
      <c r="F541" s="603"/>
      <c r="G541" s="603"/>
      <c r="H541" s="603"/>
      <c r="I541" s="603"/>
      <c r="J541" s="603"/>
      <c r="K541" s="449"/>
      <c r="L541" s="603"/>
      <c r="M541" s="603"/>
      <c r="N541" s="603"/>
      <c r="O541" s="603"/>
      <c r="P541" s="603"/>
      <c r="Q541" s="603"/>
      <c r="R541" s="603"/>
      <c r="S541" s="603"/>
      <c r="T541" s="603"/>
      <c r="U541" s="603"/>
      <c r="V541" s="603"/>
      <c r="W541" s="603"/>
      <c r="X541" s="603"/>
      <c r="Y541" s="603"/>
      <c r="Z541" s="603"/>
    </row>
    <row r="542" spans="1:26" ht="15.75" customHeight="1" x14ac:dyDescent="0.2">
      <c r="A542" s="603"/>
      <c r="B542" s="603"/>
      <c r="C542" s="603"/>
      <c r="D542" s="603"/>
      <c r="E542" s="603"/>
      <c r="F542" s="603"/>
      <c r="G542" s="603"/>
      <c r="H542" s="603"/>
      <c r="I542" s="603"/>
      <c r="J542" s="603"/>
      <c r="K542" s="449"/>
      <c r="L542" s="603"/>
      <c r="M542" s="603"/>
      <c r="N542" s="603"/>
      <c r="O542" s="603"/>
      <c r="P542" s="603"/>
      <c r="Q542" s="603"/>
      <c r="R542" s="603"/>
      <c r="S542" s="603"/>
      <c r="T542" s="603"/>
      <c r="U542" s="603"/>
      <c r="V542" s="603"/>
      <c r="W542" s="603"/>
      <c r="X542" s="603"/>
      <c r="Y542" s="603"/>
      <c r="Z542" s="603"/>
    </row>
    <row r="543" spans="1:26" ht="15.75" customHeight="1" x14ac:dyDescent="0.2">
      <c r="A543" s="603"/>
      <c r="B543" s="603"/>
      <c r="C543" s="603"/>
      <c r="D543" s="603"/>
      <c r="E543" s="603"/>
      <c r="F543" s="603"/>
      <c r="G543" s="603"/>
      <c r="H543" s="603"/>
      <c r="I543" s="603"/>
      <c r="J543" s="603"/>
      <c r="K543" s="449"/>
      <c r="L543" s="603"/>
      <c r="M543" s="603"/>
      <c r="N543" s="603"/>
      <c r="O543" s="603"/>
      <c r="P543" s="603"/>
      <c r="Q543" s="603"/>
      <c r="R543" s="603"/>
      <c r="S543" s="603"/>
      <c r="T543" s="603"/>
      <c r="U543" s="603"/>
      <c r="V543" s="603"/>
      <c r="W543" s="603"/>
      <c r="X543" s="603"/>
      <c r="Y543" s="603"/>
      <c r="Z543" s="603"/>
    </row>
    <row r="544" spans="1:26" ht="15.75" customHeight="1" x14ac:dyDescent="0.2">
      <c r="A544" s="603"/>
      <c r="B544" s="603"/>
      <c r="C544" s="603"/>
      <c r="D544" s="603"/>
      <c r="E544" s="603"/>
      <c r="F544" s="603"/>
      <c r="G544" s="603"/>
      <c r="H544" s="603"/>
      <c r="I544" s="603"/>
      <c r="J544" s="603"/>
      <c r="K544" s="449"/>
      <c r="L544" s="603"/>
      <c r="M544" s="603"/>
      <c r="N544" s="603"/>
      <c r="O544" s="603"/>
      <c r="P544" s="603"/>
      <c r="Q544" s="603"/>
      <c r="R544" s="603"/>
      <c r="S544" s="603"/>
      <c r="T544" s="603"/>
      <c r="U544" s="603"/>
      <c r="V544" s="603"/>
      <c r="W544" s="603"/>
      <c r="X544" s="603"/>
      <c r="Y544" s="603"/>
      <c r="Z544" s="603"/>
    </row>
    <row r="545" spans="1:26" ht="15.75" customHeight="1" x14ac:dyDescent="0.2">
      <c r="A545" s="603"/>
      <c r="B545" s="603"/>
      <c r="C545" s="603"/>
      <c r="D545" s="603"/>
      <c r="E545" s="603"/>
      <c r="F545" s="603"/>
      <c r="G545" s="603"/>
      <c r="H545" s="603"/>
      <c r="I545" s="603"/>
      <c r="J545" s="603"/>
      <c r="K545" s="449"/>
      <c r="L545" s="603"/>
      <c r="M545" s="603"/>
      <c r="N545" s="603"/>
      <c r="O545" s="603"/>
      <c r="P545" s="603"/>
      <c r="Q545" s="603"/>
      <c r="R545" s="603"/>
      <c r="S545" s="603"/>
      <c r="T545" s="603"/>
      <c r="U545" s="603"/>
      <c r="V545" s="603"/>
      <c r="W545" s="603"/>
      <c r="X545" s="603"/>
      <c r="Y545" s="603"/>
      <c r="Z545" s="603"/>
    </row>
    <row r="546" spans="1:26" ht="15.75" customHeight="1" x14ac:dyDescent="0.2">
      <c r="A546" s="603"/>
      <c r="B546" s="603"/>
      <c r="C546" s="603"/>
      <c r="D546" s="603"/>
      <c r="E546" s="603"/>
      <c r="F546" s="603"/>
      <c r="G546" s="603"/>
      <c r="H546" s="603"/>
      <c r="I546" s="603"/>
      <c r="J546" s="603"/>
      <c r="K546" s="449"/>
      <c r="L546" s="603"/>
      <c r="M546" s="603"/>
      <c r="N546" s="603"/>
      <c r="O546" s="603"/>
      <c r="P546" s="603"/>
      <c r="Q546" s="603"/>
      <c r="R546" s="603"/>
      <c r="S546" s="603"/>
      <c r="T546" s="603"/>
      <c r="U546" s="603"/>
      <c r="V546" s="603"/>
      <c r="W546" s="603"/>
      <c r="X546" s="603"/>
      <c r="Y546" s="603"/>
      <c r="Z546" s="603"/>
    </row>
    <row r="547" spans="1:26" ht="15.75" customHeight="1" x14ac:dyDescent="0.2">
      <c r="A547" s="603"/>
      <c r="B547" s="603"/>
      <c r="C547" s="603"/>
      <c r="D547" s="603"/>
      <c r="E547" s="603"/>
      <c r="F547" s="603"/>
      <c r="G547" s="603"/>
      <c r="H547" s="603"/>
      <c r="I547" s="603"/>
      <c r="J547" s="603"/>
      <c r="K547" s="449"/>
      <c r="L547" s="603"/>
      <c r="M547" s="603"/>
      <c r="N547" s="603"/>
      <c r="O547" s="603"/>
      <c r="P547" s="603"/>
      <c r="Q547" s="603"/>
      <c r="R547" s="603"/>
      <c r="S547" s="603"/>
      <c r="T547" s="603"/>
      <c r="U547" s="603"/>
      <c r="V547" s="603"/>
      <c r="W547" s="603"/>
      <c r="X547" s="603"/>
      <c r="Y547" s="603"/>
      <c r="Z547" s="603"/>
    </row>
    <row r="548" spans="1:26" ht="15.75" customHeight="1" x14ac:dyDescent="0.2">
      <c r="A548" s="603"/>
      <c r="B548" s="603"/>
      <c r="C548" s="603"/>
      <c r="D548" s="603"/>
      <c r="E548" s="603"/>
      <c r="F548" s="603"/>
      <c r="G548" s="603"/>
      <c r="H548" s="603"/>
      <c r="I548" s="603"/>
      <c r="J548" s="603"/>
      <c r="K548" s="449"/>
      <c r="L548" s="603"/>
      <c r="M548" s="603"/>
      <c r="N548" s="603"/>
      <c r="O548" s="603"/>
      <c r="P548" s="603"/>
      <c r="Q548" s="603"/>
      <c r="R548" s="603"/>
      <c r="S548" s="603"/>
      <c r="T548" s="603"/>
      <c r="U548" s="603"/>
      <c r="V548" s="603"/>
      <c r="W548" s="603"/>
      <c r="X548" s="603"/>
      <c r="Y548" s="603"/>
      <c r="Z548" s="603"/>
    </row>
    <row r="549" spans="1:26" ht="15.75" customHeight="1" x14ac:dyDescent="0.2">
      <c r="A549" s="603"/>
      <c r="B549" s="603"/>
      <c r="C549" s="603"/>
      <c r="D549" s="603"/>
      <c r="E549" s="603"/>
      <c r="F549" s="603"/>
      <c r="G549" s="603"/>
      <c r="H549" s="603"/>
      <c r="I549" s="603"/>
      <c r="J549" s="603"/>
      <c r="K549" s="449"/>
      <c r="L549" s="603"/>
      <c r="M549" s="603"/>
      <c r="N549" s="603"/>
      <c r="O549" s="603"/>
      <c r="P549" s="603"/>
      <c r="Q549" s="603"/>
      <c r="R549" s="603"/>
      <c r="S549" s="603"/>
      <c r="T549" s="603"/>
      <c r="U549" s="603"/>
      <c r="V549" s="603"/>
      <c r="W549" s="603"/>
      <c r="X549" s="603"/>
      <c r="Y549" s="603"/>
      <c r="Z549" s="603"/>
    </row>
    <row r="550" spans="1:26" ht="15.75" customHeight="1" x14ac:dyDescent="0.2">
      <c r="A550" s="603"/>
      <c r="B550" s="603"/>
      <c r="C550" s="603"/>
      <c r="D550" s="603"/>
      <c r="E550" s="603"/>
      <c r="F550" s="603"/>
      <c r="G550" s="603"/>
      <c r="H550" s="603"/>
      <c r="I550" s="603"/>
      <c r="J550" s="603"/>
      <c r="K550" s="449"/>
      <c r="L550" s="603"/>
      <c r="M550" s="603"/>
      <c r="N550" s="603"/>
      <c r="O550" s="603"/>
      <c r="P550" s="603"/>
      <c r="Q550" s="603"/>
      <c r="R550" s="603"/>
      <c r="S550" s="603"/>
      <c r="T550" s="603"/>
      <c r="U550" s="603"/>
      <c r="V550" s="603"/>
      <c r="W550" s="603"/>
      <c r="X550" s="603"/>
      <c r="Y550" s="603"/>
      <c r="Z550" s="603"/>
    </row>
    <row r="551" spans="1:26" ht="15.75" customHeight="1" x14ac:dyDescent="0.2">
      <c r="A551" s="603"/>
      <c r="B551" s="603"/>
      <c r="C551" s="603"/>
      <c r="D551" s="603"/>
      <c r="E551" s="603"/>
      <c r="F551" s="603"/>
      <c r="G551" s="603"/>
      <c r="H551" s="603"/>
      <c r="I551" s="603"/>
      <c r="J551" s="603"/>
      <c r="K551" s="449"/>
      <c r="L551" s="603"/>
      <c r="M551" s="603"/>
      <c r="N551" s="603"/>
      <c r="O551" s="603"/>
      <c r="P551" s="603"/>
      <c r="Q551" s="603"/>
      <c r="R551" s="603"/>
      <c r="S551" s="603"/>
      <c r="T551" s="603"/>
      <c r="U551" s="603"/>
      <c r="V551" s="603"/>
      <c r="W551" s="603"/>
      <c r="X551" s="603"/>
      <c r="Y551" s="603"/>
      <c r="Z551" s="603"/>
    </row>
    <row r="552" spans="1:26" ht="15.75" customHeight="1" x14ac:dyDescent="0.2">
      <c r="A552" s="603"/>
      <c r="B552" s="603"/>
      <c r="C552" s="603"/>
      <c r="D552" s="603"/>
      <c r="E552" s="603"/>
      <c r="F552" s="603"/>
      <c r="G552" s="603"/>
      <c r="H552" s="603"/>
      <c r="I552" s="603"/>
      <c r="J552" s="603"/>
      <c r="K552" s="449"/>
      <c r="L552" s="603"/>
      <c r="M552" s="603"/>
      <c r="N552" s="603"/>
      <c r="O552" s="603"/>
      <c r="P552" s="603"/>
      <c r="Q552" s="603"/>
      <c r="R552" s="603"/>
      <c r="S552" s="603"/>
      <c r="T552" s="603"/>
      <c r="U552" s="603"/>
      <c r="V552" s="603"/>
      <c r="W552" s="603"/>
      <c r="X552" s="603"/>
      <c r="Y552" s="603"/>
      <c r="Z552" s="603"/>
    </row>
    <row r="553" spans="1:26" ht="15.75" customHeight="1" x14ac:dyDescent="0.2">
      <c r="A553" s="603"/>
      <c r="B553" s="603"/>
      <c r="C553" s="603"/>
      <c r="D553" s="603"/>
      <c r="E553" s="603"/>
      <c r="F553" s="603"/>
      <c r="G553" s="603"/>
      <c r="H553" s="603"/>
      <c r="I553" s="603"/>
      <c r="J553" s="603"/>
      <c r="K553" s="449"/>
      <c r="L553" s="603"/>
      <c r="M553" s="603"/>
      <c r="N553" s="603"/>
      <c r="O553" s="603"/>
      <c r="P553" s="603"/>
      <c r="Q553" s="603"/>
      <c r="R553" s="603"/>
      <c r="S553" s="603"/>
      <c r="T553" s="603"/>
      <c r="U553" s="603"/>
      <c r="V553" s="603"/>
      <c r="W553" s="603"/>
      <c r="X553" s="603"/>
      <c r="Y553" s="603"/>
      <c r="Z553" s="603"/>
    </row>
    <row r="554" spans="1:26" ht="15.75" customHeight="1" x14ac:dyDescent="0.2">
      <c r="A554" s="603"/>
      <c r="B554" s="603"/>
      <c r="C554" s="603"/>
      <c r="D554" s="603"/>
      <c r="E554" s="603"/>
      <c r="F554" s="603"/>
      <c r="G554" s="603"/>
      <c r="H554" s="603"/>
      <c r="I554" s="603"/>
      <c r="J554" s="603"/>
      <c r="K554" s="449"/>
      <c r="L554" s="603"/>
      <c r="M554" s="603"/>
      <c r="N554" s="603"/>
      <c r="O554" s="603"/>
      <c r="P554" s="603"/>
      <c r="Q554" s="603"/>
      <c r="R554" s="603"/>
      <c r="S554" s="603"/>
      <c r="T554" s="603"/>
      <c r="U554" s="603"/>
      <c r="V554" s="603"/>
      <c r="W554" s="603"/>
      <c r="X554" s="603"/>
      <c r="Y554" s="603"/>
      <c r="Z554" s="603"/>
    </row>
    <row r="555" spans="1:26" ht="15.75" customHeight="1" x14ac:dyDescent="0.2">
      <c r="A555" s="603"/>
      <c r="B555" s="603"/>
      <c r="C555" s="603"/>
      <c r="D555" s="603"/>
      <c r="E555" s="603"/>
      <c r="F555" s="603"/>
      <c r="G555" s="603"/>
      <c r="H555" s="603"/>
      <c r="I555" s="603"/>
      <c r="J555" s="603"/>
      <c r="K555" s="449"/>
      <c r="L555" s="603"/>
      <c r="M555" s="603"/>
      <c r="N555" s="603"/>
      <c r="O555" s="603"/>
      <c r="P555" s="603"/>
      <c r="Q555" s="603"/>
      <c r="R555" s="603"/>
      <c r="S555" s="603"/>
      <c r="T555" s="603"/>
      <c r="U555" s="603"/>
      <c r="V555" s="603"/>
      <c r="W555" s="603"/>
      <c r="X555" s="603"/>
      <c r="Y555" s="603"/>
      <c r="Z555" s="603"/>
    </row>
    <row r="556" spans="1:26" ht="15.75" customHeight="1" x14ac:dyDescent="0.2">
      <c r="A556" s="603"/>
      <c r="B556" s="603"/>
      <c r="C556" s="603"/>
      <c r="D556" s="603"/>
      <c r="E556" s="603"/>
      <c r="F556" s="603"/>
      <c r="G556" s="603"/>
      <c r="H556" s="603"/>
      <c r="I556" s="603"/>
      <c r="J556" s="603"/>
      <c r="K556" s="449"/>
      <c r="L556" s="603"/>
      <c r="M556" s="603"/>
      <c r="N556" s="603"/>
      <c r="O556" s="603"/>
      <c r="P556" s="603"/>
      <c r="Q556" s="603"/>
      <c r="R556" s="603"/>
      <c r="S556" s="603"/>
      <c r="T556" s="603"/>
      <c r="U556" s="603"/>
      <c r="V556" s="603"/>
      <c r="W556" s="603"/>
      <c r="X556" s="603"/>
      <c r="Y556" s="603"/>
      <c r="Z556" s="603"/>
    </row>
    <row r="557" spans="1:26" ht="15.75" customHeight="1" x14ac:dyDescent="0.2">
      <c r="A557" s="603"/>
      <c r="B557" s="603"/>
      <c r="C557" s="603"/>
      <c r="D557" s="603"/>
      <c r="E557" s="603"/>
      <c r="F557" s="603"/>
      <c r="G557" s="603"/>
      <c r="H557" s="603"/>
      <c r="I557" s="603"/>
      <c r="J557" s="603"/>
      <c r="K557" s="449"/>
      <c r="L557" s="603"/>
      <c r="M557" s="603"/>
      <c r="N557" s="603"/>
      <c r="O557" s="603"/>
      <c r="P557" s="603"/>
      <c r="Q557" s="603"/>
      <c r="R557" s="603"/>
      <c r="S557" s="603"/>
      <c r="T557" s="603"/>
      <c r="U557" s="603"/>
      <c r="V557" s="603"/>
      <c r="W557" s="603"/>
      <c r="X557" s="603"/>
      <c r="Y557" s="603"/>
      <c r="Z557" s="603"/>
    </row>
    <row r="558" spans="1:26" ht="15.75" customHeight="1" x14ac:dyDescent="0.2">
      <c r="A558" s="603"/>
      <c r="B558" s="603"/>
      <c r="C558" s="603"/>
      <c r="D558" s="603"/>
      <c r="E558" s="603"/>
      <c r="F558" s="603"/>
      <c r="G558" s="603"/>
      <c r="H558" s="603"/>
      <c r="I558" s="603"/>
      <c r="J558" s="603"/>
      <c r="K558" s="449"/>
      <c r="L558" s="603"/>
      <c r="M558" s="603"/>
      <c r="N558" s="603"/>
      <c r="O558" s="603"/>
      <c r="P558" s="603"/>
      <c r="Q558" s="603"/>
      <c r="R558" s="603"/>
      <c r="S558" s="603"/>
      <c r="T558" s="603"/>
      <c r="U558" s="603"/>
      <c r="V558" s="603"/>
      <c r="W558" s="603"/>
      <c r="X558" s="603"/>
      <c r="Y558" s="603"/>
      <c r="Z558" s="603"/>
    </row>
    <row r="559" spans="1:26" ht="15.75" customHeight="1" x14ac:dyDescent="0.2">
      <c r="A559" s="603"/>
      <c r="B559" s="603"/>
      <c r="C559" s="603"/>
      <c r="D559" s="603"/>
      <c r="E559" s="603"/>
      <c r="F559" s="603"/>
      <c r="G559" s="603"/>
      <c r="H559" s="603"/>
      <c r="I559" s="603"/>
      <c r="J559" s="603"/>
      <c r="K559" s="449"/>
      <c r="L559" s="603"/>
      <c r="M559" s="603"/>
      <c r="N559" s="603"/>
      <c r="O559" s="603"/>
      <c r="P559" s="603"/>
      <c r="Q559" s="603"/>
      <c r="R559" s="603"/>
      <c r="S559" s="603"/>
      <c r="T559" s="603"/>
      <c r="U559" s="603"/>
      <c r="V559" s="603"/>
      <c r="W559" s="603"/>
      <c r="X559" s="603"/>
      <c r="Y559" s="603"/>
      <c r="Z559" s="603"/>
    </row>
    <row r="560" spans="1:26" ht="15.75" customHeight="1" x14ac:dyDescent="0.2">
      <c r="A560" s="603"/>
      <c r="B560" s="603"/>
      <c r="C560" s="603"/>
      <c r="D560" s="603"/>
      <c r="E560" s="603"/>
      <c r="F560" s="603"/>
      <c r="G560" s="603"/>
      <c r="H560" s="603"/>
      <c r="I560" s="603"/>
      <c r="J560" s="603"/>
      <c r="K560" s="449"/>
      <c r="L560" s="603"/>
      <c r="M560" s="603"/>
      <c r="N560" s="603"/>
      <c r="O560" s="603"/>
      <c r="P560" s="603"/>
      <c r="Q560" s="603"/>
      <c r="R560" s="603"/>
      <c r="S560" s="603"/>
      <c r="T560" s="603"/>
      <c r="U560" s="603"/>
      <c r="V560" s="603"/>
      <c r="W560" s="603"/>
      <c r="X560" s="603"/>
      <c r="Y560" s="603"/>
      <c r="Z560" s="603"/>
    </row>
    <row r="561" spans="1:26" ht="15.75" customHeight="1" x14ac:dyDescent="0.2">
      <c r="A561" s="603"/>
      <c r="B561" s="603"/>
      <c r="C561" s="603"/>
      <c r="D561" s="603"/>
      <c r="E561" s="603"/>
      <c r="F561" s="603"/>
      <c r="G561" s="603"/>
      <c r="H561" s="603"/>
      <c r="I561" s="603"/>
      <c r="J561" s="603"/>
      <c r="K561" s="449"/>
      <c r="L561" s="603"/>
      <c r="M561" s="603"/>
      <c r="N561" s="603"/>
      <c r="O561" s="603"/>
      <c r="P561" s="603"/>
      <c r="Q561" s="603"/>
      <c r="R561" s="603"/>
      <c r="S561" s="603"/>
      <c r="T561" s="603"/>
      <c r="U561" s="603"/>
      <c r="V561" s="603"/>
      <c r="W561" s="603"/>
      <c r="X561" s="603"/>
      <c r="Y561" s="603"/>
      <c r="Z561" s="603"/>
    </row>
    <row r="562" spans="1:26" ht="15.75" customHeight="1" x14ac:dyDescent="0.2">
      <c r="A562" s="603"/>
      <c r="B562" s="603"/>
      <c r="C562" s="603"/>
      <c r="D562" s="603"/>
      <c r="E562" s="603"/>
      <c r="F562" s="603"/>
      <c r="G562" s="603"/>
      <c r="H562" s="603"/>
      <c r="I562" s="603"/>
      <c r="J562" s="603"/>
      <c r="K562" s="449"/>
      <c r="L562" s="603"/>
      <c r="M562" s="603"/>
      <c r="N562" s="603"/>
      <c r="O562" s="603"/>
      <c r="P562" s="603"/>
      <c r="Q562" s="603"/>
      <c r="R562" s="603"/>
      <c r="S562" s="603"/>
      <c r="T562" s="603"/>
      <c r="U562" s="603"/>
      <c r="V562" s="603"/>
      <c r="W562" s="603"/>
      <c r="X562" s="603"/>
      <c r="Y562" s="603"/>
      <c r="Z562" s="603"/>
    </row>
    <row r="563" spans="1:26" ht="15.75" customHeight="1" x14ac:dyDescent="0.2">
      <c r="A563" s="603"/>
      <c r="B563" s="603"/>
      <c r="C563" s="603"/>
      <c r="D563" s="603"/>
      <c r="E563" s="603"/>
      <c r="F563" s="603"/>
      <c r="G563" s="603"/>
      <c r="H563" s="603"/>
      <c r="I563" s="603"/>
      <c r="J563" s="603"/>
      <c r="K563" s="449"/>
      <c r="L563" s="603"/>
      <c r="M563" s="603"/>
      <c r="N563" s="603"/>
      <c r="O563" s="603"/>
      <c r="P563" s="603"/>
      <c r="Q563" s="603"/>
      <c r="R563" s="603"/>
      <c r="S563" s="603"/>
      <c r="T563" s="603"/>
      <c r="U563" s="603"/>
      <c r="V563" s="603"/>
      <c r="W563" s="603"/>
      <c r="X563" s="603"/>
      <c r="Y563" s="603"/>
      <c r="Z563" s="603"/>
    </row>
    <row r="564" spans="1:26" ht="15.75" customHeight="1" x14ac:dyDescent="0.2">
      <c r="A564" s="603"/>
      <c r="B564" s="603"/>
      <c r="C564" s="603"/>
      <c r="D564" s="603"/>
      <c r="E564" s="603"/>
      <c r="F564" s="603"/>
      <c r="G564" s="603"/>
      <c r="H564" s="603"/>
      <c r="I564" s="603"/>
      <c r="J564" s="603"/>
      <c r="K564" s="449"/>
      <c r="L564" s="603"/>
      <c r="M564" s="603"/>
      <c r="N564" s="603"/>
      <c r="O564" s="603"/>
      <c r="P564" s="603"/>
      <c r="Q564" s="603"/>
      <c r="R564" s="603"/>
      <c r="S564" s="603"/>
      <c r="T564" s="603"/>
      <c r="U564" s="603"/>
      <c r="V564" s="603"/>
      <c r="W564" s="603"/>
      <c r="X564" s="603"/>
      <c r="Y564" s="603"/>
      <c r="Z564" s="603"/>
    </row>
    <row r="565" spans="1:26" ht="15.75" customHeight="1" x14ac:dyDescent="0.2">
      <c r="A565" s="603"/>
      <c r="B565" s="603"/>
      <c r="C565" s="603"/>
      <c r="D565" s="603"/>
      <c r="E565" s="603"/>
      <c r="F565" s="603"/>
      <c r="G565" s="603"/>
      <c r="H565" s="603"/>
      <c r="I565" s="603"/>
      <c r="J565" s="603"/>
      <c r="K565" s="449"/>
      <c r="L565" s="603"/>
      <c r="M565" s="603"/>
      <c r="N565" s="603"/>
      <c r="O565" s="603"/>
      <c r="P565" s="603"/>
      <c r="Q565" s="603"/>
      <c r="R565" s="603"/>
      <c r="S565" s="603"/>
      <c r="T565" s="603"/>
      <c r="U565" s="603"/>
      <c r="V565" s="603"/>
      <c r="W565" s="603"/>
      <c r="X565" s="603"/>
      <c r="Y565" s="603"/>
      <c r="Z565" s="603"/>
    </row>
    <row r="566" spans="1:26" ht="15.75" customHeight="1" x14ac:dyDescent="0.2">
      <c r="A566" s="603"/>
      <c r="B566" s="603"/>
      <c r="C566" s="603"/>
      <c r="D566" s="603"/>
      <c r="E566" s="603"/>
      <c r="F566" s="603"/>
      <c r="G566" s="603"/>
      <c r="H566" s="603"/>
      <c r="I566" s="603"/>
      <c r="J566" s="603"/>
      <c r="K566" s="449"/>
      <c r="L566" s="603"/>
      <c r="M566" s="603"/>
      <c r="N566" s="603"/>
      <c r="O566" s="603"/>
      <c r="P566" s="603"/>
      <c r="Q566" s="603"/>
      <c r="R566" s="603"/>
      <c r="S566" s="603"/>
      <c r="T566" s="603"/>
      <c r="U566" s="603"/>
      <c r="V566" s="603"/>
      <c r="W566" s="603"/>
      <c r="X566" s="603"/>
      <c r="Y566" s="603"/>
      <c r="Z566" s="603"/>
    </row>
    <row r="567" spans="1:26" ht="15.75" customHeight="1" x14ac:dyDescent="0.2">
      <c r="A567" s="603"/>
      <c r="B567" s="603"/>
      <c r="C567" s="603"/>
      <c r="D567" s="603"/>
      <c r="E567" s="603"/>
      <c r="F567" s="603"/>
      <c r="G567" s="603"/>
      <c r="H567" s="603"/>
      <c r="I567" s="603"/>
      <c r="J567" s="603"/>
      <c r="K567" s="449"/>
      <c r="L567" s="603"/>
      <c r="M567" s="603"/>
      <c r="N567" s="603"/>
      <c r="O567" s="603"/>
      <c r="P567" s="603"/>
      <c r="Q567" s="603"/>
      <c r="R567" s="603"/>
      <c r="S567" s="603"/>
      <c r="T567" s="603"/>
      <c r="U567" s="603"/>
      <c r="V567" s="603"/>
      <c r="W567" s="603"/>
      <c r="X567" s="603"/>
      <c r="Y567" s="603"/>
      <c r="Z567" s="603"/>
    </row>
    <row r="568" spans="1:26" ht="15.75" customHeight="1" x14ac:dyDescent="0.2">
      <c r="A568" s="603"/>
      <c r="B568" s="603"/>
      <c r="C568" s="603"/>
      <c r="D568" s="603"/>
      <c r="E568" s="603"/>
      <c r="F568" s="603"/>
      <c r="G568" s="603"/>
      <c r="H568" s="603"/>
      <c r="I568" s="603"/>
      <c r="J568" s="603"/>
      <c r="K568" s="449"/>
      <c r="L568" s="603"/>
      <c r="M568" s="603"/>
      <c r="N568" s="603"/>
      <c r="O568" s="603"/>
      <c r="P568" s="603"/>
      <c r="Q568" s="603"/>
      <c r="R568" s="603"/>
      <c r="S568" s="603"/>
      <c r="T568" s="603"/>
      <c r="U568" s="603"/>
      <c r="V568" s="603"/>
      <c r="W568" s="603"/>
      <c r="X568" s="603"/>
      <c r="Y568" s="603"/>
      <c r="Z568" s="603"/>
    </row>
    <row r="569" spans="1:26" ht="15.75" customHeight="1" x14ac:dyDescent="0.2">
      <c r="A569" s="603"/>
      <c r="B569" s="603"/>
      <c r="C569" s="603"/>
      <c r="D569" s="603"/>
      <c r="E569" s="603"/>
      <c r="F569" s="603"/>
      <c r="G569" s="603"/>
      <c r="H569" s="603"/>
      <c r="I569" s="603"/>
      <c r="J569" s="603"/>
      <c r="K569" s="449"/>
      <c r="L569" s="603"/>
      <c r="M569" s="603"/>
      <c r="N569" s="603"/>
      <c r="O569" s="603"/>
      <c r="P569" s="603"/>
      <c r="Q569" s="603"/>
      <c r="R569" s="603"/>
      <c r="S569" s="603"/>
      <c r="T569" s="603"/>
      <c r="U569" s="603"/>
      <c r="V569" s="603"/>
      <c r="W569" s="603"/>
      <c r="X569" s="603"/>
      <c r="Y569" s="603"/>
      <c r="Z569" s="603"/>
    </row>
    <row r="570" spans="1:26" ht="15.75" customHeight="1" x14ac:dyDescent="0.2">
      <c r="A570" s="603"/>
      <c r="B570" s="603"/>
      <c r="C570" s="603"/>
      <c r="D570" s="603"/>
      <c r="E570" s="603"/>
      <c r="F570" s="603"/>
      <c r="G570" s="603"/>
      <c r="H570" s="603"/>
      <c r="I570" s="603"/>
      <c r="J570" s="603"/>
      <c r="K570" s="449"/>
      <c r="L570" s="603"/>
      <c r="M570" s="603"/>
      <c r="N570" s="603"/>
      <c r="O570" s="603"/>
      <c r="P570" s="603"/>
      <c r="Q570" s="603"/>
      <c r="R570" s="603"/>
      <c r="S570" s="603"/>
      <c r="T570" s="603"/>
      <c r="U570" s="603"/>
      <c r="V570" s="603"/>
      <c r="W570" s="603"/>
      <c r="X570" s="603"/>
      <c r="Y570" s="603"/>
      <c r="Z570" s="603"/>
    </row>
    <row r="571" spans="1:26" ht="15.75" customHeight="1" x14ac:dyDescent="0.2">
      <c r="A571" s="603"/>
      <c r="B571" s="603"/>
      <c r="C571" s="603"/>
      <c r="D571" s="603"/>
      <c r="E571" s="603"/>
      <c r="F571" s="603"/>
      <c r="G571" s="603"/>
      <c r="H571" s="603"/>
      <c r="I571" s="603"/>
      <c r="J571" s="603"/>
      <c r="K571" s="449"/>
      <c r="L571" s="603"/>
      <c r="M571" s="603"/>
      <c r="N571" s="603"/>
      <c r="O571" s="603"/>
      <c r="P571" s="603"/>
      <c r="Q571" s="603"/>
      <c r="R571" s="603"/>
      <c r="S571" s="603"/>
      <c r="T571" s="603"/>
      <c r="U571" s="603"/>
      <c r="V571" s="603"/>
      <c r="W571" s="603"/>
      <c r="X571" s="603"/>
      <c r="Y571" s="603"/>
      <c r="Z571" s="603"/>
    </row>
    <row r="572" spans="1:26" ht="15.75" customHeight="1" x14ac:dyDescent="0.2">
      <c r="A572" s="603"/>
      <c r="B572" s="603"/>
      <c r="C572" s="603"/>
      <c r="D572" s="603"/>
      <c r="E572" s="603"/>
      <c r="F572" s="603"/>
      <c r="G572" s="603"/>
      <c r="H572" s="603"/>
      <c r="I572" s="603"/>
      <c r="J572" s="603"/>
      <c r="K572" s="449"/>
      <c r="L572" s="603"/>
      <c r="M572" s="603"/>
      <c r="N572" s="603"/>
      <c r="O572" s="603"/>
      <c r="P572" s="603"/>
      <c r="Q572" s="603"/>
      <c r="R572" s="603"/>
      <c r="S572" s="603"/>
      <c r="T572" s="603"/>
      <c r="U572" s="603"/>
      <c r="V572" s="603"/>
      <c r="W572" s="603"/>
      <c r="X572" s="603"/>
      <c r="Y572" s="603"/>
      <c r="Z572" s="603"/>
    </row>
    <row r="573" spans="1:26" ht="15.75" customHeight="1" x14ac:dyDescent="0.2">
      <c r="A573" s="603"/>
      <c r="B573" s="603"/>
      <c r="C573" s="603"/>
      <c r="D573" s="603"/>
      <c r="E573" s="603"/>
      <c r="F573" s="603"/>
      <c r="G573" s="603"/>
      <c r="H573" s="603"/>
      <c r="I573" s="603"/>
      <c r="J573" s="603"/>
      <c r="K573" s="449"/>
      <c r="L573" s="603"/>
      <c r="M573" s="603"/>
      <c r="N573" s="603"/>
      <c r="O573" s="603"/>
      <c r="P573" s="603"/>
      <c r="Q573" s="603"/>
      <c r="R573" s="603"/>
      <c r="S573" s="603"/>
      <c r="T573" s="603"/>
      <c r="U573" s="603"/>
      <c r="V573" s="603"/>
      <c r="W573" s="603"/>
      <c r="X573" s="603"/>
      <c r="Y573" s="603"/>
      <c r="Z573" s="603"/>
    </row>
    <row r="574" spans="1:26" ht="15.75" customHeight="1" x14ac:dyDescent="0.2">
      <c r="A574" s="603"/>
      <c r="B574" s="603"/>
      <c r="C574" s="603"/>
      <c r="D574" s="603"/>
      <c r="E574" s="603"/>
      <c r="F574" s="603"/>
      <c r="G574" s="603"/>
      <c r="H574" s="603"/>
      <c r="I574" s="603"/>
      <c r="J574" s="603"/>
      <c r="K574" s="449"/>
      <c r="L574" s="603"/>
      <c r="M574" s="603"/>
      <c r="N574" s="603"/>
      <c r="O574" s="603"/>
      <c r="P574" s="603"/>
      <c r="Q574" s="603"/>
      <c r="R574" s="603"/>
      <c r="S574" s="603"/>
      <c r="T574" s="603"/>
      <c r="U574" s="603"/>
      <c r="V574" s="603"/>
      <c r="W574" s="603"/>
      <c r="X574" s="603"/>
      <c r="Y574" s="603"/>
      <c r="Z574" s="603"/>
    </row>
    <row r="575" spans="1:26" ht="15.75" customHeight="1" x14ac:dyDescent="0.2">
      <c r="A575" s="603"/>
      <c r="B575" s="603"/>
      <c r="C575" s="603"/>
      <c r="D575" s="603"/>
      <c r="E575" s="603"/>
      <c r="F575" s="603"/>
      <c r="G575" s="603"/>
      <c r="H575" s="603"/>
      <c r="I575" s="603"/>
      <c r="J575" s="603"/>
      <c r="K575" s="449"/>
      <c r="L575" s="603"/>
      <c r="M575" s="603"/>
      <c r="N575" s="603"/>
      <c r="O575" s="603"/>
      <c r="P575" s="603"/>
      <c r="Q575" s="603"/>
      <c r="R575" s="603"/>
      <c r="S575" s="603"/>
      <c r="T575" s="603"/>
      <c r="U575" s="603"/>
      <c r="V575" s="603"/>
      <c r="W575" s="603"/>
      <c r="X575" s="603"/>
      <c r="Y575" s="603"/>
      <c r="Z575" s="603"/>
    </row>
    <row r="576" spans="1:26" ht="15.75" customHeight="1" x14ac:dyDescent="0.2">
      <c r="A576" s="603"/>
      <c r="B576" s="603"/>
      <c r="C576" s="603"/>
      <c r="D576" s="603"/>
      <c r="E576" s="603"/>
      <c r="F576" s="603"/>
      <c r="G576" s="603"/>
      <c r="H576" s="603"/>
      <c r="I576" s="603"/>
      <c r="J576" s="603"/>
      <c r="K576" s="449"/>
      <c r="L576" s="603"/>
      <c r="M576" s="603"/>
      <c r="N576" s="603"/>
      <c r="O576" s="603"/>
      <c r="P576" s="603"/>
      <c r="Q576" s="603"/>
      <c r="R576" s="603"/>
      <c r="S576" s="603"/>
      <c r="T576" s="603"/>
      <c r="U576" s="603"/>
      <c r="V576" s="603"/>
      <c r="W576" s="603"/>
      <c r="X576" s="603"/>
      <c r="Y576" s="603"/>
      <c r="Z576" s="603"/>
    </row>
    <row r="577" spans="1:26" ht="15.75" customHeight="1" x14ac:dyDescent="0.2">
      <c r="A577" s="603"/>
      <c r="B577" s="603"/>
      <c r="C577" s="603"/>
      <c r="D577" s="603"/>
      <c r="E577" s="603"/>
      <c r="F577" s="603"/>
      <c r="G577" s="603"/>
      <c r="H577" s="603"/>
      <c r="I577" s="603"/>
      <c r="J577" s="603"/>
      <c r="K577" s="449"/>
      <c r="L577" s="603"/>
      <c r="M577" s="603"/>
      <c r="N577" s="603"/>
      <c r="O577" s="603"/>
      <c r="P577" s="603"/>
      <c r="Q577" s="603"/>
      <c r="R577" s="603"/>
      <c r="S577" s="603"/>
      <c r="T577" s="603"/>
      <c r="U577" s="603"/>
      <c r="V577" s="603"/>
      <c r="W577" s="603"/>
      <c r="X577" s="603"/>
      <c r="Y577" s="603"/>
      <c r="Z577" s="603"/>
    </row>
    <row r="578" spans="1:26" ht="15.75" customHeight="1" x14ac:dyDescent="0.2">
      <c r="A578" s="603"/>
      <c r="B578" s="603"/>
      <c r="C578" s="603"/>
      <c r="D578" s="603"/>
      <c r="E578" s="603"/>
      <c r="F578" s="603"/>
      <c r="G578" s="603"/>
      <c r="H578" s="603"/>
      <c r="I578" s="603"/>
      <c r="J578" s="603"/>
      <c r="K578" s="449"/>
      <c r="L578" s="603"/>
      <c r="M578" s="603"/>
      <c r="N578" s="603"/>
      <c r="O578" s="603"/>
      <c r="P578" s="603"/>
      <c r="Q578" s="603"/>
      <c r="R578" s="603"/>
      <c r="S578" s="603"/>
      <c r="T578" s="603"/>
      <c r="U578" s="603"/>
      <c r="V578" s="603"/>
      <c r="W578" s="603"/>
      <c r="X578" s="603"/>
      <c r="Y578" s="603"/>
      <c r="Z578" s="603"/>
    </row>
    <row r="579" spans="1:26" ht="15.75" customHeight="1" x14ac:dyDescent="0.2">
      <c r="A579" s="603"/>
      <c r="B579" s="603"/>
      <c r="C579" s="603"/>
      <c r="D579" s="603"/>
      <c r="E579" s="603"/>
      <c r="F579" s="603"/>
      <c r="G579" s="603"/>
      <c r="H579" s="603"/>
      <c r="I579" s="603"/>
      <c r="J579" s="603"/>
      <c r="K579" s="449"/>
      <c r="L579" s="603"/>
      <c r="M579" s="603"/>
      <c r="N579" s="603"/>
      <c r="O579" s="603"/>
      <c r="P579" s="603"/>
      <c r="Q579" s="603"/>
      <c r="R579" s="603"/>
      <c r="S579" s="603"/>
      <c r="T579" s="603"/>
      <c r="U579" s="603"/>
      <c r="V579" s="603"/>
      <c r="W579" s="603"/>
      <c r="X579" s="603"/>
      <c r="Y579" s="603"/>
      <c r="Z579" s="603"/>
    </row>
    <row r="580" spans="1:26" ht="15.75" customHeight="1" x14ac:dyDescent="0.2">
      <c r="A580" s="603"/>
      <c r="B580" s="603"/>
      <c r="C580" s="603"/>
      <c r="D580" s="603"/>
      <c r="E580" s="603"/>
      <c r="F580" s="603"/>
      <c r="G580" s="603"/>
      <c r="H580" s="603"/>
      <c r="I580" s="603"/>
      <c r="J580" s="603"/>
      <c r="K580" s="449"/>
      <c r="L580" s="603"/>
      <c r="M580" s="603"/>
      <c r="N580" s="603"/>
      <c r="O580" s="603"/>
      <c r="P580" s="603"/>
      <c r="Q580" s="603"/>
      <c r="R580" s="603"/>
      <c r="S580" s="603"/>
      <c r="T580" s="603"/>
      <c r="U580" s="603"/>
      <c r="V580" s="603"/>
      <c r="W580" s="603"/>
      <c r="X580" s="603"/>
      <c r="Y580" s="603"/>
      <c r="Z580" s="603"/>
    </row>
    <row r="581" spans="1:26" ht="15.75" customHeight="1" x14ac:dyDescent="0.2">
      <c r="A581" s="603"/>
      <c r="B581" s="603"/>
      <c r="C581" s="603"/>
      <c r="D581" s="603"/>
      <c r="E581" s="603"/>
      <c r="F581" s="603"/>
      <c r="G581" s="603"/>
      <c r="H581" s="603"/>
      <c r="I581" s="603"/>
      <c r="J581" s="603"/>
      <c r="K581" s="449"/>
      <c r="L581" s="603"/>
      <c r="M581" s="603"/>
      <c r="N581" s="603"/>
      <c r="O581" s="603"/>
      <c r="P581" s="603"/>
      <c r="Q581" s="603"/>
      <c r="R581" s="603"/>
      <c r="S581" s="603"/>
      <c r="T581" s="603"/>
      <c r="U581" s="603"/>
      <c r="V581" s="603"/>
      <c r="W581" s="603"/>
      <c r="X581" s="603"/>
      <c r="Y581" s="603"/>
      <c r="Z581" s="603"/>
    </row>
    <row r="582" spans="1:26" ht="15.75" customHeight="1" x14ac:dyDescent="0.2">
      <c r="A582" s="603"/>
      <c r="B582" s="603"/>
      <c r="C582" s="603"/>
      <c r="D582" s="603"/>
      <c r="E582" s="603"/>
      <c r="F582" s="603"/>
      <c r="G582" s="603"/>
      <c r="H582" s="603"/>
      <c r="I582" s="603"/>
      <c r="J582" s="603"/>
      <c r="K582" s="449"/>
      <c r="L582" s="603"/>
      <c r="M582" s="603"/>
      <c r="N582" s="603"/>
      <c r="O582" s="603"/>
      <c r="P582" s="603"/>
      <c r="Q582" s="603"/>
      <c r="R582" s="603"/>
      <c r="S582" s="603"/>
      <c r="T582" s="603"/>
      <c r="U582" s="603"/>
      <c r="V582" s="603"/>
      <c r="W582" s="603"/>
      <c r="X582" s="603"/>
      <c r="Y582" s="603"/>
      <c r="Z582" s="603"/>
    </row>
    <row r="583" spans="1:26" ht="15.75" customHeight="1" x14ac:dyDescent="0.2">
      <c r="A583" s="603"/>
      <c r="B583" s="603"/>
      <c r="C583" s="603"/>
      <c r="D583" s="603"/>
      <c r="E583" s="603"/>
      <c r="F583" s="603"/>
      <c r="G583" s="603"/>
      <c r="H583" s="603"/>
      <c r="I583" s="603"/>
      <c r="J583" s="603"/>
      <c r="K583" s="449"/>
      <c r="L583" s="603"/>
      <c r="M583" s="603"/>
      <c r="N583" s="603"/>
      <c r="O583" s="603"/>
      <c r="P583" s="603"/>
      <c r="Q583" s="603"/>
      <c r="R583" s="603"/>
      <c r="S583" s="603"/>
      <c r="T583" s="603"/>
      <c r="U583" s="603"/>
      <c r="V583" s="603"/>
      <c r="W583" s="603"/>
      <c r="X583" s="603"/>
      <c r="Y583" s="603"/>
      <c r="Z583" s="603"/>
    </row>
    <row r="584" spans="1:26" ht="15.75" customHeight="1" x14ac:dyDescent="0.2">
      <c r="A584" s="603"/>
      <c r="B584" s="603"/>
      <c r="C584" s="603"/>
      <c r="D584" s="603"/>
      <c r="E584" s="603"/>
      <c r="F584" s="603"/>
      <c r="G584" s="603"/>
      <c r="H584" s="603"/>
      <c r="I584" s="603"/>
      <c r="J584" s="603"/>
      <c r="K584" s="449"/>
      <c r="L584" s="603"/>
      <c r="M584" s="603"/>
      <c r="N584" s="603"/>
      <c r="O584" s="603"/>
      <c r="P584" s="603"/>
      <c r="Q584" s="603"/>
      <c r="R584" s="603"/>
      <c r="S584" s="603"/>
      <c r="T584" s="603"/>
      <c r="U584" s="603"/>
      <c r="V584" s="603"/>
      <c r="W584" s="603"/>
      <c r="X584" s="603"/>
      <c r="Y584" s="603"/>
      <c r="Z584" s="603"/>
    </row>
    <row r="585" spans="1:26" ht="15.75" customHeight="1" x14ac:dyDescent="0.2">
      <c r="A585" s="603"/>
      <c r="B585" s="603"/>
      <c r="C585" s="603"/>
      <c r="D585" s="603"/>
      <c r="E585" s="603"/>
      <c r="F585" s="603"/>
      <c r="G585" s="603"/>
      <c r="H585" s="603"/>
      <c r="I585" s="603"/>
      <c r="J585" s="603"/>
      <c r="K585" s="449"/>
      <c r="L585" s="603"/>
      <c r="M585" s="603"/>
      <c r="N585" s="603"/>
      <c r="O585" s="603"/>
      <c r="P585" s="603"/>
      <c r="Q585" s="603"/>
      <c r="R585" s="603"/>
      <c r="S585" s="603"/>
      <c r="T585" s="603"/>
      <c r="U585" s="603"/>
      <c r="V585" s="603"/>
      <c r="W585" s="603"/>
      <c r="X585" s="603"/>
      <c r="Y585" s="603"/>
      <c r="Z585" s="603"/>
    </row>
    <row r="586" spans="1:26" ht="15.75" customHeight="1" x14ac:dyDescent="0.2">
      <c r="A586" s="603"/>
      <c r="B586" s="603"/>
      <c r="C586" s="603"/>
      <c r="D586" s="603"/>
      <c r="E586" s="603"/>
      <c r="F586" s="603"/>
      <c r="G586" s="603"/>
      <c r="H586" s="603"/>
      <c r="I586" s="603"/>
      <c r="J586" s="603"/>
      <c r="K586" s="449"/>
      <c r="L586" s="603"/>
      <c r="M586" s="603"/>
      <c r="N586" s="603"/>
      <c r="O586" s="603"/>
      <c r="P586" s="603"/>
      <c r="Q586" s="603"/>
      <c r="R586" s="603"/>
      <c r="S586" s="603"/>
      <c r="T586" s="603"/>
      <c r="U586" s="603"/>
      <c r="V586" s="603"/>
      <c r="W586" s="603"/>
      <c r="X586" s="603"/>
      <c r="Y586" s="603"/>
      <c r="Z586" s="603"/>
    </row>
    <row r="587" spans="1:26" ht="15.75" customHeight="1" x14ac:dyDescent="0.2">
      <c r="A587" s="603"/>
      <c r="B587" s="603"/>
      <c r="C587" s="603"/>
      <c r="D587" s="603"/>
      <c r="E587" s="603"/>
      <c r="F587" s="603"/>
      <c r="G587" s="603"/>
      <c r="H587" s="603"/>
      <c r="I587" s="603"/>
      <c r="J587" s="603"/>
      <c r="K587" s="449"/>
      <c r="L587" s="603"/>
      <c r="M587" s="603"/>
      <c r="N587" s="603"/>
      <c r="O587" s="603"/>
      <c r="P587" s="603"/>
      <c r="Q587" s="603"/>
      <c r="R587" s="603"/>
      <c r="S587" s="603"/>
      <c r="T587" s="603"/>
      <c r="U587" s="603"/>
      <c r="V587" s="603"/>
      <c r="W587" s="603"/>
      <c r="X587" s="603"/>
      <c r="Y587" s="603"/>
      <c r="Z587" s="603"/>
    </row>
    <row r="588" spans="1:26" ht="15.75" customHeight="1" x14ac:dyDescent="0.2">
      <c r="A588" s="603"/>
      <c r="B588" s="603"/>
      <c r="C588" s="603"/>
      <c r="D588" s="603"/>
      <c r="E588" s="603"/>
      <c r="F588" s="603"/>
      <c r="G588" s="603"/>
      <c r="H588" s="603"/>
      <c r="I588" s="603"/>
      <c r="J588" s="603"/>
      <c r="K588" s="449"/>
      <c r="L588" s="603"/>
      <c r="M588" s="603"/>
      <c r="N588" s="603"/>
      <c r="O588" s="603"/>
      <c r="P588" s="603"/>
      <c r="Q588" s="603"/>
      <c r="R588" s="603"/>
      <c r="S588" s="603"/>
      <c r="T588" s="603"/>
      <c r="U588" s="603"/>
      <c r="V588" s="603"/>
      <c r="W588" s="603"/>
      <c r="X588" s="603"/>
      <c r="Y588" s="603"/>
      <c r="Z588" s="603"/>
    </row>
    <row r="589" spans="1:26" ht="15.75" customHeight="1" x14ac:dyDescent="0.2">
      <c r="A589" s="603"/>
      <c r="B589" s="603"/>
      <c r="C589" s="603"/>
      <c r="D589" s="603"/>
      <c r="E589" s="603"/>
      <c r="F589" s="603"/>
      <c r="G589" s="603"/>
      <c r="H589" s="603"/>
      <c r="I589" s="603"/>
      <c r="J589" s="603"/>
      <c r="K589" s="449"/>
      <c r="L589" s="603"/>
      <c r="M589" s="603"/>
      <c r="N589" s="603"/>
      <c r="O589" s="603"/>
      <c r="P589" s="603"/>
      <c r="Q589" s="603"/>
      <c r="R589" s="603"/>
      <c r="S589" s="603"/>
      <c r="T589" s="603"/>
      <c r="U589" s="603"/>
      <c r="V589" s="603"/>
      <c r="W589" s="603"/>
      <c r="X589" s="603"/>
      <c r="Y589" s="603"/>
      <c r="Z589" s="603"/>
    </row>
    <row r="590" spans="1:26" ht="15.75" customHeight="1" x14ac:dyDescent="0.2">
      <c r="A590" s="603"/>
      <c r="B590" s="603"/>
      <c r="C590" s="603"/>
      <c r="D590" s="603"/>
      <c r="E590" s="603"/>
      <c r="F590" s="603"/>
      <c r="G590" s="603"/>
      <c r="H590" s="603"/>
      <c r="I590" s="603"/>
      <c r="J590" s="603"/>
      <c r="K590" s="449"/>
      <c r="L590" s="603"/>
      <c r="M590" s="603"/>
      <c r="N590" s="603"/>
      <c r="O590" s="603"/>
      <c r="P590" s="603"/>
      <c r="Q590" s="603"/>
      <c r="R590" s="603"/>
      <c r="S590" s="603"/>
      <c r="T590" s="603"/>
      <c r="U590" s="603"/>
      <c r="V590" s="603"/>
      <c r="W590" s="603"/>
      <c r="X590" s="603"/>
      <c r="Y590" s="603"/>
      <c r="Z590" s="603"/>
    </row>
    <row r="591" spans="1:26" ht="15.75" customHeight="1" x14ac:dyDescent="0.2">
      <c r="A591" s="603"/>
      <c r="B591" s="603"/>
      <c r="C591" s="603"/>
      <c r="D591" s="603"/>
      <c r="E591" s="603"/>
      <c r="F591" s="603"/>
      <c r="G591" s="603"/>
      <c r="H591" s="603"/>
      <c r="I591" s="603"/>
      <c r="J591" s="603"/>
      <c r="K591" s="449"/>
      <c r="L591" s="603"/>
      <c r="M591" s="603"/>
      <c r="N591" s="603"/>
      <c r="O591" s="603"/>
      <c r="P591" s="603"/>
      <c r="Q591" s="603"/>
      <c r="R591" s="603"/>
      <c r="S591" s="603"/>
      <c r="T591" s="603"/>
      <c r="U591" s="603"/>
      <c r="V591" s="603"/>
      <c r="W591" s="603"/>
      <c r="X591" s="603"/>
      <c r="Y591" s="603"/>
      <c r="Z591" s="603"/>
    </row>
    <row r="592" spans="1:26" ht="15.75" customHeight="1" x14ac:dyDescent="0.2">
      <c r="A592" s="603"/>
      <c r="B592" s="603"/>
      <c r="C592" s="603"/>
      <c r="D592" s="603"/>
      <c r="E592" s="603"/>
      <c r="F592" s="603"/>
      <c r="G592" s="603"/>
      <c r="H592" s="603"/>
      <c r="I592" s="603"/>
      <c r="J592" s="603"/>
      <c r="K592" s="449"/>
      <c r="L592" s="603"/>
      <c r="M592" s="603"/>
      <c r="N592" s="603"/>
      <c r="O592" s="603"/>
      <c r="P592" s="603"/>
      <c r="Q592" s="603"/>
      <c r="R592" s="603"/>
      <c r="S592" s="603"/>
      <c r="T592" s="603"/>
      <c r="U592" s="603"/>
      <c r="V592" s="603"/>
      <c r="W592" s="603"/>
      <c r="X592" s="603"/>
      <c r="Y592" s="603"/>
      <c r="Z592" s="603"/>
    </row>
    <row r="593" spans="1:26" ht="15.75" customHeight="1" x14ac:dyDescent="0.2">
      <c r="A593" s="603"/>
      <c r="B593" s="603"/>
      <c r="C593" s="603"/>
      <c r="D593" s="603"/>
      <c r="E593" s="603"/>
      <c r="F593" s="603"/>
      <c r="G593" s="603"/>
      <c r="H593" s="603"/>
      <c r="I593" s="603"/>
      <c r="J593" s="603"/>
      <c r="K593" s="449"/>
      <c r="L593" s="603"/>
      <c r="M593" s="603"/>
      <c r="N593" s="603"/>
      <c r="O593" s="603"/>
      <c r="P593" s="603"/>
      <c r="Q593" s="603"/>
      <c r="R593" s="603"/>
      <c r="S593" s="603"/>
      <c r="T593" s="603"/>
      <c r="U593" s="603"/>
      <c r="V593" s="603"/>
      <c r="W593" s="603"/>
      <c r="X593" s="603"/>
      <c r="Y593" s="603"/>
      <c r="Z593" s="603"/>
    </row>
    <row r="594" spans="1:26" ht="15.75" customHeight="1" x14ac:dyDescent="0.2">
      <c r="A594" s="603"/>
      <c r="B594" s="603"/>
      <c r="C594" s="603"/>
      <c r="D594" s="603"/>
      <c r="E594" s="603"/>
      <c r="F594" s="603"/>
      <c r="G594" s="603"/>
      <c r="H594" s="603"/>
      <c r="I594" s="603"/>
      <c r="J594" s="603"/>
      <c r="K594" s="449"/>
      <c r="L594" s="603"/>
      <c r="M594" s="603"/>
      <c r="N594" s="603"/>
      <c r="O594" s="603"/>
      <c r="P594" s="603"/>
      <c r="Q594" s="603"/>
      <c r="R594" s="603"/>
      <c r="S594" s="603"/>
      <c r="T594" s="603"/>
      <c r="U594" s="603"/>
      <c r="V594" s="603"/>
      <c r="W594" s="603"/>
      <c r="X594" s="603"/>
      <c r="Y594" s="603"/>
      <c r="Z594" s="603"/>
    </row>
    <row r="595" spans="1:26" ht="15.75" customHeight="1" x14ac:dyDescent="0.2">
      <c r="A595" s="603"/>
      <c r="B595" s="603"/>
      <c r="C595" s="603"/>
      <c r="D595" s="603"/>
      <c r="E595" s="603"/>
      <c r="F595" s="603"/>
      <c r="G595" s="603"/>
      <c r="H595" s="603"/>
      <c r="I595" s="603"/>
      <c r="J595" s="603"/>
      <c r="K595" s="449"/>
      <c r="L595" s="603"/>
      <c r="M595" s="603"/>
      <c r="N595" s="603"/>
      <c r="O595" s="603"/>
      <c r="P595" s="603"/>
      <c r="Q595" s="603"/>
      <c r="R595" s="603"/>
      <c r="S595" s="603"/>
      <c r="T595" s="603"/>
      <c r="U595" s="603"/>
      <c r="V595" s="603"/>
      <c r="W595" s="603"/>
      <c r="X595" s="603"/>
      <c r="Y595" s="603"/>
      <c r="Z595" s="603"/>
    </row>
    <row r="596" spans="1:26" ht="15.75" customHeight="1" x14ac:dyDescent="0.2">
      <c r="A596" s="603"/>
      <c r="B596" s="603"/>
      <c r="C596" s="603"/>
      <c r="D596" s="603"/>
      <c r="E596" s="603"/>
      <c r="F596" s="603"/>
      <c r="G596" s="603"/>
      <c r="H596" s="603"/>
      <c r="I596" s="603"/>
      <c r="J596" s="603"/>
      <c r="K596" s="449"/>
      <c r="L596" s="603"/>
      <c r="M596" s="603"/>
      <c r="N596" s="603"/>
      <c r="O596" s="603"/>
      <c r="P596" s="603"/>
      <c r="Q596" s="603"/>
      <c r="R596" s="603"/>
      <c r="S596" s="603"/>
      <c r="T596" s="603"/>
      <c r="U596" s="603"/>
      <c r="V596" s="603"/>
      <c r="W596" s="603"/>
      <c r="X596" s="603"/>
      <c r="Y596" s="603"/>
      <c r="Z596" s="603"/>
    </row>
    <row r="597" spans="1:26" ht="15.75" customHeight="1" x14ac:dyDescent="0.2">
      <c r="A597" s="603"/>
      <c r="B597" s="603"/>
      <c r="C597" s="603"/>
      <c r="D597" s="603"/>
      <c r="E597" s="603"/>
      <c r="F597" s="603"/>
      <c r="G597" s="603"/>
      <c r="H597" s="603"/>
      <c r="I597" s="603"/>
      <c r="J597" s="603"/>
      <c r="K597" s="449"/>
      <c r="L597" s="603"/>
      <c r="M597" s="603"/>
      <c r="N597" s="603"/>
      <c r="O597" s="603"/>
      <c r="P597" s="603"/>
      <c r="Q597" s="603"/>
      <c r="R597" s="603"/>
      <c r="S597" s="603"/>
      <c r="T597" s="603"/>
      <c r="U597" s="603"/>
      <c r="V597" s="603"/>
      <c r="W597" s="603"/>
      <c r="X597" s="603"/>
      <c r="Y597" s="603"/>
      <c r="Z597" s="603"/>
    </row>
    <row r="598" spans="1:26" ht="15.75" customHeight="1" x14ac:dyDescent="0.2">
      <c r="A598" s="603"/>
      <c r="B598" s="603"/>
      <c r="C598" s="603"/>
      <c r="D598" s="603"/>
      <c r="E598" s="603"/>
      <c r="F598" s="603"/>
      <c r="G598" s="603"/>
      <c r="H598" s="603"/>
      <c r="I598" s="603"/>
      <c r="J598" s="603"/>
      <c r="K598" s="449"/>
      <c r="L598" s="603"/>
      <c r="M598" s="603"/>
      <c r="N598" s="603"/>
      <c r="O598" s="603"/>
      <c r="P598" s="603"/>
      <c r="Q598" s="603"/>
      <c r="R598" s="603"/>
      <c r="S598" s="603"/>
      <c r="T598" s="603"/>
      <c r="U598" s="603"/>
      <c r="V598" s="603"/>
      <c r="W598" s="603"/>
      <c r="X598" s="603"/>
      <c r="Y598" s="603"/>
      <c r="Z598" s="603"/>
    </row>
    <row r="599" spans="1:26" ht="15.75" customHeight="1" x14ac:dyDescent="0.2">
      <c r="A599" s="603"/>
      <c r="B599" s="603"/>
      <c r="C599" s="603"/>
      <c r="D599" s="603"/>
      <c r="E599" s="603"/>
      <c r="F599" s="603"/>
      <c r="G599" s="603"/>
      <c r="H599" s="603"/>
      <c r="I599" s="603"/>
      <c r="J599" s="603"/>
      <c r="K599" s="449"/>
      <c r="L599" s="603"/>
      <c r="M599" s="603"/>
      <c r="N599" s="603"/>
      <c r="O599" s="603"/>
      <c r="P599" s="603"/>
      <c r="Q599" s="603"/>
      <c r="R599" s="603"/>
      <c r="S599" s="603"/>
      <c r="T599" s="603"/>
      <c r="U599" s="603"/>
      <c r="V599" s="603"/>
      <c r="W599" s="603"/>
      <c r="X599" s="603"/>
      <c r="Y599" s="603"/>
      <c r="Z599" s="603"/>
    </row>
    <row r="600" spans="1:26" ht="15.75" customHeight="1" x14ac:dyDescent="0.2">
      <c r="A600" s="603"/>
      <c r="B600" s="603"/>
      <c r="C600" s="603"/>
      <c r="D600" s="603"/>
      <c r="E600" s="603"/>
      <c r="F600" s="603"/>
      <c r="G600" s="603"/>
      <c r="H600" s="603"/>
      <c r="I600" s="603"/>
      <c r="J600" s="603"/>
      <c r="K600" s="449"/>
      <c r="L600" s="603"/>
      <c r="M600" s="603"/>
      <c r="N600" s="603"/>
      <c r="O600" s="603"/>
      <c r="P600" s="603"/>
      <c r="Q600" s="603"/>
      <c r="R600" s="603"/>
      <c r="S600" s="603"/>
      <c r="T600" s="603"/>
      <c r="U600" s="603"/>
      <c r="V600" s="603"/>
      <c r="W600" s="603"/>
      <c r="X600" s="603"/>
      <c r="Y600" s="603"/>
      <c r="Z600" s="603"/>
    </row>
    <row r="601" spans="1:26" ht="15.75" customHeight="1" x14ac:dyDescent="0.2">
      <c r="A601" s="603"/>
      <c r="B601" s="603"/>
      <c r="C601" s="603"/>
      <c r="D601" s="603"/>
      <c r="E601" s="603"/>
      <c r="F601" s="603"/>
      <c r="G601" s="603"/>
      <c r="H601" s="603"/>
      <c r="I601" s="603"/>
      <c r="J601" s="603"/>
      <c r="K601" s="449"/>
      <c r="L601" s="603"/>
      <c r="M601" s="603"/>
      <c r="N601" s="603"/>
      <c r="O601" s="603"/>
      <c r="P601" s="603"/>
      <c r="Q601" s="603"/>
      <c r="R601" s="603"/>
      <c r="S601" s="603"/>
      <c r="T601" s="603"/>
      <c r="U601" s="603"/>
      <c r="V601" s="603"/>
      <c r="W601" s="603"/>
      <c r="X601" s="603"/>
      <c r="Y601" s="603"/>
      <c r="Z601" s="603"/>
    </row>
    <row r="602" spans="1:26" ht="15.75" customHeight="1" x14ac:dyDescent="0.2">
      <c r="A602" s="603"/>
      <c r="B602" s="603"/>
      <c r="C602" s="603"/>
      <c r="D602" s="603"/>
      <c r="E602" s="603"/>
      <c r="F602" s="603"/>
      <c r="G602" s="603"/>
      <c r="H602" s="603"/>
      <c r="I602" s="603"/>
      <c r="J602" s="603"/>
      <c r="K602" s="449"/>
      <c r="L602" s="603"/>
      <c r="M602" s="603"/>
      <c r="N602" s="603"/>
      <c r="O602" s="603"/>
      <c r="P602" s="603"/>
      <c r="Q602" s="603"/>
      <c r="R602" s="603"/>
      <c r="S602" s="603"/>
      <c r="T602" s="603"/>
      <c r="U602" s="603"/>
      <c r="V602" s="603"/>
      <c r="W602" s="603"/>
      <c r="X602" s="603"/>
      <c r="Y602" s="603"/>
      <c r="Z602" s="603"/>
    </row>
    <row r="603" spans="1:26" ht="15.75" customHeight="1" x14ac:dyDescent="0.2">
      <c r="A603" s="603"/>
      <c r="B603" s="603"/>
      <c r="C603" s="603"/>
      <c r="D603" s="603"/>
      <c r="E603" s="603"/>
      <c r="F603" s="603"/>
      <c r="G603" s="603"/>
      <c r="H603" s="603"/>
      <c r="I603" s="603"/>
      <c r="J603" s="603"/>
      <c r="K603" s="449"/>
      <c r="L603" s="603"/>
      <c r="M603" s="603"/>
      <c r="N603" s="603"/>
      <c r="O603" s="603"/>
      <c r="P603" s="603"/>
      <c r="Q603" s="603"/>
      <c r="R603" s="603"/>
      <c r="S603" s="603"/>
      <c r="T603" s="603"/>
      <c r="U603" s="603"/>
      <c r="V603" s="603"/>
      <c r="W603" s="603"/>
      <c r="X603" s="603"/>
      <c r="Y603" s="603"/>
      <c r="Z603" s="603"/>
    </row>
    <row r="604" spans="1:26" ht="15.75" customHeight="1" x14ac:dyDescent="0.2">
      <c r="A604" s="603"/>
      <c r="B604" s="603"/>
      <c r="C604" s="603"/>
      <c r="D604" s="603"/>
      <c r="E604" s="603"/>
      <c r="F604" s="603"/>
      <c r="G604" s="603"/>
      <c r="H604" s="603"/>
      <c r="I604" s="603"/>
      <c r="J604" s="603"/>
      <c r="K604" s="449"/>
      <c r="L604" s="603"/>
      <c r="M604" s="603"/>
      <c r="N604" s="603"/>
      <c r="O604" s="603"/>
      <c r="P604" s="603"/>
      <c r="Q604" s="603"/>
      <c r="R604" s="603"/>
      <c r="S604" s="603"/>
      <c r="T604" s="603"/>
      <c r="U604" s="603"/>
      <c r="V604" s="603"/>
      <c r="W604" s="603"/>
      <c r="X604" s="603"/>
      <c r="Y604" s="603"/>
      <c r="Z604" s="603"/>
    </row>
    <row r="605" spans="1:26" ht="15.75" customHeight="1" x14ac:dyDescent="0.2">
      <c r="A605" s="603"/>
      <c r="B605" s="603"/>
      <c r="C605" s="603"/>
      <c r="D605" s="603"/>
      <c r="E605" s="603"/>
      <c r="F605" s="603"/>
      <c r="G605" s="603"/>
      <c r="H605" s="603"/>
      <c r="I605" s="603"/>
      <c r="J605" s="603"/>
      <c r="K605" s="449"/>
      <c r="L605" s="603"/>
      <c r="M605" s="603"/>
      <c r="N605" s="603"/>
      <c r="O605" s="603"/>
      <c r="P605" s="603"/>
      <c r="Q605" s="603"/>
      <c r="R605" s="603"/>
      <c r="S605" s="603"/>
      <c r="T605" s="603"/>
      <c r="U605" s="603"/>
      <c r="V605" s="603"/>
      <c r="W605" s="603"/>
      <c r="X605" s="603"/>
      <c r="Y605" s="603"/>
      <c r="Z605" s="603"/>
    </row>
    <row r="606" spans="1:26" ht="15.75" customHeight="1" x14ac:dyDescent="0.2">
      <c r="A606" s="603"/>
      <c r="B606" s="603"/>
      <c r="C606" s="603"/>
      <c r="D606" s="603"/>
      <c r="E606" s="603"/>
      <c r="F606" s="603"/>
      <c r="G606" s="603"/>
      <c r="H606" s="603"/>
      <c r="I606" s="603"/>
      <c r="J606" s="603"/>
      <c r="K606" s="449"/>
      <c r="L606" s="603"/>
      <c r="M606" s="603"/>
      <c r="N606" s="603"/>
      <c r="O606" s="603"/>
      <c r="P606" s="603"/>
      <c r="Q606" s="603"/>
      <c r="R606" s="603"/>
      <c r="S606" s="603"/>
      <c r="T606" s="603"/>
      <c r="U606" s="603"/>
      <c r="V606" s="603"/>
      <c r="W606" s="603"/>
      <c r="X606" s="603"/>
      <c r="Y606" s="603"/>
      <c r="Z606" s="603"/>
    </row>
    <row r="607" spans="1:26" ht="15.75" customHeight="1" x14ac:dyDescent="0.2">
      <c r="A607" s="603"/>
      <c r="B607" s="603"/>
      <c r="C607" s="603"/>
      <c r="D607" s="603"/>
      <c r="E607" s="603"/>
      <c r="F607" s="603"/>
      <c r="G607" s="603"/>
      <c r="H607" s="603"/>
      <c r="I607" s="603"/>
      <c r="J607" s="603"/>
      <c r="K607" s="449"/>
      <c r="L607" s="603"/>
      <c r="M607" s="603"/>
      <c r="N607" s="603"/>
      <c r="O607" s="603"/>
      <c r="P607" s="603"/>
      <c r="Q607" s="603"/>
      <c r="R607" s="603"/>
      <c r="S607" s="603"/>
      <c r="T607" s="603"/>
      <c r="U607" s="603"/>
      <c r="V607" s="603"/>
      <c r="W607" s="603"/>
      <c r="X607" s="603"/>
      <c r="Y607" s="603"/>
      <c r="Z607" s="603"/>
    </row>
    <row r="608" spans="1:26" ht="15.75" customHeight="1" x14ac:dyDescent="0.2">
      <c r="A608" s="603"/>
      <c r="B608" s="603"/>
      <c r="C608" s="603"/>
      <c r="D608" s="603"/>
      <c r="E608" s="603"/>
      <c r="F608" s="603"/>
      <c r="G608" s="603"/>
      <c r="H608" s="603"/>
      <c r="I608" s="603"/>
      <c r="J608" s="603"/>
      <c r="K608" s="449"/>
      <c r="L608" s="603"/>
      <c r="M608" s="603"/>
      <c r="N608" s="603"/>
      <c r="O608" s="603"/>
      <c r="P608" s="603"/>
      <c r="Q608" s="603"/>
      <c r="R608" s="603"/>
      <c r="S608" s="603"/>
      <c r="T608" s="603"/>
      <c r="U608" s="603"/>
      <c r="V608" s="603"/>
      <c r="W608" s="603"/>
      <c r="X608" s="603"/>
      <c r="Y608" s="603"/>
      <c r="Z608" s="603"/>
    </row>
    <row r="609" spans="1:26" ht="15.75" customHeight="1" x14ac:dyDescent="0.2">
      <c r="A609" s="603"/>
      <c r="B609" s="603"/>
      <c r="C609" s="603"/>
      <c r="D609" s="603"/>
      <c r="E609" s="603"/>
      <c r="F609" s="603"/>
      <c r="G609" s="603"/>
      <c r="H609" s="603"/>
      <c r="I609" s="603"/>
      <c r="J609" s="603"/>
      <c r="K609" s="449"/>
      <c r="L609" s="603"/>
      <c r="M609" s="603"/>
      <c r="N609" s="603"/>
      <c r="O609" s="603"/>
      <c r="P609" s="603"/>
      <c r="Q609" s="603"/>
      <c r="R609" s="603"/>
      <c r="S609" s="603"/>
      <c r="T609" s="603"/>
      <c r="U609" s="603"/>
      <c r="V609" s="603"/>
      <c r="W609" s="603"/>
      <c r="X609" s="603"/>
      <c r="Y609" s="603"/>
      <c r="Z609" s="603"/>
    </row>
    <row r="610" spans="1:26" ht="15.75" customHeight="1" x14ac:dyDescent="0.2">
      <c r="A610" s="603"/>
      <c r="B610" s="603"/>
      <c r="C610" s="603"/>
      <c r="D610" s="603"/>
      <c r="E610" s="603"/>
      <c r="F610" s="603"/>
      <c r="G610" s="603"/>
      <c r="H610" s="603"/>
      <c r="I610" s="603"/>
      <c r="J610" s="603"/>
      <c r="K610" s="449"/>
      <c r="L610" s="603"/>
      <c r="M610" s="603"/>
      <c r="N610" s="603"/>
      <c r="O610" s="603"/>
      <c r="P610" s="603"/>
      <c r="Q610" s="603"/>
      <c r="R610" s="603"/>
      <c r="S610" s="603"/>
      <c r="T610" s="603"/>
      <c r="U610" s="603"/>
      <c r="V610" s="603"/>
      <c r="W610" s="603"/>
      <c r="X610" s="603"/>
      <c r="Y610" s="603"/>
      <c r="Z610" s="603"/>
    </row>
    <row r="611" spans="1:26" ht="15.75" customHeight="1" x14ac:dyDescent="0.2">
      <c r="A611" s="603"/>
      <c r="B611" s="603"/>
      <c r="C611" s="603"/>
      <c r="D611" s="603"/>
      <c r="E611" s="603"/>
      <c r="F611" s="603"/>
      <c r="G611" s="603"/>
      <c r="H611" s="603"/>
      <c r="I611" s="603"/>
      <c r="J611" s="603"/>
      <c r="K611" s="449"/>
      <c r="L611" s="603"/>
      <c r="M611" s="603"/>
      <c r="N611" s="603"/>
      <c r="O611" s="603"/>
      <c r="P611" s="603"/>
      <c r="Q611" s="603"/>
      <c r="R611" s="603"/>
      <c r="S611" s="603"/>
      <c r="T611" s="603"/>
      <c r="U611" s="603"/>
      <c r="V611" s="603"/>
      <c r="W611" s="603"/>
      <c r="X611" s="603"/>
      <c r="Y611" s="603"/>
      <c r="Z611" s="603"/>
    </row>
    <row r="612" spans="1:26" ht="15.75" customHeight="1" x14ac:dyDescent="0.2">
      <c r="A612" s="603"/>
      <c r="B612" s="603"/>
      <c r="C612" s="603"/>
      <c r="D612" s="603"/>
      <c r="E612" s="603"/>
      <c r="F612" s="603"/>
      <c r="G612" s="603"/>
      <c r="H612" s="603"/>
      <c r="I612" s="603"/>
      <c r="J612" s="603"/>
      <c r="K612" s="449"/>
      <c r="L612" s="603"/>
      <c r="M612" s="603"/>
      <c r="N612" s="603"/>
      <c r="O612" s="603"/>
      <c r="P612" s="603"/>
      <c r="Q612" s="603"/>
      <c r="R612" s="603"/>
      <c r="S612" s="603"/>
      <c r="T612" s="603"/>
      <c r="U612" s="603"/>
      <c r="V612" s="603"/>
      <c r="W612" s="603"/>
      <c r="X612" s="603"/>
      <c r="Y612" s="603"/>
      <c r="Z612" s="603"/>
    </row>
    <row r="613" spans="1:26" ht="15.75" customHeight="1" x14ac:dyDescent="0.2">
      <c r="A613" s="603"/>
      <c r="B613" s="603"/>
      <c r="C613" s="603"/>
      <c r="D613" s="603"/>
      <c r="E613" s="603"/>
      <c r="F613" s="603"/>
      <c r="G613" s="603"/>
      <c r="H613" s="603"/>
      <c r="I613" s="603"/>
      <c r="J613" s="603"/>
      <c r="K613" s="449"/>
      <c r="L613" s="603"/>
      <c r="M613" s="603"/>
      <c r="N613" s="603"/>
      <c r="O613" s="603"/>
      <c r="P613" s="603"/>
      <c r="Q613" s="603"/>
      <c r="R613" s="603"/>
      <c r="S613" s="603"/>
      <c r="T613" s="603"/>
      <c r="U613" s="603"/>
      <c r="V613" s="603"/>
      <c r="W613" s="603"/>
      <c r="X613" s="603"/>
      <c r="Y613" s="603"/>
      <c r="Z613" s="603"/>
    </row>
    <row r="614" spans="1:26" ht="15.75" customHeight="1" x14ac:dyDescent="0.2">
      <c r="A614" s="603"/>
      <c r="B614" s="603"/>
      <c r="C614" s="603"/>
      <c r="D614" s="603"/>
      <c r="E614" s="603"/>
      <c r="F614" s="603"/>
      <c r="G614" s="603"/>
      <c r="H614" s="603"/>
      <c r="I614" s="603"/>
      <c r="J614" s="603"/>
      <c r="K614" s="449"/>
      <c r="L614" s="603"/>
      <c r="M614" s="603"/>
      <c r="N614" s="603"/>
      <c r="O614" s="603"/>
      <c r="P614" s="603"/>
      <c r="Q614" s="603"/>
      <c r="R614" s="603"/>
      <c r="S614" s="603"/>
      <c r="T614" s="603"/>
      <c r="U614" s="603"/>
      <c r="V614" s="603"/>
      <c r="W614" s="603"/>
      <c r="X614" s="603"/>
      <c r="Y614" s="603"/>
      <c r="Z614" s="603"/>
    </row>
    <row r="615" spans="1:26" ht="15.75" customHeight="1" x14ac:dyDescent="0.2">
      <c r="A615" s="603"/>
      <c r="B615" s="603"/>
      <c r="C615" s="603"/>
      <c r="D615" s="603"/>
      <c r="E615" s="603"/>
      <c r="F615" s="603"/>
      <c r="G615" s="603"/>
      <c r="H615" s="603"/>
      <c r="I615" s="603"/>
      <c r="J615" s="603"/>
      <c r="K615" s="449"/>
      <c r="L615" s="603"/>
      <c r="M615" s="603"/>
      <c r="N615" s="603"/>
      <c r="O615" s="603"/>
      <c r="P615" s="603"/>
      <c r="Q615" s="603"/>
      <c r="R615" s="603"/>
      <c r="S615" s="603"/>
      <c r="T615" s="603"/>
      <c r="U615" s="603"/>
      <c r="V615" s="603"/>
      <c r="W615" s="603"/>
      <c r="X615" s="603"/>
      <c r="Y615" s="603"/>
      <c r="Z615" s="603"/>
    </row>
    <row r="616" spans="1:26" ht="15.75" customHeight="1" x14ac:dyDescent="0.2">
      <c r="A616" s="603"/>
      <c r="B616" s="603"/>
      <c r="C616" s="603"/>
      <c r="D616" s="603"/>
      <c r="E616" s="603"/>
      <c r="F616" s="603"/>
      <c r="G616" s="603"/>
      <c r="H616" s="603"/>
      <c r="I616" s="603"/>
      <c r="J616" s="603"/>
      <c r="K616" s="449"/>
      <c r="L616" s="603"/>
      <c r="M616" s="603"/>
      <c r="N616" s="603"/>
      <c r="O616" s="603"/>
      <c r="P616" s="603"/>
      <c r="Q616" s="603"/>
      <c r="R616" s="603"/>
      <c r="S616" s="603"/>
      <c r="T616" s="603"/>
      <c r="U616" s="603"/>
      <c r="V616" s="603"/>
      <c r="W616" s="603"/>
      <c r="X616" s="603"/>
      <c r="Y616" s="603"/>
      <c r="Z616" s="603"/>
    </row>
    <row r="617" spans="1:26" ht="15.75" customHeight="1" x14ac:dyDescent="0.2">
      <c r="A617" s="603"/>
      <c r="B617" s="603"/>
      <c r="C617" s="603"/>
      <c r="D617" s="603"/>
      <c r="E617" s="603"/>
      <c r="F617" s="603"/>
      <c r="G617" s="603"/>
      <c r="H617" s="603"/>
      <c r="I617" s="603"/>
      <c r="J617" s="603"/>
      <c r="K617" s="449"/>
      <c r="L617" s="603"/>
      <c r="M617" s="603"/>
      <c r="N617" s="603"/>
      <c r="O617" s="603"/>
      <c r="P617" s="603"/>
      <c r="Q617" s="603"/>
      <c r="R617" s="603"/>
      <c r="S617" s="603"/>
      <c r="T617" s="603"/>
      <c r="U617" s="603"/>
      <c r="V617" s="603"/>
      <c r="W617" s="603"/>
      <c r="X617" s="603"/>
      <c r="Y617" s="603"/>
      <c r="Z617" s="603"/>
    </row>
    <row r="618" spans="1:26" ht="15.75" customHeight="1" x14ac:dyDescent="0.2">
      <c r="A618" s="603"/>
      <c r="B618" s="603"/>
      <c r="C618" s="603"/>
      <c r="D618" s="603"/>
      <c r="E618" s="603"/>
      <c r="F618" s="603"/>
      <c r="G618" s="603"/>
      <c r="H618" s="603"/>
      <c r="I618" s="603"/>
      <c r="J618" s="603"/>
      <c r="K618" s="449"/>
      <c r="L618" s="603"/>
      <c r="M618" s="603"/>
      <c r="N618" s="603"/>
      <c r="O618" s="603"/>
      <c r="P618" s="603"/>
      <c r="Q618" s="603"/>
      <c r="R618" s="603"/>
      <c r="S618" s="603"/>
      <c r="T618" s="603"/>
      <c r="U618" s="603"/>
      <c r="V618" s="603"/>
      <c r="W618" s="603"/>
      <c r="X618" s="603"/>
      <c r="Y618" s="603"/>
      <c r="Z618" s="603"/>
    </row>
    <row r="619" spans="1:26" ht="15.75" customHeight="1" x14ac:dyDescent="0.2">
      <c r="A619" s="603"/>
      <c r="B619" s="603"/>
      <c r="C619" s="603"/>
      <c r="D619" s="603"/>
      <c r="E619" s="603"/>
      <c r="F619" s="603"/>
      <c r="G619" s="603"/>
      <c r="H619" s="603"/>
      <c r="I619" s="603"/>
      <c r="J619" s="603"/>
      <c r="K619" s="449"/>
      <c r="L619" s="603"/>
      <c r="M619" s="603"/>
      <c r="N619" s="603"/>
      <c r="O619" s="603"/>
      <c r="P619" s="603"/>
      <c r="Q619" s="603"/>
      <c r="R619" s="603"/>
      <c r="S619" s="603"/>
      <c r="T619" s="603"/>
      <c r="U619" s="603"/>
      <c r="V619" s="603"/>
      <c r="W619" s="603"/>
      <c r="X619" s="603"/>
      <c r="Y619" s="603"/>
      <c r="Z619" s="603"/>
    </row>
    <row r="620" spans="1:26" ht="15.75" customHeight="1" x14ac:dyDescent="0.2">
      <c r="A620" s="603"/>
      <c r="B620" s="603"/>
      <c r="C620" s="603"/>
      <c r="D620" s="603"/>
      <c r="E620" s="603"/>
      <c r="F620" s="603"/>
      <c r="G620" s="603"/>
      <c r="H620" s="603"/>
      <c r="I620" s="603"/>
      <c r="J620" s="603"/>
      <c r="K620" s="449"/>
      <c r="L620" s="603"/>
      <c r="M620" s="603"/>
      <c r="N620" s="603"/>
      <c r="O620" s="603"/>
      <c r="P620" s="603"/>
      <c r="Q620" s="603"/>
      <c r="R620" s="603"/>
      <c r="S620" s="603"/>
      <c r="T620" s="603"/>
      <c r="U620" s="603"/>
      <c r="V620" s="603"/>
      <c r="W620" s="603"/>
      <c r="X620" s="603"/>
      <c r="Y620" s="603"/>
      <c r="Z620" s="603"/>
    </row>
    <row r="621" spans="1:26" ht="15.75" customHeight="1" x14ac:dyDescent="0.2">
      <c r="A621" s="603"/>
      <c r="B621" s="603"/>
      <c r="C621" s="603"/>
      <c r="D621" s="603"/>
      <c r="E621" s="603"/>
      <c r="F621" s="603"/>
      <c r="G621" s="603"/>
      <c r="H621" s="603"/>
      <c r="I621" s="603"/>
      <c r="J621" s="603"/>
      <c r="K621" s="449"/>
      <c r="L621" s="603"/>
      <c r="M621" s="603"/>
      <c r="N621" s="603"/>
      <c r="O621" s="603"/>
      <c r="P621" s="603"/>
      <c r="Q621" s="603"/>
      <c r="R621" s="603"/>
      <c r="S621" s="603"/>
      <c r="T621" s="603"/>
      <c r="U621" s="603"/>
      <c r="V621" s="603"/>
      <c r="W621" s="603"/>
      <c r="X621" s="603"/>
      <c r="Y621" s="603"/>
      <c r="Z621" s="603"/>
    </row>
    <row r="622" spans="1:26" ht="15.75" customHeight="1" x14ac:dyDescent="0.2">
      <c r="A622" s="603"/>
      <c r="B622" s="603"/>
      <c r="C622" s="603"/>
      <c r="D622" s="603"/>
      <c r="E622" s="603"/>
      <c r="F622" s="603"/>
      <c r="G622" s="603"/>
      <c r="H622" s="603"/>
      <c r="I622" s="603"/>
      <c r="J622" s="603"/>
      <c r="K622" s="449"/>
      <c r="L622" s="603"/>
      <c r="M622" s="603"/>
      <c r="N622" s="603"/>
      <c r="O622" s="603"/>
      <c r="P622" s="603"/>
      <c r="Q622" s="603"/>
      <c r="R622" s="603"/>
      <c r="S622" s="603"/>
      <c r="T622" s="603"/>
      <c r="U622" s="603"/>
      <c r="V622" s="603"/>
      <c r="W622" s="603"/>
      <c r="X622" s="603"/>
      <c r="Y622" s="603"/>
      <c r="Z622" s="603"/>
    </row>
    <row r="623" spans="1:26" ht="15.75" customHeight="1" x14ac:dyDescent="0.2">
      <c r="A623" s="603"/>
      <c r="B623" s="603"/>
      <c r="C623" s="603"/>
      <c r="D623" s="603"/>
      <c r="E623" s="603"/>
      <c r="F623" s="603"/>
      <c r="G623" s="603"/>
      <c r="H623" s="603"/>
      <c r="I623" s="603"/>
      <c r="J623" s="603"/>
      <c r="K623" s="449"/>
      <c r="L623" s="603"/>
      <c r="M623" s="603"/>
      <c r="N623" s="603"/>
      <c r="O623" s="603"/>
      <c r="P623" s="603"/>
      <c r="Q623" s="603"/>
      <c r="R623" s="603"/>
      <c r="S623" s="603"/>
      <c r="T623" s="603"/>
      <c r="U623" s="603"/>
      <c r="V623" s="603"/>
      <c r="W623" s="603"/>
      <c r="X623" s="603"/>
      <c r="Y623" s="603"/>
      <c r="Z623" s="603"/>
    </row>
    <row r="624" spans="1:26" ht="15.75" customHeight="1" x14ac:dyDescent="0.2">
      <c r="A624" s="603"/>
      <c r="B624" s="603"/>
      <c r="C624" s="603"/>
      <c r="D624" s="603"/>
      <c r="E624" s="603"/>
      <c r="F624" s="603"/>
      <c r="G624" s="603"/>
      <c r="H624" s="603"/>
      <c r="I624" s="603"/>
      <c r="J624" s="603"/>
      <c r="K624" s="449"/>
      <c r="L624" s="603"/>
      <c r="M624" s="603"/>
      <c r="N624" s="603"/>
      <c r="O624" s="603"/>
      <c r="P624" s="603"/>
      <c r="Q624" s="603"/>
      <c r="R624" s="603"/>
      <c r="S624" s="603"/>
      <c r="T624" s="603"/>
      <c r="U624" s="603"/>
      <c r="V624" s="603"/>
      <c r="W624" s="603"/>
      <c r="X624" s="603"/>
      <c r="Y624" s="603"/>
      <c r="Z624" s="603"/>
    </row>
    <row r="625" spans="1:26" ht="15.75" customHeight="1" x14ac:dyDescent="0.2">
      <c r="A625" s="603"/>
      <c r="B625" s="603"/>
      <c r="C625" s="603"/>
      <c r="D625" s="603"/>
      <c r="E625" s="603"/>
      <c r="F625" s="603"/>
      <c r="G625" s="603"/>
      <c r="H625" s="603"/>
      <c r="I625" s="603"/>
      <c r="J625" s="603"/>
      <c r="K625" s="449"/>
      <c r="L625" s="603"/>
      <c r="M625" s="603"/>
      <c r="N625" s="603"/>
      <c r="O625" s="603"/>
      <c r="P625" s="603"/>
      <c r="Q625" s="603"/>
      <c r="R625" s="603"/>
      <c r="S625" s="603"/>
      <c r="T625" s="603"/>
      <c r="U625" s="603"/>
      <c r="V625" s="603"/>
      <c r="W625" s="603"/>
      <c r="X625" s="603"/>
      <c r="Y625" s="603"/>
      <c r="Z625" s="603"/>
    </row>
    <row r="626" spans="1:26" ht="15.75" customHeight="1" x14ac:dyDescent="0.2">
      <c r="A626" s="603"/>
      <c r="B626" s="603"/>
      <c r="C626" s="603"/>
      <c r="D626" s="603"/>
      <c r="E626" s="603"/>
      <c r="F626" s="603"/>
      <c r="G626" s="603"/>
      <c r="H626" s="603"/>
      <c r="I626" s="603"/>
      <c r="J626" s="603"/>
      <c r="K626" s="449"/>
      <c r="L626" s="603"/>
      <c r="M626" s="603"/>
      <c r="N626" s="603"/>
      <c r="O626" s="603"/>
      <c r="P626" s="603"/>
      <c r="Q626" s="603"/>
      <c r="R626" s="603"/>
      <c r="S626" s="603"/>
      <c r="T626" s="603"/>
      <c r="U626" s="603"/>
      <c r="V626" s="603"/>
      <c r="W626" s="603"/>
      <c r="X626" s="603"/>
      <c r="Y626" s="603"/>
      <c r="Z626" s="603"/>
    </row>
    <row r="627" spans="1:26" ht="15.75" customHeight="1" x14ac:dyDescent="0.2">
      <c r="A627" s="603"/>
      <c r="B627" s="603"/>
      <c r="C627" s="603"/>
      <c r="D627" s="603"/>
      <c r="E627" s="603"/>
      <c r="F627" s="603"/>
      <c r="G627" s="603"/>
      <c r="H627" s="603"/>
      <c r="I627" s="603"/>
      <c r="J627" s="603"/>
      <c r="K627" s="449"/>
      <c r="L627" s="603"/>
      <c r="M627" s="603"/>
      <c r="N627" s="603"/>
      <c r="O627" s="603"/>
      <c r="P627" s="603"/>
      <c r="Q627" s="603"/>
      <c r="R627" s="603"/>
      <c r="S627" s="603"/>
      <c r="T627" s="603"/>
      <c r="U627" s="603"/>
      <c r="V627" s="603"/>
      <c r="W627" s="603"/>
      <c r="X627" s="603"/>
      <c r="Y627" s="603"/>
      <c r="Z627" s="603"/>
    </row>
    <row r="628" spans="1:26" ht="15.75" customHeight="1" x14ac:dyDescent="0.2">
      <c r="A628" s="603"/>
      <c r="B628" s="603"/>
      <c r="C628" s="603"/>
      <c r="D628" s="603"/>
      <c r="E628" s="603"/>
      <c r="F628" s="603"/>
      <c r="G628" s="603"/>
      <c r="H628" s="603"/>
      <c r="I628" s="603"/>
      <c r="J628" s="603"/>
      <c r="K628" s="449"/>
      <c r="L628" s="603"/>
      <c r="M628" s="603"/>
      <c r="N628" s="603"/>
      <c r="O628" s="603"/>
      <c r="P628" s="603"/>
      <c r="Q628" s="603"/>
      <c r="R628" s="603"/>
      <c r="S628" s="603"/>
      <c r="T628" s="603"/>
      <c r="U628" s="603"/>
      <c r="V628" s="603"/>
      <c r="W628" s="603"/>
      <c r="X628" s="603"/>
      <c r="Y628" s="603"/>
      <c r="Z628" s="603"/>
    </row>
    <row r="629" spans="1:26" ht="15.75" customHeight="1" x14ac:dyDescent="0.2">
      <c r="A629" s="603"/>
      <c r="B629" s="603"/>
      <c r="C629" s="603"/>
      <c r="D629" s="603"/>
      <c r="E629" s="603"/>
      <c r="F629" s="603"/>
      <c r="G629" s="603"/>
      <c r="H629" s="603"/>
      <c r="I629" s="603"/>
      <c r="J629" s="603"/>
      <c r="K629" s="449"/>
      <c r="L629" s="603"/>
      <c r="M629" s="603"/>
      <c r="N629" s="603"/>
      <c r="O629" s="603"/>
      <c r="P629" s="603"/>
      <c r="Q629" s="603"/>
      <c r="R629" s="603"/>
      <c r="S629" s="603"/>
      <c r="T629" s="603"/>
      <c r="U629" s="603"/>
      <c r="V629" s="603"/>
      <c r="W629" s="603"/>
      <c r="X629" s="603"/>
      <c r="Y629" s="603"/>
      <c r="Z629" s="603"/>
    </row>
    <row r="630" spans="1:26" ht="15.75" customHeight="1" x14ac:dyDescent="0.2">
      <c r="A630" s="603"/>
      <c r="B630" s="603"/>
      <c r="C630" s="603"/>
      <c r="D630" s="603"/>
      <c r="E630" s="603"/>
      <c r="F630" s="603"/>
      <c r="G630" s="603"/>
      <c r="H630" s="603"/>
      <c r="I630" s="603"/>
      <c r="J630" s="603"/>
      <c r="K630" s="449"/>
      <c r="L630" s="603"/>
      <c r="M630" s="603"/>
      <c r="N630" s="603"/>
      <c r="O630" s="603"/>
      <c r="P630" s="603"/>
      <c r="Q630" s="603"/>
      <c r="R630" s="603"/>
      <c r="S630" s="603"/>
      <c r="T630" s="603"/>
      <c r="U630" s="603"/>
      <c r="V630" s="603"/>
      <c r="W630" s="603"/>
      <c r="X630" s="603"/>
      <c r="Y630" s="603"/>
      <c r="Z630" s="603"/>
    </row>
    <row r="631" spans="1:26" ht="15.75" customHeight="1" x14ac:dyDescent="0.2">
      <c r="A631" s="603"/>
      <c r="B631" s="603"/>
      <c r="C631" s="603"/>
      <c r="D631" s="603"/>
      <c r="E631" s="603"/>
      <c r="F631" s="603"/>
      <c r="G631" s="603"/>
      <c r="H631" s="603"/>
      <c r="I631" s="603"/>
      <c r="J631" s="603"/>
      <c r="K631" s="449"/>
      <c r="L631" s="603"/>
      <c r="M631" s="603"/>
      <c r="N631" s="603"/>
      <c r="O631" s="603"/>
      <c r="P631" s="603"/>
      <c r="Q631" s="603"/>
      <c r="R631" s="603"/>
      <c r="S631" s="603"/>
      <c r="T631" s="603"/>
      <c r="U631" s="603"/>
      <c r="V631" s="603"/>
      <c r="W631" s="603"/>
      <c r="X631" s="603"/>
      <c r="Y631" s="603"/>
      <c r="Z631" s="603"/>
    </row>
    <row r="632" spans="1:26" ht="15.75" customHeight="1" x14ac:dyDescent="0.2">
      <c r="A632" s="603"/>
      <c r="B632" s="603"/>
      <c r="C632" s="603"/>
      <c r="D632" s="603"/>
      <c r="E632" s="603"/>
      <c r="F632" s="603"/>
      <c r="G632" s="603"/>
      <c r="H632" s="603"/>
      <c r="I632" s="603"/>
      <c r="J632" s="603"/>
      <c r="K632" s="449"/>
      <c r="L632" s="603"/>
      <c r="M632" s="603"/>
      <c r="N632" s="603"/>
      <c r="O632" s="603"/>
      <c r="P632" s="603"/>
      <c r="Q632" s="603"/>
      <c r="R632" s="603"/>
      <c r="S632" s="603"/>
      <c r="T632" s="603"/>
      <c r="U632" s="603"/>
      <c r="V632" s="603"/>
      <c r="W632" s="603"/>
      <c r="X632" s="603"/>
      <c r="Y632" s="603"/>
      <c r="Z632" s="603"/>
    </row>
    <row r="633" spans="1:26" ht="15.75" customHeight="1" x14ac:dyDescent="0.2">
      <c r="A633" s="603"/>
      <c r="B633" s="603"/>
      <c r="C633" s="603"/>
      <c r="D633" s="603"/>
      <c r="E633" s="603"/>
      <c r="F633" s="603"/>
      <c r="G633" s="603"/>
      <c r="H633" s="603"/>
      <c r="I633" s="603"/>
      <c r="J633" s="603"/>
      <c r="K633" s="449"/>
      <c r="L633" s="603"/>
      <c r="M633" s="603"/>
      <c r="N633" s="603"/>
      <c r="O633" s="603"/>
      <c r="P633" s="603"/>
      <c r="Q633" s="603"/>
      <c r="R633" s="603"/>
      <c r="S633" s="603"/>
      <c r="T633" s="603"/>
      <c r="U633" s="603"/>
      <c r="V633" s="603"/>
      <c r="W633" s="603"/>
      <c r="X633" s="603"/>
      <c r="Y633" s="603"/>
      <c r="Z633" s="603"/>
    </row>
    <row r="634" spans="1:26" ht="15.75" customHeight="1" x14ac:dyDescent="0.2">
      <c r="A634" s="603"/>
      <c r="B634" s="603"/>
      <c r="C634" s="603"/>
      <c r="D634" s="603"/>
      <c r="E634" s="603"/>
      <c r="F634" s="603"/>
      <c r="G634" s="603"/>
      <c r="H634" s="603"/>
      <c r="I634" s="603"/>
      <c r="J634" s="603"/>
      <c r="K634" s="449"/>
      <c r="L634" s="603"/>
      <c r="M634" s="603"/>
      <c r="N634" s="603"/>
      <c r="O634" s="603"/>
      <c r="P634" s="603"/>
      <c r="Q634" s="603"/>
      <c r="R634" s="603"/>
      <c r="S634" s="603"/>
      <c r="T634" s="603"/>
      <c r="U634" s="603"/>
      <c r="V634" s="603"/>
      <c r="W634" s="603"/>
      <c r="X634" s="603"/>
      <c r="Y634" s="603"/>
      <c r="Z634" s="603"/>
    </row>
    <row r="635" spans="1:26" ht="15.75" customHeight="1" x14ac:dyDescent="0.2">
      <c r="A635" s="603"/>
      <c r="B635" s="603"/>
      <c r="C635" s="603"/>
      <c r="D635" s="603"/>
      <c r="E635" s="603"/>
      <c r="F635" s="603"/>
      <c r="G635" s="603"/>
      <c r="H635" s="603"/>
      <c r="I635" s="603"/>
      <c r="J635" s="603"/>
      <c r="K635" s="449"/>
      <c r="L635" s="603"/>
      <c r="M635" s="603"/>
      <c r="N635" s="603"/>
      <c r="O635" s="603"/>
      <c r="P635" s="603"/>
      <c r="Q635" s="603"/>
      <c r="R635" s="603"/>
      <c r="S635" s="603"/>
      <c r="T635" s="603"/>
      <c r="U635" s="603"/>
      <c r="V635" s="603"/>
      <c r="W635" s="603"/>
      <c r="X635" s="603"/>
      <c r="Y635" s="603"/>
      <c r="Z635" s="603"/>
    </row>
    <row r="636" spans="1:26" ht="15.75" customHeight="1" x14ac:dyDescent="0.2">
      <c r="A636" s="603"/>
      <c r="B636" s="603"/>
      <c r="C636" s="603"/>
      <c r="D636" s="603"/>
      <c r="E636" s="603"/>
      <c r="F636" s="603"/>
      <c r="G636" s="603"/>
      <c r="H636" s="603"/>
      <c r="I636" s="603"/>
      <c r="J636" s="603"/>
      <c r="K636" s="449"/>
      <c r="L636" s="603"/>
      <c r="M636" s="603"/>
      <c r="N636" s="603"/>
      <c r="O636" s="603"/>
      <c r="P636" s="603"/>
      <c r="Q636" s="603"/>
      <c r="R636" s="603"/>
      <c r="S636" s="603"/>
      <c r="T636" s="603"/>
      <c r="U636" s="603"/>
      <c r="V636" s="603"/>
      <c r="W636" s="603"/>
      <c r="X636" s="603"/>
      <c r="Y636" s="603"/>
      <c r="Z636" s="603"/>
    </row>
    <row r="637" spans="1:26" ht="15.75" customHeight="1" x14ac:dyDescent="0.2">
      <c r="A637" s="603"/>
      <c r="B637" s="603"/>
      <c r="C637" s="603"/>
      <c r="D637" s="603"/>
      <c r="E637" s="603"/>
      <c r="F637" s="603"/>
      <c r="G637" s="603"/>
      <c r="H637" s="603"/>
      <c r="I637" s="603"/>
      <c r="J637" s="603"/>
      <c r="K637" s="449"/>
      <c r="L637" s="603"/>
      <c r="M637" s="603"/>
      <c r="N637" s="603"/>
      <c r="O637" s="603"/>
      <c r="P637" s="603"/>
      <c r="Q637" s="603"/>
      <c r="R637" s="603"/>
      <c r="S637" s="603"/>
      <c r="T637" s="603"/>
      <c r="U637" s="603"/>
      <c r="V637" s="603"/>
      <c r="W637" s="603"/>
      <c r="X637" s="603"/>
      <c r="Y637" s="603"/>
      <c r="Z637" s="603"/>
    </row>
    <row r="638" spans="1:26" ht="15.75" customHeight="1" x14ac:dyDescent="0.2">
      <c r="A638" s="603"/>
      <c r="B638" s="603"/>
      <c r="C638" s="603"/>
      <c r="D638" s="603"/>
      <c r="E638" s="603"/>
      <c r="F638" s="603"/>
      <c r="G638" s="603"/>
      <c r="H638" s="603"/>
      <c r="I638" s="603"/>
      <c r="J638" s="603"/>
      <c r="K638" s="449"/>
      <c r="L638" s="603"/>
      <c r="M638" s="603"/>
      <c r="N638" s="603"/>
      <c r="O638" s="603"/>
      <c r="P638" s="603"/>
      <c r="Q638" s="603"/>
      <c r="R638" s="603"/>
      <c r="S638" s="603"/>
      <c r="T638" s="603"/>
      <c r="U638" s="603"/>
      <c r="V638" s="603"/>
      <c r="W638" s="603"/>
      <c r="X638" s="603"/>
      <c r="Y638" s="603"/>
      <c r="Z638" s="603"/>
    </row>
    <row r="639" spans="1:26" ht="15.75" customHeight="1" x14ac:dyDescent="0.2">
      <c r="A639" s="603"/>
      <c r="B639" s="603"/>
      <c r="C639" s="603"/>
      <c r="D639" s="603"/>
      <c r="E639" s="603"/>
      <c r="F639" s="603"/>
      <c r="G639" s="603"/>
      <c r="H639" s="603"/>
      <c r="I639" s="603"/>
      <c r="J639" s="603"/>
      <c r="K639" s="449"/>
      <c r="L639" s="603"/>
      <c r="M639" s="603"/>
      <c r="N639" s="603"/>
      <c r="O639" s="603"/>
      <c r="P639" s="603"/>
      <c r="Q639" s="603"/>
      <c r="R639" s="603"/>
      <c r="S639" s="603"/>
      <c r="T639" s="603"/>
      <c r="U639" s="603"/>
      <c r="V639" s="603"/>
      <c r="W639" s="603"/>
      <c r="X639" s="603"/>
      <c r="Y639" s="603"/>
      <c r="Z639" s="603"/>
    </row>
    <row r="640" spans="1:26" ht="15.75" customHeight="1" x14ac:dyDescent="0.2">
      <c r="A640" s="603"/>
      <c r="B640" s="603"/>
      <c r="C640" s="603"/>
      <c r="D640" s="603"/>
      <c r="E640" s="603"/>
      <c r="F640" s="603"/>
      <c r="G640" s="603"/>
      <c r="H640" s="603"/>
      <c r="I640" s="603"/>
      <c r="J640" s="603"/>
      <c r="K640" s="449"/>
      <c r="L640" s="603"/>
      <c r="M640" s="603"/>
      <c r="N640" s="603"/>
      <c r="O640" s="603"/>
      <c r="P640" s="603"/>
      <c r="Q640" s="603"/>
      <c r="R640" s="603"/>
      <c r="S640" s="603"/>
      <c r="T640" s="603"/>
      <c r="U640" s="603"/>
      <c r="V640" s="603"/>
      <c r="W640" s="603"/>
      <c r="X640" s="603"/>
      <c r="Y640" s="603"/>
      <c r="Z640" s="603"/>
    </row>
    <row r="641" spans="1:26" ht="15.75" customHeight="1" x14ac:dyDescent="0.2">
      <c r="A641" s="603"/>
      <c r="B641" s="603"/>
      <c r="C641" s="603"/>
      <c r="D641" s="603"/>
      <c r="E641" s="603"/>
      <c r="F641" s="603"/>
      <c r="G641" s="603"/>
      <c r="H641" s="603"/>
      <c r="I641" s="603"/>
      <c r="J641" s="603"/>
      <c r="K641" s="449"/>
      <c r="L641" s="603"/>
      <c r="M641" s="603"/>
      <c r="N641" s="603"/>
      <c r="O641" s="603"/>
      <c r="P641" s="603"/>
      <c r="Q641" s="603"/>
      <c r="R641" s="603"/>
      <c r="S641" s="603"/>
      <c r="T641" s="603"/>
      <c r="U641" s="603"/>
      <c r="V641" s="603"/>
      <c r="W641" s="603"/>
      <c r="X641" s="603"/>
      <c r="Y641" s="603"/>
      <c r="Z641" s="603"/>
    </row>
    <row r="642" spans="1:26" ht="15.75" customHeight="1" x14ac:dyDescent="0.2">
      <c r="A642" s="603"/>
      <c r="B642" s="603"/>
      <c r="C642" s="603"/>
      <c r="D642" s="603"/>
      <c r="E642" s="603"/>
      <c r="F642" s="603"/>
      <c r="G642" s="603"/>
      <c r="H642" s="603"/>
      <c r="I642" s="603"/>
      <c r="J642" s="603"/>
      <c r="K642" s="449"/>
      <c r="L642" s="603"/>
      <c r="M642" s="603"/>
      <c r="N642" s="603"/>
      <c r="O642" s="603"/>
      <c r="P642" s="603"/>
      <c r="Q642" s="603"/>
      <c r="R642" s="603"/>
      <c r="S642" s="603"/>
      <c r="T642" s="603"/>
      <c r="U642" s="603"/>
      <c r="V642" s="603"/>
      <c r="W642" s="603"/>
      <c r="X642" s="603"/>
      <c r="Y642" s="603"/>
      <c r="Z642" s="603"/>
    </row>
    <row r="643" spans="1:26" ht="15.75" customHeight="1" x14ac:dyDescent="0.2">
      <c r="A643" s="603"/>
      <c r="B643" s="603"/>
      <c r="C643" s="603"/>
      <c r="D643" s="603"/>
      <c r="E643" s="603"/>
      <c r="F643" s="603"/>
      <c r="G643" s="603"/>
      <c r="H643" s="603"/>
      <c r="I643" s="603"/>
      <c r="J643" s="603"/>
      <c r="K643" s="449"/>
      <c r="L643" s="603"/>
      <c r="M643" s="603"/>
      <c r="N643" s="603"/>
      <c r="O643" s="603"/>
      <c r="P643" s="603"/>
      <c r="Q643" s="603"/>
      <c r="R643" s="603"/>
      <c r="S643" s="603"/>
      <c r="T643" s="603"/>
      <c r="U643" s="603"/>
      <c r="V643" s="603"/>
      <c r="W643" s="603"/>
      <c r="X643" s="603"/>
      <c r="Y643" s="603"/>
      <c r="Z643" s="603"/>
    </row>
    <row r="644" spans="1:26" ht="15.75" customHeight="1" x14ac:dyDescent="0.2">
      <c r="A644" s="603"/>
      <c r="B644" s="603"/>
      <c r="C644" s="603"/>
      <c r="D644" s="603"/>
      <c r="E644" s="603"/>
      <c r="F644" s="603"/>
      <c r="G644" s="603"/>
      <c r="H644" s="603"/>
      <c r="I644" s="603"/>
      <c r="J644" s="603"/>
      <c r="K644" s="449"/>
      <c r="L644" s="603"/>
      <c r="M644" s="603"/>
      <c r="N644" s="603"/>
      <c r="O644" s="603"/>
      <c r="P644" s="603"/>
      <c r="Q644" s="603"/>
      <c r="R644" s="603"/>
      <c r="S644" s="603"/>
      <c r="T644" s="603"/>
      <c r="U644" s="603"/>
      <c r="V644" s="603"/>
      <c r="W644" s="603"/>
      <c r="X644" s="603"/>
      <c r="Y644" s="603"/>
      <c r="Z644" s="603"/>
    </row>
    <row r="645" spans="1:26" ht="15.75" customHeight="1" x14ac:dyDescent="0.2">
      <c r="A645" s="603"/>
      <c r="B645" s="603"/>
      <c r="C645" s="603"/>
      <c r="D645" s="603"/>
      <c r="E645" s="603"/>
      <c r="F645" s="603"/>
      <c r="G645" s="603"/>
      <c r="H645" s="603"/>
      <c r="I645" s="603"/>
      <c r="J645" s="603"/>
      <c r="K645" s="449"/>
      <c r="L645" s="603"/>
      <c r="M645" s="603"/>
      <c r="N645" s="603"/>
      <c r="O645" s="603"/>
      <c r="P645" s="603"/>
      <c r="Q645" s="603"/>
      <c r="R645" s="603"/>
      <c r="S645" s="603"/>
      <c r="T645" s="603"/>
      <c r="U645" s="603"/>
      <c r="V645" s="603"/>
      <c r="W645" s="603"/>
      <c r="X645" s="603"/>
      <c r="Y645" s="603"/>
      <c r="Z645" s="603"/>
    </row>
    <row r="646" spans="1:26" ht="15.75" customHeight="1" x14ac:dyDescent="0.2">
      <c r="A646" s="603"/>
      <c r="B646" s="603"/>
      <c r="C646" s="603"/>
      <c r="D646" s="603"/>
      <c r="E646" s="603"/>
      <c r="F646" s="603"/>
      <c r="G646" s="603"/>
      <c r="H646" s="603"/>
      <c r="I646" s="603"/>
      <c r="J646" s="603"/>
      <c r="K646" s="449"/>
      <c r="L646" s="603"/>
      <c r="M646" s="603"/>
      <c r="N646" s="603"/>
      <c r="O646" s="603"/>
      <c r="P646" s="603"/>
      <c r="Q646" s="603"/>
      <c r="R646" s="603"/>
      <c r="S646" s="603"/>
      <c r="T646" s="603"/>
      <c r="U646" s="603"/>
      <c r="V646" s="603"/>
      <c r="W646" s="603"/>
      <c r="X646" s="603"/>
      <c r="Y646" s="603"/>
      <c r="Z646" s="603"/>
    </row>
    <row r="647" spans="1:26" ht="15.75" customHeight="1" x14ac:dyDescent="0.2">
      <c r="A647" s="603"/>
      <c r="B647" s="603"/>
      <c r="C647" s="603"/>
      <c r="D647" s="603"/>
      <c r="E647" s="603"/>
      <c r="F647" s="603"/>
      <c r="G647" s="603"/>
      <c r="H647" s="603"/>
      <c r="I647" s="603"/>
      <c r="J647" s="603"/>
      <c r="K647" s="449"/>
      <c r="L647" s="603"/>
      <c r="M647" s="603"/>
      <c r="N647" s="603"/>
      <c r="O647" s="603"/>
      <c r="P647" s="603"/>
      <c r="Q647" s="603"/>
      <c r="R647" s="603"/>
      <c r="S647" s="603"/>
      <c r="T647" s="603"/>
      <c r="U647" s="603"/>
      <c r="V647" s="603"/>
      <c r="W647" s="603"/>
      <c r="X647" s="603"/>
      <c r="Y647" s="603"/>
      <c r="Z647" s="603"/>
    </row>
    <row r="648" spans="1:26" ht="15.75" customHeight="1" x14ac:dyDescent="0.2">
      <c r="A648" s="603"/>
      <c r="B648" s="603"/>
      <c r="C648" s="603"/>
      <c r="D648" s="603"/>
      <c r="E648" s="603"/>
      <c r="F648" s="603"/>
      <c r="G648" s="603"/>
      <c r="H648" s="603"/>
      <c r="I648" s="603"/>
      <c r="J648" s="603"/>
      <c r="K648" s="449"/>
      <c r="L648" s="603"/>
      <c r="M648" s="603"/>
      <c r="N648" s="603"/>
      <c r="O648" s="603"/>
      <c r="P648" s="603"/>
      <c r="Q648" s="603"/>
      <c r="R648" s="603"/>
      <c r="S648" s="603"/>
      <c r="T648" s="603"/>
      <c r="U648" s="603"/>
      <c r="V648" s="603"/>
      <c r="W648" s="603"/>
      <c r="X648" s="603"/>
      <c r="Y648" s="603"/>
      <c r="Z648" s="603"/>
    </row>
    <row r="649" spans="1:26" ht="15.75" customHeight="1" x14ac:dyDescent="0.2">
      <c r="A649" s="603"/>
      <c r="B649" s="603"/>
      <c r="C649" s="603"/>
      <c r="D649" s="603"/>
      <c r="E649" s="603"/>
      <c r="F649" s="603"/>
      <c r="G649" s="603"/>
      <c r="H649" s="603"/>
      <c r="I649" s="603"/>
      <c r="J649" s="603"/>
      <c r="K649" s="449"/>
      <c r="L649" s="603"/>
      <c r="M649" s="603"/>
      <c r="N649" s="603"/>
      <c r="O649" s="603"/>
      <c r="P649" s="603"/>
      <c r="Q649" s="603"/>
      <c r="R649" s="603"/>
      <c r="S649" s="603"/>
      <c r="T649" s="603"/>
      <c r="U649" s="603"/>
      <c r="V649" s="603"/>
      <c r="W649" s="603"/>
      <c r="X649" s="603"/>
      <c r="Y649" s="603"/>
      <c r="Z649" s="603"/>
    </row>
    <row r="650" spans="1:26" ht="15.75" customHeight="1" x14ac:dyDescent="0.2">
      <c r="A650" s="603"/>
      <c r="B650" s="603"/>
      <c r="C650" s="603"/>
      <c r="D650" s="603"/>
      <c r="E650" s="603"/>
      <c r="F650" s="603"/>
      <c r="G650" s="603"/>
      <c r="H650" s="603"/>
      <c r="I650" s="603"/>
      <c r="J650" s="603"/>
      <c r="K650" s="449"/>
      <c r="L650" s="603"/>
      <c r="M650" s="603"/>
      <c r="N650" s="603"/>
      <c r="O650" s="603"/>
      <c r="P650" s="603"/>
      <c r="Q650" s="603"/>
      <c r="R650" s="603"/>
      <c r="S650" s="603"/>
      <c r="T650" s="603"/>
      <c r="U650" s="603"/>
      <c r="V650" s="603"/>
      <c r="W650" s="603"/>
      <c r="X650" s="603"/>
      <c r="Y650" s="603"/>
      <c r="Z650" s="603"/>
    </row>
    <row r="651" spans="1:26" ht="15.75" customHeight="1" x14ac:dyDescent="0.2">
      <c r="A651" s="603"/>
      <c r="B651" s="603"/>
      <c r="C651" s="603"/>
      <c r="D651" s="603"/>
      <c r="E651" s="603"/>
      <c r="F651" s="603"/>
      <c r="G651" s="603"/>
      <c r="H651" s="603"/>
      <c r="I651" s="603"/>
      <c r="J651" s="603"/>
      <c r="K651" s="449"/>
      <c r="L651" s="603"/>
      <c r="M651" s="603"/>
      <c r="N651" s="603"/>
      <c r="O651" s="603"/>
      <c r="P651" s="603"/>
      <c r="Q651" s="603"/>
      <c r="R651" s="603"/>
      <c r="S651" s="603"/>
      <c r="T651" s="603"/>
      <c r="U651" s="603"/>
      <c r="V651" s="603"/>
      <c r="W651" s="603"/>
      <c r="X651" s="603"/>
      <c r="Y651" s="603"/>
      <c r="Z651" s="603"/>
    </row>
    <row r="652" spans="1:26" ht="15.75" customHeight="1" x14ac:dyDescent="0.2">
      <c r="A652" s="603"/>
      <c r="B652" s="603"/>
      <c r="C652" s="603"/>
      <c r="D652" s="603"/>
      <c r="E652" s="603"/>
      <c r="F652" s="603"/>
      <c r="G652" s="603"/>
      <c r="H652" s="603"/>
      <c r="I652" s="603"/>
      <c r="J652" s="603"/>
      <c r="K652" s="449"/>
      <c r="L652" s="603"/>
      <c r="M652" s="603"/>
      <c r="N652" s="603"/>
      <c r="O652" s="603"/>
      <c r="P652" s="603"/>
      <c r="Q652" s="603"/>
      <c r="R652" s="603"/>
      <c r="S652" s="603"/>
      <c r="T652" s="603"/>
      <c r="U652" s="603"/>
      <c r="V652" s="603"/>
      <c r="W652" s="603"/>
      <c r="X652" s="603"/>
      <c r="Y652" s="603"/>
      <c r="Z652" s="603"/>
    </row>
    <row r="653" spans="1:26" ht="15.75" customHeight="1" x14ac:dyDescent="0.2">
      <c r="A653" s="603"/>
      <c r="B653" s="603"/>
      <c r="C653" s="603"/>
      <c r="D653" s="603"/>
      <c r="E653" s="603"/>
      <c r="F653" s="603"/>
      <c r="G653" s="603"/>
      <c r="H653" s="603"/>
      <c r="I653" s="603"/>
      <c r="J653" s="603"/>
      <c r="K653" s="449"/>
      <c r="L653" s="603"/>
      <c r="M653" s="603"/>
      <c r="N653" s="603"/>
      <c r="O653" s="603"/>
      <c r="P653" s="603"/>
      <c r="Q653" s="603"/>
      <c r="R653" s="603"/>
      <c r="S653" s="603"/>
      <c r="T653" s="603"/>
      <c r="U653" s="603"/>
      <c r="V653" s="603"/>
      <c r="W653" s="603"/>
      <c r="X653" s="603"/>
      <c r="Y653" s="603"/>
      <c r="Z653" s="603"/>
    </row>
    <row r="654" spans="1:26" ht="15.75" customHeight="1" x14ac:dyDescent="0.2">
      <c r="A654" s="603"/>
      <c r="B654" s="603"/>
      <c r="C654" s="603"/>
      <c r="D654" s="603"/>
      <c r="E654" s="603"/>
      <c r="F654" s="603"/>
      <c r="G654" s="603"/>
      <c r="H654" s="603"/>
      <c r="I654" s="603"/>
      <c r="J654" s="603"/>
      <c r="K654" s="449"/>
      <c r="L654" s="603"/>
      <c r="M654" s="603"/>
      <c r="N654" s="603"/>
      <c r="O654" s="603"/>
      <c r="P654" s="603"/>
      <c r="Q654" s="603"/>
      <c r="R654" s="603"/>
      <c r="S654" s="603"/>
      <c r="T654" s="603"/>
      <c r="U654" s="603"/>
      <c r="V654" s="603"/>
      <c r="W654" s="603"/>
      <c r="X654" s="603"/>
      <c r="Y654" s="603"/>
      <c r="Z654" s="603"/>
    </row>
    <row r="655" spans="1:26" ht="15.75" customHeight="1" x14ac:dyDescent="0.2">
      <c r="A655" s="603"/>
      <c r="B655" s="603"/>
      <c r="C655" s="603"/>
      <c r="D655" s="603"/>
      <c r="E655" s="603"/>
      <c r="F655" s="603"/>
      <c r="G655" s="603"/>
      <c r="H655" s="603"/>
      <c r="I655" s="603"/>
      <c r="J655" s="603"/>
      <c r="K655" s="449"/>
      <c r="L655" s="603"/>
      <c r="M655" s="603"/>
      <c r="N655" s="603"/>
      <c r="O655" s="603"/>
      <c r="P655" s="603"/>
      <c r="Q655" s="603"/>
      <c r="R655" s="603"/>
      <c r="S655" s="603"/>
      <c r="T655" s="603"/>
      <c r="U655" s="603"/>
      <c r="V655" s="603"/>
      <c r="W655" s="603"/>
      <c r="X655" s="603"/>
      <c r="Y655" s="603"/>
      <c r="Z655" s="603"/>
    </row>
    <row r="656" spans="1:26" ht="15.75" customHeight="1" x14ac:dyDescent="0.2">
      <c r="A656" s="603"/>
      <c r="B656" s="603"/>
      <c r="C656" s="603"/>
      <c r="D656" s="603"/>
      <c r="E656" s="603"/>
      <c r="F656" s="603"/>
      <c r="G656" s="603"/>
      <c r="H656" s="603"/>
      <c r="I656" s="603"/>
      <c r="J656" s="603"/>
      <c r="K656" s="449"/>
      <c r="L656" s="603"/>
      <c r="M656" s="603"/>
      <c r="N656" s="603"/>
      <c r="O656" s="603"/>
      <c r="P656" s="603"/>
      <c r="Q656" s="603"/>
      <c r="R656" s="603"/>
      <c r="S656" s="603"/>
      <c r="T656" s="603"/>
      <c r="U656" s="603"/>
      <c r="V656" s="603"/>
      <c r="W656" s="603"/>
      <c r="X656" s="603"/>
      <c r="Y656" s="603"/>
      <c r="Z656" s="603"/>
    </row>
    <row r="657" spans="1:26" ht="15.75" customHeight="1" x14ac:dyDescent="0.2">
      <c r="A657" s="603"/>
      <c r="B657" s="603"/>
      <c r="C657" s="603"/>
      <c r="D657" s="603"/>
      <c r="E657" s="603"/>
      <c r="F657" s="603"/>
      <c r="G657" s="603"/>
      <c r="H657" s="603"/>
      <c r="I657" s="603"/>
      <c r="J657" s="603"/>
      <c r="K657" s="449"/>
      <c r="L657" s="603"/>
      <c r="M657" s="603"/>
      <c r="N657" s="603"/>
      <c r="O657" s="603"/>
      <c r="P657" s="603"/>
      <c r="Q657" s="603"/>
      <c r="R657" s="603"/>
      <c r="S657" s="603"/>
      <c r="T657" s="603"/>
      <c r="U657" s="603"/>
      <c r="V657" s="603"/>
      <c r="W657" s="603"/>
      <c r="X657" s="603"/>
      <c r="Y657" s="603"/>
      <c r="Z657" s="603"/>
    </row>
    <row r="658" spans="1:26" ht="15.75" customHeight="1" x14ac:dyDescent="0.2">
      <c r="A658" s="603"/>
      <c r="B658" s="603"/>
      <c r="C658" s="603"/>
      <c r="D658" s="603"/>
      <c r="E658" s="603"/>
      <c r="F658" s="603"/>
      <c r="G658" s="603"/>
      <c r="H658" s="603"/>
      <c r="I658" s="603"/>
      <c r="J658" s="603"/>
      <c r="K658" s="449"/>
      <c r="L658" s="603"/>
      <c r="M658" s="603"/>
      <c r="N658" s="603"/>
      <c r="O658" s="603"/>
      <c r="P658" s="603"/>
      <c r="Q658" s="603"/>
      <c r="R658" s="603"/>
      <c r="S658" s="603"/>
      <c r="T658" s="603"/>
      <c r="U658" s="603"/>
      <c r="V658" s="603"/>
      <c r="W658" s="603"/>
      <c r="X658" s="603"/>
      <c r="Y658" s="603"/>
      <c r="Z658" s="603"/>
    </row>
    <row r="659" spans="1:26" ht="15.75" customHeight="1" x14ac:dyDescent="0.2">
      <c r="A659" s="603"/>
      <c r="B659" s="603"/>
      <c r="C659" s="603"/>
      <c r="D659" s="603"/>
      <c r="E659" s="603"/>
      <c r="F659" s="603"/>
      <c r="G659" s="603"/>
      <c r="H659" s="603"/>
      <c r="I659" s="603"/>
      <c r="J659" s="603"/>
      <c r="K659" s="449"/>
      <c r="L659" s="603"/>
      <c r="M659" s="603"/>
      <c r="N659" s="603"/>
      <c r="O659" s="603"/>
      <c r="P659" s="603"/>
      <c r="Q659" s="603"/>
      <c r="R659" s="603"/>
      <c r="S659" s="603"/>
      <c r="T659" s="603"/>
      <c r="U659" s="603"/>
      <c r="V659" s="603"/>
      <c r="W659" s="603"/>
      <c r="X659" s="603"/>
      <c r="Y659" s="603"/>
      <c r="Z659" s="603"/>
    </row>
    <row r="660" spans="1:26" ht="15.75" customHeight="1" x14ac:dyDescent="0.2">
      <c r="A660" s="603"/>
      <c r="B660" s="603"/>
      <c r="C660" s="603"/>
      <c r="D660" s="603"/>
      <c r="E660" s="603"/>
      <c r="F660" s="603"/>
      <c r="G660" s="603"/>
      <c r="H660" s="603"/>
      <c r="I660" s="603"/>
      <c r="J660" s="603"/>
      <c r="K660" s="449"/>
      <c r="L660" s="603"/>
      <c r="M660" s="603"/>
      <c r="N660" s="603"/>
      <c r="O660" s="603"/>
      <c r="P660" s="603"/>
      <c r="Q660" s="603"/>
      <c r="R660" s="603"/>
      <c r="S660" s="603"/>
      <c r="T660" s="603"/>
      <c r="U660" s="603"/>
      <c r="V660" s="603"/>
      <c r="W660" s="603"/>
      <c r="X660" s="603"/>
      <c r="Y660" s="603"/>
      <c r="Z660" s="603"/>
    </row>
    <row r="661" spans="1:26" ht="15.75" customHeight="1" x14ac:dyDescent="0.2">
      <c r="A661" s="603"/>
      <c r="B661" s="603"/>
      <c r="C661" s="603"/>
      <c r="D661" s="603"/>
      <c r="E661" s="603"/>
      <c r="F661" s="603"/>
      <c r="G661" s="603"/>
      <c r="H661" s="603"/>
      <c r="I661" s="603"/>
      <c r="J661" s="603"/>
      <c r="K661" s="449"/>
      <c r="L661" s="603"/>
      <c r="M661" s="603"/>
      <c r="N661" s="603"/>
      <c r="O661" s="603"/>
      <c r="P661" s="603"/>
      <c r="Q661" s="603"/>
      <c r="R661" s="603"/>
      <c r="S661" s="603"/>
      <c r="T661" s="603"/>
      <c r="U661" s="603"/>
      <c r="V661" s="603"/>
      <c r="W661" s="603"/>
      <c r="X661" s="603"/>
      <c r="Y661" s="603"/>
      <c r="Z661" s="603"/>
    </row>
    <row r="662" spans="1:26" ht="15.75" customHeight="1" x14ac:dyDescent="0.2">
      <c r="A662" s="603"/>
      <c r="B662" s="603"/>
      <c r="C662" s="603"/>
      <c r="D662" s="603"/>
      <c r="E662" s="603"/>
      <c r="F662" s="603"/>
      <c r="G662" s="603"/>
      <c r="H662" s="603"/>
      <c r="I662" s="603"/>
      <c r="J662" s="603"/>
      <c r="K662" s="449"/>
      <c r="L662" s="603"/>
      <c r="M662" s="603"/>
      <c r="N662" s="603"/>
      <c r="O662" s="603"/>
      <c r="P662" s="603"/>
      <c r="Q662" s="603"/>
      <c r="R662" s="603"/>
      <c r="S662" s="603"/>
      <c r="T662" s="603"/>
      <c r="U662" s="603"/>
      <c r="V662" s="603"/>
      <c r="W662" s="603"/>
      <c r="X662" s="603"/>
      <c r="Y662" s="603"/>
      <c r="Z662" s="603"/>
    </row>
    <row r="663" spans="1:26" ht="15.75" customHeight="1" x14ac:dyDescent="0.2">
      <c r="A663" s="603"/>
      <c r="B663" s="603"/>
      <c r="C663" s="603"/>
      <c r="D663" s="603"/>
      <c r="E663" s="603"/>
      <c r="F663" s="603"/>
      <c r="G663" s="603"/>
      <c r="H663" s="603"/>
      <c r="I663" s="603"/>
      <c r="J663" s="603"/>
      <c r="K663" s="449"/>
      <c r="L663" s="603"/>
      <c r="M663" s="603"/>
      <c r="N663" s="603"/>
      <c r="O663" s="603"/>
      <c r="P663" s="603"/>
      <c r="Q663" s="603"/>
      <c r="R663" s="603"/>
      <c r="S663" s="603"/>
      <c r="T663" s="603"/>
      <c r="U663" s="603"/>
      <c r="V663" s="603"/>
      <c r="W663" s="603"/>
      <c r="X663" s="603"/>
      <c r="Y663" s="603"/>
      <c r="Z663" s="603"/>
    </row>
    <row r="664" spans="1:26" ht="15.75" customHeight="1" x14ac:dyDescent="0.2">
      <c r="A664" s="603"/>
      <c r="B664" s="603"/>
      <c r="C664" s="603"/>
      <c r="D664" s="603"/>
      <c r="E664" s="603"/>
      <c r="F664" s="603"/>
      <c r="G664" s="603"/>
      <c r="H664" s="603"/>
      <c r="I664" s="603"/>
      <c r="J664" s="603"/>
      <c r="K664" s="449"/>
      <c r="L664" s="603"/>
      <c r="M664" s="603"/>
      <c r="N664" s="603"/>
      <c r="O664" s="603"/>
      <c r="P664" s="603"/>
      <c r="Q664" s="603"/>
      <c r="R664" s="603"/>
      <c r="S664" s="603"/>
      <c r="T664" s="603"/>
      <c r="U664" s="603"/>
      <c r="V664" s="603"/>
      <c r="W664" s="603"/>
      <c r="X664" s="603"/>
      <c r="Y664" s="603"/>
      <c r="Z664" s="603"/>
    </row>
    <row r="665" spans="1:26" ht="15.75" customHeight="1" x14ac:dyDescent="0.2">
      <c r="A665" s="603"/>
      <c r="B665" s="603"/>
      <c r="C665" s="603"/>
      <c r="D665" s="603"/>
      <c r="E665" s="603"/>
      <c r="F665" s="603"/>
      <c r="G665" s="603"/>
      <c r="H665" s="603"/>
      <c r="I665" s="603"/>
      <c r="J665" s="603"/>
      <c r="K665" s="449"/>
      <c r="L665" s="603"/>
      <c r="M665" s="603"/>
      <c r="N665" s="603"/>
      <c r="O665" s="603"/>
      <c r="P665" s="603"/>
      <c r="Q665" s="603"/>
      <c r="R665" s="603"/>
      <c r="S665" s="603"/>
      <c r="T665" s="603"/>
      <c r="U665" s="603"/>
      <c r="V665" s="603"/>
      <c r="W665" s="603"/>
      <c r="X665" s="603"/>
      <c r="Y665" s="603"/>
      <c r="Z665" s="603"/>
    </row>
    <row r="666" spans="1:26" ht="15.75" customHeight="1" x14ac:dyDescent="0.2">
      <c r="A666" s="603"/>
      <c r="B666" s="603"/>
      <c r="C666" s="603"/>
      <c r="D666" s="603"/>
      <c r="E666" s="603"/>
      <c r="F666" s="603"/>
      <c r="G666" s="603"/>
      <c r="H666" s="603"/>
      <c r="I666" s="603"/>
      <c r="J666" s="603"/>
      <c r="K666" s="449"/>
      <c r="L666" s="603"/>
      <c r="M666" s="603"/>
      <c r="N666" s="603"/>
      <c r="O666" s="603"/>
      <c r="P666" s="603"/>
      <c r="Q666" s="603"/>
      <c r="R666" s="603"/>
      <c r="S666" s="603"/>
      <c r="T666" s="603"/>
      <c r="U666" s="603"/>
      <c r="V666" s="603"/>
      <c r="W666" s="603"/>
      <c r="X666" s="603"/>
      <c r="Y666" s="603"/>
      <c r="Z666" s="603"/>
    </row>
    <row r="667" spans="1:26" ht="15.75" customHeight="1" x14ac:dyDescent="0.2">
      <c r="A667" s="603"/>
      <c r="B667" s="603"/>
      <c r="C667" s="603"/>
      <c r="D667" s="603"/>
      <c r="E667" s="603"/>
      <c r="F667" s="603"/>
      <c r="G667" s="603"/>
      <c r="H667" s="603"/>
      <c r="I667" s="603"/>
      <c r="J667" s="603"/>
      <c r="K667" s="449"/>
      <c r="L667" s="603"/>
      <c r="M667" s="603"/>
      <c r="N667" s="603"/>
      <c r="O667" s="603"/>
      <c r="P667" s="603"/>
      <c r="Q667" s="603"/>
      <c r="R667" s="603"/>
      <c r="S667" s="603"/>
      <c r="T667" s="603"/>
      <c r="U667" s="603"/>
      <c r="V667" s="603"/>
      <c r="W667" s="603"/>
      <c r="X667" s="603"/>
      <c r="Y667" s="603"/>
      <c r="Z667" s="603"/>
    </row>
    <row r="668" spans="1:26" ht="15.75" customHeight="1" x14ac:dyDescent="0.2">
      <c r="A668" s="603"/>
      <c r="B668" s="603"/>
      <c r="C668" s="603"/>
      <c r="D668" s="603"/>
      <c r="E668" s="603"/>
      <c r="F668" s="603"/>
      <c r="G668" s="603"/>
      <c r="H668" s="603"/>
      <c r="I668" s="603"/>
      <c r="J668" s="603"/>
      <c r="K668" s="449"/>
      <c r="L668" s="603"/>
      <c r="M668" s="603"/>
      <c r="N668" s="603"/>
      <c r="O668" s="603"/>
      <c r="P668" s="603"/>
      <c r="Q668" s="603"/>
      <c r="R668" s="603"/>
      <c r="S668" s="603"/>
      <c r="T668" s="603"/>
      <c r="U668" s="603"/>
      <c r="V668" s="603"/>
      <c r="W668" s="603"/>
      <c r="X668" s="603"/>
      <c r="Y668" s="603"/>
      <c r="Z668" s="603"/>
    </row>
    <row r="669" spans="1:26" ht="15.75" customHeight="1" x14ac:dyDescent="0.2">
      <c r="A669" s="603"/>
      <c r="B669" s="603"/>
      <c r="C669" s="603"/>
      <c r="D669" s="603"/>
      <c r="E669" s="603"/>
      <c r="F669" s="603"/>
      <c r="G669" s="603"/>
      <c r="H669" s="603"/>
      <c r="I669" s="603"/>
      <c r="J669" s="603"/>
      <c r="K669" s="449"/>
      <c r="L669" s="603"/>
      <c r="M669" s="603"/>
      <c r="N669" s="603"/>
      <c r="O669" s="603"/>
      <c r="P669" s="603"/>
      <c r="Q669" s="603"/>
      <c r="R669" s="603"/>
      <c r="S669" s="603"/>
      <c r="T669" s="603"/>
      <c r="U669" s="603"/>
      <c r="V669" s="603"/>
      <c r="W669" s="603"/>
      <c r="X669" s="603"/>
      <c r="Y669" s="603"/>
      <c r="Z669" s="603"/>
    </row>
    <row r="670" spans="1:26" ht="15.75" customHeight="1" x14ac:dyDescent="0.2">
      <c r="A670" s="603"/>
      <c r="B670" s="603"/>
      <c r="C670" s="603"/>
      <c r="D670" s="603"/>
      <c r="E670" s="603"/>
      <c r="F670" s="603"/>
      <c r="G670" s="603"/>
      <c r="H670" s="603"/>
      <c r="I670" s="603"/>
      <c r="J670" s="603"/>
      <c r="K670" s="449"/>
      <c r="L670" s="603"/>
      <c r="M670" s="603"/>
      <c r="N670" s="603"/>
      <c r="O670" s="603"/>
      <c r="P670" s="603"/>
      <c r="Q670" s="603"/>
      <c r="R670" s="603"/>
      <c r="S670" s="603"/>
      <c r="T670" s="603"/>
      <c r="U670" s="603"/>
      <c r="V670" s="603"/>
      <c r="W670" s="603"/>
      <c r="X670" s="603"/>
      <c r="Y670" s="603"/>
      <c r="Z670" s="603"/>
    </row>
    <row r="671" spans="1:26" ht="15.75" customHeight="1" x14ac:dyDescent="0.2">
      <c r="A671" s="603"/>
      <c r="B671" s="603"/>
      <c r="C671" s="603"/>
      <c r="D671" s="603"/>
      <c r="E671" s="603"/>
      <c r="F671" s="603"/>
      <c r="G671" s="603"/>
      <c r="H671" s="603"/>
      <c r="I671" s="603"/>
      <c r="J671" s="603"/>
      <c r="K671" s="449"/>
      <c r="L671" s="603"/>
      <c r="M671" s="603"/>
      <c r="N671" s="603"/>
      <c r="O671" s="603"/>
      <c r="P671" s="603"/>
      <c r="Q671" s="603"/>
      <c r="R671" s="603"/>
      <c r="S671" s="603"/>
      <c r="T671" s="603"/>
      <c r="U671" s="603"/>
      <c r="V671" s="603"/>
      <c r="W671" s="603"/>
      <c r="X671" s="603"/>
      <c r="Y671" s="603"/>
      <c r="Z671" s="603"/>
    </row>
    <row r="672" spans="1:26" ht="15.75" customHeight="1" x14ac:dyDescent="0.2">
      <c r="A672" s="603"/>
      <c r="B672" s="603"/>
      <c r="C672" s="603"/>
      <c r="D672" s="603"/>
      <c r="E672" s="603"/>
      <c r="F672" s="603"/>
      <c r="G672" s="603"/>
      <c r="H672" s="603"/>
      <c r="I672" s="603"/>
      <c r="J672" s="603"/>
      <c r="K672" s="449"/>
      <c r="L672" s="603"/>
      <c r="M672" s="603"/>
      <c r="N672" s="603"/>
      <c r="O672" s="603"/>
      <c r="P672" s="603"/>
      <c r="Q672" s="603"/>
      <c r="R672" s="603"/>
      <c r="S672" s="603"/>
      <c r="T672" s="603"/>
      <c r="U672" s="603"/>
      <c r="V672" s="603"/>
      <c r="W672" s="603"/>
      <c r="X672" s="603"/>
      <c r="Y672" s="603"/>
      <c r="Z672" s="603"/>
    </row>
    <row r="673" spans="1:26" ht="15.75" customHeight="1" x14ac:dyDescent="0.2">
      <c r="A673" s="603"/>
      <c r="B673" s="603"/>
      <c r="C673" s="603"/>
      <c r="D673" s="603"/>
      <c r="E673" s="603"/>
      <c r="F673" s="603"/>
      <c r="G673" s="603"/>
      <c r="H673" s="603"/>
      <c r="I673" s="603"/>
      <c r="J673" s="603"/>
      <c r="K673" s="449"/>
      <c r="L673" s="603"/>
      <c r="M673" s="603"/>
      <c r="N673" s="603"/>
      <c r="O673" s="603"/>
      <c r="P673" s="603"/>
      <c r="Q673" s="603"/>
      <c r="R673" s="603"/>
      <c r="S673" s="603"/>
      <c r="T673" s="603"/>
      <c r="U673" s="603"/>
      <c r="V673" s="603"/>
      <c r="W673" s="603"/>
      <c r="X673" s="603"/>
      <c r="Y673" s="603"/>
      <c r="Z673" s="603"/>
    </row>
    <row r="674" spans="1:26" ht="15.75" customHeight="1" x14ac:dyDescent="0.2">
      <c r="A674" s="603"/>
      <c r="B674" s="603"/>
      <c r="C674" s="603"/>
      <c r="D674" s="603"/>
      <c r="E674" s="603"/>
      <c r="F674" s="603"/>
      <c r="G674" s="603"/>
      <c r="H674" s="603"/>
      <c r="I674" s="603"/>
      <c r="J674" s="603"/>
      <c r="K674" s="449"/>
      <c r="L674" s="603"/>
      <c r="M674" s="603"/>
      <c r="N674" s="603"/>
      <c r="O674" s="603"/>
      <c r="P674" s="603"/>
      <c r="Q674" s="603"/>
      <c r="R674" s="603"/>
      <c r="S674" s="603"/>
      <c r="T674" s="603"/>
      <c r="U674" s="603"/>
      <c r="V674" s="603"/>
      <c r="W674" s="603"/>
      <c r="X674" s="603"/>
      <c r="Y674" s="603"/>
      <c r="Z674" s="603"/>
    </row>
    <row r="675" spans="1:26" ht="15.75" customHeight="1" x14ac:dyDescent="0.2">
      <c r="A675" s="603"/>
      <c r="B675" s="603"/>
      <c r="C675" s="603"/>
      <c r="D675" s="603"/>
      <c r="E675" s="603"/>
      <c r="F675" s="603"/>
      <c r="G675" s="603"/>
      <c r="H675" s="603"/>
      <c r="I675" s="603"/>
      <c r="J675" s="603"/>
      <c r="K675" s="449"/>
      <c r="L675" s="603"/>
      <c r="M675" s="603"/>
      <c r="N675" s="603"/>
      <c r="O675" s="603"/>
      <c r="P675" s="603"/>
      <c r="Q675" s="603"/>
      <c r="R675" s="603"/>
      <c r="S675" s="603"/>
      <c r="T675" s="603"/>
      <c r="U675" s="603"/>
      <c r="V675" s="603"/>
      <c r="W675" s="603"/>
      <c r="X675" s="603"/>
      <c r="Y675" s="603"/>
      <c r="Z675" s="603"/>
    </row>
    <row r="676" spans="1:26" ht="15.75" customHeight="1" x14ac:dyDescent="0.2">
      <c r="A676" s="603"/>
      <c r="B676" s="603"/>
      <c r="C676" s="603"/>
      <c r="D676" s="603"/>
      <c r="E676" s="603"/>
      <c r="F676" s="603"/>
      <c r="G676" s="603"/>
      <c r="H676" s="603"/>
      <c r="I676" s="603"/>
      <c r="J676" s="603"/>
      <c r="K676" s="449"/>
      <c r="L676" s="603"/>
      <c r="M676" s="603"/>
      <c r="N676" s="603"/>
      <c r="O676" s="603"/>
      <c r="P676" s="603"/>
      <c r="Q676" s="603"/>
      <c r="R676" s="603"/>
      <c r="S676" s="603"/>
      <c r="T676" s="603"/>
      <c r="U676" s="603"/>
      <c r="V676" s="603"/>
      <c r="W676" s="603"/>
      <c r="X676" s="603"/>
      <c r="Y676" s="603"/>
      <c r="Z676" s="603"/>
    </row>
    <row r="677" spans="1:26" ht="15.75" customHeight="1" x14ac:dyDescent="0.2">
      <c r="A677" s="603"/>
      <c r="B677" s="603"/>
      <c r="C677" s="603"/>
      <c r="D677" s="603"/>
      <c r="E677" s="603"/>
      <c r="F677" s="603"/>
      <c r="G677" s="603"/>
      <c r="H677" s="603"/>
      <c r="I677" s="603"/>
      <c r="J677" s="603"/>
      <c r="K677" s="449"/>
      <c r="L677" s="603"/>
      <c r="M677" s="603"/>
      <c r="N677" s="603"/>
      <c r="O677" s="603"/>
      <c r="P677" s="603"/>
      <c r="Q677" s="603"/>
      <c r="R677" s="603"/>
      <c r="S677" s="603"/>
      <c r="T677" s="603"/>
      <c r="U677" s="603"/>
      <c r="V677" s="603"/>
      <c r="W677" s="603"/>
      <c r="X677" s="603"/>
      <c r="Y677" s="603"/>
      <c r="Z677" s="603"/>
    </row>
    <row r="678" spans="1:26" ht="15.75" customHeight="1" x14ac:dyDescent="0.2">
      <c r="A678" s="603"/>
      <c r="B678" s="603"/>
      <c r="C678" s="603"/>
      <c r="D678" s="603"/>
      <c r="E678" s="603"/>
      <c r="F678" s="603"/>
      <c r="G678" s="603"/>
      <c r="H678" s="603"/>
      <c r="I678" s="603"/>
      <c r="J678" s="603"/>
      <c r="K678" s="449"/>
      <c r="L678" s="603"/>
      <c r="M678" s="603"/>
      <c r="N678" s="603"/>
      <c r="O678" s="603"/>
      <c r="P678" s="603"/>
      <c r="Q678" s="603"/>
      <c r="R678" s="603"/>
      <c r="S678" s="603"/>
      <c r="T678" s="603"/>
      <c r="U678" s="603"/>
      <c r="V678" s="603"/>
      <c r="W678" s="603"/>
      <c r="X678" s="603"/>
      <c r="Y678" s="603"/>
      <c r="Z678" s="603"/>
    </row>
    <row r="679" spans="1:26" ht="15.75" customHeight="1" x14ac:dyDescent="0.2">
      <c r="A679" s="603"/>
      <c r="B679" s="603"/>
      <c r="C679" s="603"/>
      <c r="D679" s="603"/>
      <c r="E679" s="603"/>
      <c r="F679" s="603"/>
      <c r="G679" s="603"/>
      <c r="H679" s="603"/>
      <c r="I679" s="603"/>
      <c r="J679" s="603"/>
      <c r="K679" s="449"/>
      <c r="L679" s="603"/>
      <c r="M679" s="603"/>
      <c r="N679" s="603"/>
      <c r="O679" s="603"/>
      <c r="P679" s="603"/>
      <c r="Q679" s="603"/>
      <c r="R679" s="603"/>
      <c r="S679" s="603"/>
      <c r="T679" s="603"/>
      <c r="U679" s="603"/>
      <c r="V679" s="603"/>
      <c r="W679" s="603"/>
      <c r="X679" s="603"/>
      <c r="Y679" s="603"/>
      <c r="Z679" s="603"/>
    </row>
    <row r="680" spans="1:26" ht="15.75" customHeight="1" x14ac:dyDescent="0.2">
      <c r="A680" s="603"/>
      <c r="B680" s="603"/>
      <c r="C680" s="603"/>
      <c r="D680" s="603"/>
      <c r="E680" s="603"/>
      <c r="F680" s="603"/>
      <c r="G680" s="603"/>
      <c r="H680" s="603"/>
      <c r="I680" s="603"/>
      <c r="J680" s="603"/>
      <c r="K680" s="449"/>
      <c r="L680" s="603"/>
      <c r="M680" s="603"/>
      <c r="N680" s="603"/>
      <c r="O680" s="603"/>
      <c r="P680" s="603"/>
      <c r="Q680" s="603"/>
      <c r="R680" s="603"/>
      <c r="S680" s="603"/>
      <c r="T680" s="603"/>
      <c r="U680" s="603"/>
      <c r="V680" s="603"/>
      <c r="W680" s="603"/>
      <c r="X680" s="603"/>
      <c r="Y680" s="603"/>
      <c r="Z680" s="603"/>
    </row>
    <row r="681" spans="1:26" ht="15.75" customHeight="1" x14ac:dyDescent="0.2">
      <c r="A681" s="603"/>
      <c r="B681" s="603"/>
      <c r="C681" s="603"/>
      <c r="D681" s="603"/>
      <c r="E681" s="603"/>
      <c r="F681" s="603"/>
      <c r="G681" s="603"/>
      <c r="H681" s="603"/>
      <c r="I681" s="603"/>
      <c r="J681" s="603"/>
      <c r="K681" s="449"/>
      <c r="L681" s="603"/>
      <c r="M681" s="603"/>
      <c r="N681" s="603"/>
      <c r="O681" s="603"/>
      <c r="P681" s="603"/>
      <c r="Q681" s="603"/>
      <c r="R681" s="603"/>
      <c r="S681" s="603"/>
      <c r="T681" s="603"/>
      <c r="U681" s="603"/>
      <c r="V681" s="603"/>
      <c r="W681" s="603"/>
      <c r="X681" s="603"/>
      <c r="Y681" s="603"/>
      <c r="Z681" s="603"/>
    </row>
    <row r="682" spans="1:26" ht="15.75" customHeight="1" x14ac:dyDescent="0.2">
      <c r="A682" s="603"/>
      <c r="B682" s="603"/>
      <c r="C682" s="603"/>
      <c r="D682" s="603"/>
      <c r="E682" s="603"/>
      <c r="F682" s="603"/>
      <c r="G682" s="603"/>
      <c r="H682" s="603"/>
      <c r="I682" s="603"/>
      <c r="J682" s="603"/>
      <c r="K682" s="449"/>
      <c r="L682" s="603"/>
      <c r="M682" s="603"/>
      <c r="N682" s="603"/>
      <c r="O682" s="603"/>
      <c r="P682" s="603"/>
      <c r="Q682" s="603"/>
      <c r="R682" s="603"/>
      <c r="S682" s="603"/>
      <c r="T682" s="603"/>
      <c r="U682" s="603"/>
      <c r="V682" s="603"/>
      <c r="W682" s="603"/>
      <c r="X682" s="603"/>
      <c r="Y682" s="603"/>
      <c r="Z682" s="603"/>
    </row>
    <row r="683" spans="1:26" ht="15.75" customHeight="1" x14ac:dyDescent="0.2">
      <c r="A683" s="603"/>
      <c r="B683" s="603"/>
      <c r="C683" s="603"/>
      <c r="D683" s="603"/>
      <c r="E683" s="603"/>
      <c r="F683" s="603"/>
      <c r="G683" s="603"/>
      <c r="H683" s="603"/>
      <c r="I683" s="603"/>
      <c r="J683" s="603"/>
      <c r="K683" s="449"/>
      <c r="L683" s="603"/>
      <c r="M683" s="603"/>
      <c r="N683" s="603"/>
      <c r="O683" s="603"/>
      <c r="P683" s="603"/>
      <c r="Q683" s="603"/>
      <c r="R683" s="603"/>
      <c r="S683" s="603"/>
      <c r="T683" s="603"/>
      <c r="U683" s="603"/>
      <c r="V683" s="603"/>
      <c r="W683" s="603"/>
      <c r="X683" s="603"/>
      <c r="Y683" s="603"/>
      <c r="Z683" s="603"/>
    </row>
    <row r="684" spans="1:26" ht="15.75" customHeight="1" x14ac:dyDescent="0.2">
      <c r="A684" s="603"/>
      <c r="B684" s="603"/>
      <c r="C684" s="603"/>
      <c r="D684" s="603"/>
      <c r="E684" s="603"/>
      <c r="F684" s="603"/>
      <c r="G684" s="603"/>
      <c r="H684" s="603"/>
      <c r="I684" s="603"/>
      <c r="J684" s="603"/>
      <c r="K684" s="449"/>
      <c r="L684" s="603"/>
      <c r="M684" s="603"/>
      <c r="N684" s="603"/>
      <c r="O684" s="603"/>
      <c r="P684" s="603"/>
      <c r="Q684" s="603"/>
      <c r="R684" s="603"/>
      <c r="S684" s="603"/>
      <c r="T684" s="603"/>
      <c r="U684" s="603"/>
      <c r="V684" s="603"/>
      <c r="W684" s="603"/>
      <c r="X684" s="603"/>
      <c r="Y684" s="603"/>
      <c r="Z684" s="603"/>
    </row>
    <row r="685" spans="1:26" ht="15.75" customHeight="1" x14ac:dyDescent="0.2">
      <c r="A685" s="603"/>
      <c r="B685" s="603"/>
      <c r="C685" s="603"/>
      <c r="D685" s="603"/>
      <c r="E685" s="603"/>
      <c r="F685" s="603"/>
      <c r="G685" s="603"/>
      <c r="H685" s="603"/>
      <c r="I685" s="603"/>
      <c r="J685" s="603"/>
      <c r="K685" s="449"/>
      <c r="L685" s="603"/>
      <c r="M685" s="603"/>
      <c r="N685" s="603"/>
      <c r="O685" s="603"/>
      <c r="P685" s="603"/>
      <c r="Q685" s="603"/>
      <c r="R685" s="603"/>
      <c r="S685" s="603"/>
      <c r="T685" s="603"/>
      <c r="U685" s="603"/>
      <c r="V685" s="603"/>
      <c r="W685" s="603"/>
      <c r="X685" s="603"/>
      <c r="Y685" s="603"/>
      <c r="Z685" s="603"/>
    </row>
    <row r="686" spans="1:26" ht="15.75" customHeight="1" x14ac:dyDescent="0.2">
      <c r="A686" s="603"/>
      <c r="B686" s="603"/>
      <c r="C686" s="603"/>
      <c r="D686" s="603"/>
      <c r="E686" s="603"/>
      <c r="F686" s="603"/>
      <c r="G686" s="603"/>
      <c r="H686" s="603"/>
      <c r="I686" s="603"/>
      <c r="J686" s="603"/>
      <c r="K686" s="449"/>
      <c r="L686" s="603"/>
      <c r="M686" s="603"/>
      <c r="N686" s="603"/>
      <c r="O686" s="603"/>
      <c r="P686" s="603"/>
      <c r="Q686" s="603"/>
      <c r="R686" s="603"/>
      <c r="S686" s="603"/>
      <c r="T686" s="603"/>
      <c r="U686" s="603"/>
      <c r="V686" s="603"/>
      <c r="W686" s="603"/>
      <c r="X686" s="603"/>
      <c r="Y686" s="603"/>
      <c r="Z686" s="603"/>
    </row>
    <row r="687" spans="1:26" ht="15.75" customHeight="1" x14ac:dyDescent="0.2">
      <c r="A687" s="603"/>
      <c r="B687" s="603"/>
      <c r="C687" s="603"/>
      <c r="D687" s="603"/>
      <c r="E687" s="603"/>
      <c r="F687" s="603"/>
      <c r="G687" s="603"/>
      <c r="H687" s="603"/>
      <c r="I687" s="603"/>
      <c r="J687" s="603"/>
      <c r="K687" s="449"/>
      <c r="L687" s="603"/>
      <c r="M687" s="603"/>
      <c r="N687" s="603"/>
      <c r="O687" s="603"/>
      <c r="P687" s="603"/>
      <c r="Q687" s="603"/>
      <c r="R687" s="603"/>
      <c r="S687" s="603"/>
      <c r="T687" s="603"/>
      <c r="U687" s="603"/>
      <c r="V687" s="603"/>
      <c r="W687" s="603"/>
      <c r="X687" s="603"/>
      <c r="Y687" s="603"/>
      <c r="Z687" s="603"/>
    </row>
    <row r="688" spans="1:26" ht="15.75" customHeight="1" x14ac:dyDescent="0.2">
      <c r="A688" s="603"/>
      <c r="B688" s="603"/>
      <c r="C688" s="603"/>
      <c r="D688" s="603"/>
      <c r="E688" s="603"/>
      <c r="F688" s="603"/>
      <c r="G688" s="603"/>
      <c r="H688" s="603"/>
      <c r="I688" s="603"/>
      <c r="J688" s="603"/>
      <c r="K688" s="449"/>
      <c r="L688" s="603"/>
      <c r="M688" s="603"/>
      <c r="N688" s="603"/>
      <c r="O688" s="603"/>
      <c r="P688" s="603"/>
      <c r="Q688" s="603"/>
      <c r="R688" s="603"/>
      <c r="S688" s="603"/>
      <c r="T688" s="603"/>
      <c r="U688" s="603"/>
      <c r="V688" s="603"/>
      <c r="W688" s="603"/>
      <c r="X688" s="603"/>
      <c r="Y688" s="603"/>
      <c r="Z688" s="603"/>
    </row>
    <row r="689" spans="1:26" ht="15.75" customHeight="1" x14ac:dyDescent="0.2">
      <c r="A689" s="603"/>
      <c r="B689" s="603"/>
      <c r="C689" s="603"/>
      <c r="D689" s="603"/>
      <c r="E689" s="603"/>
      <c r="F689" s="603"/>
      <c r="G689" s="603"/>
      <c r="H689" s="603"/>
      <c r="I689" s="603"/>
      <c r="J689" s="603"/>
      <c r="K689" s="449"/>
      <c r="L689" s="603"/>
      <c r="M689" s="603"/>
      <c r="N689" s="603"/>
      <c r="O689" s="603"/>
      <c r="P689" s="603"/>
      <c r="Q689" s="603"/>
      <c r="R689" s="603"/>
      <c r="S689" s="603"/>
      <c r="T689" s="603"/>
      <c r="U689" s="603"/>
      <c r="V689" s="603"/>
      <c r="W689" s="603"/>
      <c r="X689" s="603"/>
      <c r="Y689" s="603"/>
      <c r="Z689" s="603"/>
    </row>
    <row r="690" spans="1:26" ht="15.75" customHeight="1" x14ac:dyDescent="0.2">
      <c r="A690" s="603"/>
      <c r="B690" s="603"/>
      <c r="C690" s="603"/>
      <c r="D690" s="603"/>
      <c r="E690" s="603"/>
      <c r="F690" s="603"/>
      <c r="G690" s="603"/>
      <c r="H690" s="603"/>
      <c r="I690" s="603"/>
      <c r="J690" s="603"/>
      <c r="K690" s="449"/>
      <c r="L690" s="603"/>
      <c r="M690" s="603"/>
      <c r="N690" s="603"/>
      <c r="O690" s="603"/>
      <c r="P690" s="603"/>
      <c r="Q690" s="603"/>
      <c r="R690" s="603"/>
      <c r="S690" s="603"/>
      <c r="T690" s="603"/>
      <c r="U690" s="603"/>
      <c r="V690" s="603"/>
      <c r="W690" s="603"/>
      <c r="X690" s="603"/>
      <c r="Y690" s="603"/>
      <c r="Z690" s="603"/>
    </row>
    <row r="691" spans="1:26" ht="15.75" customHeight="1" x14ac:dyDescent="0.2">
      <c r="A691" s="603"/>
      <c r="B691" s="603"/>
      <c r="C691" s="603"/>
      <c r="D691" s="603"/>
      <c r="E691" s="603"/>
      <c r="F691" s="603"/>
      <c r="G691" s="603"/>
      <c r="H691" s="603"/>
      <c r="I691" s="603"/>
      <c r="J691" s="603"/>
      <c r="K691" s="449"/>
      <c r="L691" s="603"/>
      <c r="M691" s="603"/>
      <c r="N691" s="603"/>
      <c r="O691" s="603"/>
      <c r="P691" s="603"/>
      <c r="Q691" s="603"/>
      <c r="R691" s="603"/>
      <c r="S691" s="603"/>
      <c r="T691" s="603"/>
      <c r="U691" s="603"/>
      <c r="V691" s="603"/>
      <c r="W691" s="603"/>
      <c r="X691" s="603"/>
      <c r="Y691" s="603"/>
      <c r="Z691" s="603"/>
    </row>
    <row r="692" spans="1:26" ht="15.75" customHeight="1" x14ac:dyDescent="0.2">
      <c r="A692" s="603"/>
      <c r="B692" s="603"/>
      <c r="C692" s="603"/>
      <c r="D692" s="603"/>
      <c r="E692" s="603"/>
      <c r="F692" s="603"/>
      <c r="G692" s="603"/>
      <c r="H692" s="603"/>
      <c r="I692" s="603"/>
      <c r="J692" s="603"/>
      <c r="K692" s="449"/>
      <c r="L692" s="603"/>
      <c r="M692" s="603"/>
      <c r="N692" s="603"/>
      <c r="O692" s="603"/>
      <c r="P692" s="603"/>
      <c r="Q692" s="603"/>
      <c r="R692" s="603"/>
      <c r="S692" s="603"/>
      <c r="T692" s="603"/>
      <c r="U692" s="603"/>
      <c r="V692" s="603"/>
      <c r="W692" s="603"/>
      <c r="X692" s="603"/>
      <c r="Y692" s="603"/>
      <c r="Z692" s="603"/>
    </row>
    <row r="693" spans="1:26" ht="15.75" customHeight="1" x14ac:dyDescent="0.2">
      <c r="A693" s="603"/>
      <c r="B693" s="603"/>
      <c r="C693" s="603"/>
      <c r="D693" s="603"/>
      <c r="E693" s="603"/>
      <c r="F693" s="603"/>
      <c r="G693" s="603"/>
      <c r="H693" s="603"/>
      <c r="I693" s="603"/>
      <c r="J693" s="603"/>
      <c r="K693" s="449"/>
      <c r="L693" s="603"/>
      <c r="M693" s="603"/>
      <c r="N693" s="603"/>
      <c r="O693" s="603"/>
      <c r="P693" s="603"/>
      <c r="Q693" s="603"/>
      <c r="R693" s="603"/>
      <c r="S693" s="603"/>
      <c r="T693" s="603"/>
      <c r="U693" s="603"/>
      <c r="V693" s="603"/>
      <c r="W693" s="603"/>
      <c r="X693" s="603"/>
      <c r="Y693" s="603"/>
      <c r="Z693" s="603"/>
    </row>
    <row r="694" spans="1:26" ht="15.75" customHeight="1" x14ac:dyDescent="0.2">
      <c r="A694" s="603"/>
      <c r="B694" s="603"/>
      <c r="C694" s="603"/>
      <c r="D694" s="603"/>
      <c r="E694" s="603"/>
      <c r="F694" s="603"/>
      <c r="G694" s="603"/>
      <c r="H694" s="603"/>
      <c r="I694" s="603"/>
      <c r="J694" s="603"/>
      <c r="K694" s="449"/>
      <c r="L694" s="603"/>
      <c r="M694" s="603"/>
      <c r="N694" s="603"/>
      <c r="O694" s="603"/>
      <c r="P694" s="603"/>
      <c r="Q694" s="603"/>
      <c r="R694" s="603"/>
      <c r="S694" s="603"/>
      <c r="T694" s="603"/>
      <c r="U694" s="603"/>
      <c r="V694" s="603"/>
      <c r="W694" s="603"/>
      <c r="X694" s="603"/>
      <c r="Y694" s="603"/>
      <c r="Z694" s="603"/>
    </row>
    <row r="695" spans="1:26" ht="15.75" customHeight="1" x14ac:dyDescent="0.2">
      <c r="A695" s="603"/>
      <c r="B695" s="603"/>
      <c r="C695" s="603"/>
      <c r="D695" s="603"/>
      <c r="E695" s="603"/>
      <c r="F695" s="603"/>
      <c r="G695" s="603"/>
      <c r="H695" s="603"/>
      <c r="I695" s="603"/>
      <c r="J695" s="603"/>
      <c r="K695" s="449"/>
      <c r="L695" s="603"/>
      <c r="M695" s="603"/>
      <c r="N695" s="603"/>
      <c r="O695" s="603"/>
      <c r="P695" s="603"/>
      <c r="Q695" s="603"/>
      <c r="R695" s="603"/>
      <c r="S695" s="603"/>
      <c r="T695" s="603"/>
      <c r="U695" s="603"/>
      <c r="V695" s="603"/>
      <c r="W695" s="603"/>
      <c r="X695" s="603"/>
      <c r="Y695" s="603"/>
      <c r="Z695" s="603"/>
    </row>
    <row r="696" spans="1:26" ht="15.75" customHeight="1" x14ac:dyDescent="0.2">
      <c r="A696" s="603"/>
      <c r="B696" s="603"/>
      <c r="C696" s="603"/>
      <c r="D696" s="603"/>
      <c r="E696" s="603"/>
      <c r="F696" s="603"/>
      <c r="G696" s="603"/>
      <c r="H696" s="603"/>
      <c r="I696" s="603"/>
      <c r="J696" s="603"/>
      <c r="K696" s="449"/>
      <c r="L696" s="603"/>
      <c r="M696" s="603"/>
      <c r="N696" s="603"/>
      <c r="O696" s="603"/>
      <c r="P696" s="603"/>
      <c r="Q696" s="603"/>
      <c r="R696" s="603"/>
      <c r="S696" s="603"/>
      <c r="T696" s="603"/>
      <c r="U696" s="603"/>
      <c r="V696" s="603"/>
      <c r="W696" s="603"/>
      <c r="X696" s="603"/>
      <c r="Y696" s="603"/>
      <c r="Z696" s="603"/>
    </row>
    <row r="697" spans="1:26" ht="15.75" customHeight="1" x14ac:dyDescent="0.2">
      <c r="A697" s="603"/>
      <c r="B697" s="603"/>
      <c r="C697" s="603"/>
      <c r="D697" s="603"/>
      <c r="E697" s="603"/>
      <c r="F697" s="603"/>
      <c r="G697" s="603"/>
      <c r="H697" s="603"/>
      <c r="I697" s="603"/>
      <c r="J697" s="603"/>
      <c r="K697" s="449"/>
      <c r="L697" s="603"/>
      <c r="M697" s="603"/>
      <c r="N697" s="603"/>
      <c r="O697" s="603"/>
      <c r="P697" s="603"/>
      <c r="Q697" s="603"/>
      <c r="R697" s="603"/>
      <c r="S697" s="603"/>
      <c r="T697" s="603"/>
      <c r="U697" s="603"/>
      <c r="V697" s="603"/>
      <c r="W697" s="603"/>
      <c r="X697" s="603"/>
      <c r="Y697" s="603"/>
      <c r="Z697" s="603"/>
    </row>
    <row r="698" spans="1:26" ht="15.75" customHeight="1" x14ac:dyDescent="0.2">
      <c r="A698" s="603"/>
      <c r="B698" s="603"/>
      <c r="C698" s="603"/>
      <c r="D698" s="603"/>
      <c r="E698" s="603"/>
      <c r="F698" s="603"/>
      <c r="G698" s="603"/>
      <c r="H698" s="603"/>
      <c r="I698" s="603"/>
      <c r="J698" s="603"/>
      <c r="K698" s="449"/>
      <c r="L698" s="603"/>
      <c r="M698" s="603"/>
      <c r="N698" s="603"/>
      <c r="O698" s="603"/>
      <c r="P698" s="603"/>
      <c r="Q698" s="603"/>
      <c r="R698" s="603"/>
      <c r="S698" s="603"/>
      <c r="T698" s="603"/>
      <c r="U698" s="603"/>
      <c r="V698" s="603"/>
      <c r="W698" s="603"/>
      <c r="X698" s="603"/>
      <c r="Y698" s="603"/>
      <c r="Z698" s="603"/>
    </row>
    <row r="699" spans="1:26" ht="15.75" customHeight="1" x14ac:dyDescent="0.2">
      <c r="A699" s="603"/>
      <c r="B699" s="603"/>
      <c r="C699" s="603"/>
      <c r="D699" s="603"/>
      <c r="E699" s="603"/>
      <c r="F699" s="603"/>
      <c r="G699" s="603"/>
      <c r="H699" s="603"/>
      <c r="I699" s="603"/>
      <c r="J699" s="603"/>
      <c r="K699" s="449"/>
      <c r="L699" s="603"/>
      <c r="M699" s="603"/>
      <c r="N699" s="603"/>
      <c r="O699" s="603"/>
      <c r="P699" s="603"/>
      <c r="Q699" s="603"/>
      <c r="R699" s="603"/>
      <c r="S699" s="603"/>
      <c r="T699" s="603"/>
      <c r="U699" s="603"/>
      <c r="V699" s="603"/>
      <c r="W699" s="603"/>
      <c r="X699" s="603"/>
      <c r="Y699" s="603"/>
      <c r="Z699" s="603"/>
    </row>
    <row r="700" spans="1:26" ht="15.75" customHeight="1" x14ac:dyDescent="0.2">
      <c r="A700" s="603"/>
      <c r="B700" s="603"/>
      <c r="C700" s="603"/>
      <c r="D700" s="603"/>
      <c r="E700" s="603"/>
      <c r="F700" s="603"/>
      <c r="G700" s="603"/>
      <c r="H700" s="603"/>
      <c r="I700" s="603"/>
      <c r="J700" s="603"/>
      <c r="K700" s="449"/>
      <c r="L700" s="603"/>
      <c r="M700" s="603"/>
      <c r="N700" s="603"/>
      <c r="O700" s="603"/>
      <c r="P700" s="603"/>
      <c r="Q700" s="603"/>
      <c r="R700" s="603"/>
      <c r="S700" s="603"/>
      <c r="T700" s="603"/>
      <c r="U700" s="603"/>
      <c r="V700" s="603"/>
      <c r="W700" s="603"/>
      <c r="X700" s="603"/>
      <c r="Y700" s="603"/>
      <c r="Z700" s="603"/>
    </row>
    <row r="701" spans="1:26" ht="15.75" customHeight="1" x14ac:dyDescent="0.2">
      <c r="A701" s="603"/>
      <c r="B701" s="603"/>
      <c r="C701" s="603"/>
      <c r="D701" s="603"/>
      <c r="E701" s="603"/>
      <c r="F701" s="603"/>
      <c r="G701" s="603"/>
      <c r="H701" s="603"/>
      <c r="I701" s="603"/>
      <c r="J701" s="603"/>
      <c r="K701" s="449"/>
      <c r="L701" s="603"/>
      <c r="M701" s="603"/>
      <c r="N701" s="603"/>
      <c r="O701" s="603"/>
      <c r="P701" s="603"/>
      <c r="Q701" s="603"/>
      <c r="R701" s="603"/>
      <c r="S701" s="603"/>
      <c r="T701" s="603"/>
      <c r="U701" s="603"/>
      <c r="V701" s="603"/>
      <c r="W701" s="603"/>
      <c r="X701" s="603"/>
      <c r="Y701" s="603"/>
      <c r="Z701" s="603"/>
    </row>
    <row r="702" spans="1:26" ht="15.75" customHeight="1" x14ac:dyDescent="0.2">
      <c r="A702" s="603"/>
      <c r="B702" s="603"/>
      <c r="C702" s="603"/>
      <c r="D702" s="603"/>
      <c r="E702" s="603"/>
      <c r="F702" s="603"/>
      <c r="G702" s="603"/>
      <c r="H702" s="603"/>
      <c r="I702" s="603"/>
      <c r="J702" s="603"/>
      <c r="K702" s="449"/>
      <c r="L702" s="603"/>
      <c r="M702" s="603"/>
      <c r="N702" s="603"/>
      <c r="O702" s="603"/>
      <c r="P702" s="603"/>
      <c r="Q702" s="603"/>
      <c r="R702" s="603"/>
      <c r="S702" s="603"/>
      <c r="T702" s="603"/>
      <c r="U702" s="603"/>
      <c r="V702" s="603"/>
      <c r="W702" s="603"/>
      <c r="X702" s="603"/>
      <c r="Y702" s="603"/>
      <c r="Z702" s="603"/>
    </row>
    <row r="703" spans="1:26" ht="15.75" customHeight="1" x14ac:dyDescent="0.2">
      <c r="A703" s="603"/>
      <c r="B703" s="603"/>
      <c r="C703" s="603"/>
      <c r="D703" s="603"/>
      <c r="E703" s="603"/>
      <c r="F703" s="603"/>
      <c r="G703" s="603"/>
      <c r="H703" s="603"/>
      <c r="I703" s="603"/>
      <c r="J703" s="603"/>
      <c r="K703" s="449"/>
      <c r="L703" s="603"/>
      <c r="M703" s="603"/>
      <c r="N703" s="603"/>
      <c r="O703" s="603"/>
      <c r="P703" s="603"/>
      <c r="Q703" s="603"/>
      <c r="R703" s="603"/>
      <c r="S703" s="603"/>
      <c r="T703" s="603"/>
      <c r="U703" s="603"/>
      <c r="V703" s="603"/>
      <c r="W703" s="603"/>
      <c r="X703" s="603"/>
      <c r="Y703" s="603"/>
      <c r="Z703" s="603"/>
    </row>
    <row r="704" spans="1:26" ht="15.75" customHeight="1" x14ac:dyDescent="0.2">
      <c r="A704" s="603"/>
      <c r="B704" s="603"/>
      <c r="C704" s="603"/>
      <c r="D704" s="603"/>
      <c r="E704" s="603"/>
      <c r="F704" s="603"/>
      <c r="G704" s="603"/>
      <c r="H704" s="603"/>
      <c r="I704" s="603"/>
      <c r="J704" s="603"/>
      <c r="K704" s="449"/>
      <c r="L704" s="603"/>
      <c r="M704" s="603"/>
      <c r="N704" s="603"/>
      <c r="O704" s="603"/>
      <c r="P704" s="603"/>
      <c r="Q704" s="603"/>
      <c r="R704" s="603"/>
      <c r="S704" s="603"/>
      <c r="T704" s="603"/>
      <c r="U704" s="603"/>
      <c r="V704" s="603"/>
      <c r="W704" s="603"/>
      <c r="X704" s="603"/>
      <c r="Y704" s="603"/>
      <c r="Z704" s="603"/>
    </row>
    <row r="705" spans="1:26" ht="15.75" customHeight="1" x14ac:dyDescent="0.2">
      <c r="A705" s="603"/>
      <c r="B705" s="603"/>
      <c r="C705" s="603"/>
      <c r="D705" s="603"/>
      <c r="E705" s="603"/>
      <c r="F705" s="603"/>
      <c r="G705" s="603"/>
      <c r="H705" s="603"/>
      <c r="I705" s="603"/>
      <c r="J705" s="603"/>
      <c r="K705" s="449"/>
      <c r="L705" s="603"/>
      <c r="M705" s="603"/>
      <c r="N705" s="603"/>
      <c r="O705" s="603"/>
      <c r="P705" s="603"/>
      <c r="Q705" s="603"/>
      <c r="R705" s="603"/>
      <c r="S705" s="603"/>
      <c r="T705" s="603"/>
      <c r="U705" s="603"/>
      <c r="V705" s="603"/>
      <c r="W705" s="603"/>
      <c r="X705" s="603"/>
      <c r="Y705" s="603"/>
      <c r="Z705" s="603"/>
    </row>
    <row r="706" spans="1:26" ht="15.75" customHeight="1" x14ac:dyDescent="0.2">
      <c r="A706" s="603"/>
      <c r="B706" s="603"/>
      <c r="C706" s="603"/>
      <c r="D706" s="603"/>
      <c r="E706" s="603"/>
      <c r="F706" s="603"/>
      <c r="G706" s="603"/>
      <c r="H706" s="603"/>
      <c r="I706" s="603"/>
      <c r="J706" s="603"/>
      <c r="K706" s="449"/>
      <c r="L706" s="603"/>
      <c r="M706" s="603"/>
      <c r="N706" s="603"/>
      <c r="O706" s="603"/>
      <c r="P706" s="603"/>
      <c r="Q706" s="603"/>
      <c r="R706" s="603"/>
      <c r="S706" s="603"/>
      <c r="T706" s="603"/>
      <c r="U706" s="603"/>
      <c r="V706" s="603"/>
      <c r="W706" s="603"/>
      <c r="X706" s="603"/>
      <c r="Y706" s="603"/>
      <c r="Z706" s="603"/>
    </row>
    <row r="707" spans="1:26" ht="15.75" customHeight="1" x14ac:dyDescent="0.2">
      <c r="A707" s="603"/>
      <c r="B707" s="603"/>
      <c r="C707" s="603"/>
      <c r="D707" s="603"/>
      <c r="E707" s="603"/>
      <c r="F707" s="603"/>
      <c r="G707" s="603"/>
      <c r="H707" s="603"/>
      <c r="I707" s="603"/>
      <c r="J707" s="603"/>
      <c r="K707" s="449"/>
      <c r="L707" s="603"/>
      <c r="M707" s="603"/>
      <c r="N707" s="603"/>
      <c r="O707" s="603"/>
      <c r="P707" s="603"/>
      <c r="Q707" s="603"/>
      <c r="R707" s="603"/>
      <c r="S707" s="603"/>
      <c r="T707" s="603"/>
      <c r="U707" s="603"/>
      <c r="V707" s="603"/>
      <c r="W707" s="603"/>
      <c r="X707" s="603"/>
      <c r="Y707" s="603"/>
      <c r="Z707" s="603"/>
    </row>
    <row r="708" spans="1:26" ht="15.75" customHeight="1" x14ac:dyDescent="0.2">
      <c r="A708" s="603"/>
      <c r="B708" s="603"/>
      <c r="C708" s="603"/>
      <c r="D708" s="603"/>
      <c r="E708" s="603"/>
      <c r="F708" s="603"/>
      <c r="G708" s="603"/>
      <c r="H708" s="603"/>
      <c r="I708" s="603"/>
      <c r="J708" s="603"/>
      <c r="K708" s="449"/>
      <c r="L708" s="603"/>
      <c r="M708" s="603"/>
      <c r="N708" s="603"/>
      <c r="O708" s="603"/>
      <c r="P708" s="603"/>
      <c r="Q708" s="603"/>
      <c r="R708" s="603"/>
      <c r="S708" s="603"/>
      <c r="T708" s="603"/>
      <c r="U708" s="603"/>
      <c r="V708" s="603"/>
      <c r="W708" s="603"/>
      <c r="X708" s="603"/>
      <c r="Y708" s="603"/>
      <c r="Z708" s="603"/>
    </row>
    <row r="709" spans="1:26" ht="15.75" customHeight="1" x14ac:dyDescent="0.2">
      <c r="A709" s="603"/>
      <c r="B709" s="603"/>
      <c r="C709" s="603"/>
      <c r="D709" s="603"/>
      <c r="E709" s="603"/>
      <c r="F709" s="603"/>
      <c r="G709" s="603"/>
      <c r="H709" s="603"/>
      <c r="I709" s="603"/>
      <c r="J709" s="603"/>
      <c r="K709" s="449"/>
      <c r="L709" s="603"/>
      <c r="M709" s="603"/>
      <c r="N709" s="603"/>
      <c r="O709" s="603"/>
      <c r="P709" s="603"/>
      <c r="Q709" s="603"/>
      <c r="R709" s="603"/>
      <c r="S709" s="603"/>
      <c r="T709" s="603"/>
      <c r="U709" s="603"/>
      <c r="V709" s="603"/>
      <c r="W709" s="603"/>
      <c r="X709" s="603"/>
      <c r="Y709" s="603"/>
      <c r="Z709" s="603"/>
    </row>
    <row r="710" spans="1:26" ht="15.75" customHeight="1" x14ac:dyDescent="0.2">
      <c r="A710" s="603"/>
      <c r="B710" s="603"/>
      <c r="C710" s="603"/>
      <c r="D710" s="603"/>
      <c r="E710" s="603"/>
      <c r="F710" s="603"/>
      <c r="G710" s="603"/>
      <c r="H710" s="603"/>
      <c r="I710" s="603"/>
      <c r="J710" s="603"/>
      <c r="K710" s="449"/>
      <c r="L710" s="603"/>
      <c r="M710" s="603"/>
      <c r="N710" s="603"/>
      <c r="O710" s="603"/>
      <c r="P710" s="603"/>
      <c r="Q710" s="603"/>
      <c r="R710" s="603"/>
      <c r="S710" s="603"/>
      <c r="T710" s="603"/>
      <c r="U710" s="603"/>
      <c r="V710" s="603"/>
      <c r="W710" s="603"/>
      <c r="X710" s="603"/>
      <c r="Y710" s="603"/>
      <c r="Z710" s="603"/>
    </row>
    <row r="711" spans="1:26" ht="15.75" customHeight="1" x14ac:dyDescent="0.2">
      <c r="A711" s="603"/>
      <c r="B711" s="603"/>
      <c r="C711" s="603"/>
      <c r="D711" s="603"/>
      <c r="E711" s="603"/>
      <c r="F711" s="603"/>
      <c r="G711" s="603"/>
      <c r="H711" s="603"/>
      <c r="I711" s="603"/>
      <c r="J711" s="603"/>
      <c r="K711" s="449"/>
      <c r="L711" s="603"/>
      <c r="M711" s="603"/>
      <c r="N711" s="603"/>
      <c r="O711" s="603"/>
      <c r="P711" s="603"/>
      <c r="Q711" s="603"/>
      <c r="R711" s="603"/>
      <c r="S711" s="603"/>
      <c r="T711" s="603"/>
      <c r="U711" s="603"/>
      <c r="V711" s="603"/>
      <c r="W711" s="603"/>
      <c r="X711" s="603"/>
      <c r="Y711" s="603"/>
      <c r="Z711" s="603"/>
    </row>
    <row r="712" spans="1:26" ht="15.75" customHeight="1" x14ac:dyDescent="0.2">
      <c r="A712" s="603"/>
      <c r="B712" s="603"/>
      <c r="C712" s="603"/>
      <c r="D712" s="603"/>
      <c r="E712" s="603"/>
      <c r="F712" s="603"/>
      <c r="G712" s="603"/>
      <c r="H712" s="603"/>
      <c r="I712" s="603"/>
      <c r="J712" s="603"/>
      <c r="K712" s="449"/>
      <c r="L712" s="603"/>
      <c r="M712" s="603"/>
      <c r="N712" s="603"/>
      <c r="O712" s="603"/>
      <c r="P712" s="603"/>
      <c r="Q712" s="603"/>
      <c r="R712" s="603"/>
      <c r="S712" s="603"/>
      <c r="T712" s="603"/>
      <c r="U712" s="603"/>
      <c r="V712" s="603"/>
      <c r="W712" s="603"/>
      <c r="X712" s="603"/>
      <c r="Y712" s="603"/>
      <c r="Z712" s="603"/>
    </row>
    <row r="713" spans="1:26" ht="15.75" customHeight="1" x14ac:dyDescent="0.2">
      <c r="A713" s="603"/>
      <c r="B713" s="603"/>
      <c r="C713" s="603"/>
      <c r="D713" s="603"/>
      <c r="E713" s="603"/>
      <c r="F713" s="603"/>
      <c r="G713" s="603"/>
      <c r="H713" s="603"/>
      <c r="I713" s="603"/>
      <c r="J713" s="603"/>
      <c r="K713" s="449"/>
      <c r="L713" s="603"/>
      <c r="M713" s="603"/>
      <c r="N713" s="603"/>
      <c r="O713" s="603"/>
      <c r="P713" s="603"/>
      <c r="Q713" s="603"/>
      <c r="R713" s="603"/>
      <c r="S713" s="603"/>
      <c r="T713" s="603"/>
      <c r="U713" s="603"/>
      <c r="V713" s="603"/>
      <c r="W713" s="603"/>
      <c r="X713" s="603"/>
      <c r="Y713" s="603"/>
      <c r="Z713" s="603"/>
    </row>
    <row r="714" spans="1:26" ht="15.75" customHeight="1" x14ac:dyDescent="0.2">
      <c r="A714" s="603"/>
      <c r="B714" s="603"/>
      <c r="C714" s="603"/>
      <c r="D714" s="603"/>
      <c r="E714" s="603"/>
      <c r="F714" s="603"/>
      <c r="G714" s="603"/>
      <c r="H714" s="603"/>
      <c r="I714" s="603"/>
      <c r="J714" s="603"/>
      <c r="K714" s="449"/>
      <c r="L714" s="603"/>
      <c r="M714" s="603"/>
      <c r="N714" s="603"/>
      <c r="O714" s="603"/>
      <c r="P714" s="603"/>
      <c r="Q714" s="603"/>
      <c r="R714" s="603"/>
      <c r="S714" s="603"/>
      <c r="T714" s="603"/>
      <c r="U714" s="603"/>
      <c r="V714" s="603"/>
      <c r="W714" s="603"/>
      <c r="X714" s="603"/>
      <c r="Y714" s="603"/>
      <c r="Z714" s="603"/>
    </row>
    <row r="715" spans="1:26" ht="15.75" customHeight="1" x14ac:dyDescent="0.2">
      <c r="A715" s="603"/>
      <c r="B715" s="603"/>
      <c r="C715" s="603"/>
      <c r="D715" s="603"/>
      <c r="E715" s="603"/>
      <c r="F715" s="603"/>
      <c r="G715" s="603"/>
      <c r="H715" s="603"/>
      <c r="I715" s="603"/>
      <c r="J715" s="603"/>
      <c r="K715" s="449"/>
      <c r="L715" s="603"/>
      <c r="M715" s="603"/>
      <c r="N715" s="603"/>
      <c r="O715" s="603"/>
      <c r="P715" s="603"/>
      <c r="Q715" s="603"/>
      <c r="R715" s="603"/>
      <c r="S715" s="603"/>
      <c r="T715" s="603"/>
      <c r="U715" s="603"/>
      <c r="V715" s="603"/>
      <c r="W715" s="603"/>
      <c r="X715" s="603"/>
      <c r="Y715" s="603"/>
      <c r="Z715" s="603"/>
    </row>
    <row r="716" spans="1:26" ht="15.75" customHeight="1" x14ac:dyDescent="0.2">
      <c r="A716" s="603"/>
      <c r="B716" s="603"/>
      <c r="C716" s="603"/>
      <c r="D716" s="603"/>
      <c r="E716" s="603"/>
      <c r="F716" s="603"/>
      <c r="G716" s="603"/>
      <c r="H716" s="603"/>
      <c r="I716" s="603"/>
      <c r="J716" s="603"/>
      <c r="K716" s="449"/>
      <c r="L716" s="603"/>
      <c r="M716" s="603"/>
      <c r="N716" s="603"/>
      <c r="O716" s="603"/>
      <c r="P716" s="603"/>
      <c r="Q716" s="603"/>
      <c r="R716" s="603"/>
      <c r="S716" s="603"/>
      <c r="T716" s="603"/>
      <c r="U716" s="603"/>
      <c r="V716" s="603"/>
      <c r="W716" s="603"/>
      <c r="X716" s="603"/>
      <c r="Y716" s="603"/>
      <c r="Z716" s="603"/>
    </row>
    <row r="717" spans="1:26" ht="15.75" customHeight="1" x14ac:dyDescent="0.2">
      <c r="A717" s="603"/>
      <c r="B717" s="603"/>
      <c r="C717" s="603"/>
      <c r="D717" s="603"/>
      <c r="E717" s="603"/>
      <c r="F717" s="603"/>
      <c r="G717" s="603"/>
      <c r="H717" s="603"/>
      <c r="I717" s="603"/>
      <c r="J717" s="603"/>
      <c r="K717" s="449"/>
      <c r="L717" s="603"/>
      <c r="M717" s="603"/>
      <c r="N717" s="603"/>
      <c r="O717" s="603"/>
      <c r="P717" s="603"/>
      <c r="Q717" s="603"/>
      <c r="R717" s="603"/>
      <c r="S717" s="603"/>
      <c r="T717" s="603"/>
      <c r="U717" s="603"/>
      <c r="V717" s="603"/>
      <c r="W717" s="603"/>
      <c r="X717" s="603"/>
      <c r="Y717" s="603"/>
      <c r="Z717" s="603"/>
    </row>
    <row r="718" spans="1:26" ht="15.75" customHeight="1" x14ac:dyDescent="0.2">
      <c r="A718" s="603"/>
      <c r="B718" s="603"/>
      <c r="C718" s="603"/>
      <c r="D718" s="603"/>
      <c r="E718" s="603"/>
      <c r="F718" s="603"/>
      <c r="G718" s="603"/>
      <c r="H718" s="603"/>
      <c r="I718" s="603"/>
      <c r="J718" s="603"/>
      <c r="K718" s="449"/>
      <c r="L718" s="603"/>
      <c r="M718" s="603"/>
      <c r="N718" s="603"/>
      <c r="O718" s="603"/>
      <c r="P718" s="603"/>
      <c r="Q718" s="603"/>
      <c r="R718" s="603"/>
      <c r="S718" s="603"/>
      <c r="T718" s="603"/>
      <c r="U718" s="603"/>
      <c r="V718" s="603"/>
      <c r="W718" s="603"/>
      <c r="X718" s="603"/>
      <c r="Y718" s="603"/>
      <c r="Z718" s="603"/>
    </row>
    <row r="719" spans="1:26" ht="15.75" customHeight="1" x14ac:dyDescent="0.2">
      <c r="A719" s="603"/>
      <c r="B719" s="603"/>
      <c r="C719" s="603"/>
      <c r="D719" s="603"/>
      <c r="E719" s="603"/>
      <c r="F719" s="603"/>
      <c r="G719" s="603"/>
      <c r="H719" s="603"/>
      <c r="I719" s="603"/>
      <c r="J719" s="603"/>
      <c r="K719" s="449"/>
      <c r="L719" s="603"/>
      <c r="M719" s="603"/>
      <c r="N719" s="603"/>
      <c r="O719" s="603"/>
      <c r="P719" s="603"/>
      <c r="Q719" s="603"/>
      <c r="R719" s="603"/>
      <c r="S719" s="603"/>
      <c r="T719" s="603"/>
      <c r="U719" s="603"/>
      <c r="V719" s="603"/>
      <c r="W719" s="603"/>
      <c r="X719" s="603"/>
      <c r="Y719" s="603"/>
      <c r="Z719" s="603"/>
    </row>
    <row r="720" spans="1:26" ht="15.75" customHeight="1" x14ac:dyDescent="0.2">
      <c r="A720" s="603"/>
      <c r="B720" s="603"/>
      <c r="C720" s="603"/>
      <c r="D720" s="603"/>
      <c r="E720" s="603"/>
      <c r="F720" s="603"/>
      <c r="G720" s="603"/>
      <c r="H720" s="603"/>
      <c r="I720" s="603"/>
      <c r="J720" s="603"/>
      <c r="K720" s="449"/>
      <c r="L720" s="603"/>
      <c r="M720" s="603"/>
      <c r="N720" s="603"/>
      <c r="O720" s="603"/>
      <c r="P720" s="603"/>
      <c r="Q720" s="603"/>
      <c r="R720" s="603"/>
      <c r="S720" s="603"/>
      <c r="T720" s="603"/>
      <c r="U720" s="603"/>
      <c r="V720" s="603"/>
      <c r="W720" s="603"/>
      <c r="X720" s="603"/>
      <c r="Y720" s="603"/>
      <c r="Z720" s="603"/>
    </row>
    <row r="721" spans="1:26" ht="15.75" customHeight="1" x14ac:dyDescent="0.2">
      <c r="A721" s="603"/>
      <c r="B721" s="603"/>
      <c r="C721" s="603"/>
      <c r="D721" s="603"/>
      <c r="E721" s="603"/>
      <c r="F721" s="603"/>
      <c r="G721" s="603"/>
      <c r="H721" s="603"/>
      <c r="I721" s="603"/>
      <c r="J721" s="603"/>
      <c r="K721" s="449"/>
      <c r="L721" s="603"/>
      <c r="M721" s="603"/>
      <c r="N721" s="603"/>
      <c r="O721" s="603"/>
      <c r="P721" s="603"/>
      <c r="Q721" s="603"/>
      <c r="R721" s="603"/>
      <c r="S721" s="603"/>
      <c r="T721" s="603"/>
      <c r="U721" s="603"/>
      <c r="V721" s="603"/>
      <c r="W721" s="603"/>
      <c r="X721" s="603"/>
      <c r="Y721" s="603"/>
      <c r="Z721" s="603"/>
    </row>
    <row r="722" spans="1:26" ht="15.75" customHeight="1" x14ac:dyDescent="0.2">
      <c r="A722" s="603"/>
      <c r="B722" s="603"/>
      <c r="C722" s="603"/>
      <c r="D722" s="603"/>
      <c r="E722" s="603"/>
      <c r="F722" s="603"/>
      <c r="G722" s="603"/>
      <c r="H722" s="603"/>
      <c r="I722" s="603"/>
      <c r="J722" s="603"/>
      <c r="K722" s="449"/>
      <c r="L722" s="603"/>
      <c r="M722" s="603"/>
      <c r="N722" s="603"/>
      <c r="O722" s="603"/>
      <c r="P722" s="603"/>
      <c r="Q722" s="603"/>
      <c r="R722" s="603"/>
      <c r="S722" s="603"/>
      <c r="T722" s="603"/>
      <c r="U722" s="603"/>
      <c r="V722" s="603"/>
      <c r="W722" s="603"/>
      <c r="X722" s="603"/>
      <c r="Y722" s="603"/>
      <c r="Z722" s="603"/>
    </row>
    <row r="723" spans="1:26" ht="15.75" customHeight="1" x14ac:dyDescent="0.2">
      <c r="A723" s="603"/>
      <c r="B723" s="603"/>
      <c r="C723" s="603"/>
      <c r="D723" s="603"/>
      <c r="E723" s="603"/>
      <c r="F723" s="603"/>
      <c r="G723" s="603"/>
      <c r="H723" s="603"/>
      <c r="I723" s="603"/>
      <c r="J723" s="603"/>
      <c r="K723" s="449"/>
      <c r="L723" s="603"/>
      <c r="M723" s="603"/>
      <c r="N723" s="603"/>
      <c r="O723" s="603"/>
      <c r="P723" s="603"/>
      <c r="Q723" s="603"/>
      <c r="R723" s="603"/>
      <c r="S723" s="603"/>
      <c r="T723" s="603"/>
      <c r="U723" s="603"/>
      <c r="V723" s="603"/>
      <c r="W723" s="603"/>
      <c r="X723" s="603"/>
      <c r="Y723" s="603"/>
      <c r="Z723" s="603"/>
    </row>
    <row r="724" spans="1:26" ht="15.75" customHeight="1" x14ac:dyDescent="0.2">
      <c r="A724" s="603"/>
      <c r="B724" s="603"/>
      <c r="C724" s="603"/>
      <c r="D724" s="603"/>
      <c r="E724" s="603"/>
      <c r="F724" s="603"/>
      <c r="G724" s="603"/>
      <c r="H724" s="603"/>
      <c r="I724" s="603"/>
      <c r="J724" s="603"/>
      <c r="K724" s="449"/>
      <c r="L724" s="603"/>
      <c r="M724" s="603"/>
      <c r="N724" s="603"/>
      <c r="O724" s="603"/>
      <c r="P724" s="603"/>
      <c r="Q724" s="603"/>
      <c r="R724" s="603"/>
      <c r="S724" s="603"/>
      <c r="T724" s="603"/>
      <c r="U724" s="603"/>
      <c r="V724" s="603"/>
      <c r="W724" s="603"/>
      <c r="X724" s="603"/>
      <c r="Y724" s="603"/>
      <c r="Z724" s="603"/>
    </row>
    <row r="725" spans="1:26" ht="15.75" customHeight="1" x14ac:dyDescent="0.2">
      <c r="A725" s="603"/>
      <c r="B725" s="603"/>
      <c r="C725" s="603"/>
      <c r="D725" s="603"/>
      <c r="E725" s="603"/>
      <c r="F725" s="603"/>
      <c r="G725" s="603"/>
      <c r="H725" s="603"/>
      <c r="I725" s="603"/>
      <c r="J725" s="603"/>
      <c r="K725" s="449"/>
      <c r="L725" s="603"/>
      <c r="M725" s="603"/>
      <c r="N725" s="603"/>
      <c r="O725" s="603"/>
      <c r="P725" s="603"/>
      <c r="Q725" s="603"/>
      <c r="R725" s="603"/>
      <c r="S725" s="603"/>
      <c r="T725" s="603"/>
      <c r="U725" s="603"/>
      <c r="V725" s="603"/>
      <c r="W725" s="603"/>
      <c r="X725" s="603"/>
      <c r="Y725" s="603"/>
      <c r="Z725" s="603"/>
    </row>
    <row r="726" spans="1:26" ht="15.75" customHeight="1" x14ac:dyDescent="0.2">
      <c r="A726" s="603"/>
      <c r="B726" s="603"/>
      <c r="C726" s="603"/>
      <c r="D726" s="603"/>
      <c r="E726" s="603"/>
      <c r="F726" s="603"/>
      <c r="G726" s="603"/>
      <c r="H726" s="603"/>
      <c r="I726" s="603"/>
      <c r="J726" s="603"/>
      <c r="K726" s="449"/>
      <c r="L726" s="603"/>
      <c r="M726" s="603"/>
      <c r="N726" s="603"/>
      <c r="O726" s="603"/>
      <c r="P726" s="603"/>
      <c r="Q726" s="603"/>
      <c r="R726" s="603"/>
      <c r="S726" s="603"/>
      <c r="T726" s="603"/>
      <c r="U726" s="603"/>
      <c r="V726" s="603"/>
      <c r="W726" s="603"/>
      <c r="X726" s="603"/>
      <c r="Y726" s="603"/>
      <c r="Z726" s="603"/>
    </row>
    <row r="727" spans="1:26" ht="15.75" customHeight="1" x14ac:dyDescent="0.2">
      <c r="A727" s="603"/>
      <c r="B727" s="603"/>
      <c r="C727" s="603"/>
      <c r="D727" s="603"/>
      <c r="E727" s="603"/>
      <c r="F727" s="603"/>
      <c r="G727" s="603"/>
      <c r="H727" s="603"/>
      <c r="I727" s="603"/>
      <c r="J727" s="603"/>
      <c r="K727" s="449"/>
      <c r="L727" s="603"/>
      <c r="M727" s="603"/>
      <c r="N727" s="603"/>
      <c r="O727" s="603"/>
      <c r="P727" s="603"/>
      <c r="Q727" s="603"/>
      <c r="R727" s="603"/>
      <c r="S727" s="603"/>
      <c r="T727" s="603"/>
      <c r="U727" s="603"/>
      <c r="V727" s="603"/>
      <c r="W727" s="603"/>
      <c r="X727" s="603"/>
      <c r="Y727" s="603"/>
      <c r="Z727" s="603"/>
    </row>
    <row r="728" spans="1:26" ht="15.75" customHeight="1" x14ac:dyDescent="0.2">
      <c r="A728" s="603"/>
      <c r="B728" s="603"/>
      <c r="C728" s="603"/>
      <c r="D728" s="603"/>
      <c r="E728" s="603"/>
      <c r="F728" s="603"/>
      <c r="G728" s="603"/>
      <c r="H728" s="603"/>
      <c r="I728" s="603"/>
      <c r="J728" s="603"/>
      <c r="K728" s="449"/>
      <c r="L728" s="603"/>
      <c r="M728" s="603"/>
      <c r="N728" s="603"/>
      <c r="O728" s="603"/>
      <c r="P728" s="603"/>
      <c r="Q728" s="603"/>
      <c r="R728" s="603"/>
      <c r="S728" s="603"/>
      <c r="T728" s="603"/>
      <c r="U728" s="603"/>
      <c r="V728" s="603"/>
      <c r="W728" s="603"/>
      <c r="X728" s="603"/>
      <c r="Y728" s="603"/>
      <c r="Z728" s="603"/>
    </row>
    <row r="729" spans="1:26" ht="15.75" customHeight="1" x14ac:dyDescent="0.2">
      <c r="A729" s="603"/>
      <c r="B729" s="603"/>
      <c r="C729" s="603"/>
      <c r="D729" s="603"/>
      <c r="E729" s="603"/>
      <c r="F729" s="603"/>
      <c r="G729" s="603"/>
      <c r="H729" s="603"/>
      <c r="I729" s="603"/>
      <c r="J729" s="603"/>
      <c r="K729" s="449"/>
      <c r="L729" s="603"/>
      <c r="M729" s="603"/>
      <c r="N729" s="603"/>
      <c r="O729" s="603"/>
      <c r="P729" s="603"/>
      <c r="Q729" s="603"/>
      <c r="R729" s="603"/>
      <c r="S729" s="603"/>
      <c r="T729" s="603"/>
      <c r="U729" s="603"/>
      <c r="V729" s="603"/>
      <c r="W729" s="603"/>
      <c r="X729" s="603"/>
      <c r="Y729" s="603"/>
      <c r="Z729" s="603"/>
    </row>
    <row r="730" spans="1:26" ht="15.75" customHeight="1" x14ac:dyDescent="0.2">
      <c r="A730" s="603"/>
      <c r="B730" s="603"/>
      <c r="C730" s="603"/>
      <c r="D730" s="603"/>
      <c r="E730" s="603"/>
      <c r="F730" s="603"/>
      <c r="G730" s="603"/>
      <c r="H730" s="603"/>
      <c r="I730" s="603"/>
      <c r="J730" s="603"/>
      <c r="K730" s="449"/>
      <c r="L730" s="603"/>
      <c r="M730" s="603"/>
      <c r="N730" s="603"/>
      <c r="O730" s="603"/>
      <c r="P730" s="603"/>
      <c r="Q730" s="603"/>
      <c r="R730" s="603"/>
      <c r="S730" s="603"/>
      <c r="T730" s="603"/>
      <c r="U730" s="603"/>
      <c r="V730" s="603"/>
      <c r="W730" s="603"/>
      <c r="X730" s="603"/>
      <c r="Y730" s="603"/>
      <c r="Z730" s="603"/>
    </row>
    <row r="731" spans="1:26" ht="15.75" customHeight="1" x14ac:dyDescent="0.2">
      <c r="A731" s="603"/>
      <c r="B731" s="603"/>
      <c r="C731" s="603"/>
      <c r="D731" s="603"/>
      <c r="E731" s="603"/>
      <c r="F731" s="603"/>
      <c r="G731" s="603"/>
      <c r="H731" s="603"/>
      <c r="I731" s="603"/>
      <c r="J731" s="603"/>
      <c r="K731" s="449"/>
      <c r="L731" s="603"/>
      <c r="M731" s="603"/>
      <c r="N731" s="603"/>
      <c r="O731" s="603"/>
      <c r="P731" s="603"/>
      <c r="Q731" s="603"/>
      <c r="R731" s="603"/>
      <c r="S731" s="603"/>
      <c r="T731" s="603"/>
      <c r="U731" s="603"/>
      <c r="V731" s="603"/>
      <c r="W731" s="603"/>
      <c r="X731" s="603"/>
      <c r="Y731" s="603"/>
      <c r="Z731" s="603"/>
    </row>
    <row r="732" spans="1:26" ht="15.75" customHeight="1" x14ac:dyDescent="0.2">
      <c r="A732" s="603"/>
      <c r="B732" s="603"/>
      <c r="C732" s="603"/>
      <c r="D732" s="603"/>
      <c r="E732" s="603"/>
      <c r="F732" s="603"/>
      <c r="G732" s="603"/>
      <c r="H732" s="603"/>
      <c r="I732" s="603"/>
      <c r="J732" s="603"/>
      <c r="K732" s="449"/>
      <c r="L732" s="603"/>
      <c r="M732" s="603"/>
      <c r="N732" s="603"/>
      <c r="O732" s="603"/>
      <c r="P732" s="603"/>
      <c r="Q732" s="603"/>
      <c r="R732" s="603"/>
      <c r="S732" s="603"/>
      <c r="T732" s="603"/>
      <c r="U732" s="603"/>
      <c r="V732" s="603"/>
      <c r="W732" s="603"/>
      <c r="X732" s="603"/>
      <c r="Y732" s="603"/>
      <c r="Z732" s="603"/>
    </row>
    <row r="733" spans="1:26" ht="15.75" customHeight="1" x14ac:dyDescent="0.2">
      <c r="A733" s="603"/>
      <c r="B733" s="603"/>
      <c r="C733" s="603"/>
      <c r="D733" s="603"/>
      <c r="E733" s="603"/>
      <c r="F733" s="603"/>
      <c r="G733" s="603"/>
      <c r="H733" s="603"/>
      <c r="I733" s="603"/>
      <c r="J733" s="603"/>
      <c r="K733" s="449"/>
      <c r="L733" s="603"/>
      <c r="M733" s="603"/>
      <c r="N733" s="603"/>
      <c r="O733" s="603"/>
      <c r="P733" s="603"/>
      <c r="Q733" s="603"/>
      <c r="R733" s="603"/>
      <c r="S733" s="603"/>
      <c r="T733" s="603"/>
      <c r="U733" s="603"/>
      <c r="V733" s="603"/>
      <c r="W733" s="603"/>
      <c r="X733" s="603"/>
      <c r="Y733" s="603"/>
      <c r="Z733" s="603"/>
    </row>
    <row r="734" spans="1:26" ht="15.75" customHeight="1" x14ac:dyDescent="0.2">
      <c r="A734" s="603"/>
      <c r="B734" s="603"/>
      <c r="C734" s="603"/>
      <c r="D734" s="603"/>
      <c r="E734" s="603"/>
      <c r="F734" s="603"/>
      <c r="G734" s="603"/>
      <c r="H734" s="603"/>
      <c r="I734" s="603"/>
      <c r="J734" s="603"/>
      <c r="K734" s="449"/>
      <c r="L734" s="603"/>
      <c r="M734" s="603"/>
      <c r="N734" s="603"/>
      <c r="O734" s="603"/>
      <c r="P734" s="603"/>
      <c r="Q734" s="603"/>
      <c r="R734" s="603"/>
      <c r="S734" s="603"/>
      <c r="T734" s="603"/>
      <c r="U734" s="603"/>
      <c r="V734" s="603"/>
      <c r="W734" s="603"/>
      <c r="X734" s="603"/>
      <c r="Y734" s="603"/>
      <c r="Z734" s="603"/>
    </row>
    <row r="735" spans="1:26" ht="15.75" customHeight="1" x14ac:dyDescent="0.2">
      <c r="A735" s="603"/>
      <c r="B735" s="603"/>
      <c r="C735" s="603"/>
      <c r="D735" s="603"/>
      <c r="E735" s="603"/>
      <c r="F735" s="603"/>
      <c r="G735" s="603"/>
      <c r="H735" s="603"/>
      <c r="I735" s="603"/>
      <c r="J735" s="603"/>
      <c r="K735" s="449"/>
      <c r="L735" s="603"/>
      <c r="M735" s="603"/>
      <c r="N735" s="603"/>
      <c r="O735" s="603"/>
      <c r="P735" s="603"/>
      <c r="Q735" s="603"/>
      <c r="R735" s="603"/>
      <c r="S735" s="603"/>
      <c r="T735" s="603"/>
      <c r="U735" s="603"/>
      <c r="V735" s="603"/>
      <c r="W735" s="603"/>
      <c r="X735" s="603"/>
      <c r="Y735" s="603"/>
      <c r="Z735" s="603"/>
    </row>
    <row r="736" spans="1:26" ht="15.75" customHeight="1" x14ac:dyDescent="0.2">
      <c r="A736" s="603"/>
      <c r="B736" s="603"/>
      <c r="C736" s="603"/>
      <c r="D736" s="603"/>
      <c r="E736" s="603"/>
      <c r="F736" s="603"/>
      <c r="G736" s="603"/>
      <c r="H736" s="603"/>
      <c r="I736" s="603"/>
      <c r="J736" s="603"/>
      <c r="K736" s="449"/>
      <c r="L736" s="603"/>
      <c r="M736" s="603"/>
      <c r="N736" s="603"/>
      <c r="O736" s="603"/>
      <c r="P736" s="603"/>
      <c r="Q736" s="603"/>
      <c r="R736" s="603"/>
      <c r="S736" s="603"/>
      <c r="T736" s="603"/>
      <c r="U736" s="603"/>
      <c r="V736" s="603"/>
      <c r="W736" s="603"/>
      <c r="X736" s="603"/>
      <c r="Y736" s="603"/>
      <c r="Z736" s="603"/>
    </row>
    <row r="737" spans="1:26" ht="15.75" customHeight="1" x14ac:dyDescent="0.2">
      <c r="A737" s="603"/>
      <c r="B737" s="603"/>
      <c r="C737" s="603"/>
      <c r="D737" s="603"/>
      <c r="E737" s="603"/>
      <c r="F737" s="603"/>
      <c r="G737" s="603"/>
      <c r="H737" s="603"/>
      <c r="I737" s="603"/>
      <c r="J737" s="603"/>
      <c r="K737" s="449"/>
      <c r="L737" s="603"/>
      <c r="M737" s="603"/>
      <c r="N737" s="603"/>
      <c r="O737" s="603"/>
      <c r="P737" s="603"/>
      <c r="Q737" s="603"/>
      <c r="R737" s="603"/>
      <c r="S737" s="603"/>
      <c r="T737" s="603"/>
      <c r="U737" s="603"/>
      <c r="V737" s="603"/>
      <c r="W737" s="603"/>
      <c r="X737" s="603"/>
      <c r="Y737" s="603"/>
      <c r="Z737" s="603"/>
    </row>
    <row r="738" spans="1:26" ht="15.75" customHeight="1" x14ac:dyDescent="0.2">
      <c r="A738" s="603"/>
      <c r="B738" s="603"/>
      <c r="C738" s="603"/>
      <c r="D738" s="603"/>
      <c r="E738" s="603"/>
      <c r="F738" s="603"/>
      <c r="G738" s="603"/>
      <c r="H738" s="603"/>
      <c r="I738" s="603"/>
      <c r="J738" s="603"/>
      <c r="K738" s="449"/>
      <c r="L738" s="603"/>
      <c r="M738" s="603"/>
      <c r="N738" s="603"/>
      <c r="O738" s="603"/>
      <c r="P738" s="603"/>
      <c r="Q738" s="603"/>
      <c r="R738" s="603"/>
      <c r="S738" s="603"/>
      <c r="T738" s="603"/>
      <c r="U738" s="603"/>
      <c r="V738" s="603"/>
      <c r="W738" s="603"/>
      <c r="X738" s="603"/>
      <c r="Y738" s="603"/>
      <c r="Z738" s="603"/>
    </row>
    <row r="739" spans="1:26" ht="15.75" customHeight="1" x14ac:dyDescent="0.2">
      <c r="A739" s="603"/>
      <c r="B739" s="603"/>
      <c r="C739" s="603"/>
      <c r="D739" s="603"/>
      <c r="E739" s="603"/>
      <c r="F739" s="603"/>
      <c r="G739" s="603"/>
      <c r="H739" s="603"/>
      <c r="I739" s="603"/>
      <c r="J739" s="603"/>
      <c r="K739" s="449"/>
      <c r="L739" s="603"/>
      <c r="M739" s="603"/>
      <c r="N739" s="603"/>
      <c r="O739" s="603"/>
      <c r="P739" s="603"/>
      <c r="Q739" s="603"/>
      <c r="R739" s="603"/>
      <c r="S739" s="603"/>
      <c r="T739" s="603"/>
      <c r="U739" s="603"/>
      <c r="V739" s="603"/>
      <c r="W739" s="603"/>
      <c r="X739" s="603"/>
      <c r="Y739" s="603"/>
      <c r="Z739" s="603"/>
    </row>
    <row r="740" spans="1:26" ht="15.75" customHeight="1" x14ac:dyDescent="0.2">
      <c r="A740" s="603"/>
      <c r="B740" s="603"/>
      <c r="C740" s="603"/>
      <c r="D740" s="603"/>
      <c r="E740" s="603"/>
      <c r="F740" s="603"/>
      <c r="G740" s="603"/>
      <c r="H740" s="603"/>
      <c r="I740" s="603"/>
      <c r="J740" s="603"/>
      <c r="K740" s="449"/>
      <c r="L740" s="603"/>
      <c r="M740" s="603"/>
      <c r="N740" s="603"/>
      <c r="O740" s="603"/>
      <c r="P740" s="603"/>
      <c r="Q740" s="603"/>
      <c r="R740" s="603"/>
      <c r="S740" s="603"/>
      <c r="T740" s="603"/>
      <c r="U740" s="603"/>
      <c r="V740" s="603"/>
      <c r="W740" s="603"/>
      <c r="X740" s="603"/>
      <c r="Y740" s="603"/>
      <c r="Z740" s="603"/>
    </row>
    <row r="741" spans="1:26" ht="15.75" customHeight="1" x14ac:dyDescent="0.2">
      <c r="A741" s="603"/>
      <c r="B741" s="603"/>
      <c r="C741" s="603"/>
      <c r="D741" s="603"/>
      <c r="E741" s="603"/>
      <c r="F741" s="603"/>
      <c r="G741" s="603"/>
      <c r="H741" s="603"/>
      <c r="I741" s="603"/>
      <c r="J741" s="603"/>
      <c r="K741" s="449"/>
      <c r="L741" s="603"/>
      <c r="M741" s="603"/>
      <c r="N741" s="603"/>
      <c r="O741" s="603"/>
      <c r="P741" s="603"/>
      <c r="Q741" s="603"/>
      <c r="R741" s="603"/>
      <c r="S741" s="603"/>
      <c r="T741" s="603"/>
      <c r="U741" s="603"/>
      <c r="V741" s="603"/>
      <c r="W741" s="603"/>
      <c r="X741" s="603"/>
      <c r="Y741" s="603"/>
      <c r="Z741" s="603"/>
    </row>
    <row r="742" spans="1:26" ht="15.75" customHeight="1" x14ac:dyDescent="0.2">
      <c r="A742" s="603"/>
      <c r="B742" s="603"/>
      <c r="C742" s="603"/>
      <c r="D742" s="603"/>
      <c r="E742" s="603"/>
      <c r="F742" s="603"/>
      <c r="G742" s="603"/>
      <c r="H742" s="603"/>
      <c r="I742" s="603"/>
      <c r="J742" s="603"/>
      <c r="K742" s="449"/>
      <c r="L742" s="603"/>
      <c r="M742" s="603"/>
      <c r="N742" s="603"/>
      <c r="O742" s="603"/>
      <c r="P742" s="603"/>
      <c r="Q742" s="603"/>
      <c r="R742" s="603"/>
      <c r="S742" s="603"/>
      <c r="T742" s="603"/>
      <c r="U742" s="603"/>
      <c r="V742" s="603"/>
      <c r="W742" s="603"/>
      <c r="X742" s="603"/>
      <c r="Y742" s="603"/>
      <c r="Z742" s="603"/>
    </row>
    <row r="743" spans="1:26" ht="15.75" customHeight="1" x14ac:dyDescent="0.2">
      <c r="A743" s="603"/>
      <c r="B743" s="603"/>
      <c r="C743" s="603"/>
      <c r="D743" s="603"/>
      <c r="E743" s="603"/>
      <c r="F743" s="603"/>
      <c r="G743" s="603"/>
      <c r="H743" s="603"/>
      <c r="I743" s="603"/>
      <c r="J743" s="603"/>
      <c r="K743" s="449"/>
      <c r="L743" s="603"/>
      <c r="M743" s="603"/>
      <c r="N743" s="603"/>
      <c r="O743" s="603"/>
      <c r="P743" s="603"/>
      <c r="Q743" s="603"/>
      <c r="R743" s="603"/>
      <c r="S743" s="603"/>
      <c r="T743" s="603"/>
      <c r="U743" s="603"/>
      <c r="V743" s="603"/>
      <c r="W743" s="603"/>
      <c r="X743" s="603"/>
      <c r="Y743" s="603"/>
      <c r="Z743" s="603"/>
    </row>
    <row r="744" spans="1:26" ht="15.75" customHeight="1" x14ac:dyDescent="0.2">
      <c r="A744" s="603"/>
      <c r="B744" s="603"/>
      <c r="C744" s="603"/>
      <c r="D744" s="603"/>
      <c r="E744" s="603"/>
      <c r="F744" s="603"/>
      <c r="G744" s="603"/>
      <c r="H744" s="603"/>
      <c r="I744" s="603"/>
      <c r="J744" s="603"/>
      <c r="K744" s="449"/>
      <c r="L744" s="603"/>
      <c r="M744" s="603"/>
      <c r="N744" s="603"/>
      <c r="O744" s="603"/>
      <c r="P744" s="603"/>
      <c r="Q744" s="603"/>
      <c r="R744" s="603"/>
      <c r="S744" s="603"/>
      <c r="T744" s="603"/>
      <c r="U744" s="603"/>
      <c r="V744" s="603"/>
      <c r="W744" s="603"/>
      <c r="X744" s="603"/>
      <c r="Y744" s="603"/>
      <c r="Z744" s="603"/>
    </row>
    <row r="745" spans="1:26" ht="15.75" customHeight="1" x14ac:dyDescent="0.2">
      <c r="A745" s="603"/>
      <c r="B745" s="603"/>
      <c r="C745" s="603"/>
      <c r="D745" s="603"/>
      <c r="E745" s="603"/>
      <c r="F745" s="603"/>
      <c r="G745" s="603"/>
      <c r="H745" s="603"/>
      <c r="I745" s="603"/>
      <c r="J745" s="603"/>
      <c r="K745" s="449"/>
      <c r="L745" s="603"/>
      <c r="M745" s="603"/>
      <c r="N745" s="603"/>
      <c r="O745" s="603"/>
      <c r="P745" s="603"/>
      <c r="Q745" s="603"/>
      <c r="R745" s="603"/>
      <c r="S745" s="603"/>
      <c r="T745" s="603"/>
      <c r="U745" s="603"/>
      <c r="V745" s="603"/>
      <c r="W745" s="603"/>
      <c r="X745" s="603"/>
      <c r="Y745" s="603"/>
      <c r="Z745" s="603"/>
    </row>
    <row r="746" spans="1:26" ht="15.75" customHeight="1" x14ac:dyDescent="0.2">
      <c r="A746" s="603"/>
      <c r="B746" s="603"/>
      <c r="C746" s="603"/>
      <c r="D746" s="603"/>
      <c r="E746" s="603"/>
      <c r="F746" s="603"/>
      <c r="G746" s="603"/>
      <c r="H746" s="603"/>
      <c r="I746" s="603"/>
      <c r="J746" s="603"/>
      <c r="K746" s="449"/>
      <c r="L746" s="603"/>
      <c r="M746" s="603"/>
      <c r="N746" s="603"/>
      <c r="O746" s="603"/>
      <c r="P746" s="603"/>
      <c r="Q746" s="603"/>
      <c r="R746" s="603"/>
      <c r="S746" s="603"/>
      <c r="T746" s="603"/>
      <c r="U746" s="603"/>
      <c r="V746" s="603"/>
      <c r="W746" s="603"/>
      <c r="X746" s="603"/>
      <c r="Y746" s="603"/>
      <c r="Z746" s="603"/>
    </row>
    <row r="747" spans="1:26" ht="15.75" customHeight="1" x14ac:dyDescent="0.2">
      <c r="A747" s="603"/>
      <c r="B747" s="603"/>
      <c r="C747" s="603"/>
      <c r="D747" s="603"/>
      <c r="E747" s="603"/>
      <c r="F747" s="603"/>
      <c r="G747" s="603"/>
      <c r="H747" s="603"/>
      <c r="I747" s="603"/>
      <c r="J747" s="603"/>
      <c r="K747" s="449"/>
      <c r="L747" s="603"/>
      <c r="M747" s="603"/>
      <c r="N747" s="603"/>
      <c r="O747" s="603"/>
      <c r="P747" s="603"/>
      <c r="Q747" s="603"/>
      <c r="R747" s="603"/>
      <c r="S747" s="603"/>
      <c r="T747" s="603"/>
      <c r="U747" s="603"/>
      <c r="V747" s="603"/>
      <c r="W747" s="603"/>
      <c r="X747" s="603"/>
      <c r="Y747" s="603"/>
      <c r="Z747" s="603"/>
    </row>
    <row r="748" spans="1:26" ht="15.75" customHeight="1" x14ac:dyDescent="0.2">
      <c r="A748" s="603"/>
      <c r="B748" s="603"/>
      <c r="C748" s="603"/>
      <c r="D748" s="603"/>
      <c r="E748" s="603"/>
      <c r="F748" s="603"/>
      <c r="G748" s="603"/>
      <c r="H748" s="603"/>
      <c r="I748" s="603"/>
      <c r="J748" s="603"/>
      <c r="K748" s="449"/>
      <c r="L748" s="603"/>
      <c r="M748" s="603"/>
      <c r="N748" s="603"/>
      <c r="O748" s="603"/>
      <c r="P748" s="603"/>
      <c r="Q748" s="603"/>
      <c r="R748" s="603"/>
      <c r="S748" s="603"/>
      <c r="T748" s="603"/>
      <c r="U748" s="603"/>
      <c r="V748" s="603"/>
      <c r="W748" s="603"/>
      <c r="X748" s="603"/>
      <c r="Y748" s="603"/>
      <c r="Z748" s="603"/>
    </row>
    <row r="749" spans="1:26" ht="15.75" customHeight="1" x14ac:dyDescent="0.2">
      <c r="A749" s="603"/>
      <c r="B749" s="603"/>
      <c r="C749" s="603"/>
      <c r="D749" s="603"/>
      <c r="E749" s="603"/>
      <c r="F749" s="603"/>
      <c r="G749" s="603"/>
      <c r="H749" s="603"/>
      <c r="I749" s="603"/>
      <c r="J749" s="603"/>
      <c r="K749" s="449"/>
      <c r="L749" s="603"/>
      <c r="M749" s="603"/>
      <c r="N749" s="603"/>
      <c r="O749" s="603"/>
      <c r="P749" s="603"/>
      <c r="Q749" s="603"/>
      <c r="R749" s="603"/>
      <c r="S749" s="603"/>
      <c r="T749" s="603"/>
      <c r="U749" s="603"/>
      <c r="V749" s="603"/>
      <c r="W749" s="603"/>
      <c r="X749" s="603"/>
      <c r="Y749" s="603"/>
      <c r="Z749" s="603"/>
    </row>
    <row r="750" spans="1:26" ht="15.75" customHeight="1" x14ac:dyDescent="0.2">
      <c r="A750" s="603"/>
      <c r="B750" s="603"/>
      <c r="C750" s="603"/>
      <c r="D750" s="603"/>
      <c r="E750" s="603"/>
      <c r="F750" s="603"/>
      <c r="G750" s="603"/>
      <c r="H750" s="603"/>
      <c r="I750" s="603"/>
      <c r="J750" s="603"/>
      <c r="K750" s="449"/>
      <c r="L750" s="603"/>
      <c r="M750" s="603"/>
      <c r="N750" s="603"/>
      <c r="O750" s="603"/>
      <c r="P750" s="603"/>
      <c r="Q750" s="603"/>
      <c r="R750" s="603"/>
      <c r="S750" s="603"/>
      <c r="T750" s="603"/>
      <c r="U750" s="603"/>
      <c r="V750" s="603"/>
      <c r="W750" s="603"/>
      <c r="X750" s="603"/>
      <c r="Y750" s="603"/>
      <c r="Z750" s="603"/>
    </row>
    <row r="751" spans="1:26" ht="15.75" customHeight="1" x14ac:dyDescent="0.2">
      <c r="A751" s="603"/>
      <c r="B751" s="603"/>
      <c r="C751" s="603"/>
      <c r="D751" s="603"/>
      <c r="E751" s="603"/>
      <c r="F751" s="603"/>
      <c r="G751" s="603"/>
      <c r="H751" s="603"/>
      <c r="I751" s="603"/>
      <c r="J751" s="603"/>
      <c r="K751" s="449"/>
      <c r="L751" s="603"/>
      <c r="M751" s="603"/>
      <c r="N751" s="603"/>
      <c r="O751" s="603"/>
      <c r="P751" s="603"/>
      <c r="Q751" s="603"/>
      <c r="R751" s="603"/>
      <c r="S751" s="603"/>
      <c r="T751" s="603"/>
      <c r="U751" s="603"/>
      <c r="V751" s="603"/>
      <c r="W751" s="603"/>
      <c r="X751" s="603"/>
      <c r="Y751" s="603"/>
      <c r="Z751" s="603"/>
    </row>
    <row r="752" spans="1:26" ht="15.75" customHeight="1" x14ac:dyDescent="0.2">
      <c r="A752" s="603"/>
      <c r="B752" s="603"/>
      <c r="C752" s="603"/>
      <c r="D752" s="603"/>
      <c r="E752" s="603"/>
      <c r="F752" s="603"/>
      <c r="G752" s="603"/>
      <c r="H752" s="603"/>
      <c r="I752" s="603"/>
      <c r="J752" s="603"/>
      <c r="K752" s="449"/>
      <c r="L752" s="603"/>
      <c r="M752" s="603"/>
      <c r="N752" s="603"/>
      <c r="O752" s="603"/>
      <c r="P752" s="603"/>
      <c r="Q752" s="603"/>
      <c r="R752" s="603"/>
      <c r="S752" s="603"/>
      <c r="T752" s="603"/>
      <c r="U752" s="603"/>
      <c r="V752" s="603"/>
      <c r="W752" s="603"/>
      <c r="X752" s="603"/>
      <c r="Y752" s="603"/>
      <c r="Z752" s="603"/>
    </row>
    <row r="753" spans="1:26" ht="15.75" customHeight="1" x14ac:dyDescent="0.2">
      <c r="A753" s="603"/>
      <c r="B753" s="603"/>
      <c r="C753" s="603"/>
      <c r="D753" s="603"/>
      <c r="E753" s="603"/>
      <c r="F753" s="603"/>
      <c r="G753" s="603"/>
      <c r="H753" s="603"/>
      <c r="I753" s="603"/>
      <c r="J753" s="603"/>
      <c r="K753" s="449"/>
      <c r="L753" s="603"/>
      <c r="M753" s="603"/>
      <c r="N753" s="603"/>
      <c r="O753" s="603"/>
      <c r="P753" s="603"/>
      <c r="Q753" s="603"/>
      <c r="R753" s="603"/>
      <c r="S753" s="603"/>
      <c r="T753" s="603"/>
      <c r="U753" s="603"/>
      <c r="V753" s="603"/>
      <c r="W753" s="603"/>
      <c r="X753" s="603"/>
      <c r="Y753" s="603"/>
      <c r="Z753" s="603"/>
    </row>
    <row r="754" spans="1:26" ht="15.75" customHeight="1" x14ac:dyDescent="0.2">
      <c r="A754" s="603"/>
      <c r="B754" s="603"/>
      <c r="C754" s="603"/>
      <c r="D754" s="603"/>
      <c r="E754" s="603"/>
      <c r="F754" s="603"/>
      <c r="G754" s="603"/>
      <c r="H754" s="603"/>
      <c r="I754" s="603"/>
      <c r="J754" s="603"/>
      <c r="K754" s="449"/>
      <c r="L754" s="603"/>
      <c r="M754" s="603"/>
      <c r="N754" s="603"/>
      <c r="O754" s="603"/>
      <c r="P754" s="603"/>
      <c r="Q754" s="603"/>
      <c r="R754" s="603"/>
      <c r="S754" s="603"/>
      <c r="T754" s="603"/>
      <c r="U754" s="603"/>
      <c r="V754" s="603"/>
      <c r="W754" s="603"/>
      <c r="X754" s="603"/>
      <c r="Y754" s="603"/>
      <c r="Z754" s="603"/>
    </row>
    <row r="755" spans="1:26" ht="15.75" customHeight="1" x14ac:dyDescent="0.2">
      <c r="A755" s="603"/>
      <c r="B755" s="603"/>
      <c r="C755" s="603"/>
      <c r="D755" s="603"/>
      <c r="E755" s="603"/>
      <c r="F755" s="603"/>
      <c r="G755" s="603"/>
      <c r="H755" s="603"/>
      <c r="I755" s="603"/>
      <c r="J755" s="603"/>
      <c r="K755" s="449"/>
      <c r="L755" s="603"/>
      <c r="M755" s="603"/>
      <c r="N755" s="603"/>
      <c r="O755" s="603"/>
      <c r="P755" s="603"/>
      <c r="Q755" s="603"/>
      <c r="R755" s="603"/>
      <c r="S755" s="603"/>
      <c r="T755" s="603"/>
      <c r="U755" s="603"/>
      <c r="V755" s="603"/>
      <c r="W755" s="603"/>
      <c r="X755" s="603"/>
      <c r="Y755" s="603"/>
      <c r="Z755" s="603"/>
    </row>
    <row r="756" spans="1:26" ht="15.75" customHeight="1" x14ac:dyDescent="0.2">
      <c r="A756" s="603"/>
      <c r="B756" s="603"/>
      <c r="C756" s="603"/>
      <c r="D756" s="603"/>
      <c r="E756" s="603"/>
      <c r="F756" s="603"/>
      <c r="G756" s="603"/>
      <c r="H756" s="603"/>
      <c r="I756" s="603"/>
      <c r="J756" s="603"/>
      <c r="K756" s="449"/>
      <c r="L756" s="603"/>
      <c r="M756" s="603"/>
      <c r="N756" s="603"/>
      <c r="O756" s="603"/>
      <c r="P756" s="603"/>
      <c r="Q756" s="603"/>
      <c r="R756" s="603"/>
      <c r="S756" s="603"/>
      <c r="T756" s="603"/>
      <c r="U756" s="603"/>
      <c r="V756" s="603"/>
      <c r="W756" s="603"/>
      <c r="X756" s="603"/>
      <c r="Y756" s="603"/>
      <c r="Z756" s="603"/>
    </row>
    <row r="757" spans="1:26" ht="15.75" customHeight="1" x14ac:dyDescent="0.2">
      <c r="A757" s="603"/>
      <c r="B757" s="603"/>
      <c r="C757" s="603"/>
      <c r="D757" s="603"/>
      <c r="E757" s="603"/>
      <c r="F757" s="603"/>
      <c r="G757" s="603"/>
      <c r="H757" s="603"/>
      <c r="I757" s="603"/>
      <c r="J757" s="603"/>
      <c r="K757" s="449"/>
      <c r="L757" s="603"/>
      <c r="M757" s="603"/>
      <c r="N757" s="603"/>
      <c r="O757" s="603"/>
      <c r="P757" s="603"/>
      <c r="Q757" s="603"/>
      <c r="R757" s="603"/>
      <c r="S757" s="603"/>
      <c r="T757" s="603"/>
      <c r="U757" s="603"/>
      <c r="V757" s="603"/>
      <c r="W757" s="603"/>
      <c r="X757" s="603"/>
      <c r="Y757" s="603"/>
      <c r="Z757" s="603"/>
    </row>
    <row r="758" spans="1:26" ht="15.75" customHeight="1" x14ac:dyDescent="0.2">
      <c r="A758" s="603"/>
      <c r="B758" s="603"/>
      <c r="C758" s="603"/>
      <c r="D758" s="603"/>
      <c r="E758" s="603"/>
      <c r="F758" s="603"/>
      <c r="G758" s="603"/>
      <c r="H758" s="603"/>
      <c r="I758" s="603"/>
      <c r="J758" s="603"/>
      <c r="K758" s="449"/>
      <c r="L758" s="603"/>
      <c r="M758" s="603"/>
      <c r="N758" s="603"/>
      <c r="O758" s="603"/>
      <c r="P758" s="603"/>
      <c r="Q758" s="603"/>
      <c r="R758" s="603"/>
      <c r="S758" s="603"/>
      <c r="T758" s="603"/>
      <c r="U758" s="603"/>
      <c r="V758" s="603"/>
      <c r="W758" s="603"/>
      <c r="X758" s="603"/>
      <c r="Y758" s="603"/>
      <c r="Z758" s="603"/>
    </row>
    <row r="759" spans="1:26" ht="15.75" customHeight="1" x14ac:dyDescent="0.2">
      <c r="A759" s="603"/>
      <c r="B759" s="603"/>
      <c r="C759" s="603"/>
      <c r="D759" s="603"/>
      <c r="E759" s="603"/>
      <c r="F759" s="603"/>
      <c r="G759" s="603"/>
      <c r="H759" s="603"/>
      <c r="I759" s="603"/>
      <c r="J759" s="603"/>
      <c r="K759" s="449"/>
      <c r="L759" s="603"/>
      <c r="M759" s="603"/>
      <c r="N759" s="603"/>
      <c r="O759" s="603"/>
      <c r="P759" s="603"/>
      <c r="Q759" s="603"/>
      <c r="R759" s="603"/>
      <c r="S759" s="603"/>
      <c r="T759" s="603"/>
      <c r="U759" s="603"/>
      <c r="V759" s="603"/>
      <c r="W759" s="603"/>
      <c r="X759" s="603"/>
      <c r="Y759" s="603"/>
      <c r="Z759" s="603"/>
    </row>
    <row r="760" spans="1:26" ht="15.75" customHeight="1" x14ac:dyDescent="0.2">
      <c r="A760" s="603"/>
      <c r="B760" s="603"/>
      <c r="C760" s="603"/>
      <c r="D760" s="603"/>
      <c r="E760" s="603"/>
      <c r="F760" s="603"/>
      <c r="G760" s="603"/>
      <c r="H760" s="603"/>
      <c r="I760" s="603"/>
      <c r="J760" s="603"/>
      <c r="K760" s="449"/>
      <c r="L760" s="603"/>
      <c r="M760" s="603"/>
      <c r="N760" s="603"/>
      <c r="O760" s="603"/>
      <c r="P760" s="603"/>
      <c r="Q760" s="603"/>
      <c r="R760" s="603"/>
      <c r="S760" s="603"/>
      <c r="T760" s="603"/>
      <c r="U760" s="603"/>
      <c r="V760" s="603"/>
      <c r="W760" s="603"/>
      <c r="X760" s="603"/>
      <c r="Y760" s="603"/>
      <c r="Z760" s="603"/>
    </row>
    <row r="761" spans="1:26" ht="15.75" customHeight="1" x14ac:dyDescent="0.2">
      <c r="A761" s="603"/>
      <c r="B761" s="603"/>
      <c r="C761" s="603"/>
      <c r="D761" s="603"/>
      <c r="E761" s="603"/>
      <c r="F761" s="603"/>
      <c r="G761" s="603"/>
      <c r="H761" s="603"/>
      <c r="I761" s="603"/>
      <c r="J761" s="603"/>
      <c r="K761" s="449"/>
      <c r="L761" s="603"/>
      <c r="M761" s="603"/>
      <c r="N761" s="603"/>
      <c r="O761" s="603"/>
      <c r="P761" s="603"/>
      <c r="Q761" s="603"/>
      <c r="R761" s="603"/>
      <c r="S761" s="603"/>
      <c r="T761" s="603"/>
      <c r="U761" s="603"/>
      <c r="V761" s="603"/>
      <c r="W761" s="603"/>
      <c r="X761" s="603"/>
      <c r="Y761" s="603"/>
      <c r="Z761" s="603"/>
    </row>
    <row r="762" spans="1:26" ht="15.75" customHeight="1" x14ac:dyDescent="0.2">
      <c r="A762" s="603"/>
      <c r="B762" s="603"/>
      <c r="C762" s="603"/>
      <c r="D762" s="603"/>
      <c r="E762" s="603"/>
      <c r="F762" s="603"/>
      <c r="G762" s="603"/>
      <c r="H762" s="603"/>
      <c r="I762" s="603"/>
      <c r="J762" s="603"/>
      <c r="K762" s="449"/>
      <c r="L762" s="603"/>
      <c r="M762" s="603"/>
      <c r="N762" s="603"/>
      <c r="O762" s="603"/>
      <c r="P762" s="603"/>
      <c r="Q762" s="603"/>
      <c r="R762" s="603"/>
      <c r="S762" s="603"/>
      <c r="T762" s="603"/>
      <c r="U762" s="603"/>
      <c r="V762" s="603"/>
      <c r="W762" s="603"/>
      <c r="X762" s="603"/>
      <c r="Y762" s="603"/>
      <c r="Z762" s="603"/>
    </row>
    <row r="763" spans="1:26" ht="15.75" customHeight="1" x14ac:dyDescent="0.2">
      <c r="A763" s="603"/>
      <c r="B763" s="603"/>
      <c r="C763" s="603"/>
      <c r="D763" s="603"/>
      <c r="E763" s="603"/>
      <c r="F763" s="603"/>
      <c r="G763" s="603"/>
      <c r="H763" s="603"/>
      <c r="I763" s="603"/>
      <c r="J763" s="603"/>
      <c r="K763" s="449"/>
      <c r="L763" s="603"/>
      <c r="M763" s="603"/>
      <c r="N763" s="603"/>
      <c r="O763" s="603"/>
      <c r="P763" s="603"/>
      <c r="Q763" s="603"/>
      <c r="R763" s="603"/>
      <c r="S763" s="603"/>
      <c r="T763" s="603"/>
      <c r="U763" s="603"/>
      <c r="V763" s="603"/>
      <c r="W763" s="603"/>
      <c r="X763" s="603"/>
      <c r="Y763" s="603"/>
      <c r="Z763" s="603"/>
    </row>
    <row r="764" spans="1:26" ht="15.75" customHeight="1" x14ac:dyDescent="0.2">
      <c r="A764" s="603"/>
      <c r="B764" s="603"/>
      <c r="C764" s="603"/>
      <c r="D764" s="603"/>
      <c r="E764" s="603"/>
      <c r="F764" s="603"/>
      <c r="G764" s="603"/>
      <c r="H764" s="603"/>
      <c r="I764" s="603"/>
      <c r="J764" s="603"/>
      <c r="K764" s="449"/>
      <c r="L764" s="603"/>
      <c r="M764" s="603"/>
      <c r="N764" s="603"/>
      <c r="O764" s="603"/>
      <c r="P764" s="603"/>
      <c r="Q764" s="603"/>
      <c r="R764" s="603"/>
      <c r="S764" s="603"/>
      <c r="T764" s="603"/>
      <c r="U764" s="603"/>
      <c r="V764" s="603"/>
      <c r="W764" s="603"/>
      <c r="X764" s="603"/>
      <c r="Y764" s="603"/>
      <c r="Z764" s="603"/>
    </row>
    <row r="765" spans="1:26" ht="15.75" customHeight="1" x14ac:dyDescent="0.2">
      <c r="A765" s="603"/>
      <c r="B765" s="603"/>
      <c r="C765" s="603"/>
      <c r="D765" s="603"/>
      <c r="E765" s="603"/>
      <c r="F765" s="603"/>
      <c r="G765" s="603"/>
      <c r="H765" s="603"/>
      <c r="I765" s="603"/>
      <c r="J765" s="603"/>
      <c r="K765" s="449"/>
      <c r="L765" s="603"/>
      <c r="M765" s="603"/>
      <c r="N765" s="603"/>
      <c r="O765" s="603"/>
      <c r="P765" s="603"/>
      <c r="Q765" s="603"/>
      <c r="R765" s="603"/>
      <c r="S765" s="603"/>
      <c r="T765" s="603"/>
      <c r="U765" s="603"/>
      <c r="V765" s="603"/>
      <c r="W765" s="603"/>
      <c r="X765" s="603"/>
      <c r="Y765" s="603"/>
      <c r="Z765" s="603"/>
    </row>
    <row r="766" spans="1:26" ht="15.75" customHeight="1" x14ac:dyDescent="0.2">
      <c r="A766" s="603"/>
      <c r="B766" s="603"/>
      <c r="C766" s="603"/>
      <c r="D766" s="603"/>
      <c r="E766" s="603"/>
      <c r="F766" s="603"/>
      <c r="G766" s="603"/>
      <c r="H766" s="603"/>
      <c r="I766" s="603"/>
      <c r="J766" s="603"/>
      <c r="K766" s="449"/>
      <c r="L766" s="603"/>
      <c r="M766" s="603"/>
      <c r="N766" s="603"/>
      <c r="O766" s="603"/>
      <c r="P766" s="603"/>
      <c r="Q766" s="603"/>
      <c r="R766" s="603"/>
      <c r="S766" s="603"/>
      <c r="T766" s="603"/>
      <c r="U766" s="603"/>
      <c r="V766" s="603"/>
      <c r="W766" s="603"/>
      <c r="X766" s="603"/>
      <c r="Y766" s="603"/>
      <c r="Z766" s="603"/>
    </row>
    <row r="767" spans="1:26" ht="15.75" customHeight="1" x14ac:dyDescent="0.2">
      <c r="A767" s="603"/>
      <c r="B767" s="603"/>
      <c r="C767" s="603"/>
      <c r="D767" s="603"/>
      <c r="E767" s="603"/>
      <c r="F767" s="603"/>
      <c r="G767" s="603"/>
      <c r="H767" s="603"/>
      <c r="I767" s="603"/>
      <c r="J767" s="603"/>
      <c r="K767" s="449"/>
      <c r="L767" s="603"/>
      <c r="M767" s="603"/>
      <c r="N767" s="603"/>
      <c r="O767" s="603"/>
      <c r="P767" s="603"/>
      <c r="Q767" s="603"/>
      <c r="R767" s="603"/>
      <c r="S767" s="603"/>
      <c r="T767" s="603"/>
      <c r="U767" s="603"/>
      <c r="V767" s="603"/>
      <c r="W767" s="603"/>
      <c r="X767" s="603"/>
      <c r="Y767" s="603"/>
      <c r="Z767" s="603"/>
    </row>
    <row r="768" spans="1:26" ht="15.75" customHeight="1" x14ac:dyDescent="0.2">
      <c r="A768" s="603"/>
      <c r="B768" s="603"/>
      <c r="C768" s="603"/>
      <c r="D768" s="603"/>
      <c r="E768" s="603"/>
      <c r="F768" s="603"/>
      <c r="G768" s="603"/>
      <c r="H768" s="603"/>
      <c r="I768" s="603"/>
      <c r="J768" s="603"/>
      <c r="K768" s="449"/>
      <c r="L768" s="603"/>
      <c r="M768" s="603"/>
      <c r="N768" s="603"/>
      <c r="O768" s="603"/>
      <c r="P768" s="603"/>
      <c r="Q768" s="603"/>
      <c r="R768" s="603"/>
      <c r="S768" s="603"/>
      <c r="T768" s="603"/>
      <c r="U768" s="603"/>
      <c r="V768" s="603"/>
      <c r="W768" s="603"/>
      <c r="X768" s="603"/>
      <c r="Y768" s="603"/>
      <c r="Z768" s="603"/>
    </row>
    <row r="769" spans="1:26" ht="15.75" customHeight="1" x14ac:dyDescent="0.2">
      <c r="A769" s="603"/>
      <c r="B769" s="603"/>
      <c r="C769" s="603"/>
      <c r="D769" s="603"/>
      <c r="E769" s="603"/>
      <c r="F769" s="603"/>
      <c r="G769" s="603"/>
      <c r="H769" s="603"/>
      <c r="I769" s="603"/>
      <c r="J769" s="603"/>
      <c r="K769" s="449"/>
      <c r="L769" s="603"/>
      <c r="M769" s="603"/>
      <c r="N769" s="603"/>
      <c r="O769" s="603"/>
      <c r="P769" s="603"/>
      <c r="Q769" s="603"/>
      <c r="R769" s="603"/>
      <c r="S769" s="603"/>
      <c r="T769" s="603"/>
      <c r="U769" s="603"/>
      <c r="V769" s="603"/>
      <c r="W769" s="603"/>
      <c r="X769" s="603"/>
      <c r="Y769" s="603"/>
      <c r="Z769" s="603"/>
    </row>
    <row r="770" spans="1:26" ht="15.75" customHeight="1" x14ac:dyDescent="0.2">
      <c r="A770" s="603"/>
      <c r="B770" s="603"/>
      <c r="C770" s="603"/>
      <c r="D770" s="603"/>
      <c r="E770" s="603"/>
      <c r="F770" s="603"/>
      <c r="G770" s="603"/>
      <c r="H770" s="603"/>
      <c r="I770" s="603"/>
      <c r="J770" s="603"/>
      <c r="K770" s="449"/>
      <c r="L770" s="603"/>
      <c r="M770" s="603"/>
      <c r="N770" s="603"/>
      <c r="O770" s="603"/>
      <c r="P770" s="603"/>
      <c r="Q770" s="603"/>
      <c r="R770" s="603"/>
      <c r="S770" s="603"/>
      <c r="T770" s="603"/>
      <c r="U770" s="603"/>
      <c r="V770" s="603"/>
      <c r="W770" s="603"/>
      <c r="X770" s="603"/>
      <c r="Y770" s="603"/>
      <c r="Z770" s="603"/>
    </row>
    <row r="771" spans="1:26" ht="15.75" customHeight="1" x14ac:dyDescent="0.2">
      <c r="A771" s="603"/>
      <c r="B771" s="603"/>
      <c r="C771" s="603"/>
      <c r="D771" s="603"/>
      <c r="E771" s="603"/>
      <c r="F771" s="603"/>
      <c r="G771" s="603"/>
      <c r="H771" s="603"/>
      <c r="I771" s="603"/>
      <c r="J771" s="603"/>
      <c r="K771" s="449"/>
      <c r="L771" s="603"/>
      <c r="M771" s="603"/>
      <c r="N771" s="603"/>
      <c r="O771" s="603"/>
      <c r="P771" s="603"/>
      <c r="Q771" s="603"/>
      <c r="R771" s="603"/>
      <c r="S771" s="603"/>
      <c r="T771" s="603"/>
      <c r="U771" s="603"/>
      <c r="V771" s="603"/>
      <c r="W771" s="603"/>
      <c r="X771" s="603"/>
      <c r="Y771" s="603"/>
      <c r="Z771" s="603"/>
    </row>
    <row r="772" spans="1:26" ht="15.75" customHeight="1" x14ac:dyDescent="0.2">
      <c r="A772" s="603"/>
      <c r="B772" s="603"/>
      <c r="C772" s="603"/>
      <c r="D772" s="603"/>
      <c r="E772" s="603"/>
      <c r="F772" s="603"/>
      <c r="G772" s="603"/>
      <c r="H772" s="603"/>
      <c r="I772" s="603"/>
      <c r="J772" s="603"/>
      <c r="K772" s="449"/>
      <c r="L772" s="603"/>
      <c r="M772" s="603"/>
      <c r="N772" s="603"/>
      <c r="O772" s="603"/>
      <c r="P772" s="603"/>
      <c r="Q772" s="603"/>
      <c r="R772" s="603"/>
      <c r="S772" s="603"/>
      <c r="T772" s="603"/>
      <c r="U772" s="603"/>
      <c r="V772" s="603"/>
      <c r="W772" s="603"/>
      <c r="X772" s="603"/>
      <c r="Y772" s="603"/>
      <c r="Z772" s="603"/>
    </row>
    <row r="773" spans="1:26" ht="15.75" customHeight="1" x14ac:dyDescent="0.2">
      <c r="A773" s="603"/>
      <c r="B773" s="603"/>
      <c r="C773" s="603"/>
      <c r="D773" s="603"/>
      <c r="E773" s="603"/>
      <c r="F773" s="603"/>
      <c r="G773" s="603"/>
      <c r="H773" s="603"/>
      <c r="I773" s="603"/>
      <c r="J773" s="603"/>
      <c r="K773" s="449"/>
      <c r="L773" s="603"/>
      <c r="M773" s="603"/>
      <c r="N773" s="603"/>
      <c r="O773" s="603"/>
      <c r="P773" s="603"/>
      <c r="Q773" s="603"/>
      <c r="R773" s="603"/>
      <c r="S773" s="603"/>
      <c r="T773" s="603"/>
      <c r="U773" s="603"/>
      <c r="V773" s="603"/>
      <c r="W773" s="603"/>
      <c r="X773" s="603"/>
      <c r="Y773" s="603"/>
      <c r="Z773" s="603"/>
    </row>
    <row r="774" spans="1:26" ht="15.75" customHeight="1" x14ac:dyDescent="0.2">
      <c r="A774" s="603"/>
      <c r="B774" s="603"/>
      <c r="C774" s="603"/>
      <c r="D774" s="603"/>
      <c r="E774" s="603"/>
      <c r="F774" s="603"/>
      <c r="G774" s="603"/>
      <c r="H774" s="603"/>
      <c r="I774" s="603"/>
      <c r="J774" s="603"/>
      <c r="K774" s="449"/>
      <c r="L774" s="603"/>
      <c r="M774" s="603"/>
      <c r="N774" s="603"/>
      <c r="O774" s="603"/>
      <c r="P774" s="603"/>
      <c r="Q774" s="603"/>
      <c r="R774" s="603"/>
      <c r="S774" s="603"/>
      <c r="T774" s="603"/>
      <c r="U774" s="603"/>
      <c r="V774" s="603"/>
      <c r="W774" s="603"/>
      <c r="X774" s="603"/>
      <c r="Y774" s="603"/>
      <c r="Z774" s="603"/>
    </row>
    <row r="775" spans="1:26" ht="15.75" customHeight="1" x14ac:dyDescent="0.2">
      <c r="A775" s="603"/>
      <c r="B775" s="603"/>
      <c r="C775" s="603"/>
      <c r="D775" s="603"/>
      <c r="E775" s="603"/>
      <c r="F775" s="603"/>
      <c r="G775" s="603"/>
      <c r="H775" s="603"/>
      <c r="I775" s="603"/>
      <c r="J775" s="603"/>
      <c r="K775" s="449"/>
      <c r="L775" s="603"/>
      <c r="M775" s="603"/>
      <c r="N775" s="603"/>
      <c r="O775" s="603"/>
      <c r="P775" s="603"/>
      <c r="Q775" s="603"/>
      <c r="R775" s="603"/>
      <c r="S775" s="603"/>
      <c r="T775" s="603"/>
      <c r="U775" s="603"/>
      <c r="V775" s="603"/>
      <c r="W775" s="603"/>
      <c r="X775" s="603"/>
      <c r="Y775" s="603"/>
      <c r="Z775" s="603"/>
    </row>
    <row r="776" spans="1:26" ht="15.75" customHeight="1" x14ac:dyDescent="0.2">
      <c r="A776" s="603"/>
      <c r="B776" s="603"/>
      <c r="C776" s="603"/>
      <c r="D776" s="603"/>
      <c r="E776" s="603"/>
      <c r="F776" s="603"/>
      <c r="G776" s="603"/>
      <c r="H776" s="603"/>
      <c r="I776" s="603"/>
      <c r="J776" s="603"/>
      <c r="K776" s="449"/>
      <c r="L776" s="603"/>
      <c r="M776" s="603"/>
      <c r="N776" s="603"/>
      <c r="O776" s="603"/>
      <c r="P776" s="603"/>
      <c r="Q776" s="603"/>
      <c r="R776" s="603"/>
      <c r="S776" s="603"/>
      <c r="T776" s="603"/>
      <c r="U776" s="603"/>
      <c r="V776" s="603"/>
      <c r="W776" s="603"/>
      <c r="X776" s="603"/>
      <c r="Y776" s="603"/>
      <c r="Z776" s="603"/>
    </row>
    <row r="777" spans="1:26" ht="15.75" customHeight="1" x14ac:dyDescent="0.2">
      <c r="A777" s="603"/>
      <c r="B777" s="603"/>
      <c r="C777" s="603"/>
      <c r="D777" s="603"/>
      <c r="E777" s="603"/>
      <c r="F777" s="603"/>
      <c r="G777" s="603"/>
      <c r="H777" s="603"/>
      <c r="I777" s="603"/>
      <c r="J777" s="603"/>
      <c r="K777" s="449"/>
      <c r="L777" s="603"/>
      <c r="M777" s="603"/>
      <c r="N777" s="603"/>
      <c r="O777" s="603"/>
      <c r="P777" s="603"/>
      <c r="Q777" s="603"/>
      <c r="R777" s="603"/>
      <c r="S777" s="603"/>
      <c r="T777" s="603"/>
      <c r="U777" s="603"/>
      <c r="V777" s="603"/>
      <c r="W777" s="603"/>
      <c r="X777" s="603"/>
      <c r="Y777" s="603"/>
      <c r="Z777" s="603"/>
    </row>
    <row r="778" spans="1:26" ht="15.75" customHeight="1" x14ac:dyDescent="0.2">
      <c r="A778" s="603"/>
      <c r="B778" s="603"/>
      <c r="C778" s="603"/>
      <c r="D778" s="603"/>
      <c r="E778" s="603"/>
      <c r="F778" s="603"/>
      <c r="G778" s="603"/>
      <c r="H778" s="603"/>
      <c r="I778" s="603"/>
      <c r="J778" s="603"/>
      <c r="K778" s="449"/>
      <c r="L778" s="603"/>
      <c r="M778" s="603"/>
      <c r="N778" s="603"/>
      <c r="O778" s="603"/>
      <c r="P778" s="603"/>
      <c r="Q778" s="603"/>
      <c r="R778" s="603"/>
      <c r="S778" s="603"/>
      <c r="T778" s="603"/>
      <c r="U778" s="603"/>
      <c r="V778" s="603"/>
      <c r="W778" s="603"/>
      <c r="X778" s="603"/>
      <c r="Y778" s="603"/>
      <c r="Z778" s="603"/>
    </row>
    <row r="779" spans="1:26" ht="15.75" customHeight="1" x14ac:dyDescent="0.2">
      <c r="A779" s="603"/>
      <c r="B779" s="603"/>
      <c r="C779" s="603"/>
      <c r="D779" s="603"/>
      <c r="E779" s="603"/>
      <c r="F779" s="603"/>
      <c r="G779" s="603"/>
      <c r="H779" s="603"/>
      <c r="I779" s="603"/>
      <c r="J779" s="603"/>
      <c r="K779" s="449"/>
      <c r="L779" s="603"/>
      <c r="M779" s="603"/>
      <c r="N779" s="603"/>
      <c r="O779" s="603"/>
      <c r="P779" s="603"/>
      <c r="Q779" s="603"/>
      <c r="R779" s="603"/>
      <c r="S779" s="603"/>
      <c r="T779" s="603"/>
      <c r="U779" s="603"/>
      <c r="V779" s="603"/>
      <c r="W779" s="603"/>
      <c r="X779" s="603"/>
      <c r="Y779" s="603"/>
      <c r="Z779" s="603"/>
    </row>
    <row r="780" spans="1:26" ht="15.75" customHeight="1" x14ac:dyDescent="0.2">
      <c r="A780" s="603"/>
      <c r="B780" s="603"/>
      <c r="C780" s="603"/>
      <c r="D780" s="603"/>
      <c r="E780" s="603"/>
      <c r="F780" s="603"/>
      <c r="G780" s="603"/>
      <c r="H780" s="603"/>
      <c r="I780" s="603"/>
      <c r="J780" s="603"/>
      <c r="K780" s="449"/>
      <c r="L780" s="603"/>
      <c r="M780" s="603"/>
      <c r="N780" s="603"/>
      <c r="O780" s="603"/>
      <c r="P780" s="603"/>
      <c r="Q780" s="603"/>
      <c r="R780" s="603"/>
      <c r="S780" s="603"/>
      <c r="T780" s="603"/>
      <c r="U780" s="603"/>
      <c r="V780" s="603"/>
      <c r="W780" s="603"/>
      <c r="X780" s="603"/>
      <c r="Y780" s="603"/>
      <c r="Z780" s="603"/>
    </row>
    <row r="781" spans="1:26" ht="15.75" customHeight="1" x14ac:dyDescent="0.2">
      <c r="A781" s="603"/>
      <c r="B781" s="603"/>
      <c r="C781" s="603"/>
      <c r="D781" s="603"/>
      <c r="E781" s="603"/>
      <c r="F781" s="603"/>
      <c r="G781" s="603"/>
      <c r="H781" s="603"/>
      <c r="I781" s="603"/>
      <c r="J781" s="603"/>
      <c r="K781" s="449"/>
      <c r="L781" s="603"/>
      <c r="M781" s="603"/>
      <c r="N781" s="603"/>
      <c r="O781" s="603"/>
      <c r="P781" s="603"/>
      <c r="Q781" s="603"/>
      <c r="R781" s="603"/>
      <c r="S781" s="603"/>
      <c r="T781" s="603"/>
      <c r="U781" s="603"/>
      <c r="V781" s="603"/>
      <c r="W781" s="603"/>
      <c r="X781" s="603"/>
      <c r="Y781" s="603"/>
      <c r="Z781" s="603"/>
    </row>
    <row r="782" spans="1:26" ht="15.75" customHeight="1" x14ac:dyDescent="0.2">
      <c r="A782" s="603"/>
      <c r="B782" s="603"/>
      <c r="C782" s="603"/>
      <c r="D782" s="603"/>
      <c r="E782" s="603"/>
      <c r="F782" s="603"/>
      <c r="G782" s="603"/>
      <c r="H782" s="603"/>
      <c r="I782" s="603"/>
      <c r="J782" s="603"/>
      <c r="K782" s="449"/>
      <c r="L782" s="603"/>
      <c r="M782" s="603"/>
      <c r="N782" s="603"/>
      <c r="O782" s="603"/>
      <c r="P782" s="603"/>
      <c r="Q782" s="603"/>
      <c r="R782" s="603"/>
      <c r="S782" s="603"/>
      <c r="T782" s="603"/>
      <c r="U782" s="603"/>
      <c r="V782" s="603"/>
      <c r="W782" s="603"/>
      <c r="X782" s="603"/>
      <c r="Y782" s="603"/>
      <c r="Z782" s="603"/>
    </row>
    <row r="783" spans="1:26" ht="15.75" customHeight="1" x14ac:dyDescent="0.2">
      <c r="A783" s="603"/>
      <c r="B783" s="603"/>
      <c r="C783" s="603"/>
      <c r="D783" s="603"/>
      <c r="E783" s="603"/>
      <c r="F783" s="603"/>
      <c r="G783" s="603"/>
      <c r="H783" s="603"/>
      <c r="I783" s="603"/>
      <c r="J783" s="603"/>
      <c r="K783" s="449"/>
      <c r="L783" s="603"/>
      <c r="M783" s="603"/>
      <c r="N783" s="603"/>
      <c r="O783" s="603"/>
      <c r="P783" s="603"/>
      <c r="Q783" s="603"/>
      <c r="R783" s="603"/>
      <c r="S783" s="603"/>
      <c r="T783" s="603"/>
      <c r="U783" s="603"/>
      <c r="V783" s="603"/>
      <c r="W783" s="603"/>
      <c r="X783" s="603"/>
      <c r="Y783" s="603"/>
      <c r="Z783" s="603"/>
    </row>
    <row r="784" spans="1:26" ht="15.75" customHeight="1" x14ac:dyDescent="0.2">
      <c r="A784" s="603"/>
      <c r="B784" s="603"/>
      <c r="C784" s="603"/>
      <c r="D784" s="603"/>
      <c r="E784" s="603"/>
      <c r="F784" s="603"/>
      <c r="G784" s="603"/>
      <c r="H784" s="603"/>
      <c r="I784" s="603"/>
      <c r="J784" s="603"/>
      <c r="K784" s="449"/>
      <c r="L784" s="603"/>
      <c r="M784" s="603"/>
      <c r="N784" s="603"/>
      <c r="O784" s="603"/>
      <c r="P784" s="603"/>
      <c r="Q784" s="603"/>
      <c r="R784" s="603"/>
      <c r="S784" s="603"/>
      <c r="T784" s="603"/>
      <c r="U784" s="603"/>
      <c r="V784" s="603"/>
      <c r="W784" s="603"/>
      <c r="X784" s="603"/>
      <c r="Y784" s="603"/>
      <c r="Z784" s="603"/>
    </row>
    <row r="785" spans="1:26" ht="15.75" customHeight="1" x14ac:dyDescent="0.2">
      <c r="A785" s="603"/>
      <c r="B785" s="603"/>
      <c r="C785" s="603"/>
      <c r="D785" s="603"/>
      <c r="E785" s="603"/>
      <c r="F785" s="603"/>
      <c r="G785" s="603"/>
      <c r="H785" s="603"/>
      <c r="I785" s="603"/>
      <c r="J785" s="603"/>
      <c r="K785" s="449"/>
      <c r="L785" s="603"/>
      <c r="M785" s="603"/>
      <c r="N785" s="603"/>
      <c r="O785" s="603"/>
      <c r="P785" s="603"/>
      <c r="Q785" s="603"/>
      <c r="R785" s="603"/>
      <c r="S785" s="603"/>
      <c r="T785" s="603"/>
      <c r="U785" s="603"/>
      <c r="V785" s="603"/>
      <c r="W785" s="603"/>
      <c r="X785" s="603"/>
      <c r="Y785" s="603"/>
      <c r="Z785" s="603"/>
    </row>
    <row r="786" spans="1:26" ht="15.75" customHeight="1" x14ac:dyDescent="0.2">
      <c r="A786" s="603"/>
      <c r="B786" s="603"/>
      <c r="C786" s="603"/>
      <c r="D786" s="603"/>
      <c r="E786" s="603"/>
      <c r="F786" s="603"/>
      <c r="G786" s="603"/>
      <c r="H786" s="603"/>
      <c r="I786" s="603"/>
      <c r="J786" s="603"/>
      <c r="K786" s="449"/>
      <c r="L786" s="603"/>
      <c r="M786" s="603"/>
      <c r="N786" s="603"/>
      <c r="O786" s="603"/>
      <c r="P786" s="603"/>
      <c r="Q786" s="603"/>
      <c r="R786" s="603"/>
      <c r="S786" s="603"/>
      <c r="T786" s="603"/>
      <c r="U786" s="603"/>
      <c r="V786" s="603"/>
      <c r="W786" s="603"/>
      <c r="X786" s="603"/>
      <c r="Y786" s="603"/>
      <c r="Z786" s="603"/>
    </row>
    <row r="787" spans="1:26" ht="15.75" customHeight="1" x14ac:dyDescent="0.2">
      <c r="A787" s="603"/>
      <c r="B787" s="603"/>
      <c r="C787" s="603"/>
      <c r="D787" s="603"/>
      <c r="E787" s="603"/>
      <c r="F787" s="603"/>
      <c r="G787" s="603"/>
      <c r="H787" s="603"/>
      <c r="I787" s="603"/>
      <c r="J787" s="603"/>
      <c r="K787" s="449"/>
      <c r="L787" s="603"/>
      <c r="M787" s="603"/>
      <c r="N787" s="603"/>
      <c r="O787" s="603"/>
      <c r="P787" s="603"/>
      <c r="Q787" s="603"/>
      <c r="R787" s="603"/>
      <c r="S787" s="603"/>
      <c r="T787" s="603"/>
      <c r="U787" s="603"/>
      <c r="V787" s="603"/>
      <c r="W787" s="603"/>
      <c r="X787" s="603"/>
      <c r="Y787" s="603"/>
      <c r="Z787" s="603"/>
    </row>
    <row r="788" spans="1:26" ht="15.75" customHeight="1" x14ac:dyDescent="0.2">
      <c r="A788" s="603"/>
      <c r="B788" s="603"/>
      <c r="C788" s="603"/>
      <c r="D788" s="603"/>
      <c r="E788" s="603"/>
      <c r="F788" s="603"/>
      <c r="G788" s="603"/>
      <c r="H788" s="603"/>
      <c r="I788" s="603"/>
      <c r="J788" s="603"/>
      <c r="K788" s="449"/>
      <c r="L788" s="603"/>
      <c r="M788" s="603"/>
      <c r="N788" s="603"/>
      <c r="O788" s="603"/>
      <c r="P788" s="603"/>
      <c r="Q788" s="603"/>
      <c r="R788" s="603"/>
      <c r="S788" s="603"/>
      <c r="T788" s="603"/>
      <c r="U788" s="603"/>
      <c r="V788" s="603"/>
      <c r="W788" s="603"/>
      <c r="X788" s="603"/>
      <c r="Y788" s="603"/>
      <c r="Z788" s="603"/>
    </row>
    <row r="789" spans="1:26" ht="15.75" customHeight="1" x14ac:dyDescent="0.2">
      <c r="A789" s="603"/>
      <c r="B789" s="603"/>
      <c r="C789" s="603"/>
      <c r="D789" s="603"/>
      <c r="E789" s="603"/>
      <c r="F789" s="603"/>
      <c r="G789" s="603"/>
      <c r="H789" s="603"/>
      <c r="I789" s="603"/>
      <c r="J789" s="603"/>
      <c r="K789" s="449"/>
      <c r="L789" s="603"/>
      <c r="M789" s="603"/>
      <c r="N789" s="603"/>
      <c r="O789" s="603"/>
      <c r="P789" s="603"/>
      <c r="Q789" s="603"/>
      <c r="R789" s="603"/>
      <c r="S789" s="603"/>
      <c r="T789" s="603"/>
      <c r="U789" s="603"/>
      <c r="V789" s="603"/>
      <c r="W789" s="603"/>
      <c r="X789" s="603"/>
      <c r="Y789" s="603"/>
      <c r="Z789" s="603"/>
    </row>
    <row r="790" spans="1:26" ht="15.75" customHeight="1" x14ac:dyDescent="0.2">
      <c r="A790" s="603"/>
      <c r="B790" s="603"/>
      <c r="C790" s="603"/>
      <c r="D790" s="603"/>
      <c r="E790" s="603"/>
      <c r="F790" s="603"/>
      <c r="G790" s="603"/>
      <c r="H790" s="603"/>
      <c r="I790" s="603"/>
      <c r="J790" s="603"/>
      <c r="K790" s="449"/>
      <c r="L790" s="603"/>
      <c r="M790" s="603"/>
      <c r="N790" s="603"/>
      <c r="O790" s="603"/>
      <c r="P790" s="603"/>
      <c r="Q790" s="603"/>
      <c r="R790" s="603"/>
      <c r="S790" s="603"/>
      <c r="T790" s="603"/>
      <c r="U790" s="603"/>
      <c r="V790" s="603"/>
      <c r="W790" s="603"/>
      <c r="X790" s="603"/>
      <c r="Y790" s="603"/>
      <c r="Z790" s="603"/>
    </row>
    <row r="791" spans="1:26" ht="15.75" customHeight="1" x14ac:dyDescent="0.2">
      <c r="A791" s="603"/>
      <c r="B791" s="603"/>
      <c r="C791" s="603"/>
      <c r="D791" s="603"/>
      <c r="E791" s="603"/>
      <c r="F791" s="603"/>
      <c r="G791" s="603"/>
      <c r="H791" s="603"/>
      <c r="I791" s="603"/>
      <c r="J791" s="603"/>
      <c r="K791" s="449"/>
      <c r="L791" s="603"/>
      <c r="M791" s="603"/>
      <c r="N791" s="603"/>
      <c r="O791" s="603"/>
      <c r="P791" s="603"/>
      <c r="Q791" s="603"/>
      <c r="R791" s="603"/>
      <c r="S791" s="603"/>
      <c r="T791" s="603"/>
      <c r="U791" s="603"/>
      <c r="V791" s="603"/>
      <c r="W791" s="603"/>
      <c r="X791" s="603"/>
      <c r="Y791" s="603"/>
      <c r="Z791" s="603"/>
    </row>
    <row r="792" spans="1:26" ht="15.75" customHeight="1" x14ac:dyDescent="0.2">
      <c r="A792" s="603"/>
      <c r="B792" s="603"/>
      <c r="C792" s="603"/>
      <c r="D792" s="603"/>
      <c r="E792" s="603"/>
      <c r="F792" s="603"/>
      <c r="G792" s="603"/>
      <c r="H792" s="603"/>
      <c r="I792" s="603"/>
      <c r="J792" s="603"/>
      <c r="K792" s="449"/>
      <c r="L792" s="603"/>
      <c r="M792" s="603"/>
      <c r="N792" s="603"/>
      <c r="O792" s="603"/>
      <c r="P792" s="603"/>
      <c r="Q792" s="603"/>
      <c r="R792" s="603"/>
      <c r="S792" s="603"/>
      <c r="T792" s="603"/>
      <c r="U792" s="603"/>
      <c r="V792" s="603"/>
      <c r="W792" s="603"/>
      <c r="X792" s="603"/>
      <c r="Y792" s="603"/>
      <c r="Z792" s="603"/>
    </row>
    <row r="793" spans="1:26" ht="15.75" customHeight="1" x14ac:dyDescent="0.2">
      <c r="A793" s="603"/>
      <c r="B793" s="603"/>
      <c r="C793" s="603"/>
      <c r="D793" s="603"/>
      <c r="E793" s="603"/>
      <c r="F793" s="603"/>
      <c r="G793" s="603"/>
      <c r="H793" s="603"/>
      <c r="I793" s="603"/>
      <c r="J793" s="603"/>
      <c r="K793" s="449"/>
      <c r="L793" s="603"/>
      <c r="M793" s="603"/>
      <c r="N793" s="603"/>
      <c r="O793" s="603"/>
      <c r="P793" s="603"/>
      <c r="Q793" s="603"/>
      <c r="R793" s="603"/>
      <c r="S793" s="603"/>
      <c r="T793" s="603"/>
      <c r="U793" s="603"/>
      <c r="V793" s="603"/>
      <c r="W793" s="603"/>
      <c r="X793" s="603"/>
      <c r="Y793" s="603"/>
      <c r="Z793" s="603"/>
    </row>
    <row r="794" spans="1:26" ht="15.75" customHeight="1" x14ac:dyDescent="0.2">
      <c r="A794" s="603"/>
      <c r="B794" s="603"/>
      <c r="C794" s="603"/>
      <c r="D794" s="603"/>
      <c r="E794" s="603"/>
      <c r="F794" s="603"/>
      <c r="G794" s="603"/>
      <c r="H794" s="603"/>
      <c r="I794" s="603"/>
      <c r="J794" s="603"/>
      <c r="K794" s="449"/>
      <c r="L794" s="603"/>
      <c r="M794" s="603"/>
      <c r="N794" s="603"/>
      <c r="O794" s="603"/>
      <c r="P794" s="603"/>
      <c r="Q794" s="603"/>
      <c r="R794" s="603"/>
      <c r="S794" s="603"/>
      <c r="T794" s="603"/>
      <c r="U794" s="603"/>
      <c r="V794" s="603"/>
      <c r="W794" s="603"/>
      <c r="X794" s="603"/>
      <c r="Y794" s="603"/>
      <c r="Z794" s="603"/>
    </row>
    <row r="795" spans="1:26" ht="15.75" customHeight="1" x14ac:dyDescent="0.2">
      <c r="A795" s="603"/>
      <c r="B795" s="603"/>
      <c r="C795" s="603"/>
      <c r="D795" s="603"/>
      <c r="E795" s="603"/>
      <c r="F795" s="603"/>
      <c r="G795" s="603"/>
      <c r="H795" s="603"/>
      <c r="I795" s="603"/>
      <c r="J795" s="603"/>
      <c r="K795" s="449"/>
      <c r="L795" s="603"/>
      <c r="M795" s="603"/>
      <c r="N795" s="603"/>
      <c r="O795" s="603"/>
      <c r="P795" s="603"/>
      <c r="Q795" s="603"/>
      <c r="R795" s="603"/>
      <c r="S795" s="603"/>
      <c r="T795" s="603"/>
      <c r="U795" s="603"/>
      <c r="V795" s="603"/>
      <c r="W795" s="603"/>
      <c r="X795" s="603"/>
      <c r="Y795" s="603"/>
      <c r="Z795" s="603"/>
    </row>
    <row r="796" spans="1:26" ht="15.75" customHeight="1" x14ac:dyDescent="0.2">
      <c r="A796" s="603"/>
      <c r="B796" s="603"/>
      <c r="C796" s="603"/>
      <c r="D796" s="603"/>
      <c r="E796" s="603"/>
      <c r="F796" s="603"/>
      <c r="G796" s="603"/>
      <c r="H796" s="603"/>
      <c r="I796" s="603"/>
      <c r="J796" s="603"/>
      <c r="K796" s="449"/>
      <c r="L796" s="603"/>
      <c r="M796" s="603"/>
      <c r="N796" s="603"/>
      <c r="O796" s="603"/>
      <c r="P796" s="603"/>
      <c r="Q796" s="603"/>
      <c r="R796" s="603"/>
      <c r="S796" s="603"/>
      <c r="T796" s="603"/>
      <c r="U796" s="603"/>
      <c r="V796" s="603"/>
      <c r="W796" s="603"/>
      <c r="X796" s="603"/>
      <c r="Y796" s="603"/>
      <c r="Z796" s="603"/>
    </row>
    <row r="797" spans="1:26" ht="15.75" customHeight="1" x14ac:dyDescent="0.2">
      <c r="A797" s="603"/>
      <c r="B797" s="603"/>
      <c r="C797" s="603"/>
      <c r="D797" s="603"/>
      <c r="E797" s="603"/>
      <c r="F797" s="603"/>
      <c r="G797" s="603"/>
      <c r="H797" s="603"/>
      <c r="I797" s="603"/>
      <c r="J797" s="603"/>
      <c r="K797" s="449"/>
      <c r="L797" s="603"/>
      <c r="M797" s="603"/>
      <c r="N797" s="603"/>
      <c r="O797" s="603"/>
      <c r="P797" s="603"/>
      <c r="Q797" s="603"/>
      <c r="R797" s="603"/>
      <c r="S797" s="603"/>
      <c r="T797" s="603"/>
      <c r="U797" s="603"/>
      <c r="V797" s="603"/>
      <c r="W797" s="603"/>
      <c r="X797" s="603"/>
      <c r="Y797" s="603"/>
      <c r="Z797" s="603"/>
    </row>
    <row r="798" spans="1:26" ht="15.75" customHeight="1" x14ac:dyDescent="0.2">
      <c r="A798" s="603"/>
      <c r="B798" s="603"/>
      <c r="C798" s="603"/>
      <c r="D798" s="603"/>
      <c r="E798" s="603"/>
      <c r="F798" s="603"/>
      <c r="G798" s="603"/>
      <c r="H798" s="603"/>
      <c r="I798" s="603"/>
      <c r="J798" s="603"/>
      <c r="K798" s="449"/>
      <c r="L798" s="603"/>
      <c r="M798" s="603"/>
      <c r="N798" s="603"/>
      <c r="O798" s="603"/>
      <c r="P798" s="603"/>
      <c r="Q798" s="603"/>
      <c r="R798" s="603"/>
      <c r="S798" s="603"/>
      <c r="T798" s="603"/>
      <c r="U798" s="603"/>
      <c r="V798" s="603"/>
      <c r="W798" s="603"/>
      <c r="X798" s="603"/>
      <c r="Y798" s="603"/>
      <c r="Z798" s="603"/>
    </row>
    <row r="799" spans="1:26" ht="15.75" customHeight="1" x14ac:dyDescent="0.2">
      <c r="A799" s="603"/>
      <c r="B799" s="603"/>
      <c r="C799" s="603"/>
      <c r="D799" s="603"/>
      <c r="E799" s="603"/>
      <c r="F799" s="603"/>
      <c r="G799" s="603"/>
      <c r="H799" s="603"/>
      <c r="I799" s="603"/>
      <c r="J799" s="603"/>
      <c r="K799" s="449"/>
      <c r="L799" s="603"/>
      <c r="M799" s="603"/>
      <c r="N799" s="603"/>
      <c r="O799" s="603"/>
      <c r="P799" s="603"/>
      <c r="Q799" s="603"/>
      <c r="R799" s="603"/>
      <c r="S799" s="603"/>
      <c r="T799" s="603"/>
      <c r="U799" s="603"/>
      <c r="V799" s="603"/>
      <c r="W799" s="603"/>
      <c r="X799" s="603"/>
      <c r="Y799" s="603"/>
      <c r="Z799" s="603"/>
    </row>
    <row r="800" spans="1:26" ht="15.75" customHeight="1" x14ac:dyDescent="0.2">
      <c r="A800" s="603"/>
      <c r="B800" s="603"/>
      <c r="C800" s="603"/>
      <c r="D800" s="603"/>
      <c r="E800" s="603"/>
      <c r="F800" s="603"/>
      <c r="G800" s="603"/>
      <c r="H800" s="603"/>
      <c r="I800" s="603"/>
      <c r="J800" s="603"/>
      <c r="K800" s="449"/>
      <c r="L800" s="603"/>
      <c r="M800" s="603"/>
      <c r="N800" s="603"/>
      <c r="O800" s="603"/>
      <c r="P800" s="603"/>
      <c r="Q800" s="603"/>
      <c r="R800" s="603"/>
      <c r="S800" s="603"/>
      <c r="T800" s="603"/>
      <c r="U800" s="603"/>
      <c r="V800" s="603"/>
      <c r="W800" s="603"/>
      <c r="X800" s="603"/>
      <c r="Y800" s="603"/>
      <c r="Z800" s="603"/>
    </row>
    <row r="801" spans="1:26" ht="15.75" customHeight="1" x14ac:dyDescent="0.2">
      <c r="A801" s="603"/>
      <c r="B801" s="603"/>
      <c r="C801" s="603"/>
      <c r="D801" s="603"/>
      <c r="E801" s="603"/>
      <c r="F801" s="603"/>
      <c r="G801" s="603"/>
      <c r="H801" s="603"/>
      <c r="I801" s="603"/>
      <c r="J801" s="603"/>
      <c r="K801" s="449"/>
      <c r="L801" s="603"/>
      <c r="M801" s="603"/>
      <c r="N801" s="603"/>
      <c r="O801" s="603"/>
      <c r="P801" s="603"/>
      <c r="Q801" s="603"/>
      <c r="R801" s="603"/>
      <c r="S801" s="603"/>
      <c r="T801" s="603"/>
      <c r="U801" s="603"/>
      <c r="V801" s="603"/>
      <c r="W801" s="603"/>
      <c r="X801" s="603"/>
      <c r="Y801" s="603"/>
      <c r="Z801" s="603"/>
    </row>
    <row r="802" spans="1:26" ht="15.75" customHeight="1" x14ac:dyDescent="0.2">
      <c r="A802" s="603"/>
      <c r="B802" s="603"/>
      <c r="C802" s="603"/>
      <c r="D802" s="603"/>
      <c r="E802" s="603"/>
      <c r="F802" s="603"/>
      <c r="G802" s="603"/>
      <c r="H802" s="603"/>
      <c r="I802" s="603"/>
      <c r="J802" s="603"/>
      <c r="K802" s="449"/>
      <c r="L802" s="603"/>
      <c r="M802" s="603"/>
      <c r="N802" s="603"/>
      <c r="O802" s="603"/>
      <c r="P802" s="603"/>
      <c r="Q802" s="603"/>
      <c r="R802" s="603"/>
      <c r="S802" s="603"/>
      <c r="T802" s="603"/>
      <c r="U802" s="603"/>
      <c r="V802" s="603"/>
      <c r="W802" s="603"/>
      <c r="X802" s="603"/>
      <c r="Y802" s="603"/>
      <c r="Z802" s="603"/>
    </row>
    <row r="803" spans="1:26" ht="15.75" customHeight="1" x14ac:dyDescent="0.2">
      <c r="A803" s="603"/>
      <c r="B803" s="603"/>
      <c r="C803" s="603"/>
      <c r="D803" s="603"/>
      <c r="E803" s="603"/>
      <c r="F803" s="603"/>
      <c r="G803" s="603"/>
      <c r="H803" s="603"/>
      <c r="I803" s="603"/>
      <c r="J803" s="603"/>
      <c r="K803" s="449"/>
      <c r="L803" s="603"/>
      <c r="M803" s="603"/>
      <c r="N803" s="603"/>
      <c r="O803" s="603"/>
      <c r="P803" s="603"/>
      <c r="Q803" s="603"/>
      <c r="R803" s="603"/>
      <c r="S803" s="603"/>
      <c r="T803" s="603"/>
      <c r="U803" s="603"/>
      <c r="V803" s="603"/>
      <c r="W803" s="603"/>
      <c r="X803" s="603"/>
      <c r="Y803" s="603"/>
      <c r="Z803" s="603"/>
    </row>
    <row r="804" spans="1:26" ht="15.75" customHeight="1" x14ac:dyDescent="0.2">
      <c r="A804" s="603"/>
      <c r="B804" s="603"/>
      <c r="C804" s="603"/>
      <c r="D804" s="603"/>
      <c r="E804" s="603"/>
      <c r="F804" s="603"/>
      <c r="G804" s="603"/>
      <c r="H804" s="603"/>
      <c r="I804" s="603"/>
      <c r="J804" s="603"/>
      <c r="K804" s="449"/>
      <c r="L804" s="603"/>
      <c r="M804" s="603"/>
      <c r="N804" s="603"/>
      <c r="O804" s="603"/>
      <c r="P804" s="603"/>
      <c r="Q804" s="603"/>
      <c r="R804" s="603"/>
      <c r="S804" s="603"/>
      <c r="T804" s="603"/>
      <c r="U804" s="603"/>
      <c r="V804" s="603"/>
      <c r="W804" s="603"/>
      <c r="X804" s="603"/>
      <c r="Y804" s="603"/>
      <c r="Z804" s="603"/>
    </row>
    <row r="805" spans="1:26" ht="15.75" customHeight="1" x14ac:dyDescent="0.2">
      <c r="A805" s="603"/>
      <c r="B805" s="603"/>
      <c r="C805" s="603"/>
      <c r="D805" s="603"/>
      <c r="E805" s="603"/>
      <c r="F805" s="603"/>
      <c r="G805" s="603"/>
      <c r="H805" s="603"/>
      <c r="I805" s="603"/>
      <c r="J805" s="603"/>
      <c r="K805" s="449"/>
      <c r="L805" s="603"/>
      <c r="M805" s="603"/>
      <c r="N805" s="603"/>
      <c r="O805" s="603"/>
      <c r="P805" s="603"/>
      <c r="Q805" s="603"/>
      <c r="R805" s="603"/>
      <c r="S805" s="603"/>
      <c r="T805" s="603"/>
      <c r="U805" s="603"/>
      <c r="V805" s="603"/>
      <c r="W805" s="603"/>
      <c r="X805" s="603"/>
      <c r="Y805" s="603"/>
      <c r="Z805" s="603"/>
    </row>
    <row r="806" spans="1:26" ht="15.75" customHeight="1" x14ac:dyDescent="0.2">
      <c r="A806" s="603"/>
      <c r="B806" s="603"/>
      <c r="C806" s="603"/>
      <c r="D806" s="603"/>
      <c r="E806" s="603"/>
      <c r="F806" s="603"/>
      <c r="G806" s="603"/>
      <c r="H806" s="603"/>
      <c r="I806" s="603"/>
      <c r="J806" s="603"/>
      <c r="K806" s="449"/>
      <c r="L806" s="603"/>
      <c r="M806" s="603"/>
      <c r="N806" s="603"/>
      <c r="O806" s="603"/>
      <c r="P806" s="603"/>
      <c r="Q806" s="603"/>
      <c r="R806" s="603"/>
      <c r="S806" s="603"/>
      <c r="T806" s="603"/>
      <c r="U806" s="603"/>
      <c r="V806" s="603"/>
      <c r="W806" s="603"/>
      <c r="X806" s="603"/>
      <c r="Y806" s="603"/>
      <c r="Z806" s="603"/>
    </row>
    <row r="807" spans="1:26" ht="15.75" customHeight="1" x14ac:dyDescent="0.2">
      <c r="A807" s="603"/>
      <c r="B807" s="603"/>
      <c r="C807" s="603"/>
      <c r="D807" s="603"/>
      <c r="E807" s="603"/>
      <c r="F807" s="603"/>
      <c r="G807" s="603"/>
      <c r="H807" s="603"/>
      <c r="I807" s="603"/>
      <c r="J807" s="603"/>
      <c r="K807" s="449"/>
      <c r="L807" s="603"/>
      <c r="M807" s="603"/>
      <c r="N807" s="603"/>
      <c r="O807" s="603"/>
      <c r="P807" s="603"/>
      <c r="Q807" s="603"/>
      <c r="R807" s="603"/>
      <c r="S807" s="603"/>
      <c r="T807" s="603"/>
      <c r="U807" s="603"/>
      <c r="V807" s="603"/>
      <c r="W807" s="603"/>
      <c r="X807" s="603"/>
      <c r="Y807" s="603"/>
      <c r="Z807" s="603"/>
    </row>
    <row r="808" spans="1:26" ht="15.75" customHeight="1" x14ac:dyDescent="0.2">
      <c r="A808" s="603"/>
      <c r="B808" s="603"/>
      <c r="C808" s="603"/>
      <c r="D808" s="603"/>
      <c r="E808" s="603"/>
      <c r="F808" s="603"/>
      <c r="G808" s="603"/>
      <c r="H808" s="603"/>
      <c r="I808" s="603"/>
      <c r="J808" s="603"/>
      <c r="K808" s="449"/>
      <c r="L808" s="603"/>
      <c r="M808" s="603"/>
      <c r="N808" s="603"/>
      <c r="O808" s="603"/>
      <c r="P808" s="603"/>
      <c r="Q808" s="603"/>
      <c r="R808" s="603"/>
      <c r="S808" s="603"/>
      <c r="T808" s="603"/>
      <c r="U808" s="603"/>
      <c r="V808" s="603"/>
      <c r="W808" s="603"/>
      <c r="X808" s="603"/>
      <c r="Y808" s="603"/>
      <c r="Z808" s="603"/>
    </row>
    <row r="809" spans="1:26" ht="15.75" customHeight="1" x14ac:dyDescent="0.2">
      <c r="A809" s="603"/>
      <c r="B809" s="603"/>
      <c r="C809" s="603"/>
      <c r="D809" s="603"/>
      <c r="E809" s="603"/>
      <c r="F809" s="603"/>
      <c r="G809" s="603"/>
      <c r="H809" s="603"/>
      <c r="I809" s="603"/>
      <c r="J809" s="603"/>
      <c r="K809" s="449"/>
      <c r="L809" s="603"/>
      <c r="M809" s="603"/>
      <c r="N809" s="603"/>
      <c r="O809" s="603"/>
      <c r="P809" s="603"/>
      <c r="Q809" s="603"/>
      <c r="R809" s="603"/>
      <c r="S809" s="603"/>
      <c r="T809" s="603"/>
      <c r="U809" s="603"/>
      <c r="V809" s="603"/>
      <c r="W809" s="603"/>
      <c r="X809" s="603"/>
      <c r="Y809" s="603"/>
      <c r="Z809" s="603"/>
    </row>
    <row r="810" spans="1:26" ht="15.75" customHeight="1" x14ac:dyDescent="0.2">
      <c r="A810" s="603"/>
      <c r="B810" s="603"/>
      <c r="C810" s="603"/>
      <c r="D810" s="603"/>
      <c r="E810" s="603"/>
      <c r="F810" s="603"/>
      <c r="G810" s="603"/>
      <c r="H810" s="603"/>
      <c r="I810" s="603"/>
      <c r="J810" s="603"/>
      <c r="K810" s="449"/>
      <c r="L810" s="603"/>
      <c r="M810" s="603"/>
      <c r="N810" s="603"/>
      <c r="O810" s="603"/>
      <c r="P810" s="603"/>
      <c r="Q810" s="603"/>
      <c r="R810" s="603"/>
      <c r="S810" s="603"/>
      <c r="T810" s="603"/>
      <c r="U810" s="603"/>
      <c r="V810" s="603"/>
      <c r="W810" s="603"/>
      <c r="X810" s="603"/>
      <c r="Y810" s="603"/>
      <c r="Z810" s="603"/>
    </row>
    <row r="811" spans="1:26" ht="15.75" customHeight="1" x14ac:dyDescent="0.2">
      <c r="A811" s="603"/>
      <c r="B811" s="603"/>
      <c r="C811" s="603"/>
      <c r="D811" s="603"/>
      <c r="E811" s="603"/>
      <c r="F811" s="603"/>
      <c r="G811" s="603"/>
      <c r="H811" s="603"/>
      <c r="I811" s="603"/>
      <c r="J811" s="603"/>
      <c r="K811" s="449"/>
      <c r="L811" s="603"/>
      <c r="M811" s="603"/>
      <c r="N811" s="603"/>
      <c r="O811" s="603"/>
      <c r="P811" s="603"/>
      <c r="Q811" s="603"/>
      <c r="R811" s="603"/>
      <c r="S811" s="603"/>
      <c r="T811" s="603"/>
      <c r="U811" s="603"/>
      <c r="V811" s="603"/>
      <c r="W811" s="603"/>
      <c r="X811" s="603"/>
      <c r="Y811" s="603"/>
      <c r="Z811" s="603"/>
    </row>
    <row r="812" spans="1:26" ht="15.75" customHeight="1" x14ac:dyDescent="0.2">
      <c r="A812" s="603"/>
      <c r="B812" s="603"/>
      <c r="C812" s="603"/>
      <c r="D812" s="603"/>
      <c r="E812" s="603"/>
      <c r="F812" s="603"/>
      <c r="G812" s="603"/>
      <c r="H812" s="603"/>
      <c r="I812" s="603"/>
      <c r="J812" s="603"/>
      <c r="K812" s="449"/>
      <c r="L812" s="603"/>
      <c r="M812" s="603"/>
      <c r="N812" s="603"/>
      <c r="O812" s="603"/>
      <c r="P812" s="603"/>
      <c r="Q812" s="603"/>
      <c r="R812" s="603"/>
      <c r="S812" s="603"/>
      <c r="T812" s="603"/>
      <c r="U812" s="603"/>
      <c r="V812" s="603"/>
      <c r="W812" s="603"/>
      <c r="X812" s="603"/>
      <c r="Y812" s="603"/>
      <c r="Z812" s="603"/>
    </row>
    <row r="813" spans="1:26" ht="15.75" customHeight="1" x14ac:dyDescent="0.2">
      <c r="A813" s="603"/>
      <c r="B813" s="603"/>
      <c r="C813" s="603"/>
      <c r="D813" s="603"/>
      <c r="E813" s="603"/>
      <c r="F813" s="603"/>
      <c r="G813" s="603"/>
      <c r="H813" s="603"/>
      <c r="I813" s="603"/>
      <c r="J813" s="603"/>
      <c r="K813" s="449"/>
      <c r="L813" s="603"/>
      <c r="M813" s="603"/>
      <c r="N813" s="603"/>
      <c r="O813" s="603"/>
      <c r="P813" s="603"/>
      <c r="Q813" s="603"/>
      <c r="R813" s="603"/>
      <c r="S813" s="603"/>
      <c r="T813" s="603"/>
      <c r="U813" s="603"/>
      <c r="V813" s="603"/>
      <c r="W813" s="603"/>
      <c r="X813" s="603"/>
      <c r="Y813" s="603"/>
      <c r="Z813" s="603"/>
    </row>
    <row r="814" spans="1:26" ht="15.75" customHeight="1" x14ac:dyDescent="0.2">
      <c r="A814" s="603"/>
      <c r="B814" s="603"/>
      <c r="C814" s="603"/>
      <c r="D814" s="603"/>
      <c r="E814" s="603"/>
      <c r="F814" s="603"/>
      <c r="G814" s="603"/>
      <c r="H814" s="603"/>
      <c r="I814" s="603"/>
      <c r="J814" s="603"/>
      <c r="K814" s="449"/>
      <c r="L814" s="603"/>
      <c r="M814" s="603"/>
      <c r="N814" s="603"/>
      <c r="O814" s="603"/>
      <c r="P814" s="603"/>
      <c r="Q814" s="603"/>
      <c r="R814" s="603"/>
      <c r="S814" s="603"/>
      <c r="T814" s="603"/>
      <c r="U814" s="603"/>
      <c r="V814" s="603"/>
      <c r="W814" s="603"/>
      <c r="X814" s="603"/>
      <c r="Y814" s="603"/>
      <c r="Z814" s="603"/>
    </row>
    <row r="815" spans="1:26" ht="15.75" customHeight="1" x14ac:dyDescent="0.2">
      <c r="A815" s="603"/>
      <c r="B815" s="603"/>
      <c r="C815" s="603"/>
      <c r="D815" s="603"/>
      <c r="E815" s="603"/>
      <c r="F815" s="603"/>
      <c r="G815" s="603"/>
      <c r="H815" s="603"/>
      <c r="I815" s="603"/>
      <c r="J815" s="603"/>
      <c r="K815" s="449"/>
      <c r="L815" s="603"/>
      <c r="M815" s="603"/>
      <c r="N815" s="603"/>
      <c r="O815" s="603"/>
      <c r="P815" s="603"/>
      <c r="Q815" s="603"/>
      <c r="R815" s="603"/>
      <c r="S815" s="603"/>
      <c r="T815" s="603"/>
      <c r="U815" s="603"/>
      <c r="V815" s="603"/>
      <c r="W815" s="603"/>
      <c r="X815" s="603"/>
      <c r="Y815" s="603"/>
      <c r="Z815" s="603"/>
    </row>
    <row r="816" spans="1:26" ht="15.75" customHeight="1" x14ac:dyDescent="0.2">
      <c r="A816" s="603"/>
      <c r="B816" s="603"/>
      <c r="C816" s="603"/>
      <c r="D816" s="603"/>
      <c r="E816" s="603"/>
      <c r="F816" s="603"/>
      <c r="G816" s="603"/>
      <c r="H816" s="603"/>
      <c r="I816" s="603"/>
      <c r="J816" s="603"/>
      <c r="K816" s="449"/>
      <c r="L816" s="603"/>
      <c r="M816" s="603"/>
      <c r="N816" s="603"/>
      <c r="O816" s="603"/>
      <c r="P816" s="603"/>
      <c r="Q816" s="603"/>
      <c r="R816" s="603"/>
      <c r="S816" s="603"/>
      <c r="T816" s="603"/>
      <c r="U816" s="603"/>
      <c r="V816" s="603"/>
      <c r="W816" s="603"/>
      <c r="X816" s="603"/>
      <c r="Y816" s="603"/>
      <c r="Z816" s="603"/>
    </row>
    <row r="817" spans="1:26" ht="15.75" customHeight="1" x14ac:dyDescent="0.2">
      <c r="A817" s="603"/>
      <c r="B817" s="603"/>
      <c r="C817" s="603"/>
      <c r="D817" s="603"/>
      <c r="E817" s="603"/>
      <c r="F817" s="603"/>
      <c r="G817" s="603"/>
      <c r="H817" s="603"/>
      <c r="I817" s="603"/>
      <c r="J817" s="603"/>
      <c r="K817" s="449"/>
      <c r="L817" s="603"/>
      <c r="M817" s="603"/>
      <c r="N817" s="603"/>
      <c r="O817" s="603"/>
      <c r="P817" s="603"/>
      <c r="Q817" s="603"/>
      <c r="R817" s="603"/>
      <c r="S817" s="603"/>
      <c r="T817" s="603"/>
      <c r="U817" s="603"/>
      <c r="V817" s="603"/>
      <c r="W817" s="603"/>
      <c r="X817" s="603"/>
      <c r="Y817" s="603"/>
      <c r="Z817" s="603"/>
    </row>
    <row r="818" spans="1:26" ht="15.75" customHeight="1" x14ac:dyDescent="0.2">
      <c r="A818" s="603"/>
      <c r="B818" s="603"/>
      <c r="C818" s="603"/>
      <c r="D818" s="603"/>
      <c r="E818" s="603"/>
      <c r="F818" s="603"/>
      <c r="G818" s="603"/>
      <c r="H818" s="603"/>
      <c r="I818" s="603"/>
      <c r="J818" s="603"/>
      <c r="K818" s="449"/>
      <c r="L818" s="603"/>
      <c r="M818" s="603"/>
      <c r="N818" s="603"/>
      <c r="O818" s="603"/>
      <c r="P818" s="603"/>
      <c r="Q818" s="603"/>
      <c r="R818" s="603"/>
      <c r="S818" s="603"/>
      <c r="T818" s="603"/>
      <c r="U818" s="603"/>
      <c r="V818" s="603"/>
      <c r="W818" s="603"/>
      <c r="X818" s="603"/>
      <c r="Y818" s="603"/>
      <c r="Z818" s="603"/>
    </row>
    <row r="819" spans="1:26" ht="15.75" customHeight="1" x14ac:dyDescent="0.2">
      <c r="A819" s="603"/>
      <c r="B819" s="603"/>
      <c r="C819" s="603"/>
      <c r="D819" s="603"/>
      <c r="E819" s="603"/>
      <c r="F819" s="603"/>
      <c r="G819" s="603"/>
      <c r="H819" s="603"/>
      <c r="I819" s="603"/>
      <c r="J819" s="603"/>
      <c r="K819" s="449"/>
      <c r="L819" s="603"/>
      <c r="M819" s="603"/>
      <c r="N819" s="603"/>
      <c r="O819" s="603"/>
      <c r="P819" s="603"/>
      <c r="Q819" s="603"/>
      <c r="R819" s="603"/>
      <c r="S819" s="603"/>
      <c r="T819" s="603"/>
      <c r="U819" s="603"/>
      <c r="V819" s="603"/>
      <c r="W819" s="603"/>
      <c r="X819" s="603"/>
      <c r="Y819" s="603"/>
      <c r="Z819" s="603"/>
    </row>
    <row r="820" spans="1:26" ht="15.75" customHeight="1" x14ac:dyDescent="0.2">
      <c r="A820" s="603"/>
      <c r="B820" s="603"/>
      <c r="C820" s="603"/>
      <c r="D820" s="603"/>
      <c r="E820" s="603"/>
      <c r="F820" s="603"/>
      <c r="G820" s="603"/>
      <c r="H820" s="603"/>
      <c r="I820" s="603"/>
      <c r="J820" s="603"/>
      <c r="K820" s="449"/>
      <c r="L820" s="603"/>
      <c r="M820" s="603"/>
      <c r="N820" s="603"/>
      <c r="O820" s="603"/>
      <c r="P820" s="603"/>
      <c r="Q820" s="603"/>
      <c r="R820" s="603"/>
      <c r="S820" s="603"/>
      <c r="T820" s="603"/>
      <c r="U820" s="603"/>
      <c r="V820" s="603"/>
      <c r="W820" s="603"/>
      <c r="X820" s="603"/>
      <c r="Y820" s="603"/>
      <c r="Z820" s="603"/>
    </row>
    <row r="821" spans="1:26" ht="15.75" customHeight="1" x14ac:dyDescent="0.2">
      <c r="A821" s="603"/>
      <c r="B821" s="603"/>
      <c r="C821" s="603"/>
      <c r="D821" s="603"/>
      <c r="E821" s="603"/>
      <c r="F821" s="603"/>
      <c r="G821" s="603"/>
      <c r="H821" s="603"/>
      <c r="I821" s="603"/>
      <c r="J821" s="603"/>
      <c r="K821" s="449"/>
      <c r="L821" s="603"/>
      <c r="M821" s="603"/>
      <c r="N821" s="603"/>
      <c r="O821" s="603"/>
      <c r="P821" s="603"/>
      <c r="Q821" s="603"/>
      <c r="R821" s="603"/>
      <c r="S821" s="603"/>
      <c r="T821" s="603"/>
      <c r="U821" s="603"/>
      <c r="V821" s="603"/>
      <c r="W821" s="603"/>
      <c r="X821" s="603"/>
      <c r="Y821" s="603"/>
      <c r="Z821" s="603"/>
    </row>
    <row r="822" spans="1:26" ht="15.75" customHeight="1" x14ac:dyDescent="0.2">
      <c r="A822" s="603"/>
      <c r="B822" s="603"/>
      <c r="C822" s="603"/>
      <c r="D822" s="603"/>
      <c r="E822" s="603"/>
      <c r="F822" s="603"/>
      <c r="G822" s="603"/>
      <c r="H822" s="603"/>
      <c r="I822" s="603"/>
      <c r="J822" s="603"/>
      <c r="K822" s="449"/>
      <c r="L822" s="603"/>
      <c r="M822" s="603"/>
      <c r="N822" s="603"/>
      <c r="O822" s="603"/>
      <c r="P822" s="603"/>
      <c r="Q822" s="603"/>
      <c r="R822" s="603"/>
      <c r="S822" s="603"/>
      <c r="T822" s="603"/>
      <c r="U822" s="603"/>
      <c r="V822" s="603"/>
      <c r="W822" s="603"/>
      <c r="X822" s="603"/>
      <c r="Y822" s="603"/>
      <c r="Z822" s="603"/>
    </row>
    <row r="823" spans="1:26" ht="15.75" customHeight="1" x14ac:dyDescent="0.2">
      <c r="A823" s="603"/>
      <c r="B823" s="603"/>
      <c r="C823" s="603"/>
      <c r="D823" s="603"/>
      <c r="E823" s="603"/>
      <c r="F823" s="603"/>
      <c r="G823" s="603"/>
      <c r="H823" s="603"/>
      <c r="I823" s="603"/>
      <c r="J823" s="603"/>
      <c r="K823" s="449"/>
      <c r="L823" s="603"/>
      <c r="M823" s="603"/>
      <c r="N823" s="603"/>
      <c r="O823" s="603"/>
      <c r="P823" s="603"/>
      <c r="Q823" s="603"/>
      <c r="R823" s="603"/>
      <c r="S823" s="603"/>
      <c r="T823" s="603"/>
      <c r="U823" s="603"/>
      <c r="V823" s="603"/>
      <c r="W823" s="603"/>
      <c r="X823" s="603"/>
      <c r="Y823" s="603"/>
      <c r="Z823" s="603"/>
    </row>
    <row r="824" spans="1:26" ht="15.75" customHeight="1" x14ac:dyDescent="0.2">
      <c r="A824" s="603"/>
      <c r="B824" s="603"/>
      <c r="C824" s="603"/>
      <c r="D824" s="603"/>
      <c r="E824" s="603"/>
      <c r="F824" s="603"/>
      <c r="G824" s="603"/>
      <c r="H824" s="603"/>
      <c r="I824" s="603"/>
      <c r="J824" s="603"/>
      <c r="K824" s="449"/>
      <c r="L824" s="603"/>
      <c r="M824" s="603"/>
      <c r="N824" s="603"/>
      <c r="O824" s="603"/>
      <c r="P824" s="603"/>
      <c r="Q824" s="603"/>
      <c r="R824" s="603"/>
      <c r="S824" s="603"/>
      <c r="T824" s="603"/>
      <c r="U824" s="603"/>
      <c r="V824" s="603"/>
      <c r="W824" s="603"/>
      <c r="X824" s="603"/>
      <c r="Y824" s="603"/>
      <c r="Z824" s="603"/>
    </row>
    <row r="825" spans="1:26" ht="15.75" customHeight="1" x14ac:dyDescent="0.2">
      <c r="A825" s="603"/>
      <c r="B825" s="603"/>
      <c r="C825" s="603"/>
      <c r="D825" s="603"/>
      <c r="E825" s="603"/>
      <c r="F825" s="603"/>
      <c r="G825" s="603"/>
      <c r="H825" s="603"/>
      <c r="I825" s="603"/>
      <c r="J825" s="603"/>
      <c r="K825" s="449"/>
      <c r="L825" s="603"/>
      <c r="M825" s="603"/>
      <c r="N825" s="603"/>
      <c r="O825" s="603"/>
      <c r="P825" s="603"/>
      <c r="Q825" s="603"/>
      <c r="R825" s="603"/>
      <c r="S825" s="603"/>
      <c r="T825" s="603"/>
      <c r="U825" s="603"/>
      <c r="V825" s="603"/>
      <c r="W825" s="603"/>
      <c r="X825" s="603"/>
      <c r="Y825" s="603"/>
      <c r="Z825" s="603"/>
    </row>
    <row r="826" spans="1:26" ht="15.75" customHeight="1" x14ac:dyDescent="0.2">
      <c r="A826" s="603"/>
      <c r="B826" s="603"/>
      <c r="C826" s="603"/>
      <c r="D826" s="603"/>
      <c r="E826" s="603"/>
      <c r="F826" s="603"/>
      <c r="G826" s="603"/>
      <c r="H826" s="603"/>
      <c r="I826" s="603"/>
      <c r="J826" s="603"/>
      <c r="K826" s="449"/>
      <c r="L826" s="603"/>
      <c r="M826" s="603"/>
      <c r="N826" s="603"/>
      <c r="O826" s="603"/>
      <c r="P826" s="603"/>
      <c r="Q826" s="603"/>
      <c r="R826" s="603"/>
      <c r="S826" s="603"/>
      <c r="T826" s="603"/>
      <c r="U826" s="603"/>
      <c r="V826" s="603"/>
      <c r="W826" s="603"/>
      <c r="X826" s="603"/>
      <c r="Y826" s="603"/>
      <c r="Z826" s="603"/>
    </row>
    <row r="827" spans="1:26" ht="15.75" customHeight="1" x14ac:dyDescent="0.2">
      <c r="A827" s="603"/>
      <c r="B827" s="603"/>
      <c r="C827" s="603"/>
      <c r="D827" s="603"/>
      <c r="E827" s="603"/>
      <c r="F827" s="603"/>
      <c r="G827" s="603"/>
      <c r="H827" s="603"/>
      <c r="I827" s="603"/>
      <c r="J827" s="603"/>
      <c r="K827" s="449"/>
      <c r="L827" s="603"/>
      <c r="M827" s="603"/>
      <c r="N827" s="603"/>
      <c r="O827" s="603"/>
      <c r="P827" s="603"/>
      <c r="Q827" s="603"/>
      <c r="R827" s="603"/>
      <c r="S827" s="603"/>
      <c r="T827" s="603"/>
      <c r="U827" s="603"/>
      <c r="V827" s="603"/>
      <c r="W827" s="603"/>
      <c r="X827" s="603"/>
      <c r="Y827" s="603"/>
      <c r="Z827" s="603"/>
    </row>
    <row r="828" spans="1:26" ht="15.75" customHeight="1" x14ac:dyDescent="0.2">
      <c r="A828" s="603"/>
      <c r="B828" s="603"/>
      <c r="C828" s="603"/>
      <c r="D828" s="603"/>
      <c r="E828" s="603"/>
      <c r="F828" s="603"/>
      <c r="G828" s="603"/>
      <c r="H828" s="603"/>
      <c r="I828" s="603"/>
      <c r="J828" s="603"/>
      <c r="K828" s="449"/>
      <c r="L828" s="603"/>
      <c r="M828" s="603"/>
      <c r="N828" s="603"/>
      <c r="O828" s="603"/>
      <c r="P828" s="603"/>
      <c r="Q828" s="603"/>
      <c r="R828" s="603"/>
      <c r="S828" s="603"/>
      <c r="T828" s="603"/>
      <c r="U828" s="603"/>
      <c r="V828" s="603"/>
      <c r="W828" s="603"/>
      <c r="X828" s="603"/>
      <c r="Y828" s="603"/>
      <c r="Z828" s="603"/>
    </row>
    <row r="829" spans="1:26" ht="15.75" customHeight="1" x14ac:dyDescent="0.2">
      <c r="A829" s="603"/>
      <c r="B829" s="603"/>
      <c r="C829" s="603"/>
      <c r="D829" s="603"/>
      <c r="E829" s="603"/>
      <c r="F829" s="603"/>
      <c r="G829" s="603"/>
      <c r="H829" s="603"/>
      <c r="I829" s="603"/>
      <c r="J829" s="603"/>
      <c r="K829" s="449"/>
      <c r="L829" s="603"/>
      <c r="M829" s="603"/>
      <c r="N829" s="603"/>
      <c r="O829" s="603"/>
      <c r="P829" s="603"/>
      <c r="Q829" s="603"/>
      <c r="R829" s="603"/>
      <c r="S829" s="603"/>
      <c r="T829" s="603"/>
      <c r="U829" s="603"/>
      <c r="V829" s="603"/>
      <c r="W829" s="603"/>
      <c r="X829" s="603"/>
      <c r="Y829" s="603"/>
      <c r="Z829" s="603"/>
    </row>
    <row r="830" spans="1:26" ht="15.75" customHeight="1" x14ac:dyDescent="0.2">
      <c r="A830" s="603"/>
      <c r="B830" s="603"/>
      <c r="C830" s="603"/>
      <c r="D830" s="603"/>
      <c r="E830" s="603"/>
      <c r="F830" s="603"/>
      <c r="G830" s="603"/>
      <c r="H830" s="603"/>
      <c r="I830" s="603"/>
      <c r="J830" s="603"/>
      <c r="K830" s="449"/>
      <c r="L830" s="603"/>
      <c r="M830" s="603"/>
      <c r="N830" s="603"/>
      <c r="O830" s="603"/>
      <c r="P830" s="603"/>
      <c r="Q830" s="603"/>
      <c r="R830" s="603"/>
      <c r="S830" s="603"/>
      <c r="T830" s="603"/>
      <c r="U830" s="603"/>
      <c r="V830" s="603"/>
      <c r="W830" s="603"/>
      <c r="X830" s="603"/>
      <c r="Y830" s="603"/>
      <c r="Z830" s="603"/>
    </row>
    <row r="831" spans="1:26" ht="15.75" customHeight="1" x14ac:dyDescent="0.2">
      <c r="A831" s="603"/>
      <c r="B831" s="603"/>
      <c r="C831" s="603"/>
      <c r="D831" s="603"/>
      <c r="E831" s="603"/>
      <c r="F831" s="603"/>
      <c r="G831" s="603"/>
      <c r="H831" s="603"/>
      <c r="I831" s="603"/>
      <c r="J831" s="603"/>
      <c r="K831" s="449"/>
      <c r="L831" s="603"/>
      <c r="M831" s="603"/>
      <c r="N831" s="603"/>
      <c r="O831" s="603"/>
      <c r="P831" s="603"/>
      <c r="Q831" s="603"/>
      <c r="R831" s="603"/>
      <c r="S831" s="603"/>
      <c r="T831" s="603"/>
      <c r="U831" s="603"/>
      <c r="V831" s="603"/>
      <c r="W831" s="603"/>
      <c r="X831" s="603"/>
      <c r="Y831" s="603"/>
      <c r="Z831" s="603"/>
    </row>
    <row r="832" spans="1:26" ht="15.75" customHeight="1" x14ac:dyDescent="0.2">
      <c r="A832" s="603"/>
      <c r="B832" s="603"/>
      <c r="C832" s="603"/>
      <c r="D832" s="603"/>
      <c r="E832" s="603"/>
      <c r="F832" s="603"/>
      <c r="G832" s="603"/>
      <c r="H832" s="603"/>
      <c r="I832" s="603"/>
      <c r="J832" s="603"/>
      <c r="K832" s="449"/>
      <c r="L832" s="603"/>
      <c r="M832" s="603"/>
      <c r="N832" s="603"/>
      <c r="O832" s="603"/>
      <c r="P832" s="603"/>
      <c r="Q832" s="603"/>
      <c r="R832" s="603"/>
      <c r="S832" s="603"/>
      <c r="T832" s="603"/>
      <c r="U832" s="603"/>
      <c r="V832" s="603"/>
      <c r="W832" s="603"/>
      <c r="X832" s="603"/>
      <c r="Y832" s="603"/>
      <c r="Z832" s="603"/>
    </row>
    <row r="833" spans="1:26" ht="15.75" customHeight="1" x14ac:dyDescent="0.2">
      <c r="A833" s="603"/>
      <c r="B833" s="603"/>
      <c r="C833" s="603"/>
      <c r="D833" s="603"/>
      <c r="E833" s="603"/>
      <c r="F833" s="603"/>
      <c r="G833" s="603"/>
      <c r="H833" s="603"/>
      <c r="I833" s="603"/>
      <c r="J833" s="603"/>
      <c r="K833" s="449"/>
      <c r="L833" s="603"/>
      <c r="M833" s="603"/>
      <c r="N833" s="603"/>
      <c r="O833" s="603"/>
      <c r="P833" s="603"/>
      <c r="Q833" s="603"/>
      <c r="R833" s="603"/>
      <c r="S833" s="603"/>
      <c r="T833" s="603"/>
      <c r="U833" s="603"/>
      <c r="V833" s="603"/>
      <c r="W833" s="603"/>
      <c r="X833" s="603"/>
      <c r="Y833" s="603"/>
      <c r="Z833" s="603"/>
    </row>
    <row r="834" spans="1:26" ht="15.75" customHeight="1" x14ac:dyDescent="0.2">
      <c r="A834" s="603"/>
      <c r="B834" s="603"/>
      <c r="C834" s="603"/>
      <c r="D834" s="603"/>
      <c r="E834" s="603"/>
      <c r="F834" s="603"/>
      <c r="G834" s="603"/>
      <c r="H834" s="603"/>
      <c r="I834" s="603"/>
      <c r="J834" s="603"/>
      <c r="K834" s="449"/>
      <c r="L834" s="603"/>
      <c r="M834" s="603"/>
      <c r="N834" s="603"/>
      <c r="O834" s="603"/>
      <c r="P834" s="603"/>
      <c r="Q834" s="603"/>
      <c r="R834" s="603"/>
      <c r="S834" s="603"/>
      <c r="T834" s="603"/>
      <c r="U834" s="603"/>
      <c r="V834" s="603"/>
      <c r="W834" s="603"/>
      <c r="X834" s="603"/>
      <c r="Y834" s="603"/>
      <c r="Z834" s="603"/>
    </row>
    <row r="835" spans="1:26" ht="15.75" customHeight="1" x14ac:dyDescent="0.2">
      <c r="A835" s="603"/>
      <c r="B835" s="603"/>
      <c r="C835" s="603"/>
      <c r="D835" s="603"/>
      <c r="E835" s="603"/>
      <c r="F835" s="603"/>
      <c r="G835" s="603"/>
      <c r="H835" s="603"/>
      <c r="I835" s="603"/>
      <c r="J835" s="603"/>
      <c r="K835" s="449"/>
      <c r="L835" s="603"/>
      <c r="M835" s="603"/>
      <c r="N835" s="603"/>
      <c r="O835" s="603"/>
      <c r="P835" s="603"/>
      <c r="Q835" s="603"/>
      <c r="R835" s="603"/>
      <c r="S835" s="603"/>
      <c r="T835" s="603"/>
      <c r="U835" s="603"/>
      <c r="V835" s="603"/>
      <c r="W835" s="603"/>
      <c r="X835" s="603"/>
      <c r="Y835" s="603"/>
      <c r="Z835" s="603"/>
    </row>
    <row r="836" spans="1:26" ht="15.75" customHeight="1" x14ac:dyDescent="0.2">
      <c r="A836" s="603"/>
      <c r="B836" s="603"/>
      <c r="C836" s="603"/>
      <c r="D836" s="603"/>
      <c r="E836" s="603"/>
      <c r="F836" s="603"/>
      <c r="G836" s="603"/>
      <c r="H836" s="603"/>
      <c r="I836" s="603"/>
      <c r="J836" s="603"/>
      <c r="K836" s="449"/>
      <c r="L836" s="603"/>
      <c r="M836" s="603"/>
      <c r="N836" s="603"/>
      <c r="O836" s="603"/>
      <c r="P836" s="603"/>
      <c r="Q836" s="603"/>
      <c r="R836" s="603"/>
      <c r="S836" s="603"/>
      <c r="T836" s="603"/>
      <c r="U836" s="603"/>
      <c r="V836" s="603"/>
      <c r="W836" s="603"/>
      <c r="X836" s="603"/>
      <c r="Y836" s="603"/>
      <c r="Z836" s="603"/>
    </row>
    <row r="837" spans="1:26" ht="15.75" customHeight="1" x14ac:dyDescent="0.2">
      <c r="A837" s="603"/>
      <c r="B837" s="603"/>
      <c r="C837" s="603"/>
      <c r="D837" s="603"/>
      <c r="E837" s="603"/>
      <c r="F837" s="603"/>
      <c r="G837" s="603"/>
      <c r="H837" s="603"/>
      <c r="I837" s="603"/>
      <c r="J837" s="603"/>
      <c r="K837" s="449"/>
      <c r="L837" s="603"/>
      <c r="M837" s="603"/>
      <c r="N837" s="603"/>
      <c r="O837" s="603"/>
      <c r="P837" s="603"/>
      <c r="Q837" s="603"/>
      <c r="R837" s="603"/>
      <c r="S837" s="603"/>
      <c r="T837" s="603"/>
      <c r="U837" s="603"/>
      <c r="V837" s="603"/>
      <c r="W837" s="603"/>
      <c r="X837" s="603"/>
      <c r="Y837" s="603"/>
      <c r="Z837" s="603"/>
    </row>
    <row r="838" spans="1:26" ht="15.75" customHeight="1" x14ac:dyDescent="0.2">
      <c r="A838" s="603"/>
      <c r="B838" s="603"/>
      <c r="C838" s="603"/>
      <c r="D838" s="603"/>
      <c r="E838" s="603"/>
      <c r="F838" s="603"/>
      <c r="G838" s="603"/>
      <c r="H838" s="603"/>
      <c r="I838" s="603"/>
      <c r="J838" s="603"/>
      <c r="K838" s="449"/>
      <c r="L838" s="603"/>
      <c r="M838" s="603"/>
      <c r="N838" s="603"/>
      <c r="O838" s="603"/>
      <c r="P838" s="603"/>
      <c r="Q838" s="603"/>
      <c r="R838" s="603"/>
      <c r="S838" s="603"/>
      <c r="T838" s="603"/>
      <c r="U838" s="603"/>
      <c r="V838" s="603"/>
      <c r="W838" s="603"/>
      <c r="X838" s="603"/>
      <c r="Y838" s="603"/>
      <c r="Z838" s="603"/>
    </row>
    <row r="839" spans="1:26" ht="15.75" customHeight="1" x14ac:dyDescent="0.2">
      <c r="A839" s="603"/>
      <c r="B839" s="603"/>
      <c r="C839" s="603"/>
      <c r="D839" s="603"/>
      <c r="E839" s="603"/>
      <c r="F839" s="603"/>
      <c r="G839" s="603"/>
      <c r="H839" s="603"/>
      <c r="I839" s="603"/>
      <c r="J839" s="603"/>
      <c r="K839" s="449"/>
      <c r="L839" s="603"/>
      <c r="M839" s="603"/>
      <c r="N839" s="603"/>
      <c r="O839" s="603"/>
      <c r="P839" s="603"/>
      <c r="Q839" s="603"/>
      <c r="R839" s="603"/>
      <c r="S839" s="603"/>
      <c r="T839" s="603"/>
      <c r="U839" s="603"/>
      <c r="V839" s="603"/>
      <c r="W839" s="603"/>
      <c r="X839" s="603"/>
      <c r="Y839" s="603"/>
      <c r="Z839" s="603"/>
    </row>
    <row r="840" spans="1:26" ht="15.75" customHeight="1" x14ac:dyDescent="0.2">
      <c r="A840" s="603"/>
      <c r="B840" s="603"/>
      <c r="C840" s="603"/>
      <c r="D840" s="603"/>
      <c r="E840" s="603"/>
      <c r="F840" s="603"/>
      <c r="G840" s="603"/>
      <c r="H840" s="603"/>
      <c r="I840" s="603"/>
      <c r="J840" s="603"/>
      <c r="K840" s="449"/>
      <c r="L840" s="603"/>
      <c r="M840" s="603"/>
      <c r="N840" s="603"/>
      <c r="O840" s="603"/>
      <c r="P840" s="603"/>
      <c r="Q840" s="603"/>
      <c r="R840" s="603"/>
      <c r="S840" s="603"/>
      <c r="T840" s="603"/>
      <c r="U840" s="603"/>
      <c r="V840" s="603"/>
      <c r="W840" s="603"/>
      <c r="X840" s="603"/>
      <c r="Y840" s="603"/>
      <c r="Z840" s="603"/>
    </row>
    <row r="841" spans="1:26" ht="15.75" customHeight="1" x14ac:dyDescent="0.2">
      <c r="A841" s="603"/>
      <c r="B841" s="603"/>
      <c r="C841" s="603"/>
      <c r="D841" s="603"/>
      <c r="E841" s="603"/>
      <c r="F841" s="603"/>
      <c r="G841" s="603"/>
      <c r="H841" s="603"/>
      <c r="I841" s="603"/>
      <c r="J841" s="603"/>
      <c r="K841" s="449"/>
      <c r="L841" s="603"/>
      <c r="M841" s="603"/>
      <c r="N841" s="603"/>
      <c r="O841" s="603"/>
      <c r="P841" s="603"/>
      <c r="Q841" s="603"/>
      <c r="R841" s="603"/>
      <c r="S841" s="603"/>
      <c r="T841" s="603"/>
      <c r="U841" s="603"/>
      <c r="V841" s="603"/>
      <c r="W841" s="603"/>
      <c r="X841" s="603"/>
      <c r="Y841" s="603"/>
      <c r="Z841" s="603"/>
    </row>
    <row r="842" spans="1:26" ht="15.75" customHeight="1" x14ac:dyDescent="0.2">
      <c r="A842" s="603"/>
      <c r="B842" s="603"/>
      <c r="C842" s="603"/>
      <c r="D842" s="603"/>
      <c r="E842" s="603"/>
      <c r="F842" s="603"/>
      <c r="G842" s="603"/>
      <c r="H842" s="603"/>
      <c r="I842" s="603"/>
      <c r="J842" s="603"/>
      <c r="K842" s="449"/>
      <c r="L842" s="603"/>
      <c r="M842" s="603"/>
      <c r="N842" s="603"/>
      <c r="O842" s="603"/>
      <c r="P842" s="603"/>
      <c r="Q842" s="603"/>
      <c r="R842" s="603"/>
      <c r="S842" s="603"/>
      <c r="T842" s="603"/>
      <c r="U842" s="603"/>
      <c r="V842" s="603"/>
      <c r="W842" s="603"/>
      <c r="X842" s="603"/>
      <c r="Y842" s="603"/>
      <c r="Z842" s="603"/>
    </row>
    <row r="843" spans="1:26" ht="15.75" customHeight="1" x14ac:dyDescent="0.2">
      <c r="A843" s="603"/>
      <c r="B843" s="603"/>
      <c r="C843" s="603"/>
      <c r="D843" s="603"/>
      <c r="E843" s="603"/>
      <c r="F843" s="603"/>
      <c r="G843" s="603"/>
      <c r="H843" s="603"/>
      <c r="I843" s="603"/>
      <c r="J843" s="603"/>
      <c r="K843" s="449"/>
      <c r="L843" s="603"/>
      <c r="M843" s="603"/>
      <c r="N843" s="603"/>
      <c r="O843" s="603"/>
      <c r="P843" s="603"/>
      <c r="Q843" s="603"/>
      <c r="R843" s="603"/>
      <c r="S843" s="603"/>
      <c r="T843" s="603"/>
      <c r="U843" s="603"/>
      <c r="V843" s="603"/>
      <c r="W843" s="603"/>
      <c r="X843" s="603"/>
      <c r="Y843" s="603"/>
      <c r="Z843" s="603"/>
    </row>
    <row r="844" spans="1:26" ht="15.75" customHeight="1" x14ac:dyDescent="0.2">
      <c r="A844" s="603"/>
      <c r="B844" s="603"/>
      <c r="C844" s="603"/>
      <c r="D844" s="603"/>
      <c r="E844" s="603"/>
      <c r="F844" s="603"/>
      <c r="G844" s="603"/>
      <c r="H844" s="603"/>
      <c r="I844" s="603"/>
      <c r="J844" s="603"/>
      <c r="K844" s="449"/>
      <c r="L844" s="603"/>
      <c r="M844" s="603"/>
      <c r="N844" s="603"/>
      <c r="O844" s="603"/>
      <c r="P844" s="603"/>
      <c r="Q844" s="603"/>
      <c r="R844" s="603"/>
      <c r="S844" s="603"/>
      <c r="T844" s="603"/>
      <c r="U844" s="603"/>
      <c r="V844" s="603"/>
      <c r="W844" s="603"/>
      <c r="X844" s="603"/>
      <c r="Y844" s="603"/>
      <c r="Z844" s="603"/>
    </row>
    <row r="845" spans="1:26" ht="15.75" customHeight="1" x14ac:dyDescent="0.2">
      <c r="A845" s="603"/>
      <c r="B845" s="603"/>
      <c r="C845" s="603"/>
      <c r="D845" s="603"/>
      <c r="E845" s="603"/>
      <c r="F845" s="603"/>
      <c r="G845" s="603"/>
      <c r="H845" s="603"/>
      <c r="I845" s="603"/>
      <c r="J845" s="603"/>
      <c r="K845" s="449"/>
      <c r="L845" s="603"/>
      <c r="M845" s="603"/>
      <c r="N845" s="603"/>
      <c r="O845" s="603"/>
      <c r="P845" s="603"/>
      <c r="Q845" s="603"/>
      <c r="R845" s="603"/>
      <c r="S845" s="603"/>
      <c r="T845" s="603"/>
      <c r="U845" s="603"/>
      <c r="V845" s="603"/>
      <c r="W845" s="603"/>
      <c r="X845" s="603"/>
      <c r="Y845" s="603"/>
      <c r="Z845" s="603"/>
    </row>
    <row r="846" spans="1:26" ht="15.75" customHeight="1" x14ac:dyDescent="0.2">
      <c r="A846" s="603"/>
      <c r="B846" s="603"/>
      <c r="C846" s="603"/>
      <c r="D846" s="603"/>
      <c r="E846" s="603"/>
      <c r="F846" s="603"/>
      <c r="G846" s="603"/>
      <c r="H846" s="603"/>
      <c r="I846" s="603"/>
      <c r="J846" s="603"/>
      <c r="K846" s="449"/>
      <c r="L846" s="603"/>
      <c r="M846" s="603"/>
      <c r="N846" s="603"/>
      <c r="O846" s="603"/>
      <c r="P846" s="603"/>
      <c r="Q846" s="603"/>
      <c r="R846" s="603"/>
      <c r="S846" s="603"/>
      <c r="T846" s="603"/>
      <c r="U846" s="603"/>
      <c r="V846" s="603"/>
      <c r="W846" s="603"/>
      <c r="X846" s="603"/>
      <c r="Y846" s="603"/>
      <c r="Z846" s="603"/>
    </row>
    <row r="847" spans="1:26" ht="15.75" customHeight="1" x14ac:dyDescent="0.2">
      <c r="A847" s="603"/>
      <c r="B847" s="603"/>
      <c r="C847" s="603"/>
      <c r="D847" s="603"/>
      <c r="E847" s="603"/>
      <c r="F847" s="603"/>
      <c r="G847" s="603"/>
      <c r="H847" s="603"/>
      <c r="I847" s="603"/>
      <c r="J847" s="603"/>
      <c r="K847" s="449"/>
      <c r="L847" s="603"/>
      <c r="M847" s="603"/>
      <c r="N847" s="603"/>
      <c r="O847" s="603"/>
      <c r="P847" s="603"/>
      <c r="Q847" s="603"/>
      <c r="R847" s="603"/>
      <c r="S847" s="603"/>
      <c r="T847" s="603"/>
      <c r="U847" s="603"/>
      <c r="V847" s="603"/>
      <c r="W847" s="603"/>
      <c r="X847" s="603"/>
      <c r="Y847" s="603"/>
      <c r="Z847" s="603"/>
    </row>
    <row r="848" spans="1:26" ht="15.75" customHeight="1" x14ac:dyDescent="0.2">
      <c r="A848" s="603"/>
      <c r="B848" s="603"/>
      <c r="C848" s="603"/>
      <c r="D848" s="603"/>
      <c r="E848" s="603"/>
      <c r="F848" s="603"/>
      <c r="G848" s="603"/>
      <c r="H848" s="603"/>
      <c r="I848" s="603"/>
      <c r="J848" s="603"/>
      <c r="K848" s="449"/>
      <c r="L848" s="603"/>
      <c r="M848" s="603"/>
      <c r="N848" s="603"/>
      <c r="O848" s="603"/>
      <c r="P848" s="603"/>
      <c r="Q848" s="603"/>
      <c r="R848" s="603"/>
      <c r="S848" s="603"/>
      <c r="T848" s="603"/>
      <c r="U848" s="603"/>
      <c r="V848" s="603"/>
      <c r="W848" s="603"/>
      <c r="X848" s="603"/>
      <c r="Y848" s="603"/>
      <c r="Z848" s="603"/>
    </row>
    <row r="849" spans="1:26" ht="15.75" customHeight="1" x14ac:dyDescent="0.2">
      <c r="A849" s="603"/>
      <c r="B849" s="603"/>
      <c r="C849" s="603"/>
      <c r="D849" s="603"/>
      <c r="E849" s="603"/>
      <c r="F849" s="603"/>
      <c r="G849" s="603"/>
      <c r="H849" s="603"/>
      <c r="I849" s="603"/>
      <c r="J849" s="603"/>
      <c r="K849" s="449"/>
      <c r="L849" s="603"/>
      <c r="M849" s="603"/>
      <c r="N849" s="603"/>
      <c r="O849" s="603"/>
      <c r="P849" s="603"/>
      <c r="Q849" s="603"/>
      <c r="R849" s="603"/>
      <c r="S849" s="603"/>
      <c r="T849" s="603"/>
      <c r="U849" s="603"/>
      <c r="V849" s="603"/>
      <c r="W849" s="603"/>
      <c r="X849" s="603"/>
      <c r="Y849" s="603"/>
      <c r="Z849" s="603"/>
    </row>
    <row r="850" spans="1:26" ht="15.75" customHeight="1" x14ac:dyDescent="0.2">
      <c r="A850" s="603"/>
      <c r="B850" s="603"/>
      <c r="C850" s="603"/>
      <c r="D850" s="603"/>
      <c r="E850" s="603"/>
      <c r="F850" s="603"/>
      <c r="G850" s="603"/>
      <c r="H850" s="603"/>
      <c r="I850" s="603"/>
      <c r="J850" s="603"/>
      <c r="K850" s="449"/>
      <c r="L850" s="603"/>
      <c r="M850" s="603"/>
      <c r="N850" s="603"/>
      <c r="O850" s="603"/>
      <c r="P850" s="603"/>
      <c r="Q850" s="603"/>
      <c r="R850" s="603"/>
      <c r="S850" s="603"/>
      <c r="T850" s="603"/>
      <c r="U850" s="603"/>
      <c r="V850" s="603"/>
      <c r="W850" s="603"/>
      <c r="X850" s="603"/>
      <c r="Y850" s="603"/>
      <c r="Z850" s="603"/>
    </row>
    <row r="851" spans="1:26" ht="15.75" customHeight="1" x14ac:dyDescent="0.2">
      <c r="A851" s="603"/>
      <c r="B851" s="603"/>
      <c r="C851" s="603"/>
      <c r="D851" s="603"/>
      <c r="E851" s="603"/>
      <c r="F851" s="603"/>
      <c r="G851" s="603"/>
      <c r="H851" s="603"/>
      <c r="I851" s="603"/>
      <c r="J851" s="603"/>
      <c r="K851" s="449"/>
      <c r="L851" s="603"/>
      <c r="M851" s="603"/>
      <c r="N851" s="603"/>
      <c r="O851" s="603"/>
      <c r="P851" s="603"/>
      <c r="Q851" s="603"/>
      <c r="R851" s="603"/>
      <c r="S851" s="603"/>
      <c r="T851" s="603"/>
      <c r="U851" s="603"/>
      <c r="V851" s="603"/>
      <c r="W851" s="603"/>
      <c r="X851" s="603"/>
      <c r="Y851" s="603"/>
      <c r="Z851" s="603"/>
    </row>
    <row r="852" spans="1:26" ht="15.75" customHeight="1" x14ac:dyDescent="0.2">
      <c r="A852" s="603"/>
      <c r="B852" s="603"/>
      <c r="C852" s="603"/>
      <c r="D852" s="603"/>
      <c r="E852" s="603"/>
      <c r="F852" s="603"/>
      <c r="G852" s="603"/>
      <c r="H852" s="603"/>
      <c r="I852" s="603"/>
      <c r="J852" s="603"/>
      <c r="K852" s="449"/>
      <c r="L852" s="603"/>
      <c r="M852" s="603"/>
      <c r="N852" s="603"/>
      <c r="O852" s="603"/>
      <c r="P852" s="603"/>
      <c r="Q852" s="603"/>
      <c r="R852" s="603"/>
      <c r="S852" s="603"/>
      <c r="T852" s="603"/>
      <c r="U852" s="603"/>
      <c r="V852" s="603"/>
      <c r="W852" s="603"/>
      <c r="X852" s="603"/>
      <c r="Y852" s="603"/>
      <c r="Z852" s="603"/>
    </row>
    <row r="853" spans="1:26" ht="15.75" customHeight="1" x14ac:dyDescent="0.2">
      <c r="A853" s="603"/>
      <c r="B853" s="603"/>
      <c r="C853" s="603"/>
      <c r="D853" s="603"/>
      <c r="E853" s="603"/>
      <c r="F853" s="603"/>
      <c r="G853" s="603"/>
      <c r="H853" s="603"/>
      <c r="I853" s="603"/>
      <c r="J853" s="603"/>
      <c r="K853" s="449"/>
      <c r="L853" s="603"/>
      <c r="M853" s="603"/>
      <c r="N853" s="603"/>
      <c r="O853" s="603"/>
      <c r="P853" s="603"/>
      <c r="Q853" s="603"/>
      <c r="R853" s="603"/>
      <c r="S853" s="603"/>
      <c r="T853" s="603"/>
      <c r="U853" s="603"/>
      <c r="V853" s="603"/>
      <c r="W853" s="603"/>
      <c r="X853" s="603"/>
      <c r="Y853" s="603"/>
      <c r="Z853" s="603"/>
    </row>
    <row r="854" spans="1:26" ht="15.75" customHeight="1" x14ac:dyDescent="0.2">
      <c r="A854" s="603"/>
      <c r="B854" s="603"/>
      <c r="C854" s="603"/>
      <c r="D854" s="603"/>
      <c r="E854" s="603"/>
      <c r="F854" s="603"/>
      <c r="G854" s="603"/>
      <c r="H854" s="603"/>
      <c r="I854" s="603"/>
      <c r="J854" s="603"/>
      <c r="K854" s="449"/>
      <c r="L854" s="603"/>
      <c r="M854" s="603"/>
      <c r="N854" s="603"/>
      <c r="O854" s="603"/>
      <c r="P854" s="603"/>
      <c r="Q854" s="603"/>
      <c r="R854" s="603"/>
      <c r="S854" s="603"/>
      <c r="T854" s="603"/>
      <c r="U854" s="603"/>
      <c r="V854" s="603"/>
      <c r="W854" s="603"/>
      <c r="X854" s="603"/>
      <c r="Y854" s="603"/>
      <c r="Z854" s="603"/>
    </row>
    <row r="855" spans="1:26" ht="15.75" customHeight="1" x14ac:dyDescent="0.2">
      <c r="A855" s="603"/>
      <c r="B855" s="603"/>
      <c r="C855" s="603"/>
      <c r="D855" s="603"/>
      <c r="E855" s="603"/>
      <c r="F855" s="603"/>
      <c r="G855" s="603"/>
      <c r="H855" s="603"/>
      <c r="I855" s="603"/>
      <c r="J855" s="603"/>
      <c r="K855" s="449"/>
      <c r="L855" s="603"/>
      <c r="M855" s="603"/>
      <c r="N855" s="603"/>
      <c r="O855" s="603"/>
      <c r="P855" s="603"/>
      <c r="Q855" s="603"/>
      <c r="R855" s="603"/>
      <c r="S855" s="603"/>
      <c r="T855" s="603"/>
      <c r="U855" s="603"/>
      <c r="V855" s="603"/>
      <c r="W855" s="603"/>
      <c r="X855" s="603"/>
      <c r="Y855" s="603"/>
      <c r="Z855" s="603"/>
    </row>
    <row r="856" spans="1:26" ht="15.75" customHeight="1" x14ac:dyDescent="0.2">
      <c r="A856" s="603"/>
      <c r="B856" s="603"/>
      <c r="C856" s="603"/>
      <c r="D856" s="603"/>
      <c r="E856" s="603"/>
      <c r="F856" s="603"/>
      <c r="G856" s="603"/>
      <c r="H856" s="603"/>
      <c r="I856" s="603"/>
      <c r="J856" s="603"/>
      <c r="K856" s="449"/>
      <c r="L856" s="603"/>
      <c r="M856" s="603"/>
      <c r="N856" s="603"/>
      <c r="O856" s="603"/>
      <c r="P856" s="603"/>
      <c r="Q856" s="603"/>
      <c r="R856" s="603"/>
      <c r="S856" s="603"/>
      <c r="T856" s="603"/>
      <c r="U856" s="603"/>
      <c r="V856" s="603"/>
      <c r="W856" s="603"/>
      <c r="X856" s="603"/>
      <c r="Y856" s="603"/>
      <c r="Z856" s="603"/>
    </row>
    <row r="857" spans="1:26" ht="15.75" customHeight="1" x14ac:dyDescent="0.2">
      <c r="A857" s="603"/>
      <c r="B857" s="603"/>
      <c r="C857" s="603"/>
      <c r="D857" s="603"/>
      <c r="E857" s="603"/>
      <c r="F857" s="603"/>
      <c r="G857" s="603"/>
      <c r="H857" s="603"/>
      <c r="I857" s="603"/>
      <c r="J857" s="603"/>
      <c r="K857" s="449"/>
      <c r="L857" s="603"/>
      <c r="M857" s="603"/>
      <c r="N857" s="603"/>
      <c r="O857" s="603"/>
      <c r="P857" s="603"/>
      <c r="Q857" s="603"/>
      <c r="R857" s="603"/>
      <c r="S857" s="603"/>
      <c r="T857" s="603"/>
      <c r="U857" s="603"/>
      <c r="V857" s="603"/>
      <c r="W857" s="603"/>
      <c r="X857" s="603"/>
      <c r="Y857" s="603"/>
      <c r="Z857" s="603"/>
    </row>
    <row r="858" spans="1:26" ht="15.75" customHeight="1" x14ac:dyDescent="0.2">
      <c r="A858" s="603"/>
      <c r="B858" s="603"/>
      <c r="C858" s="603"/>
      <c r="D858" s="603"/>
      <c r="E858" s="603"/>
      <c r="F858" s="603"/>
      <c r="G858" s="603"/>
      <c r="H858" s="603"/>
      <c r="I858" s="603"/>
      <c r="J858" s="603"/>
      <c r="K858" s="449"/>
      <c r="L858" s="603"/>
      <c r="M858" s="603"/>
      <c r="N858" s="603"/>
      <c r="O858" s="603"/>
      <c r="P858" s="603"/>
      <c r="Q858" s="603"/>
      <c r="R858" s="603"/>
      <c r="S858" s="603"/>
      <c r="T858" s="603"/>
      <c r="U858" s="603"/>
      <c r="V858" s="603"/>
      <c r="W858" s="603"/>
      <c r="X858" s="603"/>
      <c r="Y858" s="603"/>
      <c r="Z858" s="603"/>
    </row>
    <row r="859" spans="1:26" ht="15.75" customHeight="1" x14ac:dyDescent="0.2">
      <c r="A859" s="603"/>
      <c r="B859" s="603"/>
      <c r="C859" s="603"/>
      <c r="D859" s="603"/>
      <c r="E859" s="603"/>
      <c r="F859" s="603"/>
      <c r="G859" s="603"/>
      <c r="H859" s="603"/>
      <c r="I859" s="603"/>
      <c r="J859" s="603"/>
      <c r="K859" s="449"/>
      <c r="L859" s="603"/>
      <c r="M859" s="603"/>
      <c r="N859" s="603"/>
      <c r="O859" s="603"/>
      <c r="P859" s="603"/>
      <c r="Q859" s="603"/>
      <c r="R859" s="603"/>
      <c r="S859" s="603"/>
      <c r="T859" s="603"/>
      <c r="U859" s="603"/>
      <c r="V859" s="603"/>
      <c r="W859" s="603"/>
      <c r="X859" s="603"/>
      <c r="Y859" s="603"/>
      <c r="Z859" s="603"/>
    </row>
    <row r="860" spans="1:26" ht="15.75" customHeight="1" x14ac:dyDescent="0.2">
      <c r="A860" s="603"/>
      <c r="B860" s="603"/>
      <c r="C860" s="603"/>
      <c r="D860" s="603"/>
      <c r="E860" s="603"/>
      <c r="F860" s="603"/>
      <c r="G860" s="603"/>
      <c r="H860" s="603"/>
      <c r="I860" s="603"/>
      <c r="J860" s="603"/>
      <c r="K860" s="449"/>
      <c r="L860" s="603"/>
      <c r="M860" s="603"/>
      <c r="N860" s="603"/>
      <c r="O860" s="603"/>
      <c r="P860" s="603"/>
      <c r="Q860" s="603"/>
      <c r="R860" s="603"/>
      <c r="S860" s="603"/>
      <c r="T860" s="603"/>
      <c r="U860" s="603"/>
      <c r="V860" s="603"/>
      <c r="W860" s="603"/>
      <c r="X860" s="603"/>
      <c r="Y860" s="603"/>
      <c r="Z860" s="603"/>
    </row>
    <row r="861" spans="1:26" ht="15.75" customHeight="1" x14ac:dyDescent="0.2">
      <c r="A861" s="603"/>
      <c r="B861" s="603"/>
      <c r="C861" s="603"/>
      <c r="D861" s="603"/>
      <c r="E861" s="603"/>
      <c r="F861" s="603"/>
      <c r="G861" s="603"/>
      <c r="H861" s="603"/>
      <c r="I861" s="603"/>
      <c r="J861" s="603"/>
      <c r="K861" s="449"/>
      <c r="L861" s="603"/>
      <c r="M861" s="603"/>
      <c r="N861" s="603"/>
      <c r="O861" s="603"/>
      <c r="P861" s="603"/>
      <c r="Q861" s="603"/>
      <c r="R861" s="603"/>
      <c r="S861" s="603"/>
      <c r="T861" s="603"/>
      <c r="U861" s="603"/>
      <c r="V861" s="603"/>
      <c r="W861" s="603"/>
      <c r="X861" s="603"/>
      <c r="Y861" s="603"/>
      <c r="Z861" s="603"/>
    </row>
    <row r="862" spans="1:26" ht="15.75" customHeight="1" x14ac:dyDescent="0.2">
      <c r="A862" s="603"/>
      <c r="B862" s="603"/>
      <c r="C862" s="603"/>
      <c r="D862" s="603"/>
      <c r="E862" s="603"/>
      <c r="F862" s="603"/>
      <c r="G862" s="603"/>
      <c r="H862" s="603"/>
      <c r="I862" s="603"/>
      <c r="J862" s="603"/>
      <c r="K862" s="449"/>
      <c r="L862" s="603"/>
      <c r="M862" s="603"/>
      <c r="N862" s="603"/>
      <c r="O862" s="603"/>
      <c r="P862" s="603"/>
      <c r="Q862" s="603"/>
      <c r="R862" s="603"/>
      <c r="S862" s="603"/>
      <c r="T862" s="603"/>
      <c r="U862" s="603"/>
      <c r="V862" s="603"/>
      <c r="W862" s="603"/>
      <c r="X862" s="603"/>
      <c r="Y862" s="603"/>
      <c r="Z862" s="603"/>
    </row>
    <row r="863" spans="1:26" ht="15.75" customHeight="1" x14ac:dyDescent="0.2">
      <c r="A863" s="603"/>
      <c r="B863" s="603"/>
      <c r="C863" s="603"/>
      <c r="D863" s="603"/>
      <c r="E863" s="603"/>
      <c r="F863" s="603"/>
      <c r="G863" s="603"/>
      <c r="H863" s="603"/>
      <c r="I863" s="603"/>
      <c r="J863" s="603"/>
      <c r="K863" s="449"/>
      <c r="L863" s="603"/>
      <c r="M863" s="603"/>
      <c r="N863" s="603"/>
      <c r="O863" s="603"/>
      <c r="P863" s="603"/>
      <c r="Q863" s="603"/>
      <c r="R863" s="603"/>
      <c r="S863" s="603"/>
      <c r="T863" s="603"/>
      <c r="U863" s="603"/>
      <c r="V863" s="603"/>
      <c r="W863" s="603"/>
      <c r="X863" s="603"/>
      <c r="Y863" s="603"/>
      <c r="Z863" s="603"/>
    </row>
    <row r="864" spans="1:26" ht="15.75" customHeight="1" x14ac:dyDescent="0.2">
      <c r="A864" s="603"/>
      <c r="B864" s="603"/>
      <c r="C864" s="603"/>
      <c r="D864" s="603"/>
      <c r="E864" s="603"/>
      <c r="F864" s="603"/>
      <c r="G864" s="603"/>
      <c r="H864" s="603"/>
      <c r="I864" s="603"/>
      <c r="J864" s="603"/>
      <c r="K864" s="449"/>
      <c r="L864" s="603"/>
      <c r="M864" s="603"/>
      <c r="N864" s="603"/>
      <c r="O864" s="603"/>
      <c r="P864" s="603"/>
      <c r="Q864" s="603"/>
      <c r="R864" s="603"/>
      <c r="S864" s="603"/>
      <c r="T864" s="603"/>
      <c r="U864" s="603"/>
      <c r="V864" s="603"/>
      <c r="W864" s="603"/>
      <c r="X864" s="603"/>
      <c r="Y864" s="603"/>
      <c r="Z864" s="603"/>
    </row>
    <row r="865" spans="1:26" ht="15.75" customHeight="1" x14ac:dyDescent="0.2">
      <c r="A865" s="603"/>
      <c r="B865" s="603"/>
      <c r="C865" s="603"/>
      <c r="D865" s="603"/>
      <c r="E865" s="603"/>
      <c r="F865" s="603"/>
      <c r="G865" s="603"/>
      <c r="H865" s="603"/>
      <c r="I865" s="603"/>
      <c r="J865" s="603"/>
      <c r="K865" s="449"/>
      <c r="L865" s="603"/>
      <c r="M865" s="603"/>
      <c r="N865" s="603"/>
      <c r="O865" s="603"/>
      <c r="P865" s="603"/>
      <c r="Q865" s="603"/>
      <c r="R865" s="603"/>
      <c r="S865" s="603"/>
      <c r="T865" s="603"/>
      <c r="U865" s="603"/>
      <c r="V865" s="603"/>
      <c r="W865" s="603"/>
      <c r="X865" s="603"/>
      <c r="Y865" s="603"/>
      <c r="Z865" s="603"/>
    </row>
    <row r="866" spans="1:26" ht="15.75" customHeight="1" x14ac:dyDescent="0.2">
      <c r="A866" s="603"/>
      <c r="B866" s="603"/>
      <c r="C866" s="603"/>
      <c r="D866" s="603"/>
      <c r="E866" s="603"/>
      <c r="F866" s="603"/>
      <c r="G866" s="603"/>
      <c r="H866" s="603"/>
      <c r="I866" s="603"/>
      <c r="J866" s="603"/>
      <c r="K866" s="449"/>
      <c r="L866" s="603"/>
      <c r="M866" s="603"/>
      <c r="N866" s="603"/>
      <c r="O866" s="603"/>
      <c r="P866" s="603"/>
      <c r="Q866" s="603"/>
      <c r="R866" s="603"/>
      <c r="S866" s="603"/>
      <c r="T866" s="603"/>
      <c r="U866" s="603"/>
      <c r="V866" s="603"/>
      <c r="W866" s="603"/>
      <c r="X866" s="603"/>
      <c r="Y866" s="603"/>
      <c r="Z866" s="603"/>
    </row>
    <row r="867" spans="1:26" ht="15.75" customHeight="1" x14ac:dyDescent="0.2">
      <c r="A867" s="603"/>
      <c r="B867" s="603"/>
      <c r="C867" s="603"/>
      <c r="D867" s="603"/>
      <c r="E867" s="603"/>
      <c r="F867" s="603"/>
      <c r="G867" s="603"/>
      <c r="H867" s="603"/>
      <c r="I867" s="603"/>
      <c r="J867" s="603"/>
      <c r="K867" s="449"/>
      <c r="L867" s="603"/>
      <c r="M867" s="603"/>
      <c r="N867" s="603"/>
      <c r="O867" s="603"/>
      <c r="P867" s="603"/>
      <c r="Q867" s="603"/>
      <c r="R867" s="603"/>
      <c r="S867" s="603"/>
      <c r="T867" s="603"/>
      <c r="U867" s="603"/>
      <c r="V867" s="603"/>
      <c r="W867" s="603"/>
      <c r="X867" s="603"/>
      <c r="Y867" s="603"/>
      <c r="Z867" s="603"/>
    </row>
    <row r="868" spans="1:26" ht="15.75" customHeight="1" x14ac:dyDescent="0.2">
      <c r="A868" s="603"/>
      <c r="B868" s="603"/>
      <c r="C868" s="603"/>
      <c r="D868" s="603"/>
      <c r="E868" s="603"/>
      <c r="F868" s="603"/>
      <c r="G868" s="603"/>
      <c r="H868" s="603"/>
      <c r="I868" s="603"/>
      <c r="J868" s="603"/>
      <c r="K868" s="449"/>
      <c r="L868" s="603"/>
      <c r="M868" s="603"/>
      <c r="N868" s="603"/>
      <c r="O868" s="603"/>
      <c r="P868" s="603"/>
      <c r="Q868" s="603"/>
      <c r="R868" s="603"/>
      <c r="S868" s="603"/>
      <c r="T868" s="603"/>
      <c r="U868" s="603"/>
      <c r="V868" s="603"/>
      <c r="W868" s="603"/>
      <c r="X868" s="603"/>
      <c r="Y868" s="603"/>
      <c r="Z868" s="603"/>
    </row>
    <row r="869" spans="1:26" ht="15.75" customHeight="1" x14ac:dyDescent="0.2">
      <c r="A869" s="603"/>
      <c r="B869" s="603"/>
      <c r="C869" s="603"/>
      <c r="D869" s="603"/>
      <c r="E869" s="603"/>
      <c r="F869" s="603"/>
      <c r="G869" s="603"/>
      <c r="H869" s="603"/>
      <c r="I869" s="603"/>
      <c r="J869" s="603"/>
      <c r="K869" s="449"/>
      <c r="L869" s="603"/>
      <c r="M869" s="603"/>
      <c r="N869" s="603"/>
      <c r="O869" s="603"/>
      <c r="P869" s="603"/>
      <c r="Q869" s="603"/>
      <c r="R869" s="603"/>
      <c r="S869" s="603"/>
      <c r="T869" s="603"/>
      <c r="U869" s="603"/>
      <c r="V869" s="603"/>
      <c r="W869" s="603"/>
      <c r="X869" s="603"/>
      <c r="Y869" s="603"/>
      <c r="Z869" s="603"/>
    </row>
    <row r="870" spans="1:26" ht="15.75" customHeight="1" x14ac:dyDescent="0.2">
      <c r="A870" s="603"/>
      <c r="B870" s="603"/>
      <c r="C870" s="603"/>
      <c r="D870" s="603"/>
      <c r="E870" s="603"/>
      <c r="F870" s="603"/>
      <c r="G870" s="603"/>
      <c r="H870" s="603"/>
      <c r="I870" s="603"/>
      <c r="J870" s="603"/>
      <c r="K870" s="449"/>
      <c r="L870" s="603"/>
      <c r="M870" s="603"/>
      <c r="N870" s="603"/>
      <c r="O870" s="603"/>
      <c r="P870" s="603"/>
      <c r="Q870" s="603"/>
      <c r="R870" s="603"/>
      <c r="S870" s="603"/>
      <c r="T870" s="603"/>
      <c r="U870" s="603"/>
      <c r="V870" s="603"/>
      <c r="W870" s="603"/>
      <c r="X870" s="603"/>
      <c r="Y870" s="603"/>
      <c r="Z870" s="603"/>
    </row>
    <row r="871" spans="1:26" ht="15.75" customHeight="1" x14ac:dyDescent="0.2">
      <c r="A871" s="603"/>
      <c r="B871" s="603"/>
      <c r="C871" s="603"/>
      <c r="D871" s="603"/>
      <c r="E871" s="603"/>
      <c r="F871" s="603"/>
      <c r="G871" s="603"/>
      <c r="H871" s="603"/>
      <c r="I871" s="603"/>
      <c r="J871" s="603"/>
      <c r="K871" s="449"/>
      <c r="L871" s="603"/>
      <c r="M871" s="603"/>
      <c r="N871" s="603"/>
      <c r="O871" s="603"/>
      <c r="P871" s="603"/>
      <c r="Q871" s="603"/>
      <c r="R871" s="603"/>
      <c r="S871" s="603"/>
      <c r="T871" s="603"/>
      <c r="U871" s="603"/>
      <c r="V871" s="603"/>
      <c r="W871" s="603"/>
      <c r="X871" s="603"/>
      <c r="Y871" s="603"/>
      <c r="Z871" s="603"/>
    </row>
    <row r="872" spans="1:26" ht="15.75" customHeight="1" x14ac:dyDescent="0.2">
      <c r="A872" s="603"/>
      <c r="B872" s="603"/>
      <c r="C872" s="603"/>
      <c r="D872" s="603"/>
      <c r="E872" s="603"/>
      <c r="F872" s="603"/>
      <c r="G872" s="603"/>
      <c r="H872" s="603"/>
      <c r="I872" s="603"/>
      <c r="J872" s="603"/>
      <c r="K872" s="449"/>
      <c r="L872" s="603"/>
      <c r="M872" s="603"/>
      <c r="N872" s="603"/>
      <c r="O872" s="603"/>
      <c r="P872" s="603"/>
      <c r="Q872" s="603"/>
      <c r="R872" s="603"/>
      <c r="S872" s="603"/>
      <c r="T872" s="603"/>
      <c r="U872" s="603"/>
      <c r="V872" s="603"/>
      <c r="W872" s="603"/>
      <c r="X872" s="603"/>
      <c r="Y872" s="603"/>
      <c r="Z872" s="603"/>
    </row>
    <row r="873" spans="1:26" ht="15.75" customHeight="1" x14ac:dyDescent="0.2">
      <c r="A873" s="603"/>
      <c r="B873" s="603"/>
      <c r="C873" s="603"/>
      <c r="D873" s="603"/>
      <c r="E873" s="603"/>
      <c r="F873" s="603"/>
      <c r="G873" s="603"/>
      <c r="H873" s="603"/>
      <c r="I873" s="603"/>
      <c r="J873" s="603"/>
      <c r="K873" s="449"/>
      <c r="L873" s="603"/>
      <c r="M873" s="603"/>
      <c r="N873" s="603"/>
      <c r="O873" s="603"/>
      <c r="P873" s="603"/>
      <c r="Q873" s="603"/>
      <c r="R873" s="603"/>
      <c r="S873" s="603"/>
      <c r="T873" s="603"/>
      <c r="U873" s="603"/>
      <c r="V873" s="603"/>
      <c r="W873" s="603"/>
      <c r="X873" s="603"/>
      <c r="Y873" s="603"/>
      <c r="Z873" s="603"/>
    </row>
    <row r="874" spans="1:26" ht="15.75" customHeight="1" x14ac:dyDescent="0.2">
      <c r="A874" s="603"/>
      <c r="B874" s="603"/>
      <c r="C874" s="603"/>
      <c r="D874" s="603"/>
      <c r="E874" s="603"/>
      <c r="F874" s="603"/>
      <c r="G874" s="603"/>
      <c r="H874" s="603"/>
      <c r="I874" s="603"/>
      <c r="J874" s="603"/>
      <c r="K874" s="449"/>
      <c r="L874" s="603"/>
      <c r="M874" s="603"/>
      <c r="N874" s="603"/>
      <c r="O874" s="603"/>
      <c r="P874" s="603"/>
      <c r="Q874" s="603"/>
      <c r="R874" s="603"/>
      <c r="S874" s="603"/>
      <c r="T874" s="603"/>
      <c r="U874" s="603"/>
      <c r="V874" s="603"/>
      <c r="W874" s="603"/>
      <c r="X874" s="603"/>
      <c r="Y874" s="603"/>
      <c r="Z874" s="603"/>
    </row>
    <row r="875" spans="1:26" ht="15.75" customHeight="1" x14ac:dyDescent="0.2">
      <c r="A875" s="603"/>
      <c r="B875" s="603"/>
      <c r="C875" s="603"/>
      <c r="D875" s="603"/>
      <c r="E875" s="603"/>
      <c r="F875" s="603"/>
      <c r="G875" s="603"/>
      <c r="H875" s="603"/>
      <c r="I875" s="603"/>
      <c r="J875" s="603"/>
      <c r="K875" s="449"/>
      <c r="L875" s="603"/>
      <c r="M875" s="603"/>
      <c r="N875" s="603"/>
      <c r="O875" s="603"/>
      <c r="P875" s="603"/>
      <c r="Q875" s="603"/>
      <c r="R875" s="603"/>
      <c r="S875" s="603"/>
      <c r="T875" s="603"/>
      <c r="U875" s="603"/>
      <c r="V875" s="603"/>
      <c r="W875" s="603"/>
      <c r="X875" s="603"/>
      <c r="Y875" s="603"/>
      <c r="Z875" s="603"/>
    </row>
    <row r="876" spans="1:26" ht="15.75" customHeight="1" x14ac:dyDescent="0.2">
      <c r="A876" s="603"/>
      <c r="B876" s="603"/>
      <c r="C876" s="603"/>
      <c r="D876" s="603"/>
      <c r="E876" s="603"/>
      <c r="F876" s="603"/>
      <c r="G876" s="603"/>
      <c r="H876" s="603"/>
      <c r="I876" s="603"/>
      <c r="J876" s="603"/>
      <c r="K876" s="449"/>
      <c r="L876" s="603"/>
      <c r="M876" s="603"/>
      <c r="N876" s="603"/>
      <c r="O876" s="603"/>
      <c r="P876" s="603"/>
      <c r="Q876" s="603"/>
      <c r="R876" s="603"/>
      <c r="S876" s="603"/>
      <c r="T876" s="603"/>
      <c r="U876" s="603"/>
      <c r="V876" s="603"/>
      <c r="W876" s="603"/>
      <c r="X876" s="603"/>
      <c r="Y876" s="603"/>
      <c r="Z876" s="603"/>
    </row>
    <row r="877" spans="1:26" ht="15.75" customHeight="1" x14ac:dyDescent="0.2">
      <c r="A877" s="603"/>
      <c r="B877" s="603"/>
      <c r="C877" s="603"/>
      <c r="D877" s="603"/>
      <c r="E877" s="603"/>
      <c r="F877" s="603"/>
      <c r="G877" s="603"/>
      <c r="H877" s="603"/>
      <c r="I877" s="603"/>
      <c r="J877" s="603"/>
      <c r="K877" s="449"/>
      <c r="L877" s="603"/>
      <c r="M877" s="603"/>
      <c r="N877" s="603"/>
      <c r="O877" s="603"/>
      <c r="P877" s="603"/>
      <c r="Q877" s="603"/>
      <c r="R877" s="603"/>
      <c r="S877" s="603"/>
      <c r="T877" s="603"/>
      <c r="U877" s="603"/>
      <c r="V877" s="603"/>
      <c r="W877" s="603"/>
      <c r="X877" s="603"/>
      <c r="Y877" s="603"/>
      <c r="Z877" s="603"/>
    </row>
    <row r="878" spans="1:26" ht="15.75" customHeight="1" x14ac:dyDescent="0.2">
      <c r="A878" s="603"/>
      <c r="B878" s="603"/>
      <c r="C878" s="603"/>
      <c r="D878" s="603"/>
      <c r="E878" s="603"/>
      <c r="F878" s="603"/>
      <c r="G878" s="603"/>
      <c r="H878" s="603"/>
      <c r="I878" s="603"/>
      <c r="J878" s="603"/>
      <c r="K878" s="449"/>
      <c r="L878" s="603"/>
      <c r="M878" s="603"/>
      <c r="N878" s="603"/>
      <c r="O878" s="603"/>
      <c r="P878" s="603"/>
      <c r="Q878" s="603"/>
      <c r="R878" s="603"/>
      <c r="S878" s="603"/>
      <c r="T878" s="603"/>
      <c r="U878" s="603"/>
      <c r="V878" s="603"/>
      <c r="W878" s="603"/>
      <c r="X878" s="603"/>
      <c r="Y878" s="603"/>
      <c r="Z878" s="603"/>
    </row>
    <row r="879" spans="1:26" ht="15.75" customHeight="1" x14ac:dyDescent="0.2">
      <c r="A879" s="603"/>
      <c r="B879" s="603"/>
      <c r="C879" s="603"/>
      <c r="D879" s="603"/>
      <c r="E879" s="603"/>
      <c r="F879" s="603"/>
      <c r="G879" s="603"/>
      <c r="H879" s="603"/>
      <c r="I879" s="603"/>
      <c r="J879" s="603"/>
      <c r="K879" s="449"/>
      <c r="L879" s="603"/>
      <c r="M879" s="603"/>
      <c r="N879" s="603"/>
      <c r="O879" s="603"/>
      <c r="P879" s="603"/>
      <c r="Q879" s="603"/>
      <c r="R879" s="603"/>
      <c r="S879" s="603"/>
      <c r="T879" s="603"/>
      <c r="U879" s="603"/>
      <c r="V879" s="603"/>
      <c r="W879" s="603"/>
      <c r="X879" s="603"/>
      <c r="Y879" s="603"/>
      <c r="Z879" s="603"/>
    </row>
    <row r="880" spans="1:26" ht="15.75" customHeight="1" x14ac:dyDescent="0.2">
      <c r="A880" s="603"/>
      <c r="B880" s="603"/>
      <c r="C880" s="603"/>
      <c r="D880" s="603"/>
      <c r="E880" s="603"/>
      <c r="F880" s="603"/>
      <c r="G880" s="603"/>
      <c r="H880" s="603"/>
      <c r="I880" s="603"/>
      <c r="J880" s="603"/>
      <c r="K880" s="449"/>
      <c r="L880" s="603"/>
      <c r="M880" s="603"/>
      <c r="N880" s="603"/>
      <c r="O880" s="603"/>
      <c r="P880" s="603"/>
      <c r="Q880" s="603"/>
      <c r="R880" s="603"/>
      <c r="S880" s="603"/>
      <c r="T880" s="603"/>
      <c r="U880" s="603"/>
      <c r="V880" s="603"/>
      <c r="W880" s="603"/>
      <c r="X880" s="603"/>
      <c r="Y880" s="603"/>
      <c r="Z880" s="603"/>
    </row>
    <row r="881" spans="1:26" ht="15.75" customHeight="1" x14ac:dyDescent="0.2">
      <c r="A881" s="603"/>
      <c r="B881" s="603"/>
      <c r="C881" s="603"/>
      <c r="D881" s="603"/>
      <c r="E881" s="603"/>
      <c r="F881" s="603"/>
      <c r="G881" s="603"/>
      <c r="H881" s="603"/>
      <c r="I881" s="603"/>
      <c r="J881" s="603"/>
      <c r="K881" s="449"/>
      <c r="L881" s="603"/>
      <c r="M881" s="603"/>
      <c r="N881" s="603"/>
      <c r="O881" s="603"/>
      <c r="P881" s="603"/>
      <c r="Q881" s="603"/>
      <c r="R881" s="603"/>
      <c r="S881" s="603"/>
      <c r="T881" s="603"/>
      <c r="U881" s="603"/>
      <c r="V881" s="603"/>
      <c r="W881" s="603"/>
      <c r="X881" s="603"/>
      <c r="Y881" s="603"/>
      <c r="Z881" s="603"/>
    </row>
    <row r="882" spans="1:26" ht="15.75" customHeight="1" x14ac:dyDescent="0.2">
      <c r="A882" s="603"/>
      <c r="B882" s="603"/>
      <c r="C882" s="603"/>
      <c r="D882" s="603"/>
      <c r="E882" s="603"/>
      <c r="F882" s="603"/>
      <c r="G882" s="603"/>
      <c r="H882" s="603"/>
      <c r="I882" s="603"/>
      <c r="J882" s="603"/>
      <c r="K882" s="449"/>
      <c r="L882" s="603"/>
      <c r="M882" s="603"/>
      <c r="N882" s="603"/>
      <c r="O882" s="603"/>
      <c r="P882" s="603"/>
      <c r="Q882" s="603"/>
      <c r="R882" s="603"/>
      <c r="S882" s="603"/>
      <c r="T882" s="603"/>
      <c r="U882" s="603"/>
      <c r="V882" s="603"/>
      <c r="W882" s="603"/>
      <c r="X882" s="603"/>
      <c r="Y882" s="603"/>
      <c r="Z882" s="603"/>
    </row>
    <row r="883" spans="1:26" ht="15.75" customHeight="1" x14ac:dyDescent="0.2">
      <c r="A883" s="603"/>
      <c r="B883" s="603"/>
      <c r="C883" s="603"/>
      <c r="D883" s="603"/>
      <c r="E883" s="603"/>
      <c r="F883" s="603"/>
      <c r="G883" s="603"/>
      <c r="H883" s="603"/>
      <c r="I883" s="603"/>
      <c r="J883" s="603"/>
      <c r="K883" s="449"/>
      <c r="L883" s="603"/>
      <c r="M883" s="603"/>
      <c r="N883" s="603"/>
      <c r="O883" s="603"/>
      <c r="P883" s="603"/>
      <c r="Q883" s="603"/>
      <c r="R883" s="603"/>
      <c r="S883" s="603"/>
      <c r="T883" s="603"/>
      <c r="U883" s="603"/>
      <c r="V883" s="603"/>
      <c r="W883" s="603"/>
      <c r="X883" s="603"/>
      <c r="Y883" s="603"/>
      <c r="Z883" s="603"/>
    </row>
    <row r="884" spans="1:26" ht="15.75" customHeight="1" x14ac:dyDescent="0.2">
      <c r="A884" s="603"/>
      <c r="B884" s="603"/>
      <c r="C884" s="603"/>
      <c r="D884" s="603"/>
      <c r="E884" s="603"/>
      <c r="F884" s="603"/>
      <c r="G884" s="603"/>
      <c r="H884" s="603"/>
      <c r="I884" s="603"/>
      <c r="J884" s="603"/>
      <c r="K884" s="449"/>
      <c r="L884" s="603"/>
      <c r="M884" s="603"/>
      <c r="N884" s="603"/>
      <c r="O884" s="603"/>
      <c r="P884" s="603"/>
      <c r="Q884" s="603"/>
      <c r="R884" s="603"/>
      <c r="S884" s="603"/>
      <c r="T884" s="603"/>
      <c r="U884" s="603"/>
      <c r="V884" s="603"/>
      <c r="W884" s="603"/>
      <c r="X884" s="603"/>
      <c r="Y884" s="603"/>
      <c r="Z884" s="603"/>
    </row>
    <row r="885" spans="1:26" ht="15.75" customHeight="1" x14ac:dyDescent="0.2">
      <c r="A885" s="603"/>
      <c r="B885" s="603"/>
      <c r="C885" s="603"/>
      <c r="D885" s="603"/>
      <c r="E885" s="603"/>
      <c r="F885" s="603"/>
      <c r="G885" s="603"/>
      <c r="H885" s="603"/>
      <c r="I885" s="603"/>
      <c r="J885" s="603"/>
      <c r="K885" s="449"/>
      <c r="L885" s="603"/>
      <c r="M885" s="603"/>
      <c r="N885" s="603"/>
      <c r="O885" s="603"/>
      <c r="P885" s="603"/>
      <c r="Q885" s="603"/>
      <c r="R885" s="603"/>
      <c r="S885" s="603"/>
      <c r="T885" s="603"/>
      <c r="U885" s="603"/>
      <c r="V885" s="603"/>
      <c r="W885" s="603"/>
      <c r="X885" s="603"/>
      <c r="Y885" s="603"/>
      <c r="Z885" s="603"/>
    </row>
    <row r="886" spans="1:26" ht="15.75" customHeight="1" x14ac:dyDescent="0.2">
      <c r="A886" s="603"/>
      <c r="B886" s="603"/>
      <c r="C886" s="603"/>
      <c r="D886" s="603"/>
      <c r="E886" s="603"/>
      <c r="F886" s="603"/>
      <c r="G886" s="603"/>
      <c r="H886" s="603"/>
      <c r="I886" s="603"/>
      <c r="J886" s="603"/>
      <c r="K886" s="449"/>
      <c r="L886" s="603"/>
      <c r="M886" s="603"/>
      <c r="N886" s="603"/>
      <c r="O886" s="603"/>
      <c r="P886" s="603"/>
      <c r="Q886" s="603"/>
      <c r="R886" s="603"/>
      <c r="S886" s="603"/>
      <c r="T886" s="603"/>
      <c r="U886" s="603"/>
      <c r="V886" s="603"/>
      <c r="W886" s="603"/>
      <c r="X886" s="603"/>
      <c r="Y886" s="603"/>
      <c r="Z886" s="603"/>
    </row>
    <row r="887" spans="1:26" ht="15.75" customHeight="1" x14ac:dyDescent="0.2">
      <c r="A887" s="603"/>
      <c r="B887" s="603"/>
      <c r="C887" s="603"/>
      <c r="D887" s="603"/>
      <c r="E887" s="603"/>
      <c r="F887" s="603"/>
      <c r="G887" s="603"/>
      <c r="H887" s="603"/>
      <c r="I887" s="603"/>
      <c r="J887" s="603"/>
      <c r="K887" s="449"/>
      <c r="L887" s="603"/>
      <c r="M887" s="603"/>
      <c r="N887" s="603"/>
      <c r="O887" s="603"/>
      <c r="P887" s="603"/>
      <c r="Q887" s="603"/>
      <c r="R887" s="603"/>
      <c r="S887" s="603"/>
      <c r="T887" s="603"/>
      <c r="U887" s="603"/>
      <c r="V887" s="603"/>
      <c r="W887" s="603"/>
      <c r="X887" s="603"/>
      <c r="Y887" s="603"/>
      <c r="Z887" s="603"/>
    </row>
    <row r="888" spans="1:26" ht="15.75" customHeight="1" x14ac:dyDescent="0.2">
      <c r="A888" s="603"/>
      <c r="B888" s="603"/>
      <c r="C888" s="603"/>
      <c r="D888" s="603"/>
      <c r="E888" s="603"/>
      <c r="F888" s="603"/>
      <c r="G888" s="603"/>
      <c r="H888" s="603"/>
      <c r="I888" s="603"/>
      <c r="J888" s="603"/>
      <c r="K888" s="449"/>
      <c r="L888" s="603"/>
      <c r="M888" s="603"/>
      <c r="N888" s="603"/>
      <c r="O888" s="603"/>
      <c r="P888" s="603"/>
      <c r="Q888" s="603"/>
      <c r="R888" s="603"/>
      <c r="S888" s="603"/>
      <c r="T888" s="603"/>
      <c r="U888" s="603"/>
      <c r="V888" s="603"/>
      <c r="W888" s="603"/>
      <c r="X888" s="603"/>
      <c r="Y888" s="603"/>
      <c r="Z888" s="603"/>
    </row>
    <row r="889" spans="1:26" ht="15.75" customHeight="1" x14ac:dyDescent="0.2">
      <c r="A889" s="603"/>
      <c r="B889" s="603"/>
      <c r="C889" s="603"/>
      <c r="D889" s="603"/>
      <c r="E889" s="603"/>
      <c r="F889" s="603"/>
      <c r="G889" s="603"/>
      <c r="H889" s="603"/>
      <c r="I889" s="603"/>
      <c r="J889" s="603"/>
      <c r="K889" s="449"/>
      <c r="L889" s="603"/>
      <c r="M889" s="603"/>
      <c r="N889" s="603"/>
      <c r="O889" s="603"/>
      <c r="P889" s="603"/>
      <c r="Q889" s="603"/>
      <c r="R889" s="603"/>
      <c r="S889" s="603"/>
      <c r="T889" s="603"/>
      <c r="U889" s="603"/>
      <c r="V889" s="603"/>
      <c r="W889" s="603"/>
      <c r="X889" s="603"/>
      <c r="Y889" s="603"/>
      <c r="Z889" s="603"/>
    </row>
    <row r="890" spans="1:26" ht="15.75" customHeight="1" x14ac:dyDescent="0.2">
      <c r="A890" s="603"/>
      <c r="B890" s="603"/>
      <c r="C890" s="603"/>
      <c r="D890" s="603"/>
      <c r="E890" s="603"/>
      <c r="F890" s="603"/>
      <c r="G890" s="603"/>
      <c r="H890" s="603"/>
      <c r="I890" s="603"/>
      <c r="J890" s="603"/>
      <c r="K890" s="449"/>
      <c r="L890" s="603"/>
      <c r="M890" s="603"/>
      <c r="N890" s="603"/>
      <c r="O890" s="603"/>
      <c r="P890" s="603"/>
      <c r="Q890" s="603"/>
      <c r="R890" s="603"/>
      <c r="S890" s="603"/>
      <c r="T890" s="603"/>
      <c r="U890" s="603"/>
      <c r="V890" s="603"/>
      <c r="W890" s="603"/>
      <c r="X890" s="603"/>
      <c r="Y890" s="603"/>
      <c r="Z890" s="603"/>
    </row>
    <row r="891" spans="1:26" ht="15.75" customHeight="1" x14ac:dyDescent="0.2">
      <c r="A891" s="603"/>
      <c r="B891" s="603"/>
      <c r="C891" s="603"/>
      <c r="D891" s="603"/>
      <c r="E891" s="603"/>
      <c r="F891" s="603"/>
      <c r="G891" s="603"/>
      <c r="H891" s="603"/>
      <c r="I891" s="603"/>
      <c r="J891" s="603"/>
      <c r="K891" s="449"/>
      <c r="L891" s="603"/>
      <c r="M891" s="603"/>
      <c r="N891" s="603"/>
      <c r="O891" s="603"/>
      <c r="P891" s="603"/>
      <c r="Q891" s="603"/>
      <c r="R891" s="603"/>
      <c r="S891" s="603"/>
      <c r="T891" s="603"/>
      <c r="U891" s="603"/>
      <c r="V891" s="603"/>
      <c r="W891" s="603"/>
      <c r="X891" s="603"/>
      <c r="Y891" s="603"/>
      <c r="Z891" s="603"/>
    </row>
    <row r="892" spans="1:26" ht="15.75" customHeight="1" x14ac:dyDescent="0.2">
      <c r="A892" s="603"/>
      <c r="B892" s="603"/>
      <c r="C892" s="603"/>
      <c r="D892" s="603"/>
      <c r="E892" s="603"/>
      <c r="F892" s="603"/>
      <c r="G892" s="603"/>
      <c r="H892" s="603"/>
      <c r="I892" s="603"/>
      <c r="J892" s="603"/>
      <c r="K892" s="449"/>
      <c r="L892" s="603"/>
      <c r="M892" s="603"/>
      <c r="N892" s="603"/>
      <c r="O892" s="603"/>
      <c r="P892" s="603"/>
      <c r="Q892" s="603"/>
      <c r="R892" s="603"/>
      <c r="S892" s="603"/>
      <c r="T892" s="603"/>
      <c r="U892" s="603"/>
      <c r="V892" s="603"/>
      <c r="W892" s="603"/>
      <c r="X892" s="603"/>
      <c r="Y892" s="603"/>
      <c r="Z892" s="603"/>
    </row>
    <row r="893" spans="1:26" ht="15.75" customHeight="1" x14ac:dyDescent="0.2">
      <c r="A893" s="603"/>
      <c r="B893" s="603"/>
      <c r="C893" s="603"/>
      <c r="D893" s="603"/>
      <c r="E893" s="603"/>
      <c r="F893" s="603"/>
      <c r="G893" s="603"/>
      <c r="H893" s="603"/>
      <c r="I893" s="603"/>
      <c r="J893" s="603"/>
      <c r="K893" s="449"/>
      <c r="L893" s="603"/>
      <c r="M893" s="603"/>
      <c r="N893" s="603"/>
      <c r="O893" s="603"/>
      <c r="P893" s="603"/>
      <c r="Q893" s="603"/>
      <c r="R893" s="603"/>
      <c r="S893" s="603"/>
      <c r="T893" s="603"/>
      <c r="U893" s="603"/>
      <c r="V893" s="603"/>
      <c r="W893" s="603"/>
      <c r="X893" s="603"/>
      <c r="Y893" s="603"/>
      <c r="Z893" s="603"/>
    </row>
    <row r="894" spans="1:26" ht="15.75" customHeight="1" x14ac:dyDescent="0.2">
      <c r="A894" s="603"/>
      <c r="B894" s="603"/>
      <c r="C894" s="603"/>
      <c r="D894" s="603"/>
      <c r="E894" s="603"/>
      <c r="F894" s="603"/>
      <c r="G894" s="603"/>
      <c r="H894" s="603"/>
      <c r="I894" s="603"/>
      <c r="J894" s="603"/>
      <c r="K894" s="449"/>
      <c r="L894" s="603"/>
      <c r="M894" s="603"/>
      <c r="N894" s="603"/>
      <c r="O894" s="603"/>
      <c r="P894" s="603"/>
      <c r="Q894" s="603"/>
      <c r="R894" s="603"/>
      <c r="S894" s="603"/>
      <c r="T894" s="603"/>
      <c r="U894" s="603"/>
      <c r="V894" s="603"/>
      <c r="W894" s="603"/>
      <c r="X894" s="603"/>
      <c r="Y894" s="603"/>
      <c r="Z894" s="603"/>
    </row>
    <row r="895" spans="1:26" ht="15.75" customHeight="1" x14ac:dyDescent="0.2">
      <c r="A895" s="603"/>
      <c r="B895" s="603"/>
      <c r="C895" s="603"/>
      <c r="D895" s="603"/>
      <c r="E895" s="603"/>
      <c r="F895" s="603"/>
      <c r="G895" s="603"/>
      <c r="H895" s="603"/>
      <c r="I895" s="603"/>
      <c r="J895" s="603"/>
      <c r="K895" s="449"/>
      <c r="L895" s="603"/>
      <c r="M895" s="603"/>
      <c r="N895" s="603"/>
      <c r="O895" s="603"/>
      <c r="P895" s="603"/>
      <c r="Q895" s="603"/>
      <c r="R895" s="603"/>
      <c r="S895" s="603"/>
      <c r="T895" s="603"/>
      <c r="U895" s="603"/>
      <c r="V895" s="603"/>
      <c r="W895" s="603"/>
      <c r="X895" s="603"/>
      <c r="Y895" s="603"/>
      <c r="Z895" s="603"/>
    </row>
    <row r="896" spans="1:26" ht="15.75" customHeight="1" x14ac:dyDescent="0.2">
      <c r="A896" s="603"/>
      <c r="B896" s="603"/>
      <c r="C896" s="603"/>
      <c r="D896" s="603"/>
      <c r="E896" s="603"/>
      <c r="F896" s="603"/>
      <c r="G896" s="603"/>
      <c r="H896" s="603"/>
      <c r="I896" s="603"/>
      <c r="J896" s="603"/>
      <c r="K896" s="449"/>
      <c r="L896" s="603"/>
      <c r="M896" s="603"/>
      <c r="N896" s="603"/>
      <c r="O896" s="603"/>
      <c r="P896" s="603"/>
      <c r="Q896" s="603"/>
      <c r="R896" s="603"/>
      <c r="S896" s="603"/>
      <c r="T896" s="603"/>
      <c r="U896" s="603"/>
      <c r="V896" s="603"/>
      <c r="W896" s="603"/>
      <c r="X896" s="603"/>
      <c r="Y896" s="603"/>
      <c r="Z896" s="603"/>
    </row>
    <row r="897" spans="1:26" ht="15.75" customHeight="1" x14ac:dyDescent="0.2">
      <c r="A897" s="603"/>
      <c r="B897" s="603"/>
      <c r="C897" s="603"/>
      <c r="D897" s="603"/>
      <c r="E897" s="603"/>
      <c r="F897" s="603"/>
      <c r="G897" s="603"/>
      <c r="H897" s="603"/>
      <c r="I897" s="603"/>
      <c r="J897" s="603"/>
      <c r="K897" s="449"/>
      <c r="L897" s="603"/>
      <c r="M897" s="603"/>
      <c r="N897" s="603"/>
      <c r="O897" s="603"/>
      <c r="P897" s="603"/>
      <c r="Q897" s="603"/>
      <c r="R897" s="603"/>
      <c r="S897" s="603"/>
      <c r="T897" s="603"/>
      <c r="U897" s="603"/>
      <c r="V897" s="603"/>
      <c r="W897" s="603"/>
      <c r="X897" s="603"/>
      <c r="Y897" s="603"/>
      <c r="Z897" s="603"/>
    </row>
    <row r="898" spans="1:26" ht="15.75" customHeight="1" x14ac:dyDescent="0.2">
      <c r="A898" s="603"/>
      <c r="B898" s="603"/>
      <c r="C898" s="603"/>
      <c r="D898" s="603"/>
      <c r="E898" s="603"/>
      <c r="F898" s="603"/>
      <c r="G898" s="603"/>
      <c r="H898" s="603"/>
      <c r="I898" s="603"/>
      <c r="J898" s="603"/>
      <c r="K898" s="449"/>
      <c r="L898" s="603"/>
      <c r="M898" s="603"/>
      <c r="N898" s="603"/>
      <c r="O898" s="603"/>
      <c r="P898" s="603"/>
      <c r="Q898" s="603"/>
      <c r="R898" s="603"/>
      <c r="S898" s="603"/>
      <c r="T898" s="603"/>
      <c r="U898" s="603"/>
      <c r="V898" s="603"/>
      <c r="W898" s="603"/>
      <c r="X898" s="603"/>
      <c r="Y898" s="603"/>
      <c r="Z898" s="603"/>
    </row>
    <row r="899" spans="1:26" ht="15.75" customHeight="1" x14ac:dyDescent="0.2">
      <c r="A899" s="603"/>
      <c r="B899" s="603"/>
      <c r="C899" s="603"/>
      <c r="D899" s="603"/>
      <c r="E899" s="603"/>
      <c r="F899" s="603"/>
      <c r="G899" s="603"/>
      <c r="H899" s="603"/>
      <c r="I899" s="603"/>
      <c r="J899" s="603"/>
      <c r="K899" s="449"/>
      <c r="L899" s="603"/>
      <c r="M899" s="603"/>
      <c r="N899" s="603"/>
      <c r="O899" s="603"/>
      <c r="P899" s="603"/>
      <c r="Q899" s="603"/>
      <c r="R899" s="603"/>
      <c r="S899" s="603"/>
      <c r="T899" s="603"/>
      <c r="U899" s="603"/>
      <c r="V899" s="603"/>
      <c r="W899" s="603"/>
      <c r="X899" s="603"/>
      <c r="Y899" s="603"/>
      <c r="Z899" s="603"/>
    </row>
    <row r="900" spans="1:26" ht="15.75" customHeight="1" x14ac:dyDescent="0.2">
      <c r="A900" s="603"/>
      <c r="B900" s="603"/>
      <c r="C900" s="603"/>
      <c r="D900" s="603"/>
      <c r="E900" s="603"/>
      <c r="F900" s="603"/>
      <c r="G900" s="603"/>
      <c r="H900" s="603"/>
      <c r="I900" s="603"/>
      <c r="J900" s="603"/>
      <c r="K900" s="449"/>
      <c r="L900" s="603"/>
      <c r="M900" s="603"/>
      <c r="N900" s="603"/>
      <c r="O900" s="603"/>
      <c r="P900" s="603"/>
      <c r="Q900" s="603"/>
      <c r="R900" s="603"/>
      <c r="S900" s="603"/>
      <c r="T900" s="603"/>
      <c r="U900" s="603"/>
      <c r="V900" s="603"/>
      <c r="W900" s="603"/>
      <c r="X900" s="603"/>
      <c r="Y900" s="603"/>
      <c r="Z900" s="603"/>
    </row>
    <row r="901" spans="1:26" ht="15.75" customHeight="1" x14ac:dyDescent="0.2">
      <c r="A901" s="603"/>
      <c r="B901" s="603"/>
      <c r="C901" s="603"/>
      <c r="D901" s="603"/>
      <c r="E901" s="603"/>
      <c r="F901" s="603"/>
      <c r="G901" s="603"/>
      <c r="H901" s="603"/>
      <c r="I901" s="603"/>
      <c r="J901" s="603"/>
      <c r="K901" s="449"/>
      <c r="L901" s="603"/>
      <c r="M901" s="603"/>
      <c r="N901" s="603"/>
      <c r="O901" s="603"/>
      <c r="P901" s="603"/>
      <c r="Q901" s="603"/>
      <c r="R901" s="603"/>
      <c r="S901" s="603"/>
      <c r="T901" s="603"/>
      <c r="U901" s="603"/>
      <c r="V901" s="603"/>
      <c r="W901" s="603"/>
      <c r="X901" s="603"/>
      <c r="Y901" s="603"/>
      <c r="Z901" s="603"/>
    </row>
    <row r="902" spans="1:26" ht="15.75" customHeight="1" x14ac:dyDescent="0.2">
      <c r="A902" s="603"/>
      <c r="B902" s="603"/>
      <c r="C902" s="603"/>
      <c r="D902" s="603"/>
      <c r="E902" s="603"/>
      <c r="F902" s="603"/>
      <c r="G902" s="603"/>
      <c r="H902" s="603"/>
      <c r="I902" s="603"/>
      <c r="J902" s="603"/>
      <c r="K902" s="449"/>
      <c r="L902" s="603"/>
      <c r="M902" s="603"/>
      <c r="N902" s="603"/>
      <c r="O902" s="603"/>
      <c r="P902" s="603"/>
      <c r="Q902" s="603"/>
      <c r="R902" s="603"/>
      <c r="S902" s="603"/>
      <c r="T902" s="603"/>
      <c r="U902" s="603"/>
      <c r="V902" s="603"/>
      <c r="W902" s="603"/>
      <c r="X902" s="603"/>
      <c r="Y902" s="603"/>
      <c r="Z902" s="603"/>
    </row>
    <row r="903" spans="1:26" ht="15.75" customHeight="1" x14ac:dyDescent="0.2">
      <c r="A903" s="603"/>
      <c r="B903" s="603"/>
      <c r="C903" s="603"/>
      <c r="D903" s="603"/>
      <c r="E903" s="603"/>
      <c r="F903" s="603"/>
      <c r="G903" s="603"/>
      <c r="H903" s="603"/>
      <c r="I903" s="603"/>
      <c r="J903" s="603"/>
      <c r="K903" s="449"/>
      <c r="L903" s="603"/>
      <c r="M903" s="603"/>
      <c r="N903" s="603"/>
      <c r="O903" s="603"/>
      <c r="P903" s="603"/>
      <c r="Q903" s="603"/>
      <c r="R903" s="603"/>
      <c r="S903" s="603"/>
      <c r="T903" s="603"/>
      <c r="U903" s="603"/>
      <c r="V903" s="603"/>
      <c r="W903" s="603"/>
      <c r="X903" s="603"/>
      <c r="Y903" s="603"/>
      <c r="Z903" s="603"/>
    </row>
    <row r="904" spans="1:26" ht="15.75" customHeight="1" x14ac:dyDescent="0.2">
      <c r="A904" s="603"/>
      <c r="B904" s="603"/>
      <c r="C904" s="603"/>
      <c r="D904" s="603"/>
      <c r="E904" s="603"/>
      <c r="F904" s="603"/>
      <c r="G904" s="603"/>
      <c r="H904" s="603"/>
      <c r="I904" s="603"/>
      <c r="J904" s="603"/>
      <c r="K904" s="449"/>
      <c r="L904" s="603"/>
      <c r="M904" s="603"/>
      <c r="N904" s="603"/>
      <c r="O904" s="603"/>
      <c r="P904" s="603"/>
      <c r="Q904" s="603"/>
      <c r="R904" s="603"/>
      <c r="S904" s="603"/>
      <c r="T904" s="603"/>
      <c r="U904" s="603"/>
      <c r="V904" s="603"/>
      <c r="W904" s="603"/>
      <c r="X904" s="603"/>
      <c r="Y904" s="603"/>
      <c r="Z904" s="603"/>
    </row>
    <row r="905" spans="1:26" ht="15.75" customHeight="1" x14ac:dyDescent="0.2">
      <c r="A905" s="603"/>
      <c r="B905" s="603"/>
      <c r="C905" s="603"/>
      <c r="D905" s="603"/>
      <c r="E905" s="603"/>
      <c r="F905" s="603"/>
      <c r="G905" s="603"/>
      <c r="H905" s="603"/>
      <c r="I905" s="603"/>
      <c r="J905" s="603"/>
      <c r="K905" s="449"/>
      <c r="L905" s="603"/>
      <c r="M905" s="603"/>
      <c r="N905" s="603"/>
      <c r="O905" s="603"/>
      <c r="P905" s="603"/>
      <c r="Q905" s="603"/>
      <c r="R905" s="603"/>
      <c r="S905" s="603"/>
      <c r="T905" s="603"/>
      <c r="U905" s="603"/>
      <c r="V905" s="603"/>
      <c r="W905" s="603"/>
      <c r="X905" s="603"/>
      <c r="Y905" s="603"/>
      <c r="Z905" s="603"/>
    </row>
    <row r="906" spans="1:26" ht="15.75" customHeight="1" x14ac:dyDescent="0.2">
      <c r="A906" s="603"/>
      <c r="B906" s="603"/>
      <c r="C906" s="603"/>
      <c r="D906" s="603"/>
      <c r="E906" s="603"/>
      <c r="F906" s="603"/>
      <c r="G906" s="603"/>
      <c r="H906" s="603"/>
      <c r="I906" s="603"/>
      <c r="J906" s="603"/>
      <c r="K906" s="449"/>
      <c r="L906" s="603"/>
      <c r="M906" s="603"/>
      <c r="N906" s="603"/>
      <c r="O906" s="603"/>
      <c r="P906" s="603"/>
      <c r="Q906" s="603"/>
      <c r="R906" s="603"/>
      <c r="S906" s="603"/>
      <c r="T906" s="603"/>
      <c r="U906" s="603"/>
      <c r="V906" s="603"/>
      <c r="W906" s="603"/>
      <c r="X906" s="603"/>
      <c r="Y906" s="603"/>
      <c r="Z906" s="603"/>
    </row>
    <row r="907" spans="1:26" ht="15.75" customHeight="1" x14ac:dyDescent="0.2">
      <c r="A907" s="603"/>
      <c r="B907" s="603"/>
      <c r="C907" s="603"/>
      <c r="D907" s="603"/>
      <c r="E907" s="603"/>
      <c r="F907" s="603"/>
      <c r="G907" s="603"/>
      <c r="H907" s="603"/>
      <c r="I907" s="603"/>
      <c r="J907" s="603"/>
      <c r="K907" s="449"/>
      <c r="L907" s="603"/>
      <c r="M907" s="603"/>
      <c r="N907" s="603"/>
      <c r="O907" s="603"/>
      <c r="P907" s="603"/>
      <c r="Q907" s="603"/>
      <c r="R907" s="603"/>
      <c r="S907" s="603"/>
      <c r="T907" s="603"/>
      <c r="U907" s="603"/>
      <c r="V907" s="603"/>
      <c r="W907" s="603"/>
      <c r="X907" s="603"/>
      <c r="Y907" s="603"/>
      <c r="Z907" s="603"/>
    </row>
    <row r="908" spans="1:26" ht="15.75" customHeight="1" x14ac:dyDescent="0.2">
      <c r="A908" s="603"/>
      <c r="B908" s="603"/>
      <c r="C908" s="603"/>
      <c r="D908" s="603"/>
      <c r="E908" s="603"/>
      <c r="F908" s="603"/>
      <c r="G908" s="603"/>
      <c r="H908" s="603"/>
      <c r="I908" s="603"/>
      <c r="J908" s="603"/>
      <c r="K908" s="449"/>
      <c r="L908" s="603"/>
      <c r="M908" s="603"/>
      <c r="N908" s="603"/>
      <c r="O908" s="603"/>
      <c r="P908" s="603"/>
      <c r="Q908" s="603"/>
      <c r="R908" s="603"/>
      <c r="S908" s="603"/>
      <c r="T908" s="603"/>
      <c r="U908" s="603"/>
      <c r="V908" s="603"/>
      <c r="W908" s="603"/>
      <c r="X908" s="603"/>
      <c r="Y908" s="603"/>
      <c r="Z908" s="603"/>
    </row>
    <row r="909" spans="1:26" ht="15.75" customHeight="1" x14ac:dyDescent="0.2">
      <c r="A909" s="603"/>
      <c r="B909" s="603"/>
      <c r="C909" s="603"/>
      <c r="D909" s="603"/>
      <c r="E909" s="603"/>
      <c r="F909" s="603"/>
      <c r="G909" s="603"/>
      <c r="H909" s="603"/>
      <c r="I909" s="603"/>
      <c r="J909" s="603"/>
      <c r="K909" s="449"/>
      <c r="L909" s="603"/>
      <c r="M909" s="603"/>
      <c r="N909" s="603"/>
      <c r="O909" s="603"/>
      <c r="P909" s="603"/>
      <c r="Q909" s="603"/>
      <c r="R909" s="603"/>
      <c r="S909" s="603"/>
      <c r="T909" s="603"/>
      <c r="U909" s="603"/>
      <c r="V909" s="603"/>
      <c r="W909" s="603"/>
      <c r="X909" s="603"/>
      <c r="Y909" s="603"/>
      <c r="Z909" s="603"/>
    </row>
    <row r="910" spans="1:26" ht="15.75" customHeight="1" x14ac:dyDescent="0.2">
      <c r="A910" s="603"/>
      <c r="B910" s="603"/>
      <c r="C910" s="603"/>
      <c r="D910" s="603"/>
      <c r="E910" s="603"/>
      <c r="F910" s="603"/>
      <c r="G910" s="603"/>
      <c r="H910" s="603"/>
      <c r="I910" s="603"/>
      <c r="J910" s="603"/>
      <c r="K910" s="449"/>
      <c r="L910" s="603"/>
      <c r="M910" s="603"/>
      <c r="N910" s="603"/>
      <c r="O910" s="603"/>
      <c r="P910" s="603"/>
      <c r="Q910" s="603"/>
      <c r="R910" s="603"/>
      <c r="S910" s="603"/>
      <c r="T910" s="603"/>
      <c r="U910" s="603"/>
      <c r="V910" s="603"/>
      <c r="W910" s="603"/>
      <c r="X910" s="603"/>
      <c r="Y910" s="603"/>
      <c r="Z910" s="603"/>
    </row>
    <row r="911" spans="1:26" ht="15.75" customHeight="1" x14ac:dyDescent="0.2">
      <c r="A911" s="603"/>
      <c r="B911" s="603"/>
      <c r="C911" s="603"/>
      <c r="D911" s="603"/>
      <c r="E911" s="603"/>
      <c r="F911" s="603"/>
      <c r="G911" s="603"/>
      <c r="H911" s="603"/>
      <c r="I911" s="603"/>
      <c r="J911" s="603"/>
      <c r="K911" s="449"/>
      <c r="L911" s="603"/>
      <c r="M911" s="603"/>
      <c r="N911" s="603"/>
      <c r="O911" s="603"/>
      <c r="P911" s="603"/>
      <c r="Q911" s="603"/>
      <c r="R911" s="603"/>
      <c r="S911" s="603"/>
      <c r="T911" s="603"/>
      <c r="U911" s="603"/>
      <c r="V911" s="603"/>
      <c r="W911" s="603"/>
      <c r="X911" s="603"/>
      <c r="Y911" s="603"/>
      <c r="Z911" s="603"/>
    </row>
    <row r="912" spans="1:26" ht="15.75" customHeight="1" x14ac:dyDescent="0.2">
      <c r="A912" s="603"/>
      <c r="B912" s="603"/>
      <c r="C912" s="603"/>
      <c r="D912" s="603"/>
      <c r="E912" s="603"/>
      <c r="F912" s="603"/>
      <c r="G912" s="603"/>
      <c r="H912" s="603"/>
      <c r="I912" s="603"/>
      <c r="J912" s="603"/>
      <c r="K912" s="449"/>
      <c r="L912" s="603"/>
      <c r="M912" s="603"/>
      <c r="N912" s="603"/>
      <c r="O912" s="603"/>
      <c r="P912" s="603"/>
      <c r="Q912" s="603"/>
      <c r="R912" s="603"/>
      <c r="S912" s="603"/>
      <c r="T912" s="603"/>
      <c r="U912" s="603"/>
      <c r="V912" s="603"/>
      <c r="W912" s="603"/>
      <c r="X912" s="603"/>
      <c r="Y912" s="603"/>
      <c r="Z912" s="603"/>
    </row>
    <row r="913" spans="1:26" ht="15.75" customHeight="1" x14ac:dyDescent="0.2">
      <c r="A913" s="603"/>
      <c r="B913" s="603"/>
      <c r="C913" s="603"/>
      <c r="D913" s="603"/>
      <c r="E913" s="603"/>
      <c r="F913" s="603"/>
      <c r="G913" s="603"/>
      <c r="H913" s="603"/>
      <c r="I913" s="603"/>
      <c r="J913" s="603"/>
      <c r="K913" s="449"/>
      <c r="L913" s="603"/>
      <c r="M913" s="603"/>
      <c r="N913" s="603"/>
      <c r="O913" s="603"/>
      <c r="P913" s="603"/>
      <c r="Q913" s="603"/>
      <c r="R913" s="603"/>
      <c r="S913" s="603"/>
      <c r="T913" s="603"/>
      <c r="U913" s="603"/>
      <c r="V913" s="603"/>
      <c r="W913" s="603"/>
      <c r="X913" s="603"/>
      <c r="Y913" s="603"/>
      <c r="Z913" s="603"/>
    </row>
    <row r="914" spans="1:26" ht="15.75" customHeight="1" x14ac:dyDescent="0.2">
      <c r="A914" s="603"/>
      <c r="B914" s="603"/>
      <c r="C914" s="603"/>
      <c r="D914" s="603"/>
      <c r="E914" s="603"/>
      <c r="F914" s="603"/>
      <c r="G914" s="603"/>
      <c r="H914" s="603"/>
      <c r="I914" s="603"/>
      <c r="J914" s="603"/>
      <c r="K914" s="449"/>
      <c r="L914" s="603"/>
      <c r="M914" s="603"/>
      <c r="N914" s="603"/>
      <c r="O914" s="603"/>
      <c r="P914" s="603"/>
      <c r="Q914" s="603"/>
      <c r="R914" s="603"/>
      <c r="S914" s="603"/>
      <c r="T914" s="603"/>
      <c r="U914" s="603"/>
      <c r="V914" s="603"/>
      <c r="W914" s="603"/>
      <c r="X914" s="603"/>
      <c r="Y914" s="603"/>
      <c r="Z914" s="603"/>
    </row>
    <row r="915" spans="1:26" ht="15.75" customHeight="1" x14ac:dyDescent="0.2">
      <c r="A915" s="603"/>
      <c r="B915" s="603"/>
      <c r="C915" s="603"/>
      <c r="D915" s="603"/>
      <c r="E915" s="603"/>
      <c r="F915" s="603"/>
      <c r="G915" s="603"/>
      <c r="H915" s="603"/>
      <c r="I915" s="603"/>
      <c r="J915" s="603"/>
      <c r="K915" s="449"/>
      <c r="L915" s="603"/>
      <c r="M915" s="603"/>
      <c r="N915" s="603"/>
      <c r="O915" s="603"/>
      <c r="P915" s="603"/>
      <c r="Q915" s="603"/>
      <c r="R915" s="603"/>
      <c r="S915" s="603"/>
      <c r="T915" s="603"/>
      <c r="U915" s="603"/>
      <c r="V915" s="603"/>
      <c r="W915" s="603"/>
      <c r="X915" s="603"/>
      <c r="Y915" s="603"/>
      <c r="Z915" s="603"/>
    </row>
    <row r="916" spans="1:26" ht="15.75" customHeight="1" x14ac:dyDescent="0.2">
      <c r="A916" s="603"/>
      <c r="B916" s="603"/>
      <c r="C916" s="603"/>
      <c r="D916" s="603"/>
      <c r="E916" s="603"/>
      <c r="F916" s="603"/>
      <c r="G916" s="603"/>
      <c r="H916" s="603"/>
      <c r="I916" s="603"/>
      <c r="J916" s="603"/>
      <c r="K916" s="449"/>
      <c r="L916" s="603"/>
      <c r="M916" s="603"/>
      <c r="N916" s="603"/>
      <c r="O916" s="603"/>
      <c r="P916" s="603"/>
      <c r="Q916" s="603"/>
      <c r="R916" s="603"/>
      <c r="S916" s="603"/>
      <c r="T916" s="603"/>
      <c r="U916" s="603"/>
      <c r="V916" s="603"/>
      <c r="W916" s="603"/>
      <c r="X916" s="603"/>
      <c r="Y916" s="603"/>
      <c r="Z916" s="603"/>
    </row>
    <row r="917" spans="1:26" ht="15.75" customHeight="1" x14ac:dyDescent="0.2">
      <c r="A917" s="603"/>
      <c r="B917" s="603"/>
      <c r="C917" s="603"/>
      <c r="D917" s="603"/>
      <c r="E917" s="603"/>
      <c r="F917" s="603"/>
      <c r="G917" s="603"/>
      <c r="H917" s="603"/>
      <c r="I917" s="603"/>
      <c r="J917" s="603"/>
      <c r="K917" s="449"/>
      <c r="L917" s="603"/>
      <c r="M917" s="603"/>
      <c r="N917" s="603"/>
      <c r="O917" s="603"/>
      <c r="P917" s="603"/>
      <c r="Q917" s="603"/>
      <c r="R917" s="603"/>
      <c r="S917" s="603"/>
      <c r="T917" s="603"/>
      <c r="U917" s="603"/>
      <c r="V917" s="603"/>
      <c r="W917" s="603"/>
      <c r="X917" s="603"/>
      <c r="Y917" s="603"/>
      <c r="Z917" s="603"/>
    </row>
    <row r="918" spans="1:26" ht="15.75" customHeight="1" x14ac:dyDescent="0.2">
      <c r="A918" s="603"/>
      <c r="B918" s="603"/>
      <c r="C918" s="603"/>
      <c r="D918" s="603"/>
      <c r="E918" s="603"/>
      <c r="F918" s="603"/>
      <c r="G918" s="603"/>
      <c r="H918" s="603"/>
      <c r="I918" s="603"/>
      <c r="J918" s="603"/>
      <c r="K918" s="449"/>
      <c r="L918" s="603"/>
      <c r="M918" s="603"/>
      <c r="N918" s="603"/>
      <c r="O918" s="603"/>
      <c r="P918" s="603"/>
      <c r="Q918" s="603"/>
      <c r="R918" s="603"/>
      <c r="S918" s="603"/>
      <c r="T918" s="603"/>
      <c r="U918" s="603"/>
      <c r="V918" s="603"/>
      <c r="W918" s="603"/>
      <c r="X918" s="603"/>
      <c r="Y918" s="603"/>
      <c r="Z918" s="603"/>
    </row>
    <row r="919" spans="1:26" ht="15.75" customHeight="1" x14ac:dyDescent="0.2">
      <c r="A919" s="603"/>
      <c r="B919" s="603"/>
      <c r="C919" s="603"/>
      <c r="D919" s="603"/>
      <c r="E919" s="603"/>
      <c r="F919" s="603"/>
      <c r="G919" s="603"/>
      <c r="H919" s="603"/>
      <c r="I919" s="603"/>
      <c r="J919" s="603"/>
      <c r="K919" s="449"/>
      <c r="L919" s="603"/>
      <c r="M919" s="603"/>
      <c r="N919" s="603"/>
      <c r="O919" s="603"/>
      <c r="P919" s="603"/>
      <c r="Q919" s="603"/>
      <c r="R919" s="603"/>
      <c r="S919" s="603"/>
      <c r="T919" s="603"/>
      <c r="U919" s="603"/>
      <c r="V919" s="603"/>
      <c r="W919" s="603"/>
      <c r="X919" s="603"/>
      <c r="Y919" s="603"/>
      <c r="Z919" s="603"/>
    </row>
    <row r="920" spans="1:26" ht="15.75" customHeight="1" x14ac:dyDescent="0.2">
      <c r="A920" s="603"/>
      <c r="B920" s="603"/>
      <c r="C920" s="603"/>
      <c r="D920" s="603"/>
      <c r="E920" s="603"/>
      <c r="F920" s="603"/>
      <c r="G920" s="603"/>
      <c r="H920" s="603"/>
      <c r="I920" s="603"/>
      <c r="J920" s="603"/>
      <c r="K920" s="449"/>
      <c r="L920" s="603"/>
      <c r="M920" s="603"/>
      <c r="N920" s="603"/>
      <c r="O920" s="603"/>
      <c r="P920" s="603"/>
      <c r="Q920" s="603"/>
      <c r="R920" s="603"/>
      <c r="S920" s="603"/>
      <c r="T920" s="603"/>
      <c r="U920" s="603"/>
      <c r="V920" s="603"/>
      <c r="W920" s="603"/>
      <c r="X920" s="603"/>
      <c r="Y920" s="603"/>
      <c r="Z920" s="603"/>
    </row>
    <row r="921" spans="1:26" ht="15.75" customHeight="1" x14ac:dyDescent="0.2">
      <c r="A921" s="603"/>
      <c r="B921" s="603"/>
      <c r="C921" s="603"/>
      <c r="D921" s="603"/>
      <c r="E921" s="603"/>
      <c r="F921" s="603"/>
      <c r="G921" s="603"/>
      <c r="H921" s="603"/>
      <c r="I921" s="603"/>
      <c r="J921" s="603"/>
      <c r="K921" s="449"/>
      <c r="L921" s="603"/>
      <c r="M921" s="603"/>
      <c r="N921" s="603"/>
      <c r="O921" s="603"/>
      <c r="P921" s="603"/>
      <c r="Q921" s="603"/>
      <c r="R921" s="603"/>
      <c r="S921" s="603"/>
      <c r="T921" s="603"/>
      <c r="U921" s="603"/>
      <c r="V921" s="603"/>
      <c r="W921" s="603"/>
      <c r="X921" s="603"/>
      <c r="Y921" s="603"/>
      <c r="Z921" s="603"/>
    </row>
    <row r="922" spans="1:26" ht="15.75" customHeight="1" x14ac:dyDescent="0.2">
      <c r="A922" s="603"/>
      <c r="B922" s="603"/>
      <c r="C922" s="603"/>
      <c r="D922" s="603"/>
      <c r="E922" s="603"/>
      <c r="F922" s="603"/>
      <c r="G922" s="603"/>
      <c r="H922" s="603"/>
      <c r="I922" s="603"/>
      <c r="J922" s="603"/>
      <c r="K922" s="449"/>
      <c r="L922" s="603"/>
      <c r="M922" s="603"/>
      <c r="N922" s="603"/>
      <c r="O922" s="603"/>
      <c r="P922" s="603"/>
      <c r="Q922" s="603"/>
      <c r="R922" s="603"/>
      <c r="S922" s="603"/>
      <c r="T922" s="603"/>
      <c r="U922" s="603"/>
      <c r="V922" s="603"/>
      <c r="W922" s="603"/>
      <c r="X922" s="603"/>
      <c r="Y922" s="603"/>
      <c r="Z922" s="603"/>
    </row>
    <row r="923" spans="1:26" ht="15.75" customHeight="1" x14ac:dyDescent="0.2">
      <c r="A923" s="603"/>
      <c r="B923" s="603"/>
      <c r="C923" s="603"/>
      <c r="D923" s="603"/>
      <c r="E923" s="603"/>
      <c r="F923" s="603"/>
      <c r="G923" s="603"/>
      <c r="H923" s="603"/>
      <c r="I923" s="603"/>
      <c r="J923" s="603"/>
      <c r="K923" s="449"/>
      <c r="L923" s="603"/>
      <c r="M923" s="603"/>
      <c r="N923" s="603"/>
      <c r="O923" s="603"/>
      <c r="P923" s="603"/>
      <c r="Q923" s="603"/>
      <c r="R923" s="603"/>
      <c r="S923" s="603"/>
      <c r="T923" s="603"/>
      <c r="U923" s="603"/>
      <c r="V923" s="603"/>
      <c r="W923" s="603"/>
      <c r="X923" s="603"/>
      <c r="Y923" s="603"/>
      <c r="Z923" s="603"/>
    </row>
    <row r="924" spans="1:26" ht="15.75" customHeight="1" x14ac:dyDescent="0.2">
      <c r="A924" s="603"/>
      <c r="B924" s="603"/>
      <c r="C924" s="603"/>
      <c r="D924" s="603"/>
      <c r="E924" s="603"/>
      <c r="F924" s="603"/>
      <c r="G924" s="603"/>
      <c r="H924" s="603"/>
      <c r="I924" s="603"/>
      <c r="J924" s="603"/>
      <c r="K924" s="449"/>
      <c r="L924" s="603"/>
      <c r="M924" s="603"/>
      <c r="N924" s="603"/>
      <c r="O924" s="603"/>
      <c r="P924" s="603"/>
      <c r="Q924" s="603"/>
      <c r="R924" s="603"/>
      <c r="S924" s="603"/>
      <c r="T924" s="603"/>
      <c r="U924" s="603"/>
      <c r="V924" s="603"/>
      <c r="W924" s="603"/>
      <c r="X924" s="603"/>
      <c r="Y924" s="603"/>
      <c r="Z924" s="603"/>
    </row>
    <row r="925" spans="1:26" ht="15.75" customHeight="1" x14ac:dyDescent="0.2">
      <c r="A925" s="603"/>
      <c r="B925" s="603"/>
      <c r="C925" s="603"/>
      <c r="D925" s="603"/>
      <c r="E925" s="603"/>
      <c r="F925" s="603"/>
      <c r="G925" s="603"/>
      <c r="H925" s="603"/>
      <c r="I925" s="603"/>
      <c r="J925" s="603"/>
      <c r="K925" s="449"/>
      <c r="L925" s="603"/>
      <c r="M925" s="603"/>
      <c r="N925" s="603"/>
      <c r="O925" s="603"/>
      <c r="P925" s="603"/>
      <c r="Q925" s="603"/>
      <c r="R925" s="603"/>
      <c r="S925" s="603"/>
      <c r="T925" s="603"/>
      <c r="U925" s="603"/>
      <c r="V925" s="603"/>
      <c r="W925" s="603"/>
      <c r="X925" s="603"/>
      <c r="Y925" s="603"/>
      <c r="Z925" s="603"/>
    </row>
    <row r="926" spans="1:26" ht="15.75" customHeight="1" x14ac:dyDescent="0.2">
      <c r="A926" s="603"/>
      <c r="B926" s="603"/>
      <c r="C926" s="603"/>
      <c r="D926" s="603"/>
      <c r="E926" s="603"/>
      <c r="F926" s="603"/>
      <c r="G926" s="603"/>
      <c r="H926" s="603"/>
      <c r="I926" s="603"/>
      <c r="J926" s="603"/>
      <c r="K926" s="449"/>
      <c r="L926" s="603"/>
      <c r="M926" s="603"/>
      <c r="N926" s="603"/>
      <c r="O926" s="603"/>
      <c r="P926" s="603"/>
      <c r="Q926" s="603"/>
      <c r="R926" s="603"/>
      <c r="S926" s="603"/>
      <c r="T926" s="603"/>
      <c r="U926" s="603"/>
      <c r="V926" s="603"/>
      <c r="W926" s="603"/>
      <c r="X926" s="603"/>
      <c r="Y926" s="603"/>
      <c r="Z926" s="603"/>
    </row>
    <row r="927" spans="1:26" ht="15.75" customHeight="1" x14ac:dyDescent="0.2">
      <c r="A927" s="603"/>
      <c r="B927" s="603"/>
      <c r="C927" s="603"/>
      <c r="D927" s="603"/>
      <c r="E927" s="603"/>
      <c r="F927" s="603"/>
      <c r="G927" s="603"/>
      <c r="H927" s="603"/>
      <c r="I927" s="603"/>
      <c r="J927" s="603"/>
      <c r="K927" s="449"/>
      <c r="L927" s="603"/>
      <c r="M927" s="603"/>
      <c r="N927" s="603"/>
      <c r="O927" s="603"/>
      <c r="P927" s="603"/>
      <c r="Q927" s="603"/>
      <c r="R927" s="603"/>
      <c r="S927" s="603"/>
      <c r="T927" s="603"/>
      <c r="U927" s="603"/>
      <c r="V927" s="603"/>
      <c r="W927" s="603"/>
      <c r="X927" s="603"/>
      <c r="Y927" s="603"/>
      <c r="Z927" s="603"/>
    </row>
    <row r="928" spans="1:26" ht="15.75" customHeight="1" x14ac:dyDescent="0.2">
      <c r="A928" s="603"/>
      <c r="B928" s="603"/>
      <c r="C928" s="603"/>
      <c r="D928" s="603"/>
      <c r="E928" s="603"/>
      <c r="F928" s="603"/>
      <c r="G928" s="603"/>
      <c r="H928" s="603"/>
      <c r="I928" s="603"/>
      <c r="J928" s="603"/>
      <c r="K928" s="449"/>
      <c r="L928" s="603"/>
      <c r="M928" s="603"/>
      <c r="N928" s="603"/>
      <c r="O928" s="603"/>
      <c r="P928" s="603"/>
      <c r="Q928" s="603"/>
      <c r="R928" s="603"/>
      <c r="S928" s="603"/>
      <c r="T928" s="603"/>
      <c r="U928" s="603"/>
      <c r="V928" s="603"/>
      <c r="W928" s="603"/>
      <c r="X928" s="603"/>
      <c r="Y928" s="603"/>
      <c r="Z928" s="603"/>
    </row>
    <row r="929" spans="1:26" ht="15.75" customHeight="1" x14ac:dyDescent="0.2">
      <c r="A929" s="603"/>
      <c r="B929" s="603"/>
      <c r="C929" s="603"/>
      <c r="D929" s="603"/>
      <c r="E929" s="603"/>
      <c r="F929" s="603"/>
      <c r="G929" s="603"/>
      <c r="H929" s="603"/>
      <c r="I929" s="603"/>
      <c r="J929" s="603"/>
      <c r="K929" s="449"/>
      <c r="L929" s="603"/>
      <c r="M929" s="603"/>
      <c r="N929" s="603"/>
      <c r="O929" s="603"/>
      <c r="P929" s="603"/>
      <c r="Q929" s="603"/>
      <c r="R929" s="603"/>
      <c r="S929" s="603"/>
      <c r="T929" s="603"/>
      <c r="U929" s="603"/>
      <c r="V929" s="603"/>
      <c r="W929" s="603"/>
      <c r="X929" s="603"/>
      <c r="Y929" s="603"/>
      <c r="Z929" s="603"/>
    </row>
    <row r="930" spans="1:26" ht="15.75" customHeight="1" x14ac:dyDescent="0.2">
      <c r="A930" s="603"/>
      <c r="B930" s="603"/>
      <c r="C930" s="603"/>
      <c r="D930" s="603"/>
      <c r="E930" s="603"/>
      <c r="F930" s="603"/>
      <c r="G930" s="603"/>
      <c r="H930" s="603"/>
      <c r="I930" s="603"/>
      <c r="J930" s="603"/>
      <c r="K930" s="449"/>
      <c r="L930" s="603"/>
      <c r="M930" s="603"/>
      <c r="N930" s="603"/>
      <c r="O930" s="603"/>
      <c r="P930" s="603"/>
      <c r="Q930" s="603"/>
      <c r="R930" s="603"/>
      <c r="S930" s="603"/>
      <c r="T930" s="603"/>
      <c r="U930" s="603"/>
      <c r="V930" s="603"/>
      <c r="W930" s="603"/>
      <c r="X930" s="603"/>
      <c r="Y930" s="603"/>
      <c r="Z930" s="603"/>
    </row>
    <row r="931" spans="1:26" ht="15.75" customHeight="1" x14ac:dyDescent="0.2">
      <c r="A931" s="603"/>
      <c r="B931" s="603"/>
      <c r="C931" s="603"/>
      <c r="D931" s="603"/>
      <c r="E931" s="603"/>
      <c r="F931" s="603"/>
      <c r="G931" s="603"/>
      <c r="H931" s="603"/>
      <c r="I931" s="603"/>
      <c r="J931" s="603"/>
      <c r="K931" s="449"/>
      <c r="L931" s="603"/>
      <c r="M931" s="603"/>
      <c r="N931" s="603"/>
      <c r="O931" s="603"/>
      <c r="P931" s="603"/>
      <c r="Q931" s="603"/>
      <c r="R931" s="603"/>
      <c r="S931" s="603"/>
      <c r="T931" s="603"/>
      <c r="U931" s="603"/>
      <c r="V931" s="603"/>
      <c r="W931" s="603"/>
      <c r="X931" s="603"/>
      <c r="Y931" s="603"/>
      <c r="Z931" s="603"/>
    </row>
    <row r="932" spans="1:26" ht="15.75" customHeight="1" x14ac:dyDescent="0.2">
      <c r="A932" s="603"/>
      <c r="B932" s="603"/>
      <c r="C932" s="603"/>
      <c r="D932" s="603"/>
      <c r="E932" s="603"/>
      <c r="F932" s="603"/>
      <c r="G932" s="603"/>
      <c r="H932" s="603"/>
      <c r="I932" s="603"/>
      <c r="J932" s="603"/>
      <c r="K932" s="449"/>
      <c r="L932" s="603"/>
      <c r="M932" s="603"/>
      <c r="N932" s="603"/>
      <c r="O932" s="603"/>
      <c r="P932" s="603"/>
      <c r="Q932" s="603"/>
      <c r="R932" s="603"/>
      <c r="S932" s="603"/>
      <c r="T932" s="603"/>
      <c r="U932" s="603"/>
      <c r="V932" s="603"/>
      <c r="W932" s="603"/>
      <c r="X932" s="603"/>
      <c r="Y932" s="603"/>
      <c r="Z932" s="603"/>
    </row>
    <row r="933" spans="1:26" ht="15.75" customHeight="1" x14ac:dyDescent="0.2">
      <c r="A933" s="603"/>
      <c r="B933" s="603"/>
      <c r="C933" s="603"/>
      <c r="D933" s="603"/>
      <c r="E933" s="603"/>
      <c r="F933" s="603"/>
      <c r="G933" s="603"/>
      <c r="H933" s="603"/>
      <c r="I933" s="603"/>
      <c r="J933" s="603"/>
      <c r="K933" s="449"/>
      <c r="L933" s="603"/>
      <c r="M933" s="603"/>
      <c r="N933" s="603"/>
      <c r="O933" s="603"/>
      <c r="P933" s="603"/>
      <c r="Q933" s="603"/>
      <c r="R933" s="603"/>
      <c r="S933" s="603"/>
      <c r="T933" s="603"/>
      <c r="U933" s="603"/>
      <c r="V933" s="603"/>
      <c r="W933" s="603"/>
      <c r="X933" s="603"/>
      <c r="Y933" s="603"/>
      <c r="Z933" s="603"/>
    </row>
    <row r="934" spans="1:26" ht="15.75" customHeight="1" x14ac:dyDescent="0.2">
      <c r="A934" s="603"/>
      <c r="B934" s="603"/>
      <c r="C934" s="603"/>
      <c r="D934" s="603"/>
      <c r="E934" s="603"/>
      <c r="F934" s="603"/>
      <c r="G934" s="603"/>
      <c r="H934" s="603"/>
      <c r="I934" s="603"/>
      <c r="J934" s="603"/>
      <c r="K934" s="449"/>
      <c r="L934" s="603"/>
      <c r="M934" s="603"/>
      <c r="N934" s="603"/>
      <c r="O934" s="603"/>
      <c r="P934" s="603"/>
      <c r="Q934" s="603"/>
      <c r="R934" s="603"/>
      <c r="S934" s="603"/>
      <c r="T934" s="603"/>
      <c r="U934" s="603"/>
      <c r="V934" s="603"/>
      <c r="W934" s="603"/>
      <c r="X934" s="603"/>
      <c r="Y934" s="603"/>
      <c r="Z934" s="603"/>
    </row>
    <row r="935" spans="1:26" ht="15.75" customHeight="1" x14ac:dyDescent="0.2">
      <c r="A935" s="603"/>
      <c r="B935" s="603"/>
      <c r="C935" s="603"/>
      <c r="D935" s="603"/>
      <c r="E935" s="603"/>
      <c r="F935" s="603"/>
      <c r="G935" s="603"/>
      <c r="H935" s="603"/>
      <c r="I935" s="603"/>
      <c r="J935" s="603"/>
      <c r="K935" s="449"/>
      <c r="L935" s="603"/>
      <c r="M935" s="603"/>
      <c r="N935" s="603"/>
      <c r="O935" s="603"/>
      <c r="P935" s="603"/>
      <c r="Q935" s="603"/>
      <c r="R935" s="603"/>
      <c r="S935" s="603"/>
      <c r="T935" s="603"/>
      <c r="U935" s="603"/>
      <c r="V935" s="603"/>
      <c r="W935" s="603"/>
      <c r="X935" s="603"/>
      <c r="Y935" s="603"/>
      <c r="Z935" s="603"/>
    </row>
    <row r="936" spans="1:26" ht="15.75" customHeight="1" x14ac:dyDescent="0.2">
      <c r="A936" s="603"/>
      <c r="B936" s="603"/>
      <c r="C936" s="603"/>
      <c r="D936" s="603"/>
      <c r="E936" s="603"/>
      <c r="F936" s="603"/>
      <c r="G936" s="603"/>
      <c r="H936" s="603"/>
      <c r="I936" s="603"/>
      <c r="J936" s="603"/>
      <c r="K936" s="449"/>
      <c r="L936" s="603"/>
      <c r="M936" s="603"/>
      <c r="N936" s="603"/>
      <c r="O936" s="603"/>
      <c r="P936" s="603"/>
      <c r="Q936" s="603"/>
      <c r="R936" s="603"/>
      <c r="S936" s="603"/>
      <c r="T936" s="603"/>
      <c r="U936" s="603"/>
      <c r="V936" s="603"/>
      <c r="W936" s="603"/>
      <c r="X936" s="603"/>
      <c r="Y936" s="603"/>
      <c r="Z936" s="603"/>
    </row>
    <row r="937" spans="1:26" ht="15.75" customHeight="1" x14ac:dyDescent="0.2">
      <c r="A937" s="603"/>
      <c r="B937" s="603"/>
      <c r="C937" s="603"/>
      <c r="D937" s="603"/>
      <c r="E937" s="603"/>
      <c r="F937" s="603"/>
      <c r="G937" s="603"/>
      <c r="H937" s="603"/>
      <c r="I937" s="603"/>
      <c r="J937" s="603"/>
      <c r="K937" s="449"/>
      <c r="L937" s="603"/>
      <c r="M937" s="603"/>
      <c r="N937" s="603"/>
      <c r="O937" s="603"/>
      <c r="P937" s="603"/>
      <c r="Q937" s="603"/>
      <c r="R937" s="603"/>
      <c r="S937" s="603"/>
      <c r="T937" s="603"/>
      <c r="U937" s="603"/>
      <c r="V937" s="603"/>
      <c r="W937" s="603"/>
      <c r="X937" s="603"/>
      <c r="Y937" s="603"/>
      <c r="Z937" s="603"/>
    </row>
    <row r="938" spans="1:26" ht="15.75" customHeight="1" x14ac:dyDescent="0.2">
      <c r="A938" s="603"/>
      <c r="B938" s="603"/>
      <c r="C938" s="603"/>
      <c r="D938" s="603"/>
      <c r="E938" s="603"/>
      <c r="F938" s="603"/>
      <c r="G938" s="603"/>
      <c r="H938" s="603"/>
      <c r="I938" s="603"/>
      <c r="J938" s="603"/>
      <c r="K938" s="449"/>
      <c r="L938" s="603"/>
      <c r="M938" s="603"/>
      <c r="N938" s="603"/>
      <c r="O938" s="603"/>
      <c r="P938" s="603"/>
      <c r="Q938" s="603"/>
      <c r="R938" s="603"/>
      <c r="S938" s="603"/>
      <c r="T938" s="603"/>
      <c r="U938" s="603"/>
      <c r="V938" s="603"/>
      <c r="W938" s="603"/>
      <c r="X938" s="603"/>
      <c r="Y938" s="603"/>
      <c r="Z938" s="603"/>
    </row>
    <row r="939" spans="1:26" ht="15.75" customHeight="1" x14ac:dyDescent="0.2">
      <c r="A939" s="603"/>
      <c r="B939" s="603"/>
      <c r="C939" s="603"/>
      <c r="D939" s="603"/>
      <c r="E939" s="603"/>
      <c r="F939" s="603"/>
      <c r="G939" s="603"/>
      <c r="H939" s="603"/>
      <c r="I939" s="603"/>
      <c r="J939" s="603"/>
      <c r="K939" s="449"/>
      <c r="L939" s="603"/>
      <c r="M939" s="603"/>
      <c r="N939" s="603"/>
      <c r="O939" s="603"/>
      <c r="P939" s="603"/>
      <c r="Q939" s="603"/>
      <c r="R939" s="603"/>
      <c r="S939" s="603"/>
      <c r="T939" s="603"/>
      <c r="U939" s="603"/>
      <c r="V939" s="603"/>
      <c r="W939" s="603"/>
      <c r="X939" s="603"/>
      <c r="Y939" s="603"/>
      <c r="Z939" s="603"/>
    </row>
    <row r="940" spans="1:26" ht="15.75" customHeight="1" x14ac:dyDescent="0.2">
      <c r="A940" s="603"/>
      <c r="B940" s="603"/>
      <c r="C940" s="603"/>
      <c r="D940" s="603"/>
      <c r="E940" s="603"/>
      <c r="F940" s="603"/>
      <c r="G940" s="603"/>
      <c r="H940" s="603"/>
      <c r="I940" s="603"/>
      <c r="J940" s="603"/>
      <c r="K940" s="449"/>
      <c r="L940" s="603"/>
      <c r="M940" s="603"/>
      <c r="N940" s="603"/>
      <c r="O940" s="603"/>
      <c r="P940" s="603"/>
      <c r="Q940" s="603"/>
      <c r="R940" s="603"/>
      <c r="S940" s="603"/>
      <c r="T940" s="603"/>
      <c r="U940" s="603"/>
      <c r="V940" s="603"/>
      <c r="W940" s="603"/>
      <c r="X940" s="603"/>
      <c r="Y940" s="603"/>
      <c r="Z940" s="603"/>
    </row>
    <row r="941" spans="1:26" ht="15.75" customHeight="1" x14ac:dyDescent="0.2">
      <c r="A941" s="603"/>
      <c r="B941" s="603"/>
      <c r="C941" s="603"/>
      <c r="D941" s="603"/>
      <c r="E941" s="603"/>
      <c r="F941" s="603"/>
      <c r="G941" s="603"/>
      <c r="H941" s="603"/>
      <c r="I941" s="603"/>
      <c r="J941" s="603"/>
      <c r="K941" s="449"/>
      <c r="L941" s="603"/>
      <c r="M941" s="603"/>
      <c r="N941" s="603"/>
      <c r="O941" s="603"/>
      <c r="P941" s="603"/>
      <c r="Q941" s="603"/>
      <c r="R941" s="603"/>
      <c r="S941" s="603"/>
      <c r="T941" s="603"/>
      <c r="U941" s="603"/>
      <c r="V941" s="603"/>
      <c r="W941" s="603"/>
      <c r="X941" s="603"/>
      <c r="Y941" s="603"/>
      <c r="Z941" s="603"/>
    </row>
    <row r="942" spans="1:26" ht="15.75" customHeight="1" x14ac:dyDescent="0.2">
      <c r="A942" s="603"/>
      <c r="B942" s="603"/>
      <c r="C942" s="603"/>
      <c r="D942" s="603"/>
      <c r="E942" s="603"/>
      <c r="F942" s="603"/>
      <c r="G942" s="603"/>
      <c r="H942" s="603"/>
      <c r="I942" s="603"/>
      <c r="J942" s="603"/>
      <c r="K942" s="449"/>
      <c r="L942" s="603"/>
      <c r="M942" s="603"/>
      <c r="N942" s="603"/>
      <c r="O942" s="603"/>
      <c r="P942" s="603"/>
      <c r="Q942" s="603"/>
      <c r="R942" s="603"/>
      <c r="S942" s="603"/>
      <c r="T942" s="603"/>
      <c r="U942" s="603"/>
      <c r="V942" s="603"/>
      <c r="W942" s="603"/>
      <c r="X942" s="603"/>
      <c r="Y942" s="603"/>
      <c r="Z942" s="603"/>
    </row>
    <row r="943" spans="1:26" ht="15.75" customHeight="1" x14ac:dyDescent="0.2">
      <c r="A943" s="603"/>
      <c r="B943" s="603"/>
      <c r="C943" s="603"/>
      <c r="D943" s="603"/>
      <c r="E943" s="603"/>
      <c r="F943" s="603"/>
      <c r="G943" s="603"/>
      <c r="H943" s="603"/>
      <c r="I943" s="603"/>
      <c r="J943" s="603"/>
      <c r="K943" s="449"/>
      <c r="L943" s="603"/>
      <c r="M943" s="603"/>
      <c r="N943" s="603"/>
      <c r="O943" s="603"/>
      <c r="P943" s="603"/>
      <c r="Q943" s="603"/>
      <c r="R943" s="603"/>
      <c r="S943" s="603"/>
      <c r="T943" s="603"/>
      <c r="U943" s="603"/>
      <c r="V943" s="603"/>
      <c r="W943" s="603"/>
      <c r="X943" s="603"/>
      <c r="Y943" s="603"/>
      <c r="Z943" s="603"/>
    </row>
    <row r="944" spans="1:26" ht="15.75" customHeight="1" x14ac:dyDescent="0.2">
      <c r="A944" s="603"/>
      <c r="B944" s="603"/>
      <c r="C944" s="603"/>
      <c r="D944" s="603"/>
      <c r="E944" s="603"/>
      <c r="F944" s="603"/>
      <c r="G944" s="603"/>
      <c r="H944" s="603"/>
      <c r="I944" s="603"/>
      <c r="J944" s="603"/>
      <c r="K944" s="449"/>
      <c r="L944" s="603"/>
      <c r="M944" s="603"/>
      <c r="N944" s="603"/>
      <c r="O944" s="603"/>
      <c r="P944" s="603"/>
      <c r="Q944" s="603"/>
      <c r="R944" s="603"/>
      <c r="S944" s="603"/>
      <c r="T944" s="603"/>
      <c r="U944" s="603"/>
      <c r="V944" s="603"/>
      <c r="W944" s="603"/>
      <c r="X944" s="603"/>
      <c r="Y944" s="603"/>
      <c r="Z944" s="603"/>
    </row>
    <row r="945" spans="1:26" ht="15.75" customHeight="1" x14ac:dyDescent="0.2">
      <c r="A945" s="603"/>
      <c r="B945" s="603"/>
      <c r="C945" s="603"/>
      <c r="D945" s="603"/>
      <c r="E945" s="603"/>
      <c r="F945" s="603"/>
      <c r="G945" s="603"/>
      <c r="H945" s="603"/>
      <c r="I945" s="603"/>
      <c r="J945" s="603"/>
      <c r="K945" s="449"/>
      <c r="L945" s="603"/>
      <c r="M945" s="603"/>
      <c r="N945" s="603"/>
      <c r="O945" s="603"/>
      <c r="P945" s="603"/>
      <c r="Q945" s="603"/>
      <c r="R945" s="603"/>
      <c r="S945" s="603"/>
      <c r="T945" s="603"/>
      <c r="U945" s="603"/>
      <c r="V945" s="603"/>
      <c r="W945" s="603"/>
      <c r="X945" s="603"/>
      <c r="Y945" s="603"/>
      <c r="Z945" s="603"/>
    </row>
    <row r="946" spans="1:26" ht="15.75" customHeight="1" x14ac:dyDescent="0.2">
      <c r="A946" s="603"/>
      <c r="B946" s="603"/>
      <c r="C946" s="603"/>
      <c r="D946" s="603"/>
      <c r="E946" s="603"/>
      <c r="F946" s="603"/>
      <c r="G946" s="603"/>
      <c r="H946" s="603"/>
      <c r="I946" s="603"/>
      <c r="J946" s="603"/>
      <c r="K946" s="449"/>
      <c r="L946" s="603"/>
      <c r="M946" s="603"/>
      <c r="N946" s="603"/>
      <c r="O946" s="603"/>
      <c r="P946" s="603"/>
      <c r="Q946" s="603"/>
      <c r="R946" s="603"/>
      <c r="S946" s="603"/>
      <c r="T946" s="603"/>
      <c r="U946" s="603"/>
      <c r="V946" s="603"/>
      <c r="W946" s="603"/>
      <c r="X946" s="603"/>
      <c r="Y946" s="603"/>
      <c r="Z946" s="603"/>
    </row>
    <row r="947" spans="1:26" ht="15.75" customHeight="1" x14ac:dyDescent="0.2">
      <c r="A947" s="603"/>
      <c r="B947" s="603"/>
      <c r="C947" s="603"/>
      <c r="D947" s="603"/>
      <c r="E947" s="603"/>
      <c r="F947" s="603"/>
      <c r="G947" s="603"/>
      <c r="H947" s="603"/>
      <c r="I947" s="603"/>
      <c r="J947" s="603"/>
      <c r="K947" s="449"/>
      <c r="L947" s="603"/>
      <c r="M947" s="603"/>
      <c r="N947" s="603"/>
      <c r="O947" s="603"/>
      <c r="P947" s="603"/>
      <c r="Q947" s="603"/>
      <c r="R947" s="603"/>
      <c r="S947" s="603"/>
      <c r="T947" s="603"/>
      <c r="U947" s="603"/>
      <c r="V947" s="603"/>
      <c r="W947" s="603"/>
      <c r="X947" s="603"/>
      <c r="Y947" s="603"/>
      <c r="Z947" s="603"/>
    </row>
    <row r="948" spans="1:26" ht="15.75" customHeight="1" x14ac:dyDescent="0.2">
      <c r="A948" s="603"/>
      <c r="B948" s="603"/>
      <c r="C948" s="603"/>
      <c r="D948" s="603"/>
      <c r="E948" s="603"/>
      <c r="F948" s="603"/>
      <c r="G948" s="603"/>
      <c r="H948" s="603"/>
      <c r="I948" s="603"/>
      <c r="J948" s="603"/>
      <c r="K948" s="449"/>
      <c r="L948" s="603"/>
      <c r="M948" s="603"/>
      <c r="N948" s="603"/>
      <c r="O948" s="603"/>
      <c r="P948" s="603"/>
      <c r="Q948" s="603"/>
      <c r="R948" s="603"/>
      <c r="S948" s="603"/>
      <c r="T948" s="603"/>
      <c r="U948" s="603"/>
      <c r="V948" s="603"/>
      <c r="W948" s="603"/>
      <c r="X948" s="603"/>
      <c r="Y948" s="603"/>
      <c r="Z948" s="603"/>
    </row>
    <row r="949" spans="1:26" ht="15.75" customHeight="1" x14ac:dyDescent="0.2">
      <c r="A949" s="603"/>
      <c r="B949" s="603"/>
      <c r="C949" s="603"/>
      <c r="D949" s="603"/>
      <c r="E949" s="603"/>
      <c r="F949" s="603"/>
      <c r="G949" s="603"/>
      <c r="H949" s="603"/>
      <c r="I949" s="603"/>
      <c r="J949" s="603"/>
      <c r="K949" s="449"/>
      <c r="L949" s="603"/>
      <c r="M949" s="603"/>
      <c r="N949" s="603"/>
      <c r="O949" s="603"/>
      <c r="P949" s="603"/>
      <c r="Q949" s="603"/>
      <c r="R949" s="603"/>
      <c r="S949" s="603"/>
      <c r="T949" s="603"/>
      <c r="U949" s="603"/>
      <c r="V949" s="603"/>
      <c r="W949" s="603"/>
      <c r="X949" s="603"/>
      <c r="Y949" s="603"/>
      <c r="Z949" s="603"/>
    </row>
    <row r="950" spans="1:26" ht="15.75" customHeight="1" x14ac:dyDescent="0.2">
      <c r="A950" s="603"/>
      <c r="B950" s="603"/>
      <c r="C950" s="603"/>
      <c r="D950" s="603"/>
      <c r="E950" s="603"/>
      <c r="F950" s="603"/>
      <c r="G950" s="603"/>
      <c r="H950" s="603"/>
      <c r="I950" s="603"/>
      <c r="J950" s="603"/>
      <c r="K950" s="449"/>
      <c r="L950" s="603"/>
      <c r="M950" s="603"/>
      <c r="N950" s="603"/>
      <c r="O950" s="603"/>
      <c r="P950" s="603"/>
      <c r="Q950" s="603"/>
      <c r="R950" s="603"/>
      <c r="S950" s="603"/>
      <c r="T950" s="603"/>
      <c r="U950" s="603"/>
      <c r="V950" s="603"/>
      <c r="W950" s="603"/>
      <c r="X950" s="603"/>
      <c r="Y950" s="603"/>
      <c r="Z950" s="603"/>
    </row>
    <row r="951" spans="1:26" ht="15.75" customHeight="1" x14ac:dyDescent="0.2">
      <c r="A951" s="603"/>
      <c r="B951" s="603"/>
      <c r="C951" s="603"/>
      <c r="D951" s="603"/>
      <c r="E951" s="603"/>
      <c r="F951" s="603"/>
      <c r="G951" s="603"/>
      <c r="H951" s="603"/>
      <c r="I951" s="603"/>
      <c r="J951" s="603"/>
      <c r="K951" s="449"/>
      <c r="L951" s="603"/>
      <c r="M951" s="603"/>
      <c r="N951" s="603"/>
      <c r="O951" s="603"/>
      <c r="P951" s="603"/>
      <c r="Q951" s="603"/>
      <c r="R951" s="603"/>
      <c r="S951" s="603"/>
      <c r="T951" s="603"/>
      <c r="U951" s="603"/>
      <c r="V951" s="603"/>
      <c r="W951" s="603"/>
      <c r="X951" s="603"/>
      <c r="Y951" s="603"/>
      <c r="Z951" s="603"/>
    </row>
    <row r="952" spans="1:26" ht="15.75" customHeight="1" x14ac:dyDescent="0.2">
      <c r="A952" s="603"/>
      <c r="B952" s="603"/>
      <c r="C952" s="603"/>
      <c r="D952" s="603"/>
      <c r="E952" s="603"/>
      <c r="F952" s="603"/>
      <c r="G952" s="603"/>
      <c r="H952" s="603"/>
      <c r="I952" s="603"/>
      <c r="J952" s="603"/>
      <c r="K952" s="449"/>
      <c r="L952" s="603"/>
      <c r="M952" s="603"/>
      <c r="N952" s="603"/>
      <c r="O952" s="603"/>
      <c r="P952" s="603"/>
      <c r="Q952" s="603"/>
      <c r="R952" s="603"/>
      <c r="S952" s="603"/>
      <c r="T952" s="603"/>
      <c r="U952" s="603"/>
      <c r="V952" s="603"/>
      <c r="W952" s="603"/>
      <c r="X952" s="603"/>
      <c r="Y952" s="603"/>
      <c r="Z952" s="603"/>
    </row>
    <row r="953" spans="1:26" ht="15.75" customHeight="1" x14ac:dyDescent="0.2">
      <c r="A953" s="603"/>
      <c r="B953" s="603"/>
      <c r="C953" s="603"/>
      <c r="D953" s="603"/>
      <c r="E953" s="603"/>
      <c r="F953" s="603"/>
      <c r="G953" s="603"/>
      <c r="H953" s="603"/>
      <c r="I953" s="603"/>
      <c r="J953" s="603"/>
      <c r="K953" s="449"/>
      <c r="L953" s="603"/>
      <c r="M953" s="603"/>
      <c r="N953" s="603"/>
      <c r="O953" s="603"/>
      <c r="P953" s="603"/>
      <c r="Q953" s="603"/>
      <c r="R953" s="603"/>
      <c r="S953" s="603"/>
      <c r="T953" s="603"/>
      <c r="U953" s="603"/>
      <c r="V953" s="603"/>
      <c r="W953" s="603"/>
      <c r="X953" s="603"/>
      <c r="Y953" s="603"/>
      <c r="Z953" s="603"/>
    </row>
    <row r="954" spans="1:26" ht="15.75" customHeight="1" x14ac:dyDescent="0.2">
      <c r="A954" s="603"/>
      <c r="B954" s="603"/>
      <c r="C954" s="603"/>
      <c r="D954" s="603"/>
      <c r="E954" s="603"/>
      <c r="F954" s="603"/>
      <c r="G954" s="603"/>
      <c r="H954" s="603"/>
      <c r="I954" s="603"/>
      <c r="J954" s="603"/>
      <c r="K954" s="449"/>
      <c r="L954" s="603"/>
      <c r="M954" s="603"/>
      <c r="N954" s="603"/>
      <c r="O954" s="603"/>
      <c r="P954" s="603"/>
      <c r="Q954" s="603"/>
      <c r="R954" s="603"/>
      <c r="S954" s="603"/>
      <c r="T954" s="603"/>
      <c r="U954" s="603"/>
      <c r="V954" s="603"/>
      <c r="W954" s="603"/>
      <c r="X954" s="603"/>
      <c r="Y954" s="603"/>
      <c r="Z954" s="603"/>
    </row>
    <row r="955" spans="1:26" ht="15.75" customHeight="1" x14ac:dyDescent="0.2">
      <c r="A955" s="603"/>
      <c r="B955" s="603"/>
      <c r="C955" s="603"/>
      <c r="D955" s="603"/>
      <c r="E955" s="603"/>
      <c r="F955" s="603"/>
      <c r="G955" s="603"/>
      <c r="H955" s="603"/>
      <c r="I955" s="603"/>
      <c r="J955" s="603"/>
      <c r="K955" s="449"/>
      <c r="L955" s="603"/>
      <c r="M955" s="603"/>
      <c r="N955" s="603"/>
      <c r="O955" s="603"/>
      <c r="P955" s="603"/>
      <c r="Q955" s="603"/>
      <c r="R955" s="603"/>
      <c r="S955" s="603"/>
      <c r="T955" s="603"/>
      <c r="U955" s="603"/>
      <c r="V955" s="603"/>
      <c r="W955" s="603"/>
      <c r="X955" s="603"/>
      <c r="Y955" s="603"/>
      <c r="Z955" s="603"/>
    </row>
    <row r="956" spans="1:26" ht="15.75" customHeight="1" x14ac:dyDescent="0.2">
      <c r="A956" s="603"/>
      <c r="B956" s="603"/>
      <c r="C956" s="603"/>
      <c r="D956" s="603"/>
      <c r="E956" s="603"/>
      <c r="F956" s="603"/>
      <c r="G956" s="603"/>
      <c r="H956" s="603"/>
      <c r="I956" s="603"/>
      <c r="J956" s="603"/>
      <c r="K956" s="449"/>
      <c r="L956" s="603"/>
      <c r="M956" s="603"/>
      <c r="N956" s="603"/>
      <c r="O956" s="603"/>
      <c r="P956" s="603"/>
      <c r="Q956" s="603"/>
      <c r="R956" s="603"/>
      <c r="S956" s="603"/>
      <c r="T956" s="603"/>
      <c r="U956" s="603"/>
      <c r="V956" s="603"/>
      <c r="W956" s="603"/>
      <c r="X956" s="603"/>
      <c r="Y956" s="603"/>
      <c r="Z956" s="603"/>
    </row>
    <row r="957" spans="1:26" ht="15.75" customHeight="1" x14ac:dyDescent="0.2">
      <c r="A957" s="603"/>
      <c r="B957" s="603"/>
      <c r="C957" s="603"/>
      <c r="D957" s="603"/>
      <c r="E957" s="603"/>
      <c r="F957" s="603"/>
      <c r="G957" s="603"/>
      <c r="H957" s="603"/>
      <c r="I957" s="603"/>
      <c r="J957" s="603"/>
      <c r="K957" s="449"/>
      <c r="L957" s="603"/>
      <c r="M957" s="603"/>
      <c r="N957" s="603"/>
      <c r="O957" s="603"/>
      <c r="P957" s="603"/>
      <c r="Q957" s="603"/>
      <c r="R957" s="603"/>
      <c r="S957" s="603"/>
      <c r="T957" s="603"/>
      <c r="U957" s="603"/>
      <c r="V957" s="603"/>
      <c r="W957" s="603"/>
      <c r="X957" s="603"/>
      <c r="Y957" s="603"/>
      <c r="Z957" s="603"/>
    </row>
    <row r="958" spans="1:26" ht="15.75" customHeight="1" x14ac:dyDescent="0.2">
      <c r="A958" s="603"/>
      <c r="B958" s="603"/>
      <c r="C958" s="603"/>
      <c r="D958" s="603"/>
      <c r="E958" s="603"/>
      <c r="F958" s="603"/>
      <c r="G958" s="603"/>
      <c r="H958" s="603"/>
      <c r="I958" s="603"/>
      <c r="J958" s="603"/>
      <c r="K958" s="449"/>
      <c r="L958" s="603"/>
      <c r="M958" s="603"/>
      <c r="N958" s="603"/>
      <c r="O958" s="603"/>
      <c r="P958" s="603"/>
      <c r="Q958" s="603"/>
      <c r="R958" s="603"/>
      <c r="S958" s="603"/>
      <c r="T958" s="603"/>
      <c r="U958" s="603"/>
      <c r="V958" s="603"/>
      <c r="W958" s="603"/>
      <c r="X958" s="603"/>
      <c r="Y958" s="603"/>
      <c r="Z958" s="603"/>
    </row>
    <row r="959" spans="1:26" ht="15.75" customHeight="1" x14ac:dyDescent="0.2">
      <c r="A959" s="603"/>
      <c r="B959" s="603"/>
      <c r="C959" s="603"/>
      <c r="D959" s="603"/>
      <c r="E959" s="603"/>
      <c r="F959" s="603"/>
      <c r="G959" s="603"/>
      <c r="H959" s="603"/>
      <c r="I959" s="603"/>
      <c r="J959" s="603"/>
      <c r="K959" s="449"/>
      <c r="L959" s="603"/>
      <c r="M959" s="603"/>
      <c r="N959" s="603"/>
      <c r="O959" s="603"/>
      <c r="P959" s="603"/>
      <c r="Q959" s="603"/>
      <c r="R959" s="603"/>
      <c r="S959" s="603"/>
      <c r="T959" s="603"/>
      <c r="U959" s="603"/>
      <c r="V959" s="603"/>
      <c r="W959" s="603"/>
      <c r="X959" s="603"/>
      <c r="Y959" s="603"/>
      <c r="Z959" s="603"/>
    </row>
    <row r="960" spans="1:26" ht="15.75" customHeight="1" x14ac:dyDescent="0.2">
      <c r="A960" s="603"/>
      <c r="B960" s="603"/>
      <c r="C960" s="603"/>
      <c r="D960" s="603"/>
      <c r="E960" s="603"/>
      <c r="F960" s="603"/>
      <c r="G960" s="603"/>
      <c r="H960" s="603"/>
      <c r="I960" s="603"/>
      <c r="J960" s="603"/>
      <c r="K960" s="449"/>
      <c r="L960" s="603"/>
      <c r="M960" s="603"/>
      <c r="N960" s="603"/>
      <c r="O960" s="603"/>
      <c r="P960" s="603"/>
      <c r="Q960" s="603"/>
      <c r="R960" s="603"/>
      <c r="S960" s="603"/>
      <c r="T960" s="603"/>
      <c r="U960" s="603"/>
      <c r="V960" s="603"/>
      <c r="W960" s="603"/>
      <c r="X960" s="603"/>
      <c r="Y960" s="603"/>
      <c r="Z960" s="603"/>
    </row>
    <row r="961" spans="1:26" ht="15.75" customHeight="1" x14ac:dyDescent="0.2">
      <c r="A961" s="603"/>
      <c r="B961" s="603"/>
      <c r="C961" s="603"/>
      <c r="D961" s="603"/>
      <c r="E961" s="603"/>
      <c r="F961" s="603"/>
      <c r="G961" s="603"/>
      <c r="H961" s="603"/>
      <c r="I961" s="603"/>
      <c r="J961" s="603"/>
      <c r="K961" s="449"/>
      <c r="L961" s="603"/>
      <c r="M961" s="603"/>
      <c r="N961" s="603"/>
      <c r="O961" s="603"/>
      <c r="P961" s="603"/>
      <c r="Q961" s="603"/>
      <c r="R961" s="603"/>
      <c r="S961" s="603"/>
      <c r="T961" s="603"/>
      <c r="U961" s="603"/>
      <c r="V961" s="603"/>
      <c r="W961" s="603"/>
      <c r="X961" s="603"/>
      <c r="Y961" s="603"/>
      <c r="Z961" s="603"/>
    </row>
    <row r="962" spans="1:26" ht="15.75" customHeight="1" x14ac:dyDescent="0.2">
      <c r="A962" s="603"/>
      <c r="B962" s="603"/>
      <c r="C962" s="603"/>
      <c r="D962" s="603"/>
      <c r="E962" s="603"/>
      <c r="F962" s="603"/>
      <c r="G962" s="603"/>
      <c r="H962" s="603"/>
      <c r="I962" s="603"/>
      <c r="J962" s="603"/>
      <c r="K962" s="449"/>
      <c r="L962" s="603"/>
      <c r="M962" s="603"/>
      <c r="N962" s="603"/>
      <c r="O962" s="603"/>
      <c r="P962" s="603"/>
      <c r="Q962" s="603"/>
      <c r="R962" s="603"/>
      <c r="S962" s="603"/>
      <c r="T962" s="603"/>
      <c r="U962" s="603"/>
      <c r="V962" s="603"/>
      <c r="W962" s="603"/>
      <c r="X962" s="603"/>
      <c r="Y962" s="603"/>
      <c r="Z962" s="603"/>
    </row>
    <row r="963" spans="1:26" ht="15.75" customHeight="1" x14ac:dyDescent="0.2">
      <c r="A963" s="603"/>
      <c r="B963" s="603"/>
      <c r="C963" s="603"/>
      <c r="D963" s="603"/>
      <c r="E963" s="603"/>
      <c r="F963" s="603"/>
      <c r="G963" s="603"/>
      <c r="H963" s="603"/>
      <c r="I963" s="603"/>
      <c r="J963" s="603"/>
      <c r="K963" s="449"/>
      <c r="L963" s="603"/>
      <c r="M963" s="603"/>
      <c r="N963" s="603"/>
      <c r="O963" s="603"/>
      <c r="P963" s="603"/>
      <c r="Q963" s="603"/>
      <c r="R963" s="603"/>
      <c r="S963" s="603"/>
      <c r="T963" s="603"/>
      <c r="U963" s="603"/>
      <c r="V963" s="603"/>
      <c r="W963" s="603"/>
      <c r="X963" s="603"/>
      <c r="Y963" s="603"/>
      <c r="Z963" s="603"/>
    </row>
    <row r="964" spans="1:26" ht="15.75" customHeight="1" x14ac:dyDescent="0.2">
      <c r="A964" s="603"/>
      <c r="B964" s="603"/>
      <c r="C964" s="603"/>
      <c r="D964" s="603"/>
      <c r="E964" s="603"/>
      <c r="F964" s="603"/>
      <c r="G964" s="603"/>
      <c r="H964" s="603"/>
      <c r="I964" s="603"/>
      <c r="J964" s="603"/>
      <c r="K964" s="449"/>
      <c r="L964" s="603"/>
      <c r="M964" s="603"/>
      <c r="N964" s="603"/>
      <c r="O964" s="603"/>
      <c r="P964" s="603"/>
      <c r="Q964" s="603"/>
      <c r="R964" s="603"/>
      <c r="S964" s="603"/>
      <c r="T964" s="603"/>
      <c r="U964" s="603"/>
      <c r="V964" s="603"/>
      <c r="W964" s="603"/>
      <c r="X964" s="603"/>
      <c r="Y964" s="603"/>
      <c r="Z964" s="603"/>
    </row>
    <row r="965" spans="1:26" ht="15.75" customHeight="1" x14ac:dyDescent="0.2">
      <c r="A965" s="603"/>
      <c r="B965" s="603"/>
      <c r="C965" s="603"/>
      <c r="D965" s="603"/>
      <c r="E965" s="603"/>
      <c r="F965" s="603"/>
      <c r="G965" s="603"/>
      <c r="H965" s="603"/>
      <c r="I965" s="603"/>
      <c r="J965" s="603"/>
      <c r="K965" s="449"/>
      <c r="L965" s="603"/>
      <c r="M965" s="603"/>
      <c r="N965" s="603"/>
      <c r="O965" s="603"/>
      <c r="P965" s="603"/>
      <c r="Q965" s="603"/>
      <c r="R965" s="603"/>
      <c r="S965" s="603"/>
      <c r="T965" s="603"/>
      <c r="U965" s="603"/>
      <c r="V965" s="603"/>
      <c r="W965" s="603"/>
      <c r="X965" s="603"/>
      <c r="Y965" s="603"/>
      <c r="Z965" s="603"/>
    </row>
    <row r="966" spans="1:26" ht="15.75" customHeight="1" x14ac:dyDescent="0.2">
      <c r="A966" s="603"/>
      <c r="B966" s="603"/>
      <c r="C966" s="603"/>
      <c r="D966" s="603"/>
      <c r="E966" s="603"/>
      <c r="F966" s="603"/>
      <c r="G966" s="603"/>
      <c r="H966" s="603"/>
      <c r="I966" s="603"/>
      <c r="J966" s="603"/>
      <c r="K966" s="449"/>
      <c r="L966" s="603"/>
      <c r="M966" s="603"/>
      <c r="N966" s="603"/>
      <c r="O966" s="603"/>
      <c r="P966" s="603"/>
      <c r="Q966" s="603"/>
      <c r="R966" s="603"/>
      <c r="S966" s="603"/>
      <c r="T966" s="603"/>
      <c r="U966" s="603"/>
      <c r="V966" s="603"/>
      <c r="W966" s="603"/>
      <c r="X966" s="603"/>
      <c r="Y966" s="603"/>
      <c r="Z966" s="603"/>
    </row>
    <row r="967" spans="1:26" ht="15.75" customHeight="1" x14ac:dyDescent="0.2">
      <c r="A967" s="603"/>
      <c r="B967" s="603"/>
      <c r="C967" s="603"/>
      <c r="D967" s="603"/>
      <c r="E967" s="603"/>
      <c r="F967" s="603"/>
      <c r="G967" s="603"/>
      <c r="H967" s="603"/>
      <c r="I967" s="603"/>
      <c r="J967" s="603"/>
      <c r="K967" s="449"/>
      <c r="L967" s="603"/>
      <c r="M967" s="603"/>
      <c r="N967" s="603"/>
      <c r="O967" s="603"/>
      <c r="P967" s="603"/>
      <c r="Q967" s="603"/>
      <c r="R967" s="603"/>
      <c r="S967" s="603"/>
      <c r="T967" s="603"/>
      <c r="U967" s="603"/>
      <c r="V967" s="603"/>
      <c r="W967" s="603"/>
      <c r="X967" s="603"/>
      <c r="Y967" s="603"/>
      <c r="Z967" s="603"/>
    </row>
    <row r="968" spans="1:26" ht="15.75" customHeight="1" x14ac:dyDescent="0.2">
      <c r="A968" s="603"/>
      <c r="B968" s="603"/>
      <c r="C968" s="603"/>
      <c r="D968" s="603"/>
      <c r="E968" s="603"/>
      <c r="F968" s="603"/>
      <c r="G968" s="603"/>
      <c r="H968" s="603"/>
      <c r="I968" s="603"/>
      <c r="J968" s="603"/>
      <c r="K968" s="449"/>
      <c r="L968" s="603"/>
      <c r="M968" s="603"/>
      <c r="N968" s="603"/>
      <c r="O968" s="603"/>
      <c r="P968" s="603"/>
      <c r="Q968" s="603"/>
      <c r="R968" s="603"/>
      <c r="S968" s="603"/>
      <c r="T968" s="603"/>
      <c r="U968" s="603"/>
      <c r="V968" s="603"/>
      <c r="W968" s="603"/>
      <c r="X968" s="603"/>
      <c r="Y968" s="603"/>
      <c r="Z968" s="603"/>
    </row>
    <row r="969" spans="1:26" ht="15.75" customHeight="1" x14ac:dyDescent="0.2">
      <c r="A969" s="603"/>
      <c r="B969" s="603"/>
      <c r="C969" s="603"/>
      <c r="D969" s="603"/>
      <c r="E969" s="603"/>
      <c r="F969" s="603"/>
      <c r="G969" s="603"/>
      <c r="H969" s="603"/>
      <c r="I969" s="603"/>
      <c r="J969" s="603"/>
      <c r="K969" s="449"/>
      <c r="L969" s="603"/>
      <c r="M969" s="603"/>
      <c r="N969" s="603"/>
      <c r="O969" s="603"/>
      <c r="P969" s="603"/>
      <c r="Q969" s="603"/>
      <c r="R969" s="603"/>
      <c r="S969" s="603"/>
      <c r="T969" s="603"/>
      <c r="U969" s="603"/>
      <c r="V969" s="603"/>
      <c r="W969" s="603"/>
      <c r="X969" s="603"/>
      <c r="Y969" s="603"/>
      <c r="Z969" s="603"/>
    </row>
    <row r="970" spans="1:26" ht="15.75" customHeight="1" x14ac:dyDescent="0.2">
      <c r="A970" s="603"/>
      <c r="B970" s="603"/>
      <c r="C970" s="603"/>
      <c r="D970" s="603"/>
      <c r="E970" s="603"/>
      <c r="F970" s="603"/>
      <c r="G970" s="603"/>
      <c r="H970" s="603"/>
      <c r="I970" s="603"/>
      <c r="J970" s="603"/>
      <c r="K970" s="449"/>
      <c r="L970" s="603"/>
      <c r="M970" s="603"/>
      <c r="N970" s="603"/>
      <c r="O970" s="603"/>
      <c r="P970" s="603"/>
      <c r="Q970" s="603"/>
      <c r="R970" s="603"/>
      <c r="S970" s="603"/>
      <c r="T970" s="603"/>
      <c r="U970" s="603"/>
      <c r="V970" s="603"/>
      <c r="W970" s="603"/>
      <c r="X970" s="603"/>
      <c r="Y970" s="603"/>
      <c r="Z970" s="603"/>
    </row>
    <row r="971" spans="1:26" ht="15.75" customHeight="1" x14ac:dyDescent="0.2">
      <c r="A971" s="603"/>
      <c r="B971" s="603"/>
      <c r="C971" s="603"/>
      <c r="D971" s="603"/>
      <c r="E971" s="603"/>
      <c r="F971" s="603"/>
      <c r="G971" s="603"/>
      <c r="H971" s="603"/>
      <c r="I971" s="603"/>
      <c r="J971" s="603"/>
      <c r="K971" s="449"/>
      <c r="L971" s="603"/>
      <c r="M971" s="603"/>
      <c r="N971" s="603"/>
      <c r="O971" s="603"/>
      <c r="P971" s="603"/>
      <c r="Q971" s="603"/>
      <c r="R971" s="603"/>
      <c r="S971" s="603"/>
      <c r="T971" s="603"/>
      <c r="U971" s="603"/>
      <c r="V971" s="603"/>
      <c r="W971" s="603"/>
      <c r="X971" s="603"/>
      <c r="Y971" s="603"/>
      <c r="Z971" s="603"/>
    </row>
    <row r="972" spans="1:26" ht="15.75" customHeight="1" x14ac:dyDescent="0.2">
      <c r="A972" s="603"/>
      <c r="B972" s="603"/>
      <c r="C972" s="603"/>
      <c r="D972" s="603"/>
      <c r="E972" s="603"/>
      <c r="F972" s="603"/>
      <c r="G972" s="603"/>
      <c r="H972" s="603"/>
      <c r="I972" s="603"/>
      <c r="J972" s="603"/>
      <c r="K972" s="449"/>
      <c r="L972" s="603"/>
      <c r="M972" s="603"/>
      <c r="N972" s="603"/>
      <c r="O972" s="603"/>
      <c r="P972" s="603"/>
      <c r="Q972" s="603"/>
      <c r="R972" s="603"/>
      <c r="S972" s="603"/>
      <c r="T972" s="603"/>
      <c r="U972" s="603"/>
      <c r="V972" s="603"/>
      <c r="W972" s="603"/>
      <c r="X972" s="603"/>
      <c r="Y972" s="603"/>
      <c r="Z972" s="603"/>
    </row>
    <row r="973" spans="1:26" ht="15.75" customHeight="1" x14ac:dyDescent="0.2">
      <c r="A973" s="603"/>
      <c r="B973" s="603"/>
      <c r="C973" s="603"/>
      <c r="D973" s="603"/>
      <c r="E973" s="603"/>
      <c r="F973" s="603"/>
      <c r="G973" s="603"/>
      <c r="H973" s="603"/>
      <c r="I973" s="603"/>
      <c r="J973" s="603"/>
      <c r="K973" s="449"/>
      <c r="L973" s="603"/>
      <c r="M973" s="603"/>
      <c r="N973" s="603"/>
      <c r="O973" s="603"/>
      <c r="P973" s="603"/>
      <c r="Q973" s="603"/>
      <c r="R973" s="603"/>
      <c r="S973" s="603"/>
      <c r="T973" s="603"/>
      <c r="U973" s="603"/>
      <c r="V973" s="603"/>
      <c r="W973" s="603"/>
      <c r="X973" s="603"/>
      <c r="Y973" s="603"/>
      <c r="Z973" s="603"/>
    </row>
    <row r="974" spans="1:26" ht="15.75" customHeight="1" x14ac:dyDescent="0.2">
      <c r="A974" s="603"/>
      <c r="B974" s="603"/>
      <c r="C974" s="603"/>
      <c r="D974" s="603"/>
      <c r="E974" s="603"/>
      <c r="F974" s="603"/>
      <c r="G974" s="603"/>
      <c r="H974" s="603"/>
      <c r="I974" s="603"/>
      <c r="J974" s="603"/>
      <c r="K974" s="449"/>
      <c r="L974" s="603"/>
      <c r="M974" s="603"/>
      <c r="N974" s="603"/>
      <c r="O974" s="603"/>
      <c r="P974" s="603"/>
      <c r="Q974" s="603"/>
      <c r="R974" s="603"/>
      <c r="S974" s="603"/>
      <c r="T974" s="603"/>
      <c r="U974" s="603"/>
      <c r="V974" s="603"/>
      <c r="W974" s="603"/>
      <c r="X974" s="603"/>
      <c r="Y974" s="603"/>
      <c r="Z974" s="603"/>
    </row>
    <row r="975" spans="1:26" ht="15.75" customHeight="1" x14ac:dyDescent="0.2">
      <c r="A975" s="603"/>
      <c r="B975" s="603"/>
      <c r="C975" s="603"/>
      <c r="D975" s="603"/>
      <c r="E975" s="603"/>
      <c r="F975" s="603"/>
      <c r="G975" s="603"/>
      <c r="H975" s="603"/>
      <c r="I975" s="603"/>
      <c r="J975" s="603"/>
      <c r="K975" s="449"/>
      <c r="L975" s="603"/>
      <c r="M975" s="603"/>
      <c r="N975" s="603"/>
      <c r="O975" s="603"/>
      <c r="P975" s="603"/>
      <c r="Q975" s="603"/>
      <c r="R975" s="603"/>
      <c r="S975" s="603"/>
      <c r="T975" s="603"/>
      <c r="U975" s="603"/>
      <c r="V975" s="603"/>
      <c r="W975" s="603"/>
      <c r="X975" s="603"/>
      <c r="Y975" s="603"/>
      <c r="Z975" s="603"/>
    </row>
    <row r="976" spans="1:26" ht="15.75" customHeight="1" x14ac:dyDescent="0.2">
      <c r="A976" s="603"/>
      <c r="B976" s="603"/>
      <c r="C976" s="603"/>
      <c r="D976" s="603"/>
      <c r="E976" s="603"/>
      <c r="F976" s="603"/>
      <c r="G976" s="603"/>
      <c r="H976" s="603"/>
      <c r="I976" s="603"/>
      <c r="J976" s="603"/>
      <c r="K976" s="449"/>
      <c r="L976" s="603"/>
      <c r="M976" s="603"/>
      <c r="N976" s="603"/>
      <c r="O976" s="603"/>
      <c r="P976" s="603"/>
      <c r="Q976" s="603"/>
      <c r="R976" s="603"/>
      <c r="S976" s="603"/>
      <c r="T976" s="603"/>
      <c r="U976" s="603"/>
      <c r="V976" s="603"/>
      <c r="W976" s="603"/>
      <c r="X976" s="603"/>
      <c r="Y976" s="603"/>
      <c r="Z976" s="603"/>
    </row>
    <row r="977" spans="1:26" ht="15.75" customHeight="1" x14ac:dyDescent="0.2">
      <c r="A977" s="603"/>
      <c r="B977" s="603"/>
      <c r="C977" s="603"/>
      <c r="D977" s="603"/>
      <c r="E977" s="603"/>
      <c r="F977" s="603"/>
      <c r="G977" s="603"/>
      <c r="H977" s="603"/>
      <c r="I977" s="603"/>
      <c r="J977" s="603"/>
      <c r="K977" s="449"/>
      <c r="L977" s="603"/>
      <c r="M977" s="603"/>
      <c r="N977" s="603"/>
      <c r="O977" s="603"/>
      <c r="P977" s="603"/>
      <c r="Q977" s="603"/>
      <c r="R977" s="603"/>
      <c r="S977" s="603"/>
      <c r="T977" s="603"/>
      <c r="U977" s="603"/>
      <c r="V977" s="603"/>
      <c r="W977" s="603"/>
      <c r="X977" s="603"/>
      <c r="Y977" s="603"/>
      <c r="Z977" s="603"/>
    </row>
    <row r="978" spans="1:26" ht="15.75" customHeight="1" x14ac:dyDescent="0.2">
      <c r="A978" s="603"/>
      <c r="B978" s="603"/>
      <c r="C978" s="603"/>
      <c r="D978" s="603"/>
      <c r="E978" s="603"/>
      <c r="F978" s="603"/>
      <c r="G978" s="603"/>
      <c r="H978" s="603"/>
      <c r="I978" s="603"/>
      <c r="J978" s="603"/>
      <c r="K978" s="449"/>
      <c r="L978" s="603"/>
      <c r="M978" s="603"/>
      <c r="N978" s="603"/>
      <c r="O978" s="603"/>
      <c r="P978" s="603"/>
      <c r="Q978" s="603"/>
      <c r="R978" s="603"/>
      <c r="S978" s="603"/>
      <c r="T978" s="603"/>
      <c r="U978" s="603"/>
      <c r="V978" s="603"/>
      <c r="W978" s="603"/>
      <c r="X978" s="603"/>
      <c r="Y978" s="603"/>
      <c r="Z978" s="603"/>
    </row>
    <row r="979" spans="1:26" ht="15.75" customHeight="1" x14ac:dyDescent="0.2">
      <c r="A979" s="603"/>
      <c r="B979" s="603"/>
      <c r="C979" s="603"/>
      <c r="D979" s="603"/>
      <c r="E979" s="603"/>
      <c r="F979" s="603"/>
      <c r="G979" s="603"/>
      <c r="H979" s="603"/>
      <c r="I979" s="603"/>
      <c r="J979" s="603"/>
      <c r="K979" s="449"/>
      <c r="L979" s="603"/>
      <c r="M979" s="603"/>
      <c r="N979" s="603"/>
      <c r="O979" s="603"/>
      <c r="P979" s="603"/>
      <c r="Q979" s="603"/>
      <c r="R979" s="603"/>
      <c r="S979" s="603"/>
      <c r="T979" s="603"/>
      <c r="U979" s="603"/>
      <c r="V979" s="603"/>
      <c r="W979" s="603"/>
      <c r="X979" s="603"/>
      <c r="Y979" s="603"/>
      <c r="Z979" s="603"/>
    </row>
    <row r="980" spans="1:26" ht="15.75" customHeight="1" x14ac:dyDescent="0.2">
      <c r="A980" s="603"/>
      <c r="B980" s="603"/>
      <c r="C980" s="603"/>
      <c r="D980" s="603"/>
      <c r="E980" s="603"/>
      <c r="F980" s="603"/>
      <c r="G980" s="603"/>
      <c r="H980" s="603"/>
      <c r="I980" s="603"/>
      <c r="J980" s="603"/>
      <c r="K980" s="449"/>
      <c r="L980" s="603"/>
      <c r="M980" s="603"/>
      <c r="N980" s="603"/>
      <c r="O980" s="603"/>
      <c r="P980" s="603"/>
      <c r="Q980" s="603"/>
      <c r="R980" s="603"/>
      <c r="S980" s="603"/>
      <c r="T980" s="603"/>
      <c r="U980" s="603"/>
      <c r="V980" s="603"/>
      <c r="W980" s="603"/>
      <c r="X980" s="603"/>
      <c r="Y980" s="603"/>
      <c r="Z980" s="603"/>
    </row>
    <row r="981" spans="1:26" ht="15.75" customHeight="1" x14ac:dyDescent="0.2">
      <c r="A981" s="603"/>
      <c r="B981" s="603"/>
      <c r="C981" s="603"/>
      <c r="D981" s="603"/>
      <c r="E981" s="603"/>
      <c r="F981" s="603"/>
      <c r="G981" s="603"/>
      <c r="H981" s="603"/>
      <c r="I981" s="603"/>
      <c r="J981" s="603"/>
      <c r="K981" s="449"/>
      <c r="L981" s="603"/>
      <c r="M981" s="603"/>
      <c r="N981" s="603"/>
      <c r="O981" s="603"/>
      <c r="P981" s="603"/>
      <c r="Q981" s="603"/>
      <c r="R981" s="603"/>
      <c r="S981" s="603"/>
      <c r="T981" s="603"/>
      <c r="U981" s="603"/>
      <c r="V981" s="603"/>
      <c r="W981" s="603"/>
      <c r="X981" s="603"/>
      <c r="Y981" s="603"/>
      <c r="Z981" s="603"/>
    </row>
    <row r="982" spans="1:26" ht="15.75" customHeight="1" x14ac:dyDescent="0.2">
      <c r="A982" s="603"/>
      <c r="B982" s="603"/>
      <c r="C982" s="603"/>
      <c r="D982" s="603"/>
      <c r="E982" s="603"/>
      <c r="F982" s="603"/>
      <c r="G982" s="603"/>
      <c r="H982" s="603"/>
      <c r="I982" s="603"/>
      <c r="J982" s="603"/>
      <c r="K982" s="449"/>
      <c r="L982" s="603"/>
      <c r="M982" s="603"/>
      <c r="N982" s="603"/>
      <c r="O982" s="603"/>
      <c r="P982" s="603"/>
      <c r="Q982" s="603"/>
      <c r="R982" s="603"/>
      <c r="S982" s="603"/>
      <c r="T982" s="603"/>
      <c r="U982" s="603"/>
      <c r="V982" s="603"/>
      <c r="W982" s="603"/>
      <c r="X982" s="603"/>
      <c r="Y982" s="603"/>
      <c r="Z982" s="603"/>
    </row>
    <row r="983" spans="1:26" ht="15.75" customHeight="1" x14ac:dyDescent="0.2">
      <c r="A983" s="603"/>
      <c r="B983" s="603"/>
      <c r="C983" s="603"/>
      <c r="D983" s="603"/>
      <c r="E983" s="603"/>
      <c r="F983" s="603"/>
      <c r="G983" s="603"/>
      <c r="H983" s="603"/>
      <c r="I983" s="603"/>
      <c r="J983" s="603"/>
      <c r="K983" s="449"/>
      <c r="L983" s="603"/>
      <c r="M983" s="603"/>
      <c r="N983" s="603"/>
      <c r="O983" s="603"/>
      <c r="P983" s="603"/>
      <c r="Q983" s="603"/>
      <c r="R983" s="603"/>
      <c r="S983" s="603"/>
      <c r="T983" s="603"/>
      <c r="U983" s="603"/>
      <c r="V983" s="603"/>
      <c r="W983" s="603"/>
      <c r="X983" s="603"/>
      <c r="Y983" s="603"/>
      <c r="Z983" s="603"/>
    </row>
    <row r="984" spans="1:26" ht="15.75" customHeight="1" x14ac:dyDescent="0.2">
      <c r="A984" s="603"/>
      <c r="B984" s="603"/>
      <c r="C984" s="603"/>
      <c r="D984" s="603"/>
      <c r="E984" s="603"/>
      <c r="F984" s="603"/>
      <c r="G984" s="603"/>
      <c r="H984" s="603"/>
      <c r="I984" s="603"/>
      <c r="J984" s="603"/>
      <c r="K984" s="449"/>
      <c r="L984" s="603"/>
      <c r="M984" s="603"/>
      <c r="N984" s="603"/>
      <c r="O984" s="603"/>
      <c r="P984" s="603"/>
      <c r="Q984" s="603"/>
      <c r="R984" s="603"/>
      <c r="S984" s="603"/>
      <c r="T984" s="603"/>
      <c r="U984" s="603"/>
      <c r="V984" s="603"/>
      <c r="W984" s="603"/>
      <c r="X984" s="603"/>
      <c r="Y984" s="603"/>
      <c r="Z984" s="603"/>
    </row>
    <row r="985" spans="1:26" ht="15.75" customHeight="1" x14ac:dyDescent="0.2">
      <c r="A985" s="603"/>
      <c r="B985" s="603"/>
      <c r="C985" s="603"/>
      <c r="D985" s="603"/>
      <c r="E985" s="603"/>
      <c r="F985" s="603"/>
      <c r="G985" s="603"/>
      <c r="H985" s="603"/>
      <c r="I985" s="603"/>
      <c r="J985" s="603"/>
      <c r="K985" s="449"/>
      <c r="L985" s="603"/>
      <c r="M985" s="603"/>
      <c r="N985" s="603"/>
      <c r="O985" s="603"/>
      <c r="P985" s="603"/>
      <c r="Q985" s="603"/>
      <c r="R985" s="603"/>
      <c r="S985" s="603"/>
      <c r="T985" s="603"/>
      <c r="U985" s="603"/>
      <c r="V985" s="603"/>
      <c r="W985" s="603"/>
      <c r="X985" s="603"/>
      <c r="Y985" s="603"/>
      <c r="Z985" s="603"/>
    </row>
    <row r="986" spans="1:26" ht="15.75" customHeight="1" x14ac:dyDescent="0.2">
      <c r="A986" s="603"/>
      <c r="B986" s="603"/>
      <c r="C986" s="603"/>
      <c r="D986" s="603"/>
      <c r="E986" s="603"/>
      <c r="F986" s="603"/>
      <c r="G986" s="603"/>
      <c r="H986" s="603"/>
      <c r="I986" s="603"/>
      <c r="J986" s="603"/>
      <c r="K986" s="449"/>
      <c r="L986" s="603"/>
      <c r="M986" s="603"/>
      <c r="N986" s="603"/>
      <c r="O986" s="603"/>
      <c r="P986" s="603"/>
      <c r="Q986" s="603"/>
      <c r="R986" s="603"/>
      <c r="S986" s="603"/>
      <c r="T986" s="603"/>
      <c r="U986" s="603"/>
      <c r="V986" s="603"/>
      <c r="W986" s="603"/>
      <c r="X986" s="603"/>
      <c r="Y986" s="603"/>
      <c r="Z986" s="603"/>
    </row>
    <row r="987" spans="1:26" ht="15.75" customHeight="1" x14ac:dyDescent="0.2">
      <c r="A987" s="603"/>
      <c r="B987" s="603"/>
      <c r="C987" s="603"/>
      <c r="D987" s="603"/>
      <c r="E987" s="603"/>
      <c r="F987" s="603"/>
      <c r="G987" s="603"/>
      <c r="H987" s="603"/>
      <c r="I987" s="603"/>
      <c r="J987" s="603"/>
      <c r="K987" s="449"/>
      <c r="L987" s="603"/>
      <c r="M987" s="603"/>
      <c r="N987" s="603"/>
      <c r="O987" s="603"/>
      <c r="P987" s="603"/>
      <c r="Q987" s="603"/>
      <c r="R987" s="603"/>
      <c r="S987" s="603"/>
      <c r="T987" s="603"/>
      <c r="U987" s="603"/>
      <c r="V987" s="603"/>
      <c r="W987" s="603"/>
      <c r="X987" s="603"/>
      <c r="Y987" s="603"/>
      <c r="Z987" s="603"/>
    </row>
    <row r="988" spans="1:26" ht="15.75" customHeight="1" x14ac:dyDescent="0.2">
      <c r="A988" s="603"/>
      <c r="B988" s="603"/>
      <c r="C988" s="603"/>
      <c r="D988" s="603"/>
      <c r="E988" s="603"/>
      <c r="F988" s="603"/>
      <c r="G988" s="603"/>
      <c r="H988" s="603"/>
      <c r="I988" s="603"/>
      <c r="J988" s="603"/>
      <c r="K988" s="449"/>
      <c r="L988" s="603"/>
      <c r="M988" s="603"/>
      <c r="N988" s="603"/>
      <c r="O988" s="603"/>
      <c r="P988" s="603"/>
      <c r="Q988" s="603"/>
      <c r="R988" s="603"/>
      <c r="S988" s="603"/>
      <c r="T988" s="603"/>
      <c r="U988" s="603"/>
      <c r="V988" s="603"/>
      <c r="W988" s="603"/>
      <c r="X988" s="603"/>
      <c r="Y988" s="603"/>
      <c r="Z988" s="603"/>
    </row>
    <row r="989" spans="1:26" ht="15.75" customHeight="1" x14ac:dyDescent="0.2">
      <c r="A989" s="603"/>
      <c r="B989" s="603"/>
      <c r="C989" s="603"/>
      <c r="D989" s="603"/>
      <c r="E989" s="603"/>
      <c r="F989" s="603"/>
      <c r="G989" s="603"/>
      <c r="H989" s="603"/>
      <c r="I989" s="603"/>
      <c r="J989" s="603"/>
      <c r="K989" s="449"/>
      <c r="L989" s="603"/>
      <c r="M989" s="603"/>
      <c r="N989" s="603"/>
      <c r="O989" s="603"/>
      <c r="P989" s="603"/>
      <c r="Q989" s="603"/>
      <c r="R989" s="603"/>
      <c r="S989" s="603"/>
      <c r="T989" s="603"/>
      <c r="U989" s="603"/>
      <c r="V989" s="603"/>
      <c r="W989" s="603"/>
      <c r="X989" s="603"/>
      <c r="Y989" s="603"/>
      <c r="Z989" s="603"/>
    </row>
    <row r="990" spans="1:26" ht="15.75" customHeight="1" x14ac:dyDescent="0.2">
      <c r="A990" s="603"/>
      <c r="B990" s="603"/>
      <c r="C990" s="603"/>
      <c r="D990" s="603"/>
      <c r="E990" s="603"/>
      <c r="F990" s="603"/>
      <c r="G990" s="603"/>
      <c r="H990" s="603"/>
      <c r="I990" s="603"/>
      <c r="J990" s="603"/>
      <c r="K990" s="449"/>
      <c r="L990" s="603"/>
      <c r="M990" s="603"/>
      <c r="N990" s="603"/>
      <c r="O990" s="603"/>
      <c r="P990" s="603"/>
      <c r="Q990" s="603"/>
      <c r="R990" s="603"/>
      <c r="S990" s="603"/>
      <c r="T990" s="603"/>
      <c r="U990" s="603"/>
      <c r="V990" s="603"/>
      <c r="W990" s="603"/>
      <c r="X990" s="603"/>
      <c r="Y990" s="603"/>
      <c r="Z990" s="603"/>
    </row>
    <row r="991" spans="1:26" ht="15.75" customHeight="1" x14ac:dyDescent="0.2">
      <c r="A991" s="603"/>
      <c r="B991" s="603"/>
      <c r="C991" s="603"/>
      <c r="D991" s="603"/>
      <c r="E991" s="603"/>
      <c r="F991" s="603"/>
      <c r="G991" s="603"/>
      <c r="H991" s="603"/>
      <c r="I991" s="603"/>
      <c r="J991" s="603"/>
      <c r="K991" s="449"/>
      <c r="L991" s="603"/>
      <c r="M991" s="603"/>
      <c r="N991" s="603"/>
      <c r="O991" s="603"/>
      <c r="P991" s="603"/>
      <c r="Q991" s="603"/>
      <c r="R991" s="603"/>
      <c r="S991" s="603"/>
      <c r="T991" s="603"/>
      <c r="U991" s="603"/>
      <c r="V991" s="603"/>
      <c r="W991" s="603"/>
      <c r="X991" s="603"/>
      <c r="Y991" s="603"/>
      <c r="Z991" s="603"/>
    </row>
    <row r="992" spans="1:26" ht="15.75" customHeight="1" x14ac:dyDescent="0.2">
      <c r="A992" s="603"/>
      <c r="B992" s="603"/>
      <c r="C992" s="603"/>
      <c r="D992" s="603"/>
      <c r="E992" s="603"/>
      <c r="F992" s="603"/>
      <c r="G992" s="603"/>
      <c r="H992" s="603"/>
      <c r="I992" s="603"/>
      <c r="J992" s="603"/>
      <c r="K992" s="449"/>
      <c r="L992" s="603"/>
      <c r="M992" s="603"/>
      <c r="N992" s="603"/>
      <c r="O992" s="603"/>
      <c r="P992" s="603"/>
      <c r="Q992" s="603"/>
      <c r="R992" s="603"/>
      <c r="S992" s="603"/>
      <c r="T992" s="603"/>
      <c r="U992" s="603"/>
      <c r="V992" s="603"/>
      <c r="W992" s="603"/>
      <c r="X992" s="603"/>
      <c r="Y992" s="603"/>
      <c r="Z992" s="603"/>
    </row>
    <row r="993" spans="1:26" ht="15.75" customHeight="1" x14ac:dyDescent="0.2">
      <c r="A993" s="603"/>
      <c r="B993" s="603"/>
      <c r="C993" s="603"/>
      <c r="D993" s="603"/>
      <c r="E993" s="603"/>
      <c r="F993" s="603"/>
      <c r="G993" s="603"/>
      <c r="H993" s="603"/>
      <c r="I993" s="603"/>
      <c r="J993" s="603"/>
      <c r="K993" s="449"/>
      <c r="L993" s="603"/>
      <c r="M993" s="603"/>
      <c r="N993" s="603"/>
      <c r="O993" s="603"/>
      <c r="P993" s="603"/>
      <c r="Q993" s="603"/>
      <c r="R993" s="603"/>
      <c r="S993" s="603"/>
      <c r="T993" s="603"/>
      <c r="U993" s="603"/>
      <c r="V993" s="603"/>
      <c r="W993" s="603"/>
      <c r="X993" s="603"/>
      <c r="Y993" s="603"/>
      <c r="Z993" s="603"/>
    </row>
    <row r="994" spans="1:26" ht="15.75" customHeight="1" x14ac:dyDescent="0.2">
      <c r="A994" s="603"/>
      <c r="B994" s="603"/>
      <c r="C994" s="603"/>
      <c r="D994" s="603"/>
      <c r="E994" s="603"/>
      <c r="F994" s="603"/>
      <c r="G994" s="603"/>
      <c r="H994" s="603"/>
      <c r="I994" s="603"/>
      <c r="J994" s="603"/>
      <c r="K994" s="449"/>
      <c r="L994" s="603"/>
      <c r="M994" s="603"/>
      <c r="N994" s="603"/>
      <c r="O994" s="603"/>
      <c r="P994" s="603"/>
      <c r="Q994" s="603"/>
      <c r="R994" s="603"/>
      <c r="S994" s="603"/>
      <c r="T994" s="603"/>
      <c r="U994" s="603"/>
      <c r="V994" s="603"/>
      <c r="W994" s="603"/>
      <c r="X994" s="603"/>
      <c r="Y994" s="603"/>
      <c r="Z994" s="603"/>
    </row>
    <row r="995" spans="1:26" ht="15.75" customHeight="1" x14ac:dyDescent="0.2">
      <c r="A995" s="603"/>
      <c r="B995" s="603"/>
      <c r="C995" s="603"/>
      <c r="D995" s="603"/>
      <c r="E995" s="603"/>
      <c r="F995" s="603"/>
      <c r="G995" s="603"/>
      <c r="H995" s="603"/>
      <c r="I995" s="603"/>
      <c r="J995" s="603"/>
      <c r="K995" s="449"/>
      <c r="L995" s="603"/>
      <c r="M995" s="603"/>
      <c r="N995" s="603"/>
      <c r="O995" s="603"/>
      <c r="P995" s="603"/>
      <c r="Q995" s="603"/>
      <c r="R995" s="603"/>
      <c r="S995" s="603"/>
      <c r="T995" s="603"/>
      <c r="U995" s="603"/>
      <c r="V995" s="603"/>
      <c r="W995" s="603"/>
      <c r="X995" s="603"/>
      <c r="Y995" s="603"/>
      <c r="Z995" s="603"/>
    </row>
    <row r="996" spans="1:26" ht="15.75" customHeight="1" x14ac:dyDescent="0.2">
      <c r="A996" s="603"/>
      <c r="B996" s="603"/>
      <c r="C996" s="603"/>
      <c r="D996" s="603"/>
      <c r="E996" s="603"/>
      <c r="F996" s="603"/>
      <c r="G996" s="603"/>
      <c r="H996" s="603"/>
      <c r="I996" s="603"/>
      <c r="J996" s="603"/>
      <c r="K996" s="449"/>
      <c r="L996" s="603"/>
      <c r="M996" s="603"/>
      <c r="N996" s="603"/>
      <c r="O996" s="603"/>
      <c r="P996" s="603"/>
      <c r="Q996" s="603"/>
      <c r="R996" s="603"/>
      <c r="S996" s="603"/>
      <c r="T996" s="603"/>
      <c r="U996" s="603"/>
      <c r="V996" s="603"/>
      <c r="W996" s="603"/>
      <c r="X996" s="603"/>
      <c r="Y996" s="603"/>
      <c r="Z996" s="603"/>
    </row>
    <row r="997" spans="1:26" ht="15.75" customHeight="1" x14ac:dyDescent="0.2">
      <c r="A997" s="603"/>
      <c r="B997" s="603"/>
      <c r="C997" s="603"/>
      <c r="D997" s="603"/>
      <c r="E997" s="603"/>
      <c r="F997" s="603"/>
      <c r="G997" s="603"/>
      <c r="H997" s="603"/>
      <c r="I997" s="603"/>
      <c r="J997" s="603"/>
      <c r="K997" s="449"/>
      <c r="L997" s="603"/>
      <c r="M997" s="603"/>
      <c r="N997" s="603"/>
      <c r="O997" s="603"/>
      <c r="P997" s="603"/>
      <c r="Q997" s="603"/>
      <c r="R997" s="603"/>
      <c r="S997" s="603"/>
      <c r="T997" s="603"/>
      <c r="U997" s="603"/>
      <c r="V997" s="603"/>
      <c r="W997" s="603"/>
      <c r="X997" s="603"/>
      <c r="Y997" s="603"/>
      <c r="Z997" s="603"/>
    </row>
    <row r="998" spans="1:26" ht="15.75" customHeight="1" x14ac:dyDescent="0.2">
      <c r="A998" s="603"/>
      <c r="B998" s="603"/>
      <c r="C998" s="603"/>
      <c r="D998" s="603"/>
      <c r="E998" s="603"/>
      <c r="F998" s="603"/>
      <c r="G998" s="603"/>
      <c r="H998" s="603"/>
      <c r="I998" s="603"/>
      <c r="J998" s="603"/>
      <c r="K998" s="449"/>
      <c r="L998" s="603"/>
      <c r="M998" s="603"/>
      <c r="N998" s="603"/>
      <c r="O998" s="603"/>
      <c r="P998" s="603"/>
      <c r="Q998" s="603"/>
      <c r="R998" s="603"/>
      <c r="S998" s="603"/>
      <c r="T998" s="603"/>
      <c r="U998" s="603"/>
      <c r="V998" s="603"/>
      <c r="W998" s="603"/>
      <c r="X998" s="603"/>
      <c r="Y998" s="603"/>
      <c r="Z998" s="603"/>
    </row>
    <row r="999" spans="1:26" ht="15.75" customHeight="1" x14ac:dyDescent="0.2">
      <c r="A999" s="603"/>
      <c r="B999" s="603"/>
      <c r="C999" s="603"/>
      <c r="D999" s="603"/>
      <c r="E999" s="603"/>
      <c r="F999" s="603"/>
      <c r="G999" s="603"/>
      <c r="H999" s="603"/>
      <c r="I999" s="603"/>
      <c r="J999" s="603"/>
      <c r="K999" s="449"/>
      <c r="L999" s="603"/>
      <c r="M999" s="603"/>
      <c r="N999" s="603"/>
      <c r="O999" s="603"/>
      <c r="P999" s="603"/>
      <c r="Q999" s="603"/>
      <c r="R999" s="603"/>
      <c r="S999" s="603"/>
      <c r="T999" s="603"/>
      <c r="U999" s="603"/>
      <c r="V999" s="603"/>
      <c r="W999" s="603"/>
      <c r="X999" s="603"/>
      <c r="Y999" s="603"/>
      <c r="Z999" s="603"/>
    </row>
    <row r="1000" spans="1:26" ht="15.75" customHeight="1" x14ac:dyDescent="0.2">
      <c r="A1000" s="603"/>
      <c r="B1000" s="603"/>
      <c r="C1000" s="603"/>
      <c r="D1000" s="603"/>
      <c r="E1000" s="603"/>
      <c r="F1000" s="603"/>
      <c r="G1000" s="603"/>
      <c r="H1000" s="603"/>
      <c r="I1000" s="603"/>
      <c r="J1000" s="603"/>
      <c r="K1000" s="449"/>
      <c r="L1000" s="603"/>
      <c r="M1000" s="603"/>
      <c r="N1000" s="603"/>
      <c r="O1000" s="603"/>
      <c r="P1000" s="603"/>
      <c r="Q1000" s="603"/>
      <c r="R1000" s="603"/>
      <c r="S1000" s="603"/>
      <c r="T1000" s="603"/>
      <c r="U1000" s="603"/>
      <c r="V1000" s="603"/>
      <c r="W1000" s="603"/>
      <c r="X1000" s="603"/>
      <c r="Y1000" s="603"/>
      <c r="Z1000" s="603"/>
    </row>
  </sheetData>
  <mergeCells count="6">
    <mergeCell ref="A1:C2"/>
    <mergeCell ref="D1:V2"/>
    <mergeCell ref="A3:G3"/>
    <mergeCell ref="H3:K3"/>
    <mergeCell ref="L3:P3"/>
    <mergeCell ref="Q3:V3"/>
  </mergeCells>
  <conditionalFormatting sqref="J5:J7">
    <cfRule type="cellIs" dxfId="175" priority="1" operator="equal">
      <formula>"Extremo"</formula>
    </cfRule>
  </conditionalFormatting>
  <conditionalFormatting sqref="J5:J7">
    <cfRule type="cellIs" dxfId="174" priority="2" operator="equal">
      <formula>"Moderado"</formula>
    </cfRule>
  </conditionalFormatting>
  <conditionalFormatting sqref="J5:J7">
    <cfRule type="cellIs" dxfId="173" priority="3" operator="equal">
      <formula>"Bajo"</formula>
    </cfRule>
  </conditionalFormatting>
  <conditionalFormatting sqref="J5:J7">
    <cfRule type="cellIs" dxfId="172" priority="4" operator="equal">
      <formula>"Alto"</formula>
    </cfRule>
  </conditionalFormatting>
  <conditionalFormatting sqref="G7">
    <cfRule type="cellIs" dxfId="171" priority="5" operator="equal">
      <formula>"Extremo"</formula>
    </cfRule>
  </conditionalFormatting>
  <conditionalFormatting sqref="G7">
    <cfRule type="cellIs" dxfId="170" priority="6" operator="equal">
      <formula>"Moderado"</formula>
    </cfRule>
  </conditionalFormatting>
  <conditionalFormatting sqref="G7">
    <cfRule type="cellIs" dxfId="169" priority="7" operator="equal">
      <formula>"Bajo"</formula>
    </cfRule>
  </conditionalFormatting>
  <conditionalFormatting sqref="G7">
    <cfRule type="cellIs" dxfId="168" priority="8" operator="equal">
      <formula>"Alto"</formula>
    </cfRule>
  </conditionalFormatting>
  <conditionalFormatting sqref="G5">
    <cfRule type="cellIs" dxfId="167" priority="9" operator="equal">
      <formula>"Extremo"</formula>
    </cfRule>
  </conditionalFormatting>
  <conditionalFormatting sqref="G5">
    <cfRule type="cellIs" dxfId="166" priority="10" operator="equal">
      <formula>"Moderado"</formula>
    </cfRule>
  </conditionalFormatting>
  <conditionalFormatting sqref="G5">
    <cfRule type="cellIs" dxfId="165" priority="11" operator="equal">
      <formula>"Bajo"</formula>
    </cfRule>
  </conditionalFormatting>
  <conditionalFormatting sqref="G5">
    <cfRule type="cellIs" dxfId="164" priority="12" operator="equal">
      <formula>"Alto"</formula>
    </cfRule>
  </conditionalFormatting>
  <conditionalFormatting sqref="G6">
    <cfRule type="cellIs" dxfId="163" priority="13" operator="equal">
      <formula>"Extremo"</formula>
    </cfRule>
  </conditionalFormatting>
  <conditionalFormatting sqref="G6">
    <cfRule type="cellIs" dxfId="162" priority="14" operator="equal">
      <formula>"Moderado"</formula>
    </cfRule>
  </conditionalFormatting>
  <conditionalFormatting sqref="G6">
    <cfRule type="cellIs" dxfId="161" priority="15" operator="equal">
      <formula>"Bajo"</formula>
    </cfRule>
  </conditionalFormatting>
  <conditionalFormatting sqref="G6">
    <cfRule type="cellIs" dxfId="160" priority="16" operator="equal">
      <formula>"Alto"</formula>
    </cfRule>
  </conditionalFormatting>
  <pageMargins left="0.7" right="0.7" top="0.75" bottom="0.75" header="0" footer="0"/>
  <pageSetup orientation="portrait"/>
  <drawing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E993"/>
  <sheetViews>
    <sheetView showGridLines="0" topLeftCell="B6" zoomScale="115" zoomScaleNormal="115" workbookViewId="0">
      <selection activeCell="B7" sqref="B7"/>
    </sheetView>
  </sheetViews>
  <sheetFormatPr baseColWidth="10" defaultColWidth="12.625" defaultRowHeight="15" customHeight="1" x14ac:dyDescent="0.2"/>
  <cols>
    <col min="1" max="1" width="20.375" style="228" customWidth="1"/>
    <col min="2" max="2" width="70.375" style="228" customWidth="1"/>
    <col min="3" max="3" width="63.875" style="228" customWidth="1"/>
    <col min="4" max="4" width="14.25" style="228" customWidth="1"/>
    <col min="5" max="5" width="35" style="228" customWidth="1"/>
    <col min="6" max="26" width="9.375" style="228" customWidth="1"/>
    <col min="27" max="16384" width="12.625" style="228"/>
  </cols>
  <sheetData>
    <row r="1" spans="1:5" ht="14.25" x14ac:dyDescent="0.2">
      <c r="A1" s="1197"/>
      <c r="B1" s="1199" t="s">
        <v>0</v>
      </c>
      <c r="C1" s="1200"/>
      <c r="D1" s="1201"/>
      <c r="E1" s="1207" t="s">
        <v>29</v>
      </c>
    </row>
    <row r="2" spans="1:5" ht="14.25" x14ac:dyDescent="0.2">
      <c r="A2" s="1198"/>
      <c r="B2" s="1202"/>
      <c r="C2" s="1203"/>
      <c r="D2" s="1198"/>
      <c r="E2" s="1208"/>
    </row>
    <row r="3" spans="1:5" ht="14.25" x14ac:dyDescent="0.2">
      <c r="A3" s="1198"/>
      <c r="B3" s="1202"/>
      <c r="C3" s="1203"/>
      <c r="D3" s="1198"/>
      <c r="E3" s="1207" t="s">
        <v>2</v>
      </c>
    </row>
    <row r="4" spans="1:5" thickBot="1" x14ac:dyDescent="0.25">
      <c r="A4" s="1198"/>
      <c r="B4" s="1204"/>
      <c r="C4" s="1205"/>
      <c r="D4" s="1206"/>
      <c r="E4" s="1208"/>
    </row>
    <row r="5" spans="1:5" thickBot="1" x14ac:dyDescent="0.25">
      <c r="A5" s="1209" t="s">
        <v>30</v>
      </c>
      <c r="B5" s="1210"/>
      <c r="C5" s="1210"/>
      <c r="D5" s="1210"/>
      <c r="E5" s="1211"/>
    </row>
    <row r="6" spans="1:5" ht="15" customHeight="1" x14ac:dyDescent="0.2">
      <c r="A6" s="229" t="s">
        <v>31</v>
      </c>
      <c r="B6" s="230" t="s">
        <v>32</v>
      </c>
      <c r="C6" s="229" t="s">
        <v>33</v>
      </c>
      <c r="D6" s="1212" t="s">
        <v>34</v>
      </c>
      <c r="E6" s="1213"/>
    </row>
    <row r="7" spans="1:5" ht="409.5" customHeight="1" x14ac:dyDescent="0.2">
      <c r="A7" s="231"/>
      <c r="B7" s="232" t="s">
        <v>525</v>
      </c>
      <c r="C7" s="233" t="s">
        <v>526</v>
      </c>
      <c r="D7" s="1195" t="s">
        <v>527</v>
      </c>
      <c r="E7" s="1196"/>
    </row>
    <row r="15" spans="1:5" ht="15.75" customHeight="1" x14ac:dyDescent="0.2"/>
    <row r="16" spans="1:5" ht="15.75" customHeight="1" x14ac:dyDescent="0.2"/>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sheetData>
  <mergeCells count="7">
    <mergeCell ref="D7:E7"/>
    <mergeCell ref="A1:A4"/>
    <mergeCell ref="B1:D4"/>
    <mergeCell ref="E1:E2"/>
    <mergeCell ref="E3:E4"/>
    <mergeCell ref="A5:E5"/>
    <mergeCell ref="D6:E6"/>
  </mergeCells>
  <pageMargins left="0.31496062992125984" right="0.31496062992125984" top="1.1417322834645669" bottom="0.35433070866141736" header="0" footer="0"/>
  <pageSetup scale="88" orientation="landscape" r:id="rId1"/>
  <headerFooter>
    <oddHeader>&amp;C Matriz de Riesgos</oddHeader>
  </headerFooter>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996"/>
  <sheetViews>
    <sheetView showGridLines="0" topLeftCell="A4" zoomScaleNormal="100" workbookViewId="0">
      <selection activeCell="E9" sqref="E9"/>
    </sheetView>
  </sheetViews>
  <sheetFormatPr baseColWidth="10" defaultColWidth="12.625" defaultRowHeight="15" customHeight="1" x14ac:dyDescent="0.2"/>
  <cols>
    <col min="1" max="2" width="13.25" style="228" customWidth="1"/>
    <col min="3" max="3" width="16.875" style="228" customWidth="1"/>
    <col min="4" max="4" width="3.625" style="228" customWidth="1"/>
    <col min="5" max="5" width="18.375" style="228" customWidth="1"/>
    <col min="6" max="6" width="28.375" style="228" customWidth="1"/>
    <col min="7" max="7" width="15" style="228" customWidth="1"/>
    <col min="8" max="8" width="36.875" style="228" customWidth="1"/>
    <col min="9" max="9" width="37.75" style="228" customWidth="1"/>
    <col min="10" max="10" width="20.625" style="228" customWidth="1"/>
    <col min="11" max="11" width="14.75" style="228" customWidth="1"/>
    <col min="12" max="12" width="18.75" style="228" customWidth="1"/>
    <col min="13" max="13" width="12.75" style="228" customWidth="1"/>
    <col min="14" max="14" width="27.125" style="228" customWidth="1"/>
    <col min="15" max="26" width="9.375" style="228" customWidth="1"/>
    <col min="27" max="16384" width="12.625" style="228"/>
  </cols>
  <sheetData>
    <row r="1" spans="1:14" ht="15" customHeight="1" x14ac:dyDescent="0.2">
      <c r="A1" s="1214"/>
      <c r="B1" s="1203"/>
      <c r="C1" s="1203"/>
      <c r="D1" s="1215" t="s">
        <v>0</v>
      </c>
      <c r="E1" s="1203"/>
      <c r="F1" s="1203"/>
      <c r="G1" s="1203"/>
      <c r="H1" s="1203"/>
      <c r="I1" s="1203"/>
      <c r="J1" s="1203"/>
      <c r="K1" s="1203"/>
      <c r="L1" s="1203"/>
      <c r="M1" s="1198"/>
      <c r="N1" s="1216" t="s">
        <v>35</v>
      </c>
    </row>
    <row r="2" spans="1:14" ht="15" customHeight="1" x14ac:dyDescent="0.2">
      <c r="A2" s="1203"/>
      <c r="B2" s="1203"/>
      <c r="C2" s="1203"/>
      <c r="D2" s="1203"/>
      <c r="E2" s="1203"/>
      <c r="F2" s="1203"/>
      <c r="G2" s="1203"/>
      <c r="H2" s="1203"/>
      <c r="I2" s="1203"/>
      <c r="J2" s="1203"/>
      <c r="K2" s="1203"/>
      <c r="L2" s="1203"/>
      <c r="M2" s="1198"/>
      <c r="N2" s="1208"/>
    </row>
    <row r="3" spans="1:14" ht="15" customHeight="1" x14ac:dyDescent="0.2">
      <c r="A3" s="1203"/>
      <c r="B3" s="1203"/>
      <c r="C3" s="1203"/>
      <c r="D3" s="1203"/>
      <c r="E3" s="1203"/>
      <c r="F3" s="1203"/>
      <c r="G3" s="1203"/>
      <c r="H3" s="1203"/>
      <c r="I3" s="1203"/>
      <c r="J3" s="1203"/>
      <c r="K3" s="1203"/>
      <c r="L3" s="1203"/>
      <c r="M3" s="1198"/>
      <c r="N3" s="1216" t="s">
        <v>2</v>
      </c>
    </row>
    <row r="4" spans="1:14" ht="15" customHeight="1" x14ac:dyDescent="0.2">
      <c r="A4" s="1205"/>
      <c r="B4" s="1205"/>
      <c r="C4" s="1205"/>
      <c r="D4" s="1205"/>
      <c r="E4" s="1205"/>
      <c r="F4" s="1205"/>
      <c r="G4" s="1205"/>
      <c r="H4" s="1205"/>
      <c r="I4" s="1205"/>
      <c r="J4" s="1205"/>
      <c r="K4" s="1205"/>
      <c r="L4" s="1205"/>
      <c r="M4" s="1206"/>
      <c r="N4" s="1208"/>
    </row>
    <row r="5" spans="1:14" ht="15.75" x14ac:dyDescent="0.2">
      <c r="A5" s="1217" t="s">
        <v>36</v>
      </c>
      <c r="B5" s="1218"/>
      <c r="C5" s="1196"/>
      <c r="D5" s="1219" t="s">
        <v>528</v>
      </c>
      <c r="E5" s="1220"/>
      <c r="F5" s="1220"/>
      <c r="G5" s="1220"/>
      <c r="H5" s="1220"/>
      <c r="I5" s="1220"/>
      <c r="J5" s="1220"/>
      <c r="K5" s="1220"/>
      <c r="L5" s="1220"/>
      <c r="M5" s="1220"/>
      <c r="N5" s="1221"/>
    </row>
    <row r="6" spans="1:14" ht="15.75" x14ac:dyDescent="0.2">
      <c r="A6" s="1217" t="s">
        <v>37</v>
      </c>
      <c r="B6" s="1218"/>
      <c r="C6" s="1196"/>
      <c r="D6" s="1219" t="s">
        <v>529</v>
      </c>
      <c r="E6" s="1220"/>
      <c r="F6" s="1220"/>
      <c r="G6" s="1220"/>
      <c r="H6" s="1220"/>
      <c r="I6" s="1220"/>
      <c r="J6" s="1220"/>
      <c r="K6" s="1220"/>
      <c r="L6" s="1220"/>
      <c r="M6" s="1220"/>
      <c r="N6" s="1221"/>
    </row>
    <row r="7" spans="1:14" x14ac:dyDescent="0.25">
      <c r="A7" s="1222" t="s">
        <v>38</v>
      </c>
      <c r="B7" s="1218"/>
      <c r="C7" s="1196"/>
      <c r="D7" s="1223" t="s">
        <v>39</v>
      </c>
      <c r="E7" s="1218"/>
      <c r="F7" s="1218"/>
      <c r="G7" s="1218"/>
      <c r="H7" s="1218"/>
      <c r="I7" s="1196"/>
      <c r="J7" s="1222" t="s">
        <v>40</v>
      </c>
      <c r="K7" s="1218"/>
      <c r="L7" s="1218"/>
      <c r="M7" s="1218"/>
      <c r="N7" s="1196"/>
    </row>
    <row r="8" spans="1:14" ht="36" x14ac:dyDescent="0.2">
      <c r="A8" s="234" t="s">
        <v>41</v>
      </c>
      <c r="B8" s="234" t="s">
        <v>42</v>
      </c>
      <c r="C8" s="234" t="s">
        <v>43</v>
      </c>
      <c r="D8" s="234" t="s">
        <v>44</v>
      </c>
      <c r="E8" s="234" t="s">
        <v>45</v>
      </c>
      <c r="F8" s="234" t="s">
        <v>46</v>
      </c>
      <c r="G8" s="234" t="s">
        <v>47</v>
      </c>
      <c r="H8" s="234" t="s">
        <v>48</v>
      </c>
      <c r="I8" s="234" t="s">
        <v>49</v>
      </c>
      <c r="J8" s="235" t="s">
        <v>50</v>
      </c>
      <c r="K8" s="235" t="s">
        <v>51</v>
      </c>
      <c r="L8" s="235" t="s">
        <v>52</v>
      </c>
      <c r="M8" s="235" t="s">
        <v>53</v>
      </c>
      <c r="N8" s="235" t="s">
        <v>54</v>
      </c>
    </row>
    <row r="9" spans="1:14" ht="181.5" customHeight="1" x14ac:dyDescent="0.2">
      <c r="A9" s="242" t="s">
        <v>176</v>
      </c>
      <c r="B9" s="383" t="s">
        <v>177</v>
      </c>
      <c r="C9" s="383" t="s">
        <v>178</v>
      </c>
      <c r="D9" s="237">
        <v>1</v>
      </c>
      <c r="E9" s="384" t="s">
        <v>530</v>
      </c>
      <c r="F9" s="384" t="s">
        <v>531</v>
      </c>
      <c r="G9" s="239" t="s">
        <v>179</v>
      </c>
      <c r="H9" s="385" t="s">
        <v>532</v>
      </c>
      <c r="I9" s="385" t="s">
        <v>533</v>
      </c>
      <c r="J9" s="239" t="s">
        <v>263</v>
      </c>
      <c r="K9" s="239" t="s">
        <v>263</v>
      </c>
      <c r="L9" s="239" t="s">
        <v>263</v>
      </c>
      <c r="M9" s="239" t="s">
        <v>263</v>
      </c>
      <c r="N9" s="241" t="str">
        <f t="shared" ref="N9:N16" si="0">IF(COUNTIF(J9:M9,"SI")=4,"Riesgo de Corrupción","No es Riesgo de Corrupción")</f>
        <v>No es Riesgo de Corrupción</v>
      </c>
    </row>
    <row r="10" spans="1:14" ht="201.75" customHeight="1" x14ac:dyDescent="0.2">
      <c r="A10" s="242" t="s">
        <v>176</v>
      </c>
      <c r="B10" s="242" t="s">
        <v>177</v>
      </c>
      <c r="C10" s="242" t="s">
        <v>178</v>
      </c>
      <c r="D10" s="237">
        <v>2</v>
      </c>
      <c r="E10" s="384" t="s">
        <v>534</v>
      </c>
      <c r="F10" s="384" t="s">
        <v>535</v>
      </c>
      <c r="G10" s="239" t="s">
        <v>179</v>
      </c>
      <c r="H10" s="385" t="s">
        <v>536</v>
      </c>
      <c r="I10" s="385" t="s">
        <v>537</v>
      </c>
      <c r="J10" s="239" t="s">
        <v>263</v>
      </c>
      <c r="K10" s="239" t="s">
        <v>263</v>
      </c>
      <c r="L10" s="239" t="s">
        <v>263</v>
      </c>
      <c r="M10" s="239" t="s">
        <v>263</v>
      </c>
      <c r="N10" s="241" t="str">
        <f t="shared" si="0"/>
        <v>No es Riesgo de Corrupción</v>
      </c>
    </row>
    <row r="11" spans="1:14" ht="114" customHeight="1" x14ac:dyDescent="0.2">
      <c r="A11" s="242" t="s">
        <v>176</v>
      </c>
      <c r="B11" s="242" t="s">
        <v>177</v>
      </c>
      <c r="C11" s="242" t="s">
        <v>178</v>
      </c>
      <c r="D11" s="237">
        <v>3</v>
      </c>
      <c r="E11" s="386" t="s">
        <v>538</v>
      </c>
      <c r="F11" s="384" t="s">
        <v>539</v>
      </c>
      <c r="G11" s="239" t="s">
        <v>179</v>
      </c>
      <c r="H11" s="387" t="s">
        <v>540</v>
      </c>
      <c r="I11" s="385" t="s">
        <v>541</v>
      </c>
      <c r="J11" s="239" t="s">
        <v>263</v>
      </c>
      <c r="K11" s="239" t="s">
        <v>263</v>
      </c>
      <c r="L11" s="239" t="s">
        <v>263</v>
      </c>
      <c r="M11" s="239" t="s">
        <v>263</v>
      </c>
      <c r="N11" s="241" t="str">
        <f t="shared" si="0"/>
        <v>No es Riesgo de Corrupción</v>
      </c>
    </row>
    <row r="12" spans="1:14" ht="108.95" customHeight="1" x14ac:dyDescent="0.2">
      <c r="A12" s="242" t="s">
        <v>243</v>
      </c>
      <c r="B12" s="242" t="s">
        <v>248</v>
      </c>
      <c r="C12" s="242" t="s">
        <v>178</v>
      </c>
      <c r="D12" s="237">
        <v>4</v>
      </c>
      <c r="E12" s="384" t="s">
        <v>542</v>
      </c>
      <c r="F12" s="384" t="s">
        <v>543</v>
      </c>
      <c r="G12" s="239" t="s">
        <v>246</v>
      </c>
      <c r="H12" s="385" t="s">
        <v>544</v>
      </c>
      <c r="I12" s="385" t="s">
        <v>545</v>
      </c>
      <c r="J12" s="239" t="s">
        <v>122</v>
      </c>
      <c r="K12" s="239" t="s">
        <v>122</v>
      </c>
      <c r="L12" s="239" t="s">
        <v>263</v>
      </c>
      <c r="M12" s="239" t="s">
        <v>263</v>
      </c>
      <c r="N12" s="241" t="str">
        <f t="shared" si="0"/>
        <v>No es Riesgo de Corrupción</v>
      </c>
    </row>
    <row r="13" spans="1:14" ht="192" customHeight="1" x14ac:dyDescent="0.2">
      <c r="A13" s="242" t="s">
        <v>176</v>
      </c>
      <c r="B13" s="242" t="s">
        <v>248</v>
      </c>
      <c r="C13" s="242" t="s">
        <v>178</v>
      </c>
      <c r="D13" s="237">
        <v>5</v>
      </c>
      <c r="E13" s="384" t="s">
        <v>546</v>
      </c>
      <c r="F13" s="384" t="s">
        <v>547</v>
      </c>
      <c r="G13" s="239" t="s">
        <v>179</v>
      </c>
      <c r="H13" s="385" t="s">
        <v>548</v>
      </c>
      <c r="I13" s="385" t="s">
        <v>549</v>
      </c>
      <c r="J13" s="239" t="s">
        <v>122</v>
      </c>
      <c r="K13" s="239" t="s">
        <v>122</v>
      </c>
      <c r="L13" s="239" t="s">
        <v>263</v>
      </c>
      <c r="M13" s="239" t="s">
        <v>263</v>
      </c>
      <c r="N13" s="241" t="str">
        <f t="shared" si="0"/>
        <v>No es Riesgo de Corrupción</v>
      </c>
    </row>
    <row r="14" spans="1:14" ht="114.75" x14ac:dyDescent="0.2">
      <c r="A14" s="242" t="s">
        <v>205</v>
      </c>
      <c r="B14" s="242" t="s">
        <v>219</v>
      </c>
      <c r="C14" s="242" t="s">
        <v>220</v>
      </c>
      <c r="D14" s="237">
        <v>6</v>
      </c>
      <c r="E14" s="384" t="s">
        <v>550</v>
      </c>
      <c r="F14" s="384" t="s">
        <v>551</v>
      </c>
      <c r="G14" s="239" t="s">
        <v>252</v>
      </c>
      <c r="H14" s="385" t="s">
        <v>552</v>
      </c>
      <c r="I14" s="385" t="s">
        <v>553</v>
      </c>
      <c r="J14" s="239" t="s">
        <v>122</v>
      </c>
      <c r="K14" s="239" t="s">
        <v>122</v>
      </c>
      <c r="L14" s="239" t="s">
        <v>122</v>
      </c>
      <c r="M14" s="239" t="s">
        <v>122</v>
      </c>
      <c r="N14" s="241" t="str">
        <f t="shared" si="0"/>
        <v>Riesgo de Corrupción</v>
      </c>
    </row>
    <row r="15" spans="1:14" ht="83.25" customHeight="1" x14ac:dyDescent="0.2">
      <c r="A15" s="242" t="s">
        <v>205</v>
      </c>
      <c r="B15" s="242" t="s">
        <v>219</v>
      </c>
      <c r="C15" s="242" t="s">
        <v>220</v>
      </c>
      <c r="D15" s="237">
        <v>7</v>
      </c>
      <c r="E15" s="384" t="s">
        <v>554</v>
      </c>
      <c r="F15" s="384" t="s">
        <v>555</v>
      </c>
      <c r="G15" s="239" t="s">
        <v>252</v>
      </c>
      <c r="H15" s="385" t="s">
        <v>556</v>
      </c>
      <c r="I15" s="385" t="s">
        <v>557</v>
      </c>
      <c r="J15" s="239" t="s">
        <v>122</v>
      </c>
      <c r="K15" s="239" t="s">
        <v>122</v>
      </c>
      <c r="L15" s="239" t="s">
        <v>122</v>
      </c>
      <c r="M15" s="239" t="s">
        <v>122</v>
      </c>
      <c r="N15" s="241" t="str">
        <f t="shared" si="0"/>
        <v>Riesgo de Corrupción</v>
      </c>
    </row>
    <row r="16" spans="1:14" ht="93.75" customHeight="1" x14ac:dyDescent="0.2">
      <c r="A16" s="242" t="s">
        <v>243</v>
      </c>
      <c r="B16" s="242" t="s">
        <v>248</v>
      </c>
      <c r="C16" s="242" t="s">
        <v>220</v>
      </c>
      <c r="D16" s="237">
        <v>8</v>
      </c>
      <c r="E16" s="384" t="s">
        <v>558</v>
      </c>
      <c r="F16" s="384" t="s">
        <v>559</v>
      </c>
      <c r="G16" s="239" t="s">
        <v>208</v>
      </c>
      <c r="H16" s="385" t="s">
        <v>560</v>
      </c>
      <c r="I16" s="385" t="s">
        <v>561</v>
      </c>
      <c r="J16" s="239" t="s">
        <v>122</v>
      </c>
      <c r="K16" s="239" t="s">
        <v>122</v>
      </c>
      <c r="L16" s="239" t="s">
        <v>263</v>
      </c>
      <c r="M16" s="239" t="s">
        <v>263</v>
      </c>
      <c r="N16" s="241" t="str">
        <f t="shared" si="0"/>
        <v>No es Riesgo de Corrupción</v>
      </c>
    </row>
    <row r="17" spans="4:4" ht="15.75" customHeight="1" x14ac:dyDescent="0.2">
      <c r="D17" s="244"/>
    </row>
    <row r="18" spans="4:4" ht="15.75" customHeight="1" x14ac:dyDescent="0.2">
      <c r="D18" s="244"/>
    </row>
    <row r="19" spans="4:4" ht="15.75" customHeight="1" x14ac:dyDescent="0.2">
      <c r="D19" s="244"/>
    </row>
    <row r="20" spans="4:4" ht="15.75" customHeight="1" x14ac:dyDescent="0.2">
      <c r="D20" s="244"/>
    </row>
    <row r="21" spans="4:4" ht="15.75" customHeight="1" x14ac:dyDescent="0.2">
      <c r="D21" s="244"/>
    </row>
    <row r="22" spans="4:4" ht="15.75" customHeight="1" x14ac:dyDescent="0.2">
      <c r="D22" s="244"/>
    </row>
    <row r="23" spans="4:4" ht="15.75" customHeight="1" x14ac:dyDescent="0.2">
      <c r="D23" s="244"/>
    </row>
    <row r="24" spans="4:4" ht="15.75" customHeight="1" x14ac:dyDescent="0.2">
      <c r="D24" s="244"/>
    </row>
    <row r="25" spans="4:4" ht="15.75" customHeight="1" x14ac:dyDescent="0.2">
      <c r="D25" s="244"/>
    </row>
    <row r="26" spans="4:4" ht="15.75" customHeight="1" x14ac:dyDescent="0.2">
      <c r="D26" s="244"/>
    </row>
    <row r="27" spans="4:4" ht="15.75" customHeight="1" x14ac:dyDescent="0.2">
      <c r="D27" s="244"/>
    </row>
    <row r="28" spans="4:4" ht="15.75" customHeight="1" x14ac:dyDescent="0.2">
      <c r="D28" s="244"/>
    </row>
    <row r="29" spans="4:4" ht="15.75" customHeight="1" x14ac:dyDescent="0.2">
      <c r="D29" s="244"/>
    </row>
    <row r="30" spans="4:4" ht="15.75" customHeight="1" x14ac:dyDescent="0.2">
      <c r="D30" s="244"/>
    </row>
    <row r="31" spans="4:4" ht="15.75" customHeight="1" x14ac:dyDescent="0.2">
      <c r="D31" s="244"/>
    </row>
    <row r="32" spans="4:4" ht="15.75" customHeight="1" x14ac:dyDescent="0.2">
      <c r="D32" s="244"/>
    </row>
    <row r="33" spans="4:4" ht="15.75" customHeight="1" x14ac:dyDescent="0.2">
      <c r="D33" s="244"/>
    </row>
    <row r="34" spans="4:4" ht="15.75" customHeight="1" x14ac:dyDescent="0.2">
      <c r="D34" s="244"/>
    </row>
    <row r="35" spans="4:4" ht="15.75" customHeight="1" x14ac:dyDescent="0.2">
      <c r="D35" s="244"/>
    </row>
    <row r="36" spans="4:4" ht="15.75" customHeight="1" x14ac:dyDescent="0.2">
      <c r="D36" s="244"/>
    </row>
    <row r="37" spans="4:4" ht="15.75" customHeight="1" x14ac:dyDescent="0.2">
      <c r="D37" s="244"/>
    </row>
    <row r="38" spans="4:4" ht="15.75" customHeight="1" x14ac:dyDescent="0.2">
      <c r="D38" s="244"/>
    </row>
    <row r="39" spans="4:4" ht="15.75" customHeight="1" x14ac:dyDescent="0.2">
      <c r="D39" s="244"/>
    </row>
    <row r="40" spans="4:4" ht="15.75" customHeight="1" x14ac:dyDescent="0.2">
      <c r="D40" s="244"/>
    </row>
    <row r="41" spans="4:4" ht="15.75" customHeight="1" x14ac:dyDescent="0.2">
      <c r="D41" s="244"/>
    </row>
    <row r="42" spans="4:4" ht="15.75" customHeight="1" x14ac:dyDescent="0.2">
      <c r="D42" s="244"/>
    </row>
    <row r="43" spans="4:4" ht="15.75" customHeight="1" x14ac:dyDescent="0.2">
      <c r="D43" s="244"/>
    </row>
    <row r="44" spans="4:4" ht="15.75" customHeight="1" x14ac:dyDescent="0.2">
      <c r="D44" s="244"/>
    </row>
    <row r="45" spans="4:4" ht="15.75" customHeight="1" x14ac:dyDescent="0.2">
      <c r="D45" s="244"/>
    </row>
    <row r="46" spans="4:4" ht="15.75" customHeight="1" x14ac:dyDescent="0.2">
      <c r="D46" s="244"/>
    </row>
    <row r="47" spans="4:4" ht="15.75" customHeight="1" x14ac:dyDescent="0.2">
      <c r="D47" s="244"/>
    </row>
    <row r="48" spans="4:4" ht="15.75" customHeight="1" x14ac:dyDescent="0.2">
      <c r="D48" s="244"/>
    </row>
    <row r="49" spans="4:4" ht="15.75" customHeight="1" x14ac:dyDescent="0.2">
      <c r="D49" s="244"/>
    </row>
    <row r="50" spans="4:4" ht="15.75" customHeight="1" x14ac:dyDescent="0.2">
      <c r="D50" s="244"/>
    </row>
    <row r="51" spans="4:4" ht="15.75" customHeight="1" x14ac:dyDescent="0.2">
      <c r="D51" s="244"/>
    </row>
    <row r="52" spans="4:4" ht="15.75" customHeight="1" x14ac:dyDescent="0.2">
      <c r="D52" s="244"/>
    </row>
    <row r="53" spans="4:4" ht="15.75" customHeight="1" x14ac:dyDescent="0.2">
      <c r="D53" s="244"/>
    </row>
    <row r="54" spans="4:4" ht="15.75" customHeight="1" x14ac:dyDescent="0.2">
      <c r="D54" s="244"/>
    </row>
    <row r="55" spans="4:4" ht="15.75" customHeight="1" x14ac:dyDescent="0.2">
      <c r="D55" s="244"/>
    </row>
    <row r="56" spans="4:4" ht="15.75" customHeight="1" x14ac:dyDescent="0.2">
      <c r="D56" s="244"/>
    </row>
    <row r="57" spans="4:4" ht="15.75" customHeight="1" x14ac:dyDescent="0.2">
      <c r="D57" s="244"/>
    </row>
    <row r="58" spans="4:4" ht="15.75" customHeight="1" x14ac:dyDescent="0.2">
      <c r="D58" s="244"/>
    </row>
    <row r="59" spans="4:4" ht="15.75" customHeight="1" x14ac:dyDescent="0.2">
      <c r="D59" s="244"/>
    </row>
    <row r="60" spans="4:4" ht="15.75" customHeight="1" x14ac:dyDescent="0.2">
      <c r="D60" s="244"/>
    </row>
    <row r="61" spans="4:4" ht="15.75" customHeight="1" x14ac:dyDescent="0.2">
      <c r="D61" s="244"/>
    </row>
    <row r="62" spans="4:4" ht="15.75" customHeight="1" x14ac:dyDescent="0.2">
      <c r="D62" s="244"/>
    </row>
    <row r="63" spans="4:4" ht="15.75" customHeight="1" x14ac:dyDescent="0.2">
      <c r="D63" s="244"/>
    </row>
    <row r="64" spans="4:4" ht="15.75" customHeight="1" x14ac:dyDescent="0.2">
      <c r="D64" s="244"/>
    </row>
    <row r="65" spans="4:4" ht="15.75" customHeight="1" x14ac:dyDescent="0.2">
      <c r="D65" s="244"/>
    </row>
    <row r="66" spans="4:4" ht="15.75" customHeight="1" x14ac:dyDescent="0.2">
      <c r="D66" s="244"/>
    </row>
    <row r="67" spans="4:4" ht="15.75" customHeight="1" x14ac:dyDescent="0.2">
      <c r="D67" s="244"/>
    </row>
    <row r="68" spans="4:4" ht="15.75" customHeight="1" x14ac:dyDescent="0.2">
      <c r="D68" s="244"/>
    </row>
    <row r="69" spans="4:4" ht="15.75" customHeight="1" x14ac:dyDescent="0.2">
      <c r="D69" s="244"/>
    </row>
    <row r="70" spans="4:4" ht="15.75" customHeight="1" x14ac:dyDescent="0.2">
      <c r="D70" s="244"/>
    </row>
    <row r="71" spans="4:4" ht="15.75" customHeight="1" x14ac:dyDescent="0.2">
      <c r="D71" s="244"/>
    </row>
    <row r="72" spans="4:4" ht="15.75" customHeight="1" x14ac:dyDescent="0.2">
      <c r="D72" s="244"/>
    </row>
    <row r="73" spans="4:4" ht="15.75" customHeight="1" x14ac:dyDescent="0.2">
      <c r="D73" s="244"/>
    </row>
    <row r="74" spans="4:4" ht="15.75" customHeight="1" x14ac:dyDescent="0.2">
      <c r="D74" s="244"/>
    </row>
    <row r="75" spans="4:4" ht="15.75" customHeight="1" x14ac:dyDescent="0.2">
      <c r="D75" s="244"/>
    </row>
    <row r="76" spans="4:4" ht="15.75" customHeight="1" x14ac:dyDescent="0.2">
      <c r="D76" s="244"/>
    </row>
    <row r="77" spans="4:4" ht="15.75" customHeight="1" x14ac:dyDescent="0.2">
      <c r="D77" s="244"/>
    </row>
    <row r="78" spans="4:4" ht="15.75" customHeight="1" x14ac:dyDescent="0.2">
      <c r="D78" s="244"/>
    </row>
    <row r="79" spans="4:4" ht="15.75" customHeight="1" x14ac:dyDescent="0.2">
      <c r="D79" s="244"/>
    </row>
    <row r="80" spans="4:4" ht="15.75" customHeight="1" x14ac:dyDescent="0.2">
      <c r="D80" s="244"/>
    </row>
    <row r="81" spans="4:4" ht="15.75" customHeight="1" x14ac:dyDescent="0.2">
      <c r="D81" s="244"/>
    </row>
    <row r="82" spans="4:4" ht="15.75" customHeight="1" x14ac:dyDescent="0.2">
      <c r="D82" s="244"/>
    </row>
    <row r="83" spans="4:4" ht="15.75" customHeight="1" x14ac:dyDescent="0.2">
      <c r="D83" s="244"/>
    </row>
    <row r="84" spans="4:4" ht="15.75" customHeight="1" x14ac:dyDescent="0.2">
      <c r="D84" s="244"/>
    </row>
    <row r="85" spans="4:4" ht="15.75" customHeight="1" x14ac:dyDescent="0.2">
      <c r="D85" s="244"/>
    </row>
    <row r="86" spans="4:4" ht="15.75" customHeight="1" x14ac:dyDescent="0.2">
      <c r="D86" s="244"/>
    </row>
    <row r="87" spans="4:4" ht="15.75" customHeight="1" x14ac:dyDescent="0.2">
      <c r="D87" s="244"/>
    </row>
    <row r="88" spans="4:4" ht="15.75" customHeight="1" x14ac:dyDescent="0.2">
      <c r="D88" s="244"/>
    </row>
    <row r="89" spans="4:4" ht="15.75" customHeight="1" x14ac:dyDescent="0.2">
      <c r="D89" s="244"/>
    </row>
    <row r="90" spans="4:4" ht="15.75" customHeight="1" x14ac:dyDescent="0.2">
      <c r="D90" s="244"/>
    </row>
    <row r="91" spans="4:4" ht="15.75" customHeight="1" x14ac:dyDescent="0.2">
      <c r="D91" s="244"/>
    </row>
    <row r="92" spans="4:4" ht="15.75" customHeight="1" x14ac:dyDescent="0.2">
      <c r="D92" s="244"/>
    </row>
    <row r="93" spans="4:4" ht="15.75" customHeight="1" x14ac:dyDescent="0.2">
      <c r="D93" s="244"/>
    </row>
    <row r="94" spans="4:4" ht="15.75" customHeight="1" x14ac:dyDescent="0.2">
      <c r="D94" s="244"/>
    </row>
    <row r="95" spans="4:4" ht="15.75" customHeight="1" x14ac:dyDescent="0.2">
      <c r="D95" s="244"/>
    </row>
    <row r="96" spans="4:4" ht="15.75" customHeight="1" x14ac:dyDescent="0.2">
      <c r="D96" s="244"/>
    </row>
    <row r="97" spans="4:4" ht="15.75" customHeight="1" x14ac:dyDescent="0.2">
      <c r="D97" s="244"/>
    </row>
    <row r="98" spans="4:4" ht="15.75" customHeight="1" x14ac:dyDescent="0.2">
      <c r="D98" s="244"/>
    </row>
    <row r="99" spans="4:4" ht="15.75" customHeight="1" x14ac:dyDescent="0.2">
      <c r="D99" s="244"/>
    </row>
    <row r="100" spans="4:4" ht="15.75" customHeight="1" x14ac:dyDescent="0.2">
      <c r="D100" s="244"/>
    </row>
    <row r="101" spans="4:4" ht="15.75" customHeight="1" x14ac:dyDescent="0.2">
      <c r="D101" s="244"/>
    </row>
    <row r="102" spans="4:4" ht="15.75" customHeight="1" x14ac:dyDescent="0.2">
      <c r="D102" s="244"/>
    </row>
    <row r="103" spans="4:4" ht="15.75" customHeight="1" x14ac:dyDescent="0.2">
      <c r="D103" s="244"/>
    </row>
    <row r="104" spans="4:4" ht="15.75" customHeight="1" x14ac:dyDescent="0.2">
      <c r="D104" s="244"/>
    </row>
    <row r="105" spans="4:4" ht="15.75" customHeight="1" x14ac:dyDescent="0.2">
      <c r="D105" s="244"/>
    </row>
    <row r="106" spans="4:4" ht="15.75" customHeight="1" x14ac:dyDescent="0.2">
      <c r="D106" s="244"/>
    </row>
    <row r="107" spans="4:4" ht="15.75" customHeight="1" x14ac:dyDescent="0.2">
      <c r="D107" s="244"/>
    </row>
    <row r="108" spans="4:4" ht="15.75" customHeight="1" x14ac:dyDescent="0.2">
      <c r="D108" s="244"/>
    </row>
    <row r="109" spans="4:4" ht="15.75" customHeight="1" x14ac:dyDescent="0.2">
      <c r="D109" s="244"/>
    </row>
    <row r="110" spans="4:4" ht="15.75" customHeight="1" x14ac:dyDescent="0.2">
      <c r="D110" s="244"/>
    </row>
    <row r="111" spans="4:4" ht="15.75" customHeight="1" x14ac:dyDescent="0.2">
      <c r="D111" s="244"/>
    </row>
    <row r="112" spans="4:4" ht="15.75" customHeight="1" x14ac:dyDescent="0.2">
      <c r="D112" s="244"/>
    </row>
    <row r="113" spans="4:4" ht="15.75" customHeight="1" x14ac:dyDescent="0.2">
      <c r="D113" s="244"/>
    </row>
    <row r="114" spans="4:4" ht="15.75" customHeight="1" x14ac:dyDescent="0.2">
      <c r="D114" s="244"/>
    </row>
    <row r="115" spans="4:4" ht="15.75" customHeight="1" x14ac:dyDescent="0.2">
      <c r="D115" s="244"/>
    </row>
    <row r="116" spans="4:4" ht="15.75" customHeight="1" x14ac:dyDescent="0.2">
      <c r="D116" s="244"/>
    </row>
    <row r="117" spans="4:4" ht="15.75" customHeight="1" x14ac:dyDescent="0.2">
      <c r="D117" s="244"/>
    </row>
    <row r="118" spans="4:4" ht="15.75" customHeight="1" x14ac:dyDescent="0.2">
      <c r="D118" s="244"/>
    </row>
    <row r="119" spans="4:4" ht="15.75" customHeight="1" x14ac:dyDescent="0.2">
      <c r="D119" s="244"/>
    </row>
    <row r="120" spans="4:4" ht="15.75" customHeight="1" x14ac:dyDescent="0.2">
      <c r="D120" s="244"/>
    </row>
    <row r="121" spans="4:4" ht="15.75" customHeight="1" x14ac:dyDescent="0.2">
      <c r="D121" s="244"/>
    </row>
    <row r="122" spans="4:4" ht="15.75" customHeight="1" x14ac:dyDescent="0.2">
      <c r="D122" s="244"/>
    </row>
    <row r="123" spans="4:4" ht="15.75" customHeight="1" x14ac:dyDescent="0.2">
      <c r="D123" s="244"/>
    </row>
    <row r="124" spans="4:4" ht="15.75" customHeight="1" x14ac:dyDescent="0.2">
      <c r="D124" s="244"/>
    </row>
    <row r="125" spans="4:4" ht="15.75" customHeight="1" x14ac:dyDescent="0.2">
      <c r="D125" s="244"/>
    </row>
    <row r="126" spans="4:4" ht="15.75" customHeight="1" x14ac:dyDescent="0.2">
      <c r="D126" s="244"/>
    </row>
    <row r="127" spans="4:4" ht="15.75" customHeight="1" x14ac:dyDescent="0.2">
      <c r="D127" s="244"/>
    </row>
    <row r="128" spans="4:4" ht="15.75" customHeight="1" x14ac:dyDescent="0.2">
      <c r="D128" s="244"/>
    </row>
    <row r="129" spans="4:4" ht="15.75" customHeight="1" x14ac:dyDescent="0.2">
      <c r="D129" s="244"/>
    </row>
    <row r="130" spans="4:4" ht="15.75" customHeight="1" x14ac:dyDescent="0.2">
      <c r="D130" s="244"/>
    </row>
    <row r="131" spans="4:4" ht="15.75" customHeight="1" x14ac:dyDescent="0.2">
      <c r="D131" s="244"/>
    </row>
    <row r="132" spans="4:4" ht="15.75" customHeight="1" x14ac:dyDescent="0.2">
      <c r="D132" s="244"/>
    </row>
    <row r="133" spans="4:4" ht="15.75" customHeight="1" x14ac:dyDescent="0.2">
      <c r="D133" s="244"/>
    </row>
    <row r="134" spans="4:4" ht="15.75" customHeight="1" x14ac:dyDescent="0.2">
      <c r="D134" s="244"/>
    </row>
    <row r="135" spans="4:4" ht="15.75" customHeight="1" x14ac:dyDescent="0.2">
      <c r="D135" s="244"/>
    </row>
    <row r="136" spans="4:4" ht="15.75" customHeight="1" x14ac:dyDescent="0.2">
      <c r="D136" s="244"/>
    </row>
    <row r="137" spans="4:4" ht="15.75" customHeight="1" x14ac:dyDescent="0.2">
      <c r="D137" s="244"/>
    </row>
    <row r="138" spans="4:4" ht="15.75" customHeight="1" x14ac:dyDescent="0.2">
      <c r="D138" s="244"/>
    </row>
    <row r="139" spans="4:4" ht="15.75" customHeight="1" x14ac:dyDescent="0.2">
      <c r="D139" s="244"/>
    </row>
    <row r="140" spans="4:4" ht="15.75" customHeight="1" x14ac:dyDescent="0.2">
      <c r="D140" s="244"/>
    </row>
    <row r="141" spans="4:4" ht="15.75" customHeight="1" x14ac:dyDescent="0.2">
      <c r="D141" s="244"/>
    </row>
    <row r="142" spans="4:4" ht="15.75" customHeight="1" x14ac:dyDescent="0.2">
      <c r="D142" s="244"/>
    </row>
    <row r="143" spans="4:4" ht="15.75" customHeight="1" x14ac:dyDescent="0.2">
      <c r="D143" s="244"/>
    </row>
    <row r="144" spans="4:4" ht="15.75" customHeight="1" x14ac:dyDescent="0.2">
      <c r="D144" s="244"/>
    </row>
    <row r="145" spans="4:4" ht="15.75" customHeight="1" x14ac:dyDescent="0.2">
      <c r="D145" s="244"/>
    </row>
    <row r="146" spans="4:4" ht="15.75" customHeight="1" x14ac:dyDescent="0.2">
      <c r="D146" s="244"/>
    </row>
    <row r="147" spans="4:4" ht="15.75" customHeight="1" x14ac:dyDescent="0.2">
      <c r="D147" s="244"/>
    </row>
    <row r="148" spans="4:4" ht="15.75" customHeight="1" x14ac:dyDescent="0.2">
      <c r="D148" s="244"/>
    </row>
    <row r="149" spans="4:4" ht="15.75" customHeight="1" x14ac:dyDescent="0.2">
      <c r="D149" s="244"/>
    </row>
    <row r="150" spans="4:4" ht="15.75" customHeight="1" x14ac:dyDescent="0.2">
      <c r="D150" s="244"/>
    </row>
    <row r="151" spans="4:4" ht="15.75" customHeight="1" x14ac:dyDescent="0.2">
      <c r="D151" s="244"/>
    </row>
    <row r="152" spans="4:4" ht="15.75" customHeight="1" x14ac:dyDescent="0.2">
      <c r="D152" s="244"/>
    </row>
    <row r="153" spans="4:4" ht="15.75" customHeight="1" x14ac:dyDescent="0.2">
      <c r="D153" s="244"/>
    </row>
    <row r="154" spans="4:4" ht="15.75" customHeight="1" x14ac:dyDescent="0.2">
      <c r="D154" s="244"/>
    </row>
    <row r="155" spans="4:4" ht="15.75" customHeight="1" x14ac:dyDescent="0.2">
      <c r="D155" s="244"/>
    </row>
    <row r="156" spans="4:4" ht="15.75" customHeight="1" x14ac:dyDescent="0.2">
      <c r="D156" s="244"/>
    </row>
    <row r="157" spans="4:4" ht="15.75" customHeight="1" x14ac:dyDescent="0.2">
      <c r="D157" s="244"/>
    </row>
    <row r="158" spans="4:4" ht="15.75" customHeight="1" x14ac:dyDescent="0.2">
      <c r="D158" s="244"/>
    </row>
    <row r="159" spans="4:4" ht="15.75" customHeight="1" x14ac:dyDescent="0.2">
      <c r="D159" s="244"/>
    </row>
    <row r="160" spans="4:4" ht="15.75" customHeight="1" x14ac:dyDescent="0.2">
      <c r="D160" s="244"/>
    </row>
    <row r="161" spans="4:4" ht="15.75" customHeight="1" x14ac:dyDescent="0.2">
      <c r="D161" s="244"/>
    </row>
    <row r="162" spans="4:4" ht="15.75" customHeight="1" x14ac:dyDescent="0.2">
      <c r="D162" s="244"/>
    </row>
    <row r="163" spans="4:4" ht="15.75" customHeight="1" x14ac:dyDescent="0.2">
      <c r="D163" s="244"/>
    </row>
    <row r="164" spans="4:4" ht="15.75" customHeight="1" x14ac:dyDescent="0.2">
      <c r="D164" s="244"/>
    </row>
    <row r="165" spans="4:4" ht="15.75" customHeight="1" x14ac:dyDescent="0.2">
      <c r="D165" s="244"/>
    </row>
    <row r="166" spans="4:4" ht="15.75" customHeight="1" x14ac:dyDescent="0.2">
      <c r="D166" s="244"/>
    </row>
    <row r="167" spans="4:4" ht="15.75" customHeight="1" x14ac:dyDescent="0.2">
      <c r="D167" s="244"/>
    </row>
    <row r="168" spans="4:4" ht="15.75" customHeight="1" x14ac:dyDescent="0.2">
      <c r="D168" s="244"/>
    </row>
    <row r="169" spans="4:4" ht="15.75" customHeight="1" x14ac:dyDescent="0.2">
      <c r="D169" s="244"/>
    </row>
    <row r="170" spans="4:4" ht="15.75" customHeight="1" x14ac:dyDescent="0.2">
      <c r="D170" s="244"/>
    </row>
    <row r="171" spans="4:4" ht="15.75" customHeight="1" x14ac:dyDescent="0.2">
      <c r="D171" s="244"/>
    </row>
    <row r="172" spans="4:4" ht="15.75" customHeight="1" x14ac:dyDescent="0.2">
      <c r="D172" s="244"/>
    </row>
    <row r="173" spans="4:4" ht="15.75" customHeight="1" x14ac:dyDescent="0.2">
      <c r="D173" s="244"/>
    </row>
    <row r="174" spans="4:4" ht="15.75" customHeight="1" x14ac:dyDescent="0.2">
      <c r="D174" s="244"/>
    </row>
    <row r="175" spans="4:4" ht="15.75" customHeight="1" x14ac:dyDescent="0.2">
      <c r="D175" s="244"/>
    </row>
    <row r="176" spans="4:4" ht="15.75" customHeight="1" x14ac:dyDescent="0.2">
      <c r="D176" s="244"/>
    </row>
    <row r="177" spans="4:4" ht="15.75" customHeight="1" x14ac:dyDescent="0.2">
      <c r="D177" s="244"/>
    </row>
    <row r="178" spans="4:4" ht="15.75" customHeight="1" x14ac:dyDescent="0.2">
      <c r="D178" s="244"/>
    </row>
    <row r="179" spans="4:4" ht="15.75" customHeight="1" x14ac:dyDescent="0.2">
      <c r="D179" s="244"/>
    </row>
    <row r="180" spans="4:4" ht="15.75" customHeight="1" x14ac:dyDescent="0.2">
      <c r="D180" s="244"/>
    </row>
    <row r="181" spans="4:4" ht="15.75" customHeight="1" x14ac:dyDescent="0.2">
      <c r="D181" s="244"/>
    </row>
    <row r="182" spans="4:4" ht="15.75" customHeight="1" x14ac:dyDescent="0.2">
      <c r="D182" s="244"/>
    </row>
    <row r="183" spans="4:4" ht="15.75" customHeight="1" x14ac:dyDescent="0.2">
      <c r="D183" s="244"/>
    </row>
    <row r="184" spans="4:4" ht="15.75" customHeight="1" x14ac:dyDescent="0.2">
      <c r="D184" s="244"/>
    </row>
    <row r="185" spans="4:4" ht="15.75" customHeight="1" x14ac:dyDescent="0.2">
      <c r="D185" s="244"/>
    </row>
    <row r="186" spans="4:4" ht="15.75" customHeight="1" x14ac:dyDescent="0.2">
      <c r="D186" s="244"/>
    </row>
    <row r="187" spans="4:4" ht="15.75" customHeight="1" x14ac:dyDescent="0.2">
      <c r="D187" s="244"/>
    </row>
    <row r="188" spans="4:4" ht="15.75" customHeight="1" x14ac:dyDescent="0.2">
      <c r="D188" s="244"/>
    </row>
    <row r="189" spans="4:4" ht="15.75" customHeight="1" x14ac:dyDescent="0.2">
      <c r="D189" s="244"/>
    </row>
    <row r="190" spans="4:4" ht="15.75" customHeight="1" x14ac:dyDescent="0.2">
      <c r="D190" s="244"/>
    </row>
    <row r="191" spans="4:4" ht="15.75" customHeight="1" x14ac:dyDescent="0.2">
      <c r="D191" s="244"/>
    </row>
    <row r="192" spans="4:4" ht="15.75" customHeight="1" x14ac:dyDescent="0.2">
      <c r="D192" s="244"/>
    </row>
    <row r="193" spans="4:4" ht="15.75" customHeight="1" x14ac:dyDescent="0.2">
      <c r="D193" s="244"/>
    </row>
    <row r="194" spans="4:4" ht="15.75" customHeight="1" x14ac:dyDescent="0.2">
      <c r="D194" s="244"/>
    </row>
    <row r="195" spans="4:4" ht="15.75" customHeight="1" x14ac:dyDescent="0.2">
      <c r="D195" s="244"/>
    </row>
    <row r="196" spans="4:4" ht="15.75" customHeight="1" x14ac:dyDescent="0.2">
      <c r="D196" s="244"/>
    </row>
    <row r="197" spans="4:4" ht="15.75" customHeight="1" x14ac:dyDescent="0.2">
      <c r="D197" s="244"/>
    </row>
    <row r="198" spans="4:4" ht="15.75" customHeight="1" x14ac:dyDescent="0.2">
      <c r="D198" s="244"/>
    </row>
    <row r="199" spans="4:4" ht="15.75" customHeight="1" x14ac:dyDescent="0.2">
      <c r="D199" s="244"/>
    </row>
    <row r="200" spans="4:4" ht="15.75" customHeight="1" x14ac:dyDescent="0.2">
      <c r="D200" s="244"/>
    </row>
    <row r="201" spans="4:4" ht="15.75" customHeight="1" x14ac:dyDescent="0.2">
      <c r="D201" s="244"/>
    </row>
    <row r="202" spans="4:4" ht="15.75" customHeight="1" x14ac:dyDescent="0.2">
      <c r="D202" s="244"/>
    </row>
    <row r="203" spans="4:4" ht="15.75" customHeight="1" x14ac:dyDescent="0.2">
      <c r="D203" s="244"/>
    </row>
    <row r="204" spans="4:4" ht="15.75" customHeight="1" x14ac:dyDescent="0.2">
      <c r="D204" s="244"/>
    </row>
    <row r="205" spans="4:4" ht="15.75" customHeight="1" x14ac:dyDescent="0.2">
      <c r="D205" s="244"/>
    </row>
    <row r="206" spans="4:4" ht="15.75" customHeight="1" x14ac:dyDescent="0.2">
      <c r="D206" s="244"/>
    </row>
    <row r="207" spans="4:4" ht="15.75" customHeight="1" x14ac:dyDescent="0.2">
      <c r="D207" s="244"/>
    </row>
    <row r="208" spans="4:4" ht="15.75" customHeight="1" x14ac:dyDescent="0.2">
      <c r="D208" s="244"/>
    </row>
    <row r="209" spans="4:4" ht="15.75" customHeight="1" x14ac:dyDescent="0.2">
      <c r="D209" s="244"/>
    </row>
    <row r="210" spans="4:4" ht="15.75" customHeight="1" x14ac:dyDescent="0.2">
      <c r="D210" s="244"/>
    </row>
    <row r="211" spans="4:4" ht="15.75" customHeight="1" x14ac:dyDescent="0.2">
      <c r="D211" s="244"/>
    </row>
    <row r="212" spans="4:4" ht="15.75" customHeight="1" x14ac:dyDescent="0.2">
      <c r="D212" s="244"/>
    </row>
    <row r="213" spans="4:4" ht="15.75" customHeight="1" x14ac:dyDescent="0.2">
      <c r="D213" s="244"/>
    </row>
    <row r="214" spans="4:4" ht="15.75" customHeight="1" x14ac:dyDescent="0.2">
      <c r="D214" s="244"/>
    </row>
    <row r="215" spans="4:4" ht="15.75" customHeight="1" x14ac:dyDescent="0.2">
      <c r="D215" s="244"/>
    </row>
    <row r="216" spans="4:4" ht="15.75" customHeight="1" x14ac:dyDescent="0.2">
      <c r="D216" s="244"/>
    </row>
    <row r="217" spans="4:4" ht="15.75" customHeight="1" x14ac:dyDescent="0.2">
      <c r="D217" s="244"/>
    </row>
    <row r="218" spans="4:4" ht="15.75" customHeight="1" x14ac:dyDescent="0.2">
      <c r="D218" s="244"/>
    </row>
    <row r="219" spans="4:4" ht="15.75" customHeight="1" x14ac:dyDescent="0.2">
      <c r="D219" s="244"/>
    </row>
    <row r="220" spans="4:4" ht="15.75" customHeight="1" x14ac:dyDescent="0.2">
      <c r="D220" s="244"/>
    </row>
    <row r="221" spans="4:4" ht="15.75" customHeight="1" x14ac:dyDescent="0.2">
      <c r="D221" s="244"/>
    </row>
    <row r="222" spans="4:4" ht="15.75" customHeight="1" x14ac:dyDescent="0.2">
      <c r="D222" s="244"/>
    </row>
    <row r="223" spans="4:4" ht="15.75" customHeight="1" x14ac:dyDescent="0.2">
      <c r="D223" s="244"/>
    </row>
    <row r="224" spans="4:4" ht="15.75" customHeight="1" x14ac:dyDescent="0.2">
      <c r="D224" s="244"/>
    </row>
    <row r="225" spans="4:4" ht="15.75" customHeight="1" x14ac:dyDescent="0.2">
      <c r="D225" s="244"/>
    </row>
    <row r="226" spans="4:4" ht="15.75" customHeight="1" x14ac:dyDescent="0.2">
      <c r="D226" s="244"/>
    </row>
    <row r="227" spans="4:4" ht="15.75" customHeight="1" x14ac:dyDescent="0.2">
      <c r="D227" s="244"/>
    </row>
    <row r="228" spans="4:4" ht="15.75" customHeight="1" x14ac:dyDescent="0.2">
      <c r="D228" s="244"/>
    </row>
    <row r="229" spans="4:4" ht="15.75" customHeight="1" x14ac:dyDescent="0.2">
      <c r="D229" s="244"/>
    </row>
    <row r="230" spans="4:4" ht="15.75" customHeight="1" x14ac:dyDescent="0.2">
      <c r="D230" s="244"/>
    </row>
    <row r="231" spans="4:4" ht="15.75" customHeight="1" x14ac:dyDescent="0.2">
      <c r="D231" s="244"/>
    </row>
    <row r="232" spans="4:4" ht="15.75" customHeight="1" x14ac:dyDescent="0.2">
      <c r="D232" s="244"/>
    </row>
    <row r="233" spans="4:4" ht="15.75" customHeight="1" x14ac:dyDescent="0.2">
      <c r="D233" s="244"/>
    </row>
    <row r="234" spans="4:4" ht="15.75" customHeight="1" x14ac:dyDescent="0.2">
      <c r="D234" s="244"/>
    </row>
    <row r="235" spans="4:4" ht="15.75" customHeight="1" x14ac:dyDescent="0.2">
      <c r="D235" s="244"/>
    </row>
    <row r="236" spans="4:4" ht="15.75" customHeight="1" x14ac:dyDescent="0.2">
      <c r="D236" s="244"/>
    </row>
    <row r="237" spans="4:4" ht="15.75" customHeight="1" x14ac:dyDescent="0.2">
      <c r="D237" s="244"/>
    </row>
    <row r="238" spans="4:4" ht="15.75" customHeight="1" x14ac:dyDescent="0.2">
      <c r="D238" s="244"/>
    </row>
    <row r="239" spans="4:4" ht="15.75" customHeight="1" x14ac:dyDescent="0.2">
      <c r="D239" s="244"/>
    </row>
    <row r="240" spans="4:4" ht="15.75" customHeight="1" x14ac:dyDescent="0.2">
      <c r="D240" s="244"/>
    </row>
    <row r="241" spans="4:4" ht="15.75" customHeight="1" x14ac:dyDescent="0.2">
      <c r="D241" s="244"/>
    </row>
    <row r="242" spans="4:4" ht="15.75" customHeight="1" x14ac:dyDescent="0.2">
      <c r="D242" s="244"/>
    </row>
    <row r="243" spans="4:4" ht="15.75" customHeight="1" x14ac:dyDescent="0.2">
      <c r="D243" s="244"/>
    </row>
    <row r="244" spans="4:4" ht="15.75" customHeight="1" x14ac:dyDescent="0.2">
      <c r="D244" s="244"/>
    </row>
    <row r="245" spans="4:4" ht="15.75" customHeight="1" x14ac:dyDescent="0.2">
      <c r="D245" s="244"/>
    </row>
    <row r="246" spans="4:4" ht="15.75" customHeight="1" x14ac:dyDescent="0.2">
      <c r="D246" s="244"/>
    </row>
    <row r="247" spans="4:4" ht="15.75" customHeight="1" x14ac:dyDescent="0.2">
      <c r="D247" s="244"/>
    </row>
    <row r="248" spans="4:4" ht="15.75" customHeight="1" x14ac:dyDescent="0.2">
      <c r="D248" s="244"/>
    </row>
    <row r="249" spans="4:4" ht="15.75" customHeight="1" x14ac:dyDescent="0.2">
      <c r="D249" s="244"/>
    </row>
    <row r="250" spans="4:4" ht="15.75" customHeight="1" x14ac:dyDescent="0.2">
      <c r="D250" s="244"/>
    </row>
    <row r="251" spans="4:4" ht="15.75" customHeight="1" x14ac:dyDescent="0.2">
      <c r="D251" s="244"/>
    </row>
    <row r="252" spans="4:4" ht="15.75" customHeight="1" x14ac:dyDescent="0.2">
      <c r="D252" s="244"/>
    </row>
    <row r="253" spans="4:4" ht="15.75" customHeight="1" x14ac:dyDescent="0.2">
      <c r="D253" s="244"/>
    </row>
    <row r="254" spans="4:4" ht="15.75" customHeight="1" x14ac:dyDescent="0.2">
      <c r="D254" s="244"/>
    </row>
    <row r="255" spans="4:4" ht="15.75" customHeight="1" x14ac:dyDescent="0.2">
      <c r="D255" s="244"/>
    </row>
    <row r="256" spans="4:4" ht="15.75" customHeight="1" x14ac:dyDescent="0.2">
      <c r="D256" s="244"/>
    </row>
    <row r="257" spans="4:4" ht="15.75" customHeight="1" x14ac:dyDescent="0.2">
      <c r="D257" s="244"/>
    </row>
    <row r="258" spans="4:4" ht="15.75" customHeight="1" x14ac:dyDescent="0.2">
      <c r="D258" s="244"/>
    </row>
    <row r="259" spans="4:4" ht="15.75" customHeight="1" x14ac:dyDescent="0.2">
      <c r="D259" s="244"/>
    </row>
    <row r="260" spans="4:4" ht="15.75" customHeight="1" x14ac:dyDescent="0.2">
      <c r="D260" s="244"/>
    </row>
    <row r="261" spans="4:4" ht="15.75" customHeight="1" x14ac:dyDescent="0.2">
      <c r="D261" s="244"/>
    </row>
    <row r="262" spans="4:4" ht="15.75" customHeight="1" x14ac:dyDescent="0.2">
      <c r="D262" s="244"/>
    </row>
    <row r="263" spans="4:4" ht="15.75" customHeight="1" x14ac:dyDescent="0.2">
      <c r="D263" s="244"/>
    </row>
    <row r="264" spans="4:4" ht="15.75" customHeight="1" x14ac:dyDescent="0.2">
      <c r="D264" s="244"/>
    </row>
    <row r="265" spans="4:4" ht="15.75" customHeight="1" x14ac:dyDescent="0.2">
      <c r="D265" s="244"/>
    </row>
    <row r="266" spans="4:4" ht="15.75" customHeight="1" x14ac:dyDescent="0.2">
      <c r="D266" s="244"/>
    </row>
    <row r="267" spans="4:4" ht="15.75" customHeight="1" x14ac:dyDescent="0.2">
      <c r="D267" s="244"/>
    </row>
    <row r="268" spans="4:4" ht="15.75" customHeight="1" x14ac:dyDescent="0.2">
      <c r="D268" s="244"/>
    </row>
    <row r="269" spans="4:4" ht="15.75" customHeight="1" x14ac:dyDescent="0.2">
      <c r="D269" s="244"/>
    </row>
    <row r="270" spans="4:4" ht="15.75" customHeight="1" x14ac:dyDescent="0.2">
      <c r="D270" s="244"/>
    </row>
    <row r="271" spans="4:4" ht="15.75" customHeight="1" x14ac:dyDescent="0.2">
      <c r="D271" s="244"/>
    </row>
    <row r="272" spans="4:4" ht="15.75" customHeight="1" x14ac:dyDescent="0.2">
      <c r="D272" s="244"/>
    </row>
    <row r="273" spans="4:4" ht="15.75" customHeight="1" x14ac:dyDescent="0.2">
      <c r="D273" s="244"/>
    </row>
    <row r="274" spans="4:4" ht="15.75" customHeight="1" x14ac:dyDescent="0.2">
      <c r="D274" s="244"/>
    </row>
    <row r="275" spans="4:4" ht="15.75" customHeight="1" x14ac:dyDescent="0.2">
      <c r="D275" s="244"/>
    </row>
    <row r="276" spans="4:4" ht="15.75" customHeight="1" x14ac:dyDescent="0.2">
      <c r="D276" s="244"/>
    </row>
    <row r="277" spans="4:4" ht="15.75" customHeight="1" x14ac:dyDescent="0.2">
      <c r="D277" s="244"/>
    </row>
    <row r="278" spans="4:4" ht="15.75" customHeight="1" x14ac:dyDescent="0.2">
      <c r="D278" s="244"/>
    </row>
    <row r="279" spans="4:4" ht="15.75" customHeight="1" x14ac:dyDescent="0.2">
      <c r="D279" s="244"/>
    </row>
    <row r="280" spans="4:4" ht="15.75" customHeight="1" x14ac:dyDescent="0.2">
      <c r="D280" s="244"/>
    </row>
    <row r="281" spans="4:4" ht="15.75" customHeight="1" x14ac:dyDescent="0.2">
      <c r="D281" s="244"/>
    </row>
    <row r="282" spans="4:4" ht="15.75" customHeight="1" x14ac:dyDescent="0.2">
      <c r="D282" s="244"/>
    </row>
    <row r="283" spans="4:4" ht="15.75" customHeight="1" x14ac:dyDescent="0.2">
      <c r="D283" s="244"/>
    </row>
    <row r="284" spans="4:4" ht="15.75" customHeight="1" x14ac:dyDescent="0.2">
      <c r="D284" s="244"/>
    </row>
    <row r="285" spans="4:4" ht="15.75" customHeight="1" x14ac:dyDescent="0.2">
      <c r="D285" s="244"/>
    </row>
    <row r="286" spans="4:4" ht="15.75" customHeight="1" x14ac:dyDescent="0.2">
      <c r="D286" s="244"/>
    </row>
    <row r="287" spans="4:4" ht="15.75" customHeight="1" x14ac:dyDescent="0.2">
      <c r="D287" s="244"/>
    </row>
    <row r="288" spans="4:4" ht="15.75" customHeight="1" x14ac:dyDescent="0.2">
      <c r="D288" s="244"/>
    </row>
    <row r="289" spans="4:4" ht="15.75" customHeight="1" x14ac:dyDescent="0.2">
      <c r="D289" s="244"/>
    </row>
    <row r="290" spans="4:4" ht="15.75" customHeight="1" x14ac:dyDescent="0.2">
      <c r="D290" s="244"/>
    </row>
    <row r="291" spans="4:4" ht="15.75" customHeight="1" x14ac:dyDescent="0.2">
      <c r="D291" s="244"/>
    </row>
    <row r="292" spans="4:4" ht="15.75" customHeight="1" x14ac:dyDescent="0.2">
      <c r="D292" s="244"/>
    </row>
    <row r="293" spans="4:4" ht="15.75" customHeight="1" x14ac:dyDescent="0.2">
      <c r="D293" s="244"/>
    </row>
    <row r="294" spans="4:4" ht="15.75" customHeight="1" x14ac:dyDescent="0.2">
      <c r="D294" s="244"/>
    </row>
    <row r="295" spans="4:4" ht="15.75" customHeight="1" x14ac:dyDescent="0.2">
      <c r="D295" s="244"/>
    </row>
    <row r="296" spans="4:4" ht="15.75" customHeight="1" x14ac:dyDescent="0.2">
      <c r="D296" s="244"/>
    </row>
    <row r="297" spans="4:4" ht="15.75" customHeight="1" x14ac:dyDescent="0.2">
      <c r="D297" s="244"/>
    </row>
    <row r="298" spans="4:4" ht="15.75" customHeight="1" x14ac:dyDescent="0.2">
      <c r="D298" s="244"/>
    </row>
    <row r="299" spans="4:4" ht="15.75" customHeight="1" x14ac:dyDescent="0.2">
      <c r="D299" s="244"/>
    </row>
    <row r="300" spans="4:4" ht="15.75" customHeight="1" x14ac:dyDescent="0.2">
      <c r="D300" s="244"/>
    </row>
    <row r="301" spans="4:4" ht="15.75" customHeight="1" x14ac:dyDescent="0.2">
      <c r="D301" s="244"/>
    </row>
    <row r="302" spans="4:4" ht="15.75" customHeight="1" x14ac:dyDescent="0.2">
      <c r="D302" s="244"/>
    </row>
    <row r="303" spans="4:4" ht="15.75" customHeight="1" x14ac:dyDescent="0.2">
      <c r="D303" s="244"/>
    </row>
    <row r="304" spans="4:4" ht="15.75" customHeight="1" x14ac:dyDescent="0.2">
      <c r="D304" s="244"/>
    </row>
    <row r="305" spans="4:4" ht="15.75" customHeight="1" x14ac:dyDescent="0.2">
      <c r="D305" s="244"/>
    </row>
    <row r="306" spans="4:4" ht="15.75" customHeight="1" x14ac:dyDescent="0.2">
      <c r="D306" s="244"/>
    </row>
    <row r="307" spans="4:4" ht="15.75" customHeight="1" x14ac:dyDescent="0.2">
      <c r="D307" s="244"/>
    </row>
    <row r="308" spans="4:4" ht="15.75" customHeight="1" x14ac:dyDescent="0.2">
      <c r="D308" s="244"/>
    </row>
    <row r="309" spans="4:4" ht="15.75" customHeight="1" x14ac:dyDescent="0.2">
      <c r="D309" s="244"/>
    </row>
    <row r="310" spans="4:4" ht="15.75" customHeight="1" x14ac:dyDescent="0.2">
      <c r="D310" s="244"/>
    </row>
    <row r="311" spans="4:4" ht="15.75" customHeight="1" x14ac:dyDescent="0.2">
      <c r="D311" s="244"/>
    </row>
    <row r="312" spans="4:4" ht="15.75" customHeight="1" x14ac:dyDescent="0.2">
      <c r="D312" s="244"/>
    </row>
    <row r="313" spans="4:4" ht="15.75" customHeight="1" x14ac:dyDescent="0.2">
      <c r="D313" s="244"/>
    </row>
    <row r="314" spans="4:4" ht="15.75" customHeight="1" x14ac:dyDescent="0.2">
      <c r="D314" s="244"/>
    </row>
    <row r="315" spans="4:4" ht="15.75" customHeight="1" x14ac:dyDescent="0.2">
      <c r="D315" s="244"/>
    </row>
    <row r="316" spans="4:4" ht="15.75" customHeight="1" x14ac:dyDescent="0.2">
      <c r="D316" s="244"/>
    </row>
    <row r="317" spans="4:4" ht="15.75" customHeight="1" x14ac:dyDescent="0.2">
      <c r="D317" s="244"/>
    </row>
    <row r="318" spans="4:4" ht="15.75" customHeight="1" x14ac:dyDescent="0.2">
      <c r="D318" s="244"/>
    </row>
    <row r="319" spans="4:4" ht="15.75" customHeight="1" x14ac:dyDescent="0.2">
      <c r="D319" s="244"/>
    </row>
    <row r="320" spans="4:4" ht="15.75" customHeight="1" x14ac:dyDescent="0.2">
      <c r="D320" s="244"/>
    </row>
    <row r="321" spans="4:4" ht="15.75" customHeight="1" x14ac:dyDescent="0.2">
      <c r="D321" s="244"/>
    </row>
    <row r="322" spans="4:4" ht="15.75" customHeight="1" x14ac:dyDescent="0.2">
      <c r="D322" s="244"/>
    </row>
    <row r="323" spans="4:4" ht="15.75" customHeight="1" x14ac:dyDescent="0.2">
      <c r="D323" s="244"/>
    </row>
    <row r="324" spans="4:4" ht="15.75" customHeight="1" x14ac:dyDescent="0.2">
      <c r="D324" s="244"/>
    </row>
    <row r="325" spans="4:4" ht="15.75" customHeight="1" x14ac:dyDescent="0.2">
      <c r="D325" s="244"/>
    </row>
    <row r="326" spans="4:4" ht="15.75" customHeight="1" x14ac:dyDescent="0.2">
      <c r="D326" s="244"/>
    </row>
    <row r="327" spans="4:4" ht="15.75" customHeight="1" x14ac:dyDescent="0.2">
      <c r="D327" s="244"/>
    </row>
    <row r="328" spans="4:4" ht="15.75" customHeight="1" x14ac:dyDescent="0.2">
      <c r="D328" s="244"/>
    </row>
    <row r="329" spans="4:4" ht="15.75" customHeight="1" x14ac:dyDescent="0.2">
      <c r="D329" s="244"/>
    </row>
    <row r="330" spans="4:4" ht="15.75" customHeight="1" x14ac:dyDescent="0.2">
      <c r="D330" s="244"/>
    </row>
    <row r="331" spans="4:4" ht="15.75" customHeight="1" x14ac:dyDescent="0.2">
      <c r="D331" s="244"/>
    </row>
    <row r="332" spans="4:4" ht="15.75" customHeight="1" x14ac:dyDescent="0.2">
      <c r="D332" s="244"/>
    </row>
    <row r="333" spans="4:4" ht="15.75" customHeight="1" x14ac:dyDescent="0.2">
      <c r="D333" s="244"/>
    </row>
    <row r="334" spans="4:4" ht="15.75" customHeight="1" x14ac:dyDescent="0.2">
      <c r="D334" s="244"/>
    </row>
    <row r="335" spans="4:4" ht="15.75" customHeight="1" x14ac:dyDescent="0.2">
      <c r="D335" s="244"/>
    </row>
    <row r="336" spans="4:4" ht="15.75" customHeight="1" x14ac:dyDescent="0.2">
      <c r="D336" s="244"/>
    </row>
    <row r="337" spans="4:4" ht="15.75" customHeight="1" x14ac:dyDescent="0.2">
      <c r="D337" s="244"/>
    </row>
    <row r="338" spans="4:4" ht="15.75" customHeight="1" x14ac:dyDescent="0.2">
      <c r="D338" s="244"/>
    </row>
    <row r="339" spans="4:4" ht="15.75" customHeight="1" x14ac:dyDescent="0.2">
      <c r="D339" s="244"/>
    </row>
    <row r="340" spans="4:4" ht="15.75" customHeight="1" x14ac:dyDescent="0.2">
      <c r="D340" s="244"/>
    </row>
    <row r="341" spans="4:4" ht="15.75" customHeight="1" x14ac:dyDescent="0.2">
      <c r="D341" s="244"/>
    </row>
    <row r="342" spans="4:4" ht="15.75" customHeight="1" x14ac:dyDescent="0.2">
      <c r="D342" s="244"/>
    </row>
    <row r="343" spans="4:4" ht="15.75" customHeight="1" x14ac:dyDescent="0.2">
      <c r="D343" s="244"/>
    </row>
    <row r="344" spans="4:4" ht="15.75" customHeight="1" x14ac:dyDescent="0.2">
      <c r="D344" s="244"/>
    </row>
    <row r="345" spans="4:4" ht="15.75" customHeight="1" x14ac:dyDescent="0.2">
      <c r="D345" s="244"/>
    </row>
    <row r="346" spans="4:4" ht="15.75" customHeight="1" x14ac:dyDescent="0.2">
      <c r="D346" s="244"/>
    </row>
    <row r="347" spans="4:4" ht="15.75" customHeight="1" x14ac:dyDescent="0.2">
      <c r="D347" s="244"/>
    </row>
    <row r="348" spans="4:4" ht="15.75" customHeight="1" x14ac:dyDescent="0.2">
      <c r="D348" s="244"/>
    </row>
    <row r="349" spans="4:4" ht="15.75" customHeight="1" x14ac:dyDescent="0.2">
      <c r="D349" s="244"/>
    </row>
    <row r="350" spans="4:4" ht="15.75" customHeight="1" x14ac:dyDescent="0.2">
      <c r="D350" s="244"/>
    </row>
    <row r="351" spans="4:4" ht="15.75" customHeight="1" x14ac:dyDescent="0.2">
      <c r="D351" s="244"/>
    </row>
    <row r="352" spans="4:4" ht="15.75" customHeight="1" x14ac:dyDescent="0.2">
      <c r="D352" s="244"/>
    </row>
    <row r="353" spans="4:4" ht="15.75" customHeight="1" x14ac:dyDescent="0.2">
      <c r="D353" s="244"/>
    </row>
    <row r="354" spans="4:4" ht="15.75" customHeight="1" x14ac:dyDescent="0.2">
      <c r="D354" s="244"/>
    </row>
    <row r="355" spans="4:4" ht="15.75" customHeight="1" x14ac:dyDescent="0.2">
      <c r="D355" s="244"/>
    </row>
    <row r="356" spans="4:4" ht="15.75" customHeight="1" x14ac:dyDescent="0.2">
      <c r="D356" s="244"/>
    </row>
    <row r="357" spans="4:4" ht="15.75" customHeight="1" x14ac:dyDescent="0.2">
      <c r="D357" s="244"/>
    </row>
    <row r="358" spans="4:4" ht="15.75" customHeight="1" x14ac:dyDescent="0.2">
      <c r="D358" s="244"/>
    </row>
    <row r="359" spans="4:4" ht="15.75" customHeight="1" x14ac:dyDescent="0.2">
      <c r="D359" s="244"/>
    </row>
    <row r="360" spans="4:4" ht="15.75" customHeight="1" x14ac:dyDescent="0.2">
      <c r="D360" s="244"/>
    </row>
    <row r="361" spans="4:4" ht="15.75" customHeight="1" x14ac:dyDescent="0.2">
      <c r="D361" s="244"/>
    </row>
    <row r="362" spans="4:4" ht="15.75" customHeight="1" x14ac:dyDescent="0.2">
      <c r="D362" s="244"/>
    </row>
    <row r="363" spans="4:4" ht="15.75" customHeight="1" x14ac:dyDescent="0.2">
      <c r="D363" s="244"/>
    </row>
    <row r="364" spans="4:4" ht="15.75" customHeight="1" x14ac:dyDescent="0.2">
      <c r="D364" s="244"/>
    </row>
    <row r="365" spans="4:4" ht="15.75" customHeight="1" x14ac:dyDescent="0.2">
      <c r="D365" s="244"/>
    </row>
    <row r="366" spans="4:4" ht="15.75" customHeight="1" x14ac:dyDescent="0.2">
      <c r="D366" s="244"/>
    </row>
    <row r="367" spans="4:4" ht="15.75" customHeight="1" x14ac:dyDescent="0.2">
      <c r="D367" s="244"/>
    </row>
    <row r="368" spans="4:4" ht="15.75" customHeight="1" x14ac:dyDescent="0.2">
      <c r="D368" s="244"/>
    </row>
    <row r="369" spans="4:4" ht="15.75" customHeight="1" x14ac:dyDescent="0.2">
      <c r="D369" s="244"/>
    </row>
    <row r="370" spans="4:4" ht="15.75" customHeight="1" x14ac:dyDescent="0.2">
      <c r="D370" s="244"/>
    </row>
    <row r="371" spans="4:4" ht="15.75" customHeight="1" x14ac:dyDescent="0.2">
      <c r="D371" s="244"/>
    </row>
    <row r="372" spans="4:4" ht="15.75" customHeight="1" x14ac:dyDescent="0.2">
      <c r="D372" s="244"/>
    </row>
    <row r="373" spans="4:4" ht="15.75" customHeight="1" x14ac:dyDescent="0.2">
      <c r="D373" s="244"/>
    </row>
    <row r="374" spans="4:4" ht="15.75" customHeight="1" x14ac:dyDescent="0.2">
      <c r="D374" s="244"/>
    </row>
    <row r="375" spans="4:4" ht="15.75" customHeight="1" x14ac:dyDescent="0.2">
      <c r="D375" s="244"/>
    </row>
    <row r="376" spans="4:4" ht="15.75" customHeight="1" x14ac:dyDescent="0.2">
      <c r="D376" s="244"/>
    </row>
    <row r="377" spans="4:4" ht="15.75" customHeight="1" x14ac:dyDescent="0.2">
      <c r="D377" s="244"/>
    </row>
    <row r="378" spans="4:4" ht="15.75" customHeight="1" x14ac:dyDescent="0.2">
      <c r="D378" s="244"/>
    </row>
    <row r="379" spans="4:4" ht="15.75" customHeight="1" x14ac:dyDescent="0.2">
      <c r="D379" s="244"/>
    </row>
    <row r="380" spans="4:4" ht="15.75" customHeight="1" x14ac:dyDescent="0.2">
      <c r="D380" s="244"/>
    </row>
    <row r="381" spans="4:4" ht="15.75" customHeight="1" x14ac:dyDescent="0.2">
      <c r="D381" s="244"/>
    </row>
    <row r="382" spans="4:4" ht="15.75" customHeight="1" x14ac:dyDescent="0.2">
      <c r="D382" s="244"/>
    </row>
    <row r="383" spans="4:4" ht="15.75" customHeight="1" x14ac:dyDescent="0.2">
      <c r="D383" s="244"/>
    </row>
    <row r="384" spans="4:4" ht="15.75" customHeight="1" x14ac:dyDescent="0.2">
      <c r="D384" s="244"/>
    </row>
    <row r="385" spans="4:4" ht="15.75" customHeight="1" x14ac:dyDescent="0.2">
      <c r="D385" s="244"/>
    </row>
    <row r="386" spans="4:4" ht="15.75" customHeight="1" x14ac:dyDescent="0.2">
      <c r="D386" s="244"/>
    </row>
    <row r="387" spans="4:4" ht="15.75" customHeight="1" x14ac:dyDescent="0.2">
      <c r="D387" s="244"/>
    </row>
    <row r="388" spans="4:4" ht="15.75" customHeight="1" x14ac:dyDescent="0.2">
      <c r="D388" s="244"/>
    </row>
    <row r="389" spans="4:4" ht="15.75" customHeight="1" x14ac:dyDescent="0.2">
      <c r="D389" s="244"/>
    </row>
    <row r="390" spans="4:4" ht="15.75" customHeight="1" x14ac:dyDescent="0.2">
      <c r="D390" s="244"/>
    </row>
    <row r="391" spans="4:4" ht="15.75" customHeight="1" x14ac:dyDescent="0.2">
      <c r="D391" s="244"/>
    </row>
    <row r="392" spans="4:4" ht="15.75" customHeight="1" x14ac:dyDescent="0.2">
      <c r="D392" s="244"/>
    </row>
    <row r="393" spans="4:4" ht="15.75" customHeight="1" x14ac:dyDescent="0.2">
      <c r="D393" s="244"/>
    </row>
    <row r="394" spans="4:4" ht="15.75" customHeight="1" x14ac:dyDescent="0.2">
      <c r="D394" s="244"/>
    </row>
    <row r="395" spans="4:4" ht="15.75" customHeight="1" x14ac:dyDescent="0.2">
      <c r="D395" s="244"/>
    </row>
    <row r="396" spans="4:4" ht="15.75" customHeight="1" x14ac:dyDescent="0.2">
      <c r="D396" s="244"/>
    </row>
    <row r="397" spans="4:4" ht="15.75" customHeight="1" x14ac:dyDescent="0.2">
      <c r="D397" s="244"/>
    </row>
    <row r="398" spans="4:4" ht="15.75" customHeight="1" x14ac:dyDescent="0.2">
      <c r="D398" s="244"/>
    </row>
    <row r="399" spans="4:4" ht="15.75" customHeight="1" x14ac:dyDescent="0.2">
      <c r="D399" s="244"/>
    </row>
    <row r="400" spans="4:4" ht="15.75" customHeight="1" x14ac:dyDescent="0.2">
      <c r="D400" s="244"/>
    </row>
    <row r="401" spans="4:4" ht="15.75" customHeight="1" x14ac:dyDescent="0.2">
      <c r="D401" s="244"/>
    </row>
    <row r="402" spans="4:4" ht="15.75" customHeight="1" x14ac:dyDescent="0.2">
      <c r="D402" s="244"/>
    </row>
    <row r="403" spans="4:4" ht="15.75" customHeight="1" x14ac:dyDescent="0.2">
      <c r="D403" s="244"/>
    </row>
    <row r="404" spans="4:4" ht="15.75" customHeight="1" x14ac:dyDescent="0.2">
      <c r="D404" s="244"/>
    </row>
    <row r="405" spans="4:4" ht="15.75" customHeight="1" x14ac:dyDescent="0.2">
      <c r="D405" s="244"/>
    </row>
    <row r="406" spans="4:4" ht="15.75" customHeight="1" x14ac:dyDescent="0.2">
      <c r="D406" s="244"/>
    </row>
    <row r="407" spans="4:4" ht="15.75" customHeight="1" x14ac:dyDescent="0.2">
      <c r="D407" s="244"/>
    </row>
    <row r="408" spans="4:4" ht="15.75" customHeight="1" x14ac:dyDescent="0.2">
      <c r="D408" s="244"/>
    </row>
    <row r="409" spans="4:4" ht="15.75" customHeight="1" x14ac:dyDescent="0.2">
      <c r="D409" s="244"/>
    </row>
    <row r="410" spans="4:4" ht="15.75" customHeight="1" x14ac:dyDescent="0.2">
      <c r="D410" s="244"/>
    </row>
    <row r="411" spans="4:4" ht="15.75" customHeight="1" x14ac:dyDescent="0.2">
      <c r="D411" s="244"/>
    </row>
    <row r="412" spans="4:4" ht="15.75" customHeight="1" x14ac:dyDescent="0.2">
      <c r="D412" s="244"/>
    </row>
    <row r="413" spans="4:4" ht="15.75" customHeight="1" x14ac:dyDescent="0.2">
      <c r="D413" s="244"/>
    </row>
    <row r="414" spans="4:4" ht="15.75" customHeight="1" x14ac:dyDescent="0.2">
      <c r="D414" s="244"/>
    </row>
    <row r="415" spans="4:4" ht="15.75" customHeight="1" x14ac:dyDescent="0.2">
      <c r="D415" s="244"/>
    </row>
    <row r="416" spans="4:4" ht="15.75" customHeight="1" x14ac:dyDescent="0.2">
      <c r="D416" s="244"/>
    </row>
    <row r="417" spans="4:4" ht="15.75" customHeight="1" x14ac:dyDescent="0.2">
      <c r="D417" s="244"/>
    </row>
    <row r="418" spans="4:4" ht="15.75" customHeight="1" x14ac:dyDescent="0.2">
      <c r="D418" s="244"/>
    </row>
    <row r="419" spans="4:4" ht="15.75" customHeight="1" x14ac:dyDescent="0.2">
      <c r="D419" s="244"/>
    </row>
    <row r="420" spans="4:4" ht="15.75" customHeight="1" x14ac:dyDescent="0.2">
      <c r="D420" s="244"/>
    </row>
    <row r="421" spans="4:4" ht="15.75" customHeight="1" x14ac:dyDescent="0.2">
      <c r="D421" s="244"/>
    </row>
    <row r="422" spans="4:4" ht="15.75" customHeight="1" x14ac:dyDescent="0.2">
      <c r="D422" s="244"/>
    </row>
    <row r="423" spans="4:4" ht="15.75" customHeight="1" x14ac:dyDescent="0.2">
      <c r="D423" s="244"/>
    </row>
    <row r="424" spans="4:4" ht="15.75" customHeight="1" x14ac:dyDescent="0.2">
      <c r="D424" s="244"/>
    </row>
    <row r="425" spans="4:4" ht="15.75" customHeight="1" x14ac:dyDescent="0.2">
      <c r="D425" s="244"/>
    </row>
    <row r="426" spans="4:4" ht="15.75" customHeight="1" x14ac:dyDescent="0.2">
      <c r="D426" s="244"/>
    </row>
    <row r="427" spans="4:4" ht="15.75" customHeight="1" x14ac:dyDescent="0.2">
      <c r="D427" s="244"/>
    </row>
    <row r="428" spans="4:4" ht="15.75" customHeight="1" x14ac:dyDescent="0.2">
      <c r="D428" s="244"/>
    </row>
    <row r="429" spans="4:4" ht="15.75" customHeight="1" x14ac:dyDescent="0.2">
      <c r="D429" s="244"/>
    </row>
    <row r="430" spans="4:4" ht="15.75" customHeight="1" x14ac:dyDescent="0.2">
      <c r="D430" s="244"/>
    </row>
    <row r="431" spans="4:4" ht="15.75" customHeight="1" x14ac:dyDescent="0.2">
      <c r="D431" s="244"/>
    </row>
    <row r="432" spans="4:4" ht="15.75" customHeight="1" x14ac:dyDescent="0.2">
      <c r="D432" s="244"/>
    </row>
    <row r="433" spans="4:4" ht="15.75" customHeight="1" x14ac:dyDescent="0.2">
      <c r="D433" s="244"/>
    </row>
    <row r="434" spans="4:4" ht="15.75" customHeight="1" x14ac:dyDescent="0.2">
      <c r="D434" s="244"/>
    </row>
    <row r="435" spans="4:4" ht="15.75" customHeight="1" x14ac:dyDescent="0.2">
      <c r="D435" s="244"/>
    </row>
    <row r="436" spans="4:4" ht="15.75" customHeight="1" x14ac:dyDescent="0.2">
      <c r="D436" s="244"/>
    </row>
    <row r="437" spans="4:4" ht="15.75" customHeight="1" x14ac:dyDescent="0.2">
      <c r="D437" s="244"/>
    </row>
    <row r="438" spans="4:4" ht="15.75" customHeight="1" x14ac:dyDescent="0.2">
      <c r="D438" s="244"/>
    </row>
    <row r="439" spans="4:4" ht="15.75" customHeight="1" x14ac:dyDescent="0.2">
      <c r="D439" s="244"/>
    </row>
    <row r="440" spans="4:4" ht="15.75" customHeight="1" x14ac:dyDescent="0.2">
      <c r="D440" s="244"/>
    </row>
    <row r="441" spans="4:4" ht="15.75" customHeight="1" x14ac:dyDescent="0.2">
      <c r="D441" s="244"/>
    </row>
    <row r="442" spans="4:4" ht="15.75" customHeight="1" x14ac:dyDescent="0.2">
      <c r="D442" s="244"/>
    </row>
    <row r="443" spans="4:4" ht="15.75" customHeight="1" x14ac:dyDescent="0.2">
      <c r="D443" s="244"/>
    </row>
    <row r="444" spans="4:4" ht="15.75" customHeight="1" x14ac:dyDescent="0.2">
      <c r="D444" s="244"/>
    </row>
    <row r="445" spans="4:4" ht="15.75" customHeight="1" x14ac:dyDescent="0.2">
      <c r="D445" s="244"/>
    </row>
    <row r="446" spans="4:4" ht="15.75" customHeight="1" x14ac:dyDescent="0.2">
      <c r="D446" s="244"/>
    </row>
    <row r="447" spans="4:4" ht="15.75" customHeight="1" x14ac:dyDescent="0.2">
      <c r="D447" s="244"/>
    </row>
    <row r="448" spans="4:4" ht="15.75" customHeight="1" x14ac:dyDescent="0.2">
      <c r="D448" s="244"/>
    </row>
    <row r="449" spans="4:4" ht="15.75" customHeight="1" x14ac:dyDescent="0.2">
      <c r="D449" s="244"/>
    </row>
    <row r="450" spans="4:4" ht="15.75" customHeight="1" x14ac:dyDescent="0.2">
      <c r="D450" s="244"/>
    </row>
    <row r="451" spans="4:4" ht="15.75" customHeight="1" x14ac:dyDescent="0.2">
      <c r="D451" s="244"/>
    </row>
    <row r="452" spans="4:4" ht="15.75" customHeight="1" x14ac:dyDescent="0.2">
      <c r="D452" s="244"/>
    </row>
    <row r="453" spans="4:4" ht="15.75" customHeight="1" x14ac:dyDescent="0.2">
      <c r="D453" s="244"/>
    </row>
    <row r="454" spans="4:4" ht="15.75" customHeight="1" x14ac:dyDescent="0.2">
      <c r="D454" s="244"/>
    </row>
    <row r="455" spans="4:4" ht="15.75" customHeight="1" x14ac:dyDescent="0.2">
      <c r="D455" s="244"/>
    </row>
    <row r="456" spans="4:4" ht="15.75" customHeight="1" x14ac:dyDescent="0.2">
      <c r="D456" s="244"/>
    </row>
    <row r="457" spans="4:4" ht="15.75" customHeight="1" x14ac:dyDescent="0.2">
      <c r="D457" s="244"/>
    </row>
    <row r="458" spans="4:4" ht="15.75" customHeight="1" x14ac:dyDescent="0.2">
      <c r="D458" s="244"/>
    </row>
    <row r="459" spans="4:4" ht="15.75" customHeight="1" x14ac:dyDescent="0.2">
      <c r="D459" s="244"/>
    </row>
    <row r="460" spans="4:4" ht="15.75" customHeight="1" x14ac:dyDescent="0.2">
      <c r="D460" s="244"/>
    </row>
    <row r="461" spans="4:4" ht="15.75" customHeight="1" x14ac:dyDescent="0.2">
      <c r="D461" s="244"/>
    </row>
    <row r="462" spans="4:4" ht="15.75" customHeight="1" x14ac:dyDescent="0.2">
      <c r="D462" s="244"/>
    </row>
    <row r="463" spans="4:4" ht="15.75" customHeight="1" x14ac:dyDescent="0.2">
      <c r="D463" s="244"/>
    </row>
    <row r="464" spans="4:4" ht="15.75" customHeight="1" x14ac:dyDescent="0.2">
      <c r="D464" s="244"/>
    </row>
    <row r="465" spans="4:4" ht="15.75" customHeight="1" x14ac:dyDescent="0.2">
      <c r="D465" s="244"/>
    </row>
    <row r="466" spans="4:4" ht="15.75" customHeight="1" x14ac:dyDescent="0.2">
      <c r="D466" s="244"/>
    </row>
    <row r="467" spans="4:4" ht="15.75" customHeight="1" x14ac:dyDescent="0.2">
      <c r="D467" s="244"/>
    </row>
    <row r="468" spans="4:4" ht="15.75" customHeight="1" x14ac:dyDescent="0.2">
      <c r="D468" s="244"/>
    </row>
    <row r="469" spans="4:4" ht="15.75" customHeight="1" x14ac:dyDescent="0.2">
      <c r="D469" s="244"/>
    </row>
    <row r="470" spans="4:4" ht="15.75" customHeight="1" x14ac:dyDescent="0.2">
      <c r="D470" s="244"/>
    </row>
    <row r="471" spans="4:4" ht="15.75" customHeight="1" x14ac:dyDescent="0.2">
      <c r="D471" s="244"/>
    </row>
    <row r="472" spans="4:4" ht="15.75" customHeight="1" x14ac:dyDescent="0.2">
      <c r="D472" s="244"/>
    </row>
    <row r="473" spans="4:4" ht="15.75" customHeight="1" x14ac:dyDescent="0.2">
      <c r="D473" s="244"/>
    </row>
    <row r="474" spans="4:4" ht="15.75" customHeight="1" x14ac:dyDescent="0.2">
      <c r="D474" s="244"/>
    </row>
    <row r="475" spans="4:4" ht="15.75" customHeight="1" x14ac:dyDescent="0.2">
      <c r="D475" s="244"/>
    </row>
    <row r="476" spans="4:4" ht="15.75" customHeight="1" x14ac:dyDescent="0.2">
      <c r="D476" s="244"/>
    </row>
    <row r="477" spans="4:4" ht="15.75" customHeight="1" x14ac:dyDescent="0.2">
      <c r="D477" s="244"/>
    </row>
    <row r="478" spans="4:4" ht="15.75" customHeight="1" x14ac:dyDescent="0.2">
      <c r="D478" s="244"/>
    </row>
    <row r="479" spans="4:4" ht="15.75" customHeight="1" x14ac:dyDescent="0.2">
      <c r="D479" s="244"/>
    </row>
    <row r="480" spans="4:4" ht="15.75" customHeight="1" x14ac:dyDescent="0.2">
      <c r="D480" s="244"/>
    </row>
    <row r="481" spans="4:4" ht="15.75" customHeight="1" x14ac:dyDescent="0.2">
      <c r="D481" s="244"/>
    </row>
    <row r="482" spans="4:4" ht="15.75" customHeight="1" x14ac:dyDescent="0.2">
      <c r="D482" s="244"/>
    </row>
    <row r="483" spans="4:4" ht="15.75" customHeight="1" x14ac:dyDescent="0.2">
      <c r="D483" s="244"/>
    </row>
    <row r="484" spans="4:4" ht="15.75" customHeight="1" x14ac:dyDescent="0.2">
      <c r="D484" s="244"/>
    </row>
    <row r="485" spans="4:4" ht="15.75" customHeight="1" x14ac:dyDescent="0.2">
      <c r="D485" s="244"/>
    </row>
    <row r="486" spans="4:4" ht="15.75" customHeight="1" x14ac:dyDescent="0.2">
      <c r="D486" s="244"/>
    </row>
    <row r="487" spans="4:4" ht="15.75" customHeight="1" x14ac:dyDescent="0.2">
      <c r="D487" s="244"/>
    </row>
    <row r="488" spans="4:4" ht="15.75" customHeight="1" x14ac:dyDescent="0.2">
      <c r="D488" s="244"/>
    </row>
    <row r="489" spans="4:4" ht="15.75" customHeight="1" x14ac:dyDescent="0.2">
      <c r="D489" s="244"/>
    </row>
    <row r="490" spans="4:4" ht="15.75" customHeight="1" x14ac:dyDescent="0.2">
      <c r="D490" s="244"/>
    </row>
    <row r="491" spans="4:4" ht="15.75" customHeight="1" x14ac:dyDescent="0.2">
      <c r="D491" s="244"/>
    </row>
    <row r="492" spans="4:4" ht="15.75" customHeight="1" x14ac:dyDescent="0.2">
      <c r="D492" s="244"/>
    </row>
    <row r="493" spans="4:4" ht="15.75" customHeight="1" x14ac:dyDescent="0.2">
      <c r="D493" s="244"/>
    </row>
    <row r="494" spans="4:4" ht="15.75" customHeight="1" x14ac:dyDescent="0.2">
      <c r="D494" s="244"/>
    </row>
    <row r="495" spans="4:4" ht="15.75" customHeight="1" x14ac:dyDescent="0.2">
      <c r="D495" s="244"/>
    </row>
    <row r="496" spans="4:4" ht="15.75" customHeight="1" x14ac:dyDescent="0.2">
      <c r="D496" s="244"/>
    </row>
    <row r="497" spans="4:4" ht="15.75" customHeight="1" x14ac:dyDescent="0.2">
      <c r="D497" s="244"/>
    </row>
    <row r="498" spans="4:4" ht="15.75" customHeight="1" x14ac:dyDescent="0.2">
      <c r="D498" s="244"/>
    </row>
    <row r="499" spans="4:4" ht="15.75" customHeight="1" x14ac:dyDescent="0.2">
      <c r="D499" s="244"/>
    </row>
    <row r="500" spans="4:4" ht="15.75" customHeight="1" x14ac:dyDescent="0.2">
      <c r="D500" s="244"/>
    </row>
    <row r="501" spans="4:4" ht="15.75" customHeight="1" x14ac:dyDescent="0.2">
      <c r="D501" s="244"/>
    </row>
    <row r="502" spans="4:4" ht="15.75" customHeight="1" x14ac:dyDescent="0.2">
      <c r="D502" s="244"/>
    </row>
    <row r="503" spans="4:4" ht="15.75" customHeight="1" x14ac:dyDescent="0.2">
      <c r="D503" s="244"/>
    </row>
    <row r="504" spans="4:4" ht="15.75" customHeight="1" x14ac:dyDescent="0.2">
      <c r="D504" s="244"/>
    </row>
    <row r="505" spans="4:4" ht="15.75" customHeight="1" x14ac:dyDescent="0.2">
      <c r="D505" s="244"/>
    </row>
    <row r="506" spans="4:4" ht="15.75" customHeight="1" x14ac:dyDescent="0.2">
      <c r="D506" s="244"/>
    </row>
    <row r="507" spans="4:4" ht="15.75" customHeight="1" x14ac:dyDescent="0.2">
      <c r="D507" s="244"/>
    </row>
    <row r="508" spans="4:4" ht="15.75" customHeight="1" x14ac:dyDescent="0.2">
      <c r="D508" s="244"/>
    </row>
    <row r="509" spans="4:4" ht="15.75" customHeight="1" x14ac:dyDescent="0.2">
      <c r="D509" s="244"/>
    </row>
    <row r="510" spans="4:4" ht="15.75" customHeight="1" x14ac:dyDescent="0.2">
      <c r="D510" s="244"/>
    </row>
    <row r="511" spans="4:4" ht="15.75" customHeight="1" x14ac:dyDescent="0.2">
      <c r="D511" s="244"/>
    </row>
    <row r="512" spans="4:4" ht="15.75" customHeight="1" x14ac:dyDescent="0.2">
      <c r="D512" s="244"/>
    </row>
    <row r="513" spans="4:4" ht="15.75" customHeight="1" x14ac:dyDescent="0.2">
      <c r="D513" s="244"/>
    </row>
    <row r="514" spans="4:4" ht="15.75" customHeight="1" x14ac:dyDescent="0.2">
      <c r="D514" s="244"/>
    </row>
    <row r="515" spans="4:4" ht="15.75" customHeight="1" x14ac:dyDescent="0.2">
      <c r="D515" s="244"/>
    </row>
    <row r="516" spans="4:4" ht="15.75" customHeight="1" x14ac:dyDescent="0.2">
      <c r="D516" s="244"/>
    </row>
    <row r="517" spans="4:4" ht="15.75" customHeight="1" x14ac:dyDescent="0.2">
      <c r="D517" s="244"/>
    </row>
    <row r="518" spans="4:4" ht="15.75" customHeight="1" x14ac:dyDescent="0.2">
      <c r="D518" s="244"/>
    </row>
    <row r="519" spans="4:4" ht="15.75" customHeight="1" x14ac:dyDescent="0.2">
      <c r="D519" s="244"/>
    </row>
    <row r="520" spans="4:4" ht="15.75" customHeight="1" x14ac:dyDescent="0.2">
      <c r="D520" s="244"/>
    </row>
    <row r="521" spans="4:4" ht="15.75" customHeight="1" x14ac:dyDescent="0.2">
      <c r="D521" s="244"/>
    </row>
    <row r="522" spans="4:4" ht="15.75" customHeight="1" x14ac:dyDescent="0.2">
      <c r="D522" s="244"/>
    </row>
    <row r="523" spans="4:4" ht="15.75" customHeight="1" x14ac:dyDescent="0.2">
      <c r="D523" s="244"/>
    </row>
    <row r="524" spans="4:4" ht="15.75" customHeight="1" x14ac:dyDescent="0.2">
      <c r="D524" s="244"/>
    </row>
    <row r="525" spans="4:4" ht="15.75" customHeight="1" x14ac:dyDescent="0.2">
      <c r="D525" s="244"/>
    </row>
    <row r="526" spans="4:4" ht="15.75" customHeight="1" x14ac:dyDescent="0.2">
      <c r="D526" s="244"/>
    </row>
    <row r="527" spans="4:4" ht="15.75" customHeight="1" x14ac:dyDescent="0.2">
      <c r="D527" s="244"/>
    </row>
    <row r="528" spans="4:4" ht="15.75" customHeight="1" x14ac:dyDescent="0.2">
      <c r="D528" s="244"/>
    </row>
    <row r="529" spans="4:4" ht="15.75" customHeight="1" x14ac:dyDescent="0.2">
      <c r="D529" s="244"/>
    </row>
    <row r="530" spans="4:4" ht="15.75" customHeight="1" x14ac:dyDescent="0.2">
      <c r="D530" s="244"/>
    </row>
    <row r="531" spans="4:4" ht="15.75" customHeight="1" x14ac:dyDescent="0.2">
      <c r="D531" s="244"/>
    </row>
    <row r="532" spans="4:4" ht="15.75" customHeight="1" x14ac:dyDescent="0.2">
      <c r="D532" s="244"/>
    </row>
    <row r="533" spans="4:4" ht="15.75" customHeight="1" x14ac:dyDescent="0.2">
      <c r="D533" s="244"/>
    </row>
    <row r="534" spans="4:4" ht="15.75" customHeight="1" x14ac:dyDescent="0.2">
      <c r="D534" s="244"/>
    </row>
    <row r="535" spans="4:4" ht="15.75" customHeight="1" x14ac:dyDescent="0.2">
      <c r="D535" s="244"/>
    </row>
    <row r="536" spans="4:4" ht="15.75" customHeight="1" x14ac:dyDescent="0.2">
      <c r="D536" s="244"/>
    </row>
    <row r="537" spans="4:4" ht="15.75" customHeight="1" x14ac:dyDescent="0.2">
      <c r="D537" s="244"/>
    </row>
    <row r="538" spans="4:4" ht="15.75" customHeight="1" x14ac:dyDescent="0.2">
      <c r="D538" s="244"/>
    </row>
    <row r="539" spans="4:4" ht="15.75" customHeight="1" x14ac:dyDescent="0.2">
      <c r="D539" s="244"/>
    </row>
    <row r="540" spans="4:4" ht="15.75" customHeight="1" x14ac:dyDescent="0.2">
      <c r="D540" s="244"/>
    </row>
    <row r="541" spans="4:4" ht="15.75" customHeight="1" x14ac:dyDescent="0.2">
      <c r="D541" s="244"/>
    </row>
    <row r="542" spans="4:4" ht="15.75" customHeight="1" x14ac:dyDescent="0.2">
      <c r="D542" s="244"/>
    </row>
    <row r="543" spans="4:4" ht="15.75" customHeight="1" x14ac:dyDescent="0.2">
      <c r="D543" s="244"/>
    </row>
    <row r="544" spans="4:4" ht="15.75" customHeight="1" x14ac:dyDescent="0.2">
      <c r="D544" s="244"/>
    </row>
    <row r="545" spans="4:4" ht="15.75" customHeight="1" x14ac:dyDescent="0.2">
      <c r="D545" s="244"/>
    </row>
    <row r="546" spans="4:4" ht="15.75" customHeight="1" x14ac:dyDescent="0.2">
      <c r="D546" s="244"/>
    </row>
    <row r="547" spans="4:4" ht="15.75" customHeight="1" x14ac:dyDescent="0.2">
      <c r="D547" s="244"/>
    </row>
    <row r="548" spans="4:4" ht="15.75" customHeight="1" x14ac:dyDescent="0.2">
      <c r="D548" s="244"/>
    </row>
    <row r="549" spans="4:4" ht="15.75" customHeight="1" x14ac:dyDescent="0.2">
      <c r="D549" s="244"/>
    </row>
    <row r="550" spans="4:4" ht="15.75" customHeight="1" x14ac:dyDescent="0.2">
      <c r="D550" s="244"/>
    </row>
    <row r="551" spans="4:4" ht="15.75" customHeight="1" x14ac:dyDescent="0.2">
      <c r="D551" s="244"/>
    </row>
    <row r="552" spans="4:4" ht="15.75" customHeight="1" x14ac:dyDescent="0.2">
      <c r="D552" s="244"/>
    </row>
    <row r="553" spans="4:4" ht="15.75" customHeight="1" x14ac:dyDescent="0.2">
      <c r="D553" s="244"/>
    </row>
    <row r="554" spans="4:4" ht="15.75" customHeight="1" x14ac:dyDescent="0.2">
      <c r="D554" s="244"/>
    </row>
    <row r="555" spans="4:4" ht="15.75" customHeight="1" x14ac:dyDescent="0.2">
      <c r="D555" s="244"/>
    </row>
    <row r="556" spans="4:4" ht="15.75" customHeight="1" x14ac:dyDescent="0.2">
      <c r="D556" s="244"/>
    </row>
    <row r="557" spans="4:4" ht="15.75" customHeight="1" x14ac:dyDescent="0.2">
      <c r="D557" s="244"/>
    </row>
    <row r="558" spans="4:4" ht="15.75" customHeight="1" x14ac:dyDescent="0.2">
      <c r="D558" s="244"/>
    </row>
    <row r="559" spans="4:4" ht="15.75" customHeight="1" x14ac:dyDescent="0.2">
      <c r="D559" s="244"/>
    </row>
    <row r="560" spans="4:4" ht="15.75" customHeight="1" x14ac:dyDescent="0.2">
      <c r="D560" s="244"/>
    </row>
    <row r="561" spans="4:4" ht="15.75" customHeight="1" x14ac:dyDescent="0.2">
      <c r="D561" s="244"/>
    </row>
    <row r="562" spans="4:4" ht="15.75" customHeight="1" x14ac:dyDescent="0.2">
      <c r="D562" s="244"/>
    </row>
    <row r="563" spans="4:4" ht="15.75" customHeight="1" x14ac:dyDescent="0.2">
      <c r="D563" s="244"/>
    </row>
    <row r="564" spans="4:4" ht="15.75" customHeight="1" x14ac:dyDescent="0.2">
      <c r="D564" s="244"/>
    </row>
    <row r="565" spans="4:4" ht="15.75" customHeight="1" x14ac:dyDescent="0.2">
      <c r="D565" s="244"/>
    </row>
    <row r="566" spans="4:4" ht="15.75" customHeight="1" x14ac:dyDescent="0.2">
      <c r="D566" s="244"/>
    </row>
    <row r="567" spans="4:4" ht="15.75" customHeight="1" x14ac:dyDescent="0.2">
      <c r="D567" s="244"/>
    </row>
    <row r="568" spans="4:4" ht="15.75" customHeight="1" x14ac:dyDescent="0.2">
      <c r="D568" s="244"/>
    </row>
    <row r="569" spans="4:4" ht="15.75" customHeight="1" x14ac:dyDescent="0.2">
      <c r="D569" s="244"/>
    </row>
    <row r="570" spans="4:4" ht="15.75" customHeight="1" x14ac:dyDescent="0.2">
      <c r="D570" s="244"/>
    </row>
    <row r="571" spans="4:4" ht="15.75" customHeight="1" x14ac:dyDescent="0.2">
      <c r="D571" s="244"/>
    </row>
    <row r="572" spans="4:4" ht="15.75" customHeight="1" x14ac:dyDescent="0.2">
      <c r="D572" s="244"/>
    </row>
    <row r="573" spans="4:4" ht="15.75" customHeight="1" x14ac:dyDescent="0.2">
      <c r="D573" s="244"/>
    </row>
    <row r="574" spans="4:4" ht="15.75" customHeight="1" x14ac:dyDescent="0.2">
      <c r="D574" s="244"/>
    </row>
    <row r="575" spans="4:4" ht="15.75" customHeight="1" x14ac:dyDescent="0.2">
      <c r="D575" s="244"/>
    </row>
    <row r="576" spans="4:4" ht="15.75" customHeight="1" x14ac:dyDescent="0.2">
      <c r="D576" s="244"/>
    </row>
    <row r="577" spans="4:4" ht="15.75" customHeight="1" x14ac:dyDescent="0.2">
      <c r="D577" s="244"/>
    </row>
    <row r="578" spans="4:4" ht="15.75" customHeight="1" x14ac:dyDescent="0.2">
      <c r="D578" s="244"/>
    </row>
    <row r="579" spans="4:4" ht="15.75" customHeight="1" x14ac:dyDescent="0.2">
      <c r="D579" s="244"/>
    </row>
    <row r="580" spans="4:4" ht="15.75" customHeight="1" x14ac:dyDescent="0.2">
      <c r="D580" s="244"/>
    </row>
    <row r="581" spans="4:4" ht="15.75" customHeight="1" x14ac:dyDescent="0.2">
      <c r="D581" s="244"/>
    </row>
    <row r="582" spans="4:4" ht="15.75" customHeight="1" x14ac:dyDescent="0.2">
      <c r="D582" s="244"/>
    </row>
    <row r="583" spans="4:4" ht="15.75" customHeight="1" x14ac:dyDescent="0.2">
      <c r="D583" s="244"/>
    </row>
    <row r="584" spans="4:4" ht="15.75" customHeight="1" x14ac:dyDescent="0.2">
      <c r="D584" s="244"/>
    </row>
    <row r="585" spans="4:4" ht="15.75" customHeight="1" x14ac:dyDescent="0.2">
      <c r="D585" s="244"/>
    </row>
    <row r="586" spans="4:4" ht="15.75" customHeight="1" x14ac:dyDescent="0.2">
      <c r="D586" s="244"/>
    </row>
    <row r="587" spans="4:4" ht="15.75" customHeight="1" x14ac:dyDescent="0.2">
      <c r="D587" s="244"/>
    </row>
    <row r="588" spans="4:4" ht="15.75" customHeight="1" x14ac:dyDescent="0.2">
      <c r="D588" s="244"/>
    </row>
    <row r="589" spans="4:4" ht="15.75" customHeight="1" x14ac:dyDescent="0.2">
      <c r="D589" s="244"/>
    </row>
    <row r="590" spans="4:4" ht="15.75" customHeight="1" x14ac:dyDescent="0.2">
      <c r="D590" s="244"/>
    </row>
    <row r="591" spans="4:4" ht="15.75" customHeight="1" x14ac:dyDescent="0.2">
      <c r="D591" s="244"/>
    </row>
    <row r="592" spans="4:4" ht="15.75" customHeight="1" x14ac:dyDescent="0.2">
      <c r="D592" s="244"/>
    </row>
    <row r="593" spans="4:4" ht="15.75" customHeight="1" x14ac:dyDescent="0.2">
      <c r="D593" s="244"/>
    </row>
    <row r="594" spans="4:4" ht="15.75" customHeight="1" x14ac:dyDescent="0.2">
      <c r="D594" s="244"/>
    </row>
    <row r="595" spans="4:4" ht="15.75" customHeight="1" x14ac:dyDescent="0.2">
      <c r="D595" s="244"/>
    </row>
    <row r="596" spans="4:4" ht="15.75" customHeight="1" x14ac:dyDescent="0.2">
      <c r="D596" s="244"/>
    </row>
    <row r="597" spans="4:4" ht="15.75" customHeight="1" x14ac:dyDescent="0.2">
      <c r="D597" s="244"/>
    </row>
    <row r="598" spans="4:4" ht="15.75" customHeight="1" x14ac:dyDescent="0.2">
      <c r="D598" s="244"/>
    </row>
    <row r="599" spans="4:4" ht="15.75" customHeight="1" x14ac:dyDescent="0.2">
      <c r="D599" s="244"/>
    </row>
    <row r="600" spans="4:4" ht="15.75" customHeight="1" x14ac:dyDescent="0.2">
      <c r="D600" s="244"/>
    </row>
    <row r="601" spans="4:4" ht="15.75" customHeight="1" x14ac:dyDescent="0.2">
      <c r="D601" s="244"/>
    </row>
    <row r="602" spans="4:4" ht="15.75" customHeight="1" x14ac:dyDescent="0.2">
      <c r="D602" s="244"/>
    </row>
    <row r="603" spans="4:4" ht="15.75" customHeight="1" x14ac:dyDescent="0.2">
      <c r="D603" s="244"/>
    </row>
    <row r="604" spans="4:4" ht="15.75" customHeight="1" x14ac:dyDescent="0.2">
      <c r="D604" s="244"/>
    </row>
    <row r="605" spans="4:4" ht="15.75" customHeight="1" x14ac:dyDescent="0.2">
      <c r="D605" s="244"/>
    </row>
    <row r="606" spans="4:4" ht="15.75" customHeight="1" x14ac:dyDescent="0.2">
      <c r="D606" s="244"/>
    </row>
    <row r="607" spans="4:4" ht="15.75" customHeight="1" x14ac:dyDescent="0.2">
      <c r="D607" s="244"/>
    </row>
    <row r="608" spans="4:4" ht="15.75" customHeight="1" x14ac:dyDescent="0.2">
      <c r="D608" s="244"/>
    </row>
    <row r="609" spans="4:4" ht="15.75" customHeight="1" x14ac:dyDescent="0.2">
      <c r="D609" s="244"/>
    </row>
    <row r="610" spans="4:4" ht="15.75" customHeight="1" x14ac:dyDescent="0.2">
      <c r="D610" s="244"/>
    </row>
    <row r="611" spans="4:4" ht="15.75" customHeight="1" x14ac:dyDescent="0.2">
      <c r="D611" s="244"/>
    </row>
    <row r="612" spans="4:4" ht="15.75" customHeight="1" x14ac:dyDescent="0.2">
      <c r="D612" s="244"/>
    </row>
    <row r="613" spans="4:4" ht="15.75" customHeight="1" x14ac:dyDescent="0.2">
      <c r="D613" s="244"/>
    </row>
    <row r="614" spans="4:4" ht="15.75" customHeight="1" x14ac:dyDescent="0.2">
      <c r="D614" s="244"/>
    </row>
    <row r="615" spans="4:4" ht="15.75" customHeight="1" x14ac:dyDescent="0.2">
      <c r="D615" s="244"/>
    </row>
    <row r="616" spans="4:4" ht="15.75" customHeight="1" x14ac:dyDescent="0.2">
      <c r="D616" s="244"/>
    </row>
    <row r="617" spans="4:4" ht="15.75" customHeight="1" x14ac:dyDescent="0.2">
      <c r="D617" s="244"/>
    </row>
    <row r="618" spans="4:4" ht="15.75" customHeight="1" x14ac:dyDescent="0.2">
      <c r="D618" s="244"/>
    </row>
    <row r="619" spans="4:4" ht="15.75" customHeight="1" x14ac:dyDescent="0.2">
      <c r="D619" s="244"/>
    </row>
    <row r="620" spans="4:4" ht="15.75" customHeight="1" x14ac:dyDescent="0.2">
      <c r="D620" s="244"/>
    </row>
    <row r="621" spans="4:4" ht="15.75" customHeight="1" x14ac:dyDescent="0.2">
      <c r="D621" s="244"/>
    </row>
    <row r="622" spans="4:4" ht="15.75" customHeight="1" x14ac:dyDescent="0.2">
      <c r="D622" s="244"/>
    </row>
    <row r="623" spans="4:4" ht="15.75" customHeight="1" x14ac:dyDescent="0.2">
      <c r="D623" s="244"/>
    </row>
    <row r="624" spans="4:4" ht="15.75" customHeight="1" x14ac:dyDescent="0.2">
      <c r="D624" s="244"/>
    </row>
    <row r="625" spans="4:4" ht="15.75" customHeight="1" x14ac:dyDescent="0.2">
      <c r="D625" s="244"/>
    </row>
    <row r="626" spans="4:4" ht="15.75" customHeight="1" x14ac:dyDescent="0.2">
      <c r="D626" s="244"/>
    </row>
    <row r="627" spans="4:4" ht="15.75" customHeight="1" x14ac:dyDescent="0.2">
      <c r="D627" s="244"/>
    </row>
    <row r="628" spans="4:4" ht="15.75" customHeight="1" x14ac:dyDescent="0.2">
      <c r="D628" s="244"/>
    </row>
    <row r="629" spans="4:4" ht="15.75" customHeight="1" x14ac:dyDescent="0.2">
      <c r="D629" s="244"/>
    </row>
    <row r="630" spans="4:4" ht="15.75" customHeight="1" x14ac:dyDescent="0.2">
      <c r="D630" s="244"/>
    </row>
    <row r="631" spans="4:4" ht="15.75" customHeight="1" x14ac:dyDescent="0.2">
      <c r="D631" s="244"/>
    </row>
    <row r="632" spans="4:4" ht="15.75" customHeight="1" x14ac:dyDescent="0.2">
      <c r="D632" s="244"/>
    </row>
    <row r="633" spans="4:4" ht="15.75" customHeight="1" x14ac:dyDescent="0.2">
      <c r="D633" s="244"/>
    </row>
    <row r="634" spans="4:4" ht="15.75" customHeight="1" x14ac:dyDescent="0.2">
      <c r="D634" s="244"/>
    </row>
    <row r="635" spans="4:4" ht="15.75" customHeight="1" x14ac:dyDescent="0.2">
      <c r="D635" s="244"/>
    </row>
    <row r="636" spans="4:4" ht="15.75" customHeight="1" x14ac:dyDescent="0.2">
      <c r="D636" s="244"/>
    </row>
    <row r="637" spans="4:4" ht="15.75" customHeight="1" x14ac:dyDescent="0.2">
      <c r="D637" s="244"/>
    </row>
    <row r="638" spans="4:4" ht="15.75" customHeight="1" x14ac:dyDescent="0.2">
      <c r="D638" s="244"/>
    </row>
    <row r="639" spans="4:4" ht="15.75" customHeight="1" x14ac:dyDescent="0.2">
      <c r="D639" s="244"/>
    </row>
    <row r="640" spans="4:4" ht="15.75" customHeight="1" x14ac:dyDescent="0.2">
      <c r="D640" s="244"/>
    </row>
    <row r="641" spans="4:4" ht="15.75" customHeight="1" x14ac:dyDescent="0.2">
      <c r="D641" s="244"/>
    </row>
    <row r="642" spans="4:4" ht="15.75" customHeight="1" x14ac:dyDescent="0.2">
      <c r="D642" s="244"/>
    </row>
    <row r="643" spans="4:4" ht="15.75" customHeight="1" x14ac:dyDescent="0.2">
      <c r="D643" s="244"/>
    </row>
    <row r="644" spans="4:4" ht="15.75" customHeight="1" x14ac:dyDescent="0.2">
      <c r="D644" s="244"/>
    </row>
    <row r="645" spans="4:4" ht="15.75" customHeight="1" x14ac:dyDescent="0.2">
      <c r="D645" s="244"/>
    </row>
    <row r="646" spans="4:4" ht="15.75" customHeight="1" x14ac:dyDescent="0.2">
      <c r="D646" s="244"/>
    </row>
    <row r="647" spans="4:4" ht="15.75" customHeight="1" x14ac:dyDescent="0.2">
      <c r="D647" s="244"/>
    </row>
    <row r="648" spans="4:4" ht="15.75" customHeight="1" x14ac:dyDescent="0.2">
      <c r="D648" s="244"/>
    </row>
    <row r="649" spans="4:4" ht="15.75" customHeight="1" x14ac:dyDescent="0.2">
      <c r="D649" s="244"/>
    </row>
    <row r="650" spans="4:4" ht="15.75" customHeight="1" x14ac:dyDescent="0.2">
      <c r="D650" s="244"/>
    </row>
    <row r="651" spans="4:4" ht="15.75" customHeight="1" x14ac:dyDescent="0.2">
      <c r="D651" s="244"/>
    </row>
    <row r="652" spans="4:4" ht="15.75" customHeight="1" x14ac:dyDescent="0.2">
      <c r="D652" s="244"/>
    </row>
    <row r="653" spans="4:4" ht="15.75" customHeight="1" x14ac:dyDescent="0.2">
      <c r="D653" s="244"/>
    </row>
    <row r="654" spans="4:4" ht="15.75" customHeight="1" x14ac:dyDescent="0.2">
      <c r="D654" s="244"/>
    </row>
    <row r="655" spans="4:4" ht="15.75" customHeight="1" x14ac:dyDescent="0.2">
      <c r="D655" s="244"/>
    </row>
    <row r="656" spans="4:4" ht="15.75" customHeight="1" x14ac:dyDescent="0.2">
      <c r="D656" s="244"/>
    </row>
    <row r="657" spans="4:4" ht="15.75" customHeight="1" x14ac:dyDescent="0.2">
      <c r="D657" s="244"/>
    </row>
    <row r="658" spans="4:4" ht="15.75" customHeight="1" x14ac:dyDescent="0.2">
      <c r="D658" s="244"/>
    </row>
    <row r="659" spans="4:4" ht="15.75" customHeight="1" x14ac:dyDescent="0.2">
      <c r="D659" s="244"/>
    </row>
    <row r="660" spans="4:4" ht="15.75" customHeight="1" x14ac:dyDescent="0.2">
      <c r="D660" s="244"/>
    </row>
    <row r="661" spans="4:4" ht="15.75" customHeight="1" x14ac:dyDescent="0.2">
      <c r="D661" s="244"/>
    </row>
    <row r="662" spans="4:4" ht="15.75" customHeight="1" x14ac:dyDescent="0.2">
      <c r="D662" s="244"/>
    </row>
    <row r="663" spans="4:4" ht="15.75" customHeight="1" x14ac:dyDescent="0.2">
      <c r="D663" s="244"/>
    </row>
    <row r="664" spans="4:4" ht="15.75" customHeight="1" x14ac:dyDescent="0.2">
      <c r="D664" s="244"/>
    </row>
    <row r="665" spans="4:4" ht="15.75" customHeight="1" x14ac:dyDescent="0.2">
      <c r="D665" s="244"/>
    </row>
    <row r="666" spans="4:4" ht="15.75" customHeight="1" x14ac:dyDescent="0.2">
      <c r="D666" s="244"/>
    </row>
    <row r="667" spans="4:4" ht="15.75" customHeight="1" x14ac:dyDescent="0.2">
      <c r="D667" s="244"/>
    </row>
    <row r="668" spans="4:4" ht="15.75" customHeight="1" x14ac:dyDescent="0.2">
      <c r="D668" s="244"/>
    </row>
    <row r="669" spans="4:4" ht="15.75" customHeight="1" x14ac:dyDescent="0.2">
      <c r="D669" s="244"/>
    </row>
    <row r="670" spans="4:4" ht="15.75" customHeight="1" x14ac:dyDescent="0.2">
      <c r="D670" s="244"/>
    </row>
    <row r="671" spans="4:4" ht="15.75" customHeight="1" x14ac:dyDescent="0.2">
      <c r="D671" s="244"/>
    </row>
    <row r="672" spans="4:4" ht="15.75" customHeight="1" x14ac:dyDescent="0.2">
      <c r="D672" s="244"/>
    </row>
    <row r="673" spans="4:4" ht="15.75" customHeight="1" x14ac:dyDescent="0.2">
      <c r="D673" s="244"/>
    </row>
    <row r="674" spans="4:4" ht="15.75" customHeight="1" x14ac:dyDescent="0.2">
      <c r="D674" s="244"/>
    </row>
    <row r="675" spans="4:4" ht="15.75" customHeight="1" x14ac:dyDescent="0.2">
      <c r="D675" s="244"/>
    </row>
    <row r="676" spans="4:4" ht="15.75" customHeight="1" x14ac:dyDescent="0.2">
      <c r="D676" s="244"/>
    </row>
    <row r="677" spans="4:4" ht="15.75" customHeight="1" x14ac:dyDescent="0.2">
      <c r="D677" s="244"/>
    </row>
    <row r="678" spans="4:4" ht="15.75" customHeight="1" x14ac:dyDescent="0.2">
      <c r="D678" s="244"/>
    </row>
    <row r="679" spans="4:4" ht="15.75" customHeight="1" x14ac:dyDescent="0.2">
      <c r="D679" s="244"/>
    </row>
    <row r="680" spans="4:4" ht="15.75" customHeight="1" x14ac:dyDescent="0.2">
      <c r="D680" s="244"/>
    </row>
    <row r="681" spans="4:4" ht="15.75" customHeight="1" x14ac:dyDescent="0.2">
      <c r="D681" s="244"/>
    </row>
    <row r="682" spans="4:4" ht="15.75" customHeight="1" x14ac:dyDescent="0.2">
      <c r="D682" s="244"/>
    </row>
    <row r="683" spans="4:4" ht="15.75" customHeight="1" x14ac:dyDescent="0.2">
      <c r="D683" s="244"/>
    </row>
    <row r="684" spans="4:4" ht="15.75" customHeight="1" x14ac:dyDescent="0.2">
      <c r="D684" s="244"/>
    </row>
    <row r="685" spans="4:4" ht="15.75" customHeight="1" x14ac:dyDescent="0.2">
      <c r="D685" s="244"/>
    </row>
    <row r="686" spans="4:4" ht="15.75" customHeight="1" x14ac:dyDescent="0.2">
      <c r="D686" s="244"/>
    </row>
    <row r="687" spans="4:4" ht="15.75" customHeight="1" x14ac:dyDescent="0.2">
      <c r="D687" s="244"/>
    </row>
    <row r="688" spans="4:4" ht="15.75" customHeight="1" x14ac:dyDescent="0.2">
      <c r="D688" s="244"/>
    </row>
    <row r="689" spans="4:4" ht="15.75" customHeight="1" x14ac:dyDescent="0.2">
      <c r="D689" s="244"/>
    </row>
    <row r="690" spans="4:4" ht="15.75" customHeight="1" x14ac:dyDescent="0.2">
      <c r="D690" s="244"/>
    </row>
    <row r="691" spans="4:4" ht="15.75" customHeight="1" x14ac:dyDescent="0.2">
      <c r="D691" s="244"/>
    </row>
    <row r="692" spans="4:4" ht="15.75" customHeight="1" x14ac:dyDescent="0.2">
      <c r="D692" s="244"/>
    </row>
    <row r="693" spans="4:4" ht="15.75" customHeight="1" x14ac:dyDescent="0.2">
      <c r="D693" s="244"/>
    </row>
    <row r="694" spans="4:4" ht="15.75" customHeight="1" x14ac:dyDescent="0.2">
      <c r="D694" s="244"/>
    </row>
    <row r="695" spans="4:4" ht="15.75" customHeight="1" x14ac:dyDescent="0.2">
      <c r="D695" s="244"/>
    </row>
    <row r="696" spans="4:4" ht="15.75" customHeight="1" x14ac:dyDescent="0.2">
      <c r="D696" s="244"/>
    </row>
    <row r="697" spans="4:4" ht="15.75" customHeight="1" x14ac:dyDescent="0.2">
      <c r="D697" s="244"/>
    </row>
    <row r="698" spans="4:4" ht="15.75" customHeight="1" x14ac:dyDescent="0.2">
      <c r="D698" s="244"/>
    </row>
    <row r="699" spans="4:4" ht="15.75" customHeight="1" x14ac:dyDescent="0.2">
      <c r="D699" s="244"/>
    </row>
    <row r="700" spans="4:4" ht="15.75" customHeight="1" x14ac:dyDescent="0.2">
      <c r="D700" s="244"/>
    </row>
    <row r="701" spans="4:4" ht="15.75" customHeight="1" x14ac:dyDescent="0.2">
      <c r="D701" s="244"/>
    </row>
    <row r="702" spans="4:4" ht="15.75" customHeight="1" x14ac:dyDescent="0.2">
      <c r="D702" s="244"/>
    </row>
    <row r="703" spans="4:4" ht="15.75" customHeight="1" x14ac:dyDescent="0.2">
      <c r="D703" s="244"/>
    </row>
    <row r="704" spans="4:4" ht="15.75" customHeight="1" x14ac:dyDescent="0.2">
      <c r="D704" s="244"/>
    </row>
    <row r="705" spans="4:4" ht="15.75" customHeight="1" x14ac:dyDescent="0.2">
      <c r="D705" s="244"/>
    </row>
    <row r="706" spans="4:4" ht="15.75" customHeight="1" x14ac:dyDescent="0.2">
      <c r="D706" s="244"/>
    </row>
    <row r="707" spans="4:4" ht="15.75" customHeight="1" x14ac:dyDescent="0.2">
      <c r="D707" s="244"/>
    </row>
    <row r="708" spans="4:4" ht="15.75" customHeight="1" x14ac:dyDescent="0.2">
      <c r="D708" s="244"/>
    </row>
    <row r="709" spans="4:4" ht="15.75" customHeight="1" x14ac:dyDescent="0.2">
      <c r="D709" s="244"/>
    </row>
    <row r="710" spans="4:4" ht="15.75" customHeight="1" x14ac:dyDescent="0.2">
      <c r="D710" s="244"/>
    </row>
    <row r="711" spans="4:4" ht="15.75" customHeight="1" x14ac:dyDescent="0.2">
      <c r="D711" s="244"/>
    </row>
    <row r="712" spans="4:4" ht="15.75" customHeight="1" x14ac:dyDescent="0.2">
      <c r="D712" s="244"/>
    </row>
    <row r="713" spans="4:4" ht="15.75" customHeight="1" x14ac:dyDescent="0.2">
      <c r="D713" s="244"/>
    </row>
    <row r="714" spans="4:4" ht="15.75" customHeight="1" x14ac:dyDescent="0.2">
      <c r="D714" s="244"/>
    </row>
    <row r="715" spans="4:4" ht="15.75" customHeight="1" x14ac:dyDescent="0.2">
      <c r="D715" s="244"/>
    </row>
    <row r="716" spans="4:4" ht="15.75" customHeight="1" x14ac:dyDescent="0.2">
      <c r="D716" s="244"/>
    </row>
    <row r="717" spans="4:4" ht="15.75" customHeight="1" x14ac:dyDescent="0.2">
      <c r="D717" s="244"/>
    </row>
    <row r="718" spans="4:4" ht="15.75" customHeight="1" x14ac:dyDescent="0.2">
      <c r="D718" s="244"/>
    </row>
    <row r="719" spans="4:4" ht="15.75" customHeight="1" x14ac:dyDescent="0.2">
      <c r="D719" s="244"/>
    </row>
    <row r="720" spans="4:4" ht="15.75" customHeight="1" x14ac:dyDescent="0.2">
      <c r="D720" s="244"/>
    </row>
    <row r="721" spans="4:4" ht="15.75" customHeight="1" x14ac:dyDescent="0.2">
      <c r="D721" s="244"/>
    </row>
    <row r="722" spans="4:4" ht="15.75" customHeight="1" x14ac:dyDescent="0.2">
      <c r="D722" s="244"/>
    </row>
    <row r="723" spans="4:4" ht="15.75" customHeight="1" x14ac:dyDescent="0.2">
      <c r="D723" s="244"/>
    </row>
    <row r="724" spans="4:4" ht="15.75" customHeight="1" x14ac:dyDescent="0.2">
      <c r="D724" s="244"/>
    </row>
    <row r="725" spans="4:4" ht="15.75" customHeight="1" x14ac:dyDescent="0.2">
      <c r="D725" s="244"/>
    </row>
    <row r="726" spans="4:4" ht="15.75" customHeight="1" x14ac:dyDescent="0.2">
      <c r="D726" s="244"/>
    </row>
    <row r="727" spans="4:4" ht="15.75" customHeight="1" x14ac:dyDescent="0.2">
      <c r="D727" s="244"/>
    </row>
    <row r="728" spans="4:4" ht="15.75" customHeight="1" x14ac:dyDescent="0.2">
      <c r="D728" s="244"/>
    </row>
    <row r="729" spans="4:4" ht="15.75" customHeight="1" x14ac:dyDescent="0.2">
      <c r="D729" s="244"/>
    </row>
    <row r="730" spans="4:4" ht="15.75" customHeight="1" x14ac:dyDescent="0.2">
      <c r="D730" s="244"/>
    </row>
    <row r="731" spans="4:4" ht="15.75" customHeight="1" x14ac:dyDescent="0.2">
      <c r="D731" s="244"/>
    </row>
    <row r="732" spans="4:4" ht="15.75" customHeight="1" x14ac:dyDescent="0.2">
      <c r="D732" s="244"/>
    </row>
    <row r="733" spans="4:4" ht="15.75" customHeight="1" x14ac:dyDescent="0.2">
      <c r="D733" s="244"/>
    </row>
    <row r="734" spans="4:4" ht="15.75" customHeight="1" x14ac:dyDescent="0.2">
      <c r="D734" s="244"/>
    </row>
    <row r="735" spans="4:4" ht="15.75" customHeight="1" x14ac:dyDescent="0.2">
      <c r="D735" s="244"/>
    </row>
    <row r="736" spans="4:4" ht="15.75" customHeight="1" x14ac:dyDescent="0.2">
      <c r="D736" s="244"/>
    </row>
    <row r="737" spans="4:4" ht="15.75" customHeight="1" x14ac:dyDescent="0.2">
      <c r="D737" s="244"/>
    </row>
    <row r="738" spans="4:4" ht="15.75" customHeight="1" x14ac:dyDescent="0.2">
      <c r="D738" s="244"/>
    </row>
    <row r="739" spans="4:4" ht="15.75" customHeight="1" x14ac:dyDescent="0.2">
      <c r="D739" s="244"/>
    </row>
    <row r="740" spans="4:4" ht="15.75" customHeight="1" x14ac:dyDescent="0.2">
      <c r="D740" s="244"/>
    </row>
    <row r="741" spans="4:4" ht="15.75" customHeight="1" x14ac:dyDescent="0.2">
      <c r="D741" s="244"/>
    </row>
    <row r="742" spans="4:4" ht="15.75" customHeight="1" x14ac:dyDescent="0.2">
      <c r="D742" s="244"/>
    </row>
    <row r="743" spans="4:4" ht="15.75" customHeight="1" x14ac:dyDescent="0.2">
      <c r="D743" s="244"/>
    </row>
    <row r="744" spans="4:4" ht="15.75" customHeight="1" x14ac:dyDescent="0.2">
      <c r="D744" s="244"/>
    </row>
    <row r="745" spans="4:4" ht="15.75" customHeight="1" x14ac:dyDescent="0.2">
      <c r="D745" s="244"/>
    </row>
    <row r="746" spans="4:4" ht="15.75" customHeight="1" x14ac:dyDescent="0.2">
      <c r="D746" s="244"/>
    </row>
    <row r="747" spans="4:4" ht="15.75" customHeight="1" x14ac:dyDescent="0.2">
      <c r="D747" s="244"/>
    </row>
    <row r="748" spans="4:4" ht="15.75" customHeight="1" x14ac:dyDescent="0.2">
      <c r="D748" s="244"/>
    </row>
    <row r="749" spans="4:4" ht="15.75" customHeight="1" x14ac:dyDescent="0.2">
      <c r="D749" s="244"/>
    </row>
    <row r="750" spans="4:4" ht="15.75" customHeight="1" x14ac:dyDescent="0.2">
      <c r="D750" s="244"/>
    </row>
    <row r="751" spans="4:4" ht="15.75" customHeight="1" x14ac:dyDescent="0.2">
      <c r="D751" s="244"/>
    </row>
    <row r="752" spans="4:4" ht="15.75" customHeight="1" x14ac:dyDescent="0.2">
      <c r="D752" s="244"/>
    </row>
    <row r="753" spans="4:4" ht="15.75" customHeight="1" x14ac:dyDescent="0.2">
      <c r="D753" s="244"/>
    </row>
    <row r="754" spans="4:4" ht="15.75" customHeight="1" x14ac:dyDescent="0.2">
      <c r="D754" s="244"/>
    </row>
    <row r="755" spans="4:4" ht="15.75" customHeight="1" x14ac:dyDescent="0.2">
      <c r="D755" s="244"/>
    </row>
    <row r="756" spans="4:4" ht="15.75" customHeight="1" x14ac:dyDescent="0.2">
      <c r="D756" s="244"/>
    </row>
    <row r="757" spans="4:4" ht="15.75" customHeight="1" x14ac:dyDescent="0.2">
      <c r="D757" s="244"/>
    </row>
    <row r="758" spans="4:4" ht="15.75" customHeight="1" x14ac:dyDescent="0.2">
      <c r="D758" s="244"/>
    </row>
    <row r="759" spans="4:4" ht="15.75" customHeight="1" x14ac:dyDescent="0.2">
      <c r="D759" s="244"/>
    </row>
    <row r="760" spans="4:4" ht="15.75" customHeight="1" x14ac:dyDescent="0.2">
      <c r="D760" s="244"/>
    </row>
    <row r="761" spans="4:4" ht="15.75" customHeight="1" x14ac:dyDescent="0.2">
      <c r="D761" s="244"/>
    </row>
    <row r="762" spans="4:4" ht="15.75" customHeight="1" x14ac:dyDescent="0.2">
      <c r="D762" s="244"/>
    </row>
    <row r="763" spans="4:4" ht="15.75" customHeight="1" x14ac:dyDescent="0.2">
      <c r="D763" s="244"/>
    </row>
    <row r="764" spans="4:4" ht="15.75" customHeight="1" x14ac:dyDescent="0.2">
      <c r="D764" s="244"/>
    </row>
    <row r="765" spans="4:4" ht="15.75" customHeight="1" x14ac:dyDescent="0.2">
      <c r="D765" s="244"/>
    </row>
    <row r="766" spans="4:4" ht="15.75" customHeight="1" x14ac:dyDescent="0.2">
      <c r="D766" s="244"/>
    </row>
    <row r="767" spans="4:4" ht="15.75" customHeight="1" x14ac:dyDescent="0.2">
      <c r="D767" s="244"/>
    </row>
    <row r="768" spans="4:4" ht="15.75" customHeight="1" x14ac:dyDescent="0.2">
      <c r="D768" s="244"/>
    </row>
    <row r="769" spans="4:4" ht="15.75" customHeight="1" x14ac:dyDescent="0.2">
      <c r="D769" s="244"/>
    </row>
    <row r="770" spans="4:4" ht="15.75" customHeight="1" x14ac:dyDescent="0.2">
      <c r="D770" s="244"/>
    </row>
    <row r="771" spans="4:4" ht="15.75" customHeight="1" x14ac:dyDescent="0.2">
      <c r="D771" s="244"/>
    </row>
    <row r="772" spans="4:4" ht="15.75" customHeight="1" x14ac:dyDescent="0.2">
      <c r="D772" s="244"/>
    </row>
    <row r="773" spans="4:4" ht="15.75" customHeight="1" x14ac:dyDescent="0.2">
      <c r="D773" s="244"/>
    </row>
    <row r="774" spans="4:4" ht="15.75" customHeight="1" x14ac:dyDescent="0.2">
      <c r="D774" s="244"/>
    </row>
    <row r="775" spans="4:4" ht="15.75" customHeight="1" x14ac:dyDescent="0.2">
      <c r="D775" s="244"/>
    </row>
    <row r="776" spans="4:4" ht="15.75" customHeight="1" x14ac:dyDescent="0.2">
      <c r="D776" s="244"/>
    </row>
    <row r="777" spans="4:4" ht="15.75" customHeight="1" x14ac:dyDescent="0.2">
      <c r="D777" s="244"/>
    </row>
    <row r="778" spans="4:4" ht="15.75" customHeight="1" x14ac:dyDescent="0.2">
      <c r="D778" s="244"/>
    </row>
    <row r="779" spans="4:4" ht="15.75" customHeight="1" x14ac:dyDescent="0.2">
      <c r="D779" s="244"/>
    </row>
    <row r="780" spans="4:4" ht="15.75" customHeight="1" x14ac:dyDescent="0.2">
      <c r="D780" s="244"/>
    </row>
    <row r="781" spans="4:4" ht="15.75" customHeight="1" x14ac:dyDescent="0.2">
      <c r="D781" s="244"/>
    </row>
    <row r="782" spans="4:4" ht="15.75" customHeight="1" x14ac:dyDescent="0.2">
      <c r="D782" s="244"/>
    </row>
    <row r="783" spans="4:4" ht="15.75" customHeight="1" x14ac:dyDescent="0.2">
      <c r="D783" s="244"/>
    </row>
    <row r="784" spans="4:4" ht="15.75" customHeight="1" x14ac:dyDescent="0.2">
      <c r="D784" s="244"/>
    </row>
    <row r="785" spans="4:4" ht="15.75" customHeight="1" x14ac:dyDescent="0.2">
      <c r="D785" s="244"/>
    </row>
    <row r="786" spans="4:4" ht="15.75" customHeight="1" x14ac:dyDescent="0.2">
      <c r="D786" s="244"/>
    </row>
    <row r="787" spans="4:4" ht="15.75" customHeight="1" x14ac:dyDescent="0.2">
      <c r="D787" s="244"/>
    </row>
    <row r="788" spans="4:4" ht="15.75" customHeight="1" x14ac:dyDescent="0.2">
      <c r="D788" s="244"/>
    </row>
    <row r="789" spans="4:4" ht="15.75" customHeight="1" x14ac:dyDescent="0.2">
      <c r="D789" s="244"/>
    </row>
    <row r="790" spans="4:4" ht="15.75" customHeight="1" x14ac:dyDescent="0.2">
      <c r="D790" s="244"/>
    </row>
    <row r="791" spans="4:4" ht="15.75" customHeight="1" x14ac:dyDescent="0.2">
      <c r="D791" s="244"/>
    </row>
    <row r="792" spans="4:4" ht="15.75" customHeight="1" x14ac:dyDescent="0.2">
      <c r="D792" s="244"/>
    </row>
    <row r="793" spans="4:4" ht="15.75" customHeight="1" x14ac:dyDescent="0.2">
      <c r="D793" s="244"/>
    </row>
    <row r="794" spans="4:4" ht="15.75" customHeight="1" x14ac:dyDescent="0.2">
      <c r="D794" s="244"/>
    </row>
    <row r="795" spans="4:4" ht="15.75" customHeight="1" x14ac:dyDescent="0.2">
      <c r="D795" s="244"/>
    </row>
    <row r="796" spans="4:4" ht="15.75" customHeight="1" x14ac:dyDescent="0.2">
      <c r="D796" s="244"/>
    </row>
    <row r="797" spans="4:4" ht="15.75" customHeight="1" x14ac:dyDescent="0.2">
      <c r="D797" s="244"/>
    </row>
    <row r="798" spans="4:4" ht="15.75" customHeight="1" x14ac:dyDescent="0.2">
      <c r="D798" s="244"/>
    </row>
    <row r="799" spans="4:4" ht="15.75" customHeight="1" x14ac:dyDescent="0.2">
      <c r="D799" s="244"/>
    </row>
    <row r="800" spans="4:4" ht="15.75" customHeight="1" x14ac:dyDescent="0.2">
      <c r="D800" s="244"/>
    </row>
    <row r="801" spans="4:4" ht="15.75" customHeight="1" x14ac:dyDescent="0.2">
      <c r="D801" s="244"/>
    </row>
    <row r="802" spans="4:4" ht="15.75" customHeight="1" x14ac:dyDescent="0.2">
      <c r="D802" s="244"/>
    </row>
    <row r="803" spans="4:4" ht="15.75" customHeight="1" x14ac:dyDescent="0.2">
      <c r="D803" s="244"/>
    </row>
    <row r="804" spans="4:4" ht="15.75" customHeight="1" x14ac:dyDescent="0.2">
      <c r="D804" s="244"/>
    </row>
    <row r="805" spans="4:4" ht="15.75" customHeight="1" x14ac:dyDescent="0.2">
      <c r="D805" s="244"/>
    </row>
    <row r="806" spans="4:4" ht="15.75" customHeight="1" x14ac:dyDescent="0.2">
      <c r="D806" s="244"/>
    </row>
    <row r="807" spans="4:4" ht="15.75" customHeight="1" x14ac:dyDescent="0.2">
      <c r="D807" s="244"/>
    </row>
    <row r="808" spans="4:4" ht="15.75" customHeight="1" x14ac:dyDescent="0.2">
      <c r="D808" s="244"/>
    </row>
    <row r="809" spans="4:4" ht="15.75" customHeight="1" x14ac:dyDescent="0.2">
      <c r="D809" s="244"/>
    </row>
    <row r="810" spans="4:4" ht="15.75" customHeight="1" x14ac:dyDescent="0.2">
      <c r="D810" s="244"/>
    </row>
    <row r="811" spans="4:4" ht="15.75" customHeight="1" x14ac:dyDescent="0.2">
      <c r="D811" s="244"/>
    </row>
    <row r="812" spans="4:4" ht="15.75" customHeight="1" x14ac:dyDescent="0.2">
      <c r="D812" s="244"/>
    </row>
    <row r="813" spans="4:4" ht="15.75" customHeight="1" x14ac:dyDescent="0.2">
      <c r="D813" s="244"/>
    </row>
    <row r="814" spans="4:4" ht="15.75" customHeight="1" x14ac:dyDescent="0.2">
      <c r="D814" s="244"/>
    </row>
    <row r="815" spans="4:4" ht="15.75" customHeight="1" x14ac:dyDescent="0.2">
      <c r="D815" s="244"/>
    </row>
    <row r="816" spans="4:4" ht="15.75" customHeight="1" x14ac:dyDescent="0.2">
      <c r="D816" s="244"/>
    </row>
    <row r="817" spans="4:4" ht="15.75" customHeight="1" x14ac:dyDescent="0.2">
      <c r="D817" s="244"/>
    </row>
    <row r="818" spans="4:4" ht="15.75" customHeight="1" x14ac:dyDescent="0.2">
      <c r="D818" s="244"/>
    </row>
    <row r="819" spans="4:4" ht="15.75" customHeight="1" x14ac:dyDescent="0.2">
      <c r="D819" s="244"/>
    </row>
    <row r="820" spans="4:4" ht="15.75" customHeight="1" x14ac:dyDescent="0.2">
      <c r="D820" s="244"/>
    </row>
    <row r="821" spans="4:4" ht="15.75" customHeight="1" x14ac:dyDescent="0.2">
      <c r="D821" s="244"/>
    </row>
    <row r="822" spans="4:4" ht="15.75" customHeight="1" x14ac:dyDescent="0.2">
      <c r="D822" s="244"/>
    </row>
    <row r="823" spans="4:4" ht="15.75" customHeight="1" x14ac:dyDescent="0.2">
      <c r="D823" s="244"/>
    </row>
    <row r="824" spans="4:4" ht="15.75" customHeight="1" x14ac:dyDescent="0.2">
      <c r="D824" s="244"/>
    </row>
    <row r="825" spans="4:4" ht="15.75" customHeight="1" x14ac:dyDescent="0.2">
      <c r="D825" s="244"/>
    </row>
    <row r="826" spans="4:4" ht="15.75" customHeight="1" x14ac:dyDescent="0.2">
      <c r="D826" s="244"/>
    </row>
    <row r="827" spans="4:4" ht="15.75" customHeight="1" x14ac:dyDescent="0.2">
      <c r="D827" s="244"/>
    </row>
    <row r="828" spans="4:4" ht="15.75" customHeight="1" x14ac:dyDescent="0.2">
      <c r="D828" s="244"/>
    </row>
    <row r="829" spans="4:4" ht="15.75" customHeight="1" x14ac:dyDescent="0.2">
      <c r="D829" s="244"/>
    </row>
    <row r="830" spans="4:4" ht="15.75" customHeight="1" x14ac:dyDescent="0.2">
      <c r="D830" s="244"/>
    </row>
    <row r="831" spans="4:4" ht="15.75" customHeight="1" x14ac:dyDescent="0.2">
      <c r="D831" s="244"/>
    </row>
    <row r="832" spans="4:4" ht="15.75" customHeight="1" x14ac:dyDescent="0.2">
      <c r="D832" s="244"/>
    </row>
    <row r="833" spans="4:4" ht="15.75" customHeight="1" x14ac:dyDescent="0.2">
      <c r="D833" s="244"/>
    </row>
    <row r="834" spans="4:4" ht="15.75" customHeight="1" x14ac:dyDescent="0.2">
      <c r="D834" s="244"/>
    </row>
    <row r="835" spans="4:4" ht="15.75" customHeight="1" x14ac:dyDescent="0.2">
      <c r="D835" s="244"/>
    </row>
    <row r="836" spans="4:4" ht="15.75" customHeight="1" x14ac:dyDescent="0.2">
      <c r="D836" s="244"/>
    </row>
    <row r="837" spans="4:4" ht="15.75" customHeight="1" x14ac:dyDescent="0.2">
      <c r="D837" s="244"/>
    </row>
    <row r="838" spans="4:4" ht="15.75" customHeight="1" x14ac:dyDescent="0.2">
      <c r="D838" s="244"/>
    </row>
    <row r="839" spans="4:4" ht="15.75" customHeight="1" x14ac:dyDescent="0.2">
      <c r="D839" s="244"/>
    </row>
    <row r="840" spans="4:4" ht="15.75" customHeight="1" x14ac:dyDescent="0.2">
      <c r="D840" s="244"/>
    </row>
    <row r="841" spans="4:4" ht="15.75" customHeight="1" x14ac:dyDescent="0.2">
      <c r="D841" s="244"/>
    </row>
    <row r="842" spans="4:4" ht="15.75" customHeight="1" x14ac:dyDescent="0.2">
      <c r="D842" s="244"/>
    </row>
    <row r="843" spans="4:4" ht="15.75" customHeight="1" x14ac:dyDescent="0.2">
      <c r="D843" s="244"/>
    </row>
    <row r="844" spans="4:4" ht="15.75" customHeight="1" x14ac:dyDescent="0.2">
      <c r="D844" s="244"/>
    </row>
    <row r="845" spans="4:4" ht="15.75" customHeight="1" x14ac:dyDescent="0.2">
      <c r="D845" s="244"/>
    </row>
    <row r="846" spans="4:4" ht="15.75" customHeight="1" x14ac:dyDescent="0.2">
      <c r="D846" s="244"/>
    </row>
    <row r="847" spans="4:4" ht="15.75" customHeight="1" x14ac:dyDescent="0.2">
      <c r="D847" s="244"/>
    </row>
    <row r="848" spans="4:4" ht="15.75" customHeight="1" x14ac:dyDescent="0.2">
      <c r="D848" s="244"/>
    </row>
    <row r="849" spans="4:4" ht="15.75" customHeight="1" x14ac:dyDescent="0.2">
      <c r="D849" s="244"/>
    </row>
    <row r="850" spans="4:4" ht="15.75" customHeight="1" x14ac:dyDescent="0.2">
      <c r="D850" s="244"/>
    </row>
    <row r="851" spans="4:4" ht="15.75" customHeight="1" x14ac:dyDescent="0.2">
      <c r="D851" s="244"/>
    </row>
    <row r="852" spans="4:4" ht="15.75" customHeight="1" x14ac:dyDescent="0.2">
      <c r="D852" s="244"/>
    </row>
    <row r="853" spans="4:4" ht="15.75" customHeight="1" x14ac:dyDescent="0.2">
      <c r="D853" s="244"/>
    </row>
    <row r="854" spans="4:4" ht="15.75" customHeight="1" x14ac:dyDescent="0.2">
      <c r="D854" s="244"/>
    </row>
    <row r="855" spans="4:4" ht="15.75" customHeight="1" x14ac:dyDescent="0.2">
      <c r="D855" s="244"/>
    </row>
    <row r="856" spans="4:4" ht="15.75" customHeight="1" x14ac:dyDescent="0.2">
      <c r="D856" s="244"/>
    </row>
    <row r="857" spans="4:4" ht="15.75" customHeight="1" x14ac:dyDescent="0.2">
      <c r="D857" s="244"/>
    </row>
    <row r="858" spans="4:4" ht="15.75" customHeight="1" x14ac:dyDescent="0.2">
      <c r="D858" s="244"/>
    </row>
    <row r="859" spans="4:4" ht="15.75" customHeight="1" x14ac:dyDescent="0.2">
      <c r="D859" s="244"/>
    </row>
    <row r="860" spans="4:4" ht="15.75" customHeight="1" x14ac:dyDescent="0.2">
      <c r="D860" s="244"/>
    </row>
    <row r="861" spans="4:4" ht="15.75" customHeight="1" x14ac:dyDescent="0.2">
      <c r="D861" s="244"/>
    </row>
    <row r="862" spans="4:4" ht="15.75" customHeight="1" x14ac:dyDescent="0.2">
      <c r="D862" s="244"/>
    </row>
    <row r="863" spans="4:4" ht="15.75" customHeight="1" x14ac:dyDescent="0.2">
      <c r="D863" s="244"/>
    </row>
    <row r="864" spans="4:4" ht="15.75" customHeight="1" x14ac:dyDescent="0.2">
      <c r="D864" s="244"/>
    </row>
    <row r="865" spans="4:4" ht="15.75" customHeight="1" x14ac:dyDescent="0.2">
      <c r="D865" s="244"/>
    </row>
    <row r="866" spans="4:4" ht="15.75" customHeight="1" x14ac:dyDescent="0.2">
      <c r="D866" s="244"/>
    </row>
    <row r="867" spans="4:4" ht="15.75" customHeight="1" x14ac:dyDescent="0.2">
      <c r="D867" s="244"/>
    </row>
    <row r="868" spans="4:4" ht="15.75" customHeight="1" x14ac:dyDescent="0.2">
      <c r="D868" s="244"/>
    </row>
    <row r="869" spans="4:4" ht="15.75" customHeight="1" x14ac:dyDescent="0.2">
      <c r="D869" s="244"/>
    </row>
    <row r="870" spans="4:4" ht="15.75" customHeight="1" x14ac:dyDescent="0.2">
      <c r="D870" s="244"/>
    </row>
    <row r="871" spans="4:4" ht="15.75" customHeight="1" x14ac:dyDescent="0.2">
      <c r="D871" s="244"/>
    </row>
    <row r="872" spans="4:4" ht="15.75" customHeight="1" x14ac:dyDescent="0.2">
      <c r="D872" s="244"/>
    </row>
    <row r="873" spans="4:4" ht="15.75" customHeight="1" x14ac:dyDescent="0.2">
      <c r="D873" s="244"/>
    </row>
    <row r="874" spans="4:4" ht="15.75" customHeight="1" x14ac:dyDescent="0.2">
      <c r="D874" s="244"/>
    </row>
    <row r="875" spans="4:4" ht="15.75" customHeight="1" x14ac:dyDescent="0.2">
      <c r="D875" s="244"/>
    </row>
    <row r="876" spans="4:4" ht="15.75" customHeight="1" x14ac:dyDescent="0.2">
      <c r="D876" s="244"/>
    </row>
    <row r="877" spans="4:4" ht="15.75" customHeight="1" x14ac:dyDescent="0.2">
      <c r="D877" s="244"/>
    </row>
    <row r="878" spans="4:4" ht="15.75" customHeight="1" x14ac:dyDescent="0.2">
      <c r="D878" s="244"/>
    </row>
    <row r="879" spans="4:4" ht="15.75" customHeight="1" x14ac:dyDescent="0.2">
      <c r="D879" s="244"/>
    </row>
    <row r="880" spans="4:4" ht="15.75" customHeight="1" x14ac:dyDescent="0.2">
      <c r="D880" s="244"/>
    </row>
    <row r="881" spans="4:4" ht="15.75" customHeight="1" x14ac:dyDescent="0.2">
      <c r="D881" s="244"/>
    </row>
    <row r="882" spans="4:4" ht="15.75" customHeight="1" x14ac:dyDescent="0.2">
      <c r="D882" s="244"/>
    </row>
    <row r="883" spans="4:4" ht="15.75" customHeight="1" x14ac:dyDescent="0.2">
      <c r="D883" s="244"/>
    </row>
    <row r="884" spans="4:4" ht="15.75" customHeight="1" x14ac:dyDescent="0.2">
      <c r="D884" s="244"/>
    </row>
    <row r="885" spans="4:4" ht="15.75" customHeight="1" x14ac:dyDescent="0.2">
      <c r="D885" s="244"/>
    </row>
    <row r="886" spans="4:4" ht="15.75" customHeight="1" x14ac:dyDescent="0.2">
      <c r="D886" s="244"/>
    </row>
    <row r="887" spans="4:4" ht="15.75" customHeight="1" x14ac:dyDescent="0.2">
      <c r="D887" s="244"/>
    </row>
    <row r="888" spans="4:4" ht="15.75" customHeight="1" x14ac:dyDescent="0.2">
      <c r="D888" s="244"/>
    </row>
    <row r="889" spans="4:4" ht="15.75" customHeight="1" x14ac:dyDescent="0.2">
      <c r="D889" s="244"/>
    </row>
    <row r="890" spans="4:4" ht="15.75" customHeight="1" x14ac:dyDescent="0.2">
      <c r="D890" s="244"/>
    </row>
    <row r="891" spans="4:4" ht="15.75" customHeight="1" x14ac:dyDescent="0.2">
      <c r="D891" s="244"/>
    </row>
    <row r="892" spans="4:4" ht="15.75" customHeight="1" x14ac:dyDescent="0.2">
      <c r="D892" s="244"/>
    </row>
    <row r="893" spans="4:4" ht="15.75" customHeight="1" x14ac:dyDescent="0.2">
      <c r="D893" s="244"/>
    </row>
    <row r="894" spans="4:4" ht="15.75" customHeight="1" x14ac:dyDescent="0.2">
      <c r="D894" s="244"/>
    </row>
    <row r="895" spans="4:4" ht="15.75" customHeight="1" x14ac:dyDescent="0.2">
      <c r="D895" s="244"/>
    </row>
    <row r="896" spans="4:4" ht="15.75" customHeight="1" x14ac:dyDescent="0.2">
      <c r="D896" s="244"/>
    </row>
    <row r="897" spans="4:4" ht="15.75" customHeight="1" x14ac:dyDescent="0.2">
      <c r="D897" s="244"/>
    </row>
    <row r="898" spans="4:4" ht="15.75" customHeight="1" x14ac:dyDescent="0.2">
      <c r="D898" s="244"/>
    </row>
    <row r="899" spans="4:4" ht="15.75" customHeight="1" x14ac:dyDescent="0.2">
      <c r="D899" s="244"/>
    </row>
    <row r="900" spans="4:4" ht="15.75" customHeight="1" x14ac:dyDescent="0.2">
      <c r="D900" s="244"/>
    </row>
    <row r="901" spans="4:4" ht="15.75" customHeight="1" x14ac:dyDescent="0.2">
      <c r="D901" s="244"/>
    </row>
    <row r="902" spans="4:4" ht="15.75" customHeight="1" x14ac:dyDescent="0.2">
      <c r="D902" s="244"/>
    </row>
    <row r="903" spans="4:4" ht="15.75" customHeight="1" x14ac:dyDescent="0.2">
      <c r="D903" s="244"/>
    </row>
    <row r="904" spans="4:4" ht="15.75" customHeight="1" x14ac:dyDescent="0.2">
      <c r="D904" s="244"/>
    </row>
    <row r="905" spans="4:4" ht="15.75" customHeight="1" x14ac:dyDescent="0.2">
      <c r="D905" s="244"/>
    </row>
    <row r="906" spans="4:4" ht="15.75" customHeight="1" x14ac:dyDescent="0.2">
      <c r="D906" s="244"/>
    </row>
    <row r="907" spans="4:4" ht="15.75" customHeight="1" x14ac:dyDescent="0.2">
      <c r="D907" s="244"/>
    </row>
    <row r="908" spans="4:4" ht="15.75" customHeight="1" x14ac:dyDescent="0.2">
      <c r="D908" s="244"/>
    </row>
    <row r="909" spans="4:4" ht="15.75" customHeight="1" x14ac:dyDescent="0.2">
      <c r="D909" s="244"/>
    </row>
    <row r="910" spans="4:4" ht="15.75" customHeight="1" x14ac:dyDescent="0.2">
      <c r="D910" s="244"/>
    </row>
    <row r="911" spans="4:4" ht="15.75" customHeight="1" x14ac:dyDescent="0.2">
      <c r="D911" s="244"/>
    </row>
    <row r="912" spans="4:4" ht="15.75" customHeight="1" x14ac:dyDescent="0.2">
      <c r="D912" s="244"/>
    </row>
    <row r="913" spans="4:4" ht="15.75" customHeight="1" x14ac:dyDescent="0.2">
      <c r="D913" s="244"/>
    </row>
    <row r="914" spans="4:4" ht="15.75" customHeight="1" x14ac:dyDescent="0.2">
      <c r="D914" s="244"/>
    </row>
    <row r="915" spans="4:4" ht="15.75" customHeight="1" x14ac:dyDescent="0.2">
      <c r="D915" s="244"/>
    </row>
    <row r="916" spans="4:4" ht="15.75" customHeight="1" x14ac:dyDescent="0.2">
      <c r="D916" s="244"/>
    </row>
    <row r="917" spans="4:4" ht="15.75" customHeight="1" x14ac:dyDescent="0.2">
      <c r="D917" s="244"/>
    </row>
    <row r="918" spans="4:4" ht="15.75" customHeight="1" x14ac:dyDescent="0.2">
      <c r="D918" s="244"/>
    </row>
    <row r="919" spans="4:4" ht="15.75" customHeight="1" x14ac:dyDescent="0.2">
      <c r="D919" s="244"/>
    </row>
    <row r="920" spans="4:4" ht="15.75" customHeight="1" x14ac:dyDescent="0.2">
      <c r="D920" s="244"/>
    </row>
    <row r="921" spans="4:4" ht="15.75" customHeight="1" x14ac:dyDescent="0.2">
      <c r="D921" s="244"/>
    </row>
    <row r="922" spans="4:4" ht="15.75" customHeight="1" x14ac:dyDescent="0.2">
      <c r="D922" s="244"/>
    </row>
    <row r="923" spans="4:4" ht="15.75" customHeight="1" x14ac:dyDescent="0.2">
      <c r="D923" s="244"/>
    </row>
    <row r="924" spans="4:4" ht="15.75" customHeight="1" x14ac:dyDescent="0.2">
      <c r="D924" s="244"/>
    </row>
    <row r="925" spans="4:4" ht="15.75" customHeight="1" x14ac:dyDescent="0.2">
      <c r="D925" s="244"/>
    </row>
    <row r="926" spans="4:4" ht="15.75" customHeight="1" x14ac:dyDescent="0.2">
      <c r="D926" s="244"/>
    </row>
    <row r="927" spans="4:4" ht="15.75" customHeight="1" x14ac:dyDescent="0.2">
      <c r="D927" s="244"/>
    </row>
    <row r="928" spans="4:4" ht="15.75" customHeight="1" x14ac:dyDescent="0.2">
      <c r="D928" s="244"/>
    </row>
    <row r="929" spans="4:4" ht="15.75" customHeight="1" x14ac:dyDescent="0.2">
      <c r="D929" s="244"/>
    </row>
    <row r="930" spans="4:4" ht="15.75" customHeight="1" x14ac:dyDescent="0.2">
      <c r="D930" s="244"/>
    </row>
    <row r="931" spans="4:4" ht="15.75" customHeight="1" x14ac:dyDescent="0.2">
      <c r="D931" s="244"/>
    </row>
    <row r="932" spans="4:4" ht="15.75" customHeight="1" x14ac:dyDescent="0.2">
      <c r="D932" s="244"/>
    </row>
    <row r="933" spans="4:4" ht="15.75" customHeight="1" x14ac:dyDescent="0.2">
      <c r="D933" s="244"/>
    </row>
    <row r="934" spans="4:4" ht="15.75" customHeight="1" x14ac:dyDescent="0.2">
      <c r="D934" s="244"/>
    </row>
    <row r="935" spans="4:4" ht="15.75" customHeight="1" x14ac:dyDescent="0.2">
      <c r="D935" s="244"/>
    </row>
    <row r="936" spans="4:4" ht="15.75" customHeight="1" x14ac:dyDescent="0.2">
      <c r="D936" s="244"/>
    </row>
    <row r="937" spans="4:4" ht="15.75" customHeight="1" x14ac:dyDescent="0.2">
      <c r="D937" s="244"/>
    </row>
    <row r="938" spans="4:4" ht="15.75" customHeight="1" x14ac:dyDescent="0.2">
      <c r="D938" s="244"/>
    </row>
    <row r="939" spans="4:4" ht="15.75" customHeight="1" x14ac:dyDescent="0.2">
      <c r="D939" s="244"/>
    </row>
    <row r="940" spans="4:4" ht="15.75" customHeight="1" x14ac:dyDescent="0.2">
      <c r="D940" s="244"/>
    </row>
    <row r="941" spans="4:4" ht="15.75" customHeight="1" x14ac:dyDescent="0.2">
      <c r="D941" s="244"/>
    </row>
    <row r="942" spans="4:4" ht="15.75" customHeight="1" x14ac:dyDescent="0.2">
      <c r="D942" s="244"/>
    </row>
    <row r="943" spans="4:4" ht="15.75" customHeight="1" x14ac:dyDescent="0.2">
      <c r="D943" s="244"/>
    </row>
    <row r="944" spans="4:4" ht="15.75" customHeight="1" x14ac:dyDescent="0.2">
      <c r="D944" s="244"/>
    </row>
    <row r="945" spans="4:4" ht="15.75" customHeight="1" x14ac:dyDescent="0.2">
      <c r="D945" s="244"/>
    </row>
    <row r="946" spans="4:4" ht="15.75" customHeight="1" x14ac:dyDescent="0.2">
      <c r="D946" s="244"/>
    </row>
    <row r="947" spans="4:4" ht="15.75" customHeight="1" x14ac:dyDescent="0.2">
      <c r="D947" s="244"/>
    </row>
    <row r="948" spans="4:4" ht="15.75" customHeight="1" x14ac:dyDescent="0.2">
      <c r="D948" s="244"/>
    </row>
    <row r="949" spans="4:4" ht="15.75" customHeight="1" x14ac:dyDescent="0.2">
      <c r="D949" s="244"/>
    </row>
    <row r="950" spans="4:4" ht="15.75" customHeight="1" x14ac:dyDescent="0.2">
      <c r="D950" s="244"/>
    </row>
    <row r="951" spans="4:4" ht="15.75" customHeight="1" x14ac:dyDescent="0.2">
      <c r="D951" s="244"/>
    </row>
    <row r="952" spans="4:4" ht="15.75" customHeight="1" x14ac:dyDescent="0.2">
      <c r="D952" s="244"/>
    </row>
    <row r="953" spans="4:4" ht="15.75" customHeight="1" x14ac:dyDescent="0.2">
      <c r="D953" s="244"/>
    </row>
    <row r="954" spans="4:4" ht="15.75" customHeight="1" x14ac:dyDescent="0.2">
      <c r="D954" s="244"/>
    </row>
    <row r="955" spans="4:4" ht="15.75" customHeight="1" x14ac:dyDescent="0.2">
      <c r="D955" s="244"/>
    </row>
    <row r="956" spans="4:4" ht="15.75" customHeight="1" x14ac:dyDescent="0.2">
      <c r="D956" s="244"/>
    </row>
    <row r="957" spans="4:4" ht="15.75" customHeight="1" x14ac:dyDescent="0.2">
      <c r="D957" s="244"/>
    </row>
    <row r="958" spans="4:4" ht="15.75" customHeight="1" x14ac:dyDescent="0.2">
      <c r="D958" s="244"/>
    </row>
    <row r="959" spans="4:4" ht="15.75" customHeight="1" x14ac:dyDescent="0.2">
      <c r="D959" s="244"/>
    </row>
    <row r="960" spans="4:4" ht="15.75" customHeight="1" x14ac:dyDescent="0.2">
      <c r="D960" s="244"/>
    </row>
    <row r="961" spans="4:4" ht="15.75" customHeight="1" x14ac:dyDescent="0.2">
      <c r="D961" s="244"/>
    </row>
    <row r="962" spans="4:4" ht="15.75" customHeight="1" x14ac:dyDescent="0.2">
      <c r="D962" s="244"/>
    </row>
    <row r="963" spans="4:4" ht="15.75" customHeight="1" x14ac:dyDescent="0.2">
      <c r="D963" s="244"/>
    </row>
    <row r="964" spans="4:4" ht="15.75" customHeight="1" x14ac:dyDescent="0.2">
      <c r="D964" s="244"/>
    </row>
    <row r="965" spans="4:4" ht="15.75" customHeight="1" x14ac:dyDescent="0.2">
      <c r="D965" s="244"/>
    </row>
    <row r="966" spans="4:4" ht="15.75" customHeight="1" x14ac:dyDescent="0.2">
      <c r="D966" s="244"/>
    </row>
    <row r="967" spans="4:4" ht="15.75" customHeight="1" x14ac:dyDescent="0.2">
      <c r="D967" s="244"/>
    </row>
    <row r="968" spans="4:4" ht="15.75" customHeight="1" x14ac:dyDescent="0.2">
      <c r="D968" s="244"/>
    </row>
    <row r="969" spans="4:4" ht="15.75" customHeight="1" x14ac:dyDescent="0.2">
      <c r="D969" s="244"/>
    </row>
    <row r="970" spans="4:4" ht="15.75" customHeight="1" x14ac:dyDescent="0.2">
      <c r="D970" s="244"/>
    </row>
    <row r="971" spans="4:4" ht="15.75" customHeight="1" x14ac:dyDescent="0.2">
      <c r="D971" s="244"/>
    </row>
    <row r="972" spans="4:4" ht="15.75" customHeight="1" x14ac:dyDescent="0.2">
      <c r="D972" s="244"/>
    </row>
    <row r="973" spans="4:4" ht="15.75" customHeight="1" x14ac:dyDescent="0.2">
      <c r="D973" s="244"/>
    </row>
    <row r="974" spans="4:4" ht="15.75" customHeight="1" x14ac:dyDescent="0.2">
      <c r="D974" s="244"/>
    </row>
    <row r="975" spans="4:4" ht="15.75" customHeight="1" x14ac:dyDescent="0.2">
      <c r="D975" s="244"/>
    </row>
    <row r="976" spans="4:4" ht="15.75" customHeight="1" x14ac:dyDescent="0.2">
      <c r="D976" s="244"/>
    </row>
    <row r="977" spans="4:4" ht="15.75" customHeight="1" x14ac:dyDescent="0.2">
      <c r="D977" s="244"/>
    </row>
    <row r="978" spans="4:4" ht="15.75" customHeight="1" x14ac:dyDescent="0.2">
      <c r="D978" s="244"/>
    </row>
    <row r="979" spans="4:4" ht="15.75" customHeight="1" x14ac:dyDescent="0.2">
      <c r="D979" s="244"/>
    </row>
    <row r="980" spans="4:4" ht="15.75" customHeight="1" x14ac:dyDescent="0.2">
      <c r="D980" s="244"/>
    </row>
    <row r="981" spans="4:4" ht="15.75" customHeight="1" x14ac:dyDescent="0.2">
      <c r="D981" s="244"/>
    </row>
    <row r="982" spans="4:4" ht="15.75" customHeight="1" x14ac:dyDescent="0.2">
      <c r="D982" s="244"/>
    </row>
    <row r="983" spans="4:4" ht="15.75" customHeight="1" x14ac:dyDescent="0.2">
      <c r="D983" s="244"/>
    </row>
    <row r="984" spans="4:4" ht="15.75" customHeight="1" x14ac:dyDescent="0.2">
      <c r="D984" s="244"/>
    </row>
    <row r="985" spans="4:4" ht="15.75" customHeight="1" x14ac:dyDescent="0.2">
      <c r="D985" s="244"/>
    </row>
    <row r="986" spans="4:4" ht="15.75" customHeight="1" x14ac:dyDescent="0.2">
      <c r="D986" s="244"/>
    </row>
    <row r="987" spans="4:4" ht="15.75" customHeight="1" x14ac:dyDescent="0.2">
      <c r="D987" s="244"/>
    </row>
    <row r="988" spans="4:4" ht="15.75" customHeight="1" x14ac:dyDescent="0.2">
      <c r="D988" s="244"/>
    </row>
    <row r="989" spans="4:4" ht="15.75" customHeight="1" x14ac:dyDescent="0.2">
      <c r="D989" s="244"/>
    </row>
    <row r="990" spans="4:4" ht="15.75" customHeight="1" x14ac:dyDescent="0.2">
      <c r="D990" s="244"/>
    </row>
    <row r="991" spans="4:4" ht="15.75" customHeight="1" x14ac:dyDescent="0.2">
      <c r="D991" s="244"/>
    </row>
    <row r="992" spans="4:4" ht="15.75" customHeight="1" x14ac:dyDescent="0.2">
      <c r="D992" s="244"/>
    </row>
    <row r="993" spans="4:4" ht="15.75" customHeight="1" x14ac:dyDescent="0.2">
      <c r="D993" s="244"/>
    </row>
    <row r="994" spans="4:4" ht="15.75" customHeight="1" x14ac:dyDescent="0.2">
      <c r="D994" s="244"/>
    </row>
    <row r="995" spans="4:4" ht="15.75" customHeight="1" x14ac:dyDescent="0.2">
      <c r="D995" s="244"/>
    </row>
    <row r="996" spans="4:4" ht="15.75" customHeight="1" x14ac:dyDescent="0.2">
      <c r="D996" s="244"/>
    </row>
  </sheetData>
  <mergeCells count="11">
    <mergeCell ref="A6:C6"/>
    <mergeCell ref="D6:N6"/>
    <mergeCell ref="A7:C7"/>
    <mergeCell ref="D7:I7"/>
    <mergeCell ref="J7:N7"/>
    <mergeCell ref="A1:C4"/>
    <mergeCell ref="D1:M4"/>
    <mergeCell ref="N1:N2"/>
    <mergeCell ref="N3:N4"/>
    <mergeCell ref="A5:C5"/>
    <mergeCell ref="D5:N5"/>
  </mergeCells>
  <dataValidations count="1">
    <dataValidation type="list" allowBlank="1" showErrorMessage="1" sqref="J9:M16" xr:uid="{00000000-0002-0000-2400-000000000000}">
      <formula1>"SI,NO"</formula1>
    </dataValidation>
  </dataValidations>
  <pageMargins left="0.11811023622047245" right="0.11811023622047245" top="1.1417322834645669" bottom="0.19685039370078741" header="0" footer="0"/>
  <pageSetup scale="79" orientation="landscape" r:id="rId1"/>
  <headerFooter>
    <oddHeader>&amp;C Matriz de Riesgos</oddHead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ErrorMessage="1" xr:uid="{00000000-0002-0000-2400-000001000000}">
          <x14:formula1>
            <xm:f>'C:\Users\sgomez.UPME\Documents\UPME 2020\Documents\Mapas de riesgos\[Mapa de riesgos PEI ENERGÌA ELÈCTRICA.xlsx]Datos'!#REF!</xm:f>
          </x14:formula1>
          <xm:sqref>G9:G16 A9:C16</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K982"/>
  <sheetViews>
    <sheetView showGridLines="0" topLeftCell="O31" zoomScale="55" zoomScaleNormal="55" workbookViewId="0">
      <selection activeCell="Y33" sqref="Y33:AC33"/>
    </sheetView>
  </sheetViews>
  <sheetFormatPr baseColWidth="10" defaultColWidth="12.625" defaultRowHeight="15" customHeight="1" x14ac:dyDescent="0.2"/>
  <cols>
    <col min="1" max="1" width="4.75" style="228" customWidth="1"/>
    <col min="2" max="2" width="25.125" style="228" customWidth="1"/>
    <col min="3" max="3" width="56.25" style="228" customWidth="1"/>
    <col min="4" max="4" width="26.25" style="228" customWidth="1"/>
    <col min="5" max="5" width="10.625" style="228" customWidth="1"/>
    <col min="6" max="6" width="17.25" style="228" customWidth="1"/>
    <col min="7" max="7" width="12.875" style="228" customWidth="1"/>
    <col min="8" max="8" width="5.375" style="228" customWidth="1"/>
    <col min="9" max="9" width="14" style="228" customWidth="1"/>
    <col min="10" max="10" width="12.75" style="228" customWidth="1"/>
    <col min="11" max="11" width="22.875" style="228" customWidth="1"/>
    <col min="12" max="12" width="41" style="228" customWidth="1"/>
    <col min="13" max="13" width="13.75" style="228" customWidth="1"/>
    <col min="14" max="14" width="15" style="228" customWidth="1"/>
    <col min="15" max="15" width="19.25" style="228" customWidth="1"/>
    <col min="16" max="16" width="18.875" style="228" customWidth="1"/>
    <col min="17" max="17" width="12" style="228" customWidth="1"/>
    <col min="18" max="18" width="12.625" style="228" customWidth="1"/>
    <col min="19" max="20" width="13.625" style="228" customWidth="1"/>
    <col min="21" max="21" width="17.5" style="228" customWidth="1"/>
    <col min="22" max="22" width="12.125" style="228" customWidth="1"/>
    <col min="23" max="23" width="13.875" style="228" customWidth="1"/>
    <col min="24" max="24" width="14.375" style="228" customWidth="1"/>
    <col min="25" max="25" width="35.75" style="228" customWidth="1"/>
    <col min="26" max="26" width="24.25" style="228" customWidth="1"/>
    <col min="27" max="28" width="10.875" style="228" customWidth="1"/>
    <col min="29" max="29" width="31.125" style="228" customWidth="1"/>
    <col min="30" max="33" width="22.5" style="228" customWidth="1"/>
    <col min="34" max="35" width="18.5" style="228" customWidth="1"/>
    <col min="36" max="36" width="39.5" style="228" customWidth="1"/>
    <col min="37" max="37" width="59.375" style="228" customWidth="1"/>
    <col min="38" max="16384" width="12.625" style="228"/>
  </cols>
  <sheetData>
    <row r="1" spans="1:37" ht="14.25" x14ac:dyDescent="0.2">
      <c r="A1" s="1392"/>
      <c r="B1" s="1200"/>
      <c r="C1" s="1201"/>
      <c r="D1" s="1393" t="s">
        <v>55</v>
      </c>
      <c r="E1" s="1200"/>
      <c r="F1" s="1200"/>
      <c r="G1" s="1200"/>
      <c r="H1" s="1200"/>
      <c r="I1" s="1200"/>
      <c r="J1" s="1200"/>
      <c r="K1" s="1200"/>
      <c r="L1" s="1200"/>
      <c r="M1" s="1200"/>
      <c r="N1" s="1200"/>
      <c r="O1" s="1200"/>
      <c r="P1" s="1200"/>
      <c r="Q1" s="1200"/>
      <c r="R1" s="1200"/>
      <c r="S1" s="1200"/>
      <c r="T1" s="1200"/>
      <c r="U1" s="1200"/>
      <c r="V1" s="1200"/>
      <c r="W1" s="1200"/>
      <c r="X1" s="1200"/>
      <c r="Y1" s="1200"/>
      <c r="Z1" s="1200"/>
      <c r="AA1" s="1200"/>
      <c r="AB1" s="1200"/>
      <c r="AC1" s="1200"/>
      <c r="AD1" s="1200"/>
      <c r="AE1" s="1200"/>
      <c r="AF1" s="1200"/>
      <c r="AG1" s="1200"/>
      <c r="AH1" s="1200"/>
      <c r="AI1" s="1200"/>
      <c r="AJ1" s="1201"/>
      <c r="AK1" s="1394" t="s">
        <v>35</v>
      </c>
    </row>
    <row r="2" spans="1:37" ht="14.25" x14ac:dyDescent="0.2">
      <c r="A2" s="1202"/>
      <c r="B2" s="1203"/>
      <c r="C2" s="1198"/>
      <c r="D2" s="1202"/>
      <c r="E2" s="1203"/>
      <c r="F2" s="1203"/>
      <c r="G2" s="1203"/>
      <c r="H2" s="1203"/>
      <c r="I2" s="1203"/>
      <c r="J2" s="1203"/>
      <c r="K2" s="1203"/>
      <c r="L2" s="1203"/>
      <c r="M2" s="1203"/>
      <c r="N2" s="1203"/>
      <c r="O2" s="1203"/>
      <c r="P2" s="1203"/>
      <c r="Q2" s="1203"/>
      <c r="R2" s="1203"/>
      <c r="S2" s="1203"/>
      <c r="T2" s="1203"/>
      <c r="U2" s="1203"/>
      <c r="V2" s="1203"/>
      <c r="W2" s="1203"/>
      <c r="X2" s="1203"/>
      <c r="Y2" s="1203"/>
      <c r="Z2" s="1203"/>
      <c r="AA2" s="1203"/>
      <c r="AB2" s="1203"/>
      <c r="AC2" s="1203"/>
      <c r="AD2" s="1203"/>
      <c r="AE2" s="1203"/>
      <c r="AF2" s="1203"/>
      <c r="AG2" s="1203"/>
      <c r="AH2" s="1203"/>
      <c r="AI2" s="1203"/>
      <c r="AJ2" s="1198"/>
      <c r="AK2" s="1208"/>
    </row>
    <row r="3" spans="1:37" ht="14.25" x14ac:dyDescent="0.2">
      <c r="A3" s="1202"/>
      <c r="B3" s="1203"/>
      <c r="C3" s="1198"/>
      <c r="D3" s="1202"/>
      <c r="E3" s="1203"/>
      <c r="F3" s="1203"/>
      <c r="G3" s="1203"/>
      <c r="H3" s="1203"/>
      <c r="I3" s="1203"/>
      <c r="J3" s="1203"/>
      <c r="K3" s="1203"/>
      <c r="L3" s="1203"/>
      <c r="M3" s="1203"/>
      <c r="N3" s="1203"/>
      <c r="O3" s="1203"/>
      <c r="P3" s="1203"/>
      <c r="Q3" s="1203"/>
      <c r="R3" s="1203"/>
      <c r="S3" s="1203"/>
      <c r="T3" s="1203"/>
      <c r="U3" s="1203"/>
      <c r="V3" s="1203"/>
      <c r="W3" s="1203"/>
      <c r="X3" s="1203"/>
      <c r="Y3" s="1203"/>
      <c r="Z3" s="1203"/>
      <c r="AA3" s="1203"/>
      <c r="AB3" s="1203"/>
      <c r="AC3" s="1203"/>
      <c r="AD3" s="1203"/>
      <c r="AE3" s="1203"/>
      <c r="AF3" s="1203"/>
      <c r="AG3" s="1203"/>
      <c r="AH3" s="1203"/>
      <c r="AI3" s="1203"/>
      <c r="AJ3" s="1198"/>
      <c r="AK3" s="1394" t="s">
        <v>56</v>
      </c>
    </row>
    <row r="4" spans="1:37" thickBot="1" x14ac:dyDescent="0.25">
      <c r="A4" s="1204"/>
      <c r="B4" s="1205"/>
      <c r="C4" s="1206"/>
      <c r="D4" s="1204"/>
      <c r="E4" s="1205"/>
      <c r="F4" s="1205"/>
      <c r="G4" s="1205"/>
      <c r="H4" s="1205"/>
      <c r="I4" s="1205"/>
      <c r="J4" s="1205"/>
      <c r="K4" s="1205"/>
      <c r="L4" s="1205"/>
      <c r="M4" s="1205"/>
      <c r="N4" s="1205"/>
      <c r="O4" s="1205"/>
      <c r="P4" s="1205"/>
      <c r="Q4" s="1205"/>
      <c r="R4" s="1205"/>
      <c r="S4" s="1205"/>
      <c r="T4" s="1205"/>
      <c r="U4" s="1205"/>
      <c r="V4" s="1205"/>
      <c r="W4" s="1205"/>
      <c r="X4" s="1205"/>
      <c r="Y4" s="1205"/>
      <c r="Z4" s="1205"/>
      <c r="AA4" s="1205"/>
      <c r="AB4" s="1205"/>
      <c r="AC4" s="1205"/>
      <c r="AD4" s="1205"/>
      <c r="AE4" s="1205"/>
      <c r="AF4" s="1205"/>
      <c r="AG4" s="1205"/>
      <c r="AH4" s="1205"/>
      <c r="AI4" s="1205"/>
      <c r="AJ4" s="1206"/>
      <c r="AK4" s="1208"/>
    </row>
    <row r="5" spans="1:37" ht="18.75" customHeight="1" x14ac:dyDescent="0.25">
      <c r="A5" s="1395" t="s">
        <v>57</v>
      </c>
      <c r="B5" s="1396"/>
      <c r="C5" s="1396"/>
      <c r="D5" s="1396"/>
      <c r="E5" s="1396"/>
      <c r="F5" s="1396"/>
      <c r="G5" s="1396"/>
      <c r="H5" s="1396"/>
      <c r="I5" s="1397"/>
      <c r="J5" s="388"/>
      <c r="K5" s="1398" t="s">
        <v>58</v>
      </c>
      <c r="L5" s="1396"/>
      <c r="M5" s="1396"/>
      <c r="N5" s="1396"/>
      <c r="O5" s="1396"/>
      <c r="P5" s="1397"/>
      <c r="Q5" s="1399" t="s">
        <v>59</v>
      </c>
      <c r="R5" s="1396"/>
      <c r="S5" s="1396"/>
      <c r="T5" s="1396"/>
      <c r="U5" s="1396"/>
      <c r="V5" s="1396"/>
      <c r="W5" s="1396"/>
      <c r="X5" s="1396"/>
      <c r="Y5" s="1400" t="s">
        <v>60</v>
      </c>
      <c r="Z5" s="1396"/>
      <c r="AA5" s="1396"/>
      <c r="AB5" s="1396"/>
      <c r="AC5" s="1397"/>
      <c r="AD5" s="1400" t="s">
        <v>61</v>
      </c>
      <c r="AE5" s="1396"/>
      <c r="AF5" s="1396"/>
      <c r="AG5" s="1396"/>
      <c r="AH5" s="1396"/>
      <c r="AI5" s="1397"/>
      <c r="AJ5" s="389" t="s">
        <v>62</v>
      </c>
      <c r="AK5" s="389" t="s">
        <v>63</v>
      </c>
    </row>
    <row r="6" spans="1:37" ht="51" x14ac:dyDescent="0.2">
      <c r="A6" s="247" t="s">
        <v>44</v>
      </c>
      <c r="B6" s="247" t="s">
        <v>64</v>
      </c>
      <c r="C6" s="247" t="s">
        <v>65</v>
      </c>
      <c r="D6" s="248" t="s">
        <v>66</v>
      </c>
      <c r="E6" s="247" t="s">
        <v>67</v>
      </c>
      <c r="F6" s="247" t="s">
        <v>68</v>
      </c>
      <c r="G6" s="248" t="s">
        <v>69</v>
      </c>
      <c r="H6" s="248" t="s">
        <v>70</v>
      </c>
      <c r="I6" s="247" t="s">
        <v>71</v>
      </c>
      <c r="J6" s="247" t="s">
        <v>72</v>
      </c>
      <c r="K6" s="247" t="s">
        <v>73</v>
      </c>
      <c r="L6" s="247" t="s">
        <v>74</v>
      </c>
      <c r="M6" s="249" t="s">
        <v>75</v>
      </c>
      <c r="N6" s="247" t="s">
        <v>76</v>
      </c>
      <c r="O6" s="247" t="s">
        <v>77</v>
      </c>
      <c r="P6" s="247" t="s">
        <v>78</v>
      </c>
      <c r="Q6" s="247" t="s">
        <v>79</v>
      </c>
      <c r="R6" s="247" t="s">
        <v>80</v>
      </c>
      <c r="S6" s="247" t="s">
        <v>67</v>
      </c>
      <c r="T6" s="247" t="s">
        <v>70</v>
      </c>
      <c r="U6" s="247" t="s">
        <v>81</v>
      </c>
      <c r="V6" s="247" t="s">
        <v>82</v>
      </c>
      <c r="W6" s="247" t="s">
        <v>83</v>
      </c>
      <c r="X6" s="247" t="s">
        <v>84</v>
      </c>
      <c r="Y6" s="247" t="s">
        <v>85</v>
      </c>
      <c r="Z6" s="247" t="s">
        <v>86</v>
      </c>
      <c r="AA6" s="247" t="s">
        <v>87</v>
      </c>
      <c r="AB6" s="247" t="s">
        <v>88</v>
      </c>
      <c r="AC6" s="247" t="s">
        <v>89</v>
      </c>
      <c r="AD6" s="247" t="s">
        <v>90</v>
      </c>
      <c r="AE6" s="247" t="s">
        <v>91</v>
      </c>
      <c r="AF6" s="247" t="s">
        <v>92</v>
      </c>
      <c r="AG6" s="247" t="s">
        <v>91</v>
      </c>
      <c r="AH6" s="247" t="s">
        <v>93</v>
      </c>
      <c r="AI6" s="247" t="s">
        <v>91</v>
      </c>
      <c r="AJ6" s="247" t="s">
        <v>94</v>
      </c>
      <c r="AK6" s="247" t="s">
        <v>95</v>
      </c>
    </row>
    <row r="7" spans="1:37" ht="123" customHeight="1" x14ac:dyDescent="0.2">
      <c r="A7" s="1231" t="e">
        <f>#REF!</f>
        <v>#REF!</v>
      </c>
      <c r="B7" s="1232" t="e">
        <f>#REF!</f>
        <v>#REF!</v>
      </c>
      <c r="C7" s="1232" t="e">
        <f>#REF!</f>
        <v>#REF!</v>
      </c>
      <c r="D7" s="1233" t="s">
        <v>236</v>
      </c>
      <c r="E7" s="1231">
        <f>IF(D7="Selecciona un descriptor de frecuencia."," ",IF(D7="","",VLOOKUP(D7,[5]Datos!$G$8:$J$12,2,FALSE)))</f>
        <v>1</v>
      </c>
      <c r="F7" s="1231" t="str">
        <f>IF(D7="Selecciona un descriptor de frecuencia."," ",IF(D7="","",VLOOKUP(D7,[5]Datos!$G$8:$J$12,3,FALSE)))</f>
        <v>Rara vez</v>
      </c>
      <c r="G7" s="1233" t="s">
        <v>204</v>
      </c>
      <c r="H7" s="1231">
        <f>IF(G7="Selecciona un descriptor de impacto."," ",IF(G7="","",VLOOKUP(G7,[5]Datos!$K$8:$L$12,2,FALSE)))</f>
        <v>3</v>
      </c>
      <c r="I7" s="1234" t="str">
        <f>IF(D7="Selecciona un descriptor de frecuencia."," ",IF(G7="Selecciona un descriptor de impacto."," ",IF(E7+H7=" ","",IF(E7="","",VLOOKUP(E7,[5]Datos!$U$8:$Z$12,MATCH(H7,[5]Datos!$V$7:$Z$7,0)+1,FALSE)))))</f>
        <v>MODERADO</v>
      </c>
      <c r="J7" s="1235" t="s">
        <v>122</v>
      </c>
      <c r="K7" s="257" t="s">
        <v>562</v>
      </c>
      <c r="L7" s="257" t="s">
        <v>563</v>
      </c>
      <c r="M7" s="251">
        <f>[5]Controles!T9</f>
        <v>100</v>
      </c>
      <c r="N7" s="251" t="str">
        <f>[5]Controles!AB9</f>
        <v>No</v>
      </c>
      <c r="O7" s="252">
        <f>[5]Controles!W9</f>
        <v>1</v>
      </c>
      <c r="P7" s="252">
        <f>[5]Controles!X9</f>
        <v>0</v>
      </c>
      <c r="Q7" s="1237">
        <f>SUM(O7:O10)</f>
        <v>4</v>
      </c>
      <c r="R7" s="1237">
        <f>SUM(P7:P10)</f>
        <v>0</v>
      </c>
      <c r="S7" s="1238">
        <f>IF(D7="Selecciona un descriptor de frecuencia."," ",IF(ROUNDUP(E7-Q7,0)&lt;=0,1,ROUNDUP(E7-Q7,0)))</f>
        <v>1</v>
      </c>
      <c r="T7" s="1238">
        <f>IF(G7="Selecciona un descriptor de impacto."," ",IF(ROUNDUP(H7-R7,0)&lt;0,1,ROUNDUP(H7-R7,0)))</f>
        <v>3</v>
      </c>
      <c r="U7" s="1237" t="str">
        <f>IF(D7="Selecciona un descriptor de frecuencia."," ",VLOOKUP(S7,[5]Datos!$H$8:$I$12,2,FALSE))</f>
        <v>Rara vez</v>
      </c>
      <c r="V7" s="1237" t="str">
        <f>IF(G7="Selecciona un descriptor de impacto."," ",VLOOKUP(T7,[5]Datos!$L$8:$M$12,2,FALSE))</f>
        <v>Moderado</v>
      </c>
      <c r="W7" s="1234" t="str">
        <f>IF(S7=" "," ",VLOOKUP(S7,[5]Datos!$U$8:$Z$12,MATCH(T7,[5]Datos!$V$7:$Z$7,0)+1,FALSE))</f>
        <v>MODERADO</v>
      </c>
      <c r="X7" s="1233" t="s">
        <v>202</v>
      </c>
      <c r="Y7" s="257"/>
      <c r="Z7" s="258"/>
      <c r="AA7" s="255"/>
      <c r="AB7" s="255"/>
      <c r="AC7" s="258"/>
      <c r="AD7" s="256"/>
      <c r="AE7" s="256"/>
      <c r="AF7" s="256"/>
      <c r="AG7" s="256"/>
      <c r="AH7" s="256"/>
      <c r="AI7" s="256"/>
      <c r="AJ7" s="256"/>
      <c r="AK7" s="256"/>
    </row>
    <row r="8" spans="1:37" ht="91.5" customHeight="1" x14ac:dyDescent="0.2">
      <c r="A8" s="1225"/>
      <c r="B8" s="1225"/>
      <c r="C8" s="1225"/>
      <c r="D8" s="1225"/>
      <c r="E8" s="1225"/>
      <c r="F8" s="1225"/>
      <c r="G8" s="1225"/>
      <c r="H8" s="1225"/>
      <c r="I8" s="1225"/>
      <c r="J8" s="1225"/>
      <c r="K8" s="257" t="s">
        <v>564</v>
      </c>
      <c r="L8" s="257" t="s">
        <v>565</v>
      </c>
      <c r="M8" s="251">
        <f>[5]Controles!T10</f>
        <v>100</v>
      </c>
      <c r="N8" s="251" t="str">
        <f>[5]Controles!AB10</f>
        <v>No</v>
      </c>
      <c r="O8" s="252">
        <f>[5]Controles!W10</f>
        <v>1</v>
      </c>
      <c r="P8" s="252">
        <f>[5]Controles!X10</f>
        <v>0</v>
      </c>
      <c r="Q8" s="1225"/>
      <c r="R8" s="1225"/>
      <c r="S8" s="1225"/>
      <c r="T8" s="1225"/>
      <c r="U8" s="1225"/>
      <c r="V8" s="1225"/>
      <c r="W8" s="1225"/>
      <c r="X8" s="1225"/>
      <c r="Y8" s="257"/>
      <c r="Z8" s="258"/>
      <c r="AA8" s="255"/>
      <c r="AB8" s="255"/>
      <c r="AC8" s="258"/>
      <c r="AD8" s="256"/>
      <c r="AE8" s="256"/>
      <c r="AF8" s="256"/>
      <c r="AG8" s="256"/>
      <c r="AH8" s="256"/>
      <c r="AI8" s="256"/>
      <c r="AJ8" s="256"/>
      <c r="AK8" s="256"/>
    </row>
    <row r="9" spans="1:37" ht="60.75" customHeight="1" x14ac:dyDescent="0.2">
      <c r="A9" s="1225"/>
      <c r="B9" s="1225"/>
      <c r="C9" s="1225"/>
      <c r="D9" s="1225"/>
      <c r="E9" s="1225"/>
      <c r="F9" s="1225"/>
      <c r="G9" s="1225"/>
      <c r="H9" s="1225"/>
      <c r="I9" s="1225"/>
      <c r="J9" s="1225"/>
      <c r="K9" s="257" t="s">
        <v>566</v>
      </c>
      <c r="L9" s="257" t="s">
        <v>567</v>
      </c>
      <c r="M9" s="251">
        <f>[5]Controles!T11</f>
        <v>100</v>
      </c>
      <c r="N9" s="251" t="str">
        <f>[5]Controles!AB11</f>
        <v>No</v>
      </c>
      <c r="O9" s="252">
        <f>[5]Controles!W11</f>
        <v>1</v>
      </c>
      <c r="P9" s="252">
        <f>[5]Controles!X11</f>
        <v>0</v>
      </c>
      <c r="Q9" s="1225"/>
      <c r="R9" s="1225"/>
      <c r="S9" s="1225"/>
      <c r="T9" s="1225"/>
      <c r="U9" s="1225"/>
      <c r="V9" s="1225"/>
      <c r="W9" s="1225"/>
      <c r="X9" s="1225"/>
      <c r="Y9" s="253" t="s">
        <v>568</v>
      </c>
      <c r="Z9" s="258" t="s">
        <v>569</v>
      </c>
      <c r="AA9" s="255">
        <v>43831</v>
      </c>
      <c r="AB9" s="255">
        <v>44561</v>
      </c>
      <c r="AC9" s="254" t="s">
        <v>570</v>
      </c>
      <c r="AD9" s="256"/>
      <c r="AE9" s="256"/>
      <c r="AF9" s="256"/>
      <c r="AG9" s="256"/>
      <c r="AH9" s="256"/>
      <c r="AI9" s="256"/>
      <c r="AJ9" s="256"/>
      <c r="AK9" s="256"/>
    </row>
    <row r="10" spans="1:37" ht="59.25" customHeight="1" x14ac:dyDescent="0.2">
      <c r="A10" s="1225"/>
      <c r="B10" s="1225"/>
      <c r="C10" s="1225"/>
      <c r="D10" s="1225"/>
      <c r="E10" s="1225"/>
      <c r="F10" s="1225"/>
      <c r="G10" s="1225"/>
      <c r="H10" s="1225"/>
      <c r="I10" s="1225"/>
      <c r="J10" s="1225"/>
      <c r="K10" s="253" t="s">
        <v>571</v>
      </c>
      <c r="L10" s="253" t="s">
        <v>572</v>
      </c>
      <c r="M10" s="251">
        <f>[5]Controles!T12</f>
        <v>100</v>
      </c>
      <c r="N10" s="251" t="str">
        <f>[5]Controles!AB12</f>
        <v>No</v>
      </c>
      <c r="O10" s="252">
        <f>[5]Controles!W12</f>
        <v>1</v>
      </c>
      <c r="P10" s="252">
        <f>[5]Controles!X12</f>
        <v>0</v>
      </c>
      <c r="Q10" s="1225"/>
      <c r="R10" s="1225"/>
      <c r="S10" s="1225"/>
      <c r="T10" s="1225"/>
      <c r="U10" s="1225"/>
      <c r="V10" s="1225"/>
      <c r="W10" s="1225"/>
      <c r="X10" s="1225"/>
      <c r="Y10" s="258"/>
      <c r="Z10" s="258"/>
      <c r="AA10" s="255"/>
      <c r="AB10" s="255"/>
      <c r="AC10" s="258"/>
      <c r="AD10" s="256"/>
      <c r="AE10" s="256"/>
      <c r="AF10" s="256"/>
      <c r="AG10" s="256"/>
      <c r="AH10" s="256"/>
      <c r="AI10" s="256"/>
      <c r="AJ10" s="256"/>
      <c r="AK10" s="256"/>
    </row>
    <row r="11" spans="1:37" ht="126" customHeight="1" x14ac:dyDescent="0.2">
      <c r="A11" s="1239" t="e">
        <f>#REF!</f>
        <v>#REF!</v>
      </c>
      <c r="B11" s="1232" t="e">
        <f>#REF!</f>
        <v>#REF!</v>
      </c>
      <c r="C11" s="1232" t="e">
        <f>#REF!</f>
        <v>#REF!</v>
      </c>
      <c r="D11" s="1233" t="s">
        <v>236</v>
      </c>
      <c r="E11" s="1231">
        <f>IF(D11="Selecciona un descriptor de frecuencia."," ",IF(D11="","",VLOOKUP(D11,[5]Datos!$G$8:$J$12,2,FALSE)))</f>
        <v>1</v>
      </c>
      <c r="F11" s="1231" t="str">
        <f>IF(D11="Selecciona un descriptor de frecuencia."," ",IF(D11="","",VLOOKUP(D11,[5]Datos!$G$8:$J$12,3,FALSE)))</f>
        <v>Rara vez</v>
      </c>
      <c r="G11" s="1233" t="s">
        <v>204</v>
      </c>
      <c r="H11" s="1239">
        <f>IF(G11="","",VLOOKUP(G11,[5]Datos!$K$8:$L$12,2,FALSE))</f>
        <v>3</v>
      </c>
      <c r="I11" s="1234" t="str">
        <f>IF(D11="Selecciona un descriptor de frecuencia."," ",IF(G11="Selecciona un descriptor de impacto."," ",IF(E11+H11=" ","",IF(E11="","",VLOOKUP(E11,[5]Datos!$U$8:$Z$12,MATCH(H11,[5]Datos!$V$7:$Z$7,0)+1,FALSE)))))</f>
        <v>MODERADO</v>
      </c>
      <c r="J11" s="1233" t="s">
        <v>122</v>
      </c>
      <c r="K11" s="257" t="s">
        <v>562</v>
      </c>
      <c r="L11" s="262" t="s">
        <v>563</v>
      </c>
      <c r="M11" s="251">
        <f>[5]Controles!T13</f>
        <v>100</v>
      </c>
      <c r="N11" s="251" t="str">
        <f>[5]Controles!AB13</f>
        <v>No</v>
      </c>
      <c r="O11" s="252">
        <f>[5]Controles!W13</f>
        <v>1</v>
      </c>
      <c r="P11" s="252">
        <f>[5]Controles!X13</f>
        <v>0</v>
      </c>
      <c r="Q11" s="1240">
        <f>SUM(O11:O15)</f>
        <v>5</v>
      </c>
      <c r="R11" s="1240">
        <f t="shared" ref="R11" si="0">SUM(P11:P15)</f>
        <v>0</v>
      </c>
      <c r="S11" s="1238">
        <f>IF(D11="Selecciona un descriptor de frecuencia."," ",IF(ROUNDUP(E11-Q11,0)&lt;=0,1,ROUNDUP(E11-Q11,0)))</f>
        <v>1</v>
      </c>
      <c r="T11" s="1238">
        <f>IF(G11="Selecciona un descriptor de impacto."," ",IF(ROUNDUP(H11-R11,0)&lt;0,1,ROUNDUP(H11-R11,0)))</f>
        <v>3</v>
      </c>
      <c r="U11" s="1237" t="str">
        <f>IF(D11="Selecciona un descriptor de frecuencia."," ",VLOOKUP(S11,[5]Datos!$H$8:$I$12,2,FALSE))</f>
        <v>Rara vez</v>
      </c>
      <c r="V11" s="1237" t="str">
        <f>IF(G11="Selecciona un descriptor de impacto."," ",VLOOKUP(T11,[5]Datos!$L$8:$M$12,2,FALSE))</f>
        <v>Moderado</v>
      </c>
      <c r="W11" s="1234" t="str">
        <f>IF(S11=" "," ",VLOOKUP(S11,[5]Datos!$U$8:$Z$12,MATCH(T11,[5]Datos!$V$7:$Z$7,0)+1,FALSE))</f>
        <v>MODERADO</v>
      </c>
      <c r="X11" s="1233" t="s">
        <v>202</v>
      </c>
      <c r="Y11" s="257"/>
      <c r="Z11" s="258"/>
      <c r="AA11" s="255"/>
      <c r="AB11" s="255"/>
      <c r="AC11" s="258"/>
      <c r="AD11" s="260"/>
      <c r="AE11" s="260"/>
      <c r="AF11" s="260"/>
      <c r="AG11" s="260"/>
      <c r="AH11" s="260"/>
      <c r="AI11" s="260"/>
      <c r="AJ11" s="260"/>
      <c r="AK11" s="260"/>
    </row>
    <row r="12" spans="1:37" ht="52.5" customHeight="1" x14ac:dyDescent="0.2">
      <c r="A12" s="1225"/>
      <c r="B12" s="1225"/>
      <c r="C12" s="1225"/>
      <c r="D12" s="1225"/>
      <c r="E12" s="1225"/>
      <c r="F12" s="1225"/>
      <c r="G12" s="1225"/>
      <c r="H12" s="1225"/>
      <c r="I12" s="1225"/>
      <c r="J12" s="1225"/>
      <c r="K12" s="257" t="s">
        <v>573</v>
      </c>
      <c r="L12" s="262" t="s">
        <v>574</v>
      </c>
      <c r="M12" s="251">
        <f>[5]Controles!T14</f>
        <v>100</v>
      </c>
      <c r="N12" s="251" t="str">
        <f>[5]Controles!AB14</f>
        <v>No</v>
      </c>
      <c r="O12" s="252">
        <f>[5]Controles!W14</f>
        <v>1</v>
      </c>
      <c r="P12" s="252">
        <f>[5]Controles!X14</f>
        <v>0</v>
      </c>
      <c r="Q12" s="1225"/>
      <c r="R12" s="1225"/>
      <c r="S12" s="1225"/>
      <c r="T12" s="1225"/>
      <c r="U12" s="1225"/>
      <c r="V12" s="1225"/>
      <c r="W12" s="1225"/>
      <c r="X12" s="1225"/>
      <c r="Y12" s="257"/>
      <c r="Z12" s="258"/>
      <c r="AA12" s="255"/>
      <c r="AB12" s="255"/>
      <c r="AC12" s="258"/>
      <c r="AD12" s="260"/>
      <c r="AE12" s="260"/>
      <c r="AF12" s="260"/>
      <c r="AG12" s="260"/>
      <c r="AH12" s="260"/>
      <c r="AI12" s="260"/>
      <c r="AJ12" s="260"/>
      <c r="AK12" s="260"/>
    </row>
    <row r="13" spans="1:37" ht="171" x14ac:dyDescent="0.2">
      <c r="A13" s="1225"/>
      <c r="B13" s="1225"/>
      <c r="C13" s="1225"/>
      <c r="D13" s="1225"/>
      <c r="E13" s="1225"/>
      <c r="F13" s="1225"/>
      <c r="G13" s="1225"/>
      <c r="H13" s="1225"/>
      <c r="I13" s="1225"/>
      <c r="J13" s="1225"/>
      <c r="K13" s="253" t="s">
        <v>575</v>
      </c>
      <c r="L13" s="250" t="s">
        <v>576</v>
      </c>
      <c r="M13" s="251">
        <f>[5]Controles!T15</f>
        <v>100</v>
      </c>
      <c r="N13" s="251" t="str">
        <f>[5]Controles!AB15</f>
        <v>No</v>
      </c>
      <c r="O13" s="252">
        <f>[5]Controles!W15</f>
        <v>1</v>
      </c>
      <c r="P13" s="252">
        <f>[5]Controles!X15</f>
        <v>0</v>
      </c>
      <c r="Q13" s="1225"/>
      <c r="R13" s="1225"/>
      <c r="S13" s="1225"/>
      <c r="T13" s="1225"/>
      <c r="U13" s="1225"/>
      <c r="V13" s="1225"/>
      <c r="W13" s="1225"/>
      <c r="X13" s="1225"/>
      <c r="Y13" s="253" t="s">
        <v>577</v>
      </c>
      <c r="Z13" s="254" t="s">
        <v>578</v>
      </c>
      <c r="AA13" s="255">
        <v>43831</v>
      </c>
      <c r="AB13" s="255">
        <v>44561</v>
      </c>
      <c r="AC13" s="254" t="s">
        <v>579</v>
      </c>
      <c r="AD13" s="260"/>
      <c r="AE13" s="260"/>
      <c r="AF13" s="260"/>
      <c r="AG13" s="260"/>
      <c r="AH13" s="260"/>
      <c r="AI13" s="260"/>
      <c r="AJ13" s="260"/>
      <c r="AK13" s="260"/>
    </row>
    <row r="14" spans="1:37" ht="57" x14ac:dyDescent="0.2">
      <c r="A14" s="1225"/>
      <c r="B14" s="1225"/>
      <c r="C14" s="1225"/>
      <c r="D14" s="1225"/>
      <c r="E14" s="1225"/>
      <c r="F14" s="1225"/>
      <c r="G14" s="1225"/>
      <c r="H14" s="1225"/>
      <c r="I14" s="1225"/>
      <c r="J14" s="1225"/>
      <c r="K14" s="253" t="s">
        <v>580</v>
      </c>
      <c r="L14" s="250" t="s">
        <v>581</v>
      </c>
      <c r="M14" s="251">
        <f>[5]Controles!T16</f>
        <v>100</v>
      </c>
      <c r="N14" s="251" t="str">
        <f>[5]Controles!AB16</f>
        <v>No</v>
      </c>
      <c r="O14" s="252">
        <f>[5]Controles!W16</f>
        <v>1</v>
      </c>
      <c r="P14" s="252">
        <f>[5]Controles!X16</f>
        <v>0</v>
      </c>
      <c r="Q14" s="1225"/>
      <c r="R14" s="1225"/>
      <c r="S14" s="1225"/>
      <c r="T14" s="1225"/>
      <c r="U14" s="1225"/>
      <c r="V14" s="1225"/>
      <c r="W14" s="1225"/>
      <c r="X14" s="1225"/>
      <c r="Y14" s="257"/>
      <c r="Z14" s="258"/>
      <c r="AA14" s="255"/>
      <c r="AB14" s="255"/>
      <c r="AC14" s="258"/>
      <c r="AD14" s="260"/>
      <c r="AE14" s="260"/>
      <c r="AF14" s="260"/>
      <c r="AG14" s="260"/>
      <c r="AH14" s="260"/>
      <c r="AI14" s="260"/>
      <c r="AJ14" s="260"/>
      <c r="AK14" s="260"/>
    </row>
    <row r="15" spans="1:37" ht="71.25" x14ac:dyDescent="0.2">
      <c r="A15" s="1225"/>
      <c r="B15" s="1225"/>
      <c r="C15" s="1225"/>
      <c r="D15" s="1225"/>
      <c r="E15" s="1225"/>
      <c r="F15" s="1225"/>
      <c r="G15" s="1225"/>
      <c r="H15" s="1225"/>
      <c r="I15" s="1225"/>
      <c r="J15" s="1225"/>
      <c r="K15" s="253" t="s">
        <v>571</v>
      </c>
      <c r="L15" s="250" t="s">
        <v>582</v>
      </c>
      <c r="M15" s="251">
        <f>[5]Controles!T17</f>
        <v>100</v>
      </c>
      <c r="N15" s="251" t="str">
        <f>[5]Controles!AB17</f>
        <v>No</v>
      </c>
      <c r="O15" s="252">
        <f>[5]Controles!W17</f>
        <v>1</v>
      </c>
      <c r="P15" s="252">
        <f>[5]Controles!X17</f>
        <v>0</v>
      </c>
      <c r="Q15" s="1225"/>
      <c r="R15" s="1225"/>
      <c r="S15" s="1225"/>
      <c r="T15" s="1225"/>
      <c r="U15" s="1225"/>
      <c r="V15" s="1225"/>
      <c r="W15" s="1225"/>
      <c r="X15" s="1225"/>
      <c r="Y15" s="257"/>
      <c r="Z15" s="258"/>
      <c r="AA15" s="255"/>
      <c r="AB15" s="255"/>
      <c r="AC15" s="258"/>
      <c r="AD15" s="260"/>
      <c r="AE15" s="260"/>
      <c r="AF15" s="260"/>
      <c r="AG15" s="260"/>
      <c r="AH15" s="260"/>
      <c r="AI15" s="260"/>
      <c r="AJ15" s="260"/>
      <c r="AK15" s="260"/>
    </row>
    <row r="16" spans="1:37" ht="71.25" x14ac:dyDescent="0.2">
      <c r="A16" s="1239" t="e">
        <f>#REF!</f>
        <v>#REF!</v>
      </c>
      <c r="B16" s="1232" t="e">
        <f>#REF!</f>
        <v>#REF!</v>
      </c>
      <c r="C16" s="1232" t="e">
        <f>#REF!</f>
        <v>#REF!</v>
      </c>
      <c r="D16" s="1401" t="s">
        <v>223</v>
      </c>
      <c r="E16" s="1231">
        <f>IF(D16="Selecciona un descriptor de frecuencia."," ",IF(D16="","",VLOOKUP(D16,[5]Datos!$G$8:$J$12,2,FALSE)))</f>
        <v>2</v>
      </c>
      <c r="F16" s="1231" t="str">
        <f>IF(D16="Selecciona un descriptor de frecuencia."," ",IF(D16="","",VLOOKUP(D16,[5]Datos!$G$8:$J$12,3,FALSE)))</f>
        <v>Improbable</v>
      </c>
      <c r="G16" s="1233" t="s">
        <v>204</v>
      </c>
      <c r="H16" s="1239">
        <f>IF(G16="","",VLOOKUP(G16,[5]Datos!$K$8:$L$12,2,FALSE))</f>
        <v>3</v>
      </c>
      <c r="I16" s="1234" t="str">
        <f>IF(D16="Selecciona un descriptor de frecuencia."," ",IF(G16="Selecciona un descriptor de impacto."," ",IF(E16+H16=" ","",IF(E16="","",VLOOKUP(E16,[5]Datos!$U$8:$Z$12,MATCH(H16,[5]Datos!$V$7:$Z$7,0)+1,FALSE)))))</f>
        <v>MODERADO</v>
      </c>
      <c r="J16" s="1233" t="s">
        <v>122</v>
      </c>
      <c r="K16" s="253" t="s">
        <v>583</v>
      </c>
      <c r="L16" s="250" t="s">
        <v>584</v>
      </c>
      <c r="M16" s="251">
        <f>[5]Controles!T18</f>
        <v>100</v>
      </c>
      <c r="N16" s="251" t="str">
        <f>[5]Controles!AB18</f>
        <v>No</v>
      </c>
      <c r="O16" s="252">
        <f>[5]Controles!W18</f>
        <v>1</v>
      </c>
      <c r="P16" s="252">
        <f>[5]Controles!X18</f>
        <v>0</v>
      </c>
      <c r="Q16" s="1240">
        <f>SUM(O16:O20)</f>
        <v>4</v>
      </c>
      <c r="R16" s="1240">
        <f>SUM(P16:P20)</f>
        <v>1</v>
      </c>
      <c r="S16" s="1238">
        <f>IF(D16="Selecciona un descriptor de frecuencia."," ",IF(ROUNDUP(E16-Q16,0)&lt;=0,1,ROUNDUP(E16-Q16,0)))</f>
        <v>1</v>
      </c>
      <c r="T16" s="1238">
        <f>IF(G16="Selecciona un descriptor de impacto."," ",IF(ROUNDUP(H16-R16,0)&lt;0,1,ROUNDUP(H16-R16,0)))</f>
        <v>2</v>
      </c>
      <c r="U16" s="1237" t="str">
        <f>IF(D16="Selecciona un descriptor de frecuencia."," ",VLOOKUP(S16,[5]Datos!$H$8:$I$12,2,FALSE))</f>
        <v>Rara vez</v>
      </c>
      <c r="V16" s="1237" t="str">
        <f>IF(G16="Selecciona un descriptor de impacto."," ",VLOOKUP(T16,[5]Datos!$L$8:$M$12,2,FALSE))</f>
        <v>Menor</v>
      </c>
      <c r="W16" s="1234" t="str">
        <f>IF(S16=" "," ",VLOOKUP(S16,[5]Datos!$U$8:$Z$12,MATCH(T16,[5]Datos!$V$7:$Z$7,0)+1,FALSE))</f>
        <v>BAJO</v>
      </c>
      <c r="X16" s="1233" t="s">
        <v>187</v>
      </c>
      <c r="Y16" s="258"/>
      <c r="Z16" s="258"/>
      <c r="AA16" s="255"/>
      <c r="AB16" s="255"/>
      <c r="AC16" s="258"/>
      <c r="AD16" s="260"/>
      <c r="AE16" s="260"/>
      <c r="AF16" s="260"/>
      <c r="AG16" s="260"/>
      <c r="AH16" s="260"/>
      <c r="AI16" s="260"/>
      <c r="AJ16" s="260"/>
      <c r="AK16" s="260"/>
    </row>
    <row r="17" spans="1:37" ht="57" x14ac:dyDescent="0.2">
      <c r="A17" s="1225"/>
      <c r="B17" s="1225"/>
      <c r="C17" s="1225"/>
      <c r="D17" s="1402"/>
      <c r="E17" s="1225"/>
      <c r="F17" s="1225"/>
      <c r="G17" s="1225"/>
      <c r="H17" s="1225"/>
      <c r="I17" s="1225"/>
      <c r="J17" s="1225"/>
      <c r="K17" s="253" t="s">
        <v>585</v>
      </c>
      <c r="L17" s="250" t="s">
        <v>586</v>
      </c>
      <c r="M17" s="251">
        <f>[5]Controles!T19</f>
        <v>100</v>
      </c>
      <c r="N17" s="251" t="str">
        <f>[5]Controles!AB19</f>
        <v>No</v>
      </c>
      <c r="O17" s="252">
        <f>[5]Controles!W19</f>
        <v>1</v>
      </c>
      <c r="P17" s="252">
        <f>[5]Controles!X19</f>
        <v>0</v>
      </c>
      <c r="Q17" s="1225"/>
      <c r="R17" s="1225"/>
      <c r="S17" s="1225"/>
      <c r="T17" s="1225"/>
      <c r="U17" s="1225"/>
      <c r="V17" s="1225"/>
      <c r="W17" s="1225"/>
      <c r="X17" s="1225"/>
      <c r="Y17" s="258"/>
      <c r="Z17" s="258"/>
      <c r="AA17" s="255"/>
      <c r="AB17" s="255"/>
      <c r="AC17" s="258"/>
      <c r="AD17" s="260"/>
      <c r="AE17" s="260"/>
      <c r="AF17" s="260"/>
      <c r="AG17" s="260"/>
      <c r="AH17" s="260"/>
      <c r="AI17" s="260"/>
      <c r="AJ17" s="260"/>
      <c r="AK17" s="260"/>
    </row>
    <row r="18" spans="1:37" ht="114" x14ac:dyDescent="0.2">
      <c r="A18" s="1225"/>
      <c r="B18" s="1225"/>
      <c r="C18" s="1225"/>
      <c r="D18" s="1402"/>
      <c r="E18" s="1225"/>
      <c r="F18" s="1225"/>
      <c r="G18" s="1225"/>
      <c r="H18" s="1225"/>
      <c r="I18" s="1225"/>
      <c r="J18" s="1225"/>
      <c r="K18" s="253" t="s">
        <v>587</v>
      </c>
      <c r="L18" s="250" t="s">
        <v>588</v>
      </c>
      <c r="M18" s="251">
        <f>[5]Controles!T20</f>
        <v>100</v>
      </c>
      <c r="N18" s="251" t="str">
        <f>[5]Controles!AB20</f>
        <v>No</v>
      </c>
      <c r="O18" s="252">
        <f>[5]Controles!W20</f>
        <v>1</v>
      </c>
      <c r="P18" s="252">
        <f>[5]Controles!X20</f>
        <v>0</v>
      </c>
      <c r="Q18" s="1225"/>
      <c r="R18" s="1225"/>
      <c r="S18" s="1225"/>
      <c r="T18" s="1225"/>
      <c r="U18" s="1225"/>
      <c r="V18" s="1225"/>
      <c r="W18" s="1225"/>
      <c r="X18" s="1225"/>
      <c r="Y18" s="258"/>
      <c r="Z18" s="258"/>
      <c r="AA18" s="255"/>
      <c r="AB18" s="255"/>
      <c r="AC18" s="258"/>
      <c r="AD18" s="260"/>
      <c r="AE18" s="260"/>
      <c r="AF18" s="260"/>
      <c r="AG18" s="260"/>
      <c r="AH18" s="260"/>
      <c r="AI18" s="260"/>
      <c r="AJ18" s="260"/>
      <c r="AK18" s="260"/>
    </row>
    <row r="19" spans="1:37" ht="71.25" x14ac:dyDescent="0.2">
      <c r="A19" s="1225"/>
      <c r="B19" s="1225"/>
      <c r="C19" s="1225"/>
      <c r="D19" s="1402"/>
      <c r="E19" s="1225"/>
      <c r="F19" s="1225"/>
      <c r="G19" s="1225"/>
      <c r="H19" s="1225"/>
      <c r="I19" s="1225"/>
      <c r="J19" s="1225"/>
      <c r="K19" s="253" t="s">
        <v>589</v>
      </c>
      <c r="L19" s="250" t="s">
        <v>590</v>
      </c>
      <c r="M19" s="251">
        <f>[5]Controles!T21</f>
        <v>100</v>
      </c>
      <c r="N19" s="251" t="str">
        <f>[5]Controles!AB21</f>
        <v>No</v>
      </c>
      <c r="O19" s="252">
        <f>[5]Controles!W21</f>
        <v>1</v>
      </c>
      <c r="P19" s="252">
        <f>[5]Controles!X21</f>
        <v>0</v>
      </c>
      <c r="Q19" s="1225"/>
      <c r="R19" s="1225"/>
      <c r="S19" s="1225"/>
      <c r="T19" s="1225"/>
      <c r="U19" s="1225"/>
      <c r="V19" s="1225"/>
      <c r="W19" s="1225"/>
      <c r="X19" s="1225"/>
      <c r="Y19" s="257"/>
      <c r="Z19" s="258"/>
      <c r="AA19" s="255"/>
      <c r="AB19" s="255"/>
      <c r="AC19" s="258"/>
      <c r="AD19" s="260"/>
      <c r="AE19" s="260"/>
      <c r="AF19" s="260"/>
      <c r="AG19" s="260"/>
      <c r="AH19" s="260"/>
      <c r="AI19" s="260"/>
      <c r="AJ19" s="260"/>
      <c r="AK19" s="260"/>
    </row>
    <row r="20" spans="1:37" ht="99.75" x14ac:dyDescent="0.2">
      <c r="A20" s="1225"/>
      <c r="B20" s="1225"/>
      <c r="C20" s="1225"/>
      <c r="D20" s="1402"/>
      <c r="E20" s="1225"/>
      <c r="F20" s="1225"/>
      <c r="G20" s="1225"/>
      <c r="H20" s="1225"/>
      <c r="I20" s="1225"/>
      <c r="J20" s="1225"/>
      <c r="K20" s="253" t="s">
        <v>591</v>
      </c>
      <c r="L20" s="250" t="s">
        <v>592</v>
      </c>
      <c r="M20" s="251">
        <f>[5]Controles!T22</f>
        <v>100</v>
      </c>
      <c r="N20" s="251" t="str">
        <f>[5]Controles!AB22</f>
        <v>SI</v>
      </c>
      <c r="O20" s="252">
        <f>[5]Controles!W22</f>
        <v>0</v>
      </c>
      <c r="P20" s="252">
        <f>[5]Controles!X22</f>
        <v>1</v>
      </c>
      <c r="Q20" s="1225"/>
      <c r="R20" s="1225"/>
      <c r="S20" s="1225"/>
      <c r="T20" s="1225"/>
      <c r="U20" s="1225"/>
      <c r="V20" s="1225"/>
      <c r="W20" s="1225"/>
      <c r="X20" s="1225"/>
      <c r="Y20" s="257"/>
      <c r="Z20" s="258"/>
      <c r="AA20" s="255"/>
      <c r="AB20" s="255"/>
      <c r="AC20" s="258"/>
      <c r="AD20" s="260"/>
      <c r="AE20" s="260"/>
      <c r="AF20" s="260"/>
      <c r="AG20" s="260"/>
      <c r="AH20" s="260"/>
      <c r="AI20" s="260"/>
      <c r="AJ20" s="260"/>
      <c r="AK20" s="260"/>
    </row>
    <row r="21" spans="1:37" ht="69.75" customHeight="1" x14ac:dyDescent="0.2">
      <c r="A21" s="1239" t="e">
        <f>#REF!</f>
        <v>#REF!</v>
      </c>
      <c r="B21" s="1232" t="e">
        <f>#REF!</f>
        <v>#REF!</v>
      </c>
      <c r="C21" s="1232" t="e">
        <f>#REF!</f>
        <v>#REF!</v>
      </c>
      <c r="D21" s="1233" t="s">
        <v>223</v>
      </c>
      <c r="E21" s="1231">
        <f>IF(D21="Selecciona un descriptor de frecuencia."," ",IF(D21="","",VLOOKUP(D21,[5]Datos!$G$8:$J$12,2,FALSE)))</f>
        <v>2</v>
      </c>
      <c r="F21" s="1231" t="str">
        <f>IF(D21="Selecciona un descriptor de frecuencia."," ",IF(D21="","",VLOOKUP(D21,[5]Datos!$G$8:$J$12,3,FALSE)))</f>
        <v>Improbable</v>
      </c>
      <c r="G21" s="1233" t="s">
        <v>226</v>
      </c>
      <c r="H21" s="1239">
        <f>IF(G21="","",VLOOKUP(G21,[5]Datos!$K$8:$L$12,2,FALSE))</f>
        <v>2</v>
      </c>
      <c r="I21" s="1234" t="str">
        <f>IF(D21="Selecciona un descriptor de frecuencia."," ",IF(G21="Selecciona un descriptor de impacto."," ",IF(E21+H21=" ","",IF(E21="","",VLOOKUP(E21,[5]Datos!$U$8:$Z$12,MATCH(H21,[5]Datos!$V$7:$Z$7,0)+1,FALSE)))))</f>
        <v>BAJO</v>
      </c>
      <c r="J21" s="1233"/>
      <c r="K21" s="253" t="s">
        <v>593</v>
      </c>
      <c r="L21" s="253" t="s">
        <v>594</v>
      </c>
      <c r="M21" s="251">
        <f>[5]Controles!T23</f>
        <v>100</v>
      </c>
      <c r="N21" s="251" t="str">
        <f>[5]Controles!AB23</f>
        <v>No</v>
      </c>
      <c r="O21" s="252">
        <f>[5]Controles!W23</f>
        <v>1</v>
      </c>
      <c r="P21" s="252">
        <f>[5]Controles!X23</f>
        <v>0</v>
      </c>
      <c r="Q21" s="1240">
        <f>SUM(O21:O22)</f>
        <v>2</v>
      </c>
      <c r="R21" s="1240">
        <f>SUM(P21:P22)</f>
        <v>0</v>
      </c>
      <c r="S21" s="1238">
        <f>IF(D21="Selecciona un descriptor de frecuencia."," ",IF(ROUNDUP(E21-Q21,0)&lt;=0,1,ROUNDUP(E21-Q21,0)))</f>
        <v>1</v>
      </c>
      <c r="T21" s="1238">
        <f>IF(G21="Selecciona un descriptor de impacto."," ",IF(ROUNDUP(H21-R21,0)&lt;0,1,ROUNDUP(H21-R21,0)))</f>
        <v>2</v>
      </c>
      <c r="U21" s="1237" t="str">
        <f>IF(D21="Selecciona un descriptor de frecuencia."," ",VLOOKUP(S21,[5]Datos!$H$8:$I$12,2,FALSE))</f>
        <v>Rara vez</v>
      </c>
      <c r="V21" s="1237" t="str">
        <f>IF(G21="Selecciona un descriptor de impacto."," ",VLOOKUP(T21,[5]Datos!$L$8:$M$12,2,FALSE))</f>
        <v>Menor</v>
      </c>
      <c r="W21" s="1234" t="str">
        <f>IF(S21=" "," ",VLOOKUP(S21,[5]Datos!$U$8:$Z$12,MATCH(T21,[5]Datos!$V$7:$Z$7,0)+1,FALSE))</f>
        <v>BAJO</v>
      </c>
      <c r="X21" s="1233" t="s">
        <v>187</v>
      </c>
      <c r="Y21" s="258"/>
      <c r="Z21" s="258"/>
      <c r="AA21" s="255"/>
      <c r="AB21" s="255"/>
      <c r="AC21" s="258"/>
      <c r="AD21" s="260"/>
      <c r="AE21" s="260"/>
      <c r="AF21" s="260"/>
      <c r="AG21" s="260"/>
      <c r="AH21" s="260"/>
      <c r="AI21" s="260"/>
      <c r="AJ21" s="260"/>
      <c r="AK21" s="260"/>
    </row>
    <row r="22" spans="1:37" ht="44.25" customHeight="1" x14ac:dyDescent="0.2">
      <c r="A22" s="1225"/>
      <c r="B22" s="1225"/>
      <c r="C22" s="1225"/>
      <c r="D22" s="1225"/>
      <c r="E22" s="1225"/>
      <c r="F22" s="1225"/>
      <c r="G22" s="1225"/>
      <c r="H22" s="1225"/>
      <c r="I22" s="1225"/>
      <c r="J22" s="1225"/>
      <c r="K22" s="253" t="s">
        <v>595</v>
      </c>
      <c r="L22" s="253" t="s">
        <v>596</v>
      </c>
      <c r="M22" s="251">
        <f>[5]Controles!T24</f>
        <v>100</v>
      </c>
      <c r="N22" s="251" t="str">
        <f>[5]Controles!AB24</f>
        <v>No</v>
      </c>
      <c r="O22" s="252">
        <f>[5]Controles!W24</f>
        <v>1</v>
      </c>
      <c r="P22" s="252">
        <f>[5]Controles!X24</f>
        <v>0</v>
      </c>
      <c r="Q22" s="1225"/>
      <c r="R22" s="1225"/>
      <c r="S22" s="1225"/>
      <c r="T22" s="1225"/>
      <c r="U22" s="1225"/>
      <c r="V22" s="1225"/>
      <c r="W22" s="1225"/>
      <c r="X22" s="1225"/>
      <c r="Y22" s="257"/>
      <c r="Z22" s="258"/>
      <c r="AA22" s="255"/>
      <c r="AB22" s="255"/>
      <c r="AC22" s="258"/>
      <c r="AD22" s="260"/>
      <c r="AE22" s="260"/>
      <c r="AF22" s="260"/>
      <c r="AG22" s="260"/>
      <c r="AH22" s="260"/>
      <c r="AI22" s="260"/>
      <c r="AJ22" s="260"/>
      <c r="AK22" s="260"/>
    </row>
    <row r="23" spans="1:37" ht="75.75" customHeight="1" x14ac:dyDescent="0.2">
      <c r="A23" s="1239" t="e">
        <f>#REF!</f>
        <v>#REF!</v>
      </c>
      <c r="B23" s="1232" t="e">
        <f>#REF!</f>
        <v>#REF!</v>
      </c>
      <c r="C23" s="1232" t="e">
        <f>#REF!</f>
        <v>#REF!</v>
      </c>
      <c r="D23" s="1233" t="s">
        <v>223</v>
      </c>
      <c r="E23" s="1231">
        <f>IF(D23="Selecciona un descriptor de frecuencia."," ",IF(D23="","",VLOOKUP(D23,[5]Datos!$G$8:$J$12,2,FALSE)))</f>
        <v>2</v>
      </c>
      <c r="F23" s="1231" t="str">
        <f>IF(D23="Selecciona un descriptor de frecuencia."," ",IF(D23="","",VLOOKUP(D23,[5]Datos!$G$8:$J$12,3,FALSE)))</f>
        <v>Improbable</v>
      </c>
      <c r="G23" s="1233" t="s">
        <v>226</v>
      </c>
      <c r="H23" s="1239">
        <f>IF(G23="","",VLOOKUP(G23,[5]Datos!$K$8:$L$12,2,FALSE))</f>
        <v>2</v>
      </c>
      <c r="I23" s="1234" t="str">
        <f>IF(D23="Selecciona un descriptor de frecuencia."," ",IF(G23="Selecciona un descriptor de impacto."," ",IF(E23+H23=" ","",IF(E23="","",VLOOKUP(E23,[5]Datos!$U$8:$Z$12,MATCH(H23,[5]Datos!$V$7:$Z$7,0)+1,FALSE)))))</f>
        <v>BAJO</v>
      </c>
      <c r="J23" s="1233" t="s">
        <v>122</v>
      </c>
      <c r="K23" s="253" t="s">
        <v>597</v>
      </c>
      <c r="L23" s="253" t="s">
        <v>598</v>
      </c>
      <c r="M23" s="251">
        <f>[5]Controles!T25</f>
        <v>100</v>
      </c>
      <c r="N23" s="251" t="str">
        <f>[5]Controles!AB25</f>
        <v>No</v>
      </c>
      <c r="O23" s="252">
        <f>[5]Controles!W25</f>
        <v>1</v>
      </c>
      <c r="P23" s="252">
        <f>[5]Controles!X25</f>
        <v>0</v>
      </c>
      <c r="Q23" s="1240">
        <f>SUM(O23:O26)</f>
        <v>4</v>
      </c>
      <c r="R23" s="1240">
        <f>SUM(P23:P26)</f>
        <v>0</v>
      </c>
      <c r="S23" s="1238">
        <f>IF(D23="Selecciona un descriptor de frecuencia."," ",IF(ROUNDUP(E23-Q23,0)&lt;=0,1,ROUNDUP(E23-Q23,0)))</f>
        <v>1</v>
      </c>
      <c r="T23" s="1238">
        <f>IF(G23="Selecciona un descriptor de impacto."," ",IF(ROUNDUP(H23-R23,0)&lt;0,1,ROUNDUP(H23-R23,0)))</f>
        <v>2</v>
      </c>
      <c r="U23" s="1237" t="str">
        <f>IF(D23="Selecciona un descriptor de frecuencia."," ",VLOOKUP(S23,[5]Datos!$H$8:$I$12,2,FALSE))</f>
        <v>Rara vez</v>
      </c>
      <c r="V23" s="1237" t="str">
        <f>IF(G23="Selecciona un descriptor de impacto."," ",VLOOKUP(T23,[5]Datos!$L$8:$M$12,2,FALSE))</f>
        <v>Menor</v>
      </c>
      <c r="W23" s="1234" t="str">
        <f>IF(S23=" "," ",VLOOKUP(S23,[5]Datos!$U$8:$Z$12,MATCH(T23,[5]Datos!$V$7:$Z$7,0)+1,FALSE))</f>
        <v>BAJO</v>
      </c>
      <c r="X23" s="1233" t="s">
        <v>187</v>
      </c>
      <c r="Y23" s="257"/>
      <c r="Z23" s="258"/>
      <c r="AA23" s="255"/>
      <c r="AB23" s="255"/>
      <c r="AC23" s="258"/>
      <c r="AD23" s="260"/>
      <c r="AE23" s="260"/>
      <c r="AF23" s="260"/>
      <c r="AG23" s="260"/>
      <c r="AH23" s="260"/>
      <c r="AI23" s="260"/>
      <c r="AJ23" s="260"/>
      <c r="AK23" s="260"/>
    </row>
    <row r="24" spans="1:37" ht="75.75" customHeight="1" x14ac:dyDescent="0.2">
      <c r="A24" s="1225"/>
      <c r="B24" s="1225"/>
      <c r="C24" s="1225"/>
      <c r="D24" s="1225"/>
      <c r="E24" s="1225"/>
      <c r="F24" s="1225"/>
      <c r="G24" s="1225"/>
      <c r="H24" s="1225"/>
      <c r="I24" s="1225"/>
      <c r="J24" s="1225"/>
      <c r="K24" s="253" t="s">
        <v>599</v>
      </c>
      <c r="L24" s="253" t="s">
        <v>586</v>
      </c>
      <c r="M24" s="251">
        <f>[5]Controles!T26</f>
        <v>100</v>
      </c>
      <c r="N24" s="251" t="str">
        <f>[5]Controles!AB26</f>
        <v>No</v>
      </c>
      <c r="O24" s="252">
        <f>[5]Controles!W26</f>
        <v>1</v>
      </c>
      <c r="P24" s="252">
        <f>[5]Controles!X26</f>
        <v>0</v>
      </c>
      <c r="Q24" s="1225"/>
      <c r="R24" s="1225"/>
      <c r="S24" s="1225"/>
      <c r="T24" s="1225"/>
      <c r="U24" s="1225"/>
      <c r="V24" s="1225"/>
      <c r="W24" s="1225"/>
      <c r="X24" s="1225"/>
      <c r="Y24" s="390"/>
      <c r="Z24" s="391"/>
      <c r="AA24" s="255"/>
      <c r="AB24" s="255"/>
      <c r="AC24" s="391"/>
      <c r="AD24" s="260"/>
      <c r="AE24" s="260"/>
      <c r="AF24" s="260"/>
      <c r="AG24" s="260"/>
      <c r="AH24" s="260"/>
      <c r="AI24" s="260"/>
      <c r="AJ24" s="260"/>
      <c r="AK24" s="260"/>
    </row>
    <row r="25" spans="1:37" ht="99" customHeight="1" x14ac:dyDescent="0.2">
      <c r="A25" s="1225"/>
      <c r="B25" s="1225"/>
      <c r="C25" s="1225"/>
      <c r="D25" s="1225"/>
      <c r="E25" s="1225"/>
      <c r="F25" s="1225"/>
      <c r="G25" s="1225"/>
      <c r="H25" s="1225"/>
      <c r="I25" s="1225"/>
      <c r="J25" s="1225"/>
      <c r="K25" s="253" t="s">
        <v>587</v>
      </c>
      <c r="L25" s="250" t="s">
        <v>588</v>
      </c>
      <c r="M25" s="251">
        <f>[5]Controles!T27</f>
        <v>100</v>
      </c>
      <c r="N25" s="251" t="str">
        <f>[5]Controles!AB27</f>
        <v>No</v>
      </c>
      <c r="O25" s="252">
        <f>[5]Controles!W27</f>
        <v>1</v>
      </c>
      <c r="P25" s="252">
        <f>[5]Controles!X27</f>
        <v>0</v>
      </c>
      <c r="Q25" s="1225"/>
      <c r="R25" s="1225"/>
      <c r="S25" s="1225"/>
      <c r="T25" s="1225"/>
      <c r="U25" s="1225"/>
      <c r="V25" s="1225"/>
      <c r="W25" s="1225"/>
      <c r="X25" s="1225"/>
      <c r="Y25" s="257"/>
      <c r="Z25" s="391"/>
      <c r="AA25" s="255"/>
      <c r="AB25" s="255"/>
      <c r="AC25" s="258"/>
      <c r="AD25" s="260"/>
      <c r="AE25" s="260"/>
      <c r="AF25" s="260"/>
      <c r="AG25" s="260"/>
      <c r="AH25" s="260"/>
      <c r="AI25" s="260"/>
      <c r="AJ25" s="260"/>
      <c r="AK25" s="260"/>
    </row>
    <row r="26" spans="1:37" ht="75.75" customHeight="1" x14ac:dyDescent="0.2">
      <c r="A26" s="1225"/>
      <c r="B26" s="1225"/>
      <c r="C26" s="1225"/>
      <c r="D26" s="1225"/>
      <c r="E26" s="1225"/>
      <c r="F26" s="1225"/>
      <c r="G26" s="1225"/>
      <c r="H26" s="1225"/>
      <c r="I26" s="1225"/>
      <c r="J26" s="1225"/>
      <c r="K26" s="253" t="s">
        <v>589</v>
      </c>
      <c r="L26" s="253" t="s">
        <v>590</v>
      </c>
      <c r="M26" s="251">
        <f>[5]Controles!T28</f>
        <v>100</v>
      </c>
      <c r="N26" s="251" t="str">
        <f>[5]Controles!AB28</f>
        <v>No</v>
      </c>
      <c r="O26" s="252">
        <f>[5]Controles!W28</f>
        <v>1</v>
      </c>
      <c r="P26" s="252">
        <f>[5]Controles!X28</f>
        <v>0</v>
      </c>
      <c r="Q26" s="1225"/>
      <c r="R26" s="1225"/>
      <c r="S26" s="1225"/>
      <c r="T26" s="1225"/>
      <c r="U26" s="1225"/>
      <c r="V26" s="1225"/>
      <c r="W26" s="1225"/>
      <c r="X26" s="1225"/>
      <c r="Y26" s="257"/>
      <c r="Z26" s="258"/>
      <c r="AA26" s="255"/>
      <c r="AB26" s="255"/>
      <c r="AC26" s="258"/>
      <c r="AD26" s="260"/>
      <c r="AE26" s="260"/>
      <c r="AF26" s="260"/>
      <c r="AG26" s="260"/>
      <c r="AH26" s="260"/>
      <c r="AI26" s="260"/>
      <c r="AJ26" s="260"/>
      <c r="AK26" s="260"/>
    </row>
    <row r="27" spans="1:37" ht="129" customHeight="1" x14ac:dyDescent="0.2">
      <c r="A27" s="1239" t="e">
        <f>#REF!</f>
        <v>#REF!</v>
      </c>
      <c r="B27" s="1232" t="e">
        <f>#REF!</f>
        <v>#REF!</v>
      </c>
      <c r="C27" s="1232" t="e">
        <f>#REF!</f>
        <v>#REF!</v>
      </c>
      <c r="D27" s="1233" t="s">
        <v>236</v>
      </c>
      <c r="E27" s="1231">
        <f>IF(D27="Selecciona un descriptor de frecuencia."," ",IF(D27="","",VLOOKUP(D27,[5]Datos!$G$8:$J$12,2,FALSE)))</f>
        <v>1</v>
      </c>
      <c r="F27" s="1231" t="str">
        <f>IF(D27="Selecciona un descriptor de frecuencia."," ",IF(D27="","",VLOOKUP(D27,[5]Datos!$G$8:$J$12,3,FALSE)))</f>
        <v>Rara vez</v>
      </c>
      <c r="G27" s="1233" t="s">
        <v>199</v>
      </c>
      <c r="H27" s="1239">
        <f>IF(G27="","",VLOOKUP(G27,[5]Datos!$K$8:$L$12,2,FALSE))</f>
        <v>4</v>
      </c>
      <c r="I27" s="1234" t="str">
        <f>IF(D27="Selecciona un descriptor de frecuencia."," ",IF(G27="Selecciona un descriptor de impacto."," ",IF(E27+H27=" ","",IF(E27="","",VLOOKUP(E27,[5]Datos!$U$8:$Z$12,MATCH(H27,[5]Datos!$V$7:$Z$7,0)+1,FALSE)))))</f>
        <v>ALTO</v>
      </c>
      <c r="J27" s="1233" t="s">
        <v>122</v>
      </c>
      <c r="K27" s="253" t="s">
        <v>600</v>
      </c>
      <c r="L27" s="250" t="s">
        <v>601</v>
      </c>
      <c r="M27" s="251">
        <f>[5]Controles!T29</f>
        <v>100</v>
      </c>
      <c r="N27" s="251" t="str">
        <f>[5]Controles!AB29</f>
        <v>No</v>
      </c>
      <c r="O27" s="252">
        <f>[5]Controles!W29</f>
        <v>1</v>
      </c>
      <c r="P27" s="252">
        <f>[5]Controles!X29</f>
        <v>0</v>
      </c>
      <c r="Q27" s="1240">
        <f t="shared" ref="Q27:R27" si="1">SUM(O27:O32)</f>
        <v>5</v>
      </c>
      <c r="R27" s="1240">
        <f t="shared" si="1"/>
        <v>1</v>
      </c>
      <c r="S27" s="1238">
        <f>IF(D27="Selecciona un descriptor de frecuencia."," ",IF(ROUNDUP(E27-Q27,0)&lt;0,1,ROUNDUP(E27-Q27,0)))</f>
        <v>1</v>
      </c>
      <c r="T27" s="1238">
        <f>IF(G27="Selecciona un descriptor de impacto."," ",IF(ROUNDUP(H27-R27,0)&lt;0,1,ROUNDUP(H27-R27,0)))</f>
        <v>3</v>
      </c>
      <c r="U27" s="1237" t="str">
        <f>IF(D27="Selecciona un descriptor de frecuencia."," ",VLOOKUP(S27,[5]Datos!$H$8:$I$12,2,FALSE))</f>
        <v>Rara vez</v>
      </c>
      <c r="V27" s="1237" t="str">
        <f>IF(G27="Selecciona un descriptor de impacto."," ",VLOOKUP(T27,[5]Datos!$L$8:$M$12,2,FALSE))</f>
        <v>Moderado</v>
      </c>
      <c r="W27" s="1234" t="str">
        <f>IF(S27=" "," ",VLOOKUP(S27,[5]Datos!$U$8:$Z$12,MATCH(T27,[5]Datos!$V$7:$Z$7,0)+1,FALSE))</f>
        <v>MODERADO</v>
      </c>
      <c r="X27" s="1233" t="s">
        <v>202</v>
      </c>
      <c r="Y27" s="257"/>
      <c r="Z27" s="258"/>
      <c r="AA27" s="255"/>
      <c r="AB27" s="255"/>
      <c r="AC27" s="258"/>
      <c r="AD27" s="260"/>
      <c r="AE27" s="260"/>
      <c r="AF27" s="260"/>
      <c r="AG27" s="260"/>
      <c r="AH27" s="260"/>
      <c r="AI27" s="260"/>
      <c r="AJ27" s="260"/>
      <c r="AK27" s="260"/>
    </row>
    <row r="28" spans="1:37" ht="122.25" customHeight="1" x14ac:dyDescent="0.2">
      <c r="A28" s="1225"/>
      <c r="B28" s="1225"/>
      <c r="C28" s="1225"/>
      <c r="D28" s="1225"/>
      <c r="E28" s="1225"/>
      <c r="F28" s="1225"/>
      <c r="G28" s="1225"/>
      <c r="H28" s="1225"/>
      <c r="I28" s="1225"/>
      <c r="J28" s="1225"/>
      <c r="K28" s="253" t="s">
        <v>602</v>
      </c>
      <c r="L28" s="250" t="s">
        <v>603</v>
      </c>
      <c r="M28" s="251">
        <f>[5]Controles!T30</f>
        <v>100</v>
      </c>
      <c r="N28" s="251" t="str">
        <f>[5]Controles!AB30</f>
        <v>No</v>
      </c>
      <c r="O28" s="252">
        <f>[5]Controles!W30</f>
        <v>1</v>
      </c>
      <c r="P28" s="252">
        <f>[5]Controles!X30</f>
        <v>0</v>
      </c>
      <c r="Q28" s="1225"/>
      <c r="R28" s="1225"/>
      <c r="S28" s="1225"/>
      <c r="T28" s="1225"/>
      <c r="U28" s="1225"/>
      <c r="V28" s="1225"/>
      <c r="W28" s="1225"/>
      <c r="X28" s="1225"/>
      <c r="Y28" s="257"/>
      <c r="Z28" s="258"/>
      <c r="AA28" s="255"/>
      <c r="AB28" s="255"/>
      <c r="AC28" s="258"/>
      <c r="AD28" s="260"/>
      <c r="AE28" s="260"/>
      <c r="AF28" s="260"/>
      <c r="AG28" s="260"/>
      <c r="AH28" s="260"/>
      <c r="AI28" s="260"/>
      <c r="AJ28" s="260"/>
      <c r="AK28" s="260"/>
    </row>
    <row r="29" spans="1:37" ht="171" x14ac:dyDescent="0.2">
      <c r="A29" s="1225"/>
      <c r="B29" s="1225"/>
      <c r="C29" s="1225"/>
      <c r="D29" s="1225"/>
      <c r="E29" s="1225"/>
      <c r="F29" s="1225"/>
      <c r="G29" s="1225"/>
      <c r="H29" s="1225"/>
      <c r="I29" s="1225"/>
      <c r="J29" s="1225"/>
      <c r="K29" s="253" t="s">
        <v>604</v>
      </c>
      <c r="L29" s="253" t="s">
        <v>605</v>
      </c>
      <c r="M29" s="251">
        <f>[5]Controles!T31</f>
        <v>100</v>
      </c>
      <c r="N29" s="251" t="str">
        <f>[5]Controles!AB31</f>
        <v>No</v>
      </c>
      <c r="O29" s="252">
        <f>[5]Controles!W31</f>
        <v>1</v>
      </c>
      <c r="P29" s="252">
        <f>[5]Controles!X31</f>
        <v>0</v>
      </c>
      <c r="Q29" s="1225"/>
      <c r="R29" s="1225"/>
      <c r="S29" s="1225"/>
      <c r="T29" s="1225"/>
      <c r="U29" s="1225"/>
      <c r="V29" s="1225"/>
      <c r="W29" s="1225"/>
      <c r="X29" s="1225"/>
      <c r="Y29" s="257"/>
      <c r="Z29" s="258"/>
      <c r="AA29" s="255"/>
      <c r="AB29" s="255"/>
      <c r="AC29" s="258"/>
      <c r="AD29" s="260"/>
      <c r="AE29" s="260"/>
      <c r="AF29" s="260"/>
      <c r="AG29" s="260"/>
      <c r="AH29" s="260"/>
      <c r="AI29" s="260"/>
      <c r="AJ29" s="260"/>
      <c r="AK29" s="260"/>
    </row>
    <row r="30" spans="1:37" ht="117.75" customHeight="1" x14ac:dyDescent="0.2">
      <c r="A30" s="1225"/>
      <c r="B30" s="1225"/>
      <c r="C30" s="1225"/>
      <c r="D30" s="1225"/>
      <c r="E30" s="1225"/>
      <c r="F30" s="1225"/>
      <c r="G30" s="1225"/>
      <c r="H30" s="1225"/>
      <c r="I30" s="1225"/>
      <c r="J30" s="1225"/>
      <c r="K30" s="253" t="s">
        <v>606</v>
      </c>
      <c r="L30" s="253" t="s">
        <v>607</v>
      </c>
      <c r="M30" s="251">
        <f>[5]Controles!T32</f>
        <v>100</v>
      </c>
      <c r="N30" s="251" t="str">
        <f>[5]Controles!AB32</f>
        <v>No</v>
      </c>
      <c r="O30" s="252">
        <f>[5]Controles!W32</f>
        <v>1</v>
      </c>
      <c r="P30" s="252">
        <f>[5]Controles!X32</f>
        <v>0</v>
      </c>
      <c r="Q30" s="1225"/>
      <c r="R30" s="1225"/>
      <c r="S30" s="1225"/>
      <c r="T30" s="1225"/>
      <c r="U30" s="1225"/>
      <c r="V30" s="1225"/>
      <c r="W30" s="1225"/>
      <c r="X30" s="1225"/>
      <c r="Y30" s="257"/>
      <c r="Z30" s="258"/>
      <c r="AA30" s="255"/>
      <c r="AB30" s="255"/>
      <c r="AC30" s="258"/>
      <c r="AD30" s="260"/>
      <c r="AE30" s="260"/>
      <c r="AF30" s="260"/>
      <c r="AG30" s="260"/>
      <c r="AH30" s="260"/>
      <c r="AI30" s="260"/>
      <c r="AJ30" s="260"/>
      <c r="AK30" s="260"/>
    </row>
    <row r="31" spans="1:37" ht="122.25" customHeight="1" x14ac:dyDescent="0.2">
      <c r="A31" s="1225"/>
      <c r="B31" s="1225"/>
      <c r="C31" s="1225"/>
      <c r="D31" s="1225"/>
      <c r="E31" s="1225"/>
      <c r="F31" s="1225"/>
      <c r="G31" s="1225"/>
      <c r="H31" s="1225"/>
      <c r="I31" s="1225"/>
      <c r="J31" s="1225"/>
      <c r="K31" s="253" t="s">
        <v>608</v>
      </c>
      <c r="L31" s="250" t="s">
        <v>609</v>
      </c>
      <c r="M31" s="251">
        <f>[5]Controles!T33</f>
        <v>100</v>
      </c>
      <c r="N31" s="251" t="str">
        <f>[5]Controles!AB33</f>
        <v>SI</v>
      </c>
      <c r="O31" s="252">
        <f>[5]Controles!W33</f>
        <v>0</v>
      </c>
      <c r="P31" s="252">
        <f>[5]Controles!X33</f>
        <v>1</v>
      </c>
      <c r="Q31" s="1225"/>
      <c r="R31" s="1225"/>
      <c r="S31" s="1225"/>
      <c r="T31" s="1225"/>
      <c r="U31" s="1225"/>
      <c r="V31" s="1225"/>
      <c r="W31" s="1225"/>
      <c r="X31" s="1225"/>
      <c r="Y31" s="250" t="s">
        <v>610</v>
      </c>
      <c r="Z31" s="254" t="s">
        <v>578</v>
      </c>
      <c r="AA31" s="255">
        <v>43831</v>
      </c>
      <c r="AB31" s="255">
        <v>44561</v>
      </c>
      <c r="AC31" s="254" t="s">
        <v>611</v>
      </c>
      <c r="AD31" s="260"/>
      <c r="AE31" s="260"/>
      <c r="AF31" s="260"/>
      <c r="AG31" s="260"/>
      <c r="AH31" s="260"/>
      <c r="AI31" s="260"/>
      <c r="AJ31" s="260"/>
      <c r="AK31" s="260"/>
    </row>
    <row r="32" spans="1:37" ht="99.75" x14ac:dyDescent="0.2">
      <c r="A32" s="1225"/>
      <c r="B32" s="1225"/>
      <c r="C32" s="1225"/>
      <c r="D32" s="1225"/>
      <c r="E32" s="1225"/>
      <c r="F32" s="1225"/>
      <c r="G32" s="1225"/>
      <c r="H32" s="1225"/>
      <c r="I32" s="1225"/>
      <c r="J32" s="1225"/>
      <c r="K32" s="253" t="s">
        <v>612</v>
      </c>
      <c r="L32" s="253" t="s">
        <v>613</v>
      </c>
      <c r="M32" s="251">
        <f>[5]Controles!T34</f>
        <v>100</v>
      </c>
      <c r="N32" s="251" t="str">
        <f>[5]Controles!AB34</f>
        <v>No</v>
      </c>
      <c r="O32" s="252">
        <f>[5]Controles!W34</f>
        <v>1</v>
      </c>
      <c r="P32" s="252">
        <f>[5]Controles!X34</f>
        <v>0</v>
      </c>
      <c r="Q32" s="1225"/>
      <c r="R32" s="1225"/>
      <c r="S32" s="1225"/>
      <c r="T32" s="1225"/>
      <c r="U32" s="1225"/>
      <c r="V32" s="1225"/>
      <c r="W32" s="1225"/>
      <c r="X32" s="1225"/>
      <c r="Y32" s="253" t="s">
        <v>614</v>
      </c>
      <c r="Z32" s="254" t="s">
        <v>578</v>
      </c>
      <c r="AA32" s="255">
        <v>43831</v>
      </c>
      <c r="AB32" s="255">
        <v>44561</v>
      </c>
      <c r="AC32" s="254" t="s">
        <v>615</v>
      </c>
      <c r="AD32" s="260"/>
      <c r="AE32" s="260"/>
      <c r="AF32" s="260"/>
      <c r="AG32" s="260"/>
      <c r="AH32" s="260"/>
      <c r="AI32" s="260"/>
      <c r="AJ32" s="260"/>
      <c r="AK32" s="260"/>
    </row>
    <row r="33" spans="1:37" ht="71.25" x14ac:dyDescent="0.2">
      <c r="A33" s="1239" t="e">
        <f>#REF!</f>
        <v>#REF!</v>
      </c>
      <c r="B33" s="1232" t="e">
        <f>#REF!</f>
        <v>#REF!</v>
      </c>
      <c r="C33" s="1403" t="e">
        <f>#REF!</f>
        <v>#REF!</v>
      </c>
      <c r="D33" s="1233" t="s">
        <v>223</v>
      </c>
      <c r="E33" s="1231">
        <f>IF(D33="Selecciona un descriptor de frecuencia."," ",IF(D33="","",VLOOKUP(D33,[5]Datos!$G$8:$J$12,2,FALSE)))</f>
        <v>2</v>
      </c>
      <c r="F33" s="1231" t="str">
        <f>IF(D33="Selecciona un descriptor de frecuencia."," ",IF(D33="","",VLOOKUP(D33,[5]Datos!$G$8:$J$12,3,FALSE)))</f>
        <v>Improbable</v>
      </c>
      <c r="G33" s="1233" t="s">
        <v>199</v>
      </c>
      <c r="H33" s="1239">
        <f>IF(G33="","",VLOOKUP(G33,[5]Datos!$K$8:$L$12,2,FALSE))</f>
        <v>4</v>
      </c>
      <c r="I33" s="1234" t="str">
        <f>IF(D33="Selecciona un descriptor de frecuencia."," ",IF(G33="Selecciona un descriptor de impacto."," ",IF(E33+H33=" ","",IF(E33="","",VLOOKUP(E33,[5]Datos!$U$8:$Z$12,MATCH(H33,[5]Datos!$V$7:$Z$7,0)+1,FALSE)))))</f>
        <v>ALTO</v>
      </c>
      <c r="J33" s="1233" t="s">
        <v>122</v>
      </c>
      <c r="K33" s="253" t="s">
        <v>616</v>
      </c>
      <c r="L33" s="250" t="s">
        <v>617</v>
      </c>
      <c r="M33" s="251">
        <f>[5]Controles!T35</f>
        <v>100</v>
      </c>
      <c r="N33" s="251" t="str">
        <f>[5]Controles!AB35</f>
        <v>No</v>
      </c>
      <c r="O33" s="252">
        <f>[5]Controles!W35</f>
        <v>1</v>
      </c>
      <c r="P33" s="252">
        <f>[5]Controles!X35</f>
        <v>0</v>
      </c>
      <c r="Q33" s="1240">
        <f t="shared" ref="Q33:R33" si="2">SUM(O33:O36)</f>
        <v>3</v>
      </c>
      <c r="R33" s="1240">
        <f t="shared" si="2"/>
        <v>1</v>
      </c>
      <c r="S33" s="1238">
        <f>IF(D33="Selecciona un descriptor de frecuencia."," ",IF(ROUNDUP(E33-Q33,0)&lt;=0,1,ROUNDUP(E33-Q33,0)))</f>
        <v>1</v>
      </c>
      <c r="T33" s="1238">
        <f>IF(G33="Selecciona un descriptor de impacto."," ",IF(ROUNDUP(H33-R33,0)&lt;0,1,ROUNDUP(H33-R33,0)))</f>
        <v>3</v>
      </c>
      <c r="U33" s="1237" t="str">
        <f>IF(D33="Selecciona un descriptor de frecuencia."," ",VLOOKUP(S33,[5]Datos!$H$8:$I$12,2,FALSE))</f>
        <v>Rara vez</v>
      </c>
      <c r="V33" s="1237" t="str">
        <f>IF(G33="Selecciona un descriptor de impacto."," ",VLOOKUP(T33,[5]Datos!$L$8:$M$12,2,FALSE))</f>
        <v>Moderado</v>
      </c>
      <c r="W33" s="1234" t="str">
        <f>IF(S33=" "," ",VLOOKUP(S33,[5]Datos!$U$8:$Z$12,MATCH(T33,[5]Datos!$V$7:$Z$7,0)+1,FALSE))</f>
        <v>MODERADO</v>
      </c>
      <c r="X33" s="1233" t="s">
        <v>202</v>
      </c>
      <c r="Y33" s="253" t="s">
        <v>618</v>
      </c>
      <c r="Z33" s="258" t="s">
        <v>578</v>
      </c>
      <c r="AA33" s="255">
        <v>43831</v>
      </c>
      <c r="AB33" s="255">
        <v>44561</v>
      </c>
      <c r="AC33" s="254" t="s">
        <v>619</v>
      </c>
      <c r="AD33" s="260"/>
      <c r="AE33" s="260"/>
      <c r="AF33" s="260"/>
      <c r="AG33" s="260"/>
      <c r="AH33" s="260"/>
      <c r="AI33" s="260"/>
      <c r="AJ33" s="260"/>
      <c r="AK33" s="260"/>
    </row>
    <row r="34" spans="1:37" ht="134.25" customHeight="1" x14ac:dyDescent="0.2">
      <c r="A34" s="1225"/>
      <c r="B34" s="1225"/>
      <c r="C34" s="1404"/>
      <c r="D34" s="1225"/>
      <c r="E34" s="1225"/>
      <c r="F34" s="1225"/>
      <c r="G34" s="1225"/>
      <c r="H34" s="1225"/>
      <c r="I34" s="1225"/>
      <c r="J34" s="1225"/>
      <c r="K34" s="253" t="s">
        <v>620</v>
      </c>
      <c r="L34" s="250" t="s">
        <v>621</v>
      </c>
      <c r="M34" s="251">
        <f>[5]Controles!T36</f>
        <v>100</v>
      </c>
      <c r="N34" s="251" t="str">
        <f>[5]Controles!AB36</f>
        <v>SI</v>
      </c>
      <c r="O34" s="252">
        <f>[5]Controles!W36</f>
        <v>0</v>
      </c>
      <c r="P34" s="252">
        <f>[5]Controles!X36</f>
        <v>1</v>
      </c>
      <c r="Q34" s="1225"/>
      <c r="R34" s="1225"/>
      <c r="S34" s="1225"/>
      <c r="T34" s="1225"/>
      <c r="U34" s="1225"/>
      <c r="V34" s="1225"/>
      <c r="W34" s="1225"/>
      <c r="X34" s="1225"/>
      <c r="Y34" s="390"/>
      <c r="Z34" s="258"/>
      <c r="AA34" s="255"/>
      <c r="AB34" s="255"/>
      <c r="AC34" s="258"/>
      <c r="AD34" s="260"/>
      <c r="AE34" s="260"/>
      <c r="AF34" s="260"/>
      <c r="AG34" s="260"/>
      <c r="AH34" s="260"/>
      <c r="AI34" s="260"/>
      <c r="AJ34" s="260"/>
      <c r="AK34" s="260"/>
    </row>
    <row r="35" spans="1:37" ht="115.5" customHeight="1" x14ac:dyDescent="0.2">
      <c r="A35" s="1225"/>
      <c r="B35" s="1225"/>
      <c r="C35" s="1404"/>
      <c r="D35" s="1225"/>
      <c r="E35" s="1225"/>
      <c r="F35" s="1225"/>
      <c r="G35" s="1225"/>
      <c r="H35" s="1225"/>
      <c r="I35" s="1225"/>
      <c r="J35" s="1225"/>
      <c r="K35" s="253" t="s">
        <v>622</v>
      </c>
      <c r="L35" s="250" t="s">
        <v>623</v>
      </c>
      <c r="M35" s="251">
        <f>[5]Controles!T37</f>
        <v>100</v>
      </c>
      <c r="N35" s="251" t="str">
        <f>[5]Controles!AB37</f>
        <v>No</v>
      </c>
      <c r="O35" s="252">
        <f>[5]Controles!W37</f>
        <v>1</v>
      </c>
      <c r="P35" s="252">
        <f>[5]Controles!X37</f>
        <v>0</v>
      </c>
      <c r="Q35" s="1225"/>
      <c r="R35" s="1225"/>
      <c r="S35" s="1225"/>
      <c r="T35" s="1225"/>
      <c r="U35" s="1225"/>
      <c r="V35" s="1225"/>
      <c r="W35" s="1225"/>
      <c r="X35" s="1225"/>
      <c r="Y35" s="257"/>
      <c r="Z35" s="258"/>
      <c r="AA35" s="255"/>
      <c r="AB35" s="255"/>
      <c r="AC35" s="258"/>
      <c r="AD35" s="260"/>
      <c r="AE35" s="260"/>
      <c r="AF35" s="260"/>
      <c r="AG35" s="260"/>
      <c r="AH35" s="260"/>
      <c r="AI35" s="260"/>
      <c r="AJ35" s="260"/>
      <c r="AK35" s="260"/>
    </row>
    <row r="36" spans="1:37" ht="86.25" customHeight="1" x14ac:dyDescent="0.2">
      <c r="A36" s="1225"/>
      <c r="B36" s="1225"/>
      <c r="C36" s="1404"/>
      <c r="D36" s="1225"/>
      <c r="E36" s="1225"/>
      <c r="F36" s="1225"/>
      <c r="G36" s="1225"/>
      <c r="H36" s="1225"/>
      <c r="I36" s="1225"/>
      <c r="J36" s="1225"/>
      <c r="K36" s="253" t="s">
        <v>624</v>
      </c>
      <c r="L36" s="253" t="s">
        <v>625</v>
      </c>
      <c r="M36" s="251">
        <f>[5]Controles!T38</f>
        <v>100</v>
      </c>
      <c r="N36" s="251" t="str">
        <f>[5]Controles!AB38</f>
        <v>No</v>
      </c>
      <c r="O36" s="252">
        <f>[5]Controles!W38</f>
        <v>1</v>
      </c>
      <c r="P36" s="252">
        <f>[5]Controles!X38</f>
        <v>0</v>
      </c>
      <c r="Q36" s="1225"/>
      <c r="R36" s="1225"/>
      <c r="S36" s="1225"/>
      <c r="T36" s="1225"/>
      <c r="U36" s="1225"/>
      <c r="V36" s="1225"/>
      <c r="W36" s="1225"/>
      <c r="X36" s="1225"/>
      <c r="Y36" s="392"/>
      <c r="Z36" s="392"/>
      <c r="AA36" s="255"/>
      <c r="AB36" s="255"/>
      <c r="AC36" s="392"/>
      <c r="AD36" s="260"/>
      <c r="AE36" s="260"/>
      <c r="AF36" s="260"/>
      <c r="AG36" s="260"/>
      <c r="AH36" s="260"/>
      <c r="AI36" s="260"/>
      <c r="AJ36" s="260"/>
      <c r="AK36" s="260"/>
    </row>
    <row r="37" spans="1:37" ht="105.75" customHeight="1" x14ac:dyDescent="0.2">
      <c r="A37" s="1239" t="e">
        <f>#REF!</f>
        <v>#REF!</v>
      </c>
      <c r="B37" s="1232" t="e">
        <f>#REF!</f>
        <v>#REF!</v>
      </c>
      <c r="C37" s="1232" t="e">
        <f>#REF!</f>
        <v>#REF!</v>
      </c>
      <c r="D37" s="1233" t="s">
        <v>236</v>
      </c>
      <c r="E37" s="1231">
        <f>IF(D37="Selecciona un descriptor de frecuencia."," ",IF(D37="","",VLOOKUP(D37,[5]Datos!$G$8:$J$12,2,FALSE)))</f>
        <v>1</v>
      </c>
      <c r="F37" s="1231" t="str">
        <f>IF(D37="Selecciona un descriptor de frecuencia."," ",IF(D37="","",VLOOKUP(D37,[5]Datos!$G$8:$J$12,3,FALSE)))</f>
        <v>Rara vez</v>
      </c>
      <c r="G37" s="1233" t="s">
        <v>204</v>
      </c>
      <c r="H37" s="1239">
        <f>IF(G37="","",VLOOKUP(G37,[5]Datos!$K$8:$L$12,2,FALSE))</f>
        <v>3</v>
      </c>
      <c r="I37" s="1234" t="str">
        <f>IF(D37="Selecciona un descriptor de frecuencia."," ",IF(G37="Selecciona un descriptor de impacto."," ",IF(E37+H37=" ","",IF(E37="","",VLOOKUP(E37,[5]Datos!$U$8:$Z$12,MATCH(H37,[5]Datos!$V$7:$Z$7,0)+1,FALSE)))))</f>
        <v>MODERADO</v>
      </c>
      <c r="J37" s="1233" t="s">
        <v>122</v>
      </c>
      <c r="K37" s="253" t="s">
        <v>626</v>
      </c>
      <c r="L37" s="250" t="s">
        <v>627</v>
      </c>
      <c r="M37" s="251">
        <f>[5]Controles!T38</f>
        <v>100</v>
      </c>
      <c r="N37" s="251" t="str">
        <f>[5]Controles!AB38</f>
        <v>No</v>
      </c>
      <c r="O37" s="252">
        <f>[5]Controles!W38</f>
        <v>1</v>
      </c>
      <c r="P37" s="252">
        <f>[5]Controles!X38</f>
        <v>0</v>
      </c>
      <c r="Q37" s="1240">
        <f>SUM(O37:O39)</f>
        <v>2</v>
      </c>
      <c r="R37" s="1240">
        <f>SUM(P37:P39)</f>
        <v>1</v>
      </c>
      <c r="S37" s="1238">
        <f>IF(D37="Selecciona un descriptor de frecuencia."," ",IF(ROUNDUP(E37-Q37,0)&lt;=0,1,ROUNDUP(E37-Q37,0)))</f>
        <v>1</v>
      </c>
      <c r="T37" s="1238">
        <f>IF(G37="Selecciona un descriptor de impacto."," ",IF(ROUNDUP(H37-R37,0)&lt;0,1,ROUNDUP(H37-R37,0)))</f>
        <v>2</v>
      </c>
      <c r="U37" s="1237" t="str">
        <f>IF(D37="Selecciona un descriptor de frecuencia."," ",VLOOKUP(S37,[5]Datos!$H$8:$I$12,2,FALSE))</f>
        <v>Rara vez</v>
      </c>
      <c r="V37" s="1237" t="str">
        <f>IF(G37="Selecciona un descriptor de impacto."," ",VLOOKUP(T37,[5]Datos!$L$8:$M$12,2,FALSE))</f>
        <v>Menor</v>
      </c>
      <c r="W37" s="1234" t="str">
        <f>IF(S37=" "," ",VLOOKUP(S37,[5]Datos!$U$8:$Z$12,MATCH(T37,[5]Datos!$V$7:$Z$7,0)+1,FALSE))</f>
        <v>BAJO</v>
      </c>
      <c r="X37" s="1233" t="s">
        <v>187</v>
      </c>
      <c r="Y37" s="257"/>
      <c r="Z37" s="258"/>
      <c r="AA37" s="255"/>
      <c r="AB37" s="255"/>
      <c r="AC37" s="258"/>
      <c r="AD37" s="260"/>
      <c r="AE37" s="260"/>
      <c r="AF37" s="260"/>
      <c r="AG37" s="260"/>
      <c r="AH37" s="260"/>
      <c r="AI37" s="260"/>
      <c r="AJ37" s="260"/>
      <c r="AK37" s="260"/>
    </row>
    <row r="38" spans="1:37" ht="111.75" customHeight="1" x14ac:dyDescent="0.2">
      <c r="A38" s="1225"/>
      <c r="B38" s="1225"/>
      <c r="C38" s="1225"/>
      <c r="D38" s="1225"/>
      <c r="E38" s="1225"/>
      <c r="F38" s="1225"/>
      <c r="G38" s="1225"/>
      <c r="H38" s="1225"/>
      <c r="I38" s="1225"/>
      <c r="J38" s="1225"/>
      <c r="K38" s="253" t="s">
        <v>628</v>
      </c>
      <c r="L38" s="250" t="s">
        <v>629</v>
      </c>
      <c r="M38" s="251">
        <f>[5]Controles!T39</f>
        <v>100</v>
      </c>
      <c r="N38" s="251" t="str">
        <f>[5]Controles!AB39</f>
        <v>SI</v>
      </c>
      <c r="O38" s="252">
        <f>[5]Controles!W39</f>
        <v>0</v>
      </c>
      <c r="P38" s="252">
        <f>[5]Controles!X39</f>
        <v>1</v>
      </c>
      <c r="Q38" s="1225"/>
      <c r="R38" s="1225"/>
      <c r="S38" s="1225"/>
      <c r="T38" s="1225"/>
      <c r="U38" s="1225"/>
      <c r="V38" s="1225"/>
      <c r="W38" s="1225"/>
      <c r="X38" s="1225"/>
      <c r="Y38" s="257"/>
      <c r="Z38" s="258"/>
      <c r="AA38" s="255"/>
      <c r="AB38" s="255"/>
      <c r="AC38" s="258"/>
      <c r="AD38" s="260"/>
      <c r="AE38" s="260"/>
      <c r="AF38" s="260"/>
      <c r="AG38" s="260"/>
      <c r="AH38" s="260"/>
      <c r="AI38" s="260"/>
      <c r="AJ38" s="260"/>
      <c r="AK38" s="260"/>
    </row>
    <row r="39" spans="1:37" ht="150" customHeight="1" x14ac:dyDescent="0.2">
      <c r="A39" s="1225"/>
      <c r="B39" s="1225"/>
      <c r="C39" s="1225"/>
      <c r="D39" s="1225"/>
      <c r="E39" s="1225"/>
      <c r="F39" s="1225"/>
      <c r="G39" s="1225"/>
      <c r="H39" s="1225"/>
      <c r="I39" s="1225"/>
      <c r="J39" s="1225"/>
      <c r="K39" s="253" t="s">
        <v>630</v>
      </c>
      <c r="L39" s="250" t="s">
        <v>631</v>
      </c>
      <c r="M39" s="251">
        <f>[5]Controles!T40</f>
        <v>100</v>
      </c>
      <c r="N39" s="251" t="str">
        <f>[5]Controles!AB40</f>
        <v>No</v>
      </c>
      <c r="O39" s="252">
        <f>[5]Controles!W40</f>
        <v>1</v>
      </c>
      <c r="P39" s="252">
        <f>[5]Controles!X40</f>
        <v>0</v>
      </c>
      <c r="Q39" s="1225"/>
      <c r="R39" s="1225"/>
      <c r="S39" s="1225"/>
      <c r="T39" s="1225"/>
      <c r="U39" s="1225"/>
      <c r="V39" s="1225"/>
      <c r="W39" s="1225"/>
      <c r="X39" s="1225"/>
      <c r="Y39" s="257"/>
      <c r="Z39" s="258"/>
      <c r="AA39" s="255"/>
      <c r="AB39" s="255"/>
      <c r="AC39" s="258"/>
      <c r="AD39" s="260"/>
      <c r="AE39" s="260"/>
      <c r="AF39" s="260"/>
      <c r="AG39" s="260"/>
      <c r="AH39" s="260"/>
      <c r="AI39" s="260"/>
      <c r="AJ39" s="260"/>
      <c r="AK39" s="260"/>
    </row>
    <row r="40" spans="1:37" ht="15.75" customHeight="1" x14ac:dyDescent="0.25">
      <c r="A40" s="244"/>
      <c r="C40" s="263"/>
      <c r="D40" s="264"/>
      <c r="E40" s="244"/>
      <c r="F40" s="244"/>
      <c r="G40" s="244"/>
      <c r="H40" s="244"/>
      <c r="K40" s="265"/>
      <c r="S40" s="244"/>
    </row>
    <row r="41" spans="1:37" ht="15.75" customHeight="1" x14ac:dyDescent="0.25">
      <c r="A41" s="244"/>
      <c r="C41" s="263"/>
      <c r="D41" s="264"/>
      <c r="E41" s="244"/>
      <c r="F41" s="244"/>
      <c r="G41" s="244"/>
      <c r="H41" s="244"/>
      <c r="K41" s="265"/>
      <c r="S41" s="244"/>
    </row>
    <row r="42" spans="1:37" ht="15.75" customHeight="1" x14ac:dyDescent="0.25">
      <c r="A42" s="244"/>
      <c r="C42" s="263"/>
      <c r="D42" s="264"/>
      <c r="E42" s="244"/>
      <c r="F42" s="244"/>
      <c r="G42" s="244"/>
      <c r="H42" s="244"/>
      <c r="K42" s="265"/>
      <c r="S42" s="244"/>
    </row>
    <row r="43" spans="1:37" ht="15.75" customHeight="1" x14ac:dyDescent="0.25">
      <c r="A43" s="244"/>
      <c r="C43" s="263"/>
      <c r="D43" s="264"/>
      <c r="E43" s="244"/>
      <c r="F43" s="244"/>
      <c r="G43" s="244"/>
      <c r="H43" s="244"/>
      <c r="K43" s="265"/>
      <c r="S43" s="244"/>
    </row>
    <row r="44" spans="1:37" ht="15.75" customHeight="1" x14ac:dyDescent="0.25">
      <c r="A44" s="244"/>
      <c r="C44" s="263"/>
      <c r="D44" s="264"/>
      <c r="E44" s="244"/>
      <c r="F44" s="244"/>
      <c r="G44" s="244"/>
      <c r="H44" s="244"/>
      <c r="K44" s="265"/>
      <c r="S44" s="244"/>
    </row>
    <row r="45" spans="1:37" ht="15.75" customHeight="1" x14ac:dyDescent="0.25">
      <c r="A45" s="244"/>
      <c r="C45" s="263"/>
      <c r="D45" s="264"/>
      <c r="E45" s="244"/>
      <c r="F45" s="244"/>
      <c r="G45" s="244"/>
      <c r="H45" s="244"/>
      <c r="K45" s="265"/>
      <c r="S45" s="244"/>
    </row>
    <row r="46" spans="1:37" ht="15.75" customHeight="1" x14ac:dyDescent="0.25">
      <c r="A46" s="244"/>
      <c r="C46" s="263"/>
      <c r="D46" s="264"/>
      <c r="E46" s="244"/>
      <c r="F46" s="244"/>
      <c r="G46" s="244"/>
      <c r="H46" s="244"/>
      <c r="K46" s="265"/>
      <c r="S46" s="244"/>
    </row>
    <row r="47" spans="1:37" ht="15.75" customHeight="1" x14ac:dyDescent="0.25">
      <c r="A47" s="244"/>
      <c r="C47" s="263"/>
      <c r="D47" s="264"/>
      <c r="E47" s="244"/>
      <c r="F47" s="244"/>
      <c r="G47" s="244"/>
      <c r="H47" s="244"/>
      <c r="K47" s="265"/>
      <c r="S47" s="244"/>
    </row>
    <row r="48" spans="1:37" ht="15.75" customHeight="1" x14ac:dyDescent="0.25">
      <c r="A48" s="244"/>
      <c r="C48" s="263"/>
      <c r="D48" s="264"/>
      <c r="E48" s="244"/>
      <c r="F48" s="244"/>
      <c r="G48" s="244"/>
      <c r="H48" s="244"/>
      <c r="K48" s="265"/>
      <c r="S48" s="244"/>
    </row>
    <row r="49" spans="1:19" ht="15.75" customHeight="1" x14ac:dyDescent="0.25">
      <c r="A49" s="244"/>
      <c r="C49" s="263"/>
      <c r="D49" s="264"/>
      <c r="E49" s="244"/>
      <c r="F49" s="244"/>
      <c r="G49" s="244"/>
      <c r="H49" s="244"/>
      <c r="K49" s="265"/>
      <c r="S49" s="244"/>
    </row>
    <row r="50" spans="1:19" ht="15.75" customHeight="1" x14ac:dyDescent="0.25">
      <c r="A50" s="244"/>
      <c r="C50" s="263"/>
      <c r="D50" s="264"/>
      <c r="E50" s="244"/>
      <c r="F50" s="244"/>
      <c r="G50" s="244"/>
      <c r="H50" s="244"/>
      <c r="K50" s="265"/>
      <c r="S50" s="244"/>
    </row>
    <row r="51" spans="1:19" ht="15.75" customHeight="1" x14ac:dyDescent="0.25">
      <c r="A51" s="244"/>
      <c r="C51" s="263"/>
      <c r="D51" s="264"/>
      <c r="E51" s="244"/>
      <c r="F51" s="244"/>
      <c r="G51" s="244"/>
      <c r="H51" s="244"/>
      <c r="K51" s="265"/>
      <c r="S51" s="244"/>
    </row>
    <row r="52" spans="1:19" ht="15.75" customHeight="1" x14ac:dyDescent="0.25">
      <c r="A52" s="244"/>
      <c r="C52" s="263"/>
      <c r="D52" s="264"/>
      <c r="E52" s="244"/>
      <c r="F52" s="244"/>
      <c r="G52" s="244"/>
      <c r="H52" s="244"/>
      <c r="K52" s="265"/>
      <c r="S52" s="244"/>
    </row>
    <row r="53" spans="1:19" ht="15.75" customHeight="1" x14ac:dyDescent="0.25">
      <c r="A53" s="244"/>
      <c r="C53" s="263"/>
      <c r="D53" s="264"/>
      <c r="E53" s="244"/>
      <c r="F53" s="244"/>
      <c r="G53" s="244"/>
      <c r="H53" s="244"/>
      <c r="K53" s="265"/>
      <c r="S53" s="244"/>
    </row>
    <row r="54" spans="1:19" ht="15.75" customHeight="1" x14ac:dyDescent="0.25">
      <c r="A54" s="244"/>
      <c r="C54" s="263"/>
      <c r="D54" s="264"/>
      <c r="E54" s="244"/>
      <c r="F54" s="244"/>
      <c r="G54" s="244"/>
      <c r="H54" s="244"/>
      <c r="K54" s="265"/>
      <c r="S54" s="244"/>
    </row>
    <row r="55" spans="1:19" ht="15.75" customHeight="1" x14ac:dyDescent="0.25">
      <c r="A55" s="244"/>
      <c r="C55" s="263"/>
      <c r="D55" s="264"/>
      <c r="E55" s="244"/>
      <c r="F55" s="244"/>
      <c r="G55" s="244"/>
      <c r="H55" s="244"/>
      <c r="K55" s="265"/>
      <c r="S55" s="244"/>
    </row>
    <row r="56" spans="1:19" ht="15.75" customHeight="1" x14ac:dyDescent="0.25">
      <c r="A56" s="244"/>
      <c r="C56" s="263"/>
      <c r="D56" s="264"/>
      <c r="E56" s="244"/>
      <c r="F56" s="244"/>
      <c r="G56" s="244"/>
      <c r="H56" s="244"/>
      <c r="K56" s="265"/>
      <c r="S56" s="244"/>
    </row>
    <row r="57" spans="1:19" ht="15.75" customHeight="1" x14ac:dyDescent="0.25">
      <c r="A57" s="244"/>
      <c r="C57" s="263"/>
      <c r="D57" s="264"/>
      <c r="E57" s="244"/>
      <c r="F57" s="244"/>
      <c r="G57" s="244"/>
      <c r="H57" s="244"/>
      <c r="K57" s="265"/>
      <c r="S57" s="244"/>
    </row>
    <row r="58" spans="1:19" ht="15.75" customHeight="1" x14ac:dyDescent="0.25">
      <c r="A58" s="244"/>
      <c r="C58" s="263"/>
      <c r="D58" s="264"/>
      <c r="E58" s="244"/>
      <c r="F58" s="244"/>
      <c r="G58" s="244"/>
      <c r="H58" s="244"/>
      <c r="K58" s="265"/>
      <c r="S58" s="244"/>
    </row>
    <row r="59" spans="1:19" ht="15.75" customHeight="1" x14ac:dyDescent="0.25">
      <c r="A59" s="244"/>
      <c r="C59" s="263"/>
      <c r="D59" s="264"/>
      <c r="E59" s="244"/>
      <c r="F59" s="244"/>
      <c r="G59" s="244"/>
      <c r="H59" s="244"/>
      <c r="K59" s="265"/>
      <c r="S59" s="244"/>
    </row>
    <row r="60" spans="1:19" ht="15.75" customHeight="1" x14ac:dyDescent="0.25">
      <c r="A60" s="244"/>
      <c r="C60" s="263"/>
      <c r="D60" s="264"/>
      <c r="E60" s="244"/>
      <c r="F60" s="244"/>
      <c r="G60" s="244"/>
      <c r="H60" s="244"/>
      <c r="K60" s="265"/>
      <c r="S60" s="244"/>
    </row>
    <row r="61" spans="1:19" ht="15.75" customHeight="1" x14ac:dyDescent="0.25">
      <c r="A61" s="244"/>
      <c r="C61" s="263"/>
      <c r="D61" s="264"/>
      <c r="E61" s="244"/>
      <c r="F61" s="244"/>
      <c r="G61" s="244"/>
      <c r="H61" s="244"/>
      <c r="K61" s="265"/>
      <c r="S61" s="244"/>
    </row>
    <row r="62" spans="1:19" ht="15.75" customHeight="1" x14ac:dyDescent="0.25">
      <c r="A62" s="244"/>
      <c r="C62" s="263"/>
      <c r="D62" s="264"/>
      <c r="E62" s="244"/>
      <c r="F62" s="244"/>
      <c r="G62" s="244"/>
      <c r="H62" s="244"/>
      <c r="K62" s="265"/>
      <c r="S62" s="244"/>
    </row>
    <row r="63" spans="1:19" ht="15.75" customHeight="1" x14ac:dyDescent="0.25">
      <c r="A63" s="244"/>
      <c r="C63" s="263"/>
      <c r="D63" s="264"/>
      <c r="E63" s="244"/>
      <c r="F63" s="244"/>
      <c r="G63" s="244"/>
      <c r="H63" s="244"/>
      <c r="K63" s="265"/>
      <c r="S63" s="244"/>
    </row>
    <row r="64" spans="1:19" ht="15.75" customHeight="1" x14ac:dyDescent="0.25">
      <c r="A64" s="244"/>
      <c r="C64" s="263"/>
      <c r="D64" s="264"/>
      <c r="E64" s="244"/>
      <c r="F64" s="244"/>
      <c r="G64" s="244"/>
      <c r="H64" s="244"/>
      <c r="K64" s="265"/>
      <c r="S64" s="244"/>
    </row>
    <row r="65" spans="1:19" ht="15.75" customHeight="1" x14ac:dyDescent="0.25">
      <c r="A65" s="244"/>
      <c r="C65" s="263"/>
      <c r="D65" s="264"/>
      <c r="E65" s="244"/>
      <c r="F65" s="244"/>
      <c r="G65" s="244"/>
      <c r="H65" s="244"/>
      <c r="K65" s="265"/>
      <c r="S65" s="244"/>
    </row>
    <row r="66" spans="1:19" ht="15.75" customHeight="1" x14ac:dyDescent="0.25">
      <c r="A66" s="244"/>
      <c r="C66" s="263"/>
      <c r="D66" s="264"/>
      <c r="E66" s="244"/>
      <c r="F66" s="244"/>
      <c r="G66" s="244"/>
      <c r="H66" s="244"/>
      <c r="K66" s="265"/>
      <c r="S66" s="244"/>
    </row>
    <row r="67" spans="1:19" ht="15.75" customHeight="1" x14ac:dyDescent="0.25">
      <c r="A67" s="244"/>
      <c r="C67" s="263"/>
      <c r="D67" s="264"/>
      <c r="E67" s="244"/>
      <c r="F67" s="244"/>
      <c r="G67" s="244"/>
      <c r="H67" s="244"/>
      <c r="K67" s="265"/>
      <c r="S67" s="244"/>
    </row>
    <row r="68" spans="1:19" ht="15.75" customHeight="1" x14ac:dyDescent="0.25">
      <c r="A68" s="244"/>
      <c r="C68" s="263"/>
      <c r="D68" s="264"/>
      <c r="E68" s="244"/>
      <c r="F68" s="244"/>
      <c r="G68" s="244"/>
      <c r="H68" s="244"/>
      <c r="K68" s="265"/>
      <c r="S68" s="244"/>
    </row>
    <row r="69" spans="1:19" ht="15.75" customHeight="1" x14ac:dyDescent="0.25">
      <c r="A69" s="244"/>
      <c r="C69" s="263"/>
      <c r="D69" s="264"/>
      <c r="E69" s="244"/>
      <c r="F69" s="244"/>
      <c r="G69" s="244"/>
      <c r="H69" s="244"/>
      <c r="K69" s="265"/>
      <c r="S69" s="244"/>
    </row>
    <row r="70" spans="1:19" ht="15.75" customHeight="1" x14ac:dyDescent="0.25">
      <c r="A70" s="244"/>
      <c r="C70" s="263"/>
      <c r="D70" s="264"/>
      <c r="E70" s="244"/>
      <c r="F70" s="244"/>
      <c r="G70" s="244"/>
      <c r="H70" s="244"/>
      <c r="K70" s="265"/>
      <c r="S70" s="244"/>
    </row>
    <row r="71" spans="1:19" ht="15.75" customHeight="1" x14ac:dyDescent="0.25">
      <c r="A71" s="244"/>
      <c r="C71" s="263"/>
      <c r="D71" s="264"/>
      <c r="E71" s="244"/>
      <c r="F71" s="244"/>
      <c r="G71" s="244"/>
      <c r="H71" s="244"/>
      <c r="K71" s="265"/>
      <c r="S71" s="244"/>
    </row>
    <row r="72" spans="1:19" ht="15.75" customHeight="1" x14ac:dyDescent="0.25">
      <c r="A72" s="244"/>
      <c r="C72" s="263"/>
      <c r="D72" s="264"/>
      <c r="E72" s="244"/>
      <c r="F72" s="244"/>
      <c r="G72" s="244"/>
      <c r="H72" s="244"/>
      <c r="K72" s="265"/>
      <c r="S72" s="244"/>
    </row>
    <row r="73" spans="1:19" ht="15.75" customHeight="1" x14ac:dyDescent="0.25">
      <c r="A73" s="244"/>
      <c r="C73" s="263"/>
      <c r="D73" s="264"/>
      <c r="E73" s="244"/>
      <c r="F73" s="244"/>
      <c r="G73" s="244"/>
      <c r="H73" s="244"/>
      <c r="K73" s="265"/>
      <c r="S73" s="244"/>
    </row>
    <row r="74" spans="1:19" ht="15.75" customHeight="1" x14ac:dyDescent="0.25">
      <c r="A74" s="244"/>
      <c r="C74" s="263"/>
      <c r="D74" s="264"/>
      <c r="E74" s="244"/>
      <c r="F74" s="244"/>
      <c r="G74" s="244"/>
      <c r="H74" s="244"/>
      <c r="K74" s="265"/>
      <c r="S74" s="244"/>
    </row>
    <row r="75" spans="1:19" ht="15.75" customHeight="1" x14ac:dyDescent="0.25">
      <c r="A75" s="244"/>
      <c r="C75" s="263"/>
      <c r="D75" s="264"/>
      <c r="E75" s="244"/>
      <c r="F75" s="244"/>
      <c r="G75" s="244"/>
      <c r="H75" s="244"/>
      <c r="K75" s="265"/>
      <c r="S75" s="244"/>
    </row>
    <row r="76" spans="1:19" ht="15.75" customHeight="1" x14ac:dyDescent="0.25">
      <c r="A76" s="244"/>
      <c r="C76" s="263"/>
      <c r="D76" s="264"/>
      <c r="E76" s="244"/>
      <c r="F76" s="244"/>
      <c r="G76" s="244"/>
      <c r="H76" s="244"/>
      <c r="K76" s="265"/>
      <c r="S76" s="244"/>
    </row>
    <row r="77" spans="1:19" ht="15.75" customHeight="1" x14ac:dyDescent="0.25">
      <c r="A77" s="244"/>
      <c r="C77" s="263"/>
      <c r="D77" s="264"/>
      <c r="E77" s="244"/>
      <c r="F77" s="244"/>
      <c r="G77" s="244"/>
      <c r="H77" s="244"/>
      <c r="K77" s="265"/>
      <c r="S77" s="244"/>
    </row>
    <row r="78" spans="1:19" ht="15.75" customHeight="1" x14ac:dyDescent="0.25">
      <c r="A78" s="244"/>
      <c r="C78" s="263"/>
      <c r="D78" s="264"/>
      <c r="E78" s="244"/>
      <c r="F78" s="244"/>
      <c r="G78" s="244"/>
      <c r="H78" s="244"/>
      <c r="K78" s="265"/>
      <c r="S78" s="244"/>
    </row>
    <row r="79" spans="1:19" ht="15.75" customHeight="1" x14ac:dyDescent="0.25">
      <c r="A79" s="244"/>
      <c r="C79" s="263"/>
      <c r="D79" s="264"/>
      <c r="E79" s="244"/>
      <c r="F79" s="244"/>
      <c r="G79" s="244"/>
      <c r="H79" s="244"/>
      <c r="K79" s="265"/>
      <c r="S79" s="244"/>
    </row>
    <row r="80" spans="1:19" ht="15.75" customHeight="1" x14ac:dyDescent="0.25">
      <c r="A80" s="244"/>
      <c r="C80" s="263"/>
      <c r="D80" s="264"/>
      <c r="E80" s="244"/>
      <c r="F80" s="244"/>
      <c r="G80" s="244"/>
      <c r="H80" s="244"/>
      <c r="K80" s="265"/>
      <c r="S80" s="244"/>
    </row>
    <row r="81" spans="1:19" ht="15.75" customHeight="1" x14ac:dyDescent="0.25">
      <c r="A81" s="244"/>
      <c r="C81" s="263"/>
      <c r="D81" s="264"/>
      <c r="E81" s="244"/>
      <c r="F81" s="244"/>
      <c r="G81" s="244"/>
      <c r="H81" s="244"/>
      <c r="K81" s="265"/>
      <c r="S81" s="244"/>
    </row>
    <row r="82" spans="1:19" ht="15.75" customHeight="1" x14ac:dyDescent="0.25">
      <c r="A82" s="244"/>
      <c r="C82" s="263"/>
      <c r="D82" s="264"/>
      <c r="E82" s="244"/>
      <c r="F82" s="244"/>
      <c r="G82" s="244"/>
      <c r="H82" s="244"/>
      <c r="K82" s="265"/>
      <c r="S82" s="244"/>
    </row>
    <row r="83" spans="1:19" ht="15.75" customHeight="1" x14ac:dyDescent="0.25">
      <c r="A83" s="244"/>
      <c r="C83" s="263"/>
      <c r="D83" s="264"/>
      <c r="E83" s="244"/>
      <c r="F83" s="244"/>
      <c r="G83" s="244"/>
      <c r="H83" s="244"/>
      <c r="K83" s="265"/>
      <c r="S83" s="244"/>
    </row>
    <row r="84" spans="1:19" ht="15.75" customHeight="1" x14ac:dyDescent="0.25">
      <c r="A84" s="244"/>
      <c r="C84" s="263"/>
      <c r="D84" s="264"/>
      <c r="E84" s="244"/>
      <c r="F84" s="244"/>
      <c r="G84" s="244"/>
      <c r="H84" s="244"/>
      <c r="K84" s="265"/>
      <c r="S84" s="244"/>
    </row>
    <row r="85" spans="1:19" ht="15.75" customHeight="1" x14ac:dyDescent="0.25">
      <c r="A85" s="244"/>
      <c r="C85" s="263"/>
      <c r="D85" s="264"/>
      <c r="E85" s="244"/>
      <c r="F85" s="244"/>
      <c r="G85" s="244"/>
      <c r="H85" s="244"/>
      <c r="K85" s="265"/>
      <c r="S85" s="244"/>
    </row>
    <row r="86" spans="1:19" ht="15.75" customHeight="1" x14ac:dyDescent="0.25">
      <c r="A86" s="244"/>
      <c r="C86" s="263"/>
      <c r="D86" s="264"/>
      <c r="E86" s="244"/>
      <c r="F86" s="244"/>
      <c r="G86" s="244"/>
      <c r="H86" s="244"/>
      <c r="K86" s="265"/>
      <c r="S86" s="244"/>
    </row>
    <row r="87" spans="1:19" ht="15.75" customHeight="1" x14ac:dyDescent="0.25">
      <c r="A87" s="244"/>
      <c r="C87" s="263"/>
      <c r="D87" s="264"/>
      <c r="E87" s="244"/>
      <c r="F87" s="244"/>
      <c r="G87" s="244"/>
      <c r="H87" s="244"/>
      <c r="K87" s="265"/>
      <c r="S87" s="244"/>
    </row>
    <row r="88" spans="1:19" ht="15.75" customHeight="1" x14ac:dyDescent="0.25">
      <c r="A88" s="244"/>
      <c r="C88" s="263"/>
      <c r="D88" s="264"/>
      <c r="E88" s="244"/>
      <c r="F88" s="244"/>
      <c r="G88" s="244"/>
      <c r="H88" s="244"/>
      <c r="K88" s="265"/>
      <c r="S88" s="244"/>
    </row>
    <row r="89" spans="1:19" ht="15.75" customHeight="1" x14ac:dyDescent="0.25">
      <c r="A89" s="244"/>
      <c r="C89" s="263"/>
      <c r="D89" s="264"/>
      <c r="E89" s="244"/>
      <c r="F89" s="244"/>
      <c r="G89" s="244"/>
      <c r="H89" s="244"/>
      <c r="K89" s="265"/>
      <c r="S89" s="244"/>
    </row>
    <row r="90" spans="1:19" ht="15.75" customHeight="1" x14ac:dyDescent="0.25">
      <c r="A90" s="244"/>
      <c r="C90" s="263"/>
      <c r="D90" s="264"/>
      <c r="E90" s="244"/>
      <c r="F90" s="244"/>
      <c r="G90" s="244"/>
      <c r="H90" s="244"/>
      <c r="K90" s="265"/>
      <c r="S90" s="244"/>
    </row>
    <row r="91" spans="1:19" ht="15.75" customHeight="1" x14ac:dyDescent="0.25">
      <c r="A91" s="244"/>
      <c r="C91" s="263"/>
      <c r="D91" s="264"/>
      <c r="E91" s="244"/>
      <c r="F91" s="244"/>
      <c r="G91" s="244"/>
      <c r="H91" s="244"/>
      <c r="K91" s="265"/>
      <c r="S91" s="244"/>
    </row>
    <row r="92" spans="1:19" ht="15.75" customHeight="1" x14ac:dyDescent="0.25">
      <c r="A92" s="244"/>
      <c r="C92" s="263"/>
      <c r="D92" s="264"/>
      <c r="E92" s="244"/>
      <c r="F92" s="244"/>
      <c r="G92" s="244"/>
      <c r="H92" s="244"/>
      <c r="K92" s="265"/>
      <c r="S92" s="244"/>
    </row>
    <row r="93" spans="1:19" ht="15.75" customHeight="1" x14ac:dyDescent="0.25">
      <c r="A93" s="244"/>
      <c r="C93" s="263"/>
      <c r="D93" s="264"/>
      <c r="E93" s="244"/>
      <c r="F93" s="244"/>
      <c r="G93" s="244"/>
      <c r="H93" s="244"/>
      <c r="K93" s="265"/>
      <c r="S93" s="244"/>
    </row>
    <row r="94" spans="1:19" ht="15.75" customHeight="1" x14ac:dyDescent="0.25">
      <c r="A94" s="244"/>
      <c r="C94" s="263"/>
      <c r="D94" s="264"/>
      <c r="E94" s="244"/>
      <c r="F94" s="244"/>
      <c r="G94" s="244"/>
      <c r="H94" s="244"/>
      <c r="K94" s="265"/>
      <c r="S94" s="244"/>
    </row>
    <row r="95" spans="1:19" ht="15.75" customHeight="1" x14ac:dyDescent="0.25">
      <c r="A95" s="244"/>
      <c r="C95" s="263"/>
      <c r="D95" s="264"/>
      <c r="E95" s="244"/>
      <c r="F95" s="244"/>
      <c r="G95" s="244"/>
      <c r="H95" s="244"/>
      <c r="K95" s="265"/>
      <c r="S95" s="244"/>
    </row>
    <row r="96" spans="1:19" ht="15.75" customHeight="1" x14ac:dyDescent="0.25">
      <c r="A96" s="244"/>
      <c r="C96" s="263"/>
      <c r="D96" s="264"/>
      <c r="E96" s="244"/>
      <c r="F96" s="244"/>
      <c r="G96" s="244"/>
      <c r="H96" s="244"/>
      <c r="K96" s="265"/>
      <c r="S96" s="244"/>
    </row>
    <row r="97" spans="1:19" ht="15.75" customHeight="1" x14ac:dyDescent="0.25">
      <c r="A97" s="244"/>
      <c r="C97" s="263"/>
      <c r="D97" s="264"/>
      <c r="E97" s="244"/>
      <c r="F97" s="244"/>
      <c r="G97" s="244"/>
      <c r="H97" s="244"/>
      <c r="K97" s="265"/>
      <c r="S97" s="244"/>
    </row>
    <row r="98" spans="1:19" ht="15.75" customHeight="1" x14ac:dyDescent="0.25">
      <c r="A98" s="244"/>
      <c r="C98" s="263"/>
      <c r="D98" s="264"/>
      <c r="E98" s="244"/>
      <c r="F98" s="244"/>
      <c r="G98" s="244"/>
      <c r="H98" s="244"/>
      <c r="K98" s="265"/>
      <c r="S98" s="244"/>
    </row>
    <row r="99" spans="1:19" ht="15.75" customHeight="1" x14ac:dyDescent="0.25">
      <c r="A99" s="244"/>
      <c r="C99" s="263"/>
      <c r="D99" s="264"/>
      <c r="E99" s="244"/>
      <c r="F99" s="244"/>
      <c r="G99" s="244"/>
      <c r="H99" s="244"/>
      <c r="K99" s="265"/>
      <c r="S99" s="244"/>
    </row>
    <row r="100" spans="1:19" ht="15.75" customHeight="1" x14ac:dyDescent="0.25">
      <c r="A100" s="244"/>
      <c r="C100" s="263"/>
      <c r="D100" s="264"/>
      <c r="E100" s="244"/>
      <c r="F100" s="244"/>
      <c r="G100" s="244"/>
      <c r="H100" s="244"/>
      <c r="K100" s="265"/>
      <c r="S100" s="244"/>
    </row>
    <row r="101" spans="1:19" ht="15.75" customHeight="1" x14ac:dyDescent="0.25">
      <c r="A101" s="244"/>
      <c r="C101" s="263"/>
      <c r="D101" s="264"/>
      <c r="E101" s="244"/>
      <c r="F101" s="244"/>
      <c r="G101" s="244"/>
      <c r="H101" s="244"/>
      <c r="K101" s="265"/>
      <c r="S101" s="244"/>
    </row>
    <row r="102" spans="1:19" ht="15.75" customHeight="1" x14ac:dyDescent="0.25">
      <c r="A102" s="244"/>
      <c r="C102" s="263"/>
      <c r="D102" s="264"/>
      <c r="E102" s="244"/>
      <c r="F102" s="244"/>
      <c r="G102" s="244"/>
      <c r="H102" s="244"/>
      <c r="K102" s="265"/>
      <c r="S102" s="244"/>
    </row>
    <row r="103" spans="1:19" ht="15.75" customHeight="1" x14ac:dyDescent="0.25">
      <c r="A103" s="244"/>
      <c r="C103" s="263"/>
      <c r="D103" s="264"/>
      <c r="E103" s="244"/>
      <c r="F103" s="244"/>
      <c r="G103" s="244"/>
      <c r="H103" s="244"/>
      <c r="K103" s="265"/>
      <c r="S103" s="244"/>
    </row>
    <row r="104" spans="1:19" ht="15.75" customHeight="1" x14ac:dyDescent="0.25">
      <c r="A104" s="244"/>
      <c r="C104" s="263"/>
      <c r="D104" s="264"/>
      <c r="E104" s="244"/>
      <c r="F104" s="244"/>
      <c r="G104" s="244"/>
      <c r="H104" s="244"/>
      <c r="K104" s="265"/>
      <c r="S104" s="244"/>
    </row>
    <row r="105" spans="1:19" ht="15.75" customHeight="1" x14ac:dyDescent="0.25">
      <c r="A105" s="244"/>
      <c r="C105" s="263"/>
      <c r="D105" s="264"/>
      <c r="E105" s="244"/>
      <c r="F105" s="244"/>
      <c r="G105" s="244"/>
      <c r="H105" s="244"/>
      <c r="K105" s="265"/>
      <c r="S105" s="244"/>
    </row>
    <row r="106" spans="1:19" ht="15.75" customHeight="1" x14ac:dyDescent="0.25">
      <c r="A106" s="244"/>
      <c r="C106" s="263"/>
      <c r="D106" s="264"/>
      <c r="E106" s="244"/>
      <c r="F106" s="244"/>
      <c r="G106" s="244"/>
      <c r="H106" s="244"/>
      <c r="K106" s="265"/>
      <c r="S106" s="244"/>
    </row>
    <row r="107" spans="1:19" ht="15.75" customHeight="1" x14ac:dyDescent="0.25">
      <c r="A107" s="244"/>
      <c r="C107" s="263"/>
      <c r="D107" s="264"/>
      <c r="E107" s="244"/>
      <c r="F107" s="244"/>
      <c r="G107" s="244"/>
      <c r="H107" s="244"/>
      <c r="K107" s="265"/>
      <c r="S107" s="244"/>
    </row>
    <row r="108" spans="1:19" ht="15.75" customHeight="1" x14ac:dyDescent="0.25">
      <c r="A108" s="244"/>
      <c r="C108" s="263"/>
      <c r="D108" s="264"/>
      <c r="E108" s="244"/>
      <c r="F108" s="244"/>
      <c r="G108" s="244"/>
      <c r="H108" s="244"/>
      <c r="K108" s="265"/>
      <c r="S108" s="244"/>
    </row>
    <row r="109" spans="1:19" ht="15.75" customHeight="1" x14ac:dyDescent="0.25">
      <c r="A109" s="244"/>
      <c r="C109" s="263"/>
      <c r="D109" s="264"/>
      <c r="E109" s="244"/>
      <c r="F109" s="244"/>
      <c r="G109" s="244"/>
      <c r="H109" s="244"/>
      <c r="K109" s="265"/>
      <c r="S109" s="244"/>
    </row>
    <row r="110" spans="1:19" ht="15.75" customHeight="1" x14ac:dyDescent="0.25">
      <c r="A110" s="244"/>
      <c r="C110" s="263"/>
      <c r="D110" s="264"/>
      <c r="E110" s="244"/>
      <c r="F110" s="244"/>
      <c r="G110" s="244"/>
      <c r="H110" s="244"/>
      <c r="K110" s="265"/>
      <c r="S110" s="244"/>
    </row>
    <row r="111" spans="1:19" ht="15.75" customHeight="1" x14ac:dyDescent="0.25">
      <c r="A111" s="244"/>
      <c r="C111" s="263"/>
      <c r="D111" s="264"/>
      <c r="E111" s="244"/>
      <c r="F111" s="244"/>
      <c r="G111" s="244"/>
      <c r="H111" s="244"/>
      <c r="K111" s="265"/>
      <c r="S111" s="244"/>
    </row>
    <row r="112" spans="1:19" ht="15.75" customHeight="1" x14ac:dyDescent="0.25">
      <c r="A112" s="244"/>
      <c r="C112" s="263"/>
      <c r="D112" s="264"/>
      <c r="E112" s="244"/>
      <c r="F112" s="244"/>
      <c r="G112" s="244"/>
      <c r="H112" s="244"/>
      <c r="K112" s="265"/>
      <c r="S112" s="244"/>
    </row>
    <row r="113" spans="1:19" ht="15.75" customHeight="1" x14ac:dyDescent="0.25">
      <c r="A113" s="244"/>
      <c r="C113" s="263"/>
      <c r="D113" s="264"/>
      <c r="E113" s="244"/>
      <c r="F113" s="244"/>
      <c r="G113" s="244"/>
      <c r="H113" s="244"/>
      <c r="K113" s="265"/>
      <c r="S113" s="244"/>
    </row>
    <row r="114" spans="1:19" ht="15.75" customHeight="1" x14ac:dyDescent="0.25">
      <c r="A114" s="244"/>
      <c r="C114" s="263"/>
      <c r="D114" s="264"/>
      <c r="E114" s="244"/>
      <c r="F114" s="244"/>
      <c r="G114" s="244"/>
      <c r="H114" s="244"/>
      <c r="K114" s="265"/>
      <c r="S114" s="244"/>
    </row>
    <row r="115" spans="1:19" ht="15.75" customHeight="1" x14ac:dyDescent="0.25">
      <c r="A115" s="244"/>
      <c r="C115" s="263"/>
      <c r="D115" s="264"/>
      <c r="E115" s="244"/>
      <c r="F115" s="244"/>
      <c r="G115" s="244"/>
      <c r="H115" s="244"/>
      <c r="K115" s="265"/>
      <c r="S115" s="244"/>
    </row>
    <row r="116" spans="1:19" ht="15.75" customHeight="1" x14ac:dyDescent="0.25">
      <c r="A116" s="244"/>
      <c r="C116" s="263"/>
      <c r="D116" s="264"/>
      <c r="E116" s="244"/>
      <c r="F116" s="244"/>
      <c r="G116" s="244"/>
      <c r="H116" s="244"/>
      <c r="K116" s="265"/>
      <c r="S116" s="244"/>
    </row>
    <row r="117" spans="1:19" ht="15.75" customHeight="1" x14ac:dyDescent="0.25">
      <c r="A117" s="244"/>
      <c r="C117" s="263"/>
      <c r="D117" s="264"/>
      <c r="E117" s="244"/>
      <c r="F117" s="244"/>
      <c r="G117" s="244"/>
      <c r="H117" s="244"/>
      <c r="K117" s="265"/>
      <c r="S117" s="244"/>
    </row>
    <row r="118" spans="1:19" ht="15.75" customHeight="1" x14ac:dyDescent="0.25">
      <c r="A118" s="244"/>
      <c r="C118" s="263"/>
      <c r="D118" s="264"/>
      <c r="E118" s="244"/>
      <c r="F118" s="244"/>
      <c r="G118" s="244"/>
      <c r="H118" s="244"/>
      <c r="K118" s="265"/>
      <c r="S118" s="244"/>
    </row>
    <row r="119" spans="1:19" ht="15.75" customHeight="1" x14ac:dyDescent="0.25">
      <c r="A119" s="244"/>
      <c r="C119" s="263"/>
      <c r="D119" s="264"/>
      <c r="E119" s="244"/>
      <c r="F119" s="244"/>
      <c r="G119" s="244"/>
      <c r="H119" s="244"/>
      <c r="K119" s="265"/>
      <c r="S119" s="244"/>
    </row>
    <row r="120" spans="1:19" ht="15.75" customHeight="1" x14ac:dyDescent="0.25">
      <c r="A120" s="244"/>
      <c r="C120" s="263"/>
      <c r="D120" s="264"/>
      <c r="E120" s="244"/>
      <c r="F120" s="244"/>
      <c r="G120" s="244"/>
      <c r="H120" s="244"/>
      <c r="K120" s="265"/>
      <c r="S120" s="244"/>
    </row>
    <row r="121" spans="1:19" ht="15.75" customHeight="1" x14ac:dyDescent="0.25">
      <c r="A121" s="244"/>
      <c r="C121" s="263"/>
      <c r="D121" s="264"/>
      <c r="E121" s="244"/>
      <c r="F121" s="244"/>
      <c r="G121" s="244"/>
      <c r="H121" s="244"/>
      <c r="K121" s="265"/>
      <c r="S121" s="244"/>
    </row>
    <row r="122" spans="1:19" ht="15.75" customHeight="1" x14ac:dyDescent="0.25">
      <c r="A122" s="244"/>
      <c r="C122" s="263"/>
      <c r="D122" s="264"/>
      <c r="E122" s="244"/>
      <c r="F122" s="244"/>
      <c r="G122" s="244"/>
      <c r="H122" s="244"/>
      <c r="K122" s="265"/>
      <c r="S122" s="244"/>
    </row>
    <row r="123" spans="1:19" ht="15.75" customHeight="1" x14ac:dyDescent="0.25">
      <c r="A123" s="244"/>
      <c r="C123" s="263"/>
      <c r="D123" s="264"/>
      <c r="E123" s="244"/>
      <c r="F123" s="244"/>
      <c r="G123" s="244"/>
      <c r="H123" s="244"/>
      <c r="K123" s="265"/>
      <c r="S123" s="244"/>
    </row>
    <row r="124" spans="1:19" ht="15.75" customHeight="1" x14ac:dyDescent="0.25">
      <c r="A124" s="244"/>
      <c r="C124" s="263"/>
      <c r="D124" s="264"/>
      <c r="E124" s="244"/>
      <c r="F124" s="244"/>
      <c r="G124" s="244"/>
      <c r="H124" s="244"/>
      <c r="K124" s="265"/>
      <c r="S124" s="244"/>
    </row>
    <row r="125" spans="1:19" ht="15.75" customHeight="1" x14ac:dyDescent="0.25">
      <c r="A125" s="244"/>
      <c r="C125" s="263"/>
      <c r="D125" s="264"/>
      <c r="E125" s="244"/>
      <c r="F125" s="244"/>
      <c r="G125" s="244"/>
      <c r="H125" s="244"/>
      <c r="K125" s="265"/>
      <c r="S125" s="244"/>
    </row>
    <row r="126" spans="1:19" ht="15.75" customHeight="1" x14ac:dyDescent="0.25">
      <c r="A126" s="244"/>
      <c r="C126" s="263"/>
      <c r="D126" s="264"/>
      <c r="E126" s="244"/>
      <c r="F126" s="244"/>
      <c r="G126" s="244"/>
      <c r="H126" s="244"/>
      <c r="K126" s="265"/>
      <c r="S126" s="244"/>
    </row>
    <row r="127" spans="1:19" ht="15.75" customHeight="1" x14ac:dyDescent="0.25">
      <c r="A127" s="244"/>
      <c r="C127" s="263"/>
      <c r="D127" s="264"/>
      <c r="E127" s="244"/>
      <c r="F127" s="244"/>
      <c r="G127" s="244"/>
      <c r="H127" s="244"/>
      <c r="K127" s="265"/>
      <c r="S127" s="244"/>
    </row>
    <row r="128" spans="1:19" ht="15.75" customHeight="1" x14ac:dyDescent="0.25">
      <c r="A128" s="244"/>
      <c r="C128" s="263"/>
      <c r="D128" s="264"/>
      <c r="E128" s="244"/>
      <c r="F128" s="244"/>
      <c r="G128" s="244"/>
      <c r="H128" s="244"/>
      <c r="K128" s="265"/>
      <c r="S128" s="244"/>
    </row>
    <row r="129" spans="1:19" ht="15.75" customHeight="1" x14ac:dyDescent="0.25">
      <c r="A129" s="244"/>
      <c r="C129" s="263"/>
      <c r="D129" s="264"/>
      <c r="E129" s="244"/>
      <c r="F129" s="244"/>
      <c r="G129" s="244"/>
      <c r="H129" s="244"/>
      <c r="K129" s="265"/>
      <c r="S129" s="244"/>
    </row>
    <row r="130" spans="1:19" ht="15.75" customHeight="1" x14ac:dyDescent="0.25">
      <c r="A130" s="244"/>
      <c r="C130" s="263"/>
      <c r="D130" s="264"/>
      <c r="E130" s="244"/>
      <c r="F130" s="244"/>
      <c r="G130" s="244"/>
      <c r="H130" s="244"/>
      <c r="K130" s="265"/>
      <c r="S130" s="244"/>
    </row>
    <row r="131" spans="1:19" ht="15.75" customHeight="1" x14ac:dyDescent="0.25">
      <c r="A131" s="244"/>
      <c r="C131" s="263"/>
      <c r="D131" s="264"/>
      <c r="E131" s="244"/>
      <c r="F131" s="244"/>
      <c r="G131" s="244"/>
      <c r="H131" s="244"/>
      <c r="K131" s="265"/>
      <c r="S131" s="244"/>
    </row>
    <row r="132" spans="1:19" ht="15.75" customHeight="1" x14ac:dyDescent="0.25">
      <c r="A132" s="244"/>
      <c r="C132" s="263"/>
      <c r="D132" s="264"/>
      <c r="E132" s="244"/>
      <c r="F132" s="244"/>
      <c r="G132" s="244"/>
      <c r="H132" s="244"/>
      <c r="K132" s="265"/>
      <c r="S132" s="244"/>
    </row>
    <row r="133" spans="1:19" ht="15.75" customHeight="1" x14ac:dyDescent="0.25">
      <c r="A133" s="244"/>
      <c r="C133" s="263"/>
      <c r="D133" s="264"/>
      <c r="E133" s="244"/>
      <c r="F133" s="244"/>
      <c r="G133" s="244"/>
      <c r="H133" s="244"/>
      <c r="K133" s="265"/>
      <c r="S133" s="244"/>
    </row>
    <row r="134" spans="1:19" ht="15.75" customHeight="1" x14ac:dyDescent="0.25">
      <c r="A134" s="244"/>
      <c r="C134" s="263"/>
      <c r="D134" s="264"/>
      <c r="E134" s="244"/>
      <c r="F134" s="244"/>
      <c r="G134" s="244"/>
      <c r="H134" s="244"/>
      <c r="K134" s="265"/>
      <c r="S134" s="244"/>
    </row>
    <row r="135" spans="1:19" ht="15.75" customHeight="1" x14ac:dyDescent="0.25">
      <c r="A135" s="244"/>
      <c r="C135" s="263"/>
      <c r="D135" s="264"/>
      <c r="E135" s="244"/>
      <c r="F135" s="244"/>
      <c r="G135" s="244"/>
      <c r="H135" s="244"/>
      <c r="K135" s="265"/>
      <c r="S135" s="244"/>
    </row>
    <row r="136" spans="1:19" ht="15.75" customHeight="1" x14ac:dyDescent="0.25">
      <c r="A136" s="244"/>
      <c r="C136" s="263"/>
      <c r="D136" s="264"/>
      <c r="E136" s="244"/>
      <c r="F136" s="244"/>
      <c r="G136" s="244"/>
      <c r="H136" s="244"/>
      <c r="K136" s="265"/>
      <c r="S136" s="244"/>
    </row>
    <row r="137" spans="1:19" ht="15.75" customHeight="1" x14ac:dyDescent="0.25">
      <c r="A137" s="244"/>
      <c r="C137" s="263"/>
      <c r="D137" s="264"/>
      <c r="E137" s="244"/>
      <c r="F137" s="244"/>
      <c r="G137" s="244"/>
      <c r="H137" s="244"/>
      <c r="K137" s="265"/>
      <c r="S137" s="244"/>
    </row>
    <row r="138" spans="1:19" ht="15.75" customHeight="1" x14ac:dyDescent="0.25">
      <c r="A138" s="244"/>
      <c r="C138" s="263"/>
      <c r="D138" s="264"/>
      <c r="E138" s="244"/>
      <c r="F138" s="244"/>
      <c r="G138" s="244"/>
      <c r="H138" s="244"/>
      <c r="K138" s="265"/>
      <c r="S138" s="244"/>
    </row>
    <row r="139" spans="1:19" ht="15.75" customHeight="1" x14ac:dyDescent="0.25">
      <c r="A139" s="244"/>
      <c r="C139" s="263"/>
      <c r="D139" s="264"/>
      <c r="E139" s="244"/>
      <c r="F139" s="244"/>
      <c r="G139" s="244"/>
      <c r="H139" s="244"/>
      <c r="K139" s="265"/>
      <c r="S139" s="244"/>
    </row>
    <row r="140" spans="1:19" ht="15.75" customHeight="1" x14ac:dyDescent="0.25">
      <c r="A140" s="244"/>
      <c r="C140" s="263"/>
      <c r="D140" s="264"/>
      <c r="E140" s="244"/>
      <c r="F140" s="244"/>
      <c r="G140" s="244"/>
      <c r="H140" s="244"/>
      <c r="K140" s="265"/>
      <c r="S140" s="244"/>
    </row>
    <row r="141" spans="1:19" ht="15.75" customHeight="1" x14ac:dyDescent="0.25">
      <c r="A141" s="244"/>
      <c r="C141" s="263"/>
      <c r="D141" s="264"/>
      <c r="E141" s="244"/>
      <c r="F141" s="244"/>
      <c r="G141" s="244"/>
      <c r="H141" s="244"/>
      <c r="K141" s="265"/>
      <c r="S141" s="244"/>
    </row>
    <row r="142" spans="1:19" ht="15.75" customHeight="1" x14ac:dyDescent="0.25">
      <c r="A142" s="244"/>
      <c r="C142" s="263"/>
      <c r="D142" s="264"/>
      <c r="E142" s="244"/>
      <c r="F142" s="244"/>
      <c r="G142" s="244"/>
      <c r="H142" s="244"/>
      <c r="K142" s="265"/>
      <c r="S142" s="244"/>
    </row>
    <row r="143" spans="1:19" ht="15.75" customHeight="1" x14ac:dyDescent="0.25">
      <c r="A143" s="244"/>
      <c r="C143" s="263"/>
      <c r="D143" s="264"/>
      <c r="E143" s="244"/>
      <c r="F143" s="244"/>
      <c r="G143" s="244"/>
      <c r="H143" s="244"/>
      <c r="K143" s="265"/>
      <c r="S143" s="244"/>
    </row>
    <row r="144" spans="1:19" ht="15.75" customHeight="1" x14ac:dyDescent="0.25">
      <c r="A144" s="244"/>
      <c r="C144" s="263"/>
      <c r="D144" s="264"/>
      <c r="E144" s="244"/>
      <c r="F144" s="244"/>
      <c r="G144" s="244"/>
      <c r="H144" s="244"/>
      <c r="K144" s="265"/>
      <c r="S144" s="244"/>
    </row>
    <row r="145" spans="1:19" ht="15.75" customHeight="1" x14ac:dyDescent="0.25">
      <c r="A145" s="244"/>
      <c r="C145" s="263"/>
      <c r="D145" s="264"/>
      <c r="E145" s="244"/>
      <c r="F145" s="244"/>
      <c r="G145" s="244"/>
      <c r="H145" s="244"/>
      <c r="K145" s="265"/>
      <c r="S145" s="244"/>
    </row>
    <row r="146" spans="1:19" ht="15.75" customHeight="1" x14ac:dyDescent="0.25">
      <c r="A146" s="244"/>
      <c r="C146" s="263"/>
      <c r="D146" s="264"/>
      <c r="E146" s="244"/>
      <c r="F146" s="244"/>
      <c r="G146" s="244"/>
      <c r="H146" s="244"/>
      <c r="K146" s="265"/>
      <c r="S146" s="244"/>
    </row>
    <row r="147" spans="1:19" ht="15.75" customHeight="1" x14ac:dyDescent="0.25">
      <c r="A147" s="244"/>
      <c r="C147" s="263"/>
      <c r="D147" s="264"/>
      <c r="E147" s="244"/>
      <c r="F147" s="244"/>
      <c r="G147" s="244"/>
      <c r="H147" s="244"/>
      <c r="K147" s="265"/>
      <c r="S147" s="244"/>
    </row>
    <row r="148" spans="1:19" ht="15.75" customHeight="1" x14ac:dyDescent="0.25">
      <c r="A148" s="244"/>
      <c r="C148" s="263"/>
      <c r="D148" s="264"/>
      <c r="E148" s="244"/>
      <c r="F148" s="244"/>
      <c r="G148" s="244"/>
      <c r="H148" s="244"/>
      <c r="K148" s="265"/>
      <c r="S148" s="244"/>
    </row>
    <row r="149" spans="1:19" ht="15.75" customHeight="1" x14ac:dyDescent="0.25">
      <c r="A149" s="244"/>
      <c r="C149" s="263"/>
      <c r="D149" s="264"/>
      <c r="E149" s="244"/>
      <c r="F149" s="244"/>
      <c r="G149" s="244"/>
      <c r="H149" s="244"/>
      <c r="K149" s="265"/>
      <c r="S149" s="244"/>
    </row>
    <row r="150" spans="1:19" ht="15.75" customHeight="1" x14ac:dyDescent="0.25">
      <c r="A150" s="244"/>
      <c r="C150" s="263"/>
      <c r="D150" s="264"/>
      <c r="E150" s="244"/>
      <c r="F150" s="244"/>
      <c r="G150" s="244"/>
      <c r="H150" s="244"/>
      <c r="K150" s="265"/>
      <c r="S150" s="244"/>
    </row>
    <row r="151" spans="1:19" ht="15.75" customHeight="1" x14ac:dyDescent="0.25">
      <c r="A151" s="244"/>
      <c r="C151" s="263"/>
      <c r="D151" s="264"/>
      <c r="E151" s="244"/>
      <c r="F151" s="244"/>
      <c r="G151" s="244"/>
      <c r="H151" s="244"/>
      <c r="K151" s="265"/>
      <c r="S151" s="244"/>
    </row>
    <row r="152" spans="1:19" ht="15.75" customHeight="1" x14ac:dyDescent="0.25">
      <c r="A152" s="244"/>
      <c r="C152" s="263"/>
      <c r="D152" s="264"/>
      <c r="E152" s="244"/>
      <c r="F152" s="244"/>
      <c r="G152" s="244"/>
      <c r="H152" s="244"/>
      <c r="K152" s="265"/>
      <c r="S152" s="244"/>
    </row>
    <row r="153" spans="1:19" ht="15.75" customHeight="1" x14ac:dyDescent="0.25">
      <c r="A153" s="244"/>
      <c r="C153" s="263"/>
      <c r="D153" s="264"/>
      <c r="E153" s="244"/>
      <c r="F153" s="244"/>
      <c r="G153" s="244"/>
      <c r="H153" s="244"/>
      <c r="K153" s="265"/>
      <c r="S153" s="244"/>
    </row>
    <row r="154" spans="1:19" ht="15.75" customHeight="1" x14ac:dyDescent="0.25">
      <c r="A154" s="244"/>
      <c r="C154" s="263"/>
      <c r="D154" s="264"/>
      <c r="E154" s="244"/>
      <c r="F154" s="244"/>
      <c r="G154" s="244"/>
      <c r="H154" s="244"/>
      <c r="K154" s="265"/>
      <c r="S154" s="244"/>
    </row>
    <row r="155" spans="1:19" ht="15.75" customHeight="1" x14ac:dyDescent="0.25">
      <c r="A155" s="244"/>
      <c r="C155" s="263"/>
      <c r="D155" s="264"/>
      <c r="E155" s="244"/>
      <c r="F155" s="244"/>
      <c r="G155" s="244"/>
      <c r="H155" s="244"/>
      <c r="K155" s="265"/>
      <c r="S155" s="244"/>
    </row>
    <row r="156" spans="1:19" ht="15.75" customHeight="1" x14ac:dyDescent="0.25">
      <c r="A156" s="244"/>
      <c r="C156" s="263"/>
      <c r="D156" s="264"/>
      <c r="E156" s="244"/>
      <c r="F156" s="244"/>
      <c r="G156" s="244"/>
      <c r="H156" s="244"/>
      <c r="K156" s="265"/>
      <c r="S156" s="244"/>
    </row>
    <row r="157" spans="1:19" ht="15.75" customHeight="1" x14ac:dyDescent="0.25">
      <c r="A157" s="244"/>
      <c r="C157" s="263"/>
      <c r="D157" s="264"/>
      <c r="E157" s="244"/>
      <c r="F157" s="244"/>
      <c r="G157" s="244"/>
      <c r="H157" s="244"/>
      <c r="K157" s="265"/>
      <c r="S157" s="244"/>
    </row>
    <row r="158" spans="1:19" ht="15.75" customHeight="1" x14ac:dyDescent="0.25">
      <c r="A158" s="244"/>
      <c r="C158" s="263"/>
      <c r="D158" s="264"/>
      <c r="E158" s="244"/>
      <c r="F158" s="244"/>
      <c r="G158" s="244"/>
      <c r="H158" s="244"/>
      <c r="K158" s="265"/>
      <c r="S158" s="244"/>
    </row>
    <row r="159" spans="1:19" ht="15.75" customHeight="1" x14ac:dyDescent="0.25">
      <c r="A159" s="244"/>
      <c r="C159" s="263"/>
      <c r="D159" s="264"/>
      <c r="E159" s="244"/>
      <c r="F159" s="244"/>
      <c r="G159" s="244"/>
      <c r="H159" s="244"/>
      <c r="K159" s="265"/>
      <c r="S159" s="244"/>
    </row>
    <row r="160" spans="1:19" ht="15.75" customHeight="1" x14ac:dyDescent="0.25">
      <c r="A160" s="244"/>
      <c r="C160" s="263"/>
      <c r="D160" s="264"/>
      <c r="E160" s="244"/>
      <c r="F160" s="244"/>
      <c r="G160" s="244"/>
      <c r="H160" s="244"/>
      <c r="K160" s="265"/>
      <c r="S160" s="244"/>
    </row>
    <row r="161" spans="1:19" ht="15.75" customHeight="1" x14ac:dyDescent="0.25">
      <c r="A161" s="244"/>
      <c r="C161" s="263"/>
      <c r="D161" s="264"/>
      <c r="E161" s="244"/>
      <c r="F161" s="244"/>
      <c r="G161" s="244"/>
      <c r="H161" s="244"/>
      <c r="K161" s="265"/>
      <c r="S161" s="244"/>
    </row>
    <row r="162" spans="1:19" ht="15.75" customHeight="1" x14ac:dyDescent="0.25">
      <c r="A162" s="244"/>
      <c r="C162" s="263"/>
      <c r="D162" s="264"/>
      <c r="E162" s="244"/>
      <c r="F162" s="244"/>
      <c r="G162" s="244"/>
      <c r="H162" s="244"/>
      <c r="K162" s="265"/>
      <c r="S162" s="244"/>
    </row>
    <row r="163" spans="1:19" ht="15.75" customHeight="1" x14ac:dyDescent="0.25">
      <c r="A163" s="244"/>
      <c r="C163" s="263"/>
      <c r="D163" s="264"/>
      <c r="E163" s="244"/>
      <c r="F163" s="244"/>
      <c r="G163" s="244"/>
      <c r="H163" s="244"/>
      <c r="K163" s="265"/>
      <c r="S163" s="244"/>
    </row>
    <row r="164" spans="1:19" ht="15.75" customHeight="1" x14ac:dyDescent="0.25">
      <c r="A164" s="244"/>
      <c r="C164" s="263"/>
      <c r="D164" s="264"/>
      <c r="E164" s="244"/>
      <c r="F164" s="244"/>
      <c r="G164" s="244"/>
      <c r="H164" s="244"/>
      <c r="K164" s="265"/>
      <c r="S164" s="244"/>
    </row>
    <row r="165" spans="1:19" ht="15.75" customHeight="1" x14ac:dyDescent="0.25">
      <c r="A165" s="244"/>
      <c r="C165" s="263"/>
      <c r="D165" s="264"/>
      <c r="E165" s="244"/>
      <c r="F165" s="244"/>
      <c r="G165" s="244"/>
      <c r="H165" s="244"/>
      <c r="K165" s="265"/>
      <c r="S165" s="244"/>
    </row>
    <row r="166" spans="1:19" ht="15.75" customHeight="1" x14ac:dyDescent="0.25">
      <c r="A166" s="244"/>
      <c r="C166" s="263"/>
      <c r="D166" s="264"/>
      <c r="E166" s="244"/>
      <c r="F166" s="244"/>
      <c r="G166" s="244"/>
      <c r="H166" s="244"/>
      <c r="K166" s="265"/>
      <c r="S166" s="244"/>
    </row>
    <row r="167" spans="1:19" ht="15.75" customHeight="1" x14ac:dyDescent="0.25">
      <c r="A167" s="244"/>
      <c r="C167" s="263"/>
      <c r="D167" s="264"/>
      <c r="E167" s="244"/>
      <c r="F167" s="244"/>
      <c r="G167" s="244"/>
      <c r="H167" s="244"/>
      <c r="K167" s="265"/>
      <c r="S167" s="244"/>
    </row>
    <row r="168" spans="1:19" ht="15.75" customHeight="1" x14ac:dyDescent="0.25">
      <c r="A168" s="244"/>
      <c r="C168" s="263"/>
      <c r="D168" s="264"/>
      <c r="E168" s="244"/>
      <c r="F168" s="244"/>
      <c r="G168" s="244"/>
      <c r="H168" s="244"/>
      <c r="K168" s="265"/>
      <c r="S168" s="244"/>
    </row>
    <row r="169" spans="1:19" ht="15.75" customHeight="1" x14ac:dyDescent="0.25">
      <c r="A169" s="244"/>
      <c r="C169" s="263"/>
      <c r="D169" s="264"/>
      <c r="E169" s="244"/>
      <c r="F169" s="244"/>
      <c r="G169" s="244"/>
      <c r="H169" s="244"/>
      <c r="K169" s="265"/>
      <c r="S169" s="244"/>
    </row>
    <row r="170" spans="1:19" ht="15.75" customHeight="1" x14ac:dyDescent="0.25">
      <c r="A170" s="244"/>
      <c r="C170" s="263"/>
      <c r="D170" s="264"/>
      <c r="E170" s="244"/>
      <c r="F170" s="244"/>
      <c r="G170" s="244"/>
      <c r="H170" s="244"/>
      <c r="K170" s="265"/>
      <c r="S170" s="244"/>
    </row>
    <row r="171" spans="1:19" ht="15.75" customHeight="1" x14ac:dyDescent="0.25">
      <c r="A171" s="244"/>
      <c r="C171" s="263"/>
      <c r="D171" s="264"/>
      <c r="E171" s="244"/>
      <c r="F171" s="244"/>
      <c r="G171" s="244"/>
      <c r="H171" s="244"/>
      <c r="K171" s="265"/>
      <c r="S171" s="244"/>
    </row>
    <row r="172" spans="1:19" ht="15.75" customHeight="1" x14ac:dyDescent="0.25">
      <c r="A172" s="244"/>
      <c r="C172" s="263"/>
      <c r="D172" s="264"/>
      <c r="E172" s="244"/>
      <c r="F172" s="244"/>
      <c r="G172" s="244"/>
      <c r="H172" s="244"/>
      <c r="K172" s="265"/>
      <c r="S172" s="244"/>
    </row>
    <row r="173" spans="1:19" ht="15.75" customHeight="1" x14ac:dyDescent="0.25">
      <c r="A173" s="244"/>
      <c r="C173" s="263"/>
      <c r="D173" s="264"/>
      <c r="E173" s="244"/>
      <c r="F173" s="244"/>
      <c r="G173" s="244"/>
      <c r="H173" s="244"/>
      <c r="K173" s="265"/>
      <c r="S173" s="244"/>
    </row>
    <row r="174" spans="1:19" ht="15.75" customHeight="1" x14ac:dyDescent="0.25">
      <c r="A174" s="244"/>
      <c r="C174" s="263"/>
      <c r="D174" s="264"/>
      <c r="E174" s="244"/>
      <c r="F174" s="244"/>
      <c r="G174" s="244"/>
      <c r="H174" s="244"/>
      <c r="K174" s="265"/>
      <c r="S174" s="244"/>
    </row>
    <row r="175" spans="1:19" ht="15.75" customHeight="1" x14ac:dyDescent="0.25">
      <c r="A175" s="244"/>
      <c r="C175" s="263"/>
      <c r="D175" s="264"/>
      <c r="E175" s="244"/>
      <c r="F175" s="244"/>
      <c r="G175" s="244"/>
      <c r="H175" s="244"/>
      <c r="K175" s="265"/>
      <c r="S175" s="244"/>
    </row>
    <row r="176" spans="1:19" ht="15.75" customHeight="1" x14ac:dyDescent="0.25">
      <c r="A176" s="244"/>
      <c r="C176" s="263"/>
      <c r="D176" s="264"/>
      <c r="E176" s="244"/>
      <c r="F176" s="244"/>
      <c r="G176" s="244"/>
      <c r="H176" s="244"/>
      <c r="K176" s="265"/>
      <c r="S176" s="244"/>
    </row>
    <row r="177" spans="1:19" ht="15.75" customHeight="1" x14ac:dyDescent="0.25">
      <c r="A177" s="244"/>
      <c r="C177" s="263"/>
      <c r="D177" s="264"/>
      <c r="E177" s="244"/>
      <c r="F177" s="244"/>
      <c r="G177" s="244"/>
      <c r="H177" s="244"/>
      <c r="K177" s="265"/>
      <c r="S177" s="244"/>
    </row>
    <row r="178" spans="1:19" ht="15.75" customHeight="1" x14ac:dyDescent="0.25">
      <c r="A178" s="244"/>
      <c r="C178" s="263"/>
      <c r="D178" s="264"/>
      <c r="E178" s="244"/>
      <c r="F178" s="244"/>
      <c r="G178" s="244"/>
      <c r="H178" s="244"/>
      <c r="K178" s="265"/>
      <c r="S178" s="244"/>
    </row>
    <row r="179" spans="1:19" ht="15.75" customHeight="1" x14ac:dyDescent="0.25">
      <c r="A179" s="244"/>
      <c r="C179" s="263"/>
      <c r="D179" s="264"/>
      <c r="E179" s="244"/>
      <c r="F179" s="244"/>
      <c r="G179" s="244"/>
      <c r="H179" s="244"/>
      <c r="K179" s="265"/>
      <c r="S179" s="244"/>
    </row>
    <row r="180" spans="1:19" ht="15.75" customHeight="1" x14ac:dyDescent="0.25">
      <c r="A180" s="244"/>
      <c r="C180" s="263"/>
      <c r="D180" s="264"/>
      <c r="E180" s="244"/>
      <c r="F180" s="244"/>
      <c r="G180" s="244"/>
      <c r="H180" s="244"/>
      <c r="K180" s="265"/>
      <c r="S180" s="244"/>
    </row>
    <row r="181" spans="1:19" ht="15.75" customHeight="1" x14ac:dyDescent="0.25">
      <c r="A181" s="244"/>
      <c r="C181" s="263"/>
      <c r="D181" s="264"/>
      <c r="E181" s="244"/>
      <c r="F181" s="244"/>
      <c r="G181" s="244"/>
      <c r="H181" s="244"/>
      <c r="K181" s="265"/>
      <c r="S181" s="244"/>
    </row>
    <row r="182" spans="1:19" ht="15.75" customHeight="1" x14ac:dyDescent="0.25">
      <c r="A182" s="244"/>
      <c r="C182" s="263"/>
      <c r="D182" s="264"/>
      <c r="E182" s="244"/>
      <c r="F182" s="244"/>
      <c r="G182" s="244"/>
      <c r="H182" s="244"/>
      <c r="K182" s="265"/>
      <c r="S182" s="244"/>
    </row>
    <row r="183" spans="1:19" ht="15.75" customHeight="1" x14ac:dyDescent="0.25">
      <c r="A183" s="244"/>
      <c r="C183" s="263"/>
      <c r="D183" s="264"/>
      <c r="E183" s="244"/>
      <c r="F183" s="244"/>
      <c r="G183" s="244"/>
      <c r="H183" s="244"/>
      <c r="K183" s="265"/>
      <c r="S183" s="244"/>
    </row>
    <row r="184" spans="1:19" ht="15.75" customHeight="1" x14ac:dyDescent="0.25">
      <c r="A184" s="244"/>
      <c r="C184" s="263"/>
      <c r="D184" s="264"/>
      <c r="E184" s="244"/>
      <c r="F184" s="244"/>
      <c r="G184" s="244"/>
      <c r="H184" s="244"/>
      <c r="K184" s="265"/>
      <c r="S184" s="244"/>
    </row>
    <row r="185" spans="1:19" ht="15.75" customHeight="1" x14ac:dyDescent="0.25">
      <c r="A185" s="244"/>
      <c r="C185" s="263"/>
      <c r="D185" s="264"/>
      <c r="E185" s="244"/>
      <c r="F185" s="244"/>
      <c r="G185" s="244"/>
      <c r="H185" s="244"/>
      <c r="K185" s="265"/>
      <c r="S185" s="244"/>
    </row>
    <row r="186" spans="1:19" ht="15.75" customHeight="1" x14ac:dyDescent="0.25">
      <c r="A186" s="244"/>
      <c r="C186" s="263"/>
      <c r="D186" s="264"/>
      <c r="E186" s="244"/>
      <c r="F186" s="244"/>
      <c r="G186" s="244"/>
      <c r="H186" s="244"/>
      <c r="K186" s="265"/>
      <c r="S186" s="244"/>
    </row>
    <row r="187" spans="1:19" ht="15.75" customHeight="1" x14ac:dyDescent="0.25">
      <c r="A187" s="244"/>
      <c r="C187" s="263"/>
      <c r="D187" s="264"/>
      <c r="E187" s="244"/>
      <c r="F187" s="244"/>
      <c r="G187" s="244"/>
      <c r="H187" s="244"/>
      <c r="K187" s="265"/>
      <c r="S187" s="244"/>
    </row>
    <row r="188" spans="1:19" ht="15.75" customHeight="1" x14ac:dyDescent="0.25">
      <c r="A188" s="244"/>
      <c r="C188" s="263"/>
      <c r="D188" s="264"/>
      <c r="E188" s="244"/>
      <c r="F188" s="244"/>
      <c r="G188" s="244"/>
      <c r="H188" s="244"/>
      <c r="K188" s="265"/>
      <c r="S188" s="244"/>
    </row>
    <row r="189" spans="1:19" ht="15.75" customHeight="1" x14ac:dyDescent="0.25">
      <c r="A189" s="244"/>
      <c r="C189" s="263"/>
      <c r="D189" s="264"/>
      <c r="E189" s="244"/>
      <c r="F189" s="244"/>
      <c r="G189" s="244"/>
      <c r="H189" s="244"/>
      <c r="K189" s="265"/>
      <c r="S189" s="244"/>
    </row>
    <row r="190" spans="1:19" ht="15.75" customHeight="1" x14ac:dyDescent="0.25">
      <c r="A190" s="244"/>
      <c r="C190" s="263"/>
      <c r="D190" s="264"/>
      <c r="E190" s="244"/>
      <c r="F190" s="244"/>
      <c r="G190" s="244"/>
      <c r="H190" s="244"/>
      <c r="K190" s="265"/>
      <c r="S190" s="244"/>
    </row>
    <row r="191" spans="1:19" ht="15.75" customHeight="1" x14ac:dyDescent="0.25">
      <c r="A191" s="244"/>
      <c r="C191" s="263"/>
      <c r="D191" s="264"/>
      <c r="E191" s="244"/>
      <c r="F191" s="244"/>
      <c r="G191" s="244"/>
      <c r="H191" s="244"/>
      <c r="K191" s="265"/>
      <c r="S191" s="244"/>
    </row>
    <row r="192" spans="1:19" ht="15.75" customHeight="1" x14ac:dyDescent="0.25">
      <c r="A192" s="244"/>
      <c r="C192" s="263"/>
      <c r="D192" s="264"/>
      <c r="E192" s="244"/>
      <c r="F192" s="244"/>
      <c r="G192" s="244"/>
      <c r="H192" s="244"/>
      <c r="K192" s="265"/>
      <c r="S192" s="244"/>
    </row>
    <row r="193" spans="1:19" ht="15.75" customHeight="1" x14ac:dyDescent="0.25">
      <c r="A193" s="244"/>
      <c r="C193" s="263"/>
      <c r="D193" s="264"/>
      <c r="E193" s="244"/>
      <c r="F193" s="244"/>
      <c r="G193" s="244"/>
      <c r="H193" s="244"/>
      <c r="K193" s="265"/>
      <c r="S193" s="244"/>
    </row>
    <row r="194" spans="1:19" ht="15.75" customHeight="1" x14ac:dyDescent="0.25">
      <c r="A194" s="244"/>
      <c r="C194" s="263"/>
      <c r="D194" s="264"/>
      <c r="E194" s="244"/>
      <c r="F194" s="244"/>
      <c r="G194" s="244"/>
      <c r="H194" s="244"/>
      <c r="K194" s="265"/>
      <c r="S194" s="244"/>
    </row>
    <row r="195" spans="1:19" ht="15.75" customHeight="1" x14ac:dyDescent="0.25">
      <c r="A195" s="244"/>
      <c r="C195" s="263"/>
      <c r="D195" s="264"/>
      <c r="E195" s="244"/>
      <c r="F195" s="244"/>
      <c r="G195" s="244"/>
      <c r="H195" s="244"/>
      <c r="K195" s="265"/>
      <c r="S195" s="244"/>
    </row>
    <row r="196" spans="1:19" ht="15.75" customHeight="1" x14ac:dyDescent="0.25">
      <c r="A196" s="244"/>
      <c r="C196" s="263"/>
      <c r="D196" s="264"/>
      <c r="E196" s="244"/>
      <c r="F196" s="244"/>
      <c r="G196" s="244"/>
      <c r="H196" s="244"/>
      <c r="K196" s="265"/>
      <c r="S196" s="244"/>
    </row>
    <row r="197" spans="1:19" ht="15.75" customHeight="1" x14ac:dyDescent="0.25">
      <c r="A197" s="244"/>
      <c r="C197" s="263"/>
      <c r="D197" s="264"/>
      <c r="E197" s="244"/>
      <c r="F197" s="244"/>
      <c r="G197" s="244"/>
      <c r="H197" s="244"/>
      <c r="K197" s="265"/>
      <c r="S197" s="244"/>
    </row>
    <row r="198" spans="1:19" ht="15.75" customHeight="1" x14ac:dyDescent="0.25">
      <c r="A198" s="244"/>
      <c r="C198" s="263"/>
      <c r="D198" s="264"/>
      <c r="E198" s="244"/>
      <c r="F198" s="244"/>
      <c r="G198" s="244"/>
      <c r="H198" s="244"/>
      <c r="K198" s="265"/>
      <c r="S198" s="244"/>
    </row>
    <row r="199" spans="1:19" ht="15.75" customHeight="1" x14ac:dyDescent="0.25">
      <c r="A199" s="244"/>
      <c r="C199" s="263"/>
      <c r="D199" s="264"/>
      <c r="E199" s="244"/>
      <c r="F199" s="244"/>
      <c r="G199" s="244"/>
      <c r="H199" s="244"/>
      <c r="K199" s="265"/>
      <c r="S199" s="244"/>
    </row>
    <row r="200" spans="1:19" ht="15.75" customHeight="1" x14ac:dyDescent="0.25">
      <c r="A200" s="244"/>
      <c r="C200" s="263"/>
      <c r="D200" s="264"/>
      <c r="E200" s="244"/>
      <c r="F200" s="244"/>
      <c r="G200" s="244"/>
      <c r="H200" s="244"/>
      <c r="K200" s="265"/>
      <c r="S200" s="244"/>
    </row>
    <row r="201" spans="1:19" ht="15.75" customHeight="1" x14ac:dyDescent="0.25">
      <c r="A201" s="244"/>
      <c r="C201" s="263"/>
      <c r="D201" s="264"/>
      <c r="E201" s="244"/>
      <c r="F201" s="244"/>
      <c r="G201" s="244"/>
      <c r="H201" s="244"/>
      <c r="K201" s="265"/>
      <c r="S201" s="244"/>
    </row>
    <row r="202" spans="1:19" ht="15.75" customHeight="1" x14ac:dyDescent="0.25">
      <c r="A202" s="244"/>
      <c r="C202" s="263"/>
      <c r="D202" s="264"/>
      <c r="E202" s="244"/>
      <c r="F202" s="244"/>
      <c r="G202" s="244"/>
      <c r="H202" s="244"/>
      <c r="K202" s="265"/>
      <c r="S202" s="244"/>
    </row>
    <row r="203" spans="1:19" ht="15.75" customHeight="1" x14ac:dyDescent="0.25">
      <c r="A203" s="244"/>
      <c r="C203" s="263"/>
      <c r="D203" s="264"/>
      <c r="E203" s="244"/>
      <c r="F203" s="244"/>
      <c r="G203" s="244"/>
      <c r="H203" s="244"/>
      <c r="K203" s="265"/>
      <c r="S203" s="244"/>
    </row>
    <row r="204" spans="1:19" ht="15.75" customHeight="1" x14ac:dyDescent="0.25">
      <c r="A204" s="244"/>
      <c r="C204" s="263"/>
      <c r="D204" s="264"/>
      <c r="E204" s="244"/>
      <c r="F204" s="244"/>
      <c r="G204" s="244"/>
      <c r="H204" s="244"/>
      <c r="K204" s="265"/>
      <c r="S204" s="244"/>
    </row>
    <row r="205" spans="1:19" ht="15.75" customHeight="1" x14ac:dyDescent="0.25">
      <c r="A205" s="244"/>
      <c r="C205" s="263"/>
      <c r="D205" s="264"/>
      <c r="E205" s="244"/>
      <c r="F205" s="244"/>
      <c r="G205" s="244"/>
      <c r="H205" s="244"/>
      <c r="K205" s="265"/>
      <c r="S205" s="244"/>
    </row>
    <row r="206" spans="1:19" ht="15.75" customHeight="1" x14ac:dyDescent="0.25">
      <c r="A206" s="244"/>
      <c r="C206" s="263"/>
      <c r="D206" s="264"/>
      <c r="E206" s="244"/>
      <c r="F206" s="244"/>
      <c r="G206" s="244"/>
      <c r="H206" s="244"/>
      <c r="K206" s="265"/>
      <c r="S206" s="244"/>
    </row>
    <row r="207" spans="1:19" ht="15.75" customHeight="1" x14ac:dyDescent="0.25">
      <c r="A207" s="244"/>
      <c r="C207" s="263"/>
      <c r="D207" s="264"/>
      <c r="E207" s="244"/>
      <c r="F207" s="244"/>
      <c r="G207" s="244"/>
      <c r="H207" s="244"/>
      <c r="K207" s="265"/>
      <c r="S207" s="244"/>
    </row>
    <row r="208" spans="1:19" ht="15.75" customHeight="1" x14ac:dyDescent="0.25">
      <c r="A208" s="244"/>
      <c r="C208" s="263"/>
      <c r="D208" s="264"/>
      <c r="E208" s="244"/>
      <c r="F208" s="244"/>
      <c r="G208" s="244"/>
      <c r="H208" s="244"/>
      <c r="K208" s="265"/>
      <c r="S208" s="244"/>
    </row>
    <row r="209" spans="1:19" ht="15.75" customHeight="1" x14ac:dyDescent="0.25">
      <c r="A209" s="244"/>
      <c r="C209" s="263"/>
      <c r="D209" s="264"/>
      <c r="E209" s="244"/>
      <c r="F209" s="244"/>
      <c r="G209" s="244"/>
      <c r="H209" s="244"/>
      <c r="K209" s="265"/>
      <c r="S209" s="244"/>
    </row>
    <row r="210" spans="1:19" ht="15.75" customHeight="1" x14ac:dyDescent="0.25">
      <c r="A210" s="244"/>
      <c r="C210" s="263"/>
      <c r="D210" s="264"/>
      <c r="E210" s="244"/>
      <c r="F210" s="244"/>
      <c r="G210" s="244"/>
      <c r="H210" s="244"/>
      <c r="K210" s="265"/>
      <c r="S210" s="244"/>
    </row>
    <row r="211" spans="1:19" ht="15.75" customHeight="1" x14ac:dyDescent="0.25">
      <c r="A211" s="244"/>
      <c r="C211" s="263"/>
      <c r="D211" s="264"/>
      <c r="E211" s="244"/>
      <c r="F211" s="244"/>
      <c r="G211" s="244"/>
      <c r="H211" s="244"/>
      <c r="K211" s="265"/>
      <c r="S211" s="244"/>
    </row>
    <row r="212" spans="1:19" ht="15.75" customHeight="1" x14ac:dyDescent="0.25">
      <c r="A212" s="244"/>
      <c r="C212" s="263"/>
      <c r="D212" s="264"/>
      <c r="E212" s="244"/>
      <c r="F212" s="244"/>
      <c r="G212" s="244"/>
      <c r="H212" s="244"/>
      <c r="K212" s="265"/>
      <c r="S212" s="244"/>
    </row>
    <row r="213" spans="1:19" ht="15.75" customHeight="1" x14ac:dyDescent="0.25">
      <c r="A213" s="244"/>
      <c r="C213" s="263"/>
      <c r="D213" s="264"/>
      <c r="E213" s="244"/>
      <c r="F213" s="244"/>
      <c r="G213" s="244"/>
      <c r="H213" s="244"/>
      <c r="K213" s="265"/>
      <c r="S213" s="244"/>
    </row>
    <row r="214" spans="1:19" ht="15.75" customHeight="1" x14ac:dyDescent="0.25">
      <c r="A214" s="244"/>
      <c r="C214" s="263"/>
      <c r="D214" s="264"/>
      <c r="E214" s="244"/>
      <c r="F214" s="244"/>
      <c r="G214" s="244"/>
      <c r="H214" s="244"/>
      <c r="K214" s="265"/>
      <c r="S214" s="244"/>
    </row>
    <row r="215" spans="1:19" ht="15.75" customHeight="1" x14ac:dyDescent="0.25">
      <c r="A215" s="244"/>
      <c r="C215" s="263"/>
      <c r="D215" s="264"/>
      <c r="E215" s="244"/>
      <c r="F215" s="244"/>
      <c r="G215" s="244"/>
      <c r="H215" s="244"/>
      <c r="K215" s="265"/>
      <c r="S215" s="244"/>
    </row>
    <row r="216" spans="1:19" ht="15.75" customHeight="1" x14ac:dyDescent="0.25">
      <c r="A216" s="244"/>
      <c r="C216" s="263"/>
      <c r="D216" s="264"/>
      <c r="E216" s="244"/>
      <c r="F216" s="244"/>
      <c r="G216" s="244"/>
      <c r="H216" s="244"/>
      <c r="K216" s="265"/>
      <c r="S216" s="244"/>
    </row>
    <row r="217" spans="1:19" ht="15.75" customHeight="1" x14ac:dyDescent="0.25">
      <c r="A217" s="244"/>
      <c r="C217" s="263"/>
      <c r="D217" s="264"/>
      <c r="E217" s="244"/>
      <c r="F217" s="244"/>
      <c r="G217" s="244"/>
      <c r="H217" s="244"/>
      <c r="K217" s="265"/>
      <c r="S217" s="244"/>
    </row>
    <row r="218" spans="1:19" ht="15.75" customHeight="1" x14ac:dyDescent="0.25">
      <c r="A218" s="244"/>
      <c r="C218" s="263"/>
      <c r="D218" s="264"/>
      <c r="E218" s="244"/>
      <c r="F218" s="244"/>
      <c r="G218" s="244"/>
      <c r="H218" s="244"/>
      <c r="K218" s="265"/>
      <c r="S218" s="244"/>
    </row>
    <row r="219" spans="1:19" ht="15.75" customHeight="1" x14ac:dyDescent="0.25">
      <c r="A219" s="244"/>
      <c r="C219" s="263"/>
      <c r="D219" s="264"/>
      <c r="E219" s="244"/>
      <c r="F219" s="244"/>
      <c r="G219" s="244"/>
      <c r="H219" s="244"/>
      <c r="K219" s="265"/>
      <c r="S219" s="244"/>
    </row>
    <row r="220" spans="1:19" ht="15.75" customHeight="1" x14ac:dyDescent="0.25">
      <c r="A220" s="244"/>
      <c r="C220" s="263"/>
      <c r="D220" s="264"/>
      <c r="E220" s="244"/>
      <c r="F220" s="244"/>
      <c r="G220" s="244"/>
      <c r="H220" s="244"/>
      <c r="K220" s="265"/>
      <c r="S220" s="244"/>
    </row>
    <row r="221" spans="1:19" ht="15.75" customHeight="1" x14ac:dyDescent="0.25">
      <c r="A221" s="244"/>
      <c r="C221" s="263"/>
      <c r="D221" s="264"/>
      <c r="E221" s="244"/>
      <c r="F221" s="244"/>
      <c r="G221" s="244"/>
      <c r="H221" s="244"/>
      <c r="K221" s="265"/>
      <c r="S221" s="244"/>
    </row>
    <row r="222" spans="1:19" ht="15.75" customHeight="1" x14ac:dyDescent="0.25">
      <c r="A222" s="244"/>
      <c r="C222" s="263"/>
      <c r="D222" s="264"/>
      <c r="E222" s="244"/>
      <c r="F222" s="244"/>
      <c r="G222" s="244"/>
      <c r="H222" s="244"/>
      <c r="K222" s="265"/>
      <c r="S222" s="244"/>
    </row>
    <row r="223" spans="1:19" ht="15.75" customHeight="1" x14ac:dyDescent="0.25">
      <c r="A223" s="244"/>
      <c r="C223" s="263"/>
      <c r="D223" s="264"/>
      <c r="E223" s="244"/>
      <c r="F223" s="244"/>
      <c r="G223" s="244"/>
      <c r="H223" s="244"/>
      <c r="K223" s="265"/>
      <c r="S223" s="244"/>
    </row>
    <row r="224" spans="1:19" ht="15.75" customHeight="1" x14ac:dyDescent="0.25">
      <c r="A224" s="244"/>
      <c r="C224" s="263"/>
      <c r="D224" s="264"/>
      <c r="E224" s="244"/>
      <c r="F224" s="244"/>
      <c r="G224" s="244"/>
      <c r="H224" s="244"/>
      <c r="K224" s="265"/>
      <c r="S224" s="244"/>
    </row>
    <row r="225" spans="1:19" ht="15.75" customHeight="1" x14ac:dyDescent="0.25">
      <c r="A225" s="244"/>
      <c r="C225" s="263"/>
      <c r="D225" s="264"/>
      <c r="E225" s="244"/>
      <c r="F225" s="244"/>
      <c r="G225" s="244"/>
      <c r="H225" s="244"/>
      <c r="K225" s="265"/>
      <c r="S225" s="244"/>
    </row>
    <row r="226" spans="1:19" ht="15.75" customHeight="1" x14ac:dyDescent="0.25">
      <c r="A226" s="244"/>
      <c r="C226" s="263"/>
      <c r="D226" s="264"/>
      <c r="E226" s="244"/>
      <c r="F226" s="244"/>
      <c r="G226" s="244"/>
      <c r="H226" s="244"/>
      <c r="K226" s="265"/>
      <c r="S226" s="244"/>
    </row>
    <row r="227" spans="1:19" ht="15.75" customHeight="1" x14ac:dyDescent="0.25">
      <c r="A227" s="244"/>
      <c r="C227" s="263"/>
      <c r="D227" s="264"/>
      <c r="E227" s="244"/>
      <c r="F227" s="244"/>
      <c r="G227" s="244"/>
      <c r="H227" s="244"/>
      <c r="K227" s="265"/>
      <c r="S227" s="244"/>
    </row>
    <row r="228" spans="1:19" ht="15.75" customHeight="1" x14ac:dyDescent="0.25">
      <c r="A228" s="244"/>
      <c r="C228" s="263"/>
      <c r="D228" s="264"/>
      <c r="E228" s="244"/>
      <c r="F228" s="244"/>
      <c r="G228" s="244"/>
      <c r="H228" s="244"/>
      <c r="K228" s="265"/>
      <c r="S228" s="244"/>
    </row>
    <row r="229" spans="1:19" ht="15.75" customHeight="1" x14ac:dyDescent="0.25">
      <c r="A229" s="244"/>
      <c r="C229" s="263"/>
      <c r="D229" s="264"/>
      <c r="E229" s="244"/>
      <c r="F229" s="244"/>
      <c r="G229" s="244"/>
      <c r="H229" s="244"/>
      <c r="K229" s="265"/>
      <c r="S229" s="244"/>
    </row>
    <row r="230" spans="1:19" ht="15.75" customHeight="1" x14ac:dyDescent="0.25">
      <c r="A230" s="244"/>
      <c r="C230" s="263"/>
      <c r="D230" s="264"/>
      <c r="E230" s="244"/>
      <c r="F230" s="244"/>
      <c r="G230" s="244"/>
      <c r="H230" s="244"/>
      <c r="K230" s="265"/>
      <c r="S230" s="244"/>
    </row>
    <row r="231" spans="1:19" ht="15.75" customHeight="1" x14ac:dyDescent="0.25">
      <c r="A231" s="244"/>
      <c r="C231" s="263"/>
      <c r="D231" s="264"/>
      <c r="E231" s="244"/>
      <c r="F231" s="244"/>
      <c r="G231" s="244"/>
      <c r="H231" s="244"/>
      <c r="K231" s="265"/>
      <c r="S231" s="244"/>
    </row>
    <row r="232" spans="1:19" ht="15.75" customHeight="1" x14ac:dyDescent="0.25">
      <c r="A232" s="244"/>
      <c r="C232" s="263"/>
      <c r="D232" s="264"/>
      <c r="E232" s="244"/>
      <c r="F232" s="244"/>
      <c r="G232" s="244"/>
      <c r="H232" s="244"/>
      <c r="K232" s="265"/>
      <c r="S232" s="244"/>
    </row>
    <row r="233" spans="1:19" ht="15.75" customHeight="1" x14ac:dyDescent="0.25">
      <c r="A233" s="244"/>
      <c r="C233" s="263"/>
      <c r="D233" s="264"/>
      <c r="E233" s="244"/>
      <c r="F233" s="244"/>
      <c r="G233" s="244"/>
      <c r="H233" s="244"/>
      <c r="K233" s="265"/>
      <c r="S233" s="244"/>
    </row>
    <row r="234" spans="1:19" ht="15.75" customHeight="1" x14ac:dyDescent="0.25">
      <c r="A234" s="244"/>
      <c r="C234" s="263"/>
      <c r="D234" s="264"/>
      <c r="E234" s="244"/>
      <c r="F234" s="244"/>
      <c r="G234" s="244"/>
      <c r="H234" s="244"/>
      <c r="K234" s="265"/>
      <c r="S234" s="244"/>
    </row>
    <row r="235" spans="1:19" ht="15.75" customHeight="1" x14ac:dyDescent="0.25">
      <c r="A235" s="244"/>
      <c r="C235" s="263"/>
      <c r="D235" s="264"/>
      <c r="E235" s="244"/>
      <c r="F235" s="244"/>
      <c r="G235" s="244"/>
      <c r="H235" s="244"/>
      <c r="K235" s="265"/>
      <c r="S235" s="244"/>
    </row>
    <row r="236" spans="1:19" ht="15.75" customHeight="1" x14ac:dyDescent="0.25">
      <c r="A236" s="244"/>
      <c r="C236" s="263"/>
      <c r="D236" s="264"/>
      <c r="E236" s="244"/>
      <c r="F236" s="244"/>
      <c r="G236" s="244"/>
      <c r="H236" s="244"/>
      <c r="K236" s="265"/>
      <c r="S236" s="244"/>
    </row>
    <row r="237" spans="1:19" ht="15.75" customHeight="1" x14ac:dyDescent="0.25">
      <c r="A237" s="244"/>
      <c r="C237" s="263"/>
      <c r="D237" s="264"/>
      <c r="E237" s="244"/>
      <c r="F237" s="244"/>
      <c r="G237" s="244"/>
      <c r="H237" s="244"/>
      <c r="K237" s="265"/>
      <c r="S237" s="244"/>
    </row>
    <row r="238" spans="1:19" ht="15.75" customHeight="1" x14ac:dyDescent="0.25">
      <c r="A238" s="244"/>
      <c r="C238" s="263"/>
      <c r="D238" s="264"/>
      <c r="E238" s="244"/>
      <c r="F238" s="244"/>
      <c r="G238" s="244"/>
      <c r="H238" s="244"/>
      <c r="K238" s="265"/>
      <c r="S238" s="244"/>
    </row>
    <row r="239" spans="1:19" ht="15.75" customHeight="1" x14ac:dyDescent="0.25">
      <c r="A239" s="244"/>
      <c r="C239" s="263"/>
      <c r="D239" s="264"/>
      <c r="E239" s="244"/>
      <c r="F239" s="244"/>
      <c r="G239" s="244"/>
      <c r="H239" s="244"/>
      <c r="K239" s="265"/>
      <c r="S239" s="244"/>
    </row>
    <row r="240" spans="1:19" ht="15.75" customHeight="1" x14ac:dyDescent="0.25">
      <c r="A240" s="244"/>
      <c r="C240" s="263"/>
      <c r="D240" s="264"/>
      <c r="E240" s="244"/>
      <c r="F240" s="244"/>
      <c r="G240" s="244"/>
      <c r="H240" s="244"/>
      <c r="K240" s="265"/>
      <c r="S240" s="244"/>
    </row>
    <row r="241" spans="1:19" ht="15.75" customHeight="1" x14ac:dyDescent="0.25">
      <c r="A241" s="244"/>
      <c r="C241" s="263"/>
      <c r="D241" s="264"/>
      <c r="E241" s="244"/>
      <c r="F241" s="244"/>
      <c r="G241" s="244"/>
      <c r="H241" s="244"/>
      <c r="K241" s="265"/>
      <c r="S241" s="244"/>
    </row>
    <row r="242" spans="1:19" ht="15.75" customHeight="1" x14ac:dyDescent="0.25">
      <c r="A242" s="244"/>
      <c r="C242" s="263"/>
      <c r="D242" s="264"/>
      <c r="E242" s="244"/>
      <c r="F242" s="244"/>
      <c r="G242" s="244"/>
      <c r="H242" s="244"/>
      <c r="K242" s="265"/>
      <c r="S242" s="244"/>
    </row>
    <row r="243" spans="1:19" ht="15.75" customHeight="1" x14ac:dyDescent="0.25">
      <c r="A243" s="244"/>
      <c r="C243" s="263"/>
      <c r="D243" s="264"/>
      <c r="E243" s="244"/>
      <c r="F243" s="244"/>
      <c r="G243" s="244"/>
      <c r="H243" s="244"/>
      <c r="K243" s="265"/>
      <c r="S243" s="244"/>
    </row>
    <row r="244" spans="1:19" ht="15.75" customHeight="1" x14ac:dyDescent="0.25">
      <c r="A244" s="244"/>
      <c r="C244" s="263"/>
      <c r="D244" s="264"/>
      <c r="E244" s="244"/>
      <c r="F244" s="244"/>
      <c r="G244" s="244"/>
      <c r="H244" s="244"/>
      <c r="K244" s="265"/>
      <c r="S244" s="244"/>
    </row>
    <row r="245" spans="1:19" ht="15.75" customHeight="1" x14ac:dyDescent="0.25">
      <c r="A245" s="244"/>
      <c r="C245" s="263"/>
      <c r="D245" s="264"/>
      <c r="E245" s="244"/>
      <c r="F245" s="244"/>
      <c r="G245" s="244"/>
      <c r="H245" s="244"/>
      <c r="K245" s="265"/>
      <c r="S245" s="244"/>
    </row>
    <row r="246" spans="1:19" ht="15.75" customHeight="1" x14ac:dyDescent="0.25">
      <c r="A246" s="244"/>
      <c r="C246" s="263"/>
      <c r="D246" s="264"/>
      <c r="E246" s="244"/>
      <c r="F246" s="244"/>
      <c r="G246" s="244"/>
      <c r="H246" s="244"/>
      <c r="K246" s="265"/>
      <c r="S246" s="244"/>
    </row>
    <row r="247" spans="1:19" ht="15.75" customHeight="1" x14ac:dyDescent="0.25">
      <c r="A247" s="244"/>
      <c r="C247" s="263"/>
      <c r="D247" s="264"/>
      <c r="E247" s="244"/>
      <c r="F247" s="244"/>
      <c r="G247" s="244"/>
      <c r="H247" s="244"/>
      <c r="K247" s="265"/>
      <c r="S247" s="244"/>
    </row>
    <row r="248" spans="1:19" ht="15.75" customHeight="1" x14ac:dyDescent="0.25">
      <c r="A248" s="244"/>
      <c r="C248" s="263"/>
      <c r="D248" s="264"/>
      <c r="E248" s="244"/>
      <c r="F248" s="244"/>
      <c r="G248" s="244"/>
      <c r="H248" s="244"/>
      <c r="K248" s="265"/>
      <c r="S248" s="244"/>
    </row>
    <row r="249" spans="1:19" ht="15.75" customHeight="1" x14ac:dyDescent="0.25">
      <c r="A249" s="244"/>
      <c r="C249" s="263"/>
      <c r="D249" s="264"/>
      <c r="E249" s="244"/>
      <c r="F249" s="244"/>
      <c r="G249" s="244"/>
      <c r="H249" s="244"/>
      <c r="K249" s="265"/>
      <c r="S249" s="244"/>
    </row>
    <row r="250" spans="1:19" ht="15.75" customHeight="1" x14ac:dyDescent="0.25">
      <c r="A250" s="244"/>
      <c r="C250" s="263"/>
      <c r="D250" s="264"/>
      <c r="E250" s="244"/>
      <c r="F250" s="244"/>
      <c r="G250" s="244"/>
      <c r="H250" s="244"/>
      <c r="K250" s="265"/>
      <c r="S250" s="244"/>
    </row>
    <row r="251" spans="1:19" ht="15.75" customHeight="1" x14ac:dyDescent="0.25">
      <c r="A251" s="244"/>
      <c r="C251" s="263"/>
      <c r="D251" s="264"/>
      <c r="E251" s="244"/>
      <c r="F251" s="244"/>
      <c r="G251" s="244"/>
      <c r="H251" s="244"/>
      <c r="K251" s="265"/>
      <c r="S251" s="244"/>
    </row>
    <row r="252" spans="1:19" ht="15.75" customHeight="1" x14ac:dyDescent="0.25">
      <c r="A252" s="244"/>
      <c r="C252" s="263"/>
      <c r="D252" s="264"/>
      <c r="E252" s="244"/>
      <c r="F252" s="244"/>
      <c r="G252" s="244"/>
      <c r="H252" s="244"/>
      <c r="K252" s="265"/>
      <c r="S252" s="244"/>
    </row>
    <row r="253" spans="1:19" ht="15.75" customHeight="1" x14ac:dyDescent="0.25">
      <c r="A253" s="244"/>
      <c r="C253" s="263"/>
      <c r="D253" s="264"/>
      <c r="E253" s="244"/>
      <c r="F253" s="244"/>
      <c r="G253" s="244"/>
      <c r="H253" s="244"/>
      <c r="K253" s="265"/>
      <c r="S253" s="244"/>
    </row>
    <row r="254" spans="1:19" ht="15.75" customHeight="1" x14ac:dyDescent="0.25">
      <c r="A254" s="244"/>
      <c r="C254" s="263"/>
      <c r="D254" s="264"/>
      <c r="E254" s="244"/>
      <c r="F254" s="244"/>
      <c r="G254" s="244"/>
      <c r="H254" s="244"/>
      <c r="K254" s="265"/>
      <c r="S254" s="244"/>
    </row>
    <row r="255" spans="1:19" ht="15.75" customHeight="1" x14ac:dyDescent="0.25">
      <c r="A255" s="244"/>
      <c r="C255" s="263"/>
      <c r="D255" s="264"/>
      <c r="E255" s="244"/>
      <c r="F255" s="244"/>
      <c r="G255" s="244"/>
      <c r="H255" s="244"/>
      <c r="K255" s="265"/>
      <c r="S255" s="244"/>
    </row>
    <row r="256" spans="1:19" ht="15.75" customHeight="1" x14ac:dyDescent="0.25">
      <c r="A256" s="244"/>
      <c r="C256" s="263"/>
      <c r="D256" s="264"/>
      <c r="E256" s="244"/>
      <c r="F256" s="244"/>
      <c r="G256" s="244"/>
      <c r="H256" s="244"/>
      <c r="K256" s="265"/>
      <c r="S256" s="244"/>
    </row>
    <row r="257" spans="1:19" ht="15.75" customHeight="1" x14ac:dyDescent="0.25">
      <c r="A257" s="244"/>
      <c r="C257" s="263"/>
      <c r="D257" s="264"/>
      <c r="E257" s="244"/>
      <c r="F257" s="244"/>
      <c r="G257" s="244"/>
      <c r="H257" s="244"/>
      <c r="K257" s="265"/>
      <c r="S257" s="244"/>
    </row>
    <row r="258" spans="1:19" ht="15.75" customHeight="1" x14ac:dyDescent="0.25">
      <c r="A258" s="244"/>
      <c r="C258" s="263"/>
      <c r="D258" s="264"/>
      <c r="E258" s="244"/>
      <c r="F258" s="244"/>
      <c r="G258" s="244"/>
      <c r="H258" s="244"/>
      <c r="K258" s="265"/>
      <c r="S258" s="244"/>
    </row>
    <row r="259" spans="1:19" ht="15.75" customHeight="1" x14ac:dyDescent="0.25">
      <c r="A259" s="244"/>
      <c r="C259" s="263"/>
      <c r="D259" s="264"/>
      <c r="E259" s="244"/>
      <c r="F259" s="244"/>
      <c r="G259" s="244"/>
      <c r="H259" s="244"/>
      <c r="K259" s="265"/>
      <c r="S259" s="244"/>
    </row>
    <row r="260" spans="1:19" ht="15.75" customHeight="1" x14ac:dyDescent="0.25">
      <c r="A260" s="244"/>
      <c r="C260" s="263"/>
      <c r="D260" s="264"/>
      <c r="E260" s="244"/>
      <c r="F260" s="244"/>
      <c r="G260" s="244"/>
      <c r="H260" s="244"/>
      <c r="K260" s="265"/>
      <c r="S260" s="244"/>
    </row>
    <row r="261" spans="1:19" ht="15.75" customHeight="1" x14ac:dyDescent="0.25">
      <c r="A261" s="244"/>
      <c r="C261" s="263"/>
      <c r="D261" s="264"/>
      <c r="E261" s="244"/>
      <c r="F261" s="244"/>
      <c r="G261" s="244"/>
      <c r="H261" s="244"/>
      <c r="K261" s="265"/>
      <c r="S261" s="244"/>
    </row>
    <row r="262" spans="1:19" ht="15.75" customHeight="1" x14ac:dyDescent="0.25">
      <c r="A262" s="244"/>
      <c r="C262" s="263"/>
      <c r="D262" s="264"/>
      <c r="E262" s="244"/>
      <c r="F262" s="244"/>
      <c r="G262" s="244"/>
      <c r="H262" s="244"/>
      <c r="K262" s="265"/>
      <c r="S262" s="244"/>
    </row>
    <row r="263" spans="1:19" ht="15.75" customHeight="1" x14ac:dyDescent="0.25">
      <c r="A263" s="244"/>
      <c r="C263" s="263"/>
      <c r="D263" s="264"/>
      <c r="E263" s="244"/>
      <c r="F263" s="244"/>
      <c r="G263" s="244"/>
      <c r="H263" s="244"/>
      <c r="K263" s="265"/>
      <c r="S263" s="244"/>
    </row>
    <row r="264" spans="1:19" ht="15.75" customHeight="1" x14ac:dyDescent="0.25">
      <c r="A264" s="244"/>
      <c r="C264" s="263"/>
      <c r="D264" s="264"/>
      <c r="E264" s="244"/>
      <c r="F264" s="244"/>
      <c r="G264" s="244"/>
      <c r="H264" s="244"/>
      <c r="K264" s="265"/>
      <c r="S264" s="244"/>
    </row>
    <row r="265" spans="1:19" ht="15.75" customHeight="1" x14ac:dyDescent="0.25">
      <c r="A265" s="244"/>
      <c r="C265" s="263"/>
      <c r="D265" s="264"/>
      <c r="E265" s="244"/>
      <c r="F265" s="244"/>
      <c r="G265" s="244"/>
      <c r="H265" s="244"/>
      <c r="K265" s="265"/>
      <c r="S265" s="244"/>
    </row>
    <row r="266" spans="1:19" ht="15.75" customHeight="1" x14ac:dyDescent="0.25">
      <c r="A266" s="244"/>
      <c r="C266" s="263"/>
      <c r="D266" s="264"/>
      <c r="E266" s="244"/>
      <c r="F266" s="244"/>
      <c r="G266" s="244"/>
      <c r="H266" s="244"/>
      <c r="K266" s="265"/>
      <c r="S266" s="244"/>
    </row>
    <row r="267" spans="1:19" ht="15.75" customHeight="1" x14ac:dyDescent="0.25">
      <c r="A267" s="244"/>
      <c r="C267" s="263"/>
      <c r="D267" s="264"/>
      <c r="E267" s="244"/>
      <c r="F267" s="244"/>
      <c r="G267" s="244"/>
      <c r="H267" s="244"/>
      <c r="K267" s="265"/>
      <c r="S267" s="244"/>
    </row>
    <row r="268" spans="1:19" ht="15.75" customHeight="1" x14ac:dyDescent="0.25">
      <c r="A268" s="244"/>
      <c r="C268" s="263"/>
      <c r="D268" s="264"/>
      <c r="E268" s="244"/>
      <c r="F268" s="244"/>
      <c r="G268" s="244"/>
      <c r="H268" s="244"/>
      <c r="K268" s="265"/>
      <c r="S268" s="244"/>
    </row>
    <row r="269" spans="1:19" ht="15.75" customHeight="1" x14ac:dyDescent="0.25">
      <c r="A269" s="244"/>
      <c r="C269" s="263"/>
      <c r="D269" s="264"/>
      <c r="E269" s="244"/>
      <c r="F269" s="244"/>
      <c r="G269" s="244"/>
      <c r="H269" s="244"/>
      <c r="K269" s="265"/>
      <c r="S269" s="244"/>
    </row>
    <row r="270" spans="1:19" ht="15.75" customHeight="1" x14ac:dyDescent="0.25">
      <c r="A270" s="244"/>
      <c r="C270" s="263"/>
      <c r="D270" s="264"/>
      <c r="E270" s="244"/>
      <c r="F270" s="244"/>
      <c r="G270" s="244"/>
      <c r="H270" s="244"/>
      <c r="K270" s="265"/>
      <c r="S270" s="244"/>
    </row>
    <row r="271" spans="1:19" ht="15.75" customHeight="1" x14ac:dyDescent="0.25">
      <c r="A271" s="244"/>
      <c r="C271" s="263"/>
      <c r="D271" s="264"/>
      <c r="E271" s="244"/>
      <c r="F271" s="244"/>
      <c r="G271" s="244"/>
      <c r="H271" s="244"/>
      <c r="K271" s="265"/>
      <c r="S271" s="244"/>
    </row>
    <row r="272" spans="1:19" ht="15.75" customHeight="1" x14ac:dyDescent="0.25">
      <c r="A272" s="244"/>
      <c r="C272" s="263"/>
      <c r="D272" s="264"/>
      <c r="E272" s="244"/>
      <c r="F272" s="244"/>
      <c r="G272" s="244"/>
      <c r="H272" s="244"/>
      <c r="K272" s="265"/>
      <c r="S272" s="244"/>
    </row>
    <row r="273" spans="1:19" ht="15.75" customHeight="1" x14ac:dyDescent="0.25">
      <c r="A273" s="244"/>
      <c r="C273" s="263"/>
      <c r="D273" s="264"/>
      <c r="E273" s="244"/>
      <c r="F273" s="244"/>
      <c r="G273" s="244"/>
      <c r="H273" s="244"/>
      <c r="K273" s="265"/>
      <c r="S273" s="244"/>
    </row>
    <row r="274" spans="1:19" ht="15.75" customHeight="1" x14ac:dyDescent="0.25">
      <c r="A274" s="244"/>
      <c r="C274" s="263"/>
      <c r="D274" s="264"/>
      <c r="E274" s="244"/>
      <c r="F274" s="244"/>
      <c r="G274" s="244"/>
      <c r="H274" s="244"/>
      <c r="K274" s="265"/>
      <c r="S274" s="244"/>
    </row>
    <row r="275" spans="1:19" ht="15.75" customHeight="1" x14ac:dyDescent="0.25">
      <c r="A275" s="244"/>
      <c r="C275" s="263"/>
      <c r="D275" s="264"/>
      <c r="E275" s="244"/>
      <c r="F275" s="244"/>
      <c r="G275" s="244"/>
      <c r="H275" s="244"/>
      <c r="K275" s="265"/>
      <c r="S275" s="244"/>
    </row>
    <row r="276" spans="1:19" ht="15.75" customHeight="1" x14ac:dyDescent="0.25">
      <c r="A276" s="244"/>
      <c r="C276" s="263"/>
      <c r="D276" s="264"/>
      <c r="E276" s="244"/>
      <c r="F276" s="244"/>
      <c r="G276" s="244"/>
      <c r="H276" s="244"/>
      <c r="K276" s="265"/>
      <c r="S276" s="244"/>
    </row>
    <row r="277" spans="1:19" ht="15.75" customHeight="1" x14ac:dyDescent="0.25">
      <c r="A277" s="244"/>
      <c r="C277" s="263"/>
      <c r="D277" s="264"/>
      <c r="E277" s="244"/>
      <c r="F277" s="244"/>
      <c r="G277" s="244"/>
      <c r="H277" s="244"/>
      <c r="K277" s="265"/>
      <c r="S277" s="244"/>
    </row>
    <row r="278" spans="1:19" ht="15.75" customHeight="1" x14ac:dyDescent="0.25">
      <c r="A278" s="244"/>
      <c r="C278" s="263"/>
      <c r="D278" s="264"/>
      <c r="E278" s="244"/>
      <c r="F278" s="244"/>
      <c r="G278" s="244"/>
      <c r="H278" s="244"/>
      <c r="K278" s="265"/>
      <c r="S278" s="244"/>
    </row>
    <row r="279" spans="1:19" ht="15.75" customHeight="1" x14ac:dyDescent="0.25">
      <c r="A279" s="244"/>
      <c r="C279" s="263"/>
      <c r="D279" s="264"/>
      <c r="E279" s="244"/>
      <c r="F279" s="244"/>
      <c r="G279" s="244"/>
      <c r="H279" s="244"/>
      <c r="K279" s="265"/>
      <c r="S279" s="244"/>
    </row>
    <row r="280" spans="1:19" ht="15.75" customHeight="1" x14ac:dyDescent="0.25">
      <c r="A280" s="244"/>
      <c r="C280" s="263"/>
      <c r="D280" s="264"/>
      <c r="E280" s="244"/>
      <c r="F280" s="244"/>
      <c r="G280" s="244"/>
      <c r="H280" s="244"/>
      <c r="K280" s="265"/>
      <c r="S280" s="244"/>
    </row>
    <row r="281" spans="1:19" ht="15.75" customHeight="1" x14ac:dyDescent="0.25">
      <c r="A281" s="244"/>
      <c r="C281" s="263"/>
      <c r="D281" s="264"/>
      <c r="E281" s="244"/>
      <c r="F281" s="244"/>
      <c r="G281" s="244"/>
      <c r="H281" s="244"/>
      <c r="K281" s="265"/>
      <c r="S281" s="244"/>
    </row>
    <row r="282" spans="1:19" ht="15.75" customHeight="1" x14ac:dyDescent="0.25">
      <c r="A282" s="244"/>
      <c r="C282" s="263"/>
      <c r="D282" s="264"/>
      <c r="E282" s="244"/>
      <c r="F282" s="244"/>
      <c r="G282" s="244"/>
      <c r="H282" s="244"/>
      <c r="K282" s="265"/>
      <c r="S282" s="244"/>
    </row>
    <row r="283" spans="1:19" ht="15.75" customHeight="1" x14ac:dyDescent="0.25">
      <c r="A283" s="244"/>
      <c r="C283" s="263"/>
      <c r="D283" s="264"/>
      <c r="E283" s="244"/>
      <c r="F283" s="244"/>
      <c r="G283" s="244"/>
      <c r="H283" s="244"/>
      <c r="K283" s="265"/>
      <c r="S283" s="244"/>
    </row>
    <row r="284" spans="1:19" ht="15.75" customHeight="1" x14ac:dyDescent="0.25">
      <c r="A284" s="244"/>
      <c r="C284" s="263"/>
      <c r="D284" s="264"/>
      <c r="E284" s="244"/>
      <c r="F284" s="244"/>
      <c r="G284" s="244"/>
      <c r="H284" s="244"/>
      <c r="K284" s="265"/>
      <c r="S284" s="244"/>
    </row>
    <row r="285" spans="1:19" ht="15.75" customHeight="1" x14ac:dyDescent="0.25">
      <c r="A285" s="244"/>
      <c r="C285" s="263"/>
      <c r="D285" s="264"/>
      <c r="E285" s="244"/>
      <c r="F285" s="244"/>
      <c r="G285" s="244"/>
      <c r="H285" s="244"/>
      <c r="K285" s="265"/>
      <c r="S285" s="244"/>
    </row>
    <row r="286" spans="1:19" ht="15.75" customHeight="1" x14ac:dyDescent="0.25">
      <c r="A286" s="244"/>
      <c r="C286" s="263"/>
      <c r="D286" s="264"/>
      <c r="E286" s="244"/>
      <c r="F286" s="244"/>
      <c r="G286" s="244"/>
      <c r="H286" s="244"/>
      <c r="K286" s="265"/>
      <c r="S286" s="244"/>
    </row>
    <row r="287" spans="1:19" ht="15.75" customHeight="1" x14ac:dyDescent="0.25">
      <c r="A287" s="244"/>
      <c r="C287" s="263"/>
      <c r="D287" s="264"/>
      <c r="E287" s="244"/>
      <c r="F287" s="244"/>
      <c r="G287" s="244"/>
      <c r="H287" s="244"/>
      <c r="K287" s="265"/>
      <c r="S287" s="244"/>
    </row>
    <row r="288" spans="1:19" ht="15.75" customHeight="1" x14ac:dyDescent="0.25">
      <c r="A288" s="244"/>
      <c r="C288" s="263"/>
      <c r="D288" s="264"/>
      <c r="E288" s="244"/>
      <c r="F288" s="244"/>
      <c r="G288" s="244"/>
      <c r="H288" s="244"/>
      <c r="K288" s="265"/>
      <c r="S288" s="244"/>
    </row>
    <row r="289" spans="1:19" ht="15.75" customHeight="1" x14ac:dyDescent="0.25">
      <c r="A289" s="244"/>
      <c r="C289" s="263"/>
      <c r="D289" s="264"/>
      <c r="E289" s="244"/>
      <c r="F289" s="244"/>
      <c r="G289" s="244"/>
      <c r="H289" s="244"/>
      <c r="K289" s="265"/>
      <c r="S289" s="244"/>
    </row>
    <row r="290" spans="1:19" ht="15.75" customHeight="1" x14ac:dyDescent="0.25">
      <c r="A290" s="244"/>
      <c r="C290" s="263"/>
      <c r="D290" s="264"/>
      <c r="E290" s="244"/>
      <c r="F290" s="244"/>
      <c r="G290" s="244"/>
      <c r="H290" s="244"/>
      <c r="K290" s="265"/>
      <c r="S290" s="244"/>
    </row>
    <row r="291" spans="1:19" ht="15.75" customHeight="1" x14ac:dyDescent="0.25">
      <c r="A291" s="244"/>
      <c r="C291" s="263"/>
      <c r="D291" s="264"/>
      <c r="E291" s="244"/>
      <c r="F291" s="244"/>
      <c r="G291" s="244"/>
      <c r="H291" s="244"/>
      <c r="K291" s="265"/>
      <c r="S291" s="244"/>
    </row>
    <row r="292" spans="1:19" ht="15.75" customHeight="1" x14ac:dyDescent="0.25">
      <c r="A292" s="244"/>
      <c r="C292" s="263"/>
      <c r="D292" s="264"/>
      <c r="E292" s="244"/>
      <c r="F292" s="244"/>
      <c r="G292" s="244"/>
      <c r="H292" s="244"/>
      <c r="K292" s="265"/>
      <c r="S292" s="244"/>
    </row>
    <row r="293" spans="1:19" ht="15.75" customHeight="1" x14ac:dyDescent="0.25">
      <c r="A293" s="244"/>
      <c r="C293" s="263"/>
      <c r="D293" s="264"/>
      <c r="E293" s="244"/>
      <c r="F293" s="244"/>
      <c r="G293" s="244"/>
      <c r="H293" s="244"/>
      <c r="K293" s="265"/>
      <c r="S293" s="244"/>
    </row>
    <row r="294" spans="1:19" ht="15.75" customHeight="1" x14ac:dyDescent="0.25">
      <c r="A294" s="244"/>
      <c r="C294" s="263"/>
      <c r="D294" s="264"/>
      <c r="E294" s="244"/>
      <c r="F294" s="244"/>
      <c r="G294" s="244"/>
      <c r="H294" s="244"/>
      <c r="K294" s="265"/>
      <c r="S294" s="244"/>
    </row>
    <row r="295" spans="1:19" ht="15.75" customHeight="1" x14ac:dyDescent="0.25">
      <c r="A295" s="244"/>
      <c r="C295" s="263"/>
      <c r="D295" s="264"/>
      <c r="E295" s="244"/>
      <c r="F295" s="244"/>
      <c r="G295" s="244"/>
      <c r="H295" s="244"/>
      <c r="K295" s="265"/>
      <c r="S295" s="244"/>
    </row>
    <row r="296" spans="1:19" ht="15.75" customHeight="1" x14ac:dyDescent="0.25">
      <c r="A296" s="244"/>
      <c r="C296" s="263"/>
      <c r="D296" s="264"/>
      <c r="E296" s="244"/>
      <c r="F296" s="244"/>
      <c r="G296" s="244"/>
      <c r="H296" s="244"/>
      <c r="K296" s="265"/>
      <c r="S296" s="244"/>
    </row>
    <row r="297" spans="1:19" ht="15.75" customHeight="1" x14ac:dyDescent="0.25">
      <c r="A297" s="244"/>
      <c r="C297" s="263"/>
      <c r="D297" s="264"/>
      <c r="E297" s="244"/>
      <c r="F297" s="244"/>
      <c r="G297" s="244"/>
      <c r="H297" s="244"/>
      <c r="K297" s="265"/>
      <c r="S297" s="244"/>
    </row>
    <row r="298" spans="1:19" ht="15.75" customHeight="1" x14ac:dyDescent="0.25">
      <c r="A298" s="244"/>
      <c r="C298" s="263"/>
      <c r="D298" s="264"/>
      <c r="E298" s="244"/>
      <c r="F298" s="244"/>
      <c r="G298" s="244"/>
      <c r="H298" s="244"/>
      <c r="K298" s="265"/>
      <c r="S298" s="244"/>
    </row>
    <row r="299" spans="1:19" ht="15.75" customHeight="1" x14ac:dyDescent="0.25">
      <c r="A299" s="244"/>
      <c r="C299" s="263"/>
      <c r="D299" s="264"/>
      <c r="E299" s="244"/>
      <c r="F299" s="244"/>
      <c r="G299" s="244"/>
      <c r="H299" s="244"/>
      <c r="K299" s="265"/>
      <c r="S299" s="244"/>
    </row>
    <row r="300" spans="1:19" ht="15.75" customHeight="1" x14ac:dyDescent="0.25">
      <c r="A300" s="244"/>
      <c r="C300" s="263"/>
      <c r="D300" s="264"/>
      <c r="E300" s="244"/>
      <c r="F300" s="244"/>
      <c r="G300" s="244"/>
      <c r="H300" s="244"/>
      <c r="K300" s="265"/>
      <c r="S300" s="244"/>
    </row>
    <row r="301" spans="1:19" ht="15.75" customHeight="1" x14ac:dyDescent="0.25">
      <c r="A301" s="244"/>
      <c r="C301" s="263"/>
      <c r="D301" s="264"/>
      <c r="E301" s="244"/>
      <c r="F301" s="244"/>
      <c r="G301" s="244"/>
      <c r="H301" s="244"/>
      <c r="K301" s="265"/>
      <c r="S301" s="244"/>
    </row>
    <row r="302" spans="1:19" ht="15.75" customHeight="1" x14ac:dyDescent="0.25">
      <c r="A302" s="244"/>
      <c r="C302" s="263"/>
      <c r="D302" s="264"/>
      <c r="E302" s="244"/>
      <c r="F302" s="244"/>
      <c r="G302" s="244"/>
      <c r="H302" s="244"/>
      <c r="K302" s="265"/>
      <c r="S302" s="244"/>
    </row>
    <row r="303" spans="1:19" ht="15.75" customHeight="1" x14ac:dyDescent="0.25">
      <c r="A303" s="244"/>
      <c r="C303" s="263"/>
      <c r="D303" s="264"/>
      <c r="E303" s="244"/>
      <c r="F303" s="244"/>
      <c r="G303" s="244"/>
      <c r="H303" s="244"/>
      <c r="K303" s="265"/>
      <c r="S303" s="244"/>
    </row>
    <row r="304" spans="1:19" ht="15.75" customHeight="1" x14ac:dyDescent="0.25">
      <c r="A304" s="244"/>
      <c r="C304" s="263"/>
      <c r="D304" s="264"/>
      <c r="E304" s="244"/>
      <c r="F304" s="244"/>
      <c r="G304" s="244"/>
      <c r="H304" s="244"/>
      <c r="K304" s="265"/>
      <c r="S304" s="244"/>
    </row>
    <row r="305" spans="1:19" ht="15.75" customHeight="1" x14ac:dyDescent="0.25">
      <c r="A305" s="244"/>
      <c r="C305" s="263"/>
      <c r="D305" s="264"/>
      <c r="E305" s="244"/>
      <c r="F305" s="244"/>
      <c r="G305" s="244"/>
      <c r="H305" s="244"/>
      <c r="K305" s="265"/>
      <c r="S305" s="244"/>
    </row>
    <row r="306" spans="1:19" ht="15.75" customHeight="1" x14ac:dyDescent="0.25">
      <c r="A306" s="244"/>
      <c r="C306" s="263"/>
      <c r="D306" s="264"/>
      <c r="E306" s="244"/>
      <c r="F306" s="244"/>
      <c r="G306" s="244"/>
      <c r="H306" s="244"/>
      <c r="K306" s="265"/>
      <c r="S306" s="244"/>
    </row>
    <row r="307" spans="1:19" ht="15.75" customHeight="1" x14ac:dyDescent="0.25">
      <c r="A307" s="244"/>
      <c r="C307" s="263"/>
      <c r="D307" s="264"/>
      <c r="E307" s="244"/>
      <c r="F307" s="244"/>
      <c r="G307" s="244"/>
      <c r="H307" s="244"/>
      <c r="K307" s="265"/>
      <c r="S307" s="244"/>
    </row>
    <row r="308" spans="1:19" ht="15.75" customHeight="1" x14ac:dyDescent="0.25">
      <c r="A308" s="244"/>
      <c r="C308" s="263"/>
      <c r="D308" s="264"/>
      <c r="E308" s="244"/>
      <c r="F308" s="244"/>
      <c r="G308" s="244"/>
      <c r="H308" s="244"/>
      <c r="K308" s="265"/>
      <c r="S308" s="244"/>
    </row>
    <row r="309" spans="1:19" ht="15.75" customHeight="1" x14ac:dyDescent="0.25">
      <c r="A309" s="244"/>
      <c r="C309" s="263"/>
      <c r="D309" s="264"/>
      <c r="E309" s="244"/>
      <c r="F309" s="244"/>
      <c r="G309" s="244"/>
      <c r="H309" s="244"/>
      <c r="K309" s="265"/>
      <c r="S309" s="244"/>
    </row>
    <row r="310" spans="1:19" ht="15.75" customHeight="1" x14ac:dyDescent="0.25">
      <c r="A310" s="244"/>
      <c r="C310" s="263"/>
      <c r="D310" s="264"/>
      <c r="E310" s="244"/>
      <c r="F310" s="244"/>
      <c r="G310" s="244"/>
      <c r="H310" s="244"/>
      <c r="K310" s="265"/>
      <c r="S310" s="244"/>
    </row>
    <row r="311" spans="1:19" ht="15.75" customHeight="1" x14ac:dyDescent="0.25">
      <c r="A311" s="244"/>
      <c r="C311" s="263"/>
      <c r="D311" s="264"/>
      <c r="E311" s="244"/>
      <c r="F311" s="244"/>
      <c r="G311" s="244"/>
      <c r="H311" s="244"/>
      <c r="K311" s="265"/>
      <c r="S311" s="244"/>
    </row>
    <row r="312" spans="1:19" ht="15.75" customHeight="1" x14ac:dyDescent="0.25">
      <c r="A312" s="244"/>
      <c r="C312" s="263"/>
      <c r="D312" s="264"/>
      <c r="E312" s="244"/>
      <c r="F312" s="244"/>
      <c r="G312" s="244"/>
      <c r="H312" s="244"/>
      <c r="K312" s="265"/>
      <c r="S312" s="244"/>
    </row>
    <row r="313" spans="1:19" ht="15.75" customHeight="1" x14ac:dyDescent="0.25">
      <c r="A313" s="244"/>
      <c r="C313" s="263"/>
      <c r="D313" s="264"/>
      <c r="E313" s="244"/>
      <c r="F313" s="244"/>
      <c r="G313" s="244"/>
      <c r="H313" s="244"/>
      <c r="K313" s="265"/>
      <c r="S313" s="244"/>
    </row>
    <row r="314" spans="1:19" ht="15.75" customHeight="1" x14ac:dyDescent="0.25">
      <c r="A314" s="244"/>
      <c r="C314" s="263"/>
      <c r="D314" s="264"/>
      <c r="E314" s="244"/>
      <c r="F314" s="244"/>
      <c r="G314" s="244"/>
      <c r="H314" s="244"/>
      <c r="K314" s="265"/>
      <c r="S314" s="244"/>
    </row>
    <row r="315" spans="1:19" ht="15.75" customHeight="1" x14ac:dyDescent="0.25">
      <c r="A315" s="244"/>
      <c r="C315" s="263"/>
      <c r="D315" s="264"/>
      <c r="E315" s="244"/>
      <c r="F315" s="244"/>
      <c r="G315" s="244"/>
      <c r="H315" s="244"/>
      <c r="K315" s="265"/>
      <c r="S315" s="244"/>
    </row>
    <row r="316" spans="1:19" ht="15.75" customHeight="1" x14ac:dyDescent="0.25">
      <c r="A316" s="244"/>
      <c r="C316" s="263"/>
      <c r="D316" s="264"/>
      <c r="E316" s="244"/>
      <c r="F316" s="244"/>
      <c r="G316" s="244"/>
      <c r="H316" s="244"/>
      <c r="K316" s="265"/>
      <c r="S316" s="244"/>
    </row>
    <row r="317" spans="1:19" ht="15.75" customHeight="1" x14ac:dyDescent="0.25">
      <c r="A317" s="244"/>
      <c r="C317" s="263"/>
      <c r="D317" s="264"/>
      <c r="E317" s="244"/>
      <c r="F317" s="244"/>
      <c r="G317" s="244"/>
      <c r="H317" s="244"/>
      <c r="K317" s="265"/>
      <c r="S317" s="244"/>
    </row>
    <row r="318" spans="1:19" ht="15.75" customHeight="1" x14ac:dyDescent="0.25">
      <c r="A318" s="244"/>
      <c r="C318" s="263"/>
      <c r="D318" s="264"/>
      <c r="E318" s="244"/>
      <c r="F318" s="244"/>
      <c r="G318" s="244"/>
      <c r="H318" s="244"/>
      <c r="K318" s="265"/>
      <c r="S318" s="244"/>
    </row>
    <row r="319" spans="1:19" ht="15.75" customHeight="1" x14ac:dyDescent="0.25">
      <c r="A319" s="244"/>
      <c r="C319" s="263"/>
      <c r="D319" s="264"/>
      <c r="E319" s="244"/>
      <c r="F319" s="244"/>
      <c r="G319" s="244"/>
      <c r="H319" s="244"/>
      <c r="K319" s="265"/>
      <c r="S319" s="244"/>
    </row>
    <row r="320" spans="1:19" ht="15.75" customHeight="1" x14ac:dyDescent="0.25">
      <c r="A320" s="244"/>
      <c r="C320" s="263"/>
      <c r="D320" s="264"/>
      <c r="E320" s="244"/>
      <c r="F320" s="244"/>
      <c r="G320" s="244"/>
      <c r="H320" s="244"/>
      <c r="K320" s="265"/>
      <c r="S320" s="244"/>
    </row>
    <row r="321" spans="1:19" ht="15.75" customHeight="1" x14ac:dyDescent="0.25">
      <c r="A321" s="244"/>
      <c r="C321" s="263"/>
      <c r="D321" s="264"/>
      <c r="E321" s="244"/>
      <c r="F321" s="244"/>
      <c r="G321" s="244"/>
      <c r="H321" s="244"/>
      <c r="K321" s="265"/>
      <c r="S321" s="244"/>
    </row>
    <row r="322" spans="1:19" ht="15.75" customHeight="1" x14ac:dyDescent="0.25">
      <c r="A322" s="244"/>
      <c r="C322" s="263"/>
      <c r="D322" s="264"/>
      <c r="E322" s="244"/>
      <c r="F322" s="244"/>
      <c r="G322" s="244"/>
      <c r="H322" s="244"/>
      <c r="K322" s="265"/>
      <c r="S322" s="244"/>
    </row>
    <row r="323" spans="1:19" ht="15.75" customHeight="1" x14ac:dyDescent="0.25">
      <c r="A323" s="244"/>
      <c r="C323" s="263"/>
      <c r="D323" s="264"/>
      <c r="E323" s="244"/>
      <c r="F323" s="244"/>
      <c r="G323" s="244"/>
      <c r="H323" s="244"/>
      <c r="K323" s="265"/>
      <c r="S323" s="244"/>
    </row>
    <row r="324" spans="1:19" ht="15.75" customHeight="1" x14ac:dyDescent="0.25">
      <c r="A324" s="244"/>
      <c r="C324" s="263"/>
      <c r="D324" s="264"/>
      <c r="E324" s="244"/>
      <c r="F324" s="244"/>
      <c r="G324" s="244"/>
      <c r="H324" s="244"/>
      <c r="K324" s="265"/>
      <c r="S324" s="244"/>
    </row>
    <row r="325" spans="1:19" ht="15.75" customHeight="1" x14ac:dyDescent="0.25">
      <c r="A325" s="244"/>
      <c r="C325" s="263"/>
      <c r="D325" s="264"/>
      <c r="E325" s="244"/>
      <c r="F325" s="244"/>
      <c r="G325" s="244"/>
      <c r="H325" s="244"/>
      <c r="K325" s="265"/>
      <c r="S325" s="244"/>
    </row>
    <row r="326" spans="1:19" ht="15.75" customHeight="1" x14ac:dyDescent="0.25">
      <c r="A326" s="244"/>
      <c r="C326" s="263"/>
      <c r="D326" s="264"/>
      <c r="E326" s="244"/>
      <c r="F326" s="244"/>
      <c r="G326" s="244"/>
      <c r="H326" s="244"/>
      <c r="K326" s="265"/>
      <c r="S326" s="244"/>
    </row>
    <row r="327" spans="1:19" ht="15.75" customHeight="1" x14ac:dyDescent="0.25">
      <c r="A327" s="244"/>
      <c r="C327" s="263"/>
      <c r="D327" s="264"/>
      <c r="E327" s="244"/>
      <c r="F327" s="244"/>
      <c r="G327" s="244"/>
      <c r="H327" s="244"/>
      <c r="K327" s="265"/>
      <c r="S327" s="244"/>
    </row>
    <row r="328" spans="1:19" ht="15.75" customHeight="1" x14ac:dyDescent="0.25">
      <c r="A328" s="244"/>
      <c r="C328" s="263"/>
      <c r="D328" s="264"/>
      <c r="E328" s="244"/>
      <c r="F328" s="244"/>
      <c r="G328" s="244"/>
      <c r="H328" s="244"/>
      <c r="K328" s="265"/>
      <c r="S328" s="244"/>
    </row>
    <row r="329" spans="1:19" ht="15.75" customHeight="1" x14ac:dyDescent="0.25">
      <c r="A329" s="244"/>
      <c r="C329" s="263"/>
      <c r="D329" s="264"/>
      <c r="E329" s="244"/>
      <c r="F329" s="244"/>
      <c r="G329" s="244"/>
      <c r="H329" s="244"/>
      <c r="K329" s="265"/>
      <c r="S329" s="244"/>
    </row>
    <row r="330" spans="1:19" ht="15.75" customHeight="1" x14ac:dyDescent="0.25">
      <c r="A330" s="244"/>
      <c r="C330" s="263"/>
      <c r="D330" s="264"/>
      <c r="E330" s="244"/>
      <c r="F330" s="244"/>
      <c r="G330" s="244"/>
      <c r="H330" s="244"/>
      <c r="K330" s="265"/>
      <c r="S330" s="244"/>
    </row>
    <row r="331" spans="1:19" ht="15.75" customHeight="1" x14ac:dyDescent="0.25">
      <c r="A331" s="244"/>
      <c r="C331" s="263"/>
      <c r="D331" s="264"/>
      <c r="E331" s="244"/>
      <c r="F331" s="244"/>
      <c r="G331" s="244"/>
      <c r="H331" s="244"/>
      <c r="K331" s="265"/>
      <c r="S331" s="244"/>
    </row>
    <row r="332" spans="1:19" ht="15.75" customHeight="1" x14ac:dyDescent="0.25">
      <c r="A332" s="244"/>
      <c r="C332" s="263"/>
      <c r="D332" s="264"/>
      <c r="E332" s="244"/>
      <c r="F332" s="244"/>
      <c r="G332" s="244"/>
      <c r="H332" s="244"/>
      <c r="K332" s="265"/>
      <c r="S332" s="244"/>
    </row>
    <row r="333" spans="1:19" ht="15.75" customHeight="1" x14ac:dyDescent="0.25">
      <c r="A333" s="244"/>
      <c r="C333" s="263"/>
      <c r="D333" s="264"/>
      <c r="E333" s="244"/>
      <c r="F333" s="244"/>
      <c r="G333" s="244"/>
      <c r="H333" s="244"/>
      <c r="K333" s="265"/>
      <c r="S333" s="244"/>
    </row>
    <row r="334" spans="1:19" ht="15.75" customHeight="1" x14ac:dyDescent="0.25">
      <c r="A334" s="244"/>
      <c r="C334" s="263"/>
      <c r="D334" s="264"/>
      <c r="E334" s="244"/>
      <c r="F334" s="244"/>
      <c r="G334" s="244"/>
      <c r="H334" s="244"/>
      <c r="K334" s="265"/>
      <c r="S334" s="244"/>
    </row>
    <row r="335" spans="1:19" ht="15.75" customHeight="1" x14ac:dyDescent="0.25">
      <c r="A335" s="244"/>
      <c r="C335" s="263"/>
      <c r="D335" s="264"/>
      <c r="E335" s="244"/>
      <c r="F335" s="244"/>
      <c r="G335" s="244"/>
      <c r="H335" s="244"/>
      <c r="K335" s="265"/>
      <c r="S335" s="244"/>
    </row>
    <row r="336" spans="1:19" ht="15.75" customHeight="1" x14ac:dyDescent="0.25">
      <c r="A336" s="244"/>
      <c r="C336" s="263"/>
      <c r="D336" s="264"/>
      <c r="E336" s="244"/>
      <c r="F336" s="244"/>
      <c r="G336" s="244"/>
      <c r="H336" s="244"/>
      <c r="K336" s="265"/>
      <c r="S336" s="244"/>
    </row>
    <row r="337" spans="1:19" ht="15.75" customHeight="1" x14ac:dyDescent="0.25">
      <c r="A337" s="244"/>
      <c r="C337" s="263"/>
      <c r="D337" s="264"/>
      <c r="E337" s="244"/>
      <c r="F337" s="244"/>
      <c r="G337" s="244"/>
      <c r="H337" s="244"/>
      <c r="K337" s="265"/>
      <c r="S337" s="244"/>
    </row>
    <row r="338" spans="1:19" ht="15.75" customHeight="1" x14ac:dyDescent="0.25">
      <c r="A338" s="244"/>
      <c r="C338" s="263"/>
      <c r="D338" s="264"/>
      <c r="E338" s="244"/>
      <c r="F338" s="244"/>
      <c r="G338" s="244"/>
      <c r="H338" s="244"/>
      <c r="K338" s="265"/>
      <c r="S338" s="244"/>
    </row>
    <row r="339" spans="1:19" ht="15.75" customHeight="1" x14ac:dyDescent="0.25">
      <c r="A339" s="244"/>
      <c r="C339" s="263"/>
      <c r="D339" s="264"/>
      <c r="E339" s="244"/>
      <c r="F339" s="244"/>
      <c r="G339" s="244"/>
      <c r="H339" s="244"/>
      <c r="K339" s="265"/>
      <c r="S339" s="244"/>
    </row>
    <row r="340" spans="1:19" ht="15.75" customHeight="1" x14ac:dyDescent="0.25">
      <c r="A340" s="244"/>
      <c r="C340" s="263"/>
      <c r="D340" s="264"/>
      <c r="E340" s="244"/>
      <c r="F340" s="244"/>
      <c r="G340" s="244"/>
      <c r="H340" s="244"/>
      <c r="K340" s="265"/>
      <c r="S340" s="244"/>
    </row>
    <row r="341" spans="1:19" ht="15.75" customHeight="1" x14ac:dyDescent="0.25">
      <c r="A341" s="244"/>
      <c r="C341" s="263"/>
      <c r="D341" s="264"/>
      <c r="E341" s="244"/>
      <c r="F341" s="244"/>
      <c r="G341" s="244"/>
      <c r="H341" s="244"/>
      <c r="K341" s="265"/>
      <c r="S341" s="244"/>
    </row>
    <row r="342" spans="1:19" ht="15.75" customHeight="1" x14ac:dyDescent="0.25">
      <c r="A342" s="244"/>
      <c r="C342" s="263"/>
      <c r="D342" s="264"/>
      <c r="E342" s="244"/>
      <c r="F342" s="244"/>
      <c r="G342" s="244"/>
      <c r="H342" s="244"/>
      <c r="K342" s="265"/>
      <c r="S342" s="244"/>
    </row>
    <row r="343" spans="1:19" ht="15.75" customHeight="1" x14ac:dyDescent="0.25">
      <c r="A343" s="244"/>
      <c r="C343" s="263"/>
      <c r="D343" s="264"/>
      <c r="E343" s="244"/>
      <c r="F343" s="244"/>
      <c r="G343" s="244"/>
      <c r="H343" s="244"/>
      <c r="K343" s="265"/>
      <c r="S343" s="244"/>
    </row>
    <row r="344" spans="1:19" ht="15.75" customHeight="1" x14ac:dyDescent="0.25">
      <c r="A344" s="244"/>
      <c r="C344" s="263"/>
      <c r="D344" s="264"/>
      <c r="E344" s="244"/>
      <c r="F344" s="244"/>
      <c r="G344" s="244"/>
      <c r="H344" s="244"/>
      <c r="K344" s="265"/>
      <c r="S344" s="244"/>
    </row>
    <row r="345" spans="1:19" ht="15.75" customHeight="1" x14ac:dyDescent="0.25">
      <c r="A345" s="244"/>
      <c r="C345" s="263"/>
      <c r="D345" s="264"/>
      <c r="E345" s="244"/>
      <c r="F345" s="244"/>
      <c r="G345" s="244"/>
      <c r="H345" s="244"/>
      <c r="K345" s="265"/>
      <c r="S345" s="244"/>
    </row>
    <row r="346" spans="1:19" ht="15.75" customHeight="1" x14ac:dyDescent="0.25">
      <c r="A346" s="244"/>
      <c r="C346" s="263"/>
      <c r="D346" s="264"/>
      <c r="E346" s="244"/>
      <c r="F346" s="244"/>
      <c r="G346" s="244"/>
      <c r="H346" s="244"/>
      <c r="K346" s="265"/>
      <c r="S346" s="244"/>
    </row>
    <row r="347" spans="1:19" ht="15.75" customHeight="1" x14ac:dyDescent="0.25">
      <c r="A347" s="244"/>
      <c r="C347" s="263"/>
      <c r="D347" s="264"/>
      <c r="E347" s="244"/>
      <c r="F347" s="244"/>
      <c r="G347" s="244"/>
      <c r="H347" s="244"/>
      <c r="K347" s="265"/>
      <c r="S347" s="244"/>
    </row>
    <row r="348" spans="1:19" ht="15.75" customHeight="1" x14ac:dyDescent="0.25">
      <c r="A348" s="244"/>
      <c r="C348" s="263"/>
      <c r="D348" s="264"/>
      <c r="E348" s="244"/>
      <c r="F348" s="244"/>
      <c r="G348" s="244"/>
      <c r="H348" s="244"/>
      <c r="K348" s="265"/>
      <c r="S348" s="244"/>
    </row>
    <row r="349" spans="1:19" ht="15.75" customHeight="1" x14ac:dyDescent="0.25">
      <c r="A349" s="244"/>
      <c r="C349" s="263"/>
      <c r="D349" s="264"/>
      <c r="E349" s="244"/>
      <c r="F349" s="244"/>
      <c r="G349" s="244"/>
      <c r="H349" s="244"/>
      <c r="K349" s="265"/>
      <c r="S349" s="244"/>
    </row>
    <row r="350" spans="1:19" ht="15.75" customHeight="1" x14ac:dyDescent="0.25">
      <c r="A350" s="244"/>
      <c r="C350" s="263"/>
      <c r="D350" s="264"/>
      <c r="E350" s="244"/>
      <c r="F350" s="244"/>
      <c r="G350" s="244"/>
      <c r="H350" s="244"/>
      <c r="K350" s="265"/>
      <c r="S350" s="244"/>
    </row>
    <row r="351" spans="1:19" ht="15.75" customHeight="1" x14ac:dyDescent="0.25">
      <c r="A351" s="244"/>
      <c r="C351" s="263"/>
      <c r="D351" s="264"/>
      <c r="E351" s="244"/>
      <c r="F351" s="244"/>
      <c r="G351" s="244"/>
      <c r="H351" s="244"/>
      <c r="K351" s="265"/>
      <c r="S351" s="244"/>
    </row>
    <row r="352" spans="1:19" ht="15.75" customHeight="1" x14ac:dyDescent="0.25">
      <c r="A352" s="244"/>
      <c r="C352" s="263"/>
      <c r="D352" s="264"/>
      <c r="E352" s="244"/>
      <c r="F352" s="244"/>
      <c r="G352" s="244"/>
      <c r="H352" s="244"/>
      <c r="K352" s="265"/>
      <c r="S352" s="244"/>
    </row>
    <row r="353" spans="1:19" ht="15.75" customHeight="1" x14ac:dyDescent="0.25">
      <c r="A353" s="244"/>
      <c r="C353" s="263"/>
      <c r="D353" s="264"/>
      <c r="E353" s="244"/>
      <c r="F353" s="244"/>
      <c r="G353" s="244"/>
      <c r="H353" s="244"/>
      <c r="K353" s="265"/>
      <c r="S353" s="244"/>
    </row>
    <row r="354" spans="1:19" ht="15.75" customHeight="1" x14ac:dyDescent="0.25">
      <c r="A354" s="244"/>
      <c r="C354" s="263"/>
      <c r="D354" s="264"/>
      <c r="E354" s="244"/>
      <c r="F354" s="244"/>
      <c r="G354" s="244"/>
      <c r="H354" s="244"/>
      <c r="K354" s="265"/>
      <c r="S354" s="244"/>
    </row>
    <row r="355" spans="1:19" ht="15.75" customHeight="1" x14ac:dyDescent="0.25">
      <c r="A355" s="244"/>
      <c r="C355" s="263"/>
      <c r="D355" s="264"/>
      <c r="E355" s="244"/>
      <c r="F355" s="244"/>
      <c r="G355" s="244"/>
      <c r="H355" s="244"/>
      <c r="K355" s="265"/>
      <c r="S355" s="244"/>
    </row>
    <row r="356" spans="1:19" ht="15.75" customHeight="1" x14ac:dyDescent="0.25">
      <c r="A356" s="244"/>
      <c r="C356" s="263"/>
      <c r="D356" s="264"/>
      <c r="E356" s="244"/>
      <c r="F356" s="244"/>
      <c r="G356" s="244"/>
      <c r="H356" s="244"/>
      <c r="K356" s="265"/>
      <c r="S356" s="244"/>
    </row>
    <row r="357" spans="1:19" ht="15.75" customHeight="1" x14ac:dyDescent="0.25">
      <c r="A357" s="244"/>
      <c r="C357" s="263"/>
      <c r="D357" s="264"/>
      <c r="E357" s="244"/>
      <c r="F357" s="244"/>
      <c r="G357" s="244"/>
      <c r="H357" s="244"/>
      <c r="K357" s="265"/>
      <c r="S357" s="244"/>
    </row>
    <row r="358" spans="1:19" ht="15.75" customHeight="1" x14ac:dyDescent="0.25">
      <c r="A358" s="244"/>
      <c r="C358" s="263"/>
      <c r="D358" s="264"/>
      <c r="E358" s="244"/>
      <c r="F358" s="244"/>
      <c r="G358" s="244"/>
      <c r="H358" s="244"/>
      <c r="K358" s="265"/>
      <c r="S358" s="244"/>
    </row>
    <row r="359" spans="1:19" ht="15.75" customHeight="1" x14ac:dyDescent="0.25">
      <c r="A359" s="244"/>
      <c r="C359" s="263"/>
      <c r="D359" s="264"/>
      <c r="E359" s="244"/>
      <c r="F359" s="244"/>
      <c r="G359" s="244"/>
      <c r="H359" s="244"/>
      <c r="K359" s="265"/>
      <c r="S359" s="244"/>
    </row>
    <row r="360" spans="1:19" ht="15.75" customHeight="1" x14ac:dyDescent="0.25">
      <c r="A360" s="244"/>
      <c r="C360" s="263"/>
      <c r="D360" s="264"/>
      <c r="E360" s="244"/>
      <c r="F360" s="244"/>
      <c r="G360" s="244"/>
      <c r="H360" s="244"/>
      <c r="K360" s="265"/>
      <c r="S360" s="244"/>
    </row>
    <row r="361" spans="1:19" ht="15.75" customHeight="1" x14ac:dyDescent="0.25">
      <c r="A361" s="244"/>
      <c r="C361" s="263"/>
      <c r="D361" s="264"/>
      <c r="E361" s="244"/>
      <c r="F361" s="244"/>
      <c r="G361" s="244"/>
      <c r="H361" s="244"/>
      <c r="K361" s="265"/>
      <c r="S361" s="244"/>
    </row>
    <row r="362" spans="1:19" ht="15.75" customHeight="1" x14ac:dyDescent="0.25">
      <c r="A362" s="244"/>
      <c r="C362" s="263"/>
      <c r="D362" s="264"/>
      <c r="E362" s="244"/>
      <c r="F362" s="244"/>
      <c r="G362" s="244"/>
      <c r="H362" s="244"/>
      <c r="K362" s="265"/>
      <c r="S362" s="244"/>
    </row>
    <row r="363" spans="1:19" ht="15.75" customHeight="1" x14ac:dyDescent="0.25">
      <c r="A363" s="244"/>
      <c r="C363" s="263"/>
      <c r="D363" s="264"/>
      <c r="E363" s="244"/>
      <c r="F363" s="244"/>
      <c r="G363" s="244"/>
      <c r="H363" s="244"/>
      <c r="K363" s="265"/>
      <c r="S363" s="244"/>
    </row>
    <row r="364" spans="1:19" ht="15.75" customHeight="1" x14ac:dyDescent="0.25">
      <c r="A364" s="244"/>
      <c r="C364" s="263"/>
      <c r="D364" s="264"/>
      <c r="E364" s="244"/>
      <c r="F364" s="244"/>
      <c r="G364" s="244"/>
      <c r="H364" s="244"/>
      <c r="K364" s="265"/>
      <c r="S364" s="244"/>
    </row>
    <row r="365" spans="1:19" ht="15.75" customHeight="1" x14ac:dyDescent="0.25">
      <c r="A365" s="244"/>
      <c r="C365" s="263"/>
      <c r="D365" s="264"/>
      <c r="E365" s="244"/>
      <c r="F365" s="244"/>
      <c r="G365" s="244"/>
      <c r="H365" s="244"/>
      <c r="K365" s="265"/>
      <c r="S365" s="244"/>
    </row>
    <row r="366" spans="1:19" ht="15.75" customHeight="1" x14ac:dyDescent="0.25">
      <c r="A366" s="244"/>
      <c r="C366" s="263"/>
      <c r="D366" s="264"/>
      <c r="E366" s="244"/>
      <c r="F366" s="244"/>
      <c r="G366" s="244"/>
      <c r="H366" s="244"/>
      <c r="K366" s="265"/>
      <c r="S366" s="244"/>
    </row>
    <row r="367" spans="1:19" ht="15.75" customHeight="1" x14ac:dyDescent="0.25">
      <c r="A367" s="244"/>
      <c r="C367" s="263"/>
      <c r="D367" s="264"/>
      <c r="E367" s="244"/>
      <c r="F367" s="244"/>
      <c r="G367" s="244"/>
      <c r="H367" s="244"/>
      <c r="K367" s="265"/>
      <c r="S367" s="244"/>
    </row>
    <row r="368" spans="1:19" ht="15.75" customHeight="1" x14ac:dyDescent="0.25">
      <c r="A368" s="244"/>
      <c r="C368" s="263"/>
      <c r="D368" s="264"/>
      <c r="E368" s="244"/>
      <c r="F368" s="244"/>
      <c r="G368" s="244"/>
      <c r="H368" s="244"/>
      <c r="K368" s="265"/>
      <c r="S368" s="244"/>
    </row>
    <row r="369" spans="1:19" ht="15.75" customHeight="1" x14ac:dyDescent="0.25">
      <c r="A369" s="244"/>
      <c r="C369" s="263"/>
      <c r="D369" s="264"/>
      <c r="E369" s="244"/>
      <c r="F369" s="244"/>
      <c r="G369" s="244"/>
      <c r="H369" s="244"/>
      <c r="K369" s="265"/>
      <c r="S369" s="244"/>
    </row>
    <row r="370" spans="1:19" ht="15.75" customHeight="1" x14ac:dyDescent="0.25">
      <c r="A370" s="244"/>
      <c r="C370" s="263"/>
      <c r="D370" s="264"/>
      <c r="E370" s="244"/>
      <c r="F370" s="244"/>
      <c r="G370" s="244"/>
      <c r="H370" s="244"/>
      <c r="K370" s="265"/>
      <c r="S370" s="244"/>
    </row>
    <row r="371" spans="1:19" ht="15.75" customHeight="1" x14ac:dyDescent="0.25">
      <c r="A371" s="244"/>
      <c r="C371" s="263"/>
      <c r="D371" s="264"/>
      <c r="E371" s="244"/>
      <c r="F371" s="244"/>
      <c r="G371" s="244"/>
      <c r="H371" s="244"/>
      <c r="K371" s="265"/>
      <c r="S371" s="244"/>
    </row>
    <row r="372" spans="1:19" ht="15.75" customHeight="1" x14ac:dyDescent="0.25">
      <c r="A372" s="244"/>
      <c r="C372" s="263"/>
      <c r="D372" s="264"/>
      <c r="E372" s="244"/>
      <c r="F372" s="244"/>
      <c r="G372" s="244"/>
      <c r="H372" s="244"/>
      <c r="K372" s="265"/>
      <c r="S372" s="244"/>
    </row>
    <row r="373" spans="1:19" ht="15.75" customHeight="1" x14ac:dyDescent="0.25">
      <c r="A373" s="244"/>
      <c r="C373" s="263"/>
      <c r="D373" s="264"/>
      <c r="E373" s="244"/>
      <c r="F373" s="244"/>
      <c r="G373" s="244"/>
      <c r="H373" s="244"/>
      <c r="K373" s="265"/>
      <c r="S373" s="244"/>
    </row>
    <row r="374" spans="1:19" ht="15.75" customHeight="1" x14ac:dyDescent="0.25">
      <c r="A374" s="244"/>
      <c r="C374" s="263"/>
      <c r="D374" s="264"/>
      <c r="E374" s="244"/>
      <c r="F374" s="244"/>
      <c r="G374" s="244"/>
      <c r="H374" s="244"/>
      <c r="K374" s="265"/>
      <c r="S374" s="244"/>
    </row>
    <row r="375" spans="1:19" ht="15.75" customHeight="1" x14ac:dyDescent="0.25">
      <c r="A375" s="244"/>
      <c r="C375" s="263"/>
      <c r="D375" s="264"/>
      <c r="E375" s="244"/>
      <c r="F375" s="244"/>
      <c r="G375" s="244"/>
      <c r="H375" s="244"/>
      <c r="K375" s="265"/>
      <c r="S375" s="244"/>
    </row>
    <row r="376" spans="1:19" ht="15.75" customHeight="1" x14ac:dyDescent="0.25">
      <c r="A376" s="244"/>
      <c r="C376" s="263"/>
      <c r="D376" s="264"/>
      <c r="E376" s="244"/>
      <c r="F376" s="244"/>
      <c r="G376" s="244"/>
      <c r="H376" s="244"/>
      <c r="K376" s="265"/>
      <c r="S376" s="244"/>
    </row>
    <row r="377" spans="1:19" ht="15.75" customHeight="1" x14ac:dyDescent="0.25">
      <c r="A377" s="244"/>
      <c r="C377" s="263"/>
      <c r="D377" s="264"/>
      <c r="E377" s="244"/>
      <c r="F377" s="244"/>
      <c r="G377" s="244"/>
      <c r="H377" s="244"/>
      <c r="K377" s="265"/>
      <c r="S377" s="244"/>
    </row>
    <row r="378" spans="1:19" ht="15.75" customHeight="1" x14ac:dyDescent="0.25">
      <c r="A378" s="244"/>
      <c r="C378" s="263"/>
      <c r="D378" s="264"/>
      <c r="E378" s="244"/>
      <c r="F378" s="244"/>
      <c r="G378" s="244"/>
      <c r="H378" s="244"/>
      <c r="K378" s="265"/>
      <c r="S378" s="244"/>
    </row>
    <row r="379" spans="1:19" ht="15.75" customHeight="1" x14ac:dyDescent="0.25">
      <c r="A379" s="244"/>
      <c r="C379" s="263"/>
      <c r="D379" s="264"/>
      <c r="E379" s="244"/>
      <c r="F379" s="244"/>
      <c r="G379" s="244"/>
      <c r="H379" s="244"/>
      <c r="K379" s="265"/>
      <c r="S379" s="244"/>
    </row>
    <row r="380" spans="1:19" ht="15.75" customHeight="1" x14ac:dyDescent="0.25">
      <c r="A380" s="244"/>
      <c r="C380" s="263"/>
      <c r="D380" s="264"/>
      <c r="E380" s="244"/>
      <c r="F380" s="244"/>
      <c r="G380" s="244"/>
      <c r="H380" s="244"/>
      <c r="K380" s="265"/>
      <c r="S380" s="244"/>
    </row>
    <row r="381" spans="1:19" ht="15.75" customHeight="1" x14ac:dyDescent="0.25">
      <c r="A381" s="244"/>
      <c r="C381" s="263"/>
      <c r="D381" s="264"/>
      <c r="E381" s="244"/>
      <c r="F381" s="244"/>
      <c r="G381" s="244"/>
      <c r="H381" s="244"/>
      <c r="K381" s="265"/>
      <c r="S381" s="244"/>
    </row>
    <row r="382" spans="1:19" ht="15.75" customHeight="1" x14ac:dyDescent="0.25">
      <c r="A382" s="244"/>
      <c r="C382" s="263"/>
      <c r="D382" s="264"/>
      <c r="E382" s="244"/>
      <c r="F382" s="244"/>
      <c r="G382" s="244"/>
      <c r="H382" s="244"/>
      <c r="K382" s="265"/>
      <c r="S382" s="244"/>
    </row>
    <row r="383" spans="1:19" ht="15.75" customHeight="1" x14ac:dyDescent="0.25">
      <c r="A383" s="244"/>
      <c r="C383" s="263"/>
      <c r="D383" s="264"/>
      <c r="E383" s="244"/>
      <c r="F383" s="244"/>
      <c r="G383" s="244"/>
      <c r="H383" s="244"/>
      <c r="K383" s="265"/>
      <c r="S383" s="244"/>
    </row>
    <row r="384" spans="1:19" ht="15.75" customHeight="1" x14ac:dyDescent="0.25">
      <c r="A384" s="244"/>
      <c r="C384" s="263"/>
      <c r="D384" s="264"/>
      <c r="E384" s="244"/>
      <c r="F384" s="244"/>
      <c r="G384" s="244"/>
      <c r="H384" s="244"/>
      <c r="K384" s="265"/>
      <c r="S384" s="244"/>
    </row>
    <row r="385" spans="1:19" ht="15.75" customHeight="1" x14ac:dyDescent="0.25">
      <c r="A385" s="244"/>
      <c r="C385" s="263"/>
      <c r="D385" s="264"/>
      <c r="E385" s="244"/>
      <c r="F385" s="244"/>
      <c r="G385" s="244"/>
      <c r="H385" s="244"/>
      <c r="K385" s="265"/>
      <c r="S385" s="244"/>
    </row>
    <row r="386" spans="1:19" ht="15.75" customHeight="1" x14ac:dyDescent="0.25">
      <c r="A386" s="244"/>
      <c r="C386" s="263"/>
      <c r="D386" s="264"/>
      <c r="E386" s="244"/>
      <c r="F386" s="244"/>
      <c r="G386" s="244"/>
      <c r="H386" s="244"/>
      <c r="K386" s="265"/>
      <c r="S386" s="244"/>
    </row>
    <row r="387" spans="1:19" ht="15.75" customHeight="1" x14ac:dyDescent="0.25">
      <c r="A387" s="244"/>
      <c r="C387" s="263"/>
      <c r="D387" s="264"/>
      <c r="E387" s="244"/>
      <c r="F387" s="244"/>
      <c r="G387" s="244"/>
      <c r="H387" s="244"/>
      <c r="K387" s="265"/>
      <c r="S387" s="244"/>
    </row>
    <row r="388" spans="1:19" ht="15.75" customHeight="1" x14ac:dyDescent="0.25">
      <c r="A388" s="244"/>
      <c r="C388" s="263"/>
      <c r="D388" s="264"/>
      <c r="E388" s="244"/>
      <c r="F388" s="244"/>
      <c r="G388" s="244"/>
      <c r="H388" s="244"/>
      <c r="K388" s="265"/>
      <c r="S388" s="244"/>
    </row>
    <row r="389" spans="1:19" ht="15.75" customHeight="1" x14ac:dyDescent="0.25">
      <c r="A389" s="244"/>
      <c r="C389" s="263"/>
      <c r="D389" s="264"/>
      <c r="E389" s="244"/>
      <c r="F389" s="244"/>
      <c r="G389" s="244"/>
      <c r="H389" s="244"/>
      <c r="K389" s="265"/>
      <c r="S389" s="244"/>
    </row>
    <row r="390" spans="1:19" ht="15.75" customHeight="1" x14ac:dyDescent="0.25">
      <c r="A390" s="244"/>
      <c r="C390" s="263"/>
      <c r="D390" s="264"/>
      <c r="E390" s="244"/>
      <c r="F390" s="244"/>
      <c r="G390" s="244"/>
      <c r="H390" s="244"/>
      <c r="K390" s="265"/>
      <c r="S390" s="244"/>
    </row>
    <row r="391" spans="1:19" ht="15.75" customHeight="1" x14ac:dyDescent="0.25">
      <c r="A391" s="244"/>
      <c r="C391" s="263"/>
      <c r="D391" s="264"/>
      <c r="E391" s="244"/>
      <c r="F391" s="244"/>
      <c r="G391" s="244"/>
      <c r="H391" s="244"/>
      <c r="K391" s="265"/>
      <c r="S391" s="244"/>
    </row>
    <row r="392" spans="1:19" ht="15.75" customHeight="1" x14ac:dyDescent="0.25">
      <c r="A392" s="244"/>
      <c r="C392" s="263"/>
      <c r="D392" s="264"/>
      <c r="E392" s="244"/>
      <c r="F392" s="244"/>
      <c r="G392" s="244"/>
      <c r="H392" s="244"/>
      <c r="K392" s="265"/>
      <c r="S392" s="244"/>
    </row>
    <row r="393" spans="1:19" ht="15.75" customHeight="1" x14ac:dyDescent="0.25">
      <c r="A393" s="244"/>
      <c r="C393" s="263"/>
      <c r="D393" s="264"/>
      <c r="E393" s="244"/>
      <c r="F393" s="244"/>
      <c r="G393" s="244"/>
      <c r="H393" s="244"/>
      <c r="K393" s="265"/>
      <c r="S393" s="244"/>
    </row>
    <row r="394" spans="1:19" ht="15.75" customHeight="1" x14ac:dyDescent="0.25">
      <c r="A394" s="244"/>
      <c r="C394" s="263"/>
      <c r="D394" s="264"/>
      <c r="E394" s="244"/>
      <c r="F394" s="244"/>
      <c r="G394" s="244"/>
      <c r="H394" s="244"/>
      <c r="K394" s="265"/>
      <c r="S394" s="244"/>
    </row>
    <row r="395" spans="1:19" ht="15.75" customHeight="1" x14ac:dyDescent="0.25">
      <c r="A395" s="244"/>
      <c r="C395" s="263"/>
      <c r="D395" s="264"/>
      <c r="E395" s="244"/>
      <c r="F395" s="244"/>
      <c r="G395" s="244"/>
      <c r="H395" s="244"/>
      <c r="K395" s="265"/>
      <c r="S395" s="244"/>
    </row>
    <row r="396" spans="1:19" ht="15.75" customHeight="1" x14ac:dyDescent="0.25">
      <c r="A396" s="244"/>
      <c r="C396" s="263"/>
      <c r="D396" s="264"/>
      <c r="E396" s="244"/>
      <c r="F396" s="244"/>
      <c r="G396" s="244"/>
      <c r="H396" s="244"/>
      <c r="K396" s="265"/>
      <c r="S396" s="244"/>
    </row>
    <row r="397" spans="1:19" ht="15.75" customHeight="1" x14ac:dyDescent="0.25">
      <c r="A397" s="244"/>
      <c r="C397" s="263"/>
      <c r="D397" s="264"/>
      <c r="E397" s="244"/>
      <c r="F397" s="244"/>
      <c r="G397" s="244"/>
      <c r="H397" s="244"/>
      <c r="K397" s="265"/>
      <c r="S397" s="244"/>
    </row>
    <row r="398" spans="1:19" ht="15.75" customHeight="1" x14ac:dyDescent="0.25">
      <c r="A398" s="244"/>
      <c r="C398" s="263"/>
      <c r="D398" s="264"/>
      <c r="E398" s="244"/>
      <c r="F398" s="244"/>
      <c r="G398" s="244"/>
      <c r="H398" s="244"/>
      <c r="K398" s="265"/>
      <c r="S398" s="244"/>
    </row>
    <row r="399" spans="1:19" ht="15.75" customHeight="1" x14ac:dyDescent="0.25">
      <c r="A399" s="244"/>
      <c r="C399" s="263"/>
      <c r="D399" s="264"/>
      <c r="E399" s="244"/>
      <c r="F399" s="244"/>
      <c r="G399" s="244"/>
      <c r="H399" s="244"/>
      <c r="K399" s="265"/>
      <c r="S399" s="244"/>
    </row>
    <row r="400" spans="1:19" ht="15.75" customHeight="1" x14ac:dyDescent="0.25">
      <c r="A400" s="244"/>
      <c r="C400" s="263"/>
      <c r="D400" s="264"/>
      <c r="E400" s="244"/>
      <c r="F400" s="244"/>
      <c r="G400" s="244"/>
      <c r="H400" s="244"/>
      <c r="K400" s="265"/>
      <c r="S400" s="244"/>
    </row>
    <row r="401" spans="1:19" ht="15.75" customHeight="1" x14ac:dyDescent="0.25">
      <c r="A401" s="244"/>
      <c r="C401" s="263"/>
      <c r="D401" s="264"/>
      <c r="E401" s="244"/>
      <c r="F401" s="244"/>
      <c r="G401" s="244"/>
      <c r="H401" s="244"/>
      <c r="K401" s="265"/>
      <c r="S401" s="244"/>
    </row>
    <row r="402" spans="1:19" ht="15.75" customHeight="1" x14ac:dyDescent="0.25">
      <c r="A402" s="244"/>
      <c r="C402" s="263"/>
      <c r="D402" s="264"/>
      <c r="E402" s="244"/>
      <c r="F402" s="244"/>
      <c r="G402" s="244"/>
      <c r="H402" s="244"/>
      <c r="K402" s="265"/>
      <c r="S402" s="244"/>
    </row>
    <row r="403" spans="1:19" ht="15.75" customHeight="1" x14ac:dyDescent="0.25">
      <c r="A403" s="244"/>
      <c r="C403" s="263"/>
      <c r="D403" s="264"/>
      <c r="E403" s="244"/>
      <c r="F403" s="244"/>
      <c r="G403" s="244"/>
      <c r="H403" s="244"/>
      <c r="K403" s="265"/>
      <c r="S403" s="244"/>
    </row>
    <row r="404" spans="1:19" ht="15.75" customHeight="1" x14ac:dyDescent="0.25">
      <c r="A404" s="244"/>
      <c r="C404" s="263"/>
      <c r="D404" s="264"/>
      <c r="E404" s="244"/>
      <c r="F404" s="244"/>
      <c r="G404" s="244"/>
      <c r="H404" s="244"/>
      <c r="K404" s="265"/>
      <c r="S404" s="244"/>
    </row>
    <row r="405" spans="1:19" ht="15.75" customHeight="1" x14ac:dyDescent="0.25">
      <c r="A405" s="244"/>
      <c r="C405" s="263"/>
      <c r="D405" s="264"/>
      <c r="E405" s="244"/>
      <c r="F405" s="244"/>
      <c r="G405" s="244"/>
      <c r="H405" s="244"/>
      <c r="K405" s="265"/>
      <c r="S405" s="244"/>
    </row>
    <row r="406" spans="1:19" ht="15.75" customHeight="1" x14ac:dyDescent="0.25">
      <c r="A406" s="244"/>
      <c r="C406" s="263"/>
      <c r="D406" s="264"/>
      <c r="E406" s="244"/>
      <c r="F406" s="244"/>
      <c r="G406" s="244"/>
      <c r="H406" s="244"/>
      <c r="K406" s="265"/>
      <c r="S406" s="244"/>
    </row>
    <row r="407" spans="1:19" ht="15.75" customHeight="1" x14ac:dyDescent="0.25">
      <c r="A407" s="244"/>
      <c r="C407" s="263"/>
      <c r="D407" s="264"/>
      <c r="E407" s="244"/>
      <c r="F407" s="244"/>
      <c r="G407" s="244"/>
      <c r="H407" s="244"/>
      <c r="K407" s="265"/>
      <c r="S407" s="244"/>
    </row>
    <row r="408" spans="1:19" ht="15.75" customHeight="1" x14ac:dyDescent="0.25">
      <c r="A408" s="244"/>
      <c r="C408" s="263"/>
      <c r="D408" s="264"/>
      <c r="E408" s="244"/>
      <c r="F408" s="244"/>
      <c r="G408" s="244"/>
      <c r="H408" s="244"/>
      <c r="K408" s="265"/>
      <c r="S408" s="244"/>
    </row>
    <row r="409" spans="1:19" ht="15.75" customHeight="1" x14ac:dyDescent="0.25">
      <c r="A409" s="244"/>
      <c r="C409" s="263"/>
      <c r="D409" s="264"/>
      <c r="E409" s="244"/>
      <c r="F409" s="244"/>
      <c r="G409" s="244"/>
      <c r="H409" s="244"/>
      <c r="K409" s="265"/>
      <c r="S409" s="244"/>
    </row>
    <row r="410" spans="1:19" ht="15.75" customHeight="1" x14ac:dyDescent="0.25">
      <c r="A410" s="244"/>
      <c r="C410" s="263"/>
      <c r="D410" s="264"/>
      <c r="E410" s="244"/>
      <c r="F410" s="244"/>
      <c r="G410" s="244"/>
      <c r="H410" s="244"/>
      <c r="K410" s="265"/>
      <c r="S410" s="244"/>
    </row>
    <row r="411" spans="1:19" ht="15.75" customHeight="1" x14ac:dyDescent="0.25">
      <c r="A411" s="244"/>
      <c r="C411" s="263"/>
      <c r="D411" s="264"/>
      <c r="E411" s="244"/>
      <c r="F411" s="244"/>
      <c r="G411" s="244"/>
      <c r="H411" s="244"/>
      <c r="K411" s="265"/>
      <c r="S411" s="244"/>
    </row>
    <row r="412" spans="1:19" ht="15.75" customHeight="1" x14ac:dyDescent="0.25">
      <c r="A412" s="244"/>
      <c r="C412" s="263"/>
      <c r="D412" s="264"/>
      <c r="E412" s="244"/>
      <c r="F412" s="244"/>
      <c r="G412" s="244"/>
      <c r="H412" s="244"/>
      <c r="K412" s="265"/>
      <c r="S412" s="244"/>
    </row>
    <row r="413" spans="1:19" ht="15.75" customHeight="1" x14ac:dyDescent="0.25">
      <c r="A413" s="244"/>
      <c r="C413" s="263"/>
      <c r="D413" s="264"/>
      <c r="E413" s="244"/>
      <c r="F413" s="244"/>
      <c r="G413" s="244"/>
      <c r="H413" s="244"/>
      <c r="K413" s="265"/>
      <c r="S413" s="244"/>
    </row>
    <row r="414" spans="1:19" ht="15.75" customHeight="1" x14ac:dyDescent="0.25">
      <c r="A414" s="244"/>
      <c r="C414" s="263"/>
      <c r="D414" s="264"/>
      <c r="E414" s="244"/>
      <c r="F414" s="244"/>
      <c r="G414" s="244"/>
      <c r="H414" s="244"/>
      <c r="K414" s="265"/>
      <c r="S414" s="244"/>
    </row>
    <row r="415" spans="1:19" ht="15.75" customHeight="1" x14ac:dyDescent="0.25">
      <c r="A415" s="244"/>
      <c r="C415" s="263"/>
      <c r="D415" s="264"/>
      <c r="E415" s="244"/>
      <c r="F415" s="244"/>
      <c r="G415" s="244"/>
      <c r="H415" s="244"/>
      <c r="K415" s="265"/>
      <c r="S415" s="244"/>
    </row>
    <row r="416" spans="1:19" ht="15.75" customHeight="1" x14ac:dyDescent="0.25">
      <c r="A416" s="244"/>
      <c r="C416" s="263"/>
      <c r="D416" s="264"/>
      <c r="E416" s="244"/>
      <c r="F416" s="244"/>
      <c r="G416" s="244"/>
      <c r="H416" s="244"/>
      <c r="K416" s="265"/>
      <c r="S416" s="244"/>
    </row>
    <row r="417" spans="1:19" ht="15.75" customHeight="1" x14ac:dyDescent="0.25">
      <c r="A417" s="244"/>
      <c r="C417" s="263"/>
      <c r="D417" s="264"/>
      <c r="E417" s="244"/>
      <c r="F417" s="244"/>
      <c r="G417" s="244"/>
      <c r="H417" s="244"/>
      <c r="K417" s="265"/>
      <c r="S417" s="244"/>
    </row>
    <row r="418" spans="1:19" ht="15.75" customHeight="1" x14ac:dyDescent="0.25">
      <c r="A418" s="244"/>
      <c r="C418" s="263"/>
      <c r="D418" s="264"/>
      <c r="E418" s="244"/>
      <c r="F418" s="244"/>
      <c r="G418" s="244"/>
      <c r="H418" s="244"/>
      <c r="K418" s="265"/>
      <c r="S418" s="244"/>
    </row>
    <row r="419" spans="1:19" ht="15.75" customHeight="1" x14ac:dyDescent="0.25">
      <c r="A419" s="244"/>
      <c r="C419" s="263"/>
      <c r="D419" s="264"/>
      <c r="E419" s="244"/>
      <c r="F419" s="244"/>
      <c r="G419" s="244"/>
      <c r="H419" s="244"/>
      <c r="K419" s="265"/>
      <c r="S419" s="244"/>
    </row>
    <row r="420" spans="1:19" ht="15.75" customHeight="1" x14ac:dyDescent="0.25">
      <c r="A420" s="244"/>
      <c r="C420" s="263"/>
      <c r="D420" s="264"/>
      <c r="E420" s="244"/>
      <c r="F420" s="244"/>
      <c r="G420" s="244"/>
      <c r="H420" s="244"/>
      <c r="K420" s="265"/>
      <c r="S420" s="244"/>
    </row>
    <row r="421" spans="1:19" ht="15.75" customHeight="1" x14ac:dyDescent="0.25">
      <c r="A421" s="244"/>
      <c r="C421" s="263"/>
      <c r="D421" s="264"/>
      <c r="E421" s="244"/>
      <c r="F421" s="244"/>
      <c r="G421" s="244"/>
      <c r="H421" s="244"/>
      <c r="K421" s="265"/>
      <c r="S421" s="244"/>
    </row>
    <row r="422" spans="1:19" ht="15.75" customHeight="1" x14ac:dyDescent="0.25">
      <c r="A422" s="244"/>
      <c r="C422" s="263"/>
      <c r="D422" s="264"/>
      <c r="E422" s="244"/>
      <c r="F422" s="244"/>
      <c r="G422" s="244"/>
      <c r="H422" s="244"/>
      <c r="K422" s="265"/>
      <c r="S422" s="244"/>
    </row>
    <row r="423" spans="1:19" ht="15.75" customHeight="1" x14ac:dyDescent="0.25">
      <c r="A423" s="244"/>
      <c r="C423" s="263"/>
      <c r="D423" s="264"/>
      <c r="E423" s="244"/>
      <c r="F423" s="244"/>
      <c r="G423" s="244"/>
      <c r="H423" s="244"/>
      <c r="K423" s="265"/>
      <c r="S423" s="244"/>
    </row>
    <row r="424" spans="1:19" ht="15.75" customHeight="1" x14ac:dyDescent="0.25">
      <c r="A424" s="244"/>
      <c r="C424" s="263"/>
      <c r="D424" s="264"/>
      <c r="E424" s="244"/>
      <c r="F424" s="244"/>
      <c r="G424" s="244"/>
      <c r="H424" s="244"/>
      <c r="K424" s="265"/>
      <c r="S424" s="244"/>
    </row>
    <row r="425" spans="1:19" ht="15.75" customHeight="1" x14ac:dyDescent="0.25">
      <c r="A425" s="244"/>
      <c r="C425" s="263"/>
      <c r="D425" s="264"/>
      <c r="E425" s="244"/>
      <c r="F425" s="244"/>
      <c r="G425" s="244"/>
      <c r="H425" s="244"/>
      <c r="K425" s="265"/>
      <c r="S425" s="244"/>
    </row>
    <row r="426" spans="1:19" ht="15.75" customHeight="1" x14ac:dyDescent="0.25">
      <c r="A426" s="244"/>
      <c r="C426" s="263"/>
      <c r="D426" s="264"/>
      <c r="E426" s="244"/>
      <c r="F426" s="244"/>
      <c r="G426" s="244"/>
      <c r="H426" s="244"/>
      <c r="K426" s="265"/>
      <c r="S426" s="244"/>
    </row>
    <row r="427" spans="1:19" ht="15.75" customHeight="1" x14ac:dyDescent="0.25">
      <c r="A427" s="244"/>
      <c r="C427" s="263"/>
      <c r="D427" s="264"/>
      <c r="E427" s="244"/>
      <c r="F427" s="244"/>
      <c r="G427" s="244"/>
      <c r="H427" s="244"/>
      <c r="K427" s="265"/>
      <c r="S427" s="244"/>
    </row>
    <row r="428" spans="1:19" ht="15.75" customHeight="1" x14ac:dyDescent="0.25">
      <c r="A428" s="244"/>
      <c r="C428" s="263"/>
      <c r="D428" s="264"/>
      <c r="E428" s="244"/>
      <c r="F428" s="244"/>
      <c r="G428" s="244"/>
      <c r="H428" s="244"/>
      <c r="K428" s="265"/>
      <c r="S428" s="244"/>
    </row>
    <row r="429" spans="1:19" ht="15.75" customHeight="1" x14ac:dyDescent="0.25">
      <c r="A429" s="244"/>
      <c r="C429" s="263"/>
      <c r="D429" s="264"/>
      <c r="E429" s="244"/>
      <c r="F429" s="244"/>
      <c r="G429" s="244"/>
      <c r="H429" s="244"/>
      <c r="K429" s="265"/>
      <c r="S429" s="244"/>
    </row>
    <row r="430" spans="1:19" ht="15.75" customHeight="1" x14ac:dyDescent="0.25">
      <c r="A430" s="244"/>
      <c r="C430" s="263"/>
      <c r="D430" s="264"/>
      <c r="E430" s="244"/>
      <c r="F430" s="244"/>
      <c r="G430" s="244"/>
      <c r="H430" s="244"/>
      <c r="K430" s="265"/>
      <c r="S430" s="244"/>
    </row>
    <row r="431" spans="1:19" ht="15.75" customHeight="1" x14ac:dyDescent="0.25">
      <c r="A431" s="244"/>
      <c r="C431" s="263"/>
      <c r="D431" s="264"/>
      <c r="E431" s="244"/>
      <c r="F431" s="244"/>
      <c r="G431" s="244"/>
      <c r="H431" s="244"/>
      <c r="K431" s="265"/>
      <c r="S431" s="244"/>
    </row>
    <row r="432" spans="1:19" ht="15.75" customHeight="1" x14ac:dyDescent="0.25">
      <c r="A432" s="244"/>
      <c r="C432" s="263"/>
      <c r="D432" s="264"/>
      <c r="E432" s="244"/>
      <c r="F432" s="244"/>
      <c r="G432" s="244"/>
      <c r="H432" s="244"/>
      <c r="K432" s="265"/>
      <c r="S432" s="244"/>
    </row>
    <row r="433" spans="1:19" ht="15.75" customHeight="1" x14ac:dyDescent="0.25">
      <c r="A433" s="244"/>
      <c r="C433" s="263"/>
      <c r="D433" s="264"/>
      <c r="E433" s="244"/>
      <c r="F433" s="244"/>
      <c r="G433" s="244"/>
      <c r="H433" s="244"/>
      <c r="K433" s="265"/>
      <c r="S433" s="244"/>
    </row>
    <row r="434" spans="1:19" ht="15.75" customHeight="1" x14ac:dyDescent="0.25">
      <c r="A434" s="244"/>
      <c r="C434" s="263"/>
      <c r="D434" s="264"/>
      <c r="E434" s="244"/>
      <c r="F434" s="244"/>
      <c r="G434" s="244"/>
      <c r="H434" s="244"/>
      <c r="K434" s="265"/>
      <c r="S434" s="244"/>
    </row>
    <row r="435" spans="1:19" ht="15.75" customHeight="1" x14ac:dyDescent="0.25">
      <c r="A435" s="244"/>
      <c r="C435" s="263"/>
      <c r="D435" s="264"/>
      <c r="E435" s="244"/>
      <c r="F435" s="244"/>
      <c r="G435" s="244"/>
      <c r="H435" s="244"/>
      <c r="K435" s="265"/>
      <c r="S435" s="244"/>
    </row>
    <row r="436" spans="1:19" ht="15.75" customHeight="1" x14ac:dyDescent="0.25">
      <c r="A436" s="244"/>
      <c r="C436" s="263"/>
      <c r="D436" s="264"/>
      <c r="E436" s="244"/>
      <c r="F436" s="244"/>
      <c r="G436" s="244"/>
      <c r="H436" s="244"/>
      <c r="K436" s="265"/>
      <c r="S436" s="244"/>
    </row>
    <row r="437" spans="1:19" ht="15.75" customHeight="1" x14ac:dyDescent="0.25">
      <c r="A437" s="244"/>
      <c r="C437" s="263"/>
      <c r="D437" s="264"/>
      <c r="E437" s="244"/>
      <c r="F437" s="244"/>
      <c r="G437" s="244"/>
      <c r="H437" s="244"/>
      <c r="K437" s="265"/>
      <c r="S437" s="244"/>
    </row>
    <row r="438" spans="1:19" ht="15.75" customHeight="1" x14ac:dyDescent="0.25">
      <c r="A438" s="244"/>
      <c r="C438" s="263"/>
      <c r="D438" s="264"/>
      <c r="E438" s="244"/>
      <c r="F438" s="244"/>
      <c r="G438" s="244"/>
      <c r="H438" s="244"/>
      <c r="K438" s="265"/>
      <c r="S438" s="244"/>
    </row>
    <row r="439" spans="1:19" ht="15.75" customHeight="1" x14ac:dyDescent="0.25">
      <c r="A439" s="244"/>
      <c r="C439" s="263"/>
      <c r="D439" s="264"/>
      <c r="E439" s="244"/>
      <c r="F439" s="244"/>
      <c r="G439" s="244"/>
      <c r="H439" s="244"/>
      <c r="K439" s="265"/>
      <c r="S439" s="244"/>
    </row>
    <row r="440" spans="1:19" ht="15.75" customHeight="1" x14ac:dyDescent="0.25">
      <c r="A440" s="244"/>
      <c r="C440" s="263"/>
      <c r="D440" s="264"/>
      <c r="E440" s="244"/>
      <c r="F440" s="244"/>
      <c r="G440" s="244"/>
      <c r="H440" s="244"/>
      <c r="K440" s="265"/>
      <c r="S440" s="244"/>
    </row>
    <row r="441" spans="1:19" ht="15.75" customHeight="1" x14ac:dyDescent="0.25">
      <c r="A441" s="244"/>
      <c r="C441" s="263"/>
      <c r="D441" s="264"/>
      <c r="E441" s="244"/>
      <c r="F441" s="244"/>
      <c r="G441" s="244"/>
      <c r="H441" s="244"/>
      <c r="K441" s="265"/>
      <c r="S441" s="244"/>
    </row>
    <row r="442" spans="1:19" ht="15.75" customHeight="1" x14ac:dyDescent="0.25">
      <c r="A442" s="244"/>
      <c r="C442" s="263"/>
      <c r="D442" s="264"/>
      <c r="E442" s="244"/>
      <c r="F442" s="244"/>
      <c r="G442" s="244"/>
      <c r="H442" s="244"/>
      <c r="K442" s="265"/>
      <c r="S442" s="244"/>
    </row>
    <row r="443" spans="1:19" ht="15.75" customHeight="1" x14ac:dyDescent="0.25">
      <c r="A443" s="244"/>
      <c r="C443" s="263"/>
      <c r="D443" s="264"/>
      <c r="E443" s="244"/>
      <c r="F443" s="244"/>
      <c r="G443" s="244"/>
      <c r="H443" s="244"/>
      <c r="K443" s="265"/>
      <c r="S443" s="244"/>
    </row>
    <row r="444" spans="1:19" ht="15.75" customHeight="1" x14ac:dyDescent="0.25">
      <c r="A444" s="244"/>
      <c r="C444" s="263"/>
      <c r="D444" s="264"/>
      <c r="E444" s="244"/>
      <c r="F444" s="244"/>
      <c r="G444" s="244"/>
      <c r="H444" s="244"/>
      <c r="K444" s="265"/>
      <c r="S444" s="244"/>
    </row>
    <row r="445" spans="1:19" ht="15.75" customHeight="1" x14ac:dyDescent="0.25">
      <c r="A445" s="244"/>
      <c r="C445" s="263"/>
      <c r="D445" s="264"/>
      <c r="E445" s="244"/>
      <c r="F445" s="244"/>
      <c r="G445" s="244"/>
      <c r="H445" s="244"/>
      <c r="K445" s="265"/>
      <c r="S445" s="244"/>
    </row>
    <row r="446" spans="1:19" ht="15.75" customHeight="1" x14ac:dyDescent="0.25">
      <c r="A446" s="244"/>
      <c r="C446" s="263"/>
      <c r="D446" s="264"/>
      <c r="E446" s="244"/>
      <c r="F446" s="244"/>
      <c r="G446" s="244"/>
      <c r="H446" s="244"/>
      <c r="K446" s="265"/>
      <c r="S446" s="244"/>
    </row>
    <row r="447" spans="1:19" ht="15.75" customHeight="1" x14ac:dyDescent="0.25">
      <c r="A447" s="244"/>
      <c r="C447" s="263"/>
      <c r="D447" s="264"/>
      <c r="E447" s="244"/>
      <c r="F447" s="244"/>
      <c r="G447" s="244"/>
      <c r="H447" s="244"/>
      <c r="K447" s="265"/>
      <c r="S447" s="244"/>
    </row>
    <row r="448" spans="1:19" ht="15.75" customHeight="1" x14ac:dyDescent="0.25">
      <c r="A448" s="244"/>
      <c r="C448" s="263"/>
      <c r="D448" s="264"/>
      <c r="E448" s="244"/>
      <c r="F448" s="244"/>
      <c r="G448" s="244"/>
      <c r="H448" s="244"/>
      <c r="K448" s="265"/>
      <c r="S448" s="244"/>
    </row>
    <row r="449" spans="1:19" ht="15.75" customHeight="1" x14ac:dyDescent="0.25">
      <c r="A449" s="244"/>
      <c r="C449" s="263"/>
      <c r="D449" s="264"/>
      <c r="E449" s="244"/>
      <c r="F449" s="244"/>
      <c r="G449" s="244"/>
      <c r="H449" s="244"/>
      <c r="K449" s="265"/>
      <c r="S449" s="244"/>
    </row>
    <row r="450" spans="1:19" ht="15.75" customHeight="1" x14ac:dyDescent="0.25">
      <c r="A450" s="244"/>
      <c r="C450" s="263"/>
      <c r="D450" s="264"/>
      <c r="E450" s="244"/>
      <c r="F450" s="244"/>
      <c r="G450" s="244"/>
      <c r="H450" s="244"/>
      <c r="K450" s="265"/>
      <c r="S450" s="244"/>
    </row>
    <row r="451" spans="1:19" ht="15.75" customHeight="1" x14ac:dyDescent="0.25">
      <c r="A451" s="244"/>
      <c r="C451" s="263"/>
      <c r="D451" s="264"/>
      <c r="E451" s="244"/>
      <c r="F451" s="244"/>
      <c r="G451" s="244"/>
      <c r="H451" s="244"/>
      <c r="K451" s="265"/>
      <c r="S451" s="244"/>
    </row>
    <row r="452" spans="1:19" ht="15.75" customHeight="1" x14ac:dyDescent="0.25">
      <c r="A452" s="244"/>
      <c r="C452" s="263"/>
      <c r="D452" s="264"/>
      <c r="E452" s="244"/>
      <c r="F452" s="244"/>
      <c r="G452" s="244"/>
      <c r="H452" s="244"/>
      <c r="K452" s="265"/>
      <c r="S452" s="244"/>
    </row>
    <row r="453" spans="1:19" ht="15.75" customHeight="1" x14ac:dyDescent="0.25">
      <c r="A453" s="244"/>
      <c r="C453" s="263"/>
      <c r="D453" s="264"/>
      <c r="E453" s="244"/>
      <c r="F453" s="244"/>
      <c r="G453" s="244"/>
      <c r="H453" s="244"/>
      <c r="K453" s="265"/>
      <c r="S453" s="244"/>
    </row>
    <row r="454" spans="1:19" ht="15.75" customHeight="1" x14ac:dyDescent="0.25">
      <c r="A454" s="244"/>
      <c r="C454" s="263"/>
      <c r="D454" s="264"/>
      <c r="E454" s="244"/>
      <c r="F454" s="244"/>
      <c r="G454" s="244"/>
      <c r="H454" s="244"/>
      <c r="K454" s="265"/>
      <c r="S454" s="244"/>
    </row>
    <row r="455" spans="1:19" ht="15.75" customHeight="1" x14ac:dyDescent="0.25">
      <c r="A455" s="244"/>
      <c r="C455" s="263"/>
      <c r="D455" s="264"/>
      <c r="E455" s="244"/>
      <c r="F455" s="244"/>
      <c r="G455" s="244"/>
      <c r="H455" s="244"/>
      <c r="K455" s="265"/>
      <c r="S455" s="244"/>
    </row>
    <row r="456" spans="1:19" ht="15.75" customHeight="1" x14ac:dyDescent="0.25">
      <c r="A456" s="244"/>
      <c r="C456" s="263"/>
      <c r="D456" s="264"/>
      <c r="E456" s="244"/>
      <c r="F456" s="244"/>
      <c r="G456" s="244"/>
      <c r="H456" s="244"/>
      <c r="K456" s="265"/>
      <c r="S456" s="244"/>
    </row>
    <row r="457" spans="1:19" ht="15.75" customHeight="1" x14ac:dyDescent="0.25">
      <c r="A457" s="244"/>
      <c r="C457" s="263"/>
      <c r="D457" s="264"/>
      <c r="E457" s="244"/>
      <c r="F457" s="244"/>
      <c r="G457" s="244"/>
      <c r="H457" s="244"/>
      <c r="K457" s="265"/>
      <c r="S457" s="244"/>
    </row>
    <row r="458" spans="1:19" ht="15.75" customHeight="1" x14ac:dyDescent="0.25">
      <c r="A458" s="244"/>
      <c r="C458" s="263"/>
      <c r="D458" s="264"/>
      <c r="E458" s="244"/>
      <c r="F458" s="244"/>
      <c r="G458" s="244"/>
      <c r="H458" s="244"/>
      <c r="K458" s="265"/>
      <c r="S458" s="244"/>
    </row>
    <row r="459" spans="1:19" ht="15.75" customHeight="1" x14ac:dyDescent="0.25">
      <c r="A459" s="244"/>
      <c r="C459" s="263"/>
      <c r="D459" s="264"/>
      <c r="E459" s="244"/>
      <c r="F459" s="244"/>
      <c r="G459" s="244"/>
      <c r="H459" s="244"/>
      <c r="K459" s="265"/>
      <c r="S459" s="244"/>
    </row>
    <row r="460" spans="1:19" ht="15.75" customHeight="1" x14ac:dyDescent="0.25">
      <c r="A460" s="244"/>
      <c r="C460" s="263"/>
      <c r="D460" s="264"/>
      <c r="E460" s="244"/>
      <c r="F460" s="244"/>
      <c r="G460" s="244"/>
      <c r="H460" s="244"/>
      <c r="K460" s="265"/>
      <c r="S460" s="244"/>
    </row>
    <row r="461" spans="1:19" ht="15.75" customHeight="1" x14ac:dyDescent="0.25">
      <c r="A461" s="244"/>
      <c r="C461" s="263"/>
      <c r="D461" s="264"/>
      <c r="E461" s="244"/>
      <c r="F461" s="244"/>
      <c r="G461" s="244"/>
      <c r="H461" s="244"/>
      <c r="K461" s="265"/>
      <c r="S461" s="244"/>
    </row>
    <row r="462" spans="1:19" ht="15.75" customHeight="1" x14ac:dyDescent="0.25">
      <c r="A462" s="244"/>
      <c r="C462" s="263"/>
      <c r="D462" s="264"/>
      <c r="E462" s="244"/>
      <c r="F462" s="244"/>
      <c r="G462" s="244"/>
      <c r="H462" s="244"/>
      <c r="K462" s="265"/>
      <c r="S462" s="244"/>
    </row>
    <row r="463" spans="1:19" ht="15.75" customHeight="1" x14ac:dyDescent="0.25">
      <c r="A463" s="244"/>
      <c r="C463" s="263"/>
      <c r="D463" s="264"/>
      <c r="E463" s="244"/>
      <c r="F463" s="244"/>
      <c r="G463" s="244"/>
      <c r="H463" s="244"/>
      <c r="K463" s="265"/>
      <c r="S463" s="244"/>
    </row>
    <row r="464" spans="1:19" ht="15.75" customHeight="1" x14ac:dyDescent="0.25">
      <c r="A464" s="244"/>
      <c r="C464" s="263"/>
      <c r="D464" s="264"/>
      <c r="E464" s="244"/>
      <c r="F464" s="244"/>
      <c r="G464" s="244"/>
      <c r="H464" s="244"/>
      <c r="K464" s="265"/>
      <c r="S464" s="244"/>
    </row>
    <row r="465" spans="1:19" ht="15.75" customHeight="1" x14ac:dyDescent="0.25">
      <c r="A465" s="244"/>
      <c r="C465" s="263"/>
      <c r="D465" s="264"/>
      <c r="E465" s="244"/>
      <c r="F465" s="244"/>
      <c r="G465" s="244"/>
      <c r="H465" s="244"/>
      <c r="K465" s="265"/>
      <c r="S465" s="244"/>
    </row>
    <row r="466" spans="1:19" ht="15.75" customHeight="1" x14ac:dyDescent="0.25">
      <c r="A466" s="244"/>
      <c r="C466" s="263"/>
      <c r="D466" s="264"/>
      <c r="E466" s="244"/>
      <c r="F466" s="244"/>
      <c r="G466" s="244"/>
      <c r="H466" s="244"/>
      <c r="K466" s="265"/>
      <c r="S466" s="244"/>
    </row>
    <row r="467" spans="1:19" ht="15.75" customHeight="1" x14ac:dyDescent="0.25">
      <c r="A467" s="244"/>
      <c r="C467" s="263"/>
      <c r="D467" s="264"/>
      <c r="E467" s="244"/>
      <c r="F467" s="244"/>
      <c r="G467" s="244"/>
      <c r="H467" s="244"/>
      <c r="K467" s="265"/>
      <c r="S467" s="244"/>
    </row>
    <row r="468" spans="1:19" ht="15.75" customHeight="1" x14ac:dyDescent="0.25">
      <c r="A468" s="244"/>
      <c r="C468" s="263"/>
      <c r="D468" s="264"/>
      <c r="E468" s="244"/>
      <c r="F468" s="244"/>
      <c r="G468" s="244"/>
      <c r="H468" s="244"/>
      <c r="K468" s="265"/>
      <c r="S468" s="244"/>
    </row>
    <row r="469" spans="1:19" ht="15.75" customHeight="1" x14ac:dyDescent="0.25">
      <c r="A469" s="244"/>
      <c r="C469" s="263"/>
      <c r="D469" s="264"/>
      <c r="E469" s="244"/>
      <c r="F469" s="244"/>
      <c r="G469" s="244"/>
      <c r="H469" s="244"/>
      <c r="K469" s="265"/>
      <c r="S469" s="244"/>
    </row>
    <row r="470" spans="1:19" ht="15.75" customHeight="1" x14ac:dyDescent="0.25">
      <c r="A470" s="244"/>
      <c r="C470" s="263"/>
      <c r="D470" s="264"/>
      <c r="E470" s="244"/>
      <c r="F470" s="244"/>
      <c r="G470" s="244"/>
      <c r="H470" s="244"/>
      <c r="K470" s="265"/>
      <c r="S470" s="244"/>
    </row>
    <row r="471" spans="1:19" ht="15.75" customHeight="1" x14ac:dyDescent="0.25">
      <c r="A471" s="244"/>
      <c r="C471" s="263"/>
      <c r="D471" s="264"/>
      <c r="E471" s="244"/>
      <c r="F471" s="244"/>
      <c r="G471" s="244"/>
      <c r="H471" s="244"/>
      <c r="K471" s="265"/>
      <c r="S471" s="244"/>
    </row>
    <row r="472" spans="1:19" ht="15.75" customHeight="1" x14ac:dyDescent="0.25">
      <c r="A472" s="244"/>
      <c r="C472" s="263"/>
      <c r="D472" s="264"/>
      <c r="E472" s="244"/>
      <c r="F472" s="244"/>
      <c r="G472" s="244"/>
      <c r="H472" s="244"/>
      <c r="K472" s="265"/>
      <c r="S472" s="244"/>
    </row>
    <row r="473" spans="1:19" ht="15.75" customHeight="1" x14ac:dyDescent="0.25">
      <c r="A473" s="244"/>
      <c r="C473" s="263"/>
      <c r="D473" s="264"/>
      <c r="E473" s="244"/>
      <c r="F473" s="244"/>
      <c r="G473" s="244"/>
      <c r="H473" s="244"/>
      <c r="K473" s="265"/>
      <c r="S473" s="244"/>
    </row>
    <row r="474" spans="1:19" ht="15.75" customHeight="1" x14ac:dyDescent="0.25">
      <c r="A474" s="244"/>
      <c r="C474" s="263"/>
      <c r="D474" s="264"/>
      <c r="E474" s="244"/>
      <c r="F474" s="244"/>
      <c r="G474" s="244"/>
      <c r="H474" s="244"/>
      <c r="K474" s="265"/>
      <c r="S474" s="244"/>
    </row>
    <row r="475" spans="1:19" ht="15.75" customHeight="1" x14ac:dyDescent="0.25">
      <c r="A475" s="244"/>
      <c r="C475" s="263"/>
      <c r="D475" s="264"/>
      <c r="E475" s="244"/>
      <c r="F475" s="244"/>
      <c r="G475" s="244"/>
      <c r="H475" s="244"/>
      <c r="K475" s="265"/>
      <c r="S475" s="244"/>
    </row>
    <row r="476" spans="1:19" ht="15.75" customHeight="1" x14ac:dyDescent="0.25">
      <c r="A476" s="244"/>
      <c r="C476" s="263"/>
      <c r="D476" s="264"/>
      <c r="E476" s="244"/>
      <c r="F476" s="244"/>
      <c r="G476" s="244"/>
      <c r="H476" s="244"/>
      <c r="K476" s="265"/>
      <c r="S476" s="244"/>
    </row>
    <row r="477" spans="1:19" ht="15.75" customHeight="1" x14ac:dyDescent="0.25">
      <c r="A477" s="244"/>
      <c r="C477" s="263"/>
      <c r="D477" s="264"/>
      <c r="E477" s="244"/>
      <c r="F477" s="244"/>
      <c r="G477" s="244"/>
      <c r="H477" s="244"/>
      <c r="K477" s="265"/>
      <c r="S477" s="244"/>
    </row>
    <row r="478" spans="1:19" ht="15.75" customHeight="1" x14ac:dyDescent="0.25">
      <c r="A478" s="244"/>
      <c r="C478" s="263"/>
      <c r="D478" s="264"/>
      <c r="E478" s="244"/>
      <c r="F478" s="244"/>
      <c r="G478" s="244"/>
      <c r="H478" s="244"/>
      <c r="K478" s="265"/>
      <c r="S478" s="244"/>
    </row>
    <row r="479" spans="1:19" ht="15.75" customHeight="1" x14ac:dyDescent="0.25">
      <c r="A479" s="244"/>
      <c r="C479" s="263"/>
      <c r="D479" s="264"/>
      <c r="E479" s="244"/>
      <c r="F479" s="244"/>
      <c r="G479" s="244"/>
      <c r="H479" s="244"/>
      <c r="K479" s="265"/>
      <c r="S479" s="244"/>
    </row>
    <row r="480" spans="1:19" ht="15.75" customHeight="1" x14ac:dyDescent="0.25">
      <c r="A480" s="244"/>
      <c r="C480" s="263"/>
      <c r="D480" s="264"/>
      <c r="E480" s="244"/>
      <c r="F480" s="244"/>
      <c r="G480" s="244"/>
      <c r="H480" s="244"/>
      <c r="K480" s="265"/>
      <c r="S480" s="244"/>
    </row>
    <row r="481" spans="1:19" ht="15.75" customHeight="1" x14ac:dyDescent="0.25">
      <c r="A481" s="244"/>
      <c r="C481" s="263"/>
      <c r="D481" s="264"/>
      <c r="E481" s="244"/>
      <c r="F481" s="244"/>
      <c r="G481" s="244"/>
      <c r="H481" s="244"/>
      <c r="K481" s="265"/>
      <c r="S481" s="244"/>
    </row>
    <row r="482" spans="1:19" ht="15.75" customHeight="1" x14ac:dyDescent="0.25">
      <c r="A482" s="244"/>
      <c r="C482" s="263"/>
      <c r="D482" s="264"/>
      <c r="E482" s="244"/>
      <c r="F482" s="244"/>
      <c r="G482" s="244"/>
      <c r="H482" s="244"/>
      <c r="K482" s="265"/>
      <c r="S482" s="244"/>
    </row>
    <row r="483" spans="1:19" ht="15.75" customHeight="1" x14ac:dyDescent="0.25">
      <c r="A483" s="244"/>
      <c r="C483" s="263"/>
      <c r="D483" s="264"/>
      <c r="E483" s="244"/>
      <c r="F483" s="244"/>
      <c r="G483" s="244"/>
      <c r="H483" s="244"/>
      <c r="K483" s="265"/>
      <c r="S483" s="244"/>
    </row>
    <row r="484" spans="1:19" ht="15.75" customHeight="1" x14ac:dyDescent="0.25">
      <c r="A484" s="244"/>
      <c r="C484" s="263"/>
      <c r="D484" s="264"/>
      <c r="E484" s="244"/>
      <c r="F484" s="244"/>
      <c r="G484" s="244"/>
      <c r="H484" s="244"/>
      <c r="K484" s="265"/>
      <c r="S484" s="244"/>
    </row>
    <row r="485" spans="1:19" ht="15.75" customHeight="1" x14ac:dyDescent="0.25">
      <c r="A485" s="244"/>
      <c r="C485" s="263"/>
      <c r="D485" s="264"/>
      <c r="E485" s="244"/>
      <c r="F485" s="244"/>
      <c r="G485" s="244"/>
      <c r="H485" s="244"/>
      <c r="K485" s="265"/>
      <c r="S485" s="244"/>
    </row>
    <row r="486" spans="1:19" ht="15.75" customHeight="1" x14ac:dyDescent="0.25">
      <c r="A486" s="244"/>
      <c r="C486" s="263"/>
      <c r="D486" s="264"/>
      <c r="E486" s="244"/>
      <c r="F486" s="244"/>
      <c r="G486" s="244"/>
      <c r="H486" s="244"/>
      <c r="K486" s="265"/>
      <c r="S486" s="244"/>
    </row>
    <row r="487" spans="1:19" ht="15.75" customHeight="1" x14ac:dyDescent="0.25">
      <c r="A487" s="244"/>
      <c r="C487" s="263"/>
      <c r="D487" s="264"/>
      <c r="E487" s="244"/>
      <c r="F487" s="244"/>
      <c r="G487" s="244"/>
      <c r="H487" s="244"/>
      <c r="K487" s="265"/>
      <c r="S487" s="244"/>
    </row>
    <row r="488" spans="1:19" ht="15.75" customHeight="1" x14ac:dyDescent="0.25">
      <c r="A488" s="244"/>
      <c r="C488" s="263"/>
      <c r="D488" s="264"/>
      <c r="E488" s="244"/>
      <c r="F488" s="244"/>
      <c r="G488" s="244"/>
      <c r="H488" s="244"/>
      <c r="K488" s="265"/>
      <c r="S488" s="244"/>
    </row>
    <row r="489" spans="1:19" ht="15.75" customHeight="1" x14ac:dyDescent="0.25">
      <c r="A489" s="244"/>
      <c r="C489" s="263"/>
      <c r="D489" s="264"/>
      <c r="E489" s="244"/>
      <c r="F489" s="244"/>
      <c r="G489" s="244"/>
      <c r="H489" s="244"/>
      <c r="K489" s="265"/>
      <c r="S489" s="244"/>
    </row>
    <row r="490" spans="1:19" ht="15.75" customHeight="1" x14ac:dyDescent="0.25">
      <c r="A490" s="244"/>
      <c r="C490" s="263"/>
      <c r="D490" s="264"/>
      <c r="E490" s="244"/>
      <c r="F490" s="244"/>
      <c r="G490" s="244"/>
      <c r="H490" s="244"/>
      <c r="K490" s="265"/>
      <c r="S490" s="244"/>
    </row>
    <row r="491" spans="1:19" ht="15.75" customHeight="1" x14ac:dyDescent="0.25">
      <c r="A491" s="244"/>
      <c r="C491" s="263"/>
      <c r="D491" s="264"/>
      <c r="E491" s="244"/>
      <c r="F491" s="244"/>
      <c r="G491" s="244"/>
      <c r="H491" s="244"/>
      <c r="K491" s="265"/>
      <c r="S491" s="244"/>
    </row>
    <row r="492" spans="1:19" ht="15.75" customHeight="1" x14ac:dyDescent="0.25">
      <c r="A492" s="244"/>
      <c r="C492" s="263"/>
      <c r="D492" s="264"/>
      <c r="E492" s="244"/>
      <c r="F492" s="244"/>
      <c r="G492" s="244"/>
      <c r="H492" s="244"/>
      <c r="K492" s="265"/>
      <c r="S492" s="244"/>
    </row>
    <row r="493" spans="1:19" ht="15.75" customHeight="1" x14ac:dyDescent="0.25">
      <c r="A493" s="244"/>
      <c r="C493" s="263"/>
      <c r="D493" s="264"/>
      <c r="E493" s="244"/>
      <c r="F493" s="244"/>
      <c r="G493" s="244"/>
      <c r="H493" s="244"/>
      <c r="K493" s="265"/>
      <c r="S493" s="244"/>
    </row>
    <row r="494" spans="1:19" ht="15.75" customHeight="1" x14ac:dyDescent="0.25">
      <c r="A494" s="244"/>
      <c r="C494" s="263"/>
      <c r="D494" s="264"/>
      <c r="E494" s="244"/>
      <c r="F494" s="244"/>
      <c r="G494" s="244"/>
      <c r="H494" s="244"/>
      <c r="K494" s="265"/>
      <c r="S494" s="244"/>
    </row>
    <row r="495" spans="1:19" ht="15.75" customHeight="1" x14ac:dyDescent="0.25">
      <c r="A495" s="244"/>
      <c r="C495" s="263"/>
      <c r="D495" s="264"/>
      <c r="E495" s="244"/>
      <c r="F495" s="244"/>
      <c r="G495" s="244"/>
      <c r="H495" s="244"/>
      <c r="K495" s="265"/>
      <c r="S495" s="244"/>
    </row>
    <row r="496" spans="1:19" ht="15.75" customHeight="1" x14ac:dyDescent="0.25">
      <c r="A496" s="244"/>
      <c r="C496" s="263"/>
      <c r="D496" s="264"/>
      <c r="E496" s="244"/>
      <c r="F496" s="244"/>
      <c r="G496" s="244"/>
      <c r="H496" s="244"/>
      <c r="K496" s="265"/>
      <c r="S496" s="244"/>
    </row>
    <row r="497" spans="1:19" ht="15.75" customHeight="1" x14ac:dyDescent="0.25">
      <c r="A497" s="244"/>
      <c r="C497" s="263"/>
      <c r="D497" s="264"/>
      <c r="E497" s="244"/>
      <c r="F497" s="244"/>
      <c r="G497" s="244"/>
      <c r="H497" s="244"/>
      <c r="K497" s="265"/>
      <c r="S497" s="244"/>
    </row>
    <row r="498" spans="1:19" ht="15.75" customHeight="1" x14ac:dyDescent="0.25">
      <c r="A498" s="244"/>
      <c r="C498" s="263"/>
      <c r="D498" s="264"/>
      <c r="E498" s="244"/>
      <c r="F498" s="244"/>
      <c r="G498" s="244"/>
      <c r="H498" s="244"/>
      <c r="K498" s="265"/>
      <c r="S498" s="244"/>
    </row>
    <row r="499" spans="1:19" ht="15.75" customHeight="1" x14ac:dyDescent="0.25">
      <c r="A499" s="244"/>
      <c r="C499" s="263"/>
      <c r="D499" s="264"/>
      <c r="E499" s="244"/>
      <c r="F499" s="244"/>
      <c r="G499" s="244"/>
      <c r="H499" s="244"/>
      <c r="K499" s="265"/>
      <c r="S499" s="244"/>
    </row>
    <row r="500" spans="1:19" ht="15.75" customHeight="1" x14ac:dyDescent="0.25">
      <c r="A500" s="244"/>
      <c r="C500" s="263"/>
      <c r="D500" s="264"/>
      <c r="E500" s="244"/>
      <c r="F500" s="244"/>
      <c r="G500" s="244"/>
      <c r="H500" s="244"/>
      <c r="K500" s="265"/>
      <c r="S500" s="244"/>
    </row>
    <row r="501" spans="1:19" ht="15.75" customHeight="1" x14ac:dyDescent="0.25">
      <c r="A501" s="244"/>
      <c r="C501" s="263"/>
      <c r="D501" s="264"/>
      <c r="E501" s="244"/>
      <c r="F501" s="244"/>
      <c r="G501" s="244"/>
      <c r="H501" s="244"/>
      <c r="K501" s="265"/>
      <c r="S501" s="244"/>
    </row>
    <row r="502" spans="1:19" ht="15.75" customHeight="1" x14ac:dyDescent="0.25">
      <c r="A502" s="244"/>
      <c r="C502" s="263"/>
      <c r="D502" s="264"/>
      <c r="E502" s="244"/>
      <c r="F502" s="244"/>
      <c r="G502" s="244"/>
      <c r="H502" s="244"/>
      <c r="K502" s="265"/>
      <c r="S502" s="244"/>
    </row>
    <row r="503" spans="1:19" ht="15.75" customHeight="1" x14ac:dyDescent="0.25">
      <c r="A503" s="244"/>
      <c r="C503" s="263"/>
      <c r="D503" s="264"/>
      <c r="E503" s="244"/>
      <c r="F503" s="244"/>
      <c r="G503" s="244"/>
      <c r="H503" s="244"/>
      <c r="K503" s="265"/>
      <c r="S503" s="244"/>
    </row>
    <row r="504" spans="1:19" ht="15.75" customHeight="1" x14ac:dyDescent="0.25">
      <c r="A504" s="244"/>
      <c r="C504" s="263"/>
      <c r="D504" s="264"/>
      <c r="E504" s="244"/>
      <c r="F504" s="244"/>
      <c r="G504" s="244"/>
      <c r="H504" s="244"/>
      <c r="K504" s="265"/>
      <c r="S504" s="244"/>
    </row>
    <row r="505" spans="1:19" ht="15.75" customHeight="1" x14ac:dyDescent="0.25">
      <c r="A505" s="244"/>
      <c r="C505" s="263"/>
      <c r="D505" s="264"/>
      <c r="E505" s="244"/>
      <c r="F505" s="244"/>
      <c r="G505" s="244"/>
      <c r="H505" s="244"/>
      <c r="K505" s="265"/>
      <c r="S505" s="244"/>
    </row>
    <row r="506" spans="1:19" ht="15.75" customHeight="1" x14ac:dyDescent="0.25">
      <c r="A506" s="244"/>
      <c r="C506" s="263"/>
      <c r="D506" s="264"/>
      <c r="E506" s="244"/>
      <c r="F506" s="244"/>
      <c r="G506" s="244"/>
      <c r="H506" s="244"/>
      <c r="K506" s="265"/>
      <c r="S506" s="244"/>
    </row>
    <row r="507" spans="1:19" ht="15.75" customHeight="1" x14ac:dyDescent="0.25">
      <c r="A507" s="244"/>
      <c r="C507" s="263"/>
      <c r="D507" s="264"/>
      <c r="E507" s="244"/>
      <c r="F507" s="244"/>
      <c r="G507" s="244"/>
      <c r="H507" s="244"/>
      <c r="K507" s="265"/>
      <c r="S507" s="244"/>
    </row>
    <row r="508" spans="1:19" ht="15.75" customHeight="1" x14ac:dyDescent="0.25">
      <c r="A508" s="244"/>
      <c r="C508" s="263"/>
      <c r="D508" s="264"/>
      <c r="E508" s="244"/>
      <c r="F508" s="244"/>
      <c r="G508" s="244"/>
      <c r="H508" s="244"/>
      <c r="K508" s="265"/>
      <c r="S508" s="244"/>
    </row>
    <row r="509" spans="1:19" ht="15.75" customHeight="1" x14ac:dyDescent="0.25">
      <c r="A509" s="244"/>
      <c r="C509" s="263"/>
      <c r="D509" s="264"/>
      <c r="E509" s="244"/>
      <c r="F509" s="244"/>
      <c r="G509" s="244"/>
      <c r="H509" s="244"/>
      <c r="K509" s="265"/>
      <c r="S509" s="244"/>
    </row>
    <row r="510" spans="1:19" ht="15.75" customHeight="1" x14ac:dyDescent="0.25">
      <c r="A510" s="244"/>
      <c r="C510" s="263"/>
      <c r="D510" s="264"/>
      <c r="E510" s="244"/>
      <c r="F510" s="244"/>
      <c r="G510" s="244"/>
      <c r="H510" s="244"/>
      <c r="K510" s="265"/>
      <c r="S510" s="244"/>
    </row>
    <row r="511" spans="1:19" ht="15.75" customHeight="1" x14ac:dyDescent="0.25">
      <c r="A511" s="244"/>
      <c r="C511" s="263"/>
      <c r="D511" s="264"/>
      <c r="E511" s="244"/>
      <c r="F511" s="244"/>
      <c r="G511" s="244"/>
      <c r="H511" s="244"/>
      <c r="K511" s="265"/>
      <c r="S511" s="244"/>
    </row>
    <row r="512" spans="1:19" ht="15.75" customHeight="1" x14ac:dyDescent="0.25">
      <c r="A512" s="244"/>
      <c r="C512" s="263"/>
      <c r="D512" s="264"/>
      <c r="E512" s="244"/>
      <c r="F512" s="244"/>
      <c r="G512" s="244"/>
      <c r="H512" s="244"/>
      <c r="K512" s="265"/>
      <c r="S512" s="244"/>
    </row>
    <row r="513" spans="1:19" ht="15.75" customHeight="1" x14ac:dyDescent="0.25">
      <c r="A513" s="244"/>
      <c r="C513" s="263"/>
      <c r="D513" s="264"/>
      <c r="E513" s="244"/>
      <c r="F513" s="244"/>
      <c r="G513" s="244"/>
      <c r="H513" s="244"/>
      <c r="K513" s="265"/>
      <c r="S513" s="244"/>
    </row>
    <row r="514" spans="1:19" ht="15.75" customHeight="1" x14ac:dyDescent="0.25">
      <c r="A514" s="244"/>
      <c r="C514" s="263"/>
      <c r="D514" s="264"/>
      <c r="E514" s="244"/>
      <c r="F514" s="244"/>
      <c r="G514" s="244"/>
      <c r="H514" s="244"/>
      <c r="K514" s="265"/>
      <c r="S514" s="244"/>
    </row>
    <row r="515" spans="1:19" ht="15.75" customHeight="1" x14ac:dyDescent="0.25">
      <c r="A515" s="244"/>
      <c r="C515" s="263"/>
      <c r="D515" s="264"/>
      <c r="E515" s="244"/>
      <c r="F515" s="244"/>
      <c r="G515" s="244"/>
      <c r="H515" s="244"/>
      <c r="K515" s="265"/>
      <c r="S515" s="244"/>
    </row>
    <row r="516" spans="1:19" ht="15.75" customHeight="1" x14ac:dyDescent="0.25">
      <c r="A516" s="244"/>
      <c r="C516" s="263"/>
      <c r="D516" s="264"/>
      <c r="E516" s="244"/>
      <c r="F516" s="244"/>
      <c r="G516" s="244"/>
      <c r="H516" s="244"/>
      <c r="K516" s="265"/>
      <c r="S516" s="244"/>
    </row>
    <row r="517" spans="1:19" ht="15.75" customHeight="1" x14ac:dyDescent="0.25">
      <c r="A517" s="244"/>
      <c r="C517" s="263"/>
      <c r="D517" s="264"/>
      <c r="E517" s="244"/>
      <c r="F517" s="244"/>
      <c r="G517" s="244"/>
      <c r="H517" s="244"/>
      <c r="K517" s="265"/>
      <c r="S517" s="244"/>
    </row>
    <row r="518" spans="1:19" ht="15.75" customHeight="1" x14ac:dyDescent="0.25">
      <c r="A518" s="244"/>
      <c r="C518" s="263"/>
      <c r="D518" s="264"/>
      <c r="E518" s="244"/>
      <c r="F518" s="244"/>
      <c r="G518" s="244"/>
      <c r="H518" s="244"/>
      <c r="K518" s="265"/>
      <c r="S518" s="244"/>
    </row>
    <row r="519" spans="1:19" ht="15.75" customHeight="1" x14ac:dyDescent="0.25">
      <c r="A519" s="244"/>
      <c r="C519" s="263"/>
      <c r="D519" s="264"/>
      <c r="E519" s="244"/>
      <c r="F519" s="244"/>
      <c r="G519" s="244"/>
      <c r="H519" s="244"/>
      <c r="K519" s="265"/>
      <c r="S519" s="244"/>
    </row>
    <row r="520" spans="1:19" ht="15.75" customHeight="1" x14ac:dyDescent="0.25">
      <c r="A520" s="244"/>
      <c r="C520" s="263"/>
      <c r="D520" s="264"/>
      <c r="E520" s="244"/>
      <c r="F520" s="244"/>
      <c r="G520" s="244"/>
      <c r="H520" s="244"/>
      <c r="K520" s="265"/>
      <c r="S520" s="244"/>
    </row>
    <row r="521" spans="1:19" ht="15.75" customHeight="1" x14ac:dyDescent="0.25">
      <c r="A521" s="244"/>
      <c r="C521" s="263"/>
      <c r="D521" s="264"/>
      <c r="E521" s="244"/>
      <c r="F521" s="244"/>
      <c r="G521" s="244"/>
      <c r="H521" s="244"/>
      <c r="K521" s="265"/>
      <c r="S521" s="244"/>
    </row>
    <row r="522" spans="1:19" ht="15.75" customHeight="1" x14ac:dyDescent="0.25">
      <c r="A522" s="244"/>
      <c r="C522" s="263"/>
      <c r="D522" s="264"/>
      <c r="E522" s="244"/>
      <c r="F522" s="244"/>
      <c r="G522" s="244"/>
      <c r="H522" s="244"/>
      <c r="K522" s="265"/>
      <c r="S522" s="244"/>
    </row>
    <row r="523" spans="1:19" ht="15.75" customHeight="1" x14ac:dyDescent="0.25">
      <c r="A523" s="244"/>
      <c r="C523" s="263"/>
      <c r="D523" s="264"/>
      <c r="E523" s="244"/>
      <c r="F523" s="244"/>
      <c r="G523" s="244"/>
      <c r="H523" s="244"/>
      <c r="K523" s="265"/>
      <c r="S523" s="244"/>
    </row>
    <row r="524" spans="1:19" ht="15.75" customHeight="1" x14ac:dyDescent="0.25">
      <c r="A524" s="244"/>
      <c r="C524" s="263"/>
      <c r="D524" s="264"/>
      <c r="E524" s="244"/>
      <c r="F524" s="244"/>
      <c r="G524" s="244"/>
      <c r="H524" s="244"/>
      <c r="K524" s="265"/>
      <c r="S524" s="244"/>
    </row>
    <row r="525" spans="1:19" ht="15.75" customHeight="1" x14ac:dyDescent="0.25">
      <c r="A525" s="244"/>
      <c r="C525" s="263"/>
      <c r="D525" s="264"/>
      <c r="E525" s="244"/>
      <c r="F525" s="244"/>
      <c r="G525" s="244"/>
      <c r="H525" s="244"/>
      <c r="K525" s="265"/>
      <c r="S525" s="244"/>
    </row>
    <row r="526" spans="1:19" ht="15.75" customHeight="1" x14ac:dyDescent="0.25">
      <c r="A526" s="244"/>
      <c r="C526" s="263"/>
      <c r="D526" s="264"/>
      <c r="E526" s="244"/>
      <c r="F526" s="244"/>
      <c r="G526" s="244"/>
      <c r="H526" s="244"/>
      <c r="K526" s="265"/>
      <c r="S526" s="244"/>
    </row>
    <row r="527" spans="1:19" ht="15.75" customHeight="1" x14ac:dyDescent="0.25">
      <c r="A527" s="244"/>
      <c r="C527" s="263"/>
      <c r="D527" s="264"/>
      <c r="E527" s="244"/>
      <c r="F527" s="244"/>
      <c r="G527" s="244"/>
      <c r="H527" s="244"/>
      <c r="K527" s="265"/>
      <c r="S527" s="244"/>
    </row>
    <row r="528" spans="1:19" ht="15.75" customHeight="1" x14ac:dyDescent="0.25">
      <c r="A528" s="244"/>
      <c r="C528" s="263"/>
      <c r="D528" s="264"/>
      <c r="E528" s="244"/>
      <c r="F528" s="244"/>
      <c r="G528" s="244"/>
      <c r="H528" s="244"/>
      <c r="K528" s="265"/>
      <c r="S528" s="244"/>
    </row>
    <row r="529" spans="1:19" ht="15.75" customHeight="1" x14ac:dyDescent="0.25">
      <c r="A529" s="244"/>
      <c r="C529" s="263"/>
      <c r="D529" s="264"/>
      <c r="E529" s="244"/>
      <c r="F529" s="244"/>
      <c r="G529" s="244"/>
      <c r="H529" s="244"/>
      <c r="K529" s="265"/>
      <c r="S529" s="244"/>
    </row>
    <row r="530" spans="1:19" ht="15.75" customHeight="1" x14ac:dyDescent="0.25">
      <c r="A530" s="244"/>
      <c r="C530" s="263"/>
      <c r="D530" s="264"/>
      <c r="E530" s="244"/>
      <c r="F530" s="244"/>
      <c r="G530" s="244"/>
      <c r="H530" s="244"/>
      <c r="K530" s="265"/>
      <c r="S530" s="244"/>
    </row>
    <row r="531" spans="1:19" ht="15.75" customHeight="1" x14ac:dyDescent="0.25">
      <c r="A531" s="244"/>
      <c r="C531" s="263"/>
      <c r="D531" s="264"/>
      <c r="E531" s="244"/>
      <c r="F531" s="244"/>
      <c r="G531" s="244"/>
      <c r="H531" s="244"/>
      <c r="K531" s="265"/>
      <c r="S531" s="244"/>
    </row>
    <row r="532" spans="1:19" ht="15.75" customHeight="1" x14ac:dyDescent="0.25">
      <c r="A532" s="244"/>
      <c r="C532" s="263"/>
      <c r="D532" s="264"/>
      <c r="E532" s="244"/>
      <c r="F532" s="244"/>
      <c r="G532" s="244"/>
      <c r="H532" s="244"/>
      <c r="K532" s="265"/>
      <c r="S532" s="244"/>
    </row>
    <row r="533" spans="1:19" ht="15.75" customHeight="1" x14ac:dyDescent="0.25">
      <c r="A533" s="244"/>
      <c r="C533" s="263"/>
      <c r="D533" s="264"/>
      <c r="E533" s="244"/>
      <c r="F533" s="244"/>
      <c r="G533" s="244"/>
      <c r="H533" s="244"/>
      <c r="K533" s="265"/>
      <c r="S533" s="244"/>
    </row>
    <row r="534" spans="1:19" ht="15.75" customHeight="1" x14ac:dyDescent="0.25">
      <c r="A534" s="244"/>
      <c r="C534" s="263"/>
      <c r="D534" s="264"/>
      <c r="E534" s="244"/>
      <c r="F534" s="244"/>
      <c r="G534" s="244"/>
      <c r="H534" s="244"/>
      <c r="K534" s="265"/>
      <c r="S534" s="244"/>
    </row>
    <row r="535" spans="1:19" ht="15.75" customHeight="1" x14ac:dyDescent="0.25">
      <c r="A535" s="244"/>
      <c r="C535" s="263"/>
      <c r="D535" s="264"/>
      <c r="E535" s="244"/>
      <c r="F535" s="244"/>
      <c r="G535" s="244"/>
      <c r="H535" s="244"/>
      <c r="K535" s="265"/>
      <c r="S535" s="244"/>
    </row>
    <row r="536" spans="1:19" ht="15.75" customHeight="1" x14ac:dyDescent="0.25">
      <c r="A536" s="244"/>
      <c r="C536" s="263"/>
      <c r="D536" s="264"/>
      <c r="E536" s="244"/>
      <c r="F536" s="244"/>
      <c r="G536" s="244"/>
      <c r="H536" s="244"/>
      <c r="K536" s="265"/>
      <c r="S536" s="244"/>
    </row>
    <row r="537" spans="1:19" ht="15.75" customHeight="1" x14ac:dyDescent="0.25">
      <c r="A537" s="244"/>
      <c r="C537" s="263"/>
      <c r="D537" s="264"/>
      <c r="E537" s="244"/>
      <c r="F537" s="244"/>
      <c r="G537" s="244"/>
      <c r="H537" s="244"/>
      <c r="K537" s="265"/>
      <c r="S537" s="244"/>
    </row>
    <row r="538" spans="1:19" ht="15.75" customHeight="1" x14ac:dyDescent="0.25">
      <c r="A538" s="244"/>
      <c r="C538" s="263"/>
      <c r="D538" s="264"/>
      <c r="E538" s="244"/>
      <c r="F538" s="244"/>
      <c r="G538" s="244"/>
      <c r="H538" s="244"/>
      <c r="K538" s="265"/>
      <c r="S538" s="244"/>
    </row>
    <row r="539" spans="1:19" ht="15.75" customHeight="1" x14ac:dyDescent="0.25">
      <c r="A539" s="244"/>
      <c r="C539" s="263"/>
      <c r="D539" s="264"/>
      <c r="E539" s="244"/>
      <c r="F539" s="244"/>
      <c r="G539" s="244"/>
      <c r="H539" s="244"/>
      <c r="K539" s="265"/>
      <c r="S539" s="244"/>
    </row>
    <row r="540" spans="1:19" ht="15.75" customHeight="1" x14ac:dyDescent="0.25">
      <c r="A540" s="244"/>
      <c r="C540" s="263"/>
      <c r="D540" s="264"/>
      <c r="E540" s="244"/>
      <c r="F540" s="244"/>
      <c r="G540" s="244"/>
      <c r="H540" s="244"/>
      <c r="K540" s="265"/>
      <c r="S540" s="244"/>
    </row>
    <row r="541" spans="1:19" ht="15.75" customHeight="1" x14ac:dyDescent="0.25">
      <c r="A541" s="244"/>
      <c r="C541" s="263"/>
      <c r="D541" s="264"/>
      <c r="E541" s="244"/>
      <c r="F541" s="244"/>
      <c r="G541" s="244"/>
      <c r="H541" s="244"/>
      <c r="K541" s="265"/>
      <c r="S541" s="244"/>
    </row>
    <row r="542" spans="1:19" ht="15.75" customHeight="1" x14ac:dyDescent="0.25">
      <c r="A542" s="244"/>
      <c r="C542" s="263"/>
      <c r="D542" s="264"/>
      <c r="E542" s="244"/>
      <c r="F542" s="244"/>
      <c r="G542" s="244"/>
      <c r="H542" s="244"/>
      <c r="K542" s="265"/>
      <c r="S542" s="244"/>
    </row>
    <row r="543" spans="1:19" ht="15.75" customHeight="1" x14ac:dyDescent="0.25">
      <c r="A543" s="244"/>
      <c r="C543" s="263"/>
      <c r="D543" s="264"/>
      <c r="E543" s="244"/>
      <c r="F543" s="244"/>
      <c r="G543" s="244"/>
      <c r="H543" s="244"/>
      <c r="K543" s="265"/>
      <c r="S543" s="244"/>
    </row>
    <row r="544" spans="1:19" ht="15.75" customHeight="1" x14ac:dyDescent="0.25">
      <c r="A544" s="244"/>
      <c r="C544" s="263"/>
      <c r="D544" s="264"/>
      <c r="E544" s="244"/>
      <c r="F544" s="244"/>
      <c r="G544" s="244"/>
      <c r="H544" s="244"/>
      <c r="K544" s="265"/>
      <c r="S544" s="244"/>
    </row>
    <row r="545" spans="1:19" ht="15.75" customHeight="1" x14ac:dyDescent="0.25">
      <c r="A545" s="244"/>
      <c r="C545" s="263"/>
      <c r="D545" s="264"/>
      <c r="E545" s="244"/>
      <c r="F545" s="244"/>
      <c r="G545" s="244"/>
      <c r="H545" s="244"/>
      <c r="K545" s="265"/>
      <c r="S545" s="244"/>
    </row>
    <row r="546" spans="1:19" ht="15.75" customHeight="1" x14ac:dyDescent="0.25">
      <c r="A546" s="244"/>
      <c r="C546" s="263"/>
      <c r="D546" s="264"/>
      <c r="E546" s="244"/>
      <c r="F546" s="244"/>
      <c r="G546" s="244"/>
      <c r="H546" s="244"/>
      <c r="K546" s="265"/>
      <c r="S546" s="244"/>
    </row>
    <row r="547" spans="1:19" ht="15.75" customHeight="1" x14ac:dyDescent="0.25">
      <c r="A547" s="244"/>
      <c r="C547" s="263"/>
      <c r="D547" s="264"/>
      <c r="E547" s="244"/>
      <c r="F547" s="244"/>
      <c r="G547" s="244"/>
      <c r="H547" s="244"/>
      <c r="K547" s="265"/>
      <c r="S547" s="244"/>
    </row>
    <row r="548" spans="1:19" ht="15.75" customHeight="1" x14ac:dyDescent="0.25">
      <c r="A548" s="244"/>
      <c r="C548" s="263"/>
      <c r="D548" s="264"/>
      <c r="E548" s="244"/>
      <c r="F548" s="244"/>
      <c r="G548" s="244"/>
      <c r="H548" s="244"/>
      <c r="K548" s="265"/>
      <c r="S548" s="244"/>
    </row>
    <row r="549" spans="1:19" ht="15.75" customHeight="1" x14ac:dyDescent="0.25">
      <c r="A549" s="244"/>
      <c r="C549" s="263"/>
      <c r="D549" s="264"/>
      <c r="E549" s="244"/>
      <c r="F549" s="244"/>
      <c r="G549" s="244"/>
      <c r="H549" s="244"/>
      <c r="K549" s="265"/>
      <c r="S549" s="244"/>
    </row>
    <row r="550" spans="1:19" ht="15.75" customHeight="1" x14ac:dyDescent="0.25">
      <c r="A550" s="244"/>
      <c r="C550" s="263"/>
      <c r="D550" s="264"/>
      <c r="E550" s="244"/>
      <c r="F550" s="244"/>
      <c r="G550" s="244"/>
      <c r="H550" s="244"/>
      <c r="K550" s="265"/>
      <c r="S550" s="244"/>
    </row>
    <row r="551" spans="1:19" ht="15.75" customHeight="1" x14ac:dyDescent="0.25">
      <c r="A551" s="244"/>
      <c r="C551" s="263"/>
      <c r="D551" s="264"/>
      <c r="E551" s="244"/>
      <c r="F551" s="244"/>
      <c r="G551" s="244"/>
      <c r="H551" s="244"/>
      <c r="K551" s="265"/>
      <c r="S551" s="244"/>
    </row>
    <row r="552" spans="1:19" ht="15.75" customHeight="1" x14ac:dyDescent="0.25">
      <c r="A552" s="244"/>
      <c r="C552" s="263"/>
      <c r="D552" s="264"/>
      <c r="E552" s="244"/>
      <c r="F552" s="244"/>
      <c r="G552" s="244"/>
      <c r="H552" s="244"/>
      <c r="K552" s="265"/>
      <c r="S552" s="244"/>
    </row>
    <row r="553" spans="1:19" ht="15.75" customHeight="1" x14ac:dyDescent="0.25">
      <c r="A553" s="244"/>
      <c r="C553" s="263"/>
      <c r="D553" s="264"/>
      <c r="E553" s="244"/>
      <c r="F553" s="244"/>
      <c r="G553" s="244"/>
      <c r="H553" s="244"/>
      <c r="K553" s="265"/>
      <c r="S553" s="244"/>
    </row>
    <row r="554" spans="1:19" ht="15.75" customHeight="1" x14ac:dyDescent="0.25">
      <c r="A554" s="244"/>
      <c r="C554" s="263"/>
      <c r="D554" s="264"/>
      <c r="E554" s="244"/>
      <c r="F554" s="244"/>
      <c r="G554" s="244"/>
      <c r="H554" s="244"/>
      <c r="K554" s="265"/>
      <c r="S554" s="244"/>
    </row>
    <row r="555" spans="1:19" ht="15.75" customHeight="1" x14ac:dyDescent="0.25">
      <c r="A555" s="244"/>
      <c r="C555" s="263"/>
      <c r="D555" s="264"/>
      <c r="E555" s="244"/>
      <c r="F555" s="244"/>
      <c r="G555" s="244"/>
      <c r="H555" s="244"/>
      <c r="K555" s="265"/>
      <c r="S555" s="244"/>
    </row>
    <row r="556" spans="1:19" ht="15.75" customHeight="1" x14ac:dyDescent="0.25">
      <c r="A556" s="244"/>
      <c r="C556" s="263"/>
      <c r="D556" s="264"/>
      <c r="E556" s="244"/>
      <c r="F556" s="244"/>
      <c r="G556" s="244"/>
      <c r="H556" s="244"/>
      <c r="K556" s="265"/>
      <c r="S556" s="244"/>
    </row>
    <row r="557" spans="1:19" ht="15.75" customHeight="1" x14ac:dyDescent="0.25">
      <c r="A557" s="244"/>
      <c r="C557" s="263"/>
      <c r="D557" s="264"/>
      <c r="E557" s="244"/>
      <c r="F557" s="244"/>
      <c r="G557" s="244"/>
      <c r="H557" s="244"/>
      <c r="K557" s="265"/>
      <c r="S557" s="244"/>
    </row>
    <row r="558" spans="1:19" ht="15.75" customHeight="1" x14ac:dyDescent="0.25">
      <c r="A558" s="244"/>
      <c r="C558" s="263"/>
      <c r="D558" s="264"/>
      <c r="E558" s="244"/>
      <c r="F558" s="244"/>
      <c r="G558" s="244"/>
      <c r="H558" s="244"/>
      <c r="K558" s="265"/>
      <c r="S558" s="244"/>
    </row>
    <row r="559" spans="1:19" ht="15.75" customHeight="1" x14ac:dyDescent="0.25">
      <c r="A559" s="244"/>
      <c r="C559" s="263"/>
      <c r="D559" s="264"/>
      <c r="E559" s="244"/>
      <c r="F559" s="244"/>
      <c r="G559" s="244"/>
      <c r="H559" s="244"/>
      <c r="K559" s="265"/>
      <c r="S559" s="244"/>
    </row>
    <row r="560" spans="1:19" ht="15.75" customHeight="1" x14ac:dyDescent="0.25">
      <c r="A560" s="244"/>
      <c r="C560" s="263"/>
      <c r="D560" s="264"/>
      <c r="E560" s="244"/>
      <c r="F560" s="244"/>
      <c r="G560" s="244"/>
      <c r="H560" s="244"/>
      <c r="K560" s="265"/>
      <c r="S560" s="244"/>
    </row>
    <row r="561" spans="1:19" ht="15.75" customHeight="1" x14ac:dyDescent="0.25">
      <c r="A561" s="244"/>
      <c r="C561" s="263"/>
      <c r="D561" s="264"/>
      <c r="E561" s="244"/>
      <c r="F561" s="244"/>
      <c r="G561" s="244"/>
      <c r="H561" s="244"/>
      <c r="K561" s="265"/>
      <c r="S561" s="244"/>
    </row>
    <row r="562" spans="1:19" ht="15.75" customHeight="1" x14ac:dyDescent="0.25">
      <c r="A562" s="244"/>
      <c r="C562" s="263"/>
      <c r="D562" s="264"/>
      <c r="E562" s="244"/>
      <c r="F562" s="244"/>
      <c r="G562" s="244"/>
      <c r="H562" s="244"/>
      <c r="K562" s="265"/>
      <c r="S562" s="244"/>
    </row>
    <row r="563" spans="1:19" ht="15.75" customHeight="1" x14ac:dyDescent="0.25">
      <c r="A563" s="244"/>
      <c r="C563" s="263"/>
      <c r="D563" s="264"/>
      <c r="E563" s="244"/>
      <c r="F563" s="244"/>
      <c r="G563" s="244"/>
      <c r="H563" s="244"/>
      <c r="K563" s="265"/>
      <c r="S563" s="244"/>
    </row>
    <row r="564" spans="1:19" ht="15.75" customHeight="1" x14ac:dyDescent="0.25">
      <c r="A564" s="244"/>
      <c r="C564" s="263"/>
      <c r="D564" s="264"/>
      <c r="E564" s="244"/>
      <c r="F564" s="244"/>
      <c r="G564" s="244"/>
      <c r="H564" s="244"/>
      <c r="K564" s="265"/>
      <c r="S564" s="244"/>
    </row>
    <row r="565" spans="1:19" ht="15.75" customHeight="1" x14ac:dyDescent="0.25">
      <c r="A565" s="244"/>
      <c r="C565" s="263"/>
      <c r="D565" s="264"/>
      <c r="E565" s="244"/>
      <c r="F565" s="244"/>
      <c r="G565" s="244"/>
      <c r="H565" s="244"/>
      <c r="K565" s="265"/>
      <c r="S565" s="244"/>
    </row>
    <row r="566" spans="1:19" ht="15.75" customHeight="1" x14ac:dyDescent="0.25">
      <c r="A566" s="244"/>
      <c r="C566" s="263"/>
      <c r="D566" s="264"/>
      <c r="E566" s="244"/>
      <c r="F566" s="244"/>
      <c r="G566" s="244"/>
      <c r="H566" s="244"/>
      <c r="K566" s="265"/>
      <c r="S566" s="244"/>
    </row>
    <row r="567" spans="1:19" ht="15.75" customHeight="1" x14ac:dyDescent="0.25">
      <c r="A567" s="244"/>
      <c r="C567" s="263"/>
      <c r="D567" s="264"/>
      <c r="E567" s="244"/>
      <c r="F567" s="244"/>
      <c r="G567" s="244"/>
      <c r="H567" s="244"/>
      <c r="K567" s="265"/>
      <c r="S567" s="244"/>
    </row>
    <row r="568" spans="1:19" ht="15.75" customHeight="1" x14ac:dyDescent="0.25">
      <c r="A568" s="244"/>
      <c r="C568" s="263"/>
      <c r="D568" s="264"/>
      <c r="E568" s="244"/>
      <c r="F568" s="244"/>
      <c r="G568" s="244"/>
      <c r="H568" s="244"/>
      <c r="K568" s="265"/>
      <c r="S568" s="244"/>
    </row>
    <row r="569" spans="1:19" ht="15.75" customHeight="1" x14ac:dyDescent="0.25">
      <c r="A569" s="244"/>
      <c r="C569" s="263"/>
      <c r="D569" s="264"/>
      <c r="E569" s="244"/>
      <c r="F569" s="244"/>
      <c r="G569" s="244"/>
      <c r="H569" s="244"/>
      <c r="K569" s="265"/>
      <c r="S569" s="244"/>
    </row>
    <row r="570" spans="1:19" ht="15.75" customHeight="1" x14ac:dyDescent="0.25">
      <c r="A570" s="244"/>
      <c r="C570" s="263"/>
      <c r="D570" s="264"/>
      <c r="E570" s="244"/>
      <c r="F570" s="244"/>
      <c r="G570" s="244"/>
      <c r="H570" s="244"/>
      <c r="K570" s="265"/>
      <c r="S570" s="244"/>
    </row>
    <row r="571" spans="1:19" ht="15.75" customHeight="1" x14ac:dyDescent="0.25">
      <c r="A571" s="244"/>
      <c r="C571" s="263"/>
      <c r="D571" s="264"/>
      <c r="E571" s="244"/>
      <c r="F571" s="244"/>
      <c r="G571" s="244"/>
      <c r="H571" s="244"/>
      <c r="K571" s="265"/>
      <c r="S571" s="244"/>
    </row>
    <row r="572" spans="1:19" ht="15.75" customHeight="1" x14ac:dyDescent="0.25">
      <c r="A572" s="244"/>
      <c r="C572" s="263"/>
      <c r="D572" s="264"/>
      <c r="E572" s="244"/>
      <c r="F572" s="244"/>
      <c r="G572" s="244"/>
      <c r="H572" s="244"/>
      <c r="K572" s="265"/>
      <c r="S572" s="244"/>
    </row>
    <row r="573" spans="1:19" ht="15.75" customHeight="1" x14ac:dyDescent="0.25">
      <c r="A573" s="244"/>
      <c r="C573" s="263"/>
      <c r="D573" s="264"/>
      <c r="E573" s="244"/>
      <c r="F573" s="244"/>
      <c r="G573" s="244"/>
      <c r="H573" s="244"/>
      <c r="K573" s="265"/>
      <c r="S573" s="244"/>
    </row>
    <row r="574" spans="1:19" ht="15.75" customHeight="1" x14ac:dyDescent="0.25">
      <c r="A574" s="244"/>
      <c r="C574" s="263"/>
      <c r="D574" s="264"/>
      <c r="E574" s="244"/>
      <c r="F574" s="244"/>
      <c r="G574" s="244"/>
      <c r="H574" s="244"/>
      <c r="K574" s="265"/>
      <c r="S574" s="244"/>
    </row>
    <row r="575" spans="1:19" ht="15.75" customHeight="1" x14ac:dyDescent="0.25">
      <c r="A575" s="244"/>
      <c r="C575" s="263"/>
      <c r="D575" s="264"/>
      <c r="E575" s="244"/>
      <c r="F575" s="244"/>
      <c r="G575" s="244"/>
      <c r="H575" s="244"/>
      <c r="K575" s="265"/>
      <c r="S575" s="244"/>
    </row>
    <row r="576" spans="1:19" ht="15.75" customHeight="1" x14ac:dyDescent="0.25">
      <c r="A576" s="244"/>
      <c r="C576" s="263"/>
      <c r="D576" s="264"/>
      <c r="E576" s="244"/>
      <c r="F576" s="244"/>
      <c r="G576" s="244"/>
      <c r="H576" s="244"/>
      <c r="K576" s="265"/>
      <c r="S576" s="244"/>
    </row>
    <row r="577" spans="1:19" ht="15.75" customHeight="1" x14ac:dyDescent="0.25">
      <c r="A577" s="244"/>
      <c r="C577" s="263"/>
      <c r="D577" s="264"/>
      <c r="E577" s="244"/>
      <c r="F577" s="244"/>
      <c r="G577" s="244"/>
      <c r="H577" s="244"/>
      <c r="K577" s="265"/>
      <c r="S577" s="244"/>
    </row>
    <row r="578" spans="1:19" ht="15.75" customHeight="1" x14ac:dyDescent="0.25">
      <c r="A578" s="244"/>
      <c r="C578" s="263"/>
      <c r="D578" s="264"/>
      <c r="E578" s="244"/>
      <c r="F578" s="244"/>
      <c r="G578" s="244"/>
      <c r="H578" s="244"/>
      <c r="K578" s="265"/>
      <c r="S578" s="244"/>
    </row>
    <row r="579" spans="1:19" ht="15.75" customHeight="1" x14ac:dyDescent="0.25">
      <c r="A579" s="244"/>
      <c r="C579" s="263"/>
      <c r="D579" s="264"/>
      <c r="E579" s="244"/>
      <c r="F579" s="244"/>
      <c r="G579" s="244"/>
      <c r="H579" s="244"/>
      <c r="K579" s="265"/>
      <c r="S579" s="244"/>
    </row>
    <row r="580" spans="1:19" ht="15.75" customHeight="1" x14ac:dyDescent="0.25">
      <c r="A580" s="244"/>
      <c r="C580" s="263"/>
      <c r="D580" s="264"/>
      <c r="E580" s="244"/>
      <c r="F580" s="244"/>
      <c r="G580" s="244"/>
      <c r="H580" s="244"/>
      <c r="K580" s="265"/>
      <c r="S580" s="244"/>
    </row>
    <row r="581" spans="1:19" ht="15.75" customHeight="1" x14ac:dyDescent="0.25">
      <c r="A581" s="244"/>
      <c r="C581" s="263"/>
      <c r="D581" s="264"/>
      <c r="E581" s="244"/>
      <c r="F581" s="244"/>
      <c r="G581" s="244"/>
      <c r="H581" s="244"/>
      <c r="K581" s="265"/>
      <c r="S581" s="244"/>
    </row>
    <row r="582" spans="1:19" ht="15.75" customHeight="1" x14ac:dyDescent="0.25">
      <c r="A582" s="244"/>
      <c r="C582" s="263"/>
      <c r="D582" s="264"/>
      <c r="E582" s="244"/>
      <c r="F582" s="244"/>
      <c r="G582" s="244"/>
      <c r="H582" s="244"/>
      <c r="K582" s="265"/>
      <c r="S582" s="244"/>
    </row>
    <row r="583" spans="1:19" ht="15.75" customHeight="1" x14ac:dyDescent="0.25">
      <c r="A583" s="244"/>
      <c r="C583" s="263"/>
      <c r="D583" s="264"/>
      <c r="E583" s="244"/>
      <c r="F583" s="244"/>
      <c r="G583" s="244"/>
      <c r="H583" s="244"/>
      <c r="K583" s="265"/>
      <c r="S583" s="244"/>
    </row>
    <row r="584" spans="1:19" ht="15.75" customHeight="1" x14ac:dyDescent="0.25">
      <c r="A584" s="244"/>
      <c r="C584" s="263"/>
      <c r="D584" s="264"/>
      <c r="E584" s="244"/>
      <c r="F584" s="244"/>
      <c r="G584" s="244"/>
      <c r="H584" s="244"/>
      <c r="K584" s="265"/>
      <c r="S584" s="244"/>
    </row>
    <row r="585" spans="1:19" ht="15.75" customHeight="1" x14ac:dyDescent="0.25">
      <c r="A585" s="244"/>
      <c r="C585" s="263"/>
      <c r="D585" s="264"/>
      <c r="E585" s="244"/>
      <c r="F585" s="244"/>
      <c r="G585" s="244"/>
      <c r="H585" s="244"/>
      <c r="K585" s="265"/>
      <c r="S585" s="244"/>
    </row>
    <row r="586" spans="1:19" ht="15.75" customHeight="1" x14ac:dyDescent="0.25">
      <c r="A586" s="244"/>
      <c r="C586" s="263"/>
      <c r="D586" s="264"/>
      <c r="E586" s="244"/>
      <c r="F586" s="244"/>
      <c r="G586" s="244"/>
      <c r="H586" s="244"/>
      <c r="K586" s="265"/>
      <c r="S586" s="244"/>
    </row>
    <row r="587" spans="1:19" ht="15.75" customHeight="1" x14ac:dyDescent="0.25">
      <c r="A587" s="244"/>
      <c r="C587" s="263"/>
      <c r="D587" s="264"/>
      <c r="E587" s="244"/>
      <c r="F587" s="244"/>
      <c r="G587" s="244"/>
      <c r="H587" s="244"/>
      <c r="K587" s="265"/>
      <c r="S587" s="244"/>
    </row>
    <row r="588" spans="1:19" ht="15.75" customHeight="1" x14ac:dyDescent="0.25">
      <c r="A588" s="244"/>
      <c r="C588" s="263"/>
      <c r="D588" s="264"/>
      <c r="E588" s="244"/>
      <c r="F588" s="244"/>
      <c r="G588" s="244"/>
      <c r="H588" s="244"/>
      <c r="K588" s="265"/>
      <c r="S588" s="244"/>
    </row>
    <row r="589" spans="1:19" ht="15.75" customHeight="1" x14ac:dyDescent="0.25">
      <c r="A589" s="244"/>
      <c r="C589" s="263"/>
      <c r="D589" s="264"/>
      <c r="E589" s="244"/>
      <c r="F589" s="244"/>
      <c r="G589" s="244"/>
      <c r="H589" s="244"/>
      <c r="K589" s="265"/>
      <c r="S589" s="244"/>
    </row>
    <row r="590" spans="1:19" ht="15.75" customHeight="1" x14ac:dyDescent="0.25">
      <c r="A590" s="244"/>
      <c r="C590" s="263"/>
      <c r="D590" s="264"/>
      <c r="E590" s="244"/>
      <c r="F590" s="244"/>
      <c r="G590" s="244"/>
      <c r="H590" s="244"/>
      <c r="K590" s="265"/>
      <c r="S590" s="244"/>
    </row>
    <row r="591" spans="1:19" ht="15.75" customHeight="1" x14ac:dyDescent="0.25">
      <c r="A591" s="244"/>
      <c r="C591" s="263"/>
      <c r="D591" s="264"/>
      <c r="E591" s="244"/>
      <c r="F591" s="244"/>
      <c r="G591" s="244"/>
      <c r="H591" s="244"/>
      <c r="K591" s="265"/>
      <c r="S591" s="244"/>
    </row>
    <row r="592" spans="1:19" ht="15.75" customHeight="1" x14ac:dyDescent="0.25">
      <c r="A592" s="244"/>
      <c r="C592" s="263"/>
      <c r="D592" s="264"/>
      <c r="E592" s="244"/>
      <c r="F592" s="244"/>
      <c r="G592" s="244"/>
      <c r="H592" s="244"/>
      <c r="K592" s="265"/>
      <c r="S592" s="244"/>
    </row>
    <row r="593" spans="1:19" ht="15.75" customHeight="1" x14ac:dyDescent="0.25">
      <c r="A593" s="244"/>
      <c r="C593" s="263"/>
      <c r="D593" s="264"/>
      <c r="E593" s="244"/>
      <c r="F593" s="244"/>
      <c r="G593" s="244"/>
      <c r="H593" s="244"/>
      <c r="K593" s="265"/>
      <c r="S593" s="244"/>
    </row>
    <row r="594" spans="1:19" ht="15.75" customHeight="1" x14ac:dyDescent="0.25">
      <c r="A594" s="244"/>
      <c r="C594" s="263"/>
      <c r="D594" s="264"/>
      <c r="E594" s="244"/>
      <c r="F594" s="244"/>
      <c r="G594" s="244"/>
      <c r="H594" s="244"/>
      <c r="K594" s="265"/>
      <c r="S594" s="244"/>
    </row>
    <row r="595" spans="1:19" ht="15.75" customHeight="1" x14ac:dyDescent="0.25">
      <c r="A595" s="244"/>
      <c r="C595" s="263"/>
      <c r="D595" s="264"/>
      <c r="E595" s="244"/>
      <c r="F595" s="244"/>
      <c r="G595" s="244"/>
      <c r="H595" s="244"/>
      <c r="K595" s="265"/>
      <c r="S595" s="244"/>
    </row>
    <row r="596" spans="1:19" ht="15.75" customHeight="1" x14ac:dyDescent="0.25">
      <c r="A596" s="244"/>
      <c r="C596" s="263"/>
      <c r="D596" s="264"/>
      <c r="E596" s="244"/>
      <c r="F596" s="244"/>
      <c r="G596" s="244"/>
      <c r="H596" s="244"/>
      <c r="K596" s="265"/>
      <c r="S596" s="244"/>
    </row>
    <row r="597" spans="1:19" ht="15.75" customHeight="1" x14ac:dyDescent="0.25">
      <c r="A597" s="244"/>
      <c r="C597" s="263"/>
      <c r="D597" s="264"/>
      <c r="E597" s="244"/>
      <c r="F597" s="244"/>
      <c r="G597" s="244"/>
      <c r="H597" s="244"/>
      <c r="K597" s="265"/>
      <c r="S597" s="244"/>
    </row>
    <row r="598" spans="1:19" ht="15.75" customHeight="1" x14ac:dyDescent="0.25">
      <c r="A598" s="244"/>
      <c r="C598" s="263"/>
      <c r="D598" s="264"/>
      <c r="E598" s="244"/>
      <c r="F598" s="244"/>
      <c r="G598" s="244"/>
      <c r="H598" s="244"/>
      <c r="K598" s="265"/>
      <c r="S598" s="244"/>
    </row>
    <row r="599" spans="1:19" ht="15.75" customHeight="1" x14ac:dyDescent="0.25">
      <c r="A599" s="244"/>
      <c r="C599" s="263"/>
      <c r="D599" s="264"/>
      <c r="E599" s="244"/>
      <c r="F599" s="244"/>
      <c r="G599" s="244"/>
      <c r="H599" s="244"/>
      <c r="K599" s="265"/>
      <c r="S599" s="244"/>
    </row>
    <row r="600" spans="1:19" ht="15.75" customHeight="1" x14ac:dyDescent="0.25">
      <c r="A600" s="244"/>
      <c r="C600" s="263"/>
      <c r="D600" s="264"/>
      <c r="E600" s="244"/>
      <c r="F600" s="244"/>
      <c r="G600" s="244"/>
      <c r="H600" s="244"/>
      <c r="K600" s="265"/>
      <c r="S600" s="244"/>
    </row>
    <row r="601" spans="1:19" ht="15.75" customHeight="1" x14ac:dyDescent="0.25">
      <c r="A601" s="244"/>
      <c r="C601" s="263"/>
      <c r="D601" s="264"/>
      <c r="E601" s="244"/>
      <c r="F601" s="244"/>
      <c r="G601" s="244"/>
      <c r="H601" s="244"/>
      <c r="K601" s="265"/>
      <c r="S601" s="244"/>
    </row>
    <row r="602" spans="1:19" ht="15.75" customHeight="1" x14ac:dyDescent="0.25">
      <c r="A602" s="244"/>
      <c r="C602" s="263"/>
      <c r="D602" s="264"/>
      <c r="E602" s="244"/>
      <c r="F602" s="244"/>
      <c r="G602" s="244"/>
      <c r="H602" s="244"/>
      <c r="K602" s="265"/>
      <c r="S602" s="244"/>
    </row>
    <row r="603" spans="1:19" ht="15.75" customHeight="1" x14ac:dyDescent="0.25">
      <c r="A603" s="244"/>
      <c r="C603" s="263"/>
      <c r="D603" s="264"/>
      <c r="E603" s="244"/>
      <c r="F603" s="244"/>
      <c r="G603" s="244"/>
      <c r="H603" s="244"/>
      <c r="K603" s="265"/>
      <c r="S603" s="244"/>
    </row>
    <row r="604" spans="1:19" ht="15.75" customHeight="1" x14ac:dyDescent="0.25">
      <c r="A604" s="244"/>
      <c r="C604" s="263"/>
      <c r="D604" s="264"/>
      <c r="E604" s="244"/>
      <c r="F604" s="244"/>
      <c r="G604" s="244"/>
      <c r="H604" s="244"/>
      <c r="K604" s="265"/>
      <c r="S604" s="244"/>
    </row>
    <row r="605" spans="1:19" ht="15.75" customHeight="1" x14ac:dyDescent="0.25">
      <c r="A605" s="244"/>
      <c r="C605" s="263"/>
      <c r="D605" s="264"/>
      <c r="E605" s="244"/>
      <c r="F605" s="244"/>
      <c r="G605" s="244"/>
      <c r="H605" s="244"/>
      <c r="K605" s="265"/>
      <c r="S605" s="244"/>
    </row>
    <row r="606" spans="1:19" ht="15.75" customHeight="1" x14ac:dyDescent="0.25">
      <c r="A606" s="244"/>
      <c r="C606" s="263"/>
      <c r="D606" s="264"/>
      <c r="E606" s="244"/>
      <c r="F606" s="244"/>
      <c r="G606" s="244"/>
      <c r="H606" s="244"/>
      <c r="K606" s="265"/>
      <c r="S606" s="244"/>
    </row>
    <row r="607" spans="1:19" ht="15.75" customHeight="1" x14ac:dyDescent="0.25">
      <c r="A607" s="244"/>
      <c r="C607" s="263"/>
      <c r="D607" s="264"/>
      <c r="E607" s="244"/>
      <c r="F607" s="244"/>
      <c r="G607" s="244"/>
      <c r="H607" s="244"/>
      <c r="K607" s="265"/>
      <c r="S607" s="244"/>
    </row>
    <row r="608" spans="1:19" ht="15.75" customHeight="1" x14ac:dyDescent="0.25">
      <c r="A608" s="244"/>
      <c r="C608" s="263"/>
      <c r="D608" s="264"/>
      <c r="E608" s="244"/>
      <c r="F608" s="244"/>
      <c r="G608" s="244"/>
      <c r="H608" s="244"/>
      <c r="K608" s="265"/>
      <c r="S608" s="244"/>
    </row>
    <row r="609" spans="1:19" ht="15.75" customHeight="1" x14ac:dyDescent="0.25">
      <c r="A609" s="244"/>
      <c r="C609" s="263"/>
      <c r="D609" s="264"/>
      <c r="E609" s="244"/>
      <c r="F609" s="244"/>
      <c r="G609" s="244"/>
      <c r="H609" s="244"/>
      <c r="K609" s="265"/>
      <c r="S609" s="244"/>
    </row>
    <row r="610" spans="1:19" ht="15.75" customHeight="1" x14ac:dyDescent="0.25">
      <c r="A610" s="244"/>
      <c r="C610" s="263"/>
      <c r="D610" s="264"/>
      <c r="E610" s="244"/>
      <c r="F610" s="244"/>
      <c r="G610" s="244"/>
      <c r="H610" s="244"/>
      <c r="K610" s="265"/>
      <c r="S610" s="244"/>
    </row>
    <row r="611" spans="1:19" ht="15.75" customHeight="1" x14ac:dyDescent="0.25">
      <c r="A611" s="244"/>
      <c r="C611" s="263"/>
      <c r="D611" s="264"/>
      <c r="E611" s="244"/>
      <c r="F611" s="244"/>
      <c r="G611" s="244"/>
      <c r="H611" s="244"/>
      <c r="K611" s="265"/>
      <c r="S611" s="244"/>
    </row>
    <row r="612" spans="1:19" ht="15.75" customHeight="1" x14ac:dyDescent="0.25">
      <c r="A612" s="244"/>
      <c r="C612" s="263"/>
      <c r="D612" s="264"/>
      <c r="E612" s="244"/>
      <c r="F612" s="244"/>
      <c r="G612" s="244"/>
      <c r="H612" s="244"/>
      <c r="K612" s="265"/>
      <c r="S612" s="244"/>
    </row>
    <row r="613" spans="1:19" ht="15.75" customHeight="1" x14ac:dyDescent="0.25">
      <c r="A613" s="244"/>
      <c r="C613" s="263"/>
      <c r="D613" s="264"/>
      <c r="E613" s="244"/>
      <c r="F613" s="244"/>
      <c r="G613" s="244"/>
      <c r="H613" s="244"/>
      <c r="K613" s="265"/>
      <c r="S613" s="244"/>
    </row>
    <row r="614" spans="1:19" ht="15.75" customHeight="1" x14ac:dyDescent="0.25">
      <c r="A614" s="244"/>
      <c r="C614" s="263"/>
      <c r="D614" s="264"/>
      <c r="E614" s="244"/>
      <c r="F614" s="244"/>
      <c r="G614" s="244"/>
      <c r="H614" s="244"/>
      <c r="K614" s="265"/>
      <c r="S614" s="244"/>
    </row>
    <row r="615" spans="1:19" ht="15.75" customHeight="1" x14ac:dyDescent="0.25">
      <c r="A615" s="244"/>
      <c r="C615" s="263"/>
      <c r="D615" s="264"/>
      <c r="E615" s="244"/>
      <c r="F615" s="244"/>
      <c r="G615" s="244"/>
      <c r="H615" s="244"/>
      <c r="K615" s="265"/>
      <c r="S615" s="244"/>
    </row>
    <row r="616" spans="1:19" ht="15.75" customHeight="1" x14ac:dyDescent="0.25">
      <c r="A616" s="244"/>
      <c r="C616" s="263"/>
      <c r="D616" s="264"/>
      <c r="E616" s="244"/>
      <c r="F616" s="244"/>
      <c r="G616" s="244"/>
      <c r="H616" s="244"/>
      <c r="K616" s="265"/>
      <c r="S616" s="244"/>
    </row>
    <row r="617" spans="1:19" ht="15.75" customHeight="1" x14ac:dyDescent="0.25">
      <c r="A617" s="244"/>
      <c r="C617" s="263"/>
      <c r="D617" s="264"/>
      <c r="E617" s="244"/>
      <c r="F617" s="244"/>
      <c r="G617" s="244"/>
      <c r="H617" s="244"/>
      <c r="K617" s="265"/>
      <c r="S617" s="244"/>
    </row>
    <row r="618" spans="1:19" ht="15.75" customHeight="1" x14ac:dyDescent="0.25">
      <c r="A618" s="244"/>
      <c r="C618" s="263"/>
      <c r="D618" s="264"/>
      <c r="E618" s="244"/>
      <c r="F618" s="244"/>
      <c r="G618" s="244"/>
      <c r="H618" s="244"/>
      <c r="K618" s="265"/>
      <c r="S618" s="244"/>
    </row>
    <row r="619" spans="1:19" ht="15.75" customHeight="1" x14ac:dyDescent="0.25">
      <c r="A619" s="244"/>
      <c r="C619" s="263"/>
      <c r="D619" s="264"/>
      <c r="E619" s="244"/>
      <c r="F619" s="244"/>
      <c r="G619" s="244"/>
      <c r="H619" s="244"/>
      <c r="K619" s="265"/>
      <c r="S619" s="244"/>
    </row>
    <row r="620" spans="1:19" ht="15.75" customHeight="1" x14ac:dyDescent="0.25">
      <c r="A620" s="244"/>
      <c r="C620" s="263"/>
      <c r="D620" s="264"/>
      <c r="E620" s="244"/>
      <c r="F620" s="244"/>
      <c r="G620" s="244"/>
      <c r="H620" s="244"/>
      <c r="K620" s="265"/>
      <c r="S620" s="244"/>
    </row>
    <row r="621" spans="1:19" ht="15.75" customHeight="1" x14ac:dyDescent="0.25">
      <c r="A621" s="244"/>
      <c r="C621" s="263"/>
      <c r="D621" s="264"/>
      <c r="E621" s="244"/>
      <c r="F621" s="244"/>
      <c r="G621" s="244"/>
      <c r="H621" s="244"/>
      <c r="K621" s="265"/>
      <c r="S621" s="244"/>
    </row>
    <row r="622" spans="1:19" ht="15.75" customHeight="1" x14ac:dyDescent="0.25">
      <c r="A622" s="244"/>
      <c r="C622" s="263"/>
      <c r="D622" s="264"/>
      <c r="E622" s="244"/>
      <c r="F622" s="244"/>
      <c r="G622" s="244"/>
      <c r="H622" s="244"/>
      <c r="K622" s="265"/>
      <c r="S622" s="244"/>
    </row>
    <row r="623" spans="1:19" ht="15.75" customHeight="1" x14ac:dyDescent="0.25">
      <c r="A623" s="244"/>
      <c r="C623" s="263"/>
      <c r="D623" s="264"/>
      <c r="E623" s="244"/>
      <c r="F623" s="244"/>
      <c r="G623" s="244"/>
      <c r="H623" s="244"/>
      <c r="K623" s="265"/>
      <c r="S623" s="244"/>
    </row>
    <row r="624" spans="1:19" ht="15.75" customHeight="1" x14ac:dyDescent="0.25">
      <c r="A624" s="244"/>
      <c r="C624" s="263"/>
      <c r="D624" s="264"/>
      <c r="E624" s="244"/>
      <c r="F624" s="244"/>
      <c r="G624" s="244"/>
      <c r="H624" s="244"/>
      <c r="K624" s="265"/>
      <c r="S624" s="244"/>
    </row>
    <row r="625" spans="1:19" ht="15.75" customHeight="1" x14ac:dyDescent="0.25">
      <c r="A625" s="244"/>
      <c r="C625" s="263"/>
      <c r="D625" s="264"/>
      <c r="E625" s="244"/>
      <c r="F625" s="244"/>
      <c r="G625" s="244"/>
      <c r="H625" s="244"/>
      <c r="K625" s="265"/>
      <c r="S625" s="244"/>
    </row>
    <row r="626" spans="1:19" ht="15.75" customHeight="1" x14ac:dyDescent="0.25">
      <c r="A626" s="244"/>
      <c r="C626" s="263"/>
      <c r="D626" s="264"/>
      <c r="E626" s="244"/>
      <c r="F626" s="244"/>
      <c r="G626" s="244"/>
      <c r="H626" s="244"/>
      <c r="K626" s="265"/>
      <c r="S626" s="244"/>
    </row>
    <row r="627" spans="1:19" ht="15.75" customHeight="1" x14ac:dyDescent="0.25">
      <c r="A627" s="244"/>
      <c r="C627" s="263"/>
      <c r="D627" s="264"/>
      <c r="E627" s="244"/>
      <c r="F627" s="244"/>
      <c r="G627" s="244"/>
      <c r="H627" s="244"/>
      <c r="K627" s="265"/>
      <c r="S627" s="244"/>
    </row>
    <row r="628" spans="1:19" ht="15.75" customHeight="1" x14ac:dyDescent="0.25">
      <c r="A628" s="244"/>
      <c r="C628" s="263"/>
      <c r="D628" s="264"/>
      <c r="E628" s="244"/>
      <c r="F628" s="244"/>
      <c r="G628" s="244"/>
      <c r="H628" s="244"/>
      <c r="K628" s="265"/>
      <c r="S628" s="244"/>
    </row>
    <row r="629" spans="1:19" ht="15.75" customHeight="1" x14ac:dyDescent="0.25">
      <c r="A629" s="244"/>
      <c r="C629" s="263"/>
      <c r="D629" s="264"/>
      <c r="E629" s="244"/>
      <c r="F629" s="244"/>
      <c r="G629" s="244"/>
      <c r="H629" s="244"/>
      <c r="K629" s="265"/>
      <c r="S629" s="244"/>
    </row>
    <row r="630" spans="1:19" ht="15.75" customHeight="1" x14ac:dyDescent="0.25">
      <c r="A630" s="244"/>
      <c r="C630" s="263"/>
      <c r="D630" s="264"/>
      <c r="E630" s="244"/>
      <c r="F630" s="244"/>
      <c r="G630" s="244"/>
      <c r="H630" s="244"/>
      <c r="K630" s="265"/>
      <c r="S630" s="244"/>
    </row>
    <row r="631" spans="1:19" ht="15.75" customHeight="1" x14ac:dyDescent="0.25">
      <c r="A631" s="244"/>
      <c r="C631" s="263"/>
      <c r="D631" s="264"/>
      <c r="E631" s="244"/>
      <c r="F631" s="244"/>
      <c r="G631" s="244"/>
      <c r="H631" s="244"/>
      <c r="K631" s="265"/>
      <c r="S631" s="244"/>
    </row>
    <row r="632" spans="1:19" ht="15.75" customHeight="1" x14ac:dyDescent="0.25">
      <c r="A632" s="244"/>
      <c r="C632" s="263"/>
      <c r="D632" s="264"/>
      <c r="E632" s="244"/>
      <c r="F632" s="244"/>
      <c r="G632" s="244"/>
      <c r="H632" s="244"/>
      <c r="K632" s="265"/>
      <c r="S632" s="244"/>
    </row>
    <row r="633" spans="1:19" ht="15.75" customHeight="1" x14ac:dyDescent="0.25">
      <c r="A633" s="244"/>
      <c r="C633" s="263"/>
      <c r="D633" s="264"/>
      <c r="E633" s="244"/>
      <c r="F633" s="244"/>
      <c r="G633" s="244"/>
      <c r="H633" s="244"/>
      <c r="K633" s="265"/>
      <c r="S633" s="244"/>
    </row>
    <row r="634" spans="1:19" ht="15.75" customHeight="1" x14ac:dyDescent="0.25">
      <c r="A634" s="244"/>
      <c r="C634" s="263"/>
      <c r="D634" s="264"/>
      <c r="E634" s="244"/>
      <c r="F634" s="244"/>
      <c r="G634" s="244"/>
      <c r="H634" s="244"/>
      <c r="K634" s="265"/>
      <c r="S634" s="244"/>
    </row>
    <row r="635" spans="1:19" ht="15.75" customHeight="1" x14ac:dyDescent="0.25">
      <c r="A635" s="244"/>
      <c r="C635" s="263"/>
      <c r="D635" s="264"/>
      <c r="E635" s="244"/>
      <c r="F635" s="244"/>
      <c r="G635" s="244"/>
      <c r="H635" s="244"/>
      <c r="K635" s="265"/>
      <c r="S635" s="244"/>
    </row>
    <row r="636" spans="1:19" ht="15.75" customHeight="1" x14ac:dyDescent="0.25">
      <c r="A636" s="244"/>
      <c r="C636" s="263"/>
      <c r="D636" s="264"/>
      <c r="E636" s="244"/>
      <c r="F636" s="244"/>
      <c r="G636" s="244"/>
      <c r="H636" s="244"/>
      <c r="K636" s="265"/>
      <c r="S636" s="244"/>
    </row>
    <row r="637" spans="1:19" ht="15.75" customHeight="1" x14ac:dyDescent="0.25">
      <c r="A637" s="244"/>
      <c r="C637" s="263"/>
      <c r="D637" s="264"/>
      <c r="E637" s="244"/>
      <c r="F637" s="244"/>
      <c r="G637" s="244"/>
      <c r="H637" s="244"/>
      <c r="K637" s="265"/>
      <c r="S637" s="244"/>
    </row>
    <row r="638" spans="1:19" ht="15.75" customHeight="1" x14ac:dyDescent="0.25">
      <c r="A638" s="244"/>
      <c r="C638" s="263"/>
      <c r="D638" s="264"/>
      <c r="E638" s="244"/>
      <c r="F638" s="244"/>
      <c r="G638" s="244"/>
      <c r="H638" s="244"/>
      <c r="K638" s="265"/>
      <c r="S638" s="244"/>
    </row>
    <row r="639" spans="1:19" ht="15.75" customHeight="1" x14ac:dyDescent="0.25">
      <c r="A639" s="244"/>
      <c r="C639" s="263"/>
      <c r="D639" s="264"/>
      <c r="E639" s="244"/>
      <c r="F639" s="244"/>
      <c r="G639" s="244"/>
      <c r="H639" s="244"/>
      <c r="K639" s="265"/>
      <c r="S639" s="244"/>
    </row>
    <row r="640" spans="1:19" ht="15.75" customHeight="1" x14ac:dyDescent="0.25">
      <c r="A640" s="244"/>
      <c r="C640" s="263"/>
      <c r="D640" s="264"/>
      <c r="E640" s="244"/>
      <c r="F640" s="244"/>
      <c r="G640" s="244"/>
      <c r="H640" s="244"/>
      <c r="K640" s="265"/>
      <c r="S640" s="244"/>
    </row>
    <row r="641" spans="1:19" ht="15.75" customHeight="1" x14ac:dyDescent="0.25">
      <c r="A641" s="244"/>
      <c r="C641" s="263"/>
      <c r="D641" s="264"/>
      <c r="E641" s="244"/>
      <c r="F641" s="244"/>
      <c r="G641" s="244"/>
      <c r="H641" s="244"/>
      <c r="K641" s="265"/>
      <c r="S641" s="244"/>
    </row>
    <row r="642" spans="1:19" ht="15.75" customHeight="1" x14ac:dyDescent="0.25">
      <c r="A642" s="244"/>
      <c r="C642" s="263"/>
      <c r="D642" s="264"/>
      <c r="E642" s="244"/>
      <c r="F642" s="244"/>
      <c r="G642" s="244"/>
      <c r="H642" s="244"/>
      <c r="K642" s="265"/>
      <c r="S642" s="244"/>
    </row>
    <row r="643" spans="1:19" ht="15.75" customHeight="1" x14ac:dyDescent="0.25">
      <c r="A643" s="244"/>
      <c r="C643" s="263"/>
      <c r="D643" s="264"/>
      <c r="E643" s="244"/>
      <c r="F643" s="244"/>
      <c r="G643" s="244"/>
      <c r="H643" s="244"/>
      <c r="K643" s="265"/>
      <c r="S643" s="244"/>
    </row>
    <row r="644" spans="1:19" ht="15.75" customHeight="1" x14ac:dyDescent="0.25">
      <c r="A644" s="244"/>
      <c r="C644" s="263"/>
      <c r="D644" s="264"/>
      <c r="E644" s="244"/>
      <c r="F644" s="244"/>
      <c r="G644" s="244"/>
      <c r="H644" s="244"/>
      <c r="K644" s="265"/>
      <c r="S644" s="244"/>
    </row>
    <row r="645" spans="1:19" ht="15.75" customHeight="1" x14ac:dyDescent="0.25">
      <c r="A645" s="244"/>
      <c r="C645" s="263"/>
      <c r="D645" s="264"/>
      <c r="E645" s="244"/>
      <c r="F645" s="244"/>
      <c r="G645" s="244"/>
      <c r="H645" s="244"/>
      <c r="K645" s="265"/>
      <c r="S645" s="244"/>
    </row>
    <row r="646" spans="1:19" ht="15.75" customHeight="1" x14ac:dyDescent="0.25">
      <c r="A646" s="244"/>
      <c r="C646" s="263"/>
      <c r="D646" s="264"/>
      <c r="E646" s="244"/>
      <c r="F646" s="244"/>
      <c r="G646" s="244"/>
      <c r="H646" s="244"/>
      <c r="K646" s="265"/>
      <c r="S646" s="244"/>
    </row>
    <row r="647" spans="1:19" ht="15.75" customHeight="1" x14ac:dyDescent="0.25">
      <c r="A647" s="244"/>
      <c r="C647" s="263"/>
      <c r="D647" s="264"/>
      <c r="E647" s="244"/>
      <c r="F647" s="244"/>
      <c r="G647" s="244"/>
      <c r="H647" s="244"/>
      <c r="K647" s="265"/>
      <c r="S647" s="244"/>
    </row>
    <row r="648" spans="1:19" ht="15.75" customHeight="1" x14ac:dyDescent="0.25">
      <c r="A648" s="244"/>
      <c r="C648" s="263"/>
      <c r="D648" s="264"/>
      <c r="E648" s="244"/>
      <c r="F648" s="244"/>
      <c r="G648" s="244"/>
      <c r="H648" s="244"/>
      <c r="K648" s="265"/>
      <c r="S648" s="244"/>
    </row>
    <row r="649" spans="1:19" ht="15.75" customHeight="1" x14ac:dyDescent="0.25">
      <c r="A649" s="244"/>
      <c r="C649" s="263"/>
      <c r="D649" s="264"/>
      <c r="E649" s="244"/>
      <c r="F649" s="244"/>
      <c r="G649" s="244"/>
      <c r="H649" s="244"/>
      <c r="K649" s="265"/>
      <c r="S649" s="244"/>
    </row>
    <row r="650" spans="1:19" ht="15.75" customHeight="1" x14ac:dyDescent="0.25">
      <c r="A650" s="244"/>
      <c r="C650" s="263"/>
      <c r="D650" s="264"/>
      <c r="E650" s="244"/>
      <c r="F650" s="244"/>
      <c r="G650" s="244"/>
      <c r="H650" s="244"/>
      <c r="K650" s="265"/>
      <c r="S650" s="244"/>
    </row>
    <row r="651" spans="1:19" ht="15.75" customHeight="1" x14ac:dyDescent="0.25">
      <c r="A651" s="244"/>
      <c r="C651" s="263"/>
      <c r="D651" s="264"/>
      <c r="E651" s="244"/>
      <c r="F651" s="244"/>
      <c r="G651" s="244"/>
      <c r="H651" s="244"/>
      <c r="K651" s="265"/>
      <c r="S651" s="244"/>
    </row>
    <row r="652" spans="1:19" ht="15.75" customHeight="1" x14ac:dyDescent="0.25">
      <c r="A652" s="244"/>
      <c r="C652" s="263"/>
      <c r="D652" s="264"/>
      <c r="E652" s="244"/>
      <c r="F652" s="244"/>
      <c r="G652" s="244"/>
      <c r="H652" s="244"/>
      <c r="K652" s="265"/>
      <c r="S652" s="244"/>
    </row>
    <row r="653" spans="1:19" ht="15.75" customHeight="1" x14ac:dyDescent="0.25">
      <c r="A653" s="244"/>
      <c r="C653" s="263"/>
      <c r="D653" s="264"/>
      <c r="E653" s="244"/>
      <c r="F653" s="244"/>
      <c r="G653" s="244"/>
      <c r="H653" s="244"/>
      <c r="K653" s="265"/>
      <c r="S653" s="244"/>
    </row>
    <row r="654" spans="1:19" ht="15.75" customHeight="1" x14ac:dyDescent="0.25">
      <c r="A654" s="244"/>
      <c r="C654" s="263"/>
      <c r="D654" s="264"/>
      <c r="E654" s="244"/>
      <c r="F654" s="244"/>
      <c r="G654" s="244"/>
      <c r="H654" s="244"/>
      <c r="K654" s="265"/>
      <c r="S654" s="244"/>
    </row>
    <row r="655" spans="1:19" ht="15.75" customHeight="1" x14ac:dyDescent="0.25">
      <c r="A655" s="244"/>
      <c r="C655" s="263"/>
      <c r="D655" s="264"/>
      <c r="E655" s="244"/>
      <c r="F655" s="244"/>
      <c r="G655" s="244"/>
      <c r="H655" s="244"/>
      <c r="K655" s="265"/>
      <c r="S655" s="244"/>
    </row>
    <row r="656" spans="1:19" ht="15.75" customHeight="1" x14ac:dyDescent="0.25">
      <c r="A656" s="244"/>
      <c r="C656" s="263"/>
      <c r="D656" s="264"/>
      <c r="E656" s="244"/>
      <c r="F656" s="244"/>
      <c r="G656" s="244"/>
      <c r="H656" s="244"/>
      <c r="K656" s="265"/>
      <c r="S656" s="244"/>
    </row>
    <row r="657" spans="1:19" ht="15.75" customHeight="1" x14ac:dyDescent="0.25">
      <c r="A657" s="244"/>
      <c r="C657" s="263"/>
      <c r="D657" s="264"/>
      <c r="E657" s="244"/>
      <c r="F657" s="244"/>
      <c r="G657" s="244"/>
      <c r="H657" s="244"/>
      <c r="K657" s="265"/>
      <c r="S657" s="244"/>
    </row>
    <row r="658" spans="1:19" ht="15.75" customHeight="1" x14ac:dyDescent="0.25">
      <c r="A658" s="244"/>
      <c r="C658" s="263"/>
      <c r="D658" s="264"/>
      <c r="E658" s="244"/>
      <c r="F658" s="244"/>
      <c r="G658" s="244"/>
      <c r="H658" s="244"/>
      <c r="K658" s="265"/>
      <c r="S658" s="244"/>
    </row>
    <row r="659" spans="1:19" ht="15.75" customHeight="1" x14ac:dyDescent="0.25">
      <c r="A659" s="244"/>
      <c r="C659" s="263"/>
      <c r="D659" s="264"/>
      <c r="E659" s="244"/>
      <c r="F659" s="244"/>
      <c r="G659" s="244"/>
      <c r="H659" s="244"/>
      <c r="K659" s="265"/>
      <c r="S659" s="244"/>
    </row>
    <row r="660" spans="1:19" ht="15.75" customHeight="1" x14ac:dyDescent="0.25">
      <c r="A660" s="244"/>
      <c r="C660" s="263"/>
      <c r="D660" s="264"/>
      <c r="E660" s="244"/>
      <c r="F660" s="244"/>
      <c r="G660" s="244"/>
      <c r="H660" s="244"/>
      <c r="K660" s="265"/>
      <c r="S660" s="244"/>
    </row>
    <row r="661" spans="1:19" ht="15.75" customHeight="1" x14ac:dyDescent="0.25">
      <c r="A661" s="244"/>
      <c r="C661" s="263"/>
      <c r="D661" s="264"/>
      <c r="E661" s="244"/>
      <c r="F661" s="244"/>
      <c r="G661" s="244"/>
      <c r="H661" s="244"/>
      <c r="K661" s="265"/>
      <c r="S661" s="244"/>
    </row>
    <row r="662" spans="1:19" ht="15.75" customHeight="1" x14ac:dyDescent="0.25">
      <c r="A662" s="244"/>
      <c r="C662" s="263"/>
      <c r="D662" s="264"/>
      <c r="E662" s="244"/>
      <c r="F662" s="244"/>
      <c r="G662" s="244"/>
      <c r="H662" s="244"/>
      <c r="K662" s="265"/>
      <c r="S662" s="244"/>
    </row>
    <row r="663" spans="1:19" ht="15.75" customHeight="1" x14ac:dyDescent="0.25">
      <c r="A663" s="244"/>
      <c r="C663" s="263"/>
      <c r="D663" s="264"/>
      <c r="E663" s="244"/>
      <c r="F663" s="244"/>
      <c r="G663" s="244"/>
      <c r="H663" s="244"/>
      <c r="K663" s="265"/>
      <c r="S663" s="244"/>
    </row>
    <row r="664" spans="1:19" ht="15.75" customHeight="1" x14ac:dyDescent="0.25">
      <c r="A664" s="244"/>
      <c r="C664" s="263"/>
      <c r="D664" s="264"/>
      <c r="E664" s="244"/>
      <c r="F664" s="244"/>
      <c r="G664" s="244"/>
      <c r="H664" s="244"/>
      <c r="K664" s="265"/>
      <c r="S664" s="244"/>
    </row>
    <row r="665" spans="1:19" ht="15.75" customHeight="1" x14ac:dyDescent="0.25">
      <c r="A665" s="244"/>
      <c r="C665" s="263"/>
      <c r="D665" s="264"/>
      <c r="E665" s="244"/>
      <c r="F665" s="244"/>
      <c r="G665" s="244"/>
      <c r="H665" s="244"/>
      <c r="K665" s="265"/>
      <c r="S665" s="244"/>
    </row>
    <row r="666" spans="1:19" ht="15.75" customHeight="1" x14ac:dyDescent="0.25">
      <c r="A666" s="244"/>
      <c r="C666" s="263"/>
      <c r="D666" s="264"/>
      <c r="E666" s="244"/>
      <c r="F666" s="244"/>
      <c r="G666" s="244"/>
      <c r="H666" s="244"/>
      <c r="K666" s="265"/>
      <c r="S666" s="244"/>
    </row>
    <row r="667" spans="1:19" ht="15.75" customHeight="1" x14ac:dyDescent="0.25">
      <c r="A667" s="244"/>
      <c r="C667" s="263"/>
      <c r="D667" s="264"/>
      <c r="E667" s="244"/>
      <c r="F667" s="244"/>
      <c r="G667" s="244"/>
      <c r="H667" s="244"/>
      <c r="K667" s="265"/>
      <c r="S667" s="244"/>
    </row>
    <row r="668" spans="1:19" ht="15.75" customHeight="1" x14ac:dyDescent="0.25">
      <c r="A668" s="244"/>
      <c r="C668" s="263"/>
      <c r="D668" s="264"/>
      <c r="E668" s="244"/>
      <c r="F668" s="244"/>
      <c r="G668" s="244"/>
      <c r="H668" s="244"/>
      <c r="K668" s="265"/>
      <c r="S668" s="244"/>
    </row>
    <row r="669" spans="1:19" ht="15.75" customHeight="1" x14ac:dyDescent="0.25">
      <c r="A669" s="244"/>
      <c r="C669" s="263"/>
      <c r="D669" s="264"/>
      <c r="E669" s="244"/>
      <c r="F669" s="244"/>
      <c r="G669" s="244"/>
      <c r="H669" s="244"/>
      <c r="K669" s="265"/>
      <c r="S669" s="244"/>
    </row>
    <row r="670" spans="1:19" ht="15.75" customHeight="1" x14ac:dyDescent="0.25">
      <c r="A670" s="244"/>
      <c r="C670" s="263"/>
      <c r="D670" s="264"/>
      <c r="E670" s="244"/>
      <c r="F670" s="244"/>
      <c r="G670" s="244"/>
      <c r="H670" s="244"/>
      <c r="K670" s="265"/>
      <c r="S670" s="244"/>
    </row>
    <row r="671" spans="1:19" ht="15.75" customHeight="1" x14ac:dyDescent="0.25">
      <c r="A671" s="244"/>
      <c r="C671" s="263"/>
      <c r="D671" s="264"/>
      <c r="E671" s="244"/>
      <c r="F671" s="244"/>
      <c r="G671" s="244"/>
      <c r="H671" s="244"/>
      <c r="K671" s="265"/>
      <c r="S671" s="244"/>
    </row>
    <row r="672" spans="1:19" ht="15.75" customHeight="1" x14ac:dyDescent="0.25">
      <c r="A672" s="244"/>
      <c r="C672" s="263"/>
      <c r="D672" s="264"/>
      <c r="E672" s="244"/>
      <c r="F672" s="244"/>
      <c r="G672" s="244"/>
      <c r="H672" s="244"/>
      <c r="K672" s="265"/>
      <c r="S672" s="244"/>
    </row>
    <row r="673" spans="1:19" ht="15.75" customHeight="1" x14ac:dyDescent="0.25">
      <c r="A673" s="244"/>
      <c r="C673" s="263"/>
      <c r="D673" s="264"/>
      <c r="E673" s="244"/>
      <c r="F673" s="244"/>
      <c r="G673" s="244"/>
      <c r="H673" s="244"/>
      <c r="K673" s="265"/>
      <c r="S673" s="244"/>
    </row>
    <row r="674" spans="1:19" ht="15.75" customHeight="1" x14ac:dyDescent="0.25">
      <c r="A674" s="244"/>
      <c r="C674" s="263"/>
      <c r="D674" s="264"/>
      <c r="E674" s="244"/>
      <c r="F674" s="244"/>
      <c r="G674" s="244"/>
      <c r="H674" s="244"/>
      <c r="K674" s="265"/>
      <c r="S674" s="244"/>
    </row>
    <row r="675" spans="1:19" ht="15.75" customHeight="1" x14ac:dyDescent="0.25">
      <c r="A675" s="244"/>
      <c r="C675" s="263"/>
      <c r="D675" s="264"/>
      <c r="E675" s="244"/>
      <c r="F675" s="244"/>
      <c r="G675" s="244"/>
      <c r="H675" s="244"/>
      <c r="K675" s="265"/>
      <c r="S675" s="244"/>
    </row>
    <row r="676" spans="1:19" ht="15.75" customHeight="1" x14ac:dyDescent="0.25">
      <c r="A676" s="244"/>
      <c r="C676" s="263"/>
      <c r="D676" s="264"/>
      <c r="E676" s="244"/>
      <c r="F676" s="244"/>
      <c r="G676" s="244"/>
      <c r="H676" s="244"/>
      <c r="K676" s="265"/>
      <c r="S676" s="244"/>
    </row>
    <row r="677" spans="1:19" ht="15.75" customHeight="1" x14ac:dyDescent="0.25">
      <c r="A677" s="244"/>
      <c r="C677" s="263"/>
      <c r="D677" s="264"/>
      <c r="E677" s="244"/>
      <c r="F677" s="244"/>
      <c r="G677" s="244"/>
      <c r="H677" s="244"/>
      <c r="K677" s="265"/>
      <c r="S677" s="244"/>
    </row>
    <row r="678" spans="1:19" ht="15.75" customHeight="1" x14ac:dyDescent="0.25">
      <c r="A678" s="244"/>
      <c r="C678" s="263"/>
      <c r="D678" s="264"/>
      <c r="E678" s="244"/>
      <c r="F678" s="244"/>
      <c r="G678" s="244"/>
      <c r="H678" s="244"/>
      <c r="K678" s="265"/>
      <c r="S678" s="244"/>
    </row>
    <row r="679" spans="1:19" ht="15.75" customHeight="1" x14ac:dyDescent="0.25">
      <c r="A679" s="244"/>
      <c r="C679" s="263"/>
      <c r="D679" s="264"/>
      <c r="E679" s="244"/>
      <c r="F679" s="244"/>
      <c r="G679" s="244"/>
      <c r="H679" s="244"/>
      <c r="K679" s="265"/>
      <c r="S679" s="244"/>
    </row>
    <row r="680" spans="1:19" ht="15.75" customHeight="1" x14ac:dyDescent="0.25">
      <c r="A680" s="244"/>
      <c r="C680" s="263"/>
      <c r="D680" s="264"/>
      <c r="E680" s="244"/>
      <c r="F680" s="244"/>
      <c r="G680" s="244"/>
      <c r="H680" s="244"/>
      <c r="K680" s="265"/>
      <c r="S680" s="244"/>
    </row>
    <row r="681" spans="1:19" ht="15.75" customHeight="1" x14ac:dyDescent="0.25">
      <c r="A681" s="244"/>
      <c r="C681" s="263"/>
      <c r="D681" s="264"/>
      <c r="E681" s="244"/>
      <c r="F681" s="244"/>
      <c r="G681" s="244"/>
      <c r="H681" s="244"/>
      <c r="K681" s="265"/>
      <c r="S681" s="244"/>
    </row>
    <row r="682" spans="1:19" ht="15.75" customHeight="1" x14ac:dyDescent="0.25">
      <c r="A682" s="244"/>
      <c r="C682" s="263"/>
      <c r="D682" s="264"/>
      <c r="E682" s="244"/>
      <c r="F682" s="244"/>
      <c r="G682" s="244"/>
      <c r="H682" s="244"/>
      <c r="K682" s="265"/>
      <c r="S682" s="244"/>
    </row>
    <row r="683" spans="1:19" ht="15.75" customHeight="1" x14ac:dyDescent="0.25">
      <c r="A683" s="244"/>
      <c r="C683" s="263"/>
      <c r="D683" s="264"/>
      <c r="E683" s="244"/>
      <c r="F683" s="244"/>
      <c r="G683" s="244"/>
      <c r="H683" s="244"/>
      <c r="K683" s="265"/>
      <c r="S683" s="244"/>
    </row>
    <row r="684" spans="1:19" ht="15.75" customHeight="1" x14ac:dyDescent="0.25">
      <c r="A684" s="244"/>
      <c r="C684" s="263"/>
      <c r="D684" s="264"/>
      <c r="E684" s="244"/>
      <c r="F684" s="244"/>
      <c r="G684" s="244"/>
      <c r="H684" s="244"/>
      <c r="K684" s="265"/>
      <c r="S684" s="244"/>
    </row>
    <row r="685" spans="1:19" ht="15.75" customHeight="1" x14ac:dyDescent="0.25">
      <c r="A685" s="244"/>
      <c r="C685" s="263"/>
      <c r="D685" s="264"/>
      <c r="E685" s="244"/>
      <c r="F685" s="244"/>
      <c r="G685" s="244"/>
      <c r="H685" s="244"/>
      <c r="K685" s="265"/>
      <c r="S685" s="244"/>
    </row>
    <row r="686" spans="1:19" ht="15.75" customHeight="1" x14ac:dyDescent="0.25">
      <c r="A686" s="244"/>
      <c r="C686" s="263"/>
      <c r="D686" s="264"/>
      <c r="E686" s="244"/>
      <c r="F686" s="244"/>
      <c r="G686" s="244"/>
      <c r="H686" s="244"/>
      <c r="K686" s="265"/>
      <c r="S686" s="244"/>
    </row>
    <row r="687" spans="1:19" ht="15.75" customHeight="1" x14ac:dyDescent="0.25">
      <c r="A687" s="244"/>
      <c r="C687" s="263"/>
      <c r="D687" s="264"/>
      <c r="E687" s="244"/>
      <c r="F687" s="244"/>
      <c r="G687" s="244"/>
      <c r="H687" s="244"/>
      <c r="K687" s="265"/>
      <c r="S687" s="244"/>
    </row>
    <row r="688" spans="1:19" ht="15.75" customHeight="1" x14ac:dyDescent="0.25">
      <c r="A688" s="244"/>
      <c r="C688" s="263"/>
      <c r="D688" s="264"/>
      <c r="E688" s="244"/>
      <c r="F688" s="244"/>
      <c r="G688" s="244"/>
      <c r="H688" s="244"/>
      <c r="K688" s="265"/>
      <c r="S688" s="244"/>
    </row>
    <row r="689" spans="1:19" ht="15.75" customHeight="1" x14ac:dyDescent="0.25">
      <c r="A689" s="244"/>
      <c r="C689" s="263"/>
      <c r="D689" s="264"/>
      <c r="E689" s="244"/>
      <c r="F689" s="244"/>
      <c r="G689" s="244"/>
      <c r="H689" s="244"/>
      <c r="K689" s="265"/>
      <c r="S689" s="244"/>
    </row>
    <row r="690" spans="1:19" ht="15.75" customHeight="1" x14ac:dyDescent="0.25">
      <c r="A690" s="244"/>
      <c r="C690" s="263"/>
      <c r="D690" s="264"/>
      <c r="E690" s="244"/>
      <c r="F690" s="244"/>
      <c r="G690" s="244"/>
      <c r="H690" s="244"/>
      <c r="K690" s="265"/>
      <c r="S690" s="244"/>
    </row>
    <row r="691" spans="1:19" ht="15.75" customHeight="1" x14ac:dyDescent="0.25">
      <c r="A691" s="244"/>
      <c r="C691" s="263"/>
      <c r="D691" s="264"/>
      <c r="E691" s="244"/>
      <c r="F691" s="244"/>
      <c r="G691" s="244"/>
      <c r="H691" s="244"/>
      <c r="K691" s="265"/>
      <c r="S691" s="244"/>
    </row>
    <row r="692" spans="1:19" ht="15.75" customHeight="1" x14ac:dyDescent="0.25">
      <c r="A692" s="244"/>
      <c r="C692" s="263"/>
      <c r="D692" s="264"/>
      <c r="E692" s="244"/>
      <c r="F692" s="244"/>
      <c r="G692" s="244"/>
      <c r="H692" s="244"/>
      <c r="K692" s="265"/>
      <c r="S692" s="244"/>
    </row>
    <row r="693" spans="1:19" ht="15.75" customHeight="1" x14ac:dyDescent="0.25">
      <c r="A693" s="244"/>
      <c r="C693" s="263"/>
      <c r="D693" s="264"/>
      <c r="E693" s="244"/>
      <c r="F693" s="244"/>
      <c r="G693" s="244"/>
      <c r="H693" s="244"/>
      <c r="K693" s="265"/>
      <c r="S693" s="244"/>
    </row>
    <row r="694" spans="1:19" ht="15.75" customHeight="1" x14ac:dyDescent="0.25">
      <c r="A694" s="244"/>
      <c r="C694" s="263"/>
      <c r="D694" s="264"/>
      <c r="E694" s="244"/>
      <c r="F694" s="244"/>
      <c r="G694" s="244"/>
      <c r="H694" s="244"/>
      <c r="K694" s="265"/>
      <c r="S694" s="244"/>
    </row>
    <row r="695" spans="1:19" ht="15.75" customHeight="1" x14ac:dyDescent="0.25">
      <c r="A695" s="244"/>
      <c r="C695" s="263"/>
      <c r="D695" s="264"/>
      <c r="E695" s="244"/>
      <c r="F695" s="244"/>
      <c r="G695" s="244"/>
      <c r="H695" s="244"/>
      <c r="K695" s="265"/>
      <c r="S695" s="244"/>
    </row>
    <row r="696" spans="1:19" ht="15.75" customHeight="1" x14ac:dyDescent="0.25">
      <c r="A696" s="244"/>
      <c r="C696" s="263"/>
      <c r="D696" s="264"/>
      <c r="E696" s="244"/>
      <c r="F696" s="244"/>
      <c r="G696" s="244"/>
      <c r="H696" s="244"/>
      <c r="K696" s="265"/>
      <c r="S696" s="244"/>
    </row>
    <row r="697" spans="1:19" ht="15.75" customHeight="1" x14ac:dyDescent="0.25">
      <c r="A697" s="244"/>
      <c r="C697" s="263"/>
      <c r="D697" s="264"/>
      <c r="E697" s="244"/>
      <c r="F697" s="244"/>
      <c r="G697" s="244"/>
      <c r="H697" s="244"/>
      <c r="K697" s="265"/>
      <c r="S697" s="244"/>
    </row>
    <row r="698" spans="1:19" ht="15.75" customHeight="1" x14ac:dyDescent="0.25">
      <c r="A698" s="244"/>
      <c r="C698" s="263"/>
      <c r="D698" s="264"/>
      <c r="E698" s="244"/>
      <c r="F698" s="244"/>
      <c r="G698" s="244"/>
      <c r="H698" s="244"/>
      <c r="K698" s="265"/>
      <c r="S698" s="244"/>
    </row>
    <row r="699" spans="1:19" ht="15.75" customHeight="1" x14ac:dyDescent="0.25">
      <c r="A699" s="244"/>
      <c r="C699" s="263"/>
      <c r="D699" s="264"/>
      <c r="E699" s="244"/>
      <c r="F699" s="244"/>
      <c r="G699" s="244"/>
      <c r="H699" s="244"/>
      <c r="K699" s="265"/>
      <c r="S699" s="244"/>
    </row>
    <row r="700" spans="1:19" ht="15.75" customHeight="1" x14ac:dyDescent="0.25">
      <c r="A700" s="244"/>
      <c r="C700" s="263"/>
      <c r="D700" s="264"/>
      <c r="E700" s="244"/>
      <c r="F700" s="244"/>
      <c r="G700" s="244"/>
      <c r="H700" s="244"/>
      <c r="K700" s="265"/>
      <c r="S700" s="244"/>
    </row>
    <row r="701" spans="1:19" ht="15.75" customHeight="1" x14ac:dyDescent="0.25">
      <c r="A701" s="244"/>
      <c r="C701" s="263"/>
      <c r="D701" s="264"/>
      <c r="E701" s="244"/>
      <c r="F701" s="244"/>
      <c r="G701" s="244"/>
      <c r="H701" s="244"/>
      <c r="K701" s="265"/>
      <c r="S701" s="244"/>
    </row>
    <row r="702" spans="1:19" ht="15.75" customHeight="1" x14ac:dyDescent="0.25">
      <c r="A702" s="244"/>
      <c r="C702" s="263"/>
      <c r="D702" s="264"/>
      <c r="E702" s="244"/>
      <c r="F702" s="244"/>
      <c r="G702" s="244"/>
      <c r="H702" s="244"/>
      <c r="K702" s="265"/>
      <c r="S702" s="244"/>
    </row>
    <row r="703" spans="1:19" ht="15.75" customHeight="1" x14ac:dyDescent="0.25">
      <c r="A703" s="244"/>
      <c r="C703" s="263"/>
      <c r="D703" s="264"/>
      <c r="E703" s="244"/>
      <c r="F703" s="244"/>
      <c r="G703" s="244"/>
      <c r="H703" s="244"/>
      <c r="K703" s="265"/>
      <c r="S703" s="244"/>
    </row>
    <row r="704" spans="1:19" ht="15.75" customHeight="1" x14ac:dyDescent="0.25">
      <c r="A704" s="244"/>
      <c r="C704" s="263"/>
      <c r="D704" s="264"/>
      <c r="E704" s="244"/>
      <c r="F704" s="244"/>
      <c r="G704" s="244"/>
      <c r="H704" s="244"/>
      <c r="K704" s="265"/>
      <c r="S704" s="244"/>
    </row>
    <row r="705" spans="1:19" ht="15.75" customHeight="1" x14ac:dyDescent="0.25">
      <c r="A705" s="244"/>
      <c r="C705" s="263"/>
      <c r="D705" s="264"/>
      <c r="E705" s="244"/>
      <c r="F705" s="244"/>
      <c r="G705" s="244"/>
      <c r="H705" s="244"/>
      <c r="K705" s="265"/>
      <c r="S705" s="244"/>
    </row>
    <row r="706" spans="1:19" ht="15.75" customHeight="1" x14ac:dyDescent="0.25">
      <c r="A706" s="244"/>
      <c r="C706" s="263"/>
      <c r="D706" s="264"/>
      <c r="E706" s="244"/>
      <c r="F706" s="244"/>
      <c r="G706" s="244"/>
      <c r="H706" s="244"/>
      <c r="K706" s="265"/>
      <c r="S706" s="244"/>
    </row>
    <row r="707" spans="1:19" ht="15.75" customHeight="1" x14ac:dyDescent="0.25">
      <c r="A707" s="244"/>
      <c r="C707" s="263"/>
      <c r="D707" s="264"/>
      <c r="E707" s="244"/>
      <c r="F707" s="244"/>
      <c r="G707" s="244"/>
      <c r="H707" s="244"/>
      <c r="K707" s="265"/>
      <c r="S707" s="244"/>
    </row>
    <row r="708" spans="1:19" ht="15.75" customHeight="1" x14ac:dyDescent="0.25">
      <c r="A708" s="244"/>
      <c r="C708" s="263"/>
      <c r="D708" s="264"/>
      <c r="E708" s="244"/>
      <c r="F708" s="244"/>
      <c r="G708" s="244"/>
      <c r="H708" s="244"/>
      <c r="K708" s="265"/>
      <c r="S708" s="244"/>
    </row>
    <row r="709" spans="1:19" ht="15.75" customHeight="1" x14ac:dyDescent="0.25">
      <c r="A709" s="244"/>
      <c r="C709" s="263"/>
      <c r="D709" s="264"/>
      <c r="E709" s="244"/>
      <c r="F709" s="244"/>
      <c r="G709" s="244"/>
      <c r="H709" s="244"/>
      <c r="K709" s="265"/>
      <c r="S709" s="244"/>
    </row>
    <row r="710" spans="1:19" ht="15.75" customHeight="1" x14ac:dyDescent="0.25">
      <c r="A710" s="244"/>
      <c r="C710" s="263"/>
      <c r="D710" s="264"/>
      <c r="E710" s="244"/>
      <c r="F710" s="244"/>
      <c r="G710" s="244"/>
      <c r="H710" s="244"/>
      <c r="K710" s="265"/>
      <c r="S710" s="244"/>
    </row>
    <row r="711" spans="1:19" ht="15.75" customHeight="1" x14ac:dyDescent="0.25">
      <c r="A711" s="244"/>
      <c r="C711" s="263"/>
      <c r="D711" s="264"/>
      <c r="E711" s="244"/>
      <c r="F711" s="244"/>
      <c r="G711" s="244"/>
      <c r="H711" s="244"/>
      <c r="K711" s="265"/>
      <c r="S711" s="244"/>
    </row>
    <row r="712" spans="1:19" ht="15.75" customHeight="1" x14ac:dyDescent="0.25">
      <c r="A712" s="244"/>
      <c r="C712" s="263"/>
      <c r="D712" s="264"/>
      <c r="E712" s="244"/>
      <c r="F712" s="244"/>
      <c r="G712" s="244"/>
      <c r="H712" s="244"/>
      <c r="K712" s="265"/>
      <c r="S712" s="244"/>
    </row>
    <row r="713" spans="1:19" ht="15.75" customHeight="1" x14ac:dyDescent="0.25">
      <c r="A713" s="244"/>
      <c r="C713" s="263"/>
      <c r="D713" s="264"/>
      <c r="E713" s="244"/>
      <c r="F713" s="244"/>
      <c r="G713" s="244"/>
      <c r="H713" s="244"/>
      <c r="K713" s="265"/>
      <c r="S713" s="244"/>
    </row>
    <row r="714" spans="1:19" ht="15.75" customHeight="1" x14ac:dyDescent="0.25">
      <c r="A714" s="244"/>
      <c r="C714" s="263"/>
      <c r="D714" s="264"/>
      <c r="E714" s="244"/>
      <c r="F714" s="244"/>
      <c r="G714" s="244"/>
      <c r="H714" s="244"/>
      <c r="K714" s="265"/>
      <c r="S714" s="244"/>
    </row>
    <row r="715" spans="1:19" ht="15.75" customHeight="1" x14ac:dyDescent="0.25">
      <c r="A715" s="244"/>
      <c r="C715" s="263"/>
      <c r="D715" s="264"/>
      <c r="E715" s="244"/>
      <c r="F715" s="244"/>
      <c r="G715" s="244"/>
      <c r="H715" s="244"/>
      <c r="K715" s="265"/>
      <c r="S715" s="244"/>
    </row>
    <row r="716" spans="1:19" ht="15.75" customHeight="1" x14ac:dyDescent="0.25">
      <c r="A716" s="244"/>
      <c r="C716" s="263"/>
      <c r="D716" s="264"/>
      <c r="E716" s="244"/>
      <c r="F716" s="244"/>
      <c r="G716" s="244"/>
      <c r="H716" s="244"/>
      <c r="K716" s="265"/>
      <c r="S716" s="244"/>
    </row>
    <row r="717" spans="1:19" ht="15.75" customHeight="1" x14ac:dyDescent="0.25">
      <c r="A717" s="244"/>
      <c r="C717" s="263"/>
      <c r="D717" s="264"/>
      <c r="E717" s="244"/>
      <c r="F717" s="244"/>
      <c r="G717" s="244"/>
      <c r="H717" s="244"/>
      <c r="K717" s="265"/>
      <c r="S717" s="244"/>
    </row>
    <row r="718" spans="1:19" ht="15.75" customHeight="1" x14ac:dyDescent="0.25">
      <c r="A718" s="244"/>
      <c r="C718" s="263"/>
      <c r="D718" s="264"/>
      <c r="E718" s="244"/>
      <c r="F718" s="244"/>
      <c r="G718" s="244"/>
      <c r="H718" s="244"/>
      <c r="K718" s="265"/>
      <c r="S718" s="244"/>
    </row>
    <row r="719" spans="1:19" ht="15.75" customHeight="1" x14ac:dyDescent="0.25">
      <c r="A719" s="244"/>
      <c r="C719" s="263"/>
      <c r="D719" s="264"/>
      <c r="E719" s="244"/>
      <c r="F719" s="244"/>
      <c r="G719" s="244"/>
      <c r="H719" s="244"/>
      <c r="K719" s="265"/>
      <c r="S719" s="244"/>
    </row>
    <row r="720" spans="1:19" ht="15.75" customHeight="1" x14ac:dyDescent="0.25">
      <c r="A720" s="244"/>
      <c r="C720" s="263"/>
      <c r="D720" s="264"/>
      <c r="E720" s="244"/>
      <c r="F720" s="244"/>
      <c r="G720" s="244"/>
      <c r="H720" s="244"/>
      <c r="K720" s="265"/>
      <c r="S720" s="244"/>
    </row>
    <row r="721" spans="1:19" ht="15.75" customHeight="1" x14ac:dyDescent="0.25">
      <c r="A721" s="244"/>
      <c r="C721" s="263"/>
      <c r="D721" s="264"/>
      <c r="E721" s="244"/>
      <c r="F721" s="244"/>
      <c r="G721" s="244"/>
      <c r="H721" s="244"/>
      <c r="K721" s="265"/>
      <c r="S721" s="244"/>
    </row>
    <row r="722" spans="1:19" ht="15.75" customHeight="1" x14ac:dyDescent="0.25">
      <c r="A722" s="244"/>
      <c r="C722" s="263"/>
      <c r="D722" s="264"/>
      <c r="E722" s="244"/>
      <c r="F722" s="244"/>
      <c r="G722" s="244"/>
      <c r="H722" s="244"/>
      <c r="K722" s="265"/>
      <c r="S722" s="244"/>
    </row>
    <row r="723" spans="1:19" ht="15.75" customHeight="1" x14ac:dyDescent="0.25">
      <c r="A723" s="244"/>
      <c r="C723" s="263"/>
      <c r="D723" s="264"/>
      <c r="E723" s="244"/>
      <c r="F723" s="244"/>
      <c r="G723" s="244"/>
      <c r="H723" s="244"/>
      <c r="K723" s="265"/>
      <c r="S723" s="244"/>
    </row>
    <row r="724" spans="1:19" ht="15.75" customHeight="1" x14ac:dyDescent="0.25">
      <c r="A724" s="244"/>
      <c r="C724" s="263"/>
      <c r="D724" s="264"/>
      <c r="E724" s="244"/>
      <c r="F724" s="244"/>
      <c r="G724" s="244"/>
      <c r="H724" s="244"/>
      <c r="K724" s="265"/>
      <c r="S724" s="244"/>
    </row>
    <row r="725" spans="1:19" ht="15.75" customHeight="1" x14ac:dyDescent="0.25">
      <c r="A725" s="244"/>
      <c r="C725" s="263"/>
      <c r="D725" s="264"/>
      <c r="E725" s="244"/>
      <c r="F725" s="244"/>
      <c r="G725" s="244"/>
      <c r="H725" s="244"/>
      <c r="K725" s="265"/>
      <c r="S725" s="244"/>
    </row>
    <row r="726" spans="1:19" ht="15.75" customHeight="1" x14ac:dyDescent="0.25">
      <c r="A726" s="244"/>
      <c r="C726" s="263"/>
      <c r="D726" s="264"/>
      <c r="E726" s="244"/>
      <c r="F726" s="244"/>
      <c r="G726" s="244"/>
      <c r="H726" s="244"/>
      <c r="K726" s="265"/>
      <c r="S726" s="244"/>
    </row>
    <row r="727" spans="1:19" ht="15.75" customHeight="1" x14ac:dyDescent="0.25">
      <c r="A727" s="244"/>
      <c r="C727" s="263"/>
      <c r="D727" s="264"/>
      <c r="E727" s="244"/>
      <c r="F727" s="244"/>
      <c r="G727" s="244"/>
      <c r="H727" s="244"/>
      <c r="K727" s="265"/>
      <c r="S727" s="244"/>
    </row>
    <row r="728" spans="1:19" ht="15.75" customHeight="1" x14ac:dyDescent="0.25">
      <c r="A728" s="244"/>
      <c r="C728" s="263"/>
      <c r="D728" s="264"/>
      <c r="E728" s="244"/>
      <c r="F728" s="244"/>
      <c r="G728" s="244"/>
      <c r="H728" s="244"/>
      <c r="K728" s="265"/>
      <c r="S728" s="244"/>
    </row>
    <row r="729" spans="1:19" ht="15.75" customHeight="1" x14ac:dyDescent="0.25">
      <c r="A729" s="244"/>
      <c r="C729" s="263"/>
      <c r="D729" s="264"/>
      <c r="E729" s="244"/>
      <c r="F729" s="244"/>
      <c r="G729" s="244"/>
      <c r="H729" s="244"/>
      <c r="K729" s="265"/>
      <c r="S729" s="244"/>
    </row>
    <row r="730" spans="1:19" ht="15.75" customHeight="1" x14ac:dyDescent="0.25">
      <c r="A730" s="244"/>
      <c r="C730" s="263"/>
      <c r="D730" s="264"/>
      <c r="E730" s="244"/>
      <c r="F730" s="244"/>
      <c r="G730" s="244"/>
      <c r="H730" s="244"/>
      <c r="K730" s="265"/>
      <c r="S730" s="244"/>
    </row>
    <row r="731" spans="1:19" ht="15.75" customHeight="1" x14ac:dyDescent="0.25">
      <c r="A731" s="244"/>
      <c r="C731" s="263"/>
      <c r="D731" s="264"/>
      <c r="E731" s="244"/>
      <c r="F731" s="244"/>
      <c r="G731" s="244"/>
      <c r="H731" s="244"/>
      <c r="K731" s="265"/>
      <c r="S731" s="244"/>
    </row>
    <row r="732" spans="1:19" ht="15.75" customHeight="1" x14ac:dyDescent="0.25">
      <c r="A732" s="244"/>
      <c r="C732" s="263"/>
      <c r="D732" s="264"/>
      <c r="E732" s="244"/>
      <c r="F732" s="244"/>
      <c r="G732" s="244"/>
      <c r="H732" s="244"/>
      <c r="K732" s="265"/>
      <c r="S732" s="244"/>
    </row>
    <row r="733" spans="1:19" ht="15.75" customHeight="1" x14ac:dyDescent="0.25">
      <c r="A733" s="244"/>
      <c r="C733" s="263"/>
      <c r="D733" s="264"/>
      <c r="E733" s="244"/>
      <c r="F733" s="244"/>
      <c r="G733" s="244"/>
      <c r="H733" s="244"/>
      <c r="K733" s="265"/>
      <c r="S733" s="244"/>
    </row>
    <row r="734" spans="1:19" ht="15.75" customHeight="1" x14ac:dyDescent="0.25">
      <c r="A734" s="244"/>
      <c r="C734" s="263"/>
      <c r="D734" s="264"/>
      <c r="E734" s="244"/>
      <c r="F734" s="244"/>
      <c r="G734" s="244"/>
      <c r="H734" s="244"/>
      <c r="K734" s="265"/>
      <c r="S734" s="244"/>
    </row>
    <row r="735" spans="1:19" ht="15.75" customHeight="1" x14ac:dyDescent="0.25">
      <c r="A735" s="244"/>
      <c r="C735" s="263"/>
      <c r="D735" s="264"/>
      <c r="E735" s="244"/>
      <c r="F735" s="244"/>
      <c r="G735" s="244"/>
      <c r="H735" s="244"/>
      <c r="K735" s="265"/>
      <c r="S735" s="244"/>
    </row>
    <row r="736" spans="1:19" ht="15.75" customHeight="1" x14ac:dyDescent="0.25">
      <c r="A736" s="244"/>
      <c r="C736" s="263"/>
      <c r="D736" s="264"/>
      <c r="E736" s="244"/>
      <c r="F736" s="244"/>
      <c r="G736" s="244"/>
      <c r="H736" s="244"/>
      <c r="K736" s="265"/>
      <c r="S736" s="244"/>
    </row>
    <row r="737" spans="1:19" ht="15.75" customHeight="1" x14ac:dyDescent="0.25">
      <c r="A737" s="244"/>
      <c r="C737" s="263"/>
      <c r="D737" s="264"/>
      <c r="E737" s="244"/>
      <c r="F737" s="244"/>
      <c r="G737" s="244"/>
      <c r="H737" s="244"/>
      <c r="K737" s="265"/>
      <c r="S737" s="244"/>
    </row>
    <row r="738" spans="1:19" ht="15.75" customHeight="1" x14ac:dyDescent="0.25">
      <c r="A738" s="244"/>
      <c r="C738" s="263"/>
      <c r="D738" s="264"/>
      <c r="E738" s="244"/>
      <c r="F738" s="244"/>
      <c r="G738" s="244"/>
      <c r="H738" s="244"/>
      <c r="K738" s="265"/>
      <c r="S738" s="244"/>
    </row>
    <row r="739" spans="1:19" ht="15.75" customHeight="1" x14ac:dyDescent="0.25">
      <c r="A739" s="244"/>
      <c r="C739" s="263"/>
      <c r="D739" s="264"/>
      <c r="E739" s="244"/>
      <c r="F739" s="244"/>
      <c r="G739" s="244"/>
      <c r="H739" s="244"/>
      <c r="K739" s="265"/>
      <c r="S739" s="244"/>
    </row>
    <row r="740" spans="1:19" ht="15.75" customHeight="1" x14ac:dyDescent="0.25">
      <c r="A740" s="244"/>
      <c r="C740" s="263"/>
      <c r="D740" s="264"/>
      <c r="E740" s="244"/>
      <c r="F740" s="244"/>
      <c r="G740" s="244"/>
      <c r="H740" s="244"/>
      <c r="K740" s="265"/>
      <c r="S740" s="244"/>
    </row>
    <row r="741" spans="1:19" ht="15.75" customHeight="1" x14ac:dyDescent="0.25">
      <c r="A741" s="244"/>
      <c r="C741" s="263"/>
      <c r="D741" s="264"/>
      <c r="E741" s="244"/>
      <c r="F741" s="244"/>
      <c r="G741" s="244"/>
      <c r="H741" s="244"/>
      <c r="K741" s="265"/>
      <c r="S741" s="244"/>
    </row>
    <row r="742" spans="1:19" ht="15.75" customHeight="1" x14ac:dyDescent="0.25">
      <c r="A742" s="244"/>
      <c r="C742" s="263"/>
      <c r="D742" s="264"/>
      <c r="E742" s="244"/>
      <c r="F742" s="244"/>
      <c r="G742" s="244"/>
      <c r="H742" s="244"/>
      <c r="K742" s="265"/>
      <c r="S742" s="244"/>
    </row>
    <row r="743" spans="1:19" ht="15.75" customHeight="1" x14ac:dyDescent="0.25">
      <c r="A743" s="244"/>
      <c r="C743" s="263"/>
      <c r="D743" s="264"/>
      <c r="E743" s="244"/>
      <c r="F743" s="244"/>
      <c r="G743" s="244"/>
      <c r="H743" s="244"/>
      <c r="K743" s="265"/>
      <c r="S743" s="244"/>
    </row>
    <row r="744" spans="1:19" ht="15.75" customHeight="1" x14ac:dyDescent="0.25">
      <c r="A744" s="244"/>
      <c r="C744" s="263"/>
      <c r="D744" s="264"/>
      <c r="E744" s="244"/>
      <c r="F744" s="244"/>
      <c r="G744" s="244"/>
      <c r="H744" s="244"/>
      <c r="K744" s="265"/>
      <c r="S744" s="244"/>
    </row>
    <row r="745" spans="1:19" ht="15.75" customHeight="1" x14ac:dyDescent="0.25">
      <c r="A745" s="244"/>
      <c r="C745" s="263"/>
      <c r="D745" s="264"/>
      <c r="E745" s="244"/>
      <c r="F745" s="244"/>
      <c r="G745" s="244"/>
      <c r="H745" s="244"/>
      <c r="K745" s="265"/>
      <c r="S745" s="244"/>
    </row>
    <row r="746" spans="1:19" ht="15.75" customHeight="1" x14ac:dyDescent="0.25">
      <c r="A746" s="244"/>
      <c r="C746" s="263"/>
      <c r="D746" s="264"/>
      <c r="E746" s="244"/>
      <c r="F746" s="244"/>
      <c r="G746" s="244"/>
      <c r="H746" s="244"/>
      <c r="K746" s="265"/>
      <c r="S746" s="244"/>
    </row>
    <row r="747" spans="1:19" ht="15.75" customHeight="1" x14ac:dyDescent="0.25">
      <c r="A747" s="244"/>
      <c r="C747" s="263"/>
      <c r="D747" s="264"/>
      <c r="E747" s="244"/>
      <c r="F747" s="244"/>
      <c r="G747" s="244"/>
      <c r="H747" s="244"/>
      <c r="K747" s="265"/>
      <c r="S747" s="244"/>
    </row>
    <row r="748" spans="1:19" ht="15.75" customHeight="1" x14ac:dyDescent="0.25">
      <c r="A748" s="244"/>
      <c r="C748" s="263"/>
      <c r="D748" s="264"/>
      <c r="E748" s="244"/>
      <c r="F748" s="244"/>
      <c r="G748" s="244"/>
      <c r="H748" s="244"/>
      <c r="K748" s="265"/>
      <c r="S748" s="244"/>
    </row>
    <row r="749" spans="1:19" ht="15.75" customHeight="1" x14ac:dyDescent="0.25">
      <c r="A749" s="244"/>
      <c r="C749" s="263"/>
      <c r="D749" s="264"/>
      <c r="E749" s="244"/>
      <c r="F749" s="244"/>
      <c r="G749" s="244"/>
      <c r="H749" s="244"/>
      <c r="K749" s="265"/>
      <c r="S749" s="244"/>
    </row>
    <row r="750" spans="1:19" ht="15.75" customHeight="1" x14ac:dyDescent="0.25">
      <c r="A750" s="244"/>
      <c r="C750" s="263"/>
      <c r="D750" s="264"/>
      <c r="E750" s="244"/>
      <c r="F750" s="244"/>
      <c r="G750" s="244"/>
      <c r="H750" s="244"/>
      <c r="K750" s="265"/>
      <c r="S750" s="244"/>
    </row>
    <row r="751" spans="1:19" ht="15.75" customHeight="1" x14ac:dyDescent="0.25">
      <c r="A751" s="244"/>
      <c r="C751" s="263"/>
      <c r="D751" s="264"/>
      <c r="E751" s="244"/>
      <c r="F751" s="244"/>
      <c r="G751" s="244"/>
      <c r="H751" s="244"/>
      <c r="K751" s="265"/>
      <c r="S751" s="244"/>
    </row>
    <row r="752" spans="1:19" ht="15.75" customHeight="1" x14ac:dyDescent="0.25">
      <c r="A752" s="244"/>
      <c r="C752" s="263"/>
      <c r="D752" s="264"/>
      <c r="E752" s="244"/>
      <c r="F752" s="244"/>
      <c r="G752" s="244"/>
      <c r="H752" s="244"/>
      <c r="K752" s="265"/>
      <c r="S752" s="244"/>
    </row>
    <row r="753" spans="1:19" ht="15.75" customHeight="1" x14ac:dyDescent="0.25">
      <c r="A753" s="244"/>
      <c r="C753" s="263"/>
      <c r="D753" s="264"/>
      <c r="E753" s="244"/>
      <c r="F753" s="244"/>
      <c r="G753" s="244"/>
      <c r="H753" s="244"/>
      <c r="K753" s="265"/>
      <c r="S753" s="244"/>
    </row>
    <row r="754" spans="1:19" ht="15.75" customHeight="1" x14ac:dyDescent="0.25">
      <c r="A754" s="244"/>
      <c r="C754" s="263"/>
      <c r="D754" s="264"/>
      <c r="E754" s="244"/>
      <c r="F754" s="244"/>
      <c r="G754" s="244"/>
      <c r="H754" s="244"/>
      <c r="K754" s="265"/>
      <c r="S754" s="244"/>
    </row>
    <row r="755" spans="1:19" ht="15.75" customHeight="1" x14ac:dyDescent="0.25">
      <c r="A755" s="244"/>
      <c r="C755" s="263"/>
      <c r="D755" s="264"/>
      <c r="E755" s="244"/>
      <c r="F755" s="244"/>
      <c r="G755" s="244"/>
      <c r="H755" s="244"/>
      <c r="K755" s="265"/>
      <c r="S755" s="244"/>
    </row>
    <row r="756" spans="1:19" ht="15.75" customHeight="1" x14ac:dyDescent="0.25">
      <c r="A756" s="244"/>
      <c r="C756" s="263"/>
      <c r="D756" s="264"/>
      <c r="E756" s="244"/>
      <c r="F756" s="244"/>
      <c r="G756" s="244"/>
      <c r="H756" s="244"/>
      <c r="K756" s="265"/>
      <c r="S756" s="244"/>
    </row>
    <row r="757" spans="1:19" ht="15.75" customHeight="1" x14ac:dyDescent="0.25">
      <c r="A757" s="244"/>
      <c r="C757" s="263"/>
      <c r="D757" s="264"/>
      <c r="E757" s="244"/>
      <c r="F757" s="244"/>
      <c r="G757" s="244"/>
      <c r="H757" s="244"/>
      <c r="K757" s="265"/>
      <c r="S757" s="244"/>
    </row>
    <row r="758" spans="1:19" ht="15.75" customHeight="1" x14ac:dyDescent="0.25">
      <c r="A758" s="244"/>
      <c r="C758" s="263"/>
      <c r="D758" s="264"/>
      <c r="E758" s="244"/>
      <c r="F758" s="244"/>
      <c r="G758" s="244"/>
      <c r="H758" s="244"/>
      <c r="K758" s="265"/>
      <c r="S758" s="244"/>
    </row>
    <row r="759" spans="1:19" ht="15.75" customHeight="1" x14ac:dyDescent="0.25">
      <c r="A759" s="244"/>
      <c r="C759" s="263"/>
      <c r="D759" s="264"/>
      <c r="E759" s="244"/>
      <c r="F759" s="244"/>
      <c r="G759" s="244"/>
      <c r="H759" s="244"/>
      <c r="K759" s="265"/>
      <c r="S759" s="244"/>
    </row>
    <row r="760" spans="1:19" ht="15.75" customHeight="1" x14ac:dyDescent="0.25">
      <c r="A760" s="244"/>
      <c r="C760" s="263"/>
      <c r="D760" s="264"/>
      <c r="E760" s="244"/>
      <c r="F760" s="244"/>
      <c r="G760" s="244"/>
      <c r="H760" s="244"/>
      <c r="K760" s="265"/>
      <c r="S760" s="244"/>
    </row>
    <row r="761" spans="1:19" ht="15.75" customHeight="1" x14ac:dyDescent="0.25">
      <c r="A761" s="244"/>
      <c r="C761" s="263"/>
      <c r="D761" s="264"/>
      <c r="E761" s="244"/>
      <c r="F761" s="244"/>
      <c r="G761" s="244"/>
      <c r="H761" s="244"/>
      <c r="K761" s="265"/>
      <c r="S761" s="244"/>
    </row>
    <row r="762" spans="1:19" ht="15.75" customHeight="1" x14ac:dyDescent="0.25">
      <c r="A762" s="244"/>
      <c r="C762" s="263"/>
      <c r="D762" s="264"/>
      <c r="E762" s="244"/>
      <c r="F762" s="244"/>
      <c r="G762" s="244"/>
      <c r="H762" s="244"/>
      <c r="K762" s="265"/>
      <c r="S762" s="244"/>
    </row>
    <row r="763" spans="1:19" ht="15.75" customHeight="1" x14ac:dyDescent="0.25">
      <c r="A763" s="244"/>
      <c r="C763" s="263"/>
      <c r="D763" s="264"/>
      <c r="E763" s="244"/>
      <c r="F763" s="244"/>
      <c r="G763" s="244"/>
      <c r="H763" s="244"/>
      <c r="K763" s="265"/>
      <c r="S763" s="244"/>
    </row>
    <row r="764" spans="1:19" ht="15.75" customHeight="1" x14ac:dyDescent="0.25">
      <c r="A764" s="244"/>
      <c r="C764" s="263"/>
      <c r="D764" s="264"/>
      <c r="E764" s="244"/>
      <c r="F764" s="244"/>
      <c r="G764" s="244"/>
      <c r="H764" s="244"/>
      <c r="K764" s="265"/>
      <c r="S764" s="244"/>
    </row>
    <row r="765" spans="1:19" ht="15.75" customHeight="1" x14ac:dyDescent="0.25">
      <c r="A765" s="244"/>
      <c r="C765" s="263"/>
      <c r="D765" s="264"/>
      <c r="E765" s="244"/>
      <c r="F765" s="244"/>
      <c r="G765" s="244"/>
      <c r="H765" s="244"/>
      <c r="K765" s="265"/>
      <c r="S765" s="244"/>
    </row>
    <row r="766" spans="1:19" ht="15.75" customHeight="1" x14ac:dyDescent="0.25">
      <c r="A766" s="244"/>
      <c r="C766" s="263"/>
      <c r="D766" s="264"/>
      <c r="E766" s="244"/>
      <c r="F766" s="244"/>
      <c r="G766" s="244"/>
      <c r="H766" s="244"/>
      <c r="K766" s="265"/>
      <c r="S766" s="244"/>
    </row>
    <row r="767" spans="1:19" ht="15.75" customHeight="1" x14ac:dyDescent="0.25">
      <c r="A767" s="244"/>
      <c r="C767" s="263"/>
      <c r="D767" s="264"/>
      <c r="E767" s="244"/>
      <c r="F767" s="244"/>
      <c r="G767" s="244"/>
      <c r="H767" s="244"/>
      <c r="K767" s="265"/>
      <c r="S767" s="244"/>
    </row>
    <row r="768" spans="1:19" ht="15.75" customHeight="1" x14ac:dyDescent="0.25">
      <c r="A768" s="244"/>
      <c r="C768" s="263"/>
      <c r="D768" s="264"/>
      <c r="E768" s="244"/>
      <c r="F768" s="244"/>
      <c r="G768" s="244"/>
      <c r="H768" s="244"/>
      <c r="K768" s="265"/>
      <c r="S768" s="244"/>
    </row>
    <row r="769" spans="1:19" ht="15.75" customHeight="1" x14ac:dyDescent="0.25">
      <c r="A769" s="244"/>
      <c r="C769" s="263"/>
      <c r="D769" s="264"/>
      <c r="E769" s="244"/>
      <c r="F769" s="244"/>
      <c r="G769" s="244"/>
      <c r="H769" s="244"/>
      <c r="K769" s="265"/>
      <c r="S769" s="244"/>
    </row>
    <row r="770" spans="1:19" ht="15.75" customHeight="1" x14ac:dyDescent="0.25">
      <c r="A770" s="244"/>
      <c r="C770" s="263"/>
      <c r="D770" s="264"/>
      <c r="E770" s="244"/>
      <c r="F770" s="244"/>
      <c r="G770" s="244"/>
      <c r="H770" s="244"/>
      <c r="K770" s="265"/>
      <c r="S770" s="244"/>
    </row>
    <row r="771" spans="1:19" ht="15.75" customHeight="1" x14ac:dyDescent="0.25">
      <c r="A771" s="244"/>
      <c r="C771" s="263"/>
      <c r="D771" s="264"/>
      <c r="E771" s="244"/>
      <c r="F771" s="244"/>
      <c r="G771" s="244"/>
      <c r="H771" s="244"/>
      <c r="K771" s="265"/>
      <c r="S771" s="244"/>
    </row>
    <row r="772" spans="1:19" ht="15.75" customHeight="1" x14ac:dyDescent="0.25">
      <c r="A772" s="244"/>
      <c r="C772" s="263"/>
      <c r="D772" s="264"/>
      <c r="E772" s="244"/>
      <c r="F772" s="244"/>
      <c r="G772" s="244"/>
      <c r="H772" s="244"/>
      <c r="K772" s="265"/>
      <c r="S772" s="244"/>
    </row>
    <row r="773" spans="1:19" ht="15.75" customHeight="1" x14ac:dyDescent="0.25">
      <c r="A773" s="244"/>
      <c r="C773" s="263"/>
      <c r="D773" s="264"/>
      <c r="E773" s="244"/>
      <c r="F773" s="244"/>
      <c r="G773" s="244"/>
      <c r="H773" s="244"/>
      <c r="K773" s="265"/>
      <c r="S773" s="244"/>
    </row>
    <row r="774" spans="1:19" ht="15.75" customHeight="1" x14ac:dyDescent="0.25">
      <c r="A774" s="244"/>
      <c r="C774" s="263"/>
      <c r="D774" s="264"/>
      <c r="E774" s="244"/>
      <c r="F774" s="244"/>
      <c r="G774" s="244"/>
      <c r="H774" s="244"/>
      <c r="K774" s="265"/>
      <c r="S774" s="244"/>
    </row>
    <row r="775" spans="1:19" ht="15.75" customHeight="1" x14ac:dyDescent="0.25">
      <c r="A775" s="244"/>
      <c r="C775" s="263"/>
      <c r="D775" s="264"/>
      <c r="E775" s="244"/>
      <c r="F775" s="244"/>
      <c r="G775" s="244"/>
      <c r="H775" s="244"/>
      <c r="K775" s="265"/>
      <c r="S775" s="244"/>
    </row>
    <row r="776" spans="1:19" ht="15.75" customHeight="1" x14ac:dyDescent="0.25">
      <c r="A776" s="244"/>
      <c r="C776" s="263"/>
      <c r="D776" s="264"/>
      <c r="E776" s="244"/>
      <c r="F776" s="244"/>
      <c r="G776" s="244"/>
      <c r="H776" s="244"/>
      <c r="K776" s="265"/>
      <c r="S776" s="244"/>
    </row>
    <row r="777" spans="1:19" ht="15.75" customHeight="1" x14ac:dyDescent="0.25">
      <c r="A777" s="244"/>
      <c r="C777" s="263"/>
      <c r="D777" s="264"/>
      <c r="E777" s="244"/>
      <c r="F777" s="244"/>
      <c r="G777" s="244"/>
      <c r="H777" s="244"/>
      <c r="K777" s="265"/>
      <c r="S777" s="244"/>
    </row>
    <row r="778" spans="1:19" ht="15.75" customHeight="1" x14ac:dyDescent="0.25">
      <c r="A778" s="244"/>
      <c r="C778" s="263"/>
      <c r="D778" s="264"/>
      <c r="E778" s="244"/>
      <c r="F778" s="244"/>
      <c r="G778" s="244"/>
      <c r="H778" s="244"/>
      <c r="K778" s="265"/>
      <c r="S778" s="244"/>
    </row>
    <row r="779" spans="1:19" ht="15.75" customHeight="1" x14ac:dyDescent="0.25">
      <c r="A779" s="244"/>
      <c r="C779" s="263"/>
      <c r="D779" s="264"/>
      <c r="E779" s="244"/>
      <c r="F779" s="244"/>
      <c r="G779" s="244"/>
      <c r="H779" s="244"/>
      <c r="K779" s="265"/>
      <c r="S779" s="244"/>
    </row>
    <row r="780" spans="1:19" ht="15.75" customHeight="1" x14ac:dyDescent="0.25">
      <c r="A780" s="244"/>
      <c r="C780" s="263"/>
      <c r="D780" s="264"/>
      <c r="E780" s="244"/>
      <c r="F780" s="244"/>
      <c r="G780" s="244"/>
      <c r="H780" s="244"/>
      <c r="K780" s="265"/>
      <c r="S780" s="244"/>
    </row>
    <row r="781" spans="1:19" ht="15.75" customHeight="1" x14ac:dyDescent="0.25">
      <c r="A781" s="244"/>
      <c r="C781" s="263"/>
      <c r="D781" s="264"/>
      <c r="E781" s="244"/>
      <c r="F781" s="244"/>
      <c r="G781" s="244"/>
      <c r="H781" s="244"/>
      <c r="K781" s="265"/>
      <c r="S781" s="244"/>
    </row>
    <row r="782" spans="1:19" ht="15.75" customHeight="1" x14ac:dyDescent="0.25">
      <c r="A782" s="244"/>
      <c r="C782" s="263"/>
      <c r="D782" s="264"/>
      <c r="E782" s="244"/>
      <c r="F782" s="244"/>
      <c r="G782" s="244"/>
      <c r="H782" s="244"/>
      <c r="K782" s="265"/>
      <c r="S782" s="244"/>
    </row>
    <row r="783" spans="1:19" ht="15.75" customHeight="1" x14ac:dyDescent="0.25">
      <c r="A783" s="244"/>
      <c r="C783" s="263"/>
      <c r="D783" s="264"/>
      <c r="E783" s="244"/>
      <c r="F783" s="244"/>
      <c r="G783" s="244"/>
      <c r="H783" s="244"/>
      <c r="K783" s="265"/>
      <c r="S783" s="244"/>
    </row>
    <row r="784" spans="1:19" ht="15.75" customHeight="1" x14ac:dyDescent="0.25">
      <c r="A784" s="244"/>
      <c r="C784" s="263"/>
      <c r="D784" s="264"/>
      <c r="E784" s="244"/>
      <c r="F784" s="244"/>
      <c r="G784" s="244"/>
      <c r="H784" s="244"/>
      <c r="K784" s="265"/>
      <c r="S784" s="244"/>
    </row>
    <row r="785" spans="1:19" ht="15.75" customHeight="1" x14ac:dyDescent="0.25">
      <c r="A785" s="244"/>
      <c r="C785" s="263"/>
      <c r="D785" s="264"/>
      <c r="E785" s="244"/>
      <c r="F785" s="244"/>
      <c r="G785" s="244"/>
      <c r="H785" s="244"/>
      <c r="K785" s="265"/>
      <c r="S785" s="244"/>
    </row>
    <row r="786" spans="1:19" ht="15.75" customHeight="1" x14ac:dyDescent="0.25">
      <c r="A786" s="244"/>
      <c r="C786" s="263"/>
      <c r="D786" s="264"/>
      <c r="E786" s="244"/>
      <c r="F786" s="244"/>
      <c r="G786" s="244"/>
      <c r="H786" s="244"/>
      <c r="K786" s="265"/>
      <c r="S786" s="244"/>
    </row>
    <row r="787" spans="1:19" ht="15.75" customHeight="1" x14ac:dyDescent="0.25">
      <c r="A787" s="244"/>
      <c r="C787" s="263"/>
      <c r="D787" s="264"/>
      <c r="E787" s="244"/>
      <c r="F787" s="244"/>
      <c r="G787" s="244"/>
      <c r="H787" s="244"/>
      <c r="K787" s="265"/>
      <c r="S787" s="244"/>
    </row>
    <row r="788" spans="1:19" ht="15.75" customHeight="1" x14ac:dyDescent="0.25">
      <c r="A788" s="244"/>
      <c r="C788" s="263"/>
      <c r="D788" s="264"/>
      <c r="E788" s="244"/>
      <c r="F788" s="244"/>
      <c r="G788" s="244"/>
      <c r="H788" s="244"/>
      <c r="K788" s="265"/>
      <c r="S788" s="244"/>
    </row>
    <row r="789" spans="1:19" ht="15.75" customHeight="1" x14ac:dyDescent="0.25">
      <c r="A789" s="244"/>
      <c r="C789" s="263"/>
      <c r="D789" s="264"/>
      <c r="E789" s="244"/>
      <c r="F789" s="244"/>
      <c r="G789" s="244"/>
      <c r="H789" s="244"/>
      <c r="K789" s="265"/>
      <c r="S789" s="244"/>
    </row>
    <row r="790" spans="1:19" ht="15.75" customHeight="1" x14ac:dyDescent="0.25">
      <c r="A790" s="244"/>
      <c r="C790" s="263"/>
      <c r="D790" s="264"/>
      <c r="E790" s="244"/>
      <c r="F790" s="244"/>
      <c r="G790" s="244"/>
      <c r="H790" s="244"/>
      <c r="K790" s="265"/>
      <c r="S790" s="244"/>
    </row>
    <row r="791" spans="1:19" ht="15.75" customHeight="1" x14ac:dyDescent="0.25">
      <c r="A791" s="244"/>
      <c r="C791" s="263"/>
      <c r="D791" s="264"/>
      <c r="E791" s="244"/>
      <c r="F791" s="244"/>
      <c r="G791" s="244"/>
      <c r="H791" s="244"/>
      <c r="K791" s="265"/>
      <c r="S791" s="244"/>
    </row>
    <row r="792" spans="1:19" ht="15.75" customHeight="1" x14ac:dyDescent="0.25">
      <c r="A792" s="244"/>
      <c r="C792" s="263"/>
      <c r="D792" s="264"/>
      <c r="E792" s="244"/>
      <c r="F792" s="244"/>
      <c r="G792" s="244"/>
      <c r="H792" s="244"/>
      <c r="K792" s="265"/>
      <c r="S792" s="244"/>
    </row>
    <row r="793" spans="1:19" ht="15.75" customHeight="1" x14ac:dyDescent="0.25">
      <c r="A793" s="244"/>
      <c r="C793" s="263"/>
      <c r="D793" s="264"/>
      <c r="E793" s="244"/>
      <c r="F793" s="244"/>
      <c r="G793" s="244"/>
      <c r="H793" s="244"/>
      <c r="K793" s="265"/>
      <c r="S793" s="244"/>
    </row>
    <row r="794" spans="1:19" ht="15.75" customHeight="1" x14ac:dyDescent="0.25">
      <c r="A794" s="244"/>
      <c r="C794" s="263"/>
      <c r="D794" s="264"/>
      <c r="E794" s="244"/>
      <c r="F794" s="244"/>
      <c r="G794" s="244"/>
      <c r="H794" s="244"/>
      <c r="K794" s="265"/>
      <c r="S794" s="244"/>
    </row>
    <row r="795" spans="1:19" ht="15.75" customHeight="1" x14ac:dyDescent="0.25">
      <c r="A795" s="244"/>
      <c r="C795" s="263"/>
      <c r="D795" s="264"/>
      <c r="E795" s="244"/>
      <c r="F795" s="244"/>
      <c r="G795" s="244"/>
      <c r="H795" s="244"/>
      <c r="K795" s="265"/>
      <c r="S795" s="244"/>
    </row>
    <row r="796" spans="1:19" ht="15.75" customHeight="1" x14ac:dyDescent="0.25">
      <c r="A796" s="244"/>
      <c r="C796" s="263"/>
      <c r="D796" s="264"/>
      <c r="E796" s="244"/>
      <c r="F796" s="244"/>
      <c r="G796" s="244"/>
      <c r="H796" s="244"/>
      <c r="K796" s="265"/>
      <c r="S796" s="244"/>
    </row>
    <row r="797" spans="1:19" ht="15.75" customHeight="1" x14ac:dyDescent="0.25">
      <c r="A797" s="244"/>
      <c r="C797" s="263"/>
      <c r="D797" s="264"/>
      <c r="E797" s="244"/>
      <c r="F797" s="244"/>
      <c r="G797" s="244"/>
      <c r="H797" s="244"/>
      <c r="K797" s="265"/>
      <c r="S797" s="244"/>
    </row>
    <row r="798" spans="1:19" ht="15.75" customHeight="1" x14ac:dyDescent="0.25">
      <c r="A798" s="244"/>
      <c r="C798" s="263"/>
      <c r="D798" s="264"/>
      <c r="E798" s="244"/>
      <c r="F798" s="244"/>
      <c r="G798" s="244"/>
      <c r="H798" s="244"/>
      <c r="K798" s="265"/>
      <c r="S798" s="244"/>
    </row>
    <row r="799" spans="1:19" ht="15.75" customHeight="1" x14ac:dyDescent="0.25">
      <c r="A799" s="244"/>
      <c r="C799" s="263"/>
      <c r="D799" s="264"/>
      <c r="E799" s="244"/>
      <c r="F799" s="244"/>
      <c r="G799" s="244"/>
      <c r="H799" s="244"/>
      <c r="K799" s="265"/>
      <c r="S799" s="244"/>
    </row>
    <row r="800" spans="1:19" ht="15.75" customHeight="1" x14ac:dyDescent="0.25">
      <c r="A800" s="244"/>
      <c r="C800" s="263"/>
      <c r="D800" s="264"/>
      <c r="E800" s="244"/>
      <c r="F800" s="244"/>
      <c r="G800" s="244"/>
      <c r="H800" s="244"/>
      <c r="K800" s="265"/>
      <c r="S800" s="244"/>
    </row>
    <row r="801" spans="1:19" ht="15.75" customHeight="1" x14ac:dyDescent="0.25">
      <c r="A801" s="244"/>
      <c r="C801" s="263"/>
      <c r="D801" s="264"/>
      <c r="E801" s="244"/>
      <c r="F801" s="244"/>
      <c r="G801" s="244"/>
      <c r="H801" s="244"/>
      <c r="K801" s="265"/>
      <c r="S801" s="244"/>
    </row>
    <row r="802" spans="1:19" ht="15.75" customHeight="1" x14ac:dyDescent="0.25">
      <c r="A802" s="244"/>
      <c r="C802" s="263"/>
      <c r="D802" s="264"/>
      <c r="E802" s="244"/>
      <c r="F802" s="244"/>
      <c r="G802" s="244"/>
      <c r="H802" s="244"/>
      <c r="K802" s="265"/>
      <c r="S802" s="244"/>
    </row>
    <row r="803" spans="1:19" ht="15.75" customHeight="1" x14ac:dyDescent="0.25">
      <c r="A803" s="244"/>
      <c r="C803" s="263"/>
      <c r="D803" s="264"/>
      <c r="E803" s="244"/>
      <c r="F803" s="244"/>
      <c r="G803" s="244"/>
      <c r="H803" s="244"/>
      <c r="K803" s="265"/>
      <c r="S803" s="244"/>
    </row>
    <row r="804" spans="1:19" ht="15.75" customHeight="1" x14ac:dyDescent="0.25">
      <c r="A804" s="244"/>
      <c r="C804" s="263"/>
      <c r="D804" s="264"/>
      <c r="E804" s="244"/>
      <c r="F804" s="244"/>
      <c r="G804" s="244"/>
      <c r="H804" s="244"/>
      <c r="K804" s="265"/>
      <c r="S804" s="244"/>
    </row>
    <row r="805" spans="1:19" ht="15.75" customHeight="1" x14ac:dyDescent="0.25">
      <c r="A805" s="244"/>
      <c r="C805" s="263"/>
      <c r="D805" s="264"/>
      <c r="E805" s="244"/>
      <c r="F805" s="244"/>
      <c r="G805" s="244"/>
      <c r="H805" s="244"/>
      <c r="K805" s="265"/>
      <c r="S805" s="244"/>
    </row>
    <row r="806" spans="1:19" ht="15.75" customHeight="1" x14ac:dyDescent="0.25">
      <c r="A806" s="244"/>
      <c r="C806" s="263"/>
      <c r="D806" s="264"/>
      <c r="E806" s="244"/>
      <c r="F806" s="244"/>
      <c r="G806" s="244"/>
      <c r="H806" s="244"/>
      <c r="K806" s="265"/>
      <c r="S806" s="244"/>
    </row>
    <row r="807" spans="1:19" ht="15.75" customHeight="1" x14ac:dyDescent="0.25">
      <c r="A807" s="244"/>
      <c r="C807" s="263"/>
      <c r="D807" s="264"/>
      <c r="E807" s="244"/>
      <c r="F807" s="244"/>
      <c r="G807" s="244"/>
      <c r="H807" s="244"/>
      <c r="K807" s="265"/>
      <c r="S807" s="244"/>
    </row>
    <row r="808" spans="1:19" ht="15.75" customHeight="1" x14ac:dyDescent="0.25">
      <c r="A808" s="244"/>
      <c r="C808" s="263"/>
      <c r="D808" s="264"/>
      <c r="E808" s="244"/>
      <c r="F808" s="244"/>
      <c r="G808" s="244"/>
      <c r="H808" s="244"/>
      <c r="K808" s="265"/>
      <c r="S808" s="244"/>
    </row>
    <row r="809" spans="1:19" ht="15.75" customHeight="1" x14ac:dyDescent="0.25">
      <c r="A809" s="244"/>
      <c r="C809" s="263"/>
      <c r="D809" s="264"/>
      <c r="E809" s="244"/>
      <c r="F809" s="244"/>
      <c r="G809" s="244"/>
      <c r="H809" s="244"/>
      <c r="K809" s="265"/>
      <c r="S809" s="244"/>
    </row>
    <row r="810" spans="1:19" ht="15.75" customHeight="1" x14ac:dyDescent="0.25">
      <c r="A810" s="244"/>
      <c r="C810" s="263"/>
      <c r="D810" s="264"/>
      <c r="E810" s="244"/>
      <c r="F810" s="244"/>
      <c r="G810" s="244"/>
      <c r="H810" s="244"/>
      <c r="K810" s="265"/>
      <c r="S810" s="244"/>
    </row>
    <row r="811" spans="1:19" ht="15.75" customHeight="1" x14ac:dyDescent="0.25">
      <c r="A811" s="244"/>
      <c r="C811" s="263"/>
      <c r="D811" s="264"/>
      <c r="E811" s="244"/>
      <c r="F811" s="244"/>
      <c r="G811" s="244"/>
      <c r="H811" s="244"/>
      <c r="K811" s="265"/>
      <c r="S811" s="244"/>
    </row>
    <row r="812" spans="1:19" ht="15.75" customHeight="1" x14ac:dyDescent="0.25">
      <c r="A812" s="244"/>
      <c r="C812" s="263"/>
      <c r="D812" s="264"/>
      <c r="E812" s="244"/>
      <c r="F812" s="244"/>
      <c r="G812" s="244"/>
      <c r="H812" s="244"/>
      <c r="K812" s="265"/>
      <c r="S812" s="244"/>
    </row>
    <row r="813" spans="1:19" ht="15.75" customHeight="1" x14ac:dyDescent="0.25">
      <c r="A813" s="244"/>
      <c r="C813" s="263"/>
      <c r="D813" s="264"/>
      <c r="E813" s="244"/>
      <c r="F813" s="244"/>
      <c r="G813" s="244"/>
      <c r="H813" s="244"/>
      <c r="K813" s="265"/>
      <c r="S813" s="244"/>
    </row>
    <row r="814" spans="1:19" ht="15.75" customHeight="1" x14ac:dyDescent="0.25">
      <c r="A814" s="244"/>
      <c r="C814" s="263"/>
      <c r="D814" s="264"/>
      <c r="E814" s="244"/>
      <c r="F814" s="244"/>
      <c r="G814" s="244"/>
      <c r="H814" s="244"/>
      <c r="K814" s="265"/>
      <c r="S814" s="244"/>
    </row>
    <row r="815" spans="1:19" ht="15.75" customHeight="1" x14ac:dyDescent="0.25">
      <c r="A815" s="244"/>
      <c r="C815" s="263"/>
      <c r="D815" s="264"/>
      <c r="E815" s="244"/>
      <c r="F815" s="244"/>
      <c r="G815" s="244"/>
      <c r="H815" s="244"/>
      <c r="K815" s="265"/>
      <c r="S815" s="244"/>
    </row>
    <row r="816" spans="1:19" ht="15.75" customHeight="1" x14ac:dyDescent="0.25">
      <c r="A816" s="244"/>
      <c r="C816" s="263"/>
      <c r="D816" s="264"/>
      <c r="E816" s="244"/>
      <c r="F816" s="244"/>
      <c r="G816" s="244"/>
      <c r="H816" s="244"/>
      <c r="K816" s="265"/>
      <c r="S816" s="244"/>
    </row>
    <row r="817" spans="1:19" ht="15.75" customHeight="1" x14ac:dyDescent="0.25">
      <c r="A817" s="244"/>
      <c r="C817" s="263"/>
      <c r="D817" s="264"/>
      <c r="E817" s="244"/>
      <c r="F817" s="244"/>
      <c r="G817" s="244"/>
      <c r="H817" s="244"/>
      <c r="K817" s="265"/>
      <c r="S817" s="244"/>
    </row>
    <row r="818" spans="1:19" ht="15.75" customHeight="1" x14ac:dyDescent="0.25">
      <c r="A818" s="244"/>
      <c r="C818" s="263"/>
      <c r="D818" s="264"/>
      <c r="E818" s="244"/>
      <c r="F818" s="244"/>
      <c r="G818" s="244"/>
      <c r="H818" s="244"/>
      <c r="K818" s="265"/>
      <c r="S818" s="244"/>
    </row>
    <row r="819" spans="1:19" ht="15.75" customHeight="1" x14ac:dyDescent="0.25">
      <c r="A819" s="244"/>
      <c r="C819" s="263"/>
      <c r="D819" s="264"/>
      <c r="E819" s="244"/>
      <c r="F819" s="244"/>
      <c r="G819" s="244"/>
      <c r="H819" s="244"/>
      <c r="K819" s="265"/>
      <c r="S819" s="244"/>
    </row>
    <row r="820" spans="1:19" ht="15.75" customHeight="1" x14ac:dyDescent="0.25">
      <c r="A820" s="244"/>
      <c r="C820" s="263"/>
      <c r="D820" s="264"/>
      <c r="E820" s="244"/>
      <c r="F820" s="244"/>
      <c r="G820" s="244"/>
      <c r="H820" s="244"/>
      <c r="K820" s="265"/>
      <c r="S820" s="244"/>
    </row>
    <row r="821" spans="1:19" ht="15.75" customHeight="1" x14ac:dyDescent="0.25">
      <c r="A821" s="244"/>
      <c r="C821" s="263"/>
      <c r="D821" s="264"/>
      <c r="E821" s="244"/>
      <c r="F821" s="244"/>
      <c r="G821" s="244"/>
      <c r="H821" s="244"/>
      <c r="K821" s="265"/>
      <c r="S821" s="244"/>
    </row>
    <row r="822" spans="1:19" ht="15.75" customHeight="1" x14ac:dyDescent="0.25">
      <c r="A822" s="244"/>
      <c r="C822" s="263"/>
      <c r="D822" s="264"/>
      <c r="E822" s="244"/>
      <c r="F822" s="244"/>
      <c r="G822" s="244"/>
      <c r="H822" s="244"/>
      <c r="K822" s="265"/>
      <c r="S822" s="244"/>
    </row>
    <row r="823" spans="1:19" ht="15.75" customHeight="1" x14ac:dyDescent="0.25">
      <c r="A823" s="244"/>
      <c r="C823" s="263"/>
      <c r="D823" s="264"/>
      <c r="E823" s="244"/>
      <c r="F823" s="244"/>
      <c r="G823" s="244"/>
      <c r="H823" s="244"/>
      <c r="K823" s="265"/>
      <c r="S823" s="244"/>
    </row>
    <row r="824" spans="1:19" ht="15.75" customHeight="1" x14ac:dyDescent="0.25">
      <c r="A824" s="244"/>
      <c r="C824" s="263"/>
      <c r="D824" s="264"/>
      <c r="E824" s="244"/>
      <c r="F824" s="244"/>
      <c r="G824" s="244"/>
      <c r="H824" s="244"/>
      <c r="K824" s="265"/>
      <c r="S824" s="244"/>
    </row>
    <row r="825" spans="1:19" ht="15.75" customHeight="1" x14ac:dyDescent="0.25">
      <c r="A825" s="244"/>
      <c r="C825" s="263"/>
      <c r="D825" s="264"/>
      <c r="E825" s="244"/>
      <c r="F825" s="244"/>
      <c r="G825" s="244"/>
      <c r="H825" s="244"/>
      <c r="K825" s="265"/>
      <c r="S825" s="244"/>
    </row>
    <row r="826" spans="1:19" ht="15.75" customHeight="1" x14ac:dyDescent="0.25">
      <c r="A826" s="244"/>
      <c r="C826" s="263"/>
      <c r="D826" s="264"/>
      <c r="E826" s="244"/>
      <c r="F826" s="244"/>
      <c r="G826" s="244"/>
      <c r="H826" s="244"/>
      <c r="K826" s="265"/>
      <c r="S826" s="244"/>
    </row>
    <row r="827" spans="1:19" ht="15.75" customHeight="1" x14ac:dyDescent="0.25">
      <c r="A827" s="244"/>
      <c r="C827" s="263"/>
      <c r="D827" s="264"/>
      <c r="E827" s="244"/>
      <c r="F827" s="244"/>
      <c r="G827" s="244"/>
      <c r="H827" s="244"/>
      <c r="K827" s="265"/>
      <c r="S827" s="244"/>
    </row>
    <row r="828" spans="1:19" ht="15.75" customHeight="1" x14ac:dyDescent="0.25">
      <c r="A828" s="244"/>
      <c r="C828" s="263"/>
      <c r="D828" s="264"/>
      <c r="E828" s="244"/>
      <c r="F828" s="244"/>
      <c r="G828" s="244"/>
      <c r="H828" s="244"/>
      <c r="K828" s="265"/>
      <c r="S828" s="244"/>
    </row>
    <row r="829" spans="1:19" ht="15.75" customHeight="1" x14ac:dyDescent="0.25">
      <c r="A829" s="244"/>
      <c r="C829" s="263"/>
      <c r="D829" s="264"/>
      <c r="E829" s="244"/>
      <c r="F829" s="244"/>
      <c r="G829" s="244"/>
      <c r="H829" s="244"/>
      <c r="K829" s="265"/>
      <c r="S829" s="244"/>
    </row>
    <row r="830" spans="1:19" ht="15.75" customHeight="1" x14ac:dyDescent="0.25">
      <c r="A830" s="244"/>
      <c r="C830" s="263"/>
      <c r="D830" s="264"/>
      <c r="E830" s="244"/>
      <c r="F830" s="244"/>
      <c r="G830" s="244"/>
      <c r="H830" s="244"/>
      <c r="K830" s="265"/>
      <c r="S830" s="244"/>
    </row>
    <row r="831" spans="1:19" ht="15.75" customHeight="1" x14ac:dyDescent="0.25">
      <c r="A831" s="244"/>
      <c r="C831" s="263"/>
      <c r="D831" s="264"/>
      <c r="E831" s="244"/>
      <c r="F831" s="244"/>
      <c r="G831" s="244"/>
      <c r="H831" s="244"/>
      <c r="K831" s="265"/>
      <c r="S831" s="244"/>
    </row>
    <row r="832" spans="1:19" ht="15.75" customHeight="1" x14ac:dyDescent="0.25">
      <c r="A832" s="244"/>
      <c r="C832" s="263"/>
      <c r="D832" s="264"/>
      <c r="E832" s="244"/>
      <c r="F832" s="244"/>
      <c r="G832" s="244"/>
      <c r="H832" s="244"/>
      <c r="K832" s="265"/>
      <c r="S832" s="244"/>
    </row>
    <row r="833" spans="1:19" ht="15.75" customHeight="1" x14ac:dyDescent="0.25">
      <c r="A833" s="244"/>
      <c r="C833" s="263"/>
      <c r="D833" s="264"/>
      <c r="E833" s="244"/>
      <c r="F833" s="244"/>
      <c r="G833" s="244"/>
      <c r="H833" s="244"/>
      <c r="K833" s="265"/>
      <c r="S833" s="244"/>
    </row>
    <row r="834" spans="1:19" ht="15.75" customHeight="1" x14ac:dyDescent="0.25">
      <c r="A834" s="244"/>
      <c r="C834" s="263"/>
      <c r="D834" s="264"/>
      <c r="E834" s="244"/>
      <c r="F834" s="244"/>
      <c r="G834" s="244"/>
      <c r="H834" s="244"/>
      <c r="K834" s="265"/>
      <c r="S834" s="244"/>
    </row>
    <row r="835" spans="1:19" ht="15.75" customHeight="1" x14ac:dyDescent="0.25">
      <c r="A835" s="244"/>
      <c r="C835" s="263"/>
      <c r="D835" s="264"/>
      <c r="E835" s="244"/>
      <c r="F835" s="244"/>
      <c r="G835" s="244"/>
      <c r="H835" s="244"/>
      <c r="K835" s="265"/>
      <c r="S835" s="244"/>
    </row>
    <row r="836" spans="1:19" ht="15.75" customHeight="1" x14ac:dyDescent="0.25">
      <c r="A836" s="244"/>
      <c r="C836" s="263"/>
      <c r="D836" s="264"/>
      <c r="E836" s="244"/>
      <c r="F836" s="244"/>
      <c r="G836" s="244"/>
      <c r="H836" s="244"/>
      <c r="K836" s="265"/>
      <c r="S836" s="244"/>
    </row>
    <row r="837" spans="1:19" ht="15.75" customHeight="1" x14ac:dyDescent="0.25">
      <c r="A837" s="244"/>
      <c r="C837" s="263"/>
      <c r="D837" s="264"/>
      <c r="E837" s="244"/>
      <c r="F837" s="244"/>
      <c r="G837" s="244"/>
      <c r="H837" s="244"/>
      <c r="K837" s="265"/>
      <c r="S837" s="244"/>
    </row>
    <row r="838" spans="1:19" ht="15.75" customHeight="1" x14ac:dyDescent="0.25">
      <c r="A838" s="244"/>
      <c r="C838" s="263"/>
      <c r="D838" s="264"/>
      <c r="E838" s="244"/>
      <c r="F838" s="244"/>
      <c r="G838" s="244"/>
      <c r="H838" s="244"/>
      <c r="K838" s="265"/>
      <c r="S838" s="244"/>
    </row>
    <row r="839" spans="1:19" ht="15.75" customHeight="1" x14ac:dyDescent="0.25">
      <c r="A839" s="244"/>
      <c r="C839" s="263"/>
      <c r="D839" s="264"/>
      <c r="E839" s="244"/>
      <c r="F839" s="244"/>
      <c r="G839" s="244"/>
      <c r="H839" s="244"/>
      <c r="K839" s="265"/>
      <c r="S839" s="244"/>
    </row>
    <row r="840" spans="1:19" ht="15.75" customHeight="1" x14ac:dyDescent="0.25">
      <c r="A840" s="244"/>
      <c r="C840" s="263"/>
      <c r="D840" s="264"/>
      <c r="E840" s="244"/>
      <c r="F840" s="244"/>
      <c r="G840" s="244"/>
      <c r="H840" s="244"/>
      <c r="K840" s="265"/>
      <c r="S840" s="244"/>
    </row>
    <row r="841" spans="1:19" ht="15.75" customHeight="1" x14ac:dyDescent="0.25">
      <c r="A841" s="244"/>
      <c r="C841" s="263"/>
      <c r="D841" s="264"/>
      <c r="E841" s="244"/>
      <c r="F841" s="244"/>
      <c r="G841" s="244"/>
      <c r="H841" s="244"/>
      <c r="K841" s="265"/>
      <c r="S841" s="244"/>
    </row>
    <row r="842" spans="1:19" ht="15.75" customHeight="1" x14ac:dyDescent="0.25">
      <c r="A842" s="244"/>
      <c r="C842" s="263"/>
      <c r="D842" s="264"/>
      <c r="E842" s="244"/>
      <c r="F842" s="244"/>
      <c r="G842" s="244"/>
      <c r="H842" s="244"/>
      <c r="K842" s="265"/>
      <c r="S842" s="244"/>
    </row>
    <row r="843" spans="1:19" ht="15.75" customHeight="1" x14ac:dyDescent="0.25">
      <c r="A843" s="244"/>
      <c r="C843" s="263"/>
      <c r="D843" s="264"/>
      <c r="E843" s="244"/>
      <c r="F843" s="244"/>
      <c r="G843" s="244"/>
      <c r="H843" s="244"/>
      <c r="K843" s="265"/>
      <c r="S843" s="244"/>
    </row>
    <row r="844" spans="1:19" ht="15.75" customHeight="1" x14ac:dyDescent="0.25">
      <c r="A844" s="244"/>
      <c r="C844" s="263"/>
      <c r="D844" s="264"/>
      <c r="E844" s="244"/>
      <c r="F844" s="244"/>
      <c r="G844" s="244"/>
      <c r="H844" s="244"/>
      <c r="K844" s="265"/>
      <c r="S844" s="244"/>
    </row>
    <row r="845" spans="1:19" ht="15.75" customHeight="1" x14ac:dyDescent="0.25">
      <c r="A845" s="244"/>
      <c r="C845" s="263"/>
      <c r="D845" s="264"/>
      <c r="E845" s="244"/>
      <c r="F845" s="244"/>
      <c r="G845" s="244"/>
      <c r="H845" s="244"/>
      <c r="K845" s="265"/>
      <c r="S845" s="244"/>
    </row>
    <row r="846" spans="1:19" ht="15.75" customHeight="1" x14ac:dyDescent="0.25">
      <c r="A846" s="244"/>
      <c r="C846" s="263"/>
      <c r="D846" s="264"/>
      <c r="E846" s="244"/>
      <c r="F846" s="244"/>
      <c r="G846" s="244"/>
      <c r="H846" s="244"/>
      <c r="K846" s="265"/>
      <c r="S846" s="244"/>
    </row>
    <row r="847" spans="1:19" ht="15.75" customHeight="1" x14ac:dyDescent="0.25">
      <c r="A847" s="244"/>
      <c r="C847" s="263"/>
      <c r="D847" s="264"/>
      <c r="E847" s="244"/>
      <c r="F847" s="244"/>
      <c r="G847" s="244"/>
      <c r="H847" s="244"/>
      <c r="K847" s="265"/>
      <c r="S847" s="244"/>
    </row>
    <row r="848" spans="1:19" ht="15.75" customHeight="1" x14ac:dyDescent="0.25">
      <c r="A848" s="244"/>
      <c r="C848" s="263"/>
      <c r="D848" s="264"/>
      <c r="E848" s="244"/>
      <c r="F848" s="244"/>
      <c r="G848" s="244"/>
      <c r="H848" s="244"/>
      <c r="K848" s="265"/>
      <c r="S848" s="244"/>
    </row>
    <row r="849" spans="1:19" ht="15.75" customHeight="1" x14ac:dyDescent="0.25">
      <c r="A849" s="244"/>
      <c r="C849" s="263"/>
      <c r="D849" s="264"/>
      <c r="E849" s="244"/>
      <c r="F849" s="244"/>
      <c r="G849" s="244"/>
      <c r="H849" s="244"/>
      <c r="K849" s="265"/>
      <c r="S849" s="244"/>
    </row>
    <row r="850" spans="1:19" ht="15.75" customHeight="1" x14ac:dyDescent="0.25">
      <c r="A850" s="244"/>
      <c r="C850" s="263"/>
      <c r="D850" s="264"/>
      <c r="E850" s="244"/>
      <c r="F850" s="244"/>
      <c r="G850" s="244"/>
      <c r="H850" s="244"/>
      <c r="K850" s="265"/>
      <c r="S850" s="244"/>
    </row>
    <row r="851" spans="1:19" ht="15.75" customHeight="1" x14ac:dyDescent="0.25">
      <c r="A851" s="244"/>
      <c r="C851" s="263"/>
      <c r="D851" s="264"/>
      <c r="E851" s="244"/>
      <c r="F851" s="244"/>
      <c r="G851" s="244"/>
      <c r="H851" s="244"/>
      <c r="K851" s="265"/>
      <c r="S851" s="244"/>
    </row>
    <row r="852" spans="1:19" ht="15.75" customHeight="1" x14ac:dyDescent="0.25">
      <c r="A852" s="244"/>
      <c r="C852" s="263"/>
      <c r="D852" s="264"/>
      <c r="E852" s="244"/>
      <c r="F852" s="244"/>
      <c r="G852" s="244"/>
      <c r="H852" s="244"/>
      <c r="K852" s="265"/>
      <c r="S852" s="244"/>
    </row>
    <row r="853" spans="1:19" ht="15.75" customHeight="1" x14ac:dyDescent="0.25">
      <c r="A853" s="244"/>
      <c r="C853" s="263"/>
      <c r="D853" s="264"/>
      <c r="E853" s="244"/>
      <c r="F853" s="244"/>
      <c r="G853" s="244"/>
      <c r="H853" s="244"/>
      <c r="K853" s="265"/>
      <c r="S853" s="244"/>
    </row>
    <row r="854" spans="1:19" ht="15.75" customHeight="1" x14ac:dyDescent="0.25">
      <c r="A854" s="244"/>
      <c r="C854" s="263"/>
      <c r="D854" s="264"/>
      <c r="E854" s="244"/>
      <c r="F854" s="244"/>
      <c r="G854" s="244"/>
      <c r="H854" s="244"/>
      <c r="K854" s="265"/>
      <c r="S854" s="244"/>
    </row>
    <row r="855" spans="1:19" ht="15.75" customHeight="1" x14ac:dyDescent="0.25">
      <c r="A855" s="244"/>
      <c r="C855" s="263"/>
      <c r="D855" s="264"/>
      <c r="E855" s="244"/>
      <c r="F855" s="244"/>
      <c r="G855" s="244"/>
      <c r="H855" s="244"/>
      <c r="K855" s="265"/>
      <c r="S855" s="244"/>
    </row>
    <row r="856" spans="1:19" ht="15.75" customHeight="1" x14ac:dyDescent="0.25">
      <c r="A856" s="244"/>
      <c r="C856" s="263"/>
      <c r="D856" s="264"/>
      <c r="E856" s="244"/>
      <c r="F856" s="244"/>
      <c r="G856" s="244"/>
      <c r="H856" s="244"/>
      <c r="K856" s="265"/>
      <c r="S856" s="244"/>
    </row>
    <row r="857" spans="1:19" ht="15.75" customHeight="1" x14ac:dyDescent="0.25">
      <c r="A857" s="244"/>
      <c r="C857" s="263"/>
      <c r="D857" s="264"/>
      <c r="E857" s="244"/>
      <c r="F857" s="244"/>
      <c r="G857" s="244"/>
      <c r="H857" s="244"/>
      <c r="K857" s="265"/>
      <c r="S857" s="244"/>
    </row>
    <row r="858" spans="1:19" ht="15.75" customHeight="1" x14ac:dyDescent="0.25">
      <c r="A858" s="244"/>
      <c r="C858" s="263"/>
      <c r="D858" s="264"/>
      <c r="E858" s="244"/>
      <c r="F858" s="244"/>
      <c r="G858" s="244"/>
      <c r="H858" s="244"/>
      <c r="K858" s="265"/>
      <c r="S858" s="244"/>
    </row>
    <row r="859" spans="1:19" ht="15.75" customHeight="1" x14ac:dyDescent="0.25">
      <c r="A859" s="244"/>
      <c r="C859" s="263"/>
      <c r="D859" s="264"/>
      <c r="E859" s="244"/>
      <c r="F859" s="244"/>
      <c r="G859" s="244"/>
      <c r="H859" s="244"/>
      <c r="K859" s="265"/>
      <c r="S859" s="244"/>
    </row>
    <row r="860" spans="1:19" ht="15.75" customHeight="1" x14ac:dyDescent="0.25">
      <c r="A860" s="244"/>
      <c r="C860" s="263"/>
      <c r="D860" s="264"/>
      <c r="E860" s="244"/>
      <c r="F860" s="244"/>
      <c r="G860" s="244"/>
      <c r="H860" s="244"/>
      <c r="K860" s="265"/>
      <c r="S860" s="244"/>
    </row>
    <row r="861" spans="1:19" ht="15.75" customHeight="1" x14ac:dyDescent="0.25">
      <c r="A861" s="244"/>
      <c r="C861" s="263"/>
      <c r="D861" s="264"/>
      <c r="E861" s="244"/>
      <c r="F861" s="244"/>
      <c r="G861" s="244"/>
      <c r="H861" s="244"/>
      <c r="K861" s="265"/>
      <c r="S861" s="244"/>
    </row>
    <row r="862" spans="1:19" ht="15.75" customHeight="1" x14ac:dyDescent="0.25">
      <c r="A862" s="244"/>
      <c r="C862" s="263"/>
      <c r="D862" s="264"/>
      <c r="E862" s="244"/>
      <c r="F862" s="244"/>
      <c r="G862" s="244"/>
      <c r="H862" s="244"/>
      <c r="K862" s="265"/>
      <c r="S862" s="244"/>
    </row>
    <row r="863" spans="1:19" ht="15.75" customHeight="1" x14ac:dyDescent="0.25">
      <c r="A863" s="244"/>
      <c r="C863" s="263"/>
      <c r="D863" s="264"/>
      <c r="E863" s="244"/>
      <c r="F863" s="244"/>
      <c r="G863" s="244"/>
      <c r="H863" s="244"/>
      <c r="K863" s="265"/>
      <c r="S863" s="244"/>
    </row>
    <row r="864" spans="1:19" ht="15.75" customHeight="1" x14ac:dyDescent="0.25">
      <c r="A864" s="244"/>
      <c r="C864" s="263"/>
      <c r="D864" s="264"/>
      <c r="E864" s="244"/>
      <c r="F864" s="244"/>
      <c r="G864" s="244"/>
      <c r="H864" s="244"/>
      <c r="K864" s="265"/>
      <c r="S864" s="244"/>
    </row>
    <row r="865" spans="1:19" ht="15.75" customHeight="1" x14ac:dyDescent="0.25">
      <c r="A865" s="244"/>
      <c r="C865" s="263"/>
      <c r="D865" s="264"/>
      <c r="E865" s="244"/>
      <c r="F865" s="244"/>
      <c r="G865" s="244"/>
      <c r="H865" s="244"/>
      <c r="K865" s="265"/>
      <c r="S865" s="244"/>
    </row>
    <row r="866" spans="1:19" ht="15.75" customHeight="1" x14ac:dyDescent="0.25">
      <c r="A866" s="244"/>
      <c r="C866" s="263"/>
      <c r="D866" s="264"/>
      <c r="E866" s="244"/>
      <c r="F866" s="244"/>
      <c r="G866" s="244"/>
      <c r="H866" s="244"/>
      <c r="K866" s="265"/>
      <c r="S866" s="244"/>
    </row>
    <row r="867" spans="1:19" ht="15.75" customHeight="1" x14ac:dyDescent="0.25">
      <c r="A867" s="244"/>
      <c r="C867" s="263"/>
      <c r="D867" s="264"/>
      <c r="E867" s="244"/>
      <c r="F867" s="244"/>
      <c r="G867" s="244"/>
      <c r="H867" s="244"/>
      <c r="K867" s="265"/>
      <c r="S867" s="244"/>
    </row>
    <row r="868" spans="1:19" ht="15.75" customHeight="1" x14ac:dyDescent="0.25">
      <c r="A868" s="244"/>
      <c r="C868" s="263"/>
      <c r="D868" s="264"/>
      <c r="E868" s="244"/>
      <c r="F868" s="244"/>
      <c r="G868" s="244"/>
      <c r="H868" s="244"/>
      <c r="K868" s="265"/>
      <c r="S868" s="244"/>
    </row>
    <row r="869" spans="1:19" ht="15.75" customHeight="1" x14ac:dyDescent="0.25">
      <c r="A869" s="244"/>
      <c r="C869" s="263"/>
      <c r="D869" s="264"/>
      <c r="E869" s="244"/>
      <c r="F869" s="244"/>
      <c r="G869" s="244"/>
      <c r="H869" s="244"/>
      <c r="K869" s="265"/>
      <c r="S869" s="244"/>
    </row>
    <row r="870" spans="1:19" ht="15.75" customHeight="1" x14ac:dyDescent="0.25">
      <c r="A870" s="244"/>
      <c r="C870" s="263"/>
      <c r="D870" s="264"/>
      <c r="E870" s="244"/>
      <c r="F870" s="244"/>
      <c r="G870" s="244"/>
      <c r="H870" s="244"/>
      <c r="K870" s="265"/>
      <c r="S870" s="244"/>
    </row>
    <row r="871" spans="1:19" ht="15.75" customHeight="1" x14ac:dyDescent="0.25">
      <c r="A871" s="244"/>
      <c r="C871" s="263"/>
      <c r="D871" s="264"/>
      <c r="E871" s="244"/>
      <c r="F871" s="244"/>
      <c r="G871" s="244"/>
      <c r="H871" s="244"/>
      <c r="K871" s="265"/>
      <c r="S871" s="244"/>
    </row>
    <row r="872" spans="1:19" ht="15.75" customHeight="1" x14ac:dyDescent="0.25">
      <c r="A872" s="244"/>
      <c r="C872" s="263"/>
      <c r="D872" s="264"/>
      <c r="E872" s="244"/>
      <c r="F872" s="244"/>
      <c r="G872" s="244"/>
      <c r="H872" s="244"/>
      <c r="K872" s="265"/>
      <c r="S872" s="244"/>
    </row>
    <row r="873" spans="1:19" ht="15.75" customHeight="1" x14ac:dyDescent="0.25">
      <c r="A873" s="244"/>
      <c r="C873" s="263"/>
      <c r="D873" s="264"/>
      <c r="E873" s="244"/>
      <c r="F873" s="244"/>
      <c r="G873" s="244"/>
      <c r="H873" s="244"/>
      <c r="K873" s="265"/>
      <c r="S873" s="244"/>
    </row>
    <row r="874" spans="1:19" ht="15.75" customHeight="1" x14ac:dyDescent="0.25">
      <c r="A874" s="244"/>
      <c r="C874" s="263"/>
      <c r="D874" s="264"/>
      <c r="E874" s="244"/>
      <c r="F874" s="244"/>
      <c r="G874" s="244"/>
      <c r="H874" s="244"/>
      <c r="K874" s="265"/>
      <c r="S874" s="244"/>
    </row>
    <row r="875" spans="1:19" ht="15.75" customHeight="1" x14ac:dyDescent="0.25">
      <c r="A875" s="244"/>
      <c r="C875" s="263"/>
      <c r="D875" s="264"/>
      <c r="E875" s="244"/>
      <c r="F875" s="244"/>
      <c r="G875" s="244"/>
      <c r="H875" s="244"/>
      <c r="K875" s="265"/>
      <c r="S875" s="244"/>
    </row>
    <row r="876" spans="1:19" ht="15.75" customHeight="1" x14ac:dyDescent="0.25">
      <c r="A876" s="244"/>
      <c r="C876" s="263"/>
      <c r="D876" s="264"/>
      <c r="E876" s="244"/>
      <c r="F876" s="244"/>
      <c r="G876" s="244"/>
      <c r="H876" s="244"/>
      <c r="K876" s="265"/>
      <c r="S876" s="244"/>
    </row>
    <row r="877" spans="1:19" ht="15.75" customHeight="1" x14ac:dyDescent="0.25">
      <c r="A877" s="244"/>
      <c r="C877" s="263"/>
      <c r="D877" s="264"/>
      <c r="E877" s="244"/>
      <c r="F877" s="244"/>
      <c r="G877" s="244"/>
      <c r="H877" s="244"/>
      <c r="K877" s="265"/>
      <c r="S877" s="244"/>
    </row>
    <row r="878" spans="1:19" ht="15.75" customHeight="1" x14ac:dyDescent="0.25">
      <c r="A878" s="244"/>
      <c r="C878" s="263"/>
      <c r="D878" s="264"/>
      <c r="E878" s="244"/>
      <c r="F878" s="244"/>
      <c r="G878" s="244"/>
      <c r="H878" s="244"/>
      <c r="K878" s="265"/>
      <c r="S878" s="244"/>
    </row>
    <row r="879" spans="1:19" ht="15.75" customHeight="1" x14ac:dyDescent="0.25">
      <c r="A879" s="244"/>
      <c r="C879" s="263"/>
      <c r="D879" s="264"/>
      <c r="E879" s="244"/>
      <c r="F879" s="244"/>
      <c r="G879" s="244"/>
      <c r="H879" s="244"/>
      <c r="K879" s="265"/>
      <c r="S879" s="244"/>
    </row>
    <row r="880" spans="1:19" ht="15.75" customHeight="1" x14ac:dyDescent="0.25">
      <c r="A880" s="244"/>
      <c r="C880" s="263"/>
      <c r="D880" s="264"/>
      <c r="E880" s="244"/>
      <c r="F880" s="244"/>
      <c r="G880" s="244"/>
      <c r="H880" s="244"/>
      <c r="K880" s="265"/>
      <c r="S880" s="244"/>
    </row>
    <row r="881" spans="1:19" ht="15.75" customHeight="1" x14ac:dyDescent="0.25">
      <c r="A881" s="244"/>
      <c r="C881" s="263"/>
      <c r="D881" s="264"/>
      <c r="E881" s="244"/>
      <c r="F881" s="244"/>
      <c r="G881" s="244"/>
      <c r="H881" s="244"/>
      <c r="K881" s="265"/>
      <c r="S881" s="244"/>
    </row>
    <row r="882" spans="1:19" ht="15.75" customHeight="1" x14ac:dyDescent="0.25">
      <c r="A882" s="244"/>
      <c r="C882" s="263"/>
      <c r="D882" s="264"/>
      <c r="E882" s="244"/>
      <c r="F882" s="244"/>
      <c r="G882" s="244"/>
      <c r="H882" s="244"/>
      <c r="K882" s="265"/>
      <c r="S882" s="244"/>
    </row>
    <row r="883" spans="1:19" ht="15.75" customHeight="1" x14ac:dyDescent="0.25">
      <c r="A883" s="244"/>
      <c r="C883" s="263"/>
      <c r="D883" s="264"/>
      <c r="E883" s="244"/>
      <c r="F883" s="244"/>
      <c r="G883" s="244"/>
      <c r="H883" s="244"/>
      <c r="K883" s="265"/>
      <c r="S883" s="244"/>
    </row>
    <row r="884" spans="1:19" ht="15.75" customHeight="1" x14ac:dyDescent="0.25">
      <c r="A884" s="244"/>
      <c r="C884" s="263"/>
      <c r="D884" s="264"/>
      <c r="E884" s="244"/>
      <c r="F884" s="244"/>
      <c r="G884" s="244"/>
      <c r="H884" s="244"/>
      <c r="K884" s="265"/>
      <c r="S884" s="244"/>
    </row>
    <row r="885" spans="1:19" ht="15.75" customHeight="1" x14ac:dyDescent="0.25">
      <c r="A885" s="244"/>
      <c r="C885" s="263"/>
      <c r="D885" s="264"/>
      <c r="E885" s="244"/>
      <c r="F885" s="244"/>
      <c r="G885" s="244"/>
      <c r="H885" s="244"/>
      <c r="K885" s="265"/>
      <c r="S885" s="244"/>
    </row>
    <row r="886" spans="1:19" ht="15.75" customHeight="1" x14ac:dyDescent="0.25">
      <c r="A886" s="244"/>
      <c r="C886" s="263"/>
      <c r="D886" s="264"/>
      <c r="E886" s="244"/>
      <c r="F886" s="244"/>
      <c r="G886" s="244"/>
      <c r="H886" s="244"/>
      <c r="K886" s="265"/>
      <c r="S886" s="244"/>
    </row>
    <row r="887" spans="1:19" ht="15.75" customHeight="1" x14ac:dyDescent="0.25">
      <c r="A887" s="244"/>
      <c r="C887" s="263"/>
      <c r="D887" s="264"/>
      <c r="E887" s="244"/>
      <c r="F887" s="244"/>
      <c r="G887" s="244"/>
      <c r="H887" s="244"/>
      <c r="K887" s="265"/>
      <c r="S887" s="244"/>
    </row>
    <row r="888" spans="1:19" ht="15.75" customHeight="1" x14ac:dyDescent="0.25">
      <c r="A888" s="244"/>
      <c r="C888" s="263"/>
      <c r="D888" s="264"/>
      <c r="E888" s="244"/>
      <c r="F888" s="244"/>
      <c r="G888" s="244"/>
      <c r="H888" s="244"/>
      <c r="K888" s="265"/>
      <c r="S888" s="244"/>
    </row>
    <row r="889" spans="1:19" ht="15.75" customHeight="1" x14ac:dyDescent="0.25">
      <c r="A889" s="244"/>
      <c r="C889" s="263"/>
      <c r="D889" s="264"/>
      <c r="E889" s="244"/>
      <c r="F889" s="244"/>
      <c r="G889" s="244"/>
      <c r="H889" s="244"/>
      <c r="K889" s="265"/>
      <c r="S889" s="244"/>
    </row>
    <row r="890" spans="1:19" ht="15.75" customHeight="1" x14ac:dyDescent="0.25">
      <c r="A890" s="244"/>
      <c r="C890" s="263"/>
      <c r="D890" s="264"/>
      <c r="E890" s="244"/>
      <c r="F890" s="244"/>
      <c r="G890" s="244"/>
      <c r="H890" s="244"/>
      <c r="K890" s="265"/>
      <c r="S890" s="244"/>
    </row>
    <row r="891" spans="1:19" ht="15.75" customHeight="1" x14ac:dyDescent="0.25">
      <c r="A891" s="244"/>
      <c r="C891" s="263"/>
      <c r="D891" s="264"/>
      <c r="E891" s="244"/>
      <c r="F891" s="244"/>
      <c r="G891" s="244"/>
      <c r="H891" s="244"/>
      <c r="K891" s="265"/>
      <c r="S891" s="244"/>
    </row>
    <row r="892" spans="1:19" ht="15.75" customHeight="1" x14ac:dyDescent="0.25">
      <c r="A892" s="244"/>
      <c r="C892" s="263"/>
      <c r="D892" s="264"/>
      <c r="E892" s="244"/>
      <c r="F892" s="244"/>
      <c r="G892" s="244"/>
      <c r="H892" s="244"/>
      <c r="K892" s="265"/>
      <c r="S892" s="244"/>
    </row>
    <row r="893" spans="1:19" ht="15.75" customHeight="1" x14ac:dyDescent="0.25">
      <c r="A893" s="244"/>
      <c r="C893" s="263"/>
      <c r="D893" s="264"/>
      <c r="E893" s="244"/>
      <c r="F893" s="244"/>
      <c r="G893" s="244"/>
      <c r="H893" s="244"/>
      <c r="K893" s="265"/>
      <c r="S893" s="244"/>
    </row>
    <row r="894" spans="1:19" ht="15.75" customHeight="1" x14ac:dyDescent="0.25">
      <c r="A894" s="244"/>
      <c r="C894" s="263"/>
      <c r="D894" s="264"/>
      <c r="E894" s="244"/>
      <c r="F894" s="244"/>
      <c r="G894" s="244"/>
      <c r="H894" s="244"/>
      <c r="K894" s="265"/>
      <c r="S894" s="244"/>
    </row>
    <row r="895" spans="1:19" ht="15.75" customHeight="1" x14ac:dyDescent="0.25">
      <c r="A895" s="244"/>
      <c r="C895" s="263"/>
      <c r="D895" s="264"/>
      <c r="E895" s="244"/>
      <c r="F895" s="244"/>
      <c r="G895" s="244"/>
      <c r="H895" s="244"/>
      <c r="K895" s="265"/>
      <c r="S895" s="244"/>
    </row>
    <row r="896" spans="1:19" ht="15.75" customHeight="1" x14ac:dyDescent="0.25">
      <c r="A896" s="244"/>
      <c r="C896" s="263"/>
      <c r="D896" s="264"/>
      <c r="E896" s="244"/>
      <c r="F896" s="244"/>
      <c r="G896" s="244"/>
      <c r="H896" s="244"/>
      <c r="K896" s="265"/>
      <c r="S896" s="244"/>
    </row>
    <row r="897" spans="1:19" ht="15.75" customHeight="1" x14ac:dyDescent="0.25">
      <c r="A897" s="244"/>
      <c r="C897" s="263"/>
      <c r="D897" s="264"/>
      <c r="E897" s="244"/>
      <c r="F897" s="244"/>
      <c r="G897" s="244"/>
      <c r="H897" s="244"/>
      <c r="K897" s="265"/>
      <c r="S897" s="244"/>
    </row>
    <row r="898" spans="1:19" ht="15.75" customHeight="1" x14ac:dyDescent="0.25">
      <c r="A898" s="244"/>
      <c r="C898" s="263"/>
      <c r="D898" s="264"/>
      <c r="E898" s="244"/>
      <c r="F898" s="244"/>
      <c r="G898" s="244"/>
      <c r="H898" s="244"/>
      <c r="K898" s="265"/>
      <c r="S898" s="244"/>
    </row>
    <row r="899" spans="1:19" ht="15.75" customHeight="1" x14ac:dyDescent="0.25">
      <c r="A899" s="244"/>
      <c r="C899" s="263"/>
      <c r="D899" s="264"/>
      <c r="E899" s="244"/>
      <c r="F899" s="244"/>
      <c r="G899" s="244"/>
      <c r="H899" s="244"/>
      <c r="K899" s="265"/>
      <c r="S899" s="244"/>
    </row>
    <row r="900" spans="1:19" ht="15.75" customHeight="1" x14ac:dyDescent="0.25">
      <c r="A900" s="244"/>
      <c r="C900" s="263"/>
      <c r="D900" s="264"/>
      <c r="E900" s="244"/>
      <c r="F900" s="244"/>
      <c r="G900" s="244"/>
      <c r="H900" s="244"/>
      <c r="K900" s="265"/>
      <c r="S900" s="244"/>
    </row>
    <row r="901" spans="1:19" ht="15.75" customHeight="1" x14ac:dyDescent="0.25">
      <c r="A901" s="244"/>
      <c r="C901" s="263"/>
      <c r="D901" s="264"/>
      <c r="E901" s="244"/>
      <c r="F901" s="244"/>
      <c r="G901" s="244"/>
      <c r="H901" s="244"/>
      <c r="K901" s="265"/>
      <c r="S901" s="244"/>
    </row>
    <row r="902" spans="1:19" ht="15.75" customHeight="1" x14ac:dyDescent="0.25">
      <c r="A902" s="244"/>
      <c r="C902" s="263"/>
      <c r="D902" s="264"/>
      <c r="E902" s="244"/>
      <c r="F902" s="244"/>
      <c r="G902" s="244"/>
      <c r="H902" s="244"/>
      <c r="K902" s="265"/>
      <c r="S902" s="244"/>
    </row>
    <row r="903" spans="1:19" ht="15.75" customHeight="1" x14ac:dyDescent="0.25">
      <c r="A903" s="244"/>
      <c r="C903" s="263"/>
      <c r="D903" s="264"/>
      <c r="E903" s="244"/>
      <c r="F903" s="244"/>
      <c r="G903" s="244"/>
      <c r="H903" s="244"/>
      <c r="K903" s="265"/>
      <c r="S903" s="244"/>
    </row>
    <row r="904" spans="1:19" ht="15.75" customHeight="1" x14ac:dyDescent="0.25">
      <c r="A904" s="244"/>
      <c r="C904" s="263"/>
      <c r="D904" s="264"/>
      <c r="E904" s="244"/>
      <c r="F904" s="244"/>
      <c r="G904" s="244"/>
      <c r="H904" s="244"/>
      <c r="K904" s="265"/>
      <c r="S904" s="244"/>
    </row>
    <row r="905" spans="1:19" ht="15.75" customHeight="1" x14ac:dyDescent="0.25">
      <c r="A905" s="244"/>
      <c r="C905" s="263"/>
      <c r="D905" s="264"/>
      <c r="E905" s="244"/>
      <c r="F905" s="244"/>
      <c r="G905" s="244"/>
      <c r="H905" s="244"/>
      <c r="K905" s="265"/>
      <c r="S905" s="244"/>
    </row>
    <row r="906" spans="1:19" ht="15.75" customHeight="1" x14ac:dyDescent="0.25">
      <c r="A906" s="244"/>
      <c r="C906" s="263"/>
      <c r="D906" s="264"/>
      <c r="E906" s="244"/>
      <c r="F906" s="244"/>
      <c r="G906" s="244"/>
      <c r="H906" s="244"/>
      <c r="K906" s="265"/>
      <c r="S906" s="244"/>
    </row>
    <row r="907" spans="1:19" ht="15.75" customHeight="1" x14ac:dyDescent="0.25">
      <c r="A907" s="244"/>
      <c r="C907" s="263"/>
      <c r="D907" s="264"/>
      <c r="E907" s="244"/>
      <c r="F907" s="244"/>
      <c r="G907" s="244"/>
      <c r="H907" s="244"/>
      <c r="K907" s="265"/>
      <c r="S907" s="244"/>
    </row>
    <row r="908" spans="1:19" ht="15.75" customHeight="1" x14ac:dyDescent="0.25">
      <c r="A908" s="244"/>
      <c r="C908" s="263"/>
      <c r="D908" s="264"/>
      <c r="E908" s="244"/>
      <c r="F908" s="244"/>
      <c r="G908" s="244"/>
      <c r="H908" s="244"/>
      <c r="K908" s="265"/>
      <c r="S908" s="244"/>
    </row>
    <row r="909" spans="1:19" ht="15.75" customHeight="1" x14ac:dyDescent="0.25">
      <c r="A909" s="244"/>
      <c r="C909" s="263"/>
      <c r="D909" s="264"/>
      <c r="E909" s="244"/>
      <c r="F909" s="244"/>
      <c r="G909" s="244"/>
      <c r="H909" s="244"/>
      <c r="K909" s="265"/>
      <c r="S909" s="244"/>
    </row>
    <row r="910" spans="1:19" ht="15.75" customHeight="1" x14ac:dyDescent="0.25">
      <c r="A910" s="244"/>
      <c r="C910" s="263"/>
      <c r="D910" s="264"/>
      <c r="E910" s="244"/>
      <c r="F910" s="244"/>
      <c r="G910" s="244"/>
      <c r="H910" s="244"/>
      <c r="K910" s="265"/>
      <c r="S910" s="244"/>
    </row>
    <row r="911" spans="1:19" ht="15.75" customHeight="1" x14ac:dyDescent="0.25">
      <c r="A911" s="244"/>
      <c r="C911" s="263"/>
      <c r="D911" s="264"/>
      <c r="E911" s="244"/>
      <c r="F911" s="244"/>
      <c r="G911" s="244"/>
      <c r="H911" s="244"/>
      <c r="K911" s="265"/>
      <c r="S911" s="244"/>
    </row>
    <row r="912" spans="1:19" ht="15.75" customHeight="1" x14ac:dyDescent="0.25">
      <c r="A912" s="244"/>
      <c r="C912" s="263"/>
      <c r="D912" s="264"/>
      <c r="E912" s="244"/>
      <c r="F912" s="244"/>
      <c r="G912" s="244"/>
      <c r="H912" s="244"/>
      <c r="K912" s="265"/>
      <c r="S912" s="244"/>
    </row>
    <row r="913" spans="1:19" ht="15.75" customHeight="1" x14ac:dyDescent="0.25">
      <c r="A913" s="244"/>
      <c r="C913" s="263"/>
      <c r="D913" s="264"/>
      <c r="E913" s="244"/>
      <c r="F913" s="244"/>
      <c r="G913" s="244"/>
      <c r="H913" s="244"/>
      <c r="K913" s="265"/>
      <c r="S913" s="244"/>
    </row>
    <row r="914" spans="1:19" ht="15.75" customHeight="1" x14ac:dyDescent="0.25">
      <c r="A914" s="244"/>
      <c r="C914" s="263"/>
      <c r="D914" s="264"/>
      <c r="E914" s="244"/>
      <c r="F914" s="244"/>
      <c r="G914" s="244"/>
      <c r="H914" s="244"/>
      <c r="K914" s="265"/>
      <c r="S914" s="244"/>
    </row>
    <row r="915" spans="1:19" ht="15.75" customHeight="1" x14ac:dyDescent="0.25">
      <c r="A915" s="244"/>
      <c r="C915" s="263"/>
      <c r="D915" s="264"/>
      <c r="E915" s="244"/>
      <c r="F915" s="244"/>
      <c r="G915" s="244"/>
      <c r="H915" s="244"/>
      <c r="K915" s="265"/>
      <c r="S915" s="244"/>
    </row>
    <row r="916" spans="1:19" ht="15.75" customHeight="1" x14ac:dyDescent="0.25">
      <c r="A916" s="244"/>
      <c r="C916" s="263"/>
      <c r="D916" s="264"/>
      <c r="E916" s="244"/>
      <c r="F916" s="244"/>
      <c r="G916" s="244"/>
      <c r="H916" s="244"/>
      <c r="K916" s="265"/>
      <c r="S916" s="244"/>
    </row>
    <row r="917" spans="1:19" ht="15.75" customHeight="1" x14ac:dyDescent="0.25">
      <c r="A917" s="244"/>
      <c r="C917" s="263"/>
      <c r="D917" s="264"/>
      <c r="E917" s="244"/>
      <c r="F917" s="244"/>
      <c r="G917" s="244"/>
      <c r="H917" s="244"/>
      <c r="K917" s="265"/>
      <c r="S917" s="244"/>
    </row>
    <row r="918" spans="1:19" ht="15.75" customHeight="1" x14ac:dyDescent="0.25">
      <c r="A918" s="244"/>
      <c r="C918" s="263"/>
      <c r="D918" s="264"/>
      <c r="E918" s="244"/>
      <c r="F918" s="244"/>
      <c r="G918" s="244"/>
      <c r="H918" s="244"/>
      <c r="K918" s="265"/>
      <c r="S918" s="244"/>
    </row>
    <row r="919" spans="1:19" ht="15.75" customHeight="1" x14ac:dyDescent="0.25">
      <c r="A919" s="244"/>
      <c r="C919" s="263"/>
      <c r="D919" s="264"/>
      <c r="E919" s="244"/>
      <c r="F919" s="244"/>
      <c r="G919" s="244"/>
      <c r="H919" s="244"/>
      <c r="K919" s="265"/>
      <c r="S919" s="244"/>
    </row>
    <row r="920" spans="1:19" ht="15.75" customHeight="1" x14ac:dyDescent="0.25">
      <c r="A920" s="244"/>
      <c r="C920" s="263"/>
      <c r="D920" s="264"/>
      <c r="E920" s="244"/>
      <c r="F920" s="244"/>
      <c r="G920" s="244"/>
      <c r="H920" s="244"/>
      <c r="K920" s="265"/>
      <c r="S920" s="244"/>
    </row>
    <row r="921" spans="1:19" ht="15.75" customHeight="1" x14ac:dyDescent="0.25">
      <c r="A921" s="244"/>
      <c r="C921" s="263"/>
      <c r="D921" s="264"/>
      <c r="E921" s="244"/>
      <c r="F921" s="244"/>
      <c r="G921" s="244"/>
      <c r="H921" s="244"/>
      <c r="K921" s="265"/>
      <c r="S921" s="244"/>
    </row>
    <row r="922" spans="1:19" ht="15.75" customHeight="1" x14ac:dyDescent="0.25">
      <c r="A922" s="244"/>
      <c r="C922" s="263"/>
      <c r="D922" s="264"/>
      <c r="E922" s="244"/>
      <c r="F922" s="244"/>
      <c r="G922" s="244"/>
      <c r="H922" s="244"/>
      <c r="K922" s="265"/>
      <c r="S922" s="244"/>
    </row>
    <row r="923" spans="1:19" ht="15.75" customHeight="1" x14ac:dyDescent="0.25">
      <c r="A923" s="244"/>
      <c r="C923" s="263"/>
      <c r="D923" s="264"/>
      <c r="E923" s="244"/>
      <c r="F923" s="244"/>
      <c r="G923" s="244"/>
      <c r="H923" s="244"/>
      <c r="K923" s="265"/>
      <c r="S923" s="244"/>
    </row>
    <row r="924" spans="1:19" ht="15.75" customHeight="1" x14ac:dyDescent="0.25">
      <c r="A924" s="244"/>
      <c r="C924" s="263"/>
      <c r="D924" s="264"/>
      <c r="E924" s="244"/>
      <c r="F924" s="244"/>
      <c r="G924" s="244"/>
      <c r="H924" s="244"/>
      <c r="K924" s="265"/>
      <c r="S924" s="244"/>
    </row>
    <row r="925" spans="1:19" ht="15.75" customHeight="1" x14ac:dyDescent="0.25">
      <c r="A925" s="244"/>
      <c r="C925" s="263"/>
      <c r="D925" s="264"/>
      <c r="E925" s="244"/>
      <c r="F925" s="244"/>
      <c r="G925" s="244"/>
      <c r="H925" s="244"/>
      <c r="K925" s="265"/>
      <c r="S925" s="244"/>
    </row>
    <row r="926" spans="1:19" ht="15.75" customHeight="1" x14ac:dyDescent="0.25">
      <c r="A926" s="244"/>
      <c r="C926" s="263"/>
      <c r="D926" s="264"/>
      <c r="E926" s="244"/>
      <c r="F926" s="244"/>
      <c r="G926" s="244"/>
      <c r="H926" s="244"/>
      <c r="K926" s="265"/>
      <c r="S926" s="244"/>
    </row>
    <row r="927" spans="1:19" ht="15.75" customHeight="1" x14ac:dyDescent="0.25">
      <c r="A927" s="244"/>
      <c r="C927" s="263"/>
      <c r="D927" s="264"/>
      <c r="E927" s="244"/>
      <c r="F927" s="244"/>
      <c r="G927" s="244"/>
      <c r="H927" s="244"/>
      <c r="K927" s="265"/>
      <c r="S927" s="244"/>
    </row>
    <row r="928" spans="1:19" ht="15.75" customHeight="1" x14ac:dyDescent="0.25">
      <c r="A928" s="244"/>
      <c r="C928" s="263"/>
      <c r="D928" s="264"/>
      <c r="E928" s="244"/>
      <c r="F928" s="244"/>
      <c r="G928" s="244"/>
      <c r="H928" s="244"/>
      <c r="K928" s="265"/>
      <c r="S928" s="244"/>
    </row>
    <row r="929" spans="1:19" ht="15.75" customHeight="1" x14ac:dyDescent="0.25">
      <c r="A929" s="244"/>
      <c r="C929" s="263"/>
      <c r="D929" s="264"/>
      <c r="E929" s="244"/>
      <c r="F929" s="244"/>
      <c r="G929" s="244"/>
      <c r="H929" s="244"/>
      <c r="K929" s="265"/>
      <c r="S929" s="244"/>
    </row>
    <row r="930" spans="1:19" ht="15.75" customHeight="1" x14ac:dyDescent="0.25">
      <c r="A930" s="244"/>
      <c r="C930" s="263"/>
      <c r="D930" s="264"/>
      <c r="E930" s="244"/>
      <c r="F930" s="244"/>
      <c r="G930" s="244"/>
      <c r="H930" s="244"/>
      <c r="K930" s="265"/>
      <c r="S930" s="244"/>
    </row>
    <row r="931" spans="1:19" ht="15.75" customHeight="1" x14ac:dyDescent="0.25">
      <c r="A931" s="244"/>
      <c r="C931" s="263"/>
      <c r="D931" s="264"/>
      <c r="E931" s="244"/>
      <c r="F931" s="244"/>
      <c r="G931" s="244"/>
      <c r="H931" s="244"/>
      <c r="K931" s="265"/>
      <c r="S931" s="244"/>
    </row>
    <row r="932" spans="1:19" ht="15.75" customHeight="1" x14ac:dyDescent="0.25">
      <c r="A932" s="244"/>
      <c r="C932" s="263"/>
      <c r="D932" s="264"/>
      <c r="E932" s="244"/>
      <c r="F932" s="244"/>
      <c r="G932" s="244"/>
      <c r="H932" s="244"/>
      <c r="K932" s="265"/>
      <c r="S932" s="244"/>
    </row>
    <row r="933" spans="1:19" ht="15.75" customHeight="1" x14ac:dyDescent="0.25">
      <c r="A933" s="244"/>
      <c r="C933" s="263"/>
      <c r="D933" s="264"/>
      <c r="E933" s="244"/>
      <c r="F933" s="244"/>
      <c r="G933" s="244"/>
      <c r="H933" s="244"/>
      <c r="K933" s="265"/>
      <c r="S933" s="244"/>
    </row>
    <row r="934" spans="1:19" ht="15.75" customHeight="1" x14ac:dyDescent="0.25">
      <c r="A934" s="244"/>
      <c r="C934" s="263"/>
      <c r="D934" s="264"/>
      <c r="E934" s="244"/>
      <c r="F934" s="244"/>
      <c r="G934" s="244"/>
      <c r="H934" s="244"/>
      <c r="K934" s="265"/>
      <c r="S934" s="244"/>
    </row>
    <row r="935" spans="1:19" ht="15.75" customHeight="1" x14ac:dyDescent="0.25">
      <c r="A935" s="244"/>
      <c r="C935" s="263"/>
      <c r="D935" s="264"/>
      <c r="E935" s="244"/>
      <c r="F935" s="244"/>
      <c r="G935" s="244"/>
      <c r="H935" s="244"/>
      <c r="K935" s="265"/>
      <c r="S935" s="244"/>
    </row>
    <row r="936" spans="1:19" ht="15.75" customHeight="1" x14ac:dyDescent="0.25">
      <c r="A936" s="244"/>
      <c r="C936" s="263"/>
      <c r="D936" s="264"/>
      <c r="E936" s="244"/>
      <c r="F936" s="244"/>
      <c r="G936" s="244"/>
      <c r="H936" s="244"/>
      <c r="K936" s="265"/>
      <c r="S936" s="244"/>
    </row>
    <row r="937" spans="1:19" ht="15.75" customHeight="1" x14ac:dyDescent="0.25">
      <c r="A937" s="244"/>
      <c r="C937" s="263"/>
      <c r="D937" s="264"/>
      <c r="E937" s="244"/>
      <c r="F937" s="244"/>
      <c r="G937" s="244"/>
      <c r="H937" s="244"/>
      <c r="K937" s="265"/>
      <c r="S937" s="244"/>
    </row>
    <row r="938" spans="1:19" ht="15.75" customHeight="1" x14ac:dyDescent="0.25">
      <c r="A938" s="244"/>
      <c r="C938" s="263"/>
      <c r="D938" s="264"/>
      <c r="E938" s="244"/>
      <c r="F938" s="244"/>
      <c r="G938" s="244"/>
      <c r="H938" s="244"/>
      <c r="K938" s="265"/>
      <c r="S938" s="244"/>
    </row>
    <row r="939" spans="1:19" ht="15.75" customHeight="1" x14ac:dyDescent="0.25">
      <c r="A939" s="244"/>
      <c r="C939" s="263"/>
      <c r="D939" s="264"/>
      <c r="E939" s="244"/>
      <c r="F939" s="244"/>
      <c r="G939" s="244"/>
      <c r="H939" s="244"/>
      <c r="K939" s="265"/>
      <c r="S939" s="244"/>
    </row>
    <row r="940" spans="1:19" ht="15.75" customHeight="1" x14ac:dyDescent="0.25">
      <c r="A940" s="244"/>
      <c r="C940" s="263"/>
      <c r="D940" s="264"/>
      <c r="E940" s="244"/>
      <c r="F940" s="244"/>
      <c r="G940" s="244"/>
      <c r="H940" s="244"/>
      <c r="K940" s="265"/>
      <c r="S940" s="244"/>
    </row>
    <row r="941" spans="1:19" ht="15.75" customHeight="1" x14ac:dyDescent="0.25">
      <c r="A941" s="244"/>
      <c r="C941" s="263"/>
      <c r="D941" s="264"/>
      <c r="E941" s="244"/>
      <c r="F941" s="244"/>
      <c r="G941" s="244"/>
      <c r="H941" s="244"/>
      <c r="K941" s="265"/>
      <c r="S941" s="244"/>
    </row>
    <row r="942" spans="1:19" ht="15.75" customHeight="1" x14ac:dyDescent="0.25">
      <c r="A942" s="244"/>
      <c r="C942" s="263"/>
      <c r="D942" s="264"/>
      <c r="E942" s="244"/>
      <c r="F942" s="244"/>
      <c r="G942" s="244"/>
      <c r="H942" s="244"/>
      <c r="K942" s="265"/>
      <c r="S942" s="244"/>
    </row>
    <row r="943" spans="1:19" ht="15.75" customHeight="1" x14ac:dyDescent="0.25">
      <c r="A943" s="244"/>
      <c r="C943" s="263"/>
      <c r="D943" s="264"/>
      <c r="E943" s="244"/>
      <c r="F943" s="244"/>
      <c r="G943" s="244"/>
      <c r="H943" s="244"/>
      <c r="K943" s="265"/>
      <c r="S943" s="244"/>
    </row>
    <row r="944" spans="1:19" ht="15.75" customHeight="1" x14ac:dyDescent="0.25">
      <c r="A944" s="244"/>
      <c r="C944" s="263"/>
      <c r="D944" s="264"/>
      <c r="E944" s="244"/>
      <c r="F944" s="244"/>
      <c r="G944" s="244"/>
      <c r="H944" s="244"/>
      <c r="K944" s="265"/>
      <c r="S944" s="244"/>
    </row>
    <row r="945" spans="1:19" ht="15.75" customHeight="1" x14ac:dyDescent="0.25">
      <c r="A945" s="244"/>
      <c r="C945" s="263"/>
      <c r="D945" s="264"/>
      <c r="E945" s="244"/>
      <c r="F945" s="244"/>
      <c r="G945" s="244"/>
      <c r="H945" s="244"/>
      <c r="K945" s="265"/>
      <c r="S945" s="244"/>
    </row>
    <row r="946" spans="1:19" ht="15.75" customHeight="1" x14ac:dyDescent="0.25">
      <c r="A946" s="244"/>
      <c r="C946" s="263"/>
      <c r="D946" s="264"/>
      <c r="E946" s="244"/>
      <c r="F946" s="244"/>
      <c r="G946" s="244"/>
      <c r="H946" s="244"/>
      <c r="K946" s="265"/>
      <c r="S946" s="244"/>
    </row>
    <row r="947" spans="1:19" ht="15.75" customHeight="1" x14ac:dyDescent="0.25">
      <c r="A947" s="244"/>
      <c r="C947" s="263"/>
      <c r="D947" s="264"/>
      <c r="E947" s="244"/>
      <c r="F947" s="244"/>
      <c r="G947" s="244"/>
      <c r="H947" s="244"/>
      <c r="K947" s="265"/>
      <c r="S947" s="244"/>
    </row>
    <row r="948" spans="1:19" ht="15.75" customHeight="1" x14ac:dyDescent="0.25">
      <c r="A948" s="244"/>
      <c r="C948" s="263"/>
      <c r="D948" s="264"/>
      <c r="E948" s="244"/>
      <c r="F948" s="244"/>
      <c r="G948" s="244"/>
      <c r="H948" s="244"/>
      <c r="K948" s="265"/>
      <c r="S948" s="244"/>
    </row>
    <row r="949" spans="1:19" ht="15.75" customHeight="1" x14ac:dyDescent="0.25">
      <c r="A949" s="244"/>
      <c r="C949" s="263"/>
      <c r="D949" s="264"/>
      <c r="E949" s="244"/>
      <c r="F949" s="244"/>
      <c r="G949" s="244"/>
      <c r="H949" s="244"/>
      <c r="K949" s="265"/>
      <c r="S949" s="244"/>
    </row>
    <row r="950" spans="1:19" ht="15.75" customHeight="1" x14ac:dyDescent="0.25">
      <c r="A950" s="244"/>
      <c r="C950" s="263"/>
      <c r="D950" s="264"/>
      <c r="E950" s="244"/>
      <c r="F950" s="244"/>
      <c r="G950" s="244"/>
      <c r="H950" s="244"/>
      <c r="K950" s="265"/>
      <c r="S950" s="244"/>
    </row>
    <row r="951" spans="1:19" ht="15.75" customHeight="1" x14ac:dyDescent="0.25">
      <c r="A951" s="244"/>
      <c r="C951" s="263"/>
      <c r="D951" s="264"/>
      <c r="E951" s="244"/>
      <c r="F951" s="244"/>
      <c r="G951" s="244"/>
      <c r="H951" s="244"/>
      <c r="K951" s="265"/>
      <c r="S951" s="244"/>
    </row>
    <row r="952" spans="1:19" ht="15.75" customHeight="1" x14ac:dyDescent="0.25">
      <c r="A952" s="244"/>
      <c r="C952" s="263"/>
      <c r="D952" s="264"/>
      <c r="E952" s="244"/>
      <c r="F952" s="244"/>
      <c r="G952" s="244"/>
      <c r="H952" s="244"/>
      <c r="K952" s="265"/>
      <c r="S952" s="244"/>
    </row>
    <row r="953" spans="1:19" ht="15.75" customHeight="1" x14ac:dyDescent="0.25">
      <c r="A953" s="244"/>
      <c r="C953" s="263"/>
      <c r="D953" s="264"/>
      <c r="E953" s="244"/>
      <c r="F953" s="244"/>
      <c r="G953" s="244"/>
      <c r="H953" s="244"/>
      <c r="K953" s="265"/>
      <c r="S953" s="244"/>
    </row>
    <row r="954" spans="1:19" ht="15.75" customHeight="1" x14ac:dyDescent="0.25">
      <c r="A954" s="244"/>
      <c r="C954" s="263"/>
      <c r="D954" s="264"/>
      <c r="E954" s="244"/>
      <c r="F954" s="244"/>
      <c r="G954" s="244"/>
      <c r="H954" s="244"/>
      <c r="K954" s="265"/>
      <c r="S954" s="244"/>
    </row>
    <row r="955" spans="1:19" ht="15.75" customHeight="1" x14ac:dyDescent="0.25">
      <c r="A955" s="244"/>
      <c r="C955" s="263"/>
      <c r="D955" s="264"/>
      <c r="E955" s="244"/>
      <c r="F955" s="244"/>
      <c r="G955" s="244"/>
      <c r="H955" s="244"/>
      <c r="K955" s="265"/>
      <c r="S955" s="244"/>
    </row>
    <row r="956" spans="1:19" ht="15.75" customHeight="1" x14ac:dyDescent="0.25">
      <c r="A956" s="244"/>
      <c r="C956" s="263"/>
      <c r="D956" s="264"/>
      <c r="E956" s="244"/>
      <c r="F956" s="244"/>
      <c r="G956" s="244"/>
      <c r="H956" s="244"/>
      <c r="K956" s="265"/>
      <c r="S956" s="244"/>
    </row>
    <row r="957" spans="1:19" ht="15.75" customHeight="1" x14ac:dyDescent="0.25">
      <c r="A957" s="244"/>
      <c r="C957" s="263"/>
      <c r="D957" s="264"/>
      <c r="E957" s="244"/>
      <c r="F957" s="244"/>
      <c r="G957" s="244"/>
      <c r="H957" s="244"/>
      <c r="K957" s="265"/>
      <c r="S957" s="244"/>
    </row>
    <row r="958" spans="1:19" ht="15.75" customHeight="1" x14ac:dyDescent="0.25">
      <c r="A958" s="244"/>
      <c r="C958" s="263"/>
      <c r="D958" s="264"/>
      <c r="E958" s="244"/>
      <c r="F958" s="244"/>
      <c r="G958" s="244"/>
      <c r="H958" s="244"/>
      <c r="K958" s="265"/>
      <c r="S958" s="244"/>
    </row>
    <row r="959" spans="1:19" ht="15.75" customHeight="1" x14ac:dyDescent="0.25">
      <c r="A959" s="244"/>
      <c r="C959" s="263"/>
      <c r="D959" s="264"/>
      <c r="E959" s="244"/>
      <c r="F959" s="244"/>
      <c r="G959" s="244"/>
      <c r="H959" s="244"/>
      <c r="K959" s="265"/>
      <c r="S959" s="244"/>
    </row>
    <row r="960" spans="1:19" ht="15.75" customHeight="1" x14ac:dyDescent="0.25">
      <c r="A960" s="244"/>
      <c r="C960" s="263"/>
      <c r="D960" s="264"/>
      <c r="E960" s="244"/>
      <c r="F960" s="244"/>
      <c r="G960" s="244"/>
      <c r="H960" s="244"/>
      <c r="K960" s="265"/>
      <c r="S960" s="244"/>
    </row>
    <row r="961" spans="1:19" ht="15.75" customHeight="1" x14ac:dyDescent="0.25">
      <c r="A961" s="244"/>
      <c r="C961" s="263"/>
      <c r="D961" s="264"/>
      <c r="E961" s="244"/>
      <c r="F961" s="244"/>
      <c r="G961" s="244"/>
      <c r="H961" s="244"/>
      <c r="K961" s="265"/>
      <c r="S961" s="244"/>
    </row>
    <row r="962" spans="1:19" ht="15.75" customHeight="1" x14ac:dyDescent="0.25">
      <c r="A962" s="244"/>
      <c r="C962" s="263"/>
      <c r="D962" s="264"/>
      <c r="E962" s="244"/>
      <c r="F962" s="244"/>
      <c r="G962" s="244"/>
      <c r="H962" s="244"/>
      <c r="K962" s="265"/>
      <c r="S962" s="244"/>
    </row>
    <row r="963" spans="1:19" ht="15.75" customHeight="1" x14ac:dyDescent="0.25">
      <c r="A963" s="244"/>
      <c r="C963" s="263"/>
      <c r="D963" s="264"/>
      <c r="E963" s="244"/>
      <c r="F963" s="244"/>
      <c r="G963" s="244"/>
      <c r="H963" s="244"/>
      <c r="K963" s="265"/>
      <c r="S963" s="244"/>
    </row>
    <row r="964" spans="1:19" ht="15.75" customHeight="1" x14ac:dyDescent="0.25">
      <c r="A964" s="244"/>
      <c r="C964" s="263"/>
      <c r="D964" s="264"/>
      <c r="E964" s="244"/>
      <c r="F964" s="244"/>
      <c r="G964" s="244"/>
      <c r="H964" s="244"/>
      <c r="K964" s="265"/>
      <c r="S964" s="244"/>
    </row>
    <row r="965" spans="1:19" ht="15.75" customHeight="1" x14ac:dyDescent="0.25">
      <c r="A965" s="244"/>
      <c r="C965" s="263"/>
      <c r="D965" s="264"/>
      <c r="E965" s="244"/>
      <c r="F965" s="244"/>
      <c r="G965" s="244"/>
      <c r="H965" s="244"/>
      <c r="K965" s="265"/>
      <c r="S965" s="244"/>
    </row>
    <row r="966" spans="1:19" ht="15.75" customHeight="1" x14ac:dyDescent="0.25">
      <c r="A966" s="244"/>
      <c r="C966" s="263"/>
      <c r="D966" s="264"/>
      <c r="E966" s="244"/>
      <c r="F966" s="244"/>
      <c r="G966" s="244"/>
      <c r="H966" s="244"/>
      <c r="K966" s="265"/>
      <c r="S966" s="244"/>
    </row>
    <row r="967" spans="1:19" ht="15.75" customHeight="1" x14ac:dyDescent="0.25">
      <c r="A967" s="244"/>
      <c r="C967" s="263"/>
      <c r="D967" s="264"/>
      <c r="E967" s="244"/>
      <c r="F967" s="244"/>
      <c r="G967" s="244"/>
      <c r="H967" s="244"/>
      <c r="K967" s="265"/>
      <c r="S967" s="244"/>
    </row>
    <row r="968" spans="1:19" ht="15.75" customHeight="1" x14ac:dyDescent="0.25">
      <c r="A968" s="244"/>
      <c r="C968" s="263"/>
      <c r="D968" s="264"/>
      <c r="E968" s="244"/>
      <c r="F968" s="244"/>
      <c r="G968" s="244"/>
      <c r="H968" s="244"/>
      <c r="K968" s="265"/>
      <c r="S968" s="244"/>
    </row>
    <row r="969" spans="1:19" ht="15.75" customHeight="1" x14ac:dyDescent="0.25">
      <c r="A969" s="244"/>
      <c r="C969" s="263"/>
      <c r="D969" s="264"/>
      <c r="E969" s="244"/>
      <c r="F969" s="244"/>
      <c r="G969" s="244"/>
      <c r="H969" s="244"/>
      <c r="K969" s="265"/>
      <c r="S969" s="244"/>
    </row>
    <row r="970" spans="1:19" ht="15.75" customHeight="1" x14ac:dyDescent="0.25">
      <c r="A970" s="244"/>
      <c r="C970" s="263"/>
      <c r="D970" s="264"/>
      <c r="E970" s="244"/>
      <c r="F970" s="244"/>
      <c r="G970" s="244"/>
      <c r="H970" s="244"/>
      <c r="K970" s="265"/>
      <c r="S970" s="244"/>
    </row>
    <row r="971" spans="1:19" ht="15.75" customHeight="1" x14ac:dyDescent="0.25">
      <c r="A971" s="244"/>
      <c r="C971" s="263"/>
      <c r="D971" s="264"/>
      <c r="E971" s="244"/>
      <c r="F971" s="244"/>
      <c r="G971" s="244"/>
      <c r="H971" s="244"/>
      <c r="K971" s="265"/>
      <c r="S971" s="244"/>
    </row>
    <row r="972" spans="1:19" ht="15.75" customHeight="1" x14ac:dyDescent="0.25">
      <c r="A972" s="244"/>
      <c r="C972" s="263"/>
      <c r="D972" s="264"/>
      <c r="E972" s="244"/>
      <c r="F972" s="244"/>
      <c r="G972" s="244"/>
      <c r="H972" s="244"/>
      <c r="K972" s="265"/>
      <c r="S972" s="244"/>
    </row>
    <row r="973" spans="1:19" ht="15.75" customHeight="1" x14ac:dyDescent="0.25">
      <c r="A973" s="244"/>
      <c r="C973" s="263"/>
      <c r="D973" s="264"/>
      <c r="E973" s="244"/>
      <c r="F973" s="244"/>
      <c r="G973" s="244"/>
      <c r="H973" s="244"/>
      <c r="K973" s="265"/>
      <c r="S973" s="244"/>
    </row>
    <row r="974" spans="1:19" ht="15.75" customHeight="1" x14ac:dyDescent="0.25">
      <c r="A974" s="244"/>
      <c r="C974" s="263"/>
      <c r="D974" s="264"/>
      <c r="E974" s="244"/>
      <c r="F974" s="244"/>
      <c r="G974" s="244"/>
      <c r="H974" s="244"/>
      <c r="K974" s="265"/>
      <c r="S974" s="244"/>
    </row>
    <row r="975" spans="1:19" ht="15.75" customHeight="1" x14ac:dyDescent="0.25">
      <c r="A975" s="244"/>
      <c r="C975" s="263"/>
      <c r="D975" s="264"/>
      <c r="E975" s="244"/>
      <c r="F975" s="244"/>
      <c r="G975" s="244"/>
      <c r="H975" s="244"/>
      <c r="K975" s="265"/>
      <c r="S975" s="244"/>
    </row>
    <row r="976" spans="1:19" ht="15.75" customHeight="1" x14ac:dyDescent="0.25">
      <c r="A976" s="244"/>
      <c r="C976" s="263"/>
      <c r="D976" s="264"/>
      <c r="E976" s="244"/>
      <c r="F976" s="244"/>
      <c r="G976" s="244"/>
      <c r="H976" s="244"/>
      <c r="K976" s="265"/>
      <c r="S976" s="244"/>
    </row>
    <row r="977" spans="1:19" ht="15.75" customHeight="1" x14ac:dyDescent="0.25">
      <c r="A977" s="244"/>
      <c r="C977" s="263"/>
      <c r="D977" s="264"/>
      <c r="E977" s="244"/>
      <c r="F977" s="244"/>
      <c r="G977" s="244"/>
      <c r="H977" s="244"/>
      <c r="K977" s="265"/>
      <c r="S977" s="244"/>
    </row>
    <row r="978" spans="1:19" ht="15.75" customHeight="1" x14ac:dyDescent="0.25">
      <c r="A978" s="244"/>
      <c r="C978" s="263"/>
      <c r="D978" s="264"/>
      <c r="E978" s="244"/>
      <c r="F978" s="244"/>
      <c r="G978" s="244"/>
      <c r="H978" s="244"/>
      <c r="K978" s="265"/>
      <c r="S978" s="244"/>
    </row>
    <row r="979" spans="1:19" ht="15.75" customHeight="1" x14ac:dyDescent="0.25">
      <c r="A979" s="244"/>
      <c r="C979" s="263"/>
      <c r="D979" s="264"/>
      <c r="E979" s="244"/>
      <c r="F979" s="244"/>
      <c r="G979" s="244"/>
      <c r="H979" s="244"/>
      <c r="K979" s="265"/>
      <c r="S979" s="244"/>
    </row>
    <row r="980" spans="1:19" ht="15.75" customHeight="1" x14ac:dyDescent="0.25">
      <c r="A980" s="244"/>
      <c r="C980" s="263"/>
      <c r="D980" s="264"/>
      <c r="E980" s="244"/>
      <c r="F980" s="244"/>
      <c r="G980" s="244"/>
      <c r="H980" s="244"/>
      <c r="K980" s="265"/>
      <c r="S980" s="244"/>
    </row>
    <row r="981" spans="1:19" ht="15.75" customHeight="1" x14ac:dyDescent="0.25">
      <c r="A981" s="244"/>
      <c r="C981" s="263"/>
      <c r="D981" s="264"/>
      <c r="E981" s="244"/>
      <c r="F981" s="244"/>
      <c r="G981" s="244"/>
      <c r="H981" s="244"/>
      <c r="K981" s="265"/>
      <c r="S981" s="244"/>
    </row>
    <row r="982" spans="1:19" ht="15.75" customHeight="1" x14ac:dyDescent="0.25">
      <c r="A982" s="244"/>
      <c r="C982" s="263"/>
      <c r="D982" s="264"/>
      <c r="E982" s="244"/>
      <c r="F982" s="244"/>
      <c r="G982" s="244"/>
      <c r="H982" s="244"/>
      <c r="K982" s="265"/>
      <c r="S982" s="244"/>
    </row>
  </sheetData>
  <mergeCells count="153">
    <mergeCell ref="V37:V39"/>
    <mergeCell ref="W37:W39"/>
    <mergeCell ref="X37:X39"/>
    <mergeCell ref="G37:G39"/>
    <mergeCell ref="H37:H39"/>
    <mergeCell ref="I37:I39"/>
    <mergeCell ref="J37:J39"/>
    <mergeCell ref="Q37:Q39"/>
    <mergeCell ref="R37:R39"/>
    <mergeCell ref="A37:A39"/>
    <mergeCell ref="B37:B39"/>
    <mergeCell ref="C37:C39"/>
    <mergeCell ref="D37:D39"/>
    <mergeCell ref="E37:E39"/>
    <mergeCell ref="F37:F39"/>
    <mergeCell ref="S33:S36"/>
    <mergeCell ref="T33:T36"/>
    <mergeCell ref="U33:U36"/>
    <mergeCell ref="A33:A36"/>
    <mergeCell ref="B33:B36"/>
    <mergeCell ref="C33:C36"/>
    <mergeCell ref="D33:D36"/>
    <mergeCell ref="E33:E36"/>
    <mergeCell ref="F33:F36"/>
    <mergeCell ref="S37:S39"/>
    <mergeCell ref="T37:T39"/>
    <mergeCell ref="U37:U39"/>
    <mergeCell ref="V33:V36"/>
    <mergeCell ref="W33:W36"/>
    <mergeCell ref="X33:X36"/>
    <mergeCell ref="G33:G36"/>
    <mergeCell ref="H33:H36"/>
    <mergeCell ref="I33:I36"/>
    <mergeCell ref="J33:J36"/>
    <mergeCell ref="Q33:Q36"/>
    <mergeCell ref="R33:R36"/>
    <mergeCell ref="V27:V32"/>
    <mergeCell ref="W27:W32"/>
    <mergeCell ref="X27:X32"/>
    <mergeCell ref="G27:G32"/>
    <mergeCell ref="H27:H32"/>
    <mergeCell ref="I27:I32"/>
    <mergeCell ref="J27:J32"/>
    <mergeCell ref="Q27:Q32"/>
    <mergeCell ref="R27:R32"/>
    <mergeCell ref="A27:A32"/>
    <mergeCell ref="B27:B32"/>
    <mergeCell ref="C27:C32"/>
    <mergeCell ref="D27:D32"/>
    <mergeCell ref="E27:E32"/>
    <mergeCell ref="F27:F32"/>
    <mergeCell ref="S23:S26"/>
    <mergeCell ref="T23:T26"/>
    <mergeCell ref="U23:U26"/>
    <mergeCell ref="A23:A26"/>
    <mergeCell ref="B23:B26"/>
    <mergeCell ref="C23:C26"/>
    <mergeCell ref="D23:D26"/>
    <mergeCell ref="E23:E26"/>
    <mergeCell ref="F23:F26"/>
    <mergeCell ref="S27:S32"/>
    <mergeCell ref="T27:T32"/>
    <mergeCell ref="U27:U32"/>
    <mergeCell ref="V23:V26"/>
    <mergeCell ref="W23:W26"/>
    <mergeCell ref="X23:X26"/>
    <mergeCell ref="G23:G26"/>
    <mergeCell ref="H23:H26"/>
    <mergeCell ref="I23:I26"/>
    <mergeCell ref="J23:J26"/>
    <mergeCell ref="Q23:Q26"/>
    <mergeCell ref="R23:R26"/>
    <mergeCell ref="V21:V22"/>
    <mergeCell ref="W21:W22"/>
    <mergeCell ref="X21:X22"/>
    <mergeCell ref="G21:G22"/>
    <mergeCell ref="H21:H22"/>
    <mergeCell ref="I21:I22"/>
    <mergeCell ref="J21:J22"/>
    <mergeCell ref="Q21:Q22"/>
    <mergeCell ref="R21:R22"/>
    <mergeCell ref="A21:A22"/>
    <mergeCell ref="B21:B22"/>
    <mergeCell ref="C21:C22"/>
    <mergeCell ref="D21:D22"/>
    <mergeCell ref="E21:E22"/>
    <mergeCell ref="F21:F22"/>
    <mergeCell ref="S16:S20"/>
    <mergeCell ref="T16:T20"/>
    <mergeCell ref="U16:U20"/>
    <mergeCell ref="A16:A20"/>
    <mergeCell ref="B16:B20"/>
    <mergeCell ref="C16:C20"/>
    <mergeCell ref="D16:D20"/>
    <mergeCell ref="E16:E20"/>
    <mergeCell ref="F16:F20"/>
    <mergeCell ref="S21:S22"/>
    <mergeCell ref="T21:T22"/>
    <mergeCell ref="U21:U22"/>
    <mergeCell ref="V16:V20"/>
    <mergeCell ref="W16:W20"/>
    <mergeCell ref="X16:X20"/>
    <mergeCell ref="G16:G20"/>
    <mergeCell ref="H16:H20"/>
    <mergeCell ref="I16:I20"/>
    <mergeCell ref="J16:J20"/>
    <mergeCell ref="Q16:Q20"/>
    <mergeCell ref="R16:R20"/>
    <mergeCell ref="V11:V15"/>
    <mergeCell ref="W11:W15"/>
    <mergeCell ref="X11:X15"/>
    <mergeCell ref="G11:G15"/>
    <mergeCell ref="H11:H15"/>
    <mergeCell ref="I11:I15"/>
    <mergeCell ref="J11:J15"/>
    <mergeCell ref="Q11:Q15"/>
    <mergeCell ref="R11:R15"/>
    <mergeCell ref="A11:A15"/>
    <mergeCell ref="B11:B15"/>
    <mergeCell ref="C11:C15"/>
    <mergeCell ref="D11:D15"/>
    <mergeCell ref="E11:E15"/>
    <mergeCell ref="F11:F15"/>
    <mergeCell ref="S7:S10"/>
    <mergeCell ref="T7:T10"/>
    <mergeCell ref="U7:U10"/>
    <mergeCell ref="A7:A10"/>
    <mergeCell ref="B7:B10"/>
    <mergeCell ref="C7:C10"/>
    <mergeCell ref="D7:D10"/>
    <mergeCell ref="E7:E10"/>
    <mergeCell ref="F7:F10"/>
    <mergeCell ref="S11:S15"/>
    <mergeCell ref="T11:T15"/>
    <mergeCell ref="U11:U15"/>
    <mergeCell ref="V7:V10"/>
    <mergeCell ref="W7:W10"/>
    <mergeCell ref="X7:X10"/>
    <mergeCell ref="G7:G10"/>
    <mergeCell ref="H7:H10"/>
    <mergeCell ref="I7:I10"/>
    <mergeCell ref="J7:J10"/>
    <mergeCell ref="Q7:Q10"/>
    <mergeCell ref="R7:R10"/>
    <mergeCell ref="A1:C4"/>
    <mergeCell ref="D1:AJ4"/>
    <mergeCell ref="AK1:AK2"/>
    <mergeCell ref="AK3:AK4"/>
    <mergeCell ref="A5:I5"/>
    <mergeCell ref="K5:P5"/>
    <mergeCell ref="Q5:X5"/>
    <mergeCell ref="Y5:AC5"/>
    <mergeCell ref="AD5:AI5"/>
  </mergeCells>
  <conditionalFormatting sqref="I7:J7 W7:X7 J11:J14 X11:X14 I11 I16:J16 I21:J21 I23:J23 I27:J27 I33:J33 I37:J37 W11 W16:X16 W21:X21 W23:X23 W27:X27 W33:X33 W37:X37">
    <cfRule type="cellIs" dxfId="159" priority="1" operator="equal">
      <formula>"Extremo"</formula>
    </cfRule>
  </conditionalFormatting>
  <conditionalFormatting sqref="I7:J7 W7:X7 J11:J14 X11:X14 I11 I16:J16 I21:J21 I23:J23 I27:J27 I33:J33 I37:J37 W11 W16:X16 W21:X21 W23:X23 W27:X27 W33:X33 W37:X37">
    <cfRule type="cellIs" dxfId="158" priority="2" operator="equal">
      <formula>"Moderado"</formula>
    </cfRule>
  </conditionalFormatting>
  <conditionalFormatting sqref="I7:J7 W7:X7 J11:J14 X11:X14 I11 I16:J16 I21:J21 I23:J23 I27:J27 I33:J33 I37:J37 W11 W16:X16 W21:X21 W23:X23 W27:X27 W33:X33 W37:X37">
    <cfRule type="cellIs" dxfId="157" priority="3" operator="equal">
      <formula>"Bajo"</formula>
    </cfRule>
  </conditionalFormatting>
  <conditionalFormatting sqref="I7:J7 W7:X7 J11:J14 X11:X14 I11 I16:J16 I21:J21 I23:J23 I27:J27 I33:J33 I37:J37 W11 W16:X16 W21:X21 W23:X23 W27:X27 W33:X33 W37:X37">
    <cfRule type="cellIs" dxfId="156" priority="4" operator="equal">
      <formula>"Alto"</formula>
    </cfRule>
  </conditionalFormatting>
  <dataValidations count="1">
    <dataValidation type="list" allowBlank="1" showErrorMessage="1" sqref="J7 J11 J16 J21 J23 J27 J33 J37" xr:uid="{00000000-0002-0000-2500-000000000000}">
      <formula1>"SI,NO"</formula1>
    </dataValidation>
  </dataValidations>
  <pageMargins left="7.874015748031496E-2" right="7.874015748031496E-2" top="1.1417322834645669" bottom="0.15748031496062992" header="0" footer="0"/>
  <pageSetup orientation="landscape" r:id="rId1"/>
  <headerFooter>
    <oddHeader>&amp;C Matriz de Riesgos</oddHeader>
  </headerFooter>
  <rowBreaks count="4" manualBreakCount="4">
    <brk id="15" man="1"/>
    <brk id="26" man="1"/>
    <brk id="20" man="1"/>
    <brk id="36" man="1"/>
  </rowBreaks>
  <colBreaks count="2" manualBreakCount="2">
    <brk id="16" man="1"/>
    <brk id="29"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ErrorMessage="1" xr:uid="{00000000-0002-0000-2500-000001000000}">
          <x14:formula1>
            <xm:f>'C:\Users\sgomez.UPME\Documents\UPME 2020\Documents\Mapas de riesgos\[Mapa de riesgos PEI ENERGÌA ELÈCTRICA.xlsx]Datos'!#REF!</xm:f>
          </x14:formula1>
          <xm:sqref>D7 D11 D16 D21 D23 D27 D33 D37 X7:X21 X23:X39 G7 G11 G16 G21 G23 G27 G33 G37</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BEAE25"/>
  </sheetPr>
  <dimension ref="A1:Z992"/>
  <sheetViews>
    <sheetView showGridLines="0" topLeftCell="A2" zoomScale="85" zoomScaleNormal="85" workbookViewId="0">
      <selection activeCell="G8" sqref="G8"/>
    </sheetView>
  </sheetViews>
  <sheetFormatPr baseColWidth="10" defaultColWidth="12.625" defaultRowHeight="15" customHeight="1" x14ac:dyDescent="0.2"/>
  <cols>
    <col min="1" max="1" width="5.625" style="228" customWidth="1"/>
    <col min="2" max="2" width="21.625" style="228" customWidth="1"/>
    <col min="3" max="3" width="15.75" style="228" customWidth="1"/>
    <col min="4" max="4" width="17.875" style="228" customWidth="1"/>
    <col min="5" max="11" width="16.625" style="228" customWidth="1"/>
    <col min="12" max="12" width="21.375" style="228" customWidth="1"/>
    <col min="13" max="14" width="16.625" style="228" customWidth="1"/>
    <col min="15" max="15" width="18.5" style="228" customWidth="1"/>
    <col min="16" max="16" width="16.625" style="228" customWidth="1"/>
    <col min="17" max="23" width="13.75" style="228" customWidth="1"/>
    <col min="24" max="24" width="9.125" style="228" customWidth="1"/>
    <col min="25" max="26" width="9.375" style="228" customWidth="1"/>
    <col min="27" max="16384" width="12.625" style="228"/>
  </cols>
  <sheetData>
    <row r="1" spans="1:26" ht="15" customHeight="1" x14ac:dyDescent="0.2">
      <c r="A1" s="1241"/>
      <c r="B1" s="1200"/>
      <c r="C1" s="1200"/>
      <c r="D1" s="1201"/>
      <c r="E1" s="1242" t="s">
        <v>0</v>
      </c>
      <c r="F1" s="1200"/>
      <c r="G1" s="1200"/>
      <c r="H1" s="1200"/>
      <c r="I1" s="1200"/>
      <c r="J1" s="1200"/>
      <c r="K1" s="1200"/>
      <c r="L1" s="1200"/>
      <c r="M1" s="1200"/>
      <c r="N1" s="1200"/>
      <c r="O1" s="1200"/>
      <c r="P1" s="1200"/>
      <c r="Q1" s="1200"/>
      <c r="R1" s="1200"/>
      <c r="S1" s="1200"/>
      <c r="T1" s="1201"/>
      <c r="U1" s="1405" t="s">
        <v>98</v>
      </c>
      <c r="V1" s="1200"/>
      <c r="W1" s="1200"/>
      <c r="X1" s="1201"/>
    </row>
    <row r="2" spans="1:26" ht="15" customHeight="1" x14ac:dyDescent="0.2">
      <c r="A2" s="1202"/>
      <c r="B2" s="1203"/>
      <c r="C2" s="1203"/>
      <c r="D2" s="1198"/>
      <c r="E2" s="1202"/>
      <c r="F2" s="1203"/>
      <c r="G2" s="1203"/>
      <c r="H2" s="1203"/>
      <c r="I2" s="1203"/>
      <c r="J2" s="1203"/>
      <c r="K2" s="1203"/>
      <c r="L2" s="1203"/>
      <c r="M2" s="1203"/>
      <c r="N2" s="1203"/>
      <c r="O2" s="1203"/>
      <c r="P2" s="1203"/>
      <c r="Q2" s="1203"/>
      <c r="R2" s="1203"/>
      <c r="S2" s="1203"/>
      <c r="T2" s="1198"/>
      <c r="U2" s="1204"/>
      <c r="V2" s="1205"/>
      <c r="W2" s="1205"/>
      <c r="X2" s="1206"/>
    </row>
    <row r="3" spans="1:26" ht="15" customHeight="1" x14ac:dyDescent="0.2">
      <c r="A3" s="1202"/>
      <c r="B3" s="1203"/>
      <c r="C3" s="1203"/>
      <c r="D3" s="1198"/>
      <c r="E3" s="1202"/>
      <c r="F3" s="1203"/>
      <c r="G3" s="1203"/>
      <c r="H3" s="1203"/>
      <c r="I3" s="1203"/>
      <c r="J3" s="1203"/>
      <c r="K3" s="1203"/>
      <c r="L3" s="1203"/>
      <c r="M3" s="1203"/>
      <c r="N3" s="1203"/>
      <c r="O3" s="1203"/>
      <c r="P3" s="1203"/>
      <c r="Q3" s="1203"/>
      <c r="R3" s="1203"/>
      <c r="S3" s="1203"/>
      <c r="T3" s="1198"/>
      <c r="U3" s="1405" t="s">
        <v>99</v>
      </c>
      <c r="V3" s="1200"/>
      <c r="W3" s="1200"/>
      <c r="X3" s="1200"/>
    </row>
    <row r="4" spans="1:26" ht="15" customHeight="1" x14ac:dyDescent="0.2">
      <c r="A4" s="1202"/>
      <c r="B4" s="1203"/>
      <c r="C4" s="1203"/>
      <c r="D4" s="1198"/>
      <c r="E4" s="1202"/>
      <c r="F4" s="1203"/>
      <c r="G4" s="1203"/>
      <c r="H4" s="1203"/>
      <c r="I4" s="1203"/>
      <c r="J4" s="1203"/>
      <c r="K4" s="1203"/>
      <c r="L4" s="1203"/>
      <c r="M4" s="1203"/>
      <c r="N4" s="1203"/>
      <c r="O4" s="1203"/>
      <c r="P4" s="1203"/>
      <c r="Q4" s="1203"/>
      <c r="R4" s="1203"/>
      <c r="S4" s="1203"/>
      <c r="T4" s="1198"/>
      <c r="U4" s="1202"/>
      <c r="V4" s="1203"/>
      <c r="W4" s="1203"/>
      <c r="X4" s="1203"/>
    </row>
    <row r="5" spans="1:26" ht="15" customHeight="1" x14ac:dyDescent="0.25">
      <c r="A5" s="1245" t="s">
        <v>100</v>
      </c>
      <c r="B5" s="1205"/>
      <c r="C5" s="1205"/>
      <c r="D5" s="1206"/>
      <c r="E5" s="1222" t="s">
        <v>101</v>
      </c>
      <c r="F5" s="1218"/>
      <c r="G5" s="1218"/>
      <c r="H5" s="1218"/>
      <c r="I5" s="1218"/>
      <c r="J5" s="1218"/>
      <c r="K5" s="1218"/>
      <c r="L5" s="1218"/>
      <c r="M5" s="1218"/>
      <c r="N5" s="1218"/>
      <c r="O5" s="1218"/>
      <c r="P5" s="1218"/>
      <c r="Q5" s="1218"/>
      <c r="R5" s="1218"/>
      <c r="S5" s="1218"/>
      <c r="T5" s="1218"/>
      <c r="U5" s="1218"/>
      <c r="V5" s="1218"/>
      <c r="W5" s="1218"/>
      <c r="X5" s="1196"/>
    </row>
    <row r="6" spans="1:26" ht="114.75" customHeight="1" x14ac:dyDescent="0.2">
      <c r="A6" s="234" t="s">
        <v>44</v>
      </c>
      <c r="B6" s="266" t="s">
        <v>64</v>
      </c>
      <c r="C6" s="266" t="s">
        <v>70</v>
      </c>
      <c r="D6" s="266" t="s">
        <v>69</v>
      </c>
      <c r="E6" s="234" t="s">
        <v>102</v>
      </c>
      <c r="F6" s="234" t="s">
        <v>103</v>
      </c>
      <c r="G6" s="234" t="s">
        <v>104</v>
      </c>
      <c r="H6" s="234" t="s">
        <v>105</v>
      </c>
      <c r="I6" s="266" t="s">
        <v>106</v>
      </c>
      <c r="J6" s="266" t="s">
        <v>107</v>
      </c>
      <c r="K6" s="266" t="s">
        <v>108</v>
      </c>
      <c r="L6" s="266" t="s">
        <v>109</v>
      </c>
      <c r="M6" s="266" t="s">
        <v>110</v>
      </c>
      <c r="N6" s="266" t="s">
        <v>111</v>
      </c>
      <c r="O6" s="266" t="s">
        <v>112</v>
      </c>
      <c r="P6" s="266" t="s">
        <v>113</v>
      </c>
      <c r="Q6" s="266" t="s">
        <v>114</v>
      </c>
      <c r="R6" s="266" t="s">
        <v>115</v>
      </c>
      <c r="S6" s="266" t="s">
        <v>116</v>
      </c>
      <c r="T6" s="266" t="s">
        <v>117</v>
      </c>
      <c r="U6" s="266" t="s">
        <v>118</v>
      </c>
      <c r="V6" s="266" t="s">
        <v>119</v>
      </c>
      <c r="W6" s="266" t="s">
        <v>120</v>
      </c>
      <c r="X6" s="266" t="s">
        <v>121</v>
      </c>
      <c r="Y6" s="393"/>
      <c r="Z6" s="393"/>
    </row>
    <row r="7" spans="1:26" ht="111" customHeight="1" x14ac:dyDescent="0.2">
      <c r="A7" s="267" t="e">
        <f>#REF!</f>
        <v>#REF!</v>
      </c>
      <c r="B7" s="267" t="e">
        <f>#REF!</f>
        <v>#REF!</v>
      </c>
      <c r="C7" s="241">
        <f>IF(D7="PENDIENTE EVALUAR EL IMPACTO","PENDIENTE EVALUAR EL IMPACTO COLUMNAS H-W",VLOOKUP(D7,[5]Datos!$K$8:$L$12,2,FALSE))</f>
        <v>4</v>
      </c>
      <c r="D7" s="394" t="str">
        <f t="shared" ref="D7:D8" si="0">IF(X7=0,"PENDIENTE EVALUAR EL IMPACTO",IF(X7&lt;=5,"MODERADO",IF(X7&lt;=11,"MAYOR","CATASTRÓFICO")))</f>
        <v>MAYOR</v>
      </c>
      <c r="E7" s="395" t="s">
        <v>122</v>
      </c>
      <c r="F7" s="395" t="s">
        <v>263</v>
      </c>
      <c r="G7" s="395" t="s">
        <v>122</v>
      </c>
      <c r="H7" s="395" t="s">
        <v>263</v>
      </c>
      <c r="I7" s="239" t="s">
        <v>263</v>
      </c>
      <c r="J7" s="239" t="s">
        <v>263</v>
      </c>
      <c r="K7" s="239" t="s">
        <v>122</v>
      </c>
      <c r="L7" s="239" t="s">
        <v>263</v>
      </c>
      <c r="M7" s="239" t="s">
        <v>122</v>
      </c>
      <c r="N7" s="239" t="s">
        <v>122</v>
      </c>
      <c r="O7" s="239" t="s">
        <v>122</v>
      </c>
      <c r="P7" s="239" t="s">
        <v>122</v>
      </c>
      <c r="Q7" s="239" t="s">
        <v>122</v>
      </c>
      <c r="R7" s="239" t="s">
        <v>122</v>
      </c>
      <c r="S7" s="239" t="s">
        <v>122</v>
      </c>
      <c r="T7" s="239" t="s">
        <v>263</v>
      </c>
      <c r="U7" s="239" t="s">
        <v>263</v>
      </c>
      <c r="V7" s="239" t="s">
        <v>122</v>
      </c>
      <c r="W7" s="239" t="s">
        <v>263</v>
      </c>
      <c r="X7" s="268">
        <f t="shared" ref="X7:X8" si="1">COUNTIF(E7:W7,"SI")</f>
        <v>11</v>
      </c>
      <c r="Y7" s="396"/>
      <c r="Z7" s="396"/>
    </row>
    <row r="8" spans="1:26" ht="84.75" customHeight="1" x14ac:dyDescent="0.2">
      <c r="A8" s="267" t="e">
        <f>#REF!</f>
        <v>#REF!</v>
      </c>
      <c r="B8" s="267" t="e">
        <f>#REF!</f>
        <v>#REF!</v>
      </c>
      <c r="C8" s="241">
        <f>IF(D8="PENDIENTE EVALUAR EL IMPACTO","PENDIENTE EVALUAR EL IMPACTO COLUMNAS H-W",VLOOKUP(D8,[5]Datos!$K$8:$L$12,2,FALSE))</f>
        <v>4</v>
      </c>
      <c r="D8" s="394" t="str">
        <f t="shared" si="0"/>
        <v>MAYOR</v>
      </c>
      <c r="E8" s="395" t="s">
        <v>122</v>
      </c>
      <c r="F8" s="395" t="s">
        <v>263</v>
      </c>
      <c r="G8" s="395" t="s">
        <v>122</v>
      </c>
      <c r="H8" s="395" t="s">
        <v>263</v>
      </c>
      <c r="I8" s="239" t="s">
        <v>263</v>
      </c>
      <c r="J8" s="239" t="s">
        <v>263</v>
      </c>
      <c r="K8" s="239" t="s">
        <v>122</v>
      </c>
      <c r="L8" s="239" t="s">
        <v>122</v>
      </c>
      <c r="M8" s="239" t="s">
        <v>263</v>
      </c>
      <c r="N8" s="239" t="s">
        <v>122</v>
      </c>
      <c r="O8" s="239" t="s">
        <v>122</v>
      </c>
      <c r="P8" s="239" t="s">
        <v>122</v>
      </c>
      <c r="Q8" s="239" t="s">
        <v>122</v>
      </c>
      <c r="R8" s="239" t="s">
        <v>122</v>
      </c>
      <c r="S8" s="239" t="s">
        <v>122</v>
      </c>
      <c r="T8" s="239" t="s">
        <v>263</v>
      </c>
      <c r="U8" s="239" t="s">
        <v>263</v>
      </c>
      <c r="V8" s="239" t="s">
        <v>122</v>
      </c>
      <c r="W8" s="239" t="s">
        <v>263</v>
      </c>
      <c r="X8" s="268">
        <f t="shared" si="1"/>
        <v>11</v>
      </c>
    </row>
    <row r="9" spans="1:26" x14ac:dyDescent="0.2">
      <c r="X9" s="244"/>
    </row>
    <row r="10" spans="1:26" x14ac:dyDescent="0.2">
      <c r="X10" s="244"/>
    </row>
    <row r="11" spans="1:26" x14ac:dyDescent="0.2">
      <c r="X11" s="244"/>
    </row>
    <row r="12" spans="1:26" x14ac:dyDescent="0.2">
      <c r="X12" s="244"/>
    </row>
    <row r="13" spans="1:26" ht="15.75" customHeight="1" x14ac:dyDescent="0.2">
      <c r="X13" s="244"/>
    </row>
    <row r="14" spans="1:26" ht="15.75" customHeight="1" x14ac:dyDescent="0.2">
      <c r="X14" s="244"/>
    </row>
    <row r="15" spans="1:26" ht="15.75" customHeight="1" x14ac:dyDescent="0.2">
      <c r="X15" s="244"/>
    </row>
    <row r="16" spans="1:26" ht="15.75" customHeight="1" x14ac:dyDescent="0.2">
      <c r="X16" s="244"/>
    </row>
    <row r="17" spans="24:24" ht="15.75" customHeight="1" x14ac:dyDescent="0.2">
      <c r="X17" s="244"/>
    </row>
    <row r="18" spans="24:24" ht="15.75" customHeight="1" x14ac:dyDescent="0.2">
      <c r="X18" s="244"/>
    </row>
    <row r="19" spans="24:24" ht="15.75" customHeight="1" x14ac:dyDescent="0.2">
      <c r="X19" s="244"/>
    </row>
    <row r="20" spans="24:24" ht="15.75" customHeight="1" x14ac:dyDescent="0.2">
      <c r="X20" s="244"/>
    </row>
    <row r="21" spans="24:24" ht="15.75" customHeight="1" x14ac:dyDescent="0.2">
      <c r="X21" s="244"/>
    </row>
    <row r="22" spans="24:24" ht="15.75" customHeight="1" x14ac:dyDescent="0.2">
      <c r="X22" s="244"/>
    </row>
    <row r="23" spans="24:24" ht="15.75" customHeight="1" x14ac:dyDescent="0.2">
      <c r="X23" s="244"/>
    </row>
    <row r="24" spans="24:24" ht="15.75" customHeight="1" x14ac:dyDescent="0.2">
      <c r="X24" s="244"/>
    </row>
    <row r="25" spans="24:24" ht="15.75" customHeight="1" x14ac:dyDescent="0.2">
      <c r="X25" s="244"/>
    </row>
    <row r="26" spans="24:24" ht="15.75" customHeight="1" x14ac:dyDescent="0.2">
      <c r="X26" s="244"/>
    </row>
    <row r="27" spans="24:24" ht="15.75" customHeight="1" x14ac:dyDescent="0.2">
      <c r="X27" s="244"/>
    </row>
    <row r="28" spans="24:24" ht="15.75" customHeight="1" x14ac:dyDescent="0.2">
      <c r="X28" s="244"/>
    </row>
    <row r="29" spans="24:24" ht="15.75" customHeight="1" x14ac:dyDescent="0.2">
      <c r="X29" s="244"/>
    </row>
    <row r="30" spans="24:24" ht="15.75" customHeight="1" x14ac:dyDescent="0.2">
      <c r="X30" s="244"/>
    </row>
    <row r="31" spans="24:24" ht="15.75" customHeight="1" x14ac:dyDescent="0.2">
      <c r="X31" s="244"/>
    </row>
    <row r="32" spans="24:24" ht="15.75" customHeight="1" x14ac:dyDescent="0.2">
      <c r="X32" s="244"/>
    </row>
    <row r="33" spans="24:24" ht="15.75" customHeight="1" x14ac:dyDescent="0.2">
      <c r="X33" s="244"/>
    </row>
    <row r="34" spans="24:24" ht="15.75" customHeight="1" x14ac:dyDescent="0.2">
      <c r="X34" s="244"/>
    </row>
    <row r="35" spans="24:24" ht="15.75" customHeight="1" x14ac:dyDescent="0.2">
      <c r="X35" s="244"/>
    </row>
    <row r="36" spans="24:24" ht="15.75" customHeight="1" x14ac:dyDescent="0.2">
      <c r="X36" s="244"/>
    </row>
    <row r="37" spans="24:24" ht="15.75" customHeight="1" x14ac:dyDescent="0.2">
      <c r="X37" s="244"/>
    </row>
    <row r="38" spans="24:24" ht="15.75" customHeight="1" x14ac:dyDescent="0.2">
      <c r="X38" s="244"/>
    </row>
    <row r="39" spans="24:24" ht="15.75" customHeight="1" x14ac:dyDescent="0.2">
      <c r="X39" s="244"/>
    </row>
    <row r="40" spans="24:24" ht="15.75" customHeight="1" x14ac:dyDescent="0.2">
      <c r="X40" s="244"/>
    </row>
    <row r="41" spans="24:24" ht="15.75" customHeight="1" x14ac:dyDescent="0.2">
      <c r="X41" s="244"/>
    </row>
    <row r="42" spans="24:24" ht="15.75" customHeight="1" x14ac:dyDescent="0.2">
      <c r="X42" s="244"/>
    </row>
    <row r="43" spans="24:24" ht="15.75" customHeight="1" x14ac:dyDescent="0.2">
      <c r="X43" s="244"/>
    </row>
    <row r="44" spans="24:24" ht="15.75" customHeight="1" x14ac:dyDescent="0.2">
      <c r="X44" s="244"/>
    </row>
    <row r="45" spans="24:24" ht="15.75" customHeight="1" x14ac:dyDescent="0.2">
      <c r="X45" s="244"/>
    </row>
    <row r="46" spans="24:24" ht="15.75" customHeight="1" x14ac:dyDescent="0.2">
      <c r="X46" s="244"/>
    </row>
    <row r="47" spans="24:24" ht="15.75" customHeight="1" x14ac:dyDescent="0.2">
      <c r="X47" s="244"/>
    </row>
    <row r="48" spans="24:24" ht="15.75" customHeight="1" x14ac:dyDescent="0.2">
      <c r="X48" s="244"/>
    </row>
    <row r="49" spans="24:24" ht="15.75" customHeight="1" x14ac:dyDescent="0.2">
      <c r="X49" s="244"/>
    </row>
    <row r="50" spans="24:24" ht="15.75" customHeight="1" x14ac:dyDescent="0.2">
      <c r="X50" s="244"/>
    </row>
    <row r="51" spans="24:24" ht="15.75" customHeight="1" x14ac:dyDescent="0.2">
      <c r="X51" s="244"/>
    </row>
    <row r="52" spans="24:24" ht="15.75" customHeight="1" x14ac:dyDescent="0.2">
      <c r="X52" s="244"/>
    </row>
    <row r="53" spans="24:24" ht="15.75" customHeight="1" x14ac:dyDescent="0.2">
      <c r="X53" s="244"/>
    </row>
    <row r="54" spans="24:24" ht="15.75" customHeight="1" x14ac:dyDescent="0.2">
      <c r="X54" s="244"/>
    </row>
    <row r="55" spans="24:24" ht="15.75" customHeight="1" x14ac:dyDescent="0.2">
      <c r="X55" s="244"/>
    </row>
    <row r="56" spans="24:24" ht="15.75" customHeight="1" x14ac:dyDescent="0.2">
      <c r="X56" s="244"/>
    </row>
    <row r="57" spans="24:24" ht="15.75" customHeight="1" x14ac:dyDescent="0.2">
      <c r="X57" s="244"/>
    </row>
    <row r="58" spans="24:24" ht="15.75" customHeight="1" x14ac:dyDescent="0.2">
      <c r="X58" s="244"/>
    </row>
    <row r="59" spans="24:24" ht="15.75" customHeight="1" x14ac:dyDescent="0.2">
      <c r="X59" s="244"/>
    </row>
    <row r="60" spans="24:24" ht="15.75" customHeight="1" x14ac:dyDescent="0.2">
      <c r="X60" s="244"/>
    </row>
    <row r="61" spans="24:24" ht="15.75" customHeight="1" x14ac:dyDescent="0.2">
      <c r="X61" s="244"/>
    </row>
    <row r="62" spans="24:24" ht="15.75" customHeight="1" x14ac:dyDescent="0.2">
      <c r="X62" s="244"/>
    </row>
    <row r="63" spans="24:24" ht="15.75" customHeight="1" x14ac:dyDescent="0.2">
      <c r="X63" s="244"/>
    </row>
    <row r="64" spans="24:24" ht="15.75" customHeight="1" x14ac:dyDescent="0.2">
      <c r="X64" s="244"/>
    </row>
    <row r="65" spans="24:24" ht="15.75" customHeight="1" x14ac:dyDescent="0.2">
      <c r="X65" s="244"/>
    </row>
    <row r="66" spans="24:24" ht="15.75" customHeight="1" x14ac:dyDescent="0.2">
      <c r="X66" s="244"/>
    </row>
    <row r="67" spans="24:24" ht="15.75" customHeight="1" x14ac:dyDescent="0.2">
      <c r="X67" s="244"/>
    </row>
    <row r="68" spans="24:24" ht="15.75" customHeight="1" x14ac:dyDescent="0.2">
      <c r="X68" s="244"/>
    </row>
    <row r="69" spans="24:24" ht="15.75" customHeight="1" x14ac:dyDescent="0.2">
      <c r="X69" s="244"/>
    </row>
    <row r="70" spans="24:24" ht="15.75" customHeight="1" x14ac:dyDescent="0.2">
      <c r="X70" s="244"/>
    </row>
    <row r="71" spans="24:24" ht="15.75" customHeight="1" x14ac:dyDescent="0.2">
      <c r="X71" s="244"/>
    </row>
    <row r="72" spans="24:24" ht="15.75" customHeight="1" x14ac:dyDescent="0.2">
      <c r="X72" s="244"/>
    </row>
    <row r="73" spans="24:24" ht="15.75" customHeight="1" x14ac:dyDescent="0.2">
      <c r="X73" s="244"/>
    </row>
    <row r="74" spans="24:24" ht="15.75" customHeight="1" x14ac:dyDescent="0.2">
      <c r="X74" s="244"/>
    </row>
    <row r="75" spans="24:24" ht="15.75" customHeight="1" x14ac:dyDescent="0.2">
      <c r="X75" s="244"/>
    </row>
    <row r="76" spans="24:24" ht="15.75" customHeight="1" x14ac:dyDescent="0.2">
      <c r="X76" s="244"/>
    </row>
    <row r="77" spans="24:24" ht="15.75" customHeight="1" x14ac:dyDescent="0.2">
      <c r="X77" s="244"/>
    </row>
    <row r="78" spans="24:24" ht="15.75" customHeight="1" x14ac:dyDescent="0.2">
      <c r="X78" s="244"/>
    </row>
    <row r="79" spans="24:24" ht="15.75" customHeight="1" x14ac:dyDescent="0.2">
      <c r="X79" s="244"/>
    </row>
    <row r="80" spans="24:24" ht="15.75" customHeight="1" x14ac:dyDescent="0.2">
      <c r="X80" s="244"/>
    </row>
    <row r="81" spans="24:24" ht="15.75" customHeight="1" x14ac:dyDescent="0.2">
      <c r="X81" s="244"/>
    </row>
    <row r="82" spans="24:24" ht="15.75" customHeight="1" x14ac:dyDescent="0.2">
      <c r="X82" s="244"/>
    </row>
    <row r="83" spans="24:24" ht="15.75" customHeight="1" x14ac:dyDescent="0.2">
      <c r="X83" s="244"/>
    </row>
    <row r="84" spans="24:24" ht="15.75" customHeight="1" x14ac:dyDescent="0.2">
      <c r="X84" s="244"/>
    </row>
    <row r="85" spans="24:24" ht="15.75" customHeight="1" x14ac:dyDescent="0.2">
      <c r="X85" s="244"/>
    </row>
    <row r="86" spans="24:24" ht="15.75" customHeight="1" x14ac:dyDescent="0.2">
      <c r="X86" s="244"/>
    </row>
    <row r="87" spans="24:24" ht="15.75" customHeight="1" x14ac:dyDescent="0.2">
      <c r="X87" s="244"/>
    </row>
    <row r="88" spans="24:24" ht="15.75" customHeight="1" x14ac:dyDescent="0.2">
      <c r="X88" s="244"/>
    </row>
    <row r="89" spans="24:24" ht="15.75" customHeight="1" x14ac:dyDescent="0.2">
      <c r="X89" s="244"/>
    </row>
    <row r="90" spans="24:24" ht="15.75" customHeight="1" x14ac:dyDescent="0.2">
      <c r="X90" s="244"/>
    </row>
    <row r="91" spans="24:24" ht="15.75" customHeight="1" x14ac:dyDescent="0.2">
      <c r="X91" s="244"/>
    </row>
    <row r="92" spans="24:24" ht="15.75" customHeight="1" x14ac:dyDescent="0.2">
      <c r="X92" s="244"/>
    </row>
    <row r="93" spans="24:24" ht="15.75" customHeight="1" x14ac:dyDescent="0.2">
      <c r="X93" s="244"/>
    </row>
    <row r="94" spans="24:24" ht="15.75" customHeight="1" x14ac:dyDescent="0.2">
      <c r="X94" s="244"/>
    </row>
    <row r="95" spans="24:24" ht="15.75" customHeight="1" x14ac:dyDescent="0.2">
      <c r="X95" s="244"/>
    </row>
    <row r="96" spans="24:24" ht="15.75" customHeight="1" x14ac:dyDescent="0.2">
      <c r="X96" s="244"/>
    </row>
    <row r="97" spans="24:24" ht="15.75" customHeight="1" x14ac:dyDescent="0.2">
      <c r="X97" s="244"/>
    </row>
    <row r="98" spans="24:24" ht="15.75" customHeight="1" x14ac:dyDescent="0.2">
      <c r="X98" s="244"/>
    </row>
    <row r="99" spans="24:24" ht="15.75" customHeight="1" x14ac:dyDescent="0.2">
      <c r="X99" s="244"/>
    </row>
    <row r="100" spans="24:24" ht="15.75" customHeight="1" x14ac:dyDescent="0.2">
      <c r="X100" s="244"/>
    </row>
    <row r="101" spans="24:24" ht="15.75" customHeight="1" x14ac:dyDescent="0.2">
      <c r="X101" s="244"/>
    </row>
    <row r="102" spans="24:24" ht="15.75" customHeight="1" x14ac:dyDescent="0.2">
      <c r="X102" s="244"/>
    </row>
    <row r="103" spans="24:24" ht="15.75" customHeight="1" x14ac:dyDescent="0.2">
      <c r="X103" s="244"/>
    </row>
    <row r="104" spans="24:24" ht="15.75" customHeight="1" x14ac:dyDescent="0.2">
      <c r="X104" s="244"/>
    </row>
    <row r="105" spans="24:24" ht="15.75" customHeight="1" x14ac:dyDescent="0.2">
      <c r="X105" s="244"/>
    </row>
    <row r="106" spans="24:24" ht="15.75" customHeight="1" x14ac:dyDescent="0.2">
      <c r="X106" s="244"/>
    </row>
    <row r="107" spans="24:24" ht="15.75" customHeight="1" x14ac:dyDescent="0.2">
      <c r="X107" s="244"/>
    </row>
    <row r="108" spans="24:24" ht="15.75" customHeight="1" x14ac:dyDescent="0.2">
      <c r="X108" s="244"/>
    </row>
    <row r="109" spans="24:24" ht="15.75" customHeight="1" x14ac:dyDescent="0.2">
      <c r="X109" s="244"/>
    </row>
    <row r="110" spans="24:24" ht="15.75" customHeight="1" x14ac:dyDescent="0.2">
      <c r="X110" s="244"/>
    </row>
    <row r="111" spans="24:24" ht="15.75" customHeight="1" x14ac:dyDescent="0.2">
      <c r="X111" s="244"/>
    </row>
    <row r="112" spans="24:24" ht="15.75" customHeight="1" x14ac:dyDescent="0.2">
      <c r="X112" s="244"/>
    </row>
    <row r="113" spans="24:24" ht="15.75" customHeight="1" x14ac:dyDescent="0.2">
      <c r="X113" s="244"/>
    </row>
    <row r="114" spans="24:24" ht="15.75" customHeight="1" x14ac:dyDescent="0.2">
      <c r="X114" s="244"/>
    </row>
    <row r="115" spans="24:24" ht="15.75" customHeight="1" x14ac:dyDescent="0.2">
      <c r="X115" s="244"/>
    </row>
    <row r="116" spans="24:24" ht="15.75" customHeight="1" x14ac:dyDescent="0.2">
      <c r="X116" s="244"/>
    </row>
    <row r="117" spans="24:24" ht="15.75" customHeight="1" x14ac:dyDescent="0.2">
      <c r="X117" s="244"/>
    </row>
    <row r="118" spans="24:24" ht="15.75" customHeight="1" x14ac:dyDescent="0.2">
      <c r="X118" s="244"/>
    </row>
    <row r="119" spans="24:24" ht="15.75" customHeight="1" x14ac:dyDescent="0.2">
      <c r="X119" s="244"/>
    </row>
    <row r="120" spans="24:24" ht="15.75" customHeight="1" x14ac:dyDescent="0.2">
      <c r="X120" s="244"/>
    </row>
    <row r="121" spans="24:24" ht="15.75" customHeight="1" x14ac:dyDescent="0.2">
      <c r="X121" s="244"/>
    </row>
    <row r="122" spans="24:24" ht="15.75" customHeight="1" x14ac:dyDescent="0.2">
      <c r="X122" s="244"/>
    </row>
    <row r="123" spans="24:24" ht="15.75" customHeight="1" x14ac:dyDescent="0.2">
      <c r="X123" s="244"/>
    </row>
    <row r="124" spans="24:24" ht="15.75" customHeight="1" x14ac:dyDescent="0.2">
      <c r="X124" s="244"/>
    </row>
    <row r="125" spans="24:24" ht="15.75" customHeight="1" x14ac:dyDescent="0.2">
      <c r="X125" s="244"/>
    </row>
    <row r="126" spans="24:24" ht="15.75" customHeight="1" x14ac:dyDescent="0.2">
      <c r="X126" s="244"/>
    </row>
    <row r="127" spans="24:24" ht="15.75" customHeight="1" x14ac:dyDescent="0.2">
      <c r="X127" s="244"/>
    </row>
    <row r="128" spans="24:24" ht="15.75" customHeight="1" x14ac:dyDescent="0.2">
      <c r="X128" s="244"/>
    </row>
    <row r="129" spans="24:24" ht="15.75" customHeight="1" x14ac:dyDescent="0.2">
      <c r="X129" s="244"/>
    </row>
    <row r="130" spans="24:24" ht="15.75" customHeight="1" x14ac:dyDescent="0.2">
      <c r="X130" s="244"/>
    </row>
    <row r="131" spans="24:24" ht="15.75" customHeight="1" x14ac:dyDescent="0.2">
      <c r="X131" s="244"/>
    </row>
    <row r="132" spans="24:24" ht="15.75" customHeight="1" x14ac:dyDescent="0.2">
      <c r="X132" s="244"/>
    </row>
    <row r="133" spans="24:24" ht="15.75" customHeight="1" x14ac:dyDescent="0.2">
      <c r="X133" s="244"/>
    </row>
    <row r="134" spans="24:24" ht="15.75" customHeight="1" x14ac:dyDescent="0.2">
      <c r="X134" s="244"/>
    </row>
    <row r="135" spans="24:24" ht="15.75" customHeight="1" x14ac:dyDescent="0.2">
      <c r="X135" s="244"/>
    </row>
    <row r="136" spans="24:24" ht="15.75" customHeight="1" x14ac:dyDescent="0.2">
      <c r="X136" s="244"/>
    </row>
    <row r="137" spans="24:24" ht="15.75" customHeight="1" x14ac:dyDescent="0.2">
      <c r="X137" s="244"/>
    </row>
    <row r="138" spans="24:24" ht="15.75" customHeight="1" x14ac:dyDescent="0.2">
      <c r="X138" s="244"/>
    </row>
    <row r="139" spans="24:24" ht="15.75" customHeight="1" x14ac:dyDescent="0.2">
      <c r="X139" s="244"/>
    </row>
    <row r="140" spans="24:24" ht="15.75" customHeight="1" x14ac:dyDescent="0.2">
      <c r="X140" s="244"/>
    </row>
    <row r="141" spans="24:24" ht="15.75" customHeight="1" x14ac:dyDescent="0.2">
      <c r="X141" s="244"/>
    </row>
    <row r="142" spans="24:24" ht="15.75" customHeight="1" x14ac:dyDescent="0.2">
      <c r="X142" s="244"/>
    </row>
    <row r="143" spans="24:24" ht="15.75" customHeight="1" x14ac:dyDescent="0.2">
      <c r="X143" s="244"/>
    </row>
    <row r="144" spans="24:24" ht="15.75" customHeight="1" x14ac:dyDescent="0.2">
      <c r="X144" s="244"/>
    </row>
    <row r="145" spans="24:24" ht="15.75" customHeight="1" x14ac:dyDescent="0.2">
      <c r="X145" s="244"/>
    </row>
    <row r="146" spans="24:24" ht="15.75" customHeight="1" x14ac:dyDescent="0.2">
      <c r="X146" s="244"/>
    </row>
    <row r="147" spans="24:24" ht="15.75" customHeight="1" x14ac:dyDescent="0.2">
      <c r="X147" s="244"/>
    </row>
    <row r="148" spans="24:24" ht="15.75" customHeight="1" x14ac:dyDescent="0.2">
      <c r="X148" s="244"/>
    </row>
    <row r="149" spans="24:24" ht="15.75" customHeight="1" x14ac:dyDescent="0.2">
      <c r="X149" s="244"/>
    </row>
    <row r="150" spans="24:24" ht="15.75" customHeight="1" x14ac:dyDescent="0.2">
      <c r="X150" s="244"/>
    </row>
    <row r="151" spans="24:24" ht="15.75" customHeight="1" x14ac:dyDescent="0.2">
      <c r="X151" s="244"/>
    </row>
    <row r="152" spans="24:24" ht="15.75" customHeight="1" x14ac:dyDescent="0.2">
      <c r="X152" s="244"/>
    </row>
    <row r="153" spans="24:24" ht="15.75" customHeight="1" x14ac:dyDescent="0.2">
      <c r="X153" s="244"/>
    </row>
    <row r="154" spans="24:24" ht="15.75" customHeight="1" x14ac:dyDescent="0.2">
      <c r="X154" s="244"/>
    </row>
    <row r="155" spans="24:24" ht="15.75" customHeight="1" x14ac:dyDescent="0.2">
      <c r="X155" s="244"/>
    </row>
    <row r="156" spans="24:24" ht="15.75" customHeight="1" x14ac:dyDescent="0.2">
      <c r="X156" s="244"/>
    </row>
    <row r="157" spans="24:24" ht="15.75" customHeight="1" x14ac:dyDescent="0.2">
      <c r="X157" s="244"/>
    </row>
    <row r="158" spans="24:24" ht="15.75" customHeight="1" x14ac:dyDescent="0.2">
      <c r="X158" s="244"/>
    </row>
    <row r="159" spans="24:24" ht="15.75" customHeight="1" x14ac:dyDescent="0.2">
      <c r="X159" s="244"/>
    </row>
    <row r="160" spans="24:24" ht="15.75" customHeight="1" x14ac:dyDescent="0.2">
      <c r="X160" s="244"/>
    </row>
    <row r="161" spans="24:24" ht="15.75" customHeight="1" x14ac:dyDescent="0.2">
      <c r="X161" s="244"/>
    </row>
    <row r="162" spans="24:24" ht="15.75" customHeight="1" x14ac:dyDescent="0.2">
      <c r="X162" s="244"/>
    </row>
    <row r="163" spans="24:24" ht="15.75" customHeight="1" x14ac:dyDescent="0.2">
      <c r="X163" s="244"/>
    </row>
    <row r="164" spans="24:24" ht="15.75" customHeight="1" x14ac:dyDescent="0.2">
      <c r="X164" s="244"/>
    </row>
    <row r="165" spans="24:24" ht="15.75" customHeight="1" x14ac:dyDescent="0.2">
      <c r="X165" s="244"/>
    </row>
    <row r="166" spans="24:24" ht="15.75" customHeight="1" x14ac:dyDescent="0.2">
      <c r="X166" s="244"/>
    </row>
    <row r="167" spans="24:24" ht="15.75" customHeight="1" x14ac:dyDescent="0.2">
      <c r="X167" s="244"/>
    </row>
    <row r="168" spans="24:24" ht="15.75" customHeight="1" x14ac:dyDescent="0.2">
      <c r="X168" s="244"/>
    </row>
    <row r="169" spans="24:24" ht="15.75" customHeight="1" x14ac:dyDescent="0.2">
      <c r="X169" s="244"/>
    </row>
    <row r="170" spans="24:24" ht="15.75" customHeight="1" x14ac:dyDescent="0.2">
      <c r="X170" s="244"/>
    </row>
    <row r="171" spans="24:24" ht="15.75" customHeight="1" x14ac:dyDescent="0.2">
      <c r="X171" s="244"/>
    </row>
    <row r="172" spans="24:24" ht="15.75" customHeight="1" x14ac:dyDescent="0.2">
      <c r="X172" s="244"/>
    </row>
    <row r="173" spans="24:24" ht="15.75" customHeight="1" x14ac:dyDescent="0.2">
      <c r="X173" s="244"/>
    </row>
    <row r="174" spans="24:24" ht="15.75" customHeight="1" x14ac:dyDescent="0.2">
      <c r="X174" s="244"/>
    </row>
    <row r="175" spans="24:24" ht="15.75" customHeight="1" x14ac:dyDescent="0.2">
      <c r="X175" s="244"/>
    </row>
    <row r="176" spans="24:24" ht="15.75" customHeight="1" x14ac:dyDescent="0.2">
      <c r="X176" s="244"/>
    </row>
    <row r="177" spans="24:24" ht="15.75" customHeight="1" x14ac:dyDescent="0.2">
      <c r="X177" s="244"/>
    </row>
    <row r="178" spans="24:24" ht="15.75" customHeight="1" x14ac:dyDescent="0.2">
      <c r="X178" s="244"/>
    </row>
    <row r="179" spans="24:24" ht="15.75" customHeight="1" x14ac:dyDescent="0.2">
      <c r="X179" s="244"/>
    </row>
    <row r="180" spans="24:24" ht="15.75" customHeight="1" x14ac:dyDescent="0.2">
      <c r="X180" s="244"/>
    </row>
    <row r="181" spans="24:24" ht="15.75" customHeight="1" x14ac:dyDescent="0.2">
      <c r="X181" s="244"/>
    </row>
    <row r="182" spans="24:24" ht="15.75" customHeight="1" x14ac:dyDescent="0.2">
      <c r="X182" s="244"/>
    </row>
    <row r="183" spans="24:24" ht="15.75" customHeight="1" x14ac:dyDescent="0.2">
      <c r="X183" s="244"/>
    </row>
    <row r="184" spans="24:24" ht="15.75" customHeight="1" x14ac:dyDescent="0.2">
      <c r="X184" s="244"/>
    </row>
    <row r="185" spans="24:24" ht="15.75" customHeight="1" x14ac:dyDescent="0.2">
      <c r="X185" s="244"/>
    </row>
    <row r="186" spans="24:24" ht="15.75" customHeight="1" x14ac:dyDescent="0.2">
      <c r="X186" s="244"/>
    </row>
    <row r="187" spans="24:24" ht="15.75" customHeight="1" x14ac:dyDescent="0.2">
      <c r="X187" s="244"/>
    </row>
    <row r="188" spans="24:24" ht="15.75" customHeight="1" x14ac:dyDescent="0.2">
      <c r="X188" s="244"/>
    </row>
    <row r="189" spans="24:24" ht="15.75" customHeight="1" x14ac:dyDescent="0.2">
      <c r="X189" s="244"/>
    </row>
    <row r="190" spans="24:24" ht="15.75" customHeight="1" x14ac:dyDescent="0.2">
      <c r="X190" s="244"/>
    </row>
    <row r="191" spans="24:24" ht="15.75" customHeight="1" x14ac:dyDescent="0.2">
      <c r="X191" s="244"/>
    </row>
    <row r="192" spans="24:24" ht="15.75" customHeight="1" x14ac:dyDescent="0.2">
      <c r="X192" s="244"/>
    </row>
    <row r="193" spans="24:24" ht="15.75" customHeight="1" x14ac:dyDescent="0.2">
      <c r="X193" s="244"/>
    </row>
    <row r="194" spans="24:24" ht="15.75" customHeight="1" x14ac:dyDescent="0.2">
      <c r="X194" s="244"/>
    </row>
    <row r="195" spans="24:24" ht="15.75" customHeight="1" x14ac:dyDescent="0.2">
      <c r="X195" s="244"/>
    </row>
    <row r="196" spans="24:24" ht="15.75" customHeight="1" x14ac:dyDescent="0.2">
      <c r="X196" s="244"/>
    </row>
    <row r="197" spans="24:24" ht="15.75" customHeight="1" x14ac:dyDescent="0.2">
      <c r="X197" s="244"/>
    </row>
    <row r="198" spans="24:24" ht="15.75" customHeight="1" x14ac:dyDescent="0.2">
      <c r="X198" s="244"/>
    </row>
    <row r="199" spans="24:24" ht="15.75" customHeight="1" x14ac:dyDescent="0.2">
      <c r="X199" s="244"/>
    </row>
    <row r="200" spans="24:24" ht="15.75" customHeight="1" x14ac:dyDescent="0.2">
      <c r="X200" s="244"/>
    </row>
    <row r="201" spans="24:24" ht="15.75" customHeight="1" x14ac:dyDescent="0.2">
      <c r="X201" s="244"/>
    </row>
    <row r="202" spans="24:24" ht="15.75" customHeight="1" x14ac:dyDescent="0.2">
      <c r="X202" s="244"/>
    </row>
    <row r="203" spans="24:24" ht="15.75" customHeight="1" x14ac:dyDescent="0.2">
      <c r="X203" s="244"/>
    </row>
    <row r="204" spans="24:24" ht="15.75" customHeight="1" x14ac:dyDescent="0.2">
      <c r="X204" s="244"/>
    </row>
    <row r="205" spans="24:24" ht="15.75" customHeight="1" x14ac:dyDescent="0.2">
      <c r="X205" s="244"/>
    </row>
    <row r="206" spans="24:24" ht="15.75" customHeight="1" x14ac:dyDescent="0.2">
      <c r="X206" s="244"/>
    </row>
    <row r="207" spans="24:24" ht="15.75" customHeight="1" x14ac:dyDescent="0.2">
      <c r="X207" s="244"/>
    </row>
    <row r="208" spans="24:24" ht="15.75" customHeight="1" x14ac:dyDescent="0.2">
      <c r="X208" s="244"/>
    </row>
    <row r="209" spans="24:24" ht="15.75" customHeight="1" x14ac:dyDescent="0.2">
      <c r="X209" s="244"/>
    </row>
    <row r="210" spans="24:24" ht="15.75" customHeight="1" x14ac:dyDescent="0.2">
      <c r="X210" s="244"/>
    </row>
    <row r="211" spans="24:24" ht="15.75" customHeight="1" x14ac:dyDescent="0.2">
      <c r="X211" s="244"/>
    </row>
    <row r="212" spans="24:24" ht="15.75" customHeight="1" x14ac:dyDescent="0.2">
      <c r="X212" s="244"/>
    </row>
    <row r="213" spans="24:24" ht="15.75" customHeight="1" x14ac:dyDescent="0.2">
      <c r="X213" s="244"/>
    </row>
    <row r="214" spans="24:24" ht="15.75" customHeight="1" x14ac:dyDescent="0.2">
      <c r="X214" s="244"/>
    </row>
    <row r="215" spans="24:24" ht="15.75" customHeight="1" x14ac:dyDescent="0.2">
      <c r="X215" s="244"/>
    </row>
    <row r="216" spans="24:24" ht="15.75" customHeight="1" x14ac:dyDescent="0.2">
      <c r="X216" s="244"/>
    </row>
    <row r="217" spans="24:24" ht="15.75" customHeight="1" x14ac:dyDescent="0.2">
      <c r="X217" s="244"/>
    </row>
    <row r="218" spans="24:24" ht="15.75" customHeight="1" x14ac:dyDescent="0.2">
      <c r="X218" s="244"/>
    </row>
    <row r="219" spans="24:24" ht="15.75" customHeight="1" x14ac:dyDescent="0.2">
      <c r="X219" s="244"/>
    </row>
    <row r="220" spans="24:24" ht="15.75" customHeight="1" x14ac:dyDescent="0.2">
      <c r="X220" s="244"/>
    </row>
    <row r="221" spans="24:24" ht="15.75" customHeight="1" x14ac:dyDescent="0.2">
      <c r="X221" s="244"/>
    </row>
    <row r="222" spans="24:24" ht="15.75" customHeight="1" x14ac:dyDescent="0.2">
      <c r="X222" s="244"/>
    </row>
    <row r="223" spans="24:24" ht="15.75" customHeight="1" x14ac:dyDescent="0.2">
      <c r="X223" s="244"/>
    </row>
    <row r="224" spans="24:24" ht="15.75" customHeight="1" x14ac:dyDescent="0.2">
      <c r="X224" s="244"/>
    </row>
    <row r="225" spans="24:24" ht="15.75" customHeight="1" x14ac:dyDescent="0.2">
      <c r="X225" s="244"/>
    </row>
    <row r="226" spans="24:24" ht="15.75" customHeight="1" x14ac:dyDescent="0.2">
      <c r="X226" s="244"/>
    </row>
    <row r="227" spans="24:24" ht="15.75" customHeight="1" x14ac:dyDescent="0.2">
      <c r="X227" s="244"/>
    </row>
    <row r="228" spans="24:24" ht="15.75" customHeight="1" x14ac:dyDescent="0.2">
      <c r="X228" s="244"/>
    </row>
    <row r="229" spans="24:24" ht="15.75" customHeight="1" x14ac:dyDescent="0.2">
      <c r="X229" s="244"/>
    </row>
    <row r="230" spans="24:24" ht="15.75" customHeight="1" x14ac:dyDescent="0.2">
      <c r="X230" s="244"/>
    </row>
    <row r="231" spans="24:24" ht="15.75" customHeight="1" x14ac:dyDescent="0.2">
      <c r="X231" s="244"/>
    </row>
    <row r="232" spans="24:24" ht="15.75" customHeight="1" x14ac:dyDescent="0.2">
      <c r="X232" s="244"/>
    </row>
    <row r="233" spans="24:24" ht="15.75" customHeight="1" x14ac:dyDescent="0.2">
      <c r="X233" s="244"/>
    </row>
    <row r="234" spans="24:24" ht="15.75" customHeight="1" x14ac:dyDescent="0.2">
      <c r="X234" s="244"/>
    </row>
    <row r="235" spans="24:24" ht="15.75" customHeight="1" x14ac:dyDescent="0.2">
      <c r="X235" s="244"/>
    </row>
    <row r="236" spans="24:24" ht="15.75" customHeight="1" x14ac:dyDescent="0.2">
      <c r="X236" s="244"/>
    </row>
    <row r="237" spans="24:24" ht="15.75" customHeight="1" x14ac:dyDescent="0.2">
      <c r="X237" s="244"/>
    </row>
    <row r="238" spans="24:24" ht="15.75" customHeight="1" x14ac:dyDescent="0.2">
      <c r="X238" s="244"/>
    </row>
    <row r="239" spans="24:24" ht="15.75" customHeight="1" x14ac:dyDescent="0.2">
      <c r="X239" s="244"/>
    </row>
    <row r="240" spans="24:24" ht="15.75" customHeight="1" x14ac:dyDescent="0.2">
      <c r="X240" s="244"/>
    </row>
    <row r="241" spans="24:24" ht="15.75" customHeight="1" x14ac:dyDescent="0.2">
      <c r="X241" s="244"/>
    </row>
    <row r="242" spans="24:24" ht="15.75" customHeight="1" x14ac:dyDescent="0.2">
      <c r="X242" s="244"/>
    </row>
    <row r="243" spans="24:24" ht="15.75" customHeight="1" x14ac:dyDescent="0.2">
      <c r="X243" s="244"/>
    </row>
    <row r="244" spans="24:24" ht="15.75" customHeight="1" x14ac:dyDescent="0.2">
      <c r="X244" s="244"/>
    </row>
    <row r="245" spans="24:24" ht="15.75" customHeight="1" x14ac:dyDescent="0.2">
      <c r="X245" s="244"/>
    </row>
    <row r="246" spans="24:24" ht="15.75" customHeight="1" x14ac:dyDescent="0.2">
      <c r="X246" s="244"/>
    </row>
    <row r="247" spans="24:24" ht="15.75" customHeight="1" x14ac:dyDescent="0.2">
      <c r="X247" s="244"/>
    </row>
    <row r="248" spans="24:24" ht="15.75" customHeight="1" x14ac:dyDescent="0.2">
      <c r="X248" s="244"/>
    </row>
    <row r="249" spans="24:24" ht="15.75" customHeight="1" x14ac:dyDescent="0.2">
      <c r="X249" s="244"/>
    </row>
    <row r="250" spans="24:24" ht="15.75" customHeight="1" x14ac:dyDescent="0.2">
      <c r="X250" s="244"/>
    </row>
    <row r="251" spans="24:24" ht="15.75" customHeight="1" x14ac:dyDescent="0.2">
      <c r="X251" s="244"/>
    </row>
    <row r="252" spans="24:24" ht="15.75" customHeight="1" x14ac:dyDescent="0.2">
      <c r="X252" s="244"/>
    </row>
    <row r="253" spans="24:24" ht="15.75" customHeight="1" x14ac:dyDescent="0.2">
      <c r="X253" s="244"/>
    </row>
    <row r="254" spans="24:24" ht="15.75" customHeight="1" x14ac:dyDescent="0.2">
      <c r="X254" s="244"/>
    </row>
    <row r="255" spans="24:24" ht="15.75" customHeight="1" x14ac:dyDescent="0.2">
      <c r="X255" s="244"/>
    </row>
    <row r="256" spans="24:24" ht="15.75" customHeight="1" x14ac:dyDescent="0.2">
      <c r="X256" s="244"/>
    </row>
    <row r="257" spans="24:24" ht="15.75" customHeight="1" x14ac:dyDescent="0.2">
      <c r="X257" s="244"/>
    </row>
    <row r="258" spans="24:24" ht="15.75" customHeight="1" x14ac:dyDescent="0.2">
      <c r="X258" s="244"/>
    </row>
    <row r="259" spans="24:24" ht="15.75" customHeight="1" x14ac:dyDescent="0.2">
      <c r="X259" s="244"/>
    </row>
    <row r="260" spans="24:24" ht="15.75" customHeight="1" x14ac:dyDescent="0.2">
      <c r="X260" s="244"/>
    </row>
    <row r="261" spans="24:24" ht="15.75" customHeight="1" x14ac:dyDescent="0.2">
      <c r="X261" s="244"/>
    </row>
    <row r="262" spans="24:24" ht="15.75" customHeight="1" x14ac:dyDescent="0.2">
      <c r="X262" s="244"/>
    </row>
    <row r="263" spans="24:24" ht="15.75" customHeight="1" x14ac:dyDescent="0.2">
      <c r="X263" s="244"/>
    </row>
    <row r="264" spans="24:24" ht="15.75" customHeight="1" x14ac:dyDescent="0.2">
      <c r="X264" s="244"/>
    </row>
    <row r="265" spans="24:24" ht="15.75" customHeight="1" x14ac:dyDescent="0.2">
      <c r="X265" s="244"/>
    </row>
    <row r="266" spans="24:24" ht="15.75" customHeight="1" x14ac:dyDescent="0.2">
      <c r="X266" s="244"/>
    </row>
    <row r="267" spans="24:24" ht="15.75" customHeight="1" x14ac:dyDescent="0.2">
      <c r="X267" s="244"/>
    </row>
    <row r="268" spans="24:24" ht="15.75" customHeight="1" x14ac:dyDescent="0.2">
      <c r="X268" s="244"/>
    </row>
    <row r="269" spans="24:24" ht="15.75" customHeight="1" x14ac:dyDescent="0.2">
      <c r="X269" s="244"/>
    </row>
    <row r="270" spans="24:24" ht="15.75" customHeight="1" x14ac:dyDescent="0.2">
      <c r="X270" s="244"/>
    </row>
    <row r="271" spans="24:24" ht="15.75" customHeight="1" x14ac:dyDescent="0.2">
      <c r="X271" s="244"/>
    </row>
    <row r="272" spans="24:24" ht="15.75" customHeight="1" x14ac:dyDescent="0.2">
      <c r="X272" s="244"/>
    </row>
    <row r="273" spans="24:24" ht="15.75" customHeight="1" x14ac:dyDescent="0.2">
      <c r="X273" s="244"/>
    </row>
    <row r="274" spans="24:24" ht="15.75" customHeight="1" x14ac:dyDescent="0.2">
      <c r="X274" s="244"/>
    </row>
    <row r="275" spans="24:24" ht="15.75" customHeight="1" x14ac:dyDescent="0.2">
      <c r="X275" s="244"/>
    </row>
    <row r="276" spans="24:24" ht="15.75" customHeight="1" x14ac:dyDescent="0.2">
      <c r="X276" s="244"/>
    </row>
    <row r="277" spans="24:24" ht="15.75" customHeight="1" x14ac:dyDescent="0.2">
      <c r="X277" s="244"/>
    </row>
    <row r="278" spans="24:24" ht="15.75" customHeight="1" x14ac:dyDescent="0.2">
      <c r="X278" s="244"/>
    </row>
    <row r="279" spans="24:24" ht="15.75" customHeight="1" x14ac:dyDescent="0.2">
      <c r="X279" s="244"/>
    </row>
    <row r="280" spans="24:24" ht="15.75" customHeight="1" x14ac:dyDescent="0.2">
      <c r="X280" s="244"/>
    </row>
    <row r="281" spans="24:24" ht="15.75" customHeight="1" x14ac:dyDescent="0.2">
      <c r="X281" s="244"/>
    </row>
    <row r="282" spans="24:24" ht="15.75" customHeight="1" x14ac:dyDescent="0.2">
      <c r="X282" s="244"/>
    </row>
    <row r="283" spans="24:24" ht="15.75" customHeight="1" x14ac:dyDescent="0.2">
      <c r="X283" s="244"/>
    </row>
    <row r="284" spans="24:24" ht="15.75" customHeight="1" x14ac:dyDescent="0.2">
      <c r="X284" s="244"/>
    </row>
    <row r="285" spans="24:24" ht="15.75" customHeight="1" x14ac:dyDescent="0.2">
      <c r="X285" s="244"/>
    </row>
    <row r="286" spans="24:24" ht="15.75" customHeight="1" x14ac:dyDescent="0.2">
      <c r="X286" s="244"/>
    </row>
    <row r="287" spans="24:24" ht="15.75" customHeight="1" x14ac:dyDescent="0.2">
      <c r="X287" s="244"/>
    </row>
    <row r="288" spans="24:24" ht="15.75" customHeight="1" x14ac:dyDescent="0.2">
      <c r="X288" s="244"/>
    </row>
    <row r="289" spans="24:24" ht="15.75" customHeight="1" x14ac:dyDescent="0.2">
      <c r="X289" s="244"/>
    </row>
    <row r="290" spans="24:24" ht="15.75" customHeight="1" x14ac:dyDescent="0.2">
      <c r="X290" s="244"/>
    </row>
    <row r="291" spans="24:24" ht="15.75" customHeight="1" x14ac:dyDescent="0.2">
      <c r="X291" s="244"/>
    </row>
    <row r="292" spans="24:24" ht="15.75" customHeight="1" x14ac:dyDescent="0.2">
      <c r="X292" s="244"/>
    </row>
    <row r="293" spans="24:24" ht="15.75" customHeight="1" x14ac:dyDescent="0.2">
      <c r="X293" s="244"/>
    </row>
    <row r="294" spans="24:24" ht="15.75" customHeight="1" x14ac:dyDescent="0.2">
      <c r="X294" s="244"/>
    </row>
    <row r="295" spans="24:24" ht="15.75" customHeight="1" x14ac:dyDescent="0.2">
      <c r="X295" s="244"/>
    </row>
    <row r="296" spans="24:24" ht="15.75" customHeight="1" x14ac:dyDescent="0.2">
      <c r="X296" s="244"/>
    </row>
    <row r="297" spans="24:24" ht="15.75" customHeight="1" x14ac:dyDescent="0.2">
      <c r="X297" s="244"/>
    </row>
    <row r="298" spans="24:24" ht="15.75" customHeight="1" x14ac:dyDescent="0.2">
      <c r="X298" s="244"/>
    </row>
    <row r="299" spans="24:24" ht="15.75" customHeight="1" x14ac:dyDescent="0.2">
      <c r="X299" s="244"/>
    </row>
    <row r="300" spans="24:24" ht="15.75" customHeight="1" x14ac:dyDescent="0.2">
      <c r="X300" s="244"/>
    </row>
    <row r="301" spans="24:24" ht="15.75" customHeight="1" x14ac:dyDescent="0.2">
      <c r="X301" s="244"/>
    </row>
    <row r="302" spans="24:24" ht="15.75" customHeight="1" x14ac:dyDescent="0.2">
      <c r="X302" s="244"/>
    </row>
    <row r="303" spans="24:24" ht="15.75" customHeight="1" x14ac:dyDescent="0.2">
      <c r="X303" s="244"/>
    </row>
    <row r="304" spans="24:24" ht="15.75" customHeight="1" x14ac:dyDescent="0.2">
      <c r="X304" s="244"/>
    </row>
    <row r="305" spans="24:24" ht="15.75" customHeight="1" x14ac:dyDescent="0.2">
      <c r="X305" s="244"/>
    </row>
    <row r="306" spans="24:24" ht="15.75" customHeight="1" x14ac:dyDescent="0.2">
      <c r="X306" s="244"/>
    </row>
    <row r="307" spans="24:24" ht="15.75" customHeight="1" x14ac:dyDescent="0.2">
      <c r="X307" s="244"/>
    </row>
    <row r="308" spans="24:24" ht="15.75" customHeight="1" x14ac:dyDescent="0.2">
      <c r="X308" s="244"/>
    </row>
    <row r="309" spans="24:24" ht="15.75" customHeight="1" x14ac:dyDescent="0.2">
      <c r="X309" s="244"/>
    </row>
    <row r="310" spans="24:24" ht="15.75" customHeight="1" x14ac:dyDescent="0.2">
      <c r="X310" s="244"/>
    </row>
    <row r="311" spans="24:24" ht="15.75" customHeight="1" x14ac:dyDescent="0.2">
      <c r="X311" s="244"/>
    </row>
    <row r="312" spans="24:24" ht="15.75" customHeight="1" x14ac:dyDescent="0.2">
      <c r="X312" s="244"/>
    </row>
    <row r="313" spans="24:24" ht="15.75" customHeight="1" x14ac:dyDescent="0.2">
      <c r="X313" s="244"/>
    </row>
    <row r="314" spans="24:24" ht="15.75" customHeight="1" x14ac:dyDescent="0.2">
      <c r="X314" s="244"/>
    </row>
    <row r="315" spans="24:24" ht="15.75" customHeight="1" x14ac:dyDescent="0.2">
      <c r="X315" s="244"/>
    </row>
    <row r="316" spans="24:24" ht="15.75" customHeight="1" x14ac:dyDescent="0.2">
      <c r="X316" s="244"/>
    </row>
    <row r="317" spans="24:24" ht="15.75" customHeight="1" x14ac:dyDescent="0.2">
      <c r="X317" s="244"/>
    </row>
    <row r="318" spans="24:24" ht="15.75" customHeight="1" x14ac:dyDescent="0.2">
      <c r="X318" s="244"/>
    </row>
    <row r="319" spans="24:24" ht="15.75" customHeight="1" x14ac:dyDescent="0.2">
      <c r="X319" s="244"/>
    </row>
    <row r="320" spans="24:24" ht="15.75" customHeight="1" x14ac:dyDescent="0.2">
      <c r="X320" s="244"/>
    </row>
    <row r="321" spans="24:24" ht="15.75" customHeight="1" x14ac:dyDescent="0.2">
      <c r="X321" s="244"/>
    </row>
    <row r="322" spans="24:24" ht="15.75" customHeight="1" x14ac:dyDescent="0.2">
      <c r="X322" s="244"/>
    </row>
    <row r="323" spans="24:24" ht="15.75" customHeight="1" x14ac:dyDescent="0.2">
      <c r="X323" s="244"/>
    </row>
    <row r="324" spans="24:24" ht="15.75" customHeight="1" x14ac:dyDescent="0.2">
      <c r="X324" s="244"/>
    </row>
    <row r="325" spans="24:24" ht="15.75" customHeight="1" x14ac:dyDescent="0.2">
      <c r="X325" s="244"/>
    </row>
    <row r="326" spans="24:24" ht="15.75" customHeight="1" x14ac:dyDescent="0.2">
      <c r="X326" s="244"/>
    </row>
    <row r="327" spans="24:24" ht="15.75" customHeight="1" x14ac:dyDescent="0.2">
      <c r="X327" s="244"/>
    </row>
    <row r="328" spans="24:24" ht="15.75" customHeight="1" x14ac:dyDescent="0.2">
      <c r="X328" s="244"/>
    </row>
    <row r="329" spans="24:24" ht="15.75" customHeight="1" x14ac:dyDescent="0.2">
      <c r="X329" s="244"/>
    </row>
    <row r="330" spans="24:24" ht="15.75" customHeight="1" x14ac:dyDescent="0.2">
      <c r="X330" s="244"/>
    </row>
    <row r="331" spans="24:24" ht="15.75" customHeight="1" x14ac:dyDescent="0.2">
      <c r="X331" s="244"/>
    </row>
    <row r="332" spans="24:24" ht="15.75" customHeight="1" x14ac:dyDescent="0.2">
      <c r="X332" s="244"/>
    </row>
    <row r="333" spans="24:24" ht="15.75" customHeight="1" x14ac:dyDescent="0.2">
      <c r="X333" s="244"/>
    </row>
    <row r="334" spans="24:24" ht="15.75" customHeight="1" x14ac:dyDescent="0.2">
      <c r="X334" s="244"/>
    </row>
    <row r="335" spans="24:24" ht="15.75" customHeight="1" x14ac:dyDescent="0.2">
      <c r="X335" s="244"/>
    </row>
    <row r="336" spans="24:24" ht="15.75" customHeight="1" x14ac:dyDescent="0.2">
      <c r="X336" s="244"/>
    </row>
    <row r="337" spans="24:24" ht="15.75" customHeight="1" x14ac:dyDescent="0.2">
      <c r="X337" s="244"/>
    </row>
    <row r="338" spans="24:24" ht="15.75" customHeight="1" x14ac:dyDescent="0.2">
      <c r="X338" s="244"/>
    </row>
    <row r="339" spans="24:24" ht="15.75" customHeight="1" x14ac:dyDescent="0.2">
      <c r="X339" s="244"/>
    </row>
    <row r="340" spans="24:24" ht="15.75" customHeight="1" x14ac:dyDescent="0.2">
      <c r="X340" s="244"/>
    </row>
    <row r="341" spans="24:24" ht="15.75" customHeight="1" x14ac:dyDescent="0.2">
      <c r="X341" s="244"/>
    </row>
    <row r="342" spans="24:24" ht="15.75" customHeight="1" x14ac:dyDescent="0.2">
      <c r="X342" s="244"/>
    </row>
    <row r="343" spans="24:24" ht="15.75" customHeight="1" x14ac:dyDescent="0.2">
      <c r="X343" s="244"/>
    </row>
    <row r="344" spans="24:24" ht="15.75" customHeight="1" x14ac:dyDescent="0.2">
      <c r="X344" s="244"/>
    </row>
    <row r="345" spans="24:24" ht="15.75" customHeight="1" x14ac:dyDescent="0.2">
      <c r="X345" s="244"/>
    </row>
    <row r="346" spans="24:24" ht="15.75" customHeight="1" x14ac:dyDescent="0.2">
      <c r="X346" s="244"/>
    </row>
    <row r="347" spans="24:24" ht="15.75" customHeight="1" x14ac:dyDescent="0.2">
      <c r="X347" s="244"/>
    </row>
    <row r="348" spans="24:24" ht="15.75" customHeight="1" x14ac:dyDescent="0.2">
      <c r="X348" s="244"/>
    </row>
    <row r="349" spans="24:24" ht="15.75" customHeight="1" x14ac:dyDescent="0.2">
      <c r="X349" s="244"/>
    </row>
    <row r="350" spans="24:24" ht="15.75" customHeight="1" x14ac:dyDescent="0.2">
      <c r="X350" s="244"/>
    </row>
    <row r="351" spans="24:24" ht="15.75" customHeight="1" x14ac:dyDescent="0.2">
      <c r="X351" s="244"/>
    </row>
    <row r="352" spans="24:24" ht="15.75" customHeight="1" x14ac:dyDescent="0.2">
      <c r="X352" s="244"/>
    </row>
    <row r="353" spans="24:24" ht="15.75" customHeight="1" x14ac:dyDescent="0.2">
      <c r="X353" s="244"/>
    </row>
    <row r="354" spans="24:24" ht="15.75" customHeight="1" x14ac:dyDescent="0.2">
      <c r="X354" s="244"/>
    </row>
    <row r="355" spans="24:24" ht="15.75" customHeight="1" x14ac:dyDescent="0.2">
      <c r="X355" s="244"/>
    </row>
    <row r="356" spans="24:24" ht="15.75" customHeight="1" x14ac:dyDescent="0.2">
      <c r="X356" s="244"/>
    </row>
    <row r="357" spans="24:24" ht="15.75" customHeight="1" x14ac:dyDescent="0.2">
      <c r="X357" s="244"/>
    </row>
    <row r="358" spans="24:24" ht="15.75" customHeight="1" x14ac:dyDescent="0.2">
      <c r="X358" s="244"/>
    </row>
    <row r="359" spans="24:24" ht="15.75" customHeight="1" x14ac:dyDescent="0.2">
      <c r="X359" s="244"/>
    </row>
    <row r="360" spans="24:24" ht="15.75" customHeight="1" x14ac:dyDescent="0.2">
      <c r="X360" s="244"/>
    </row>
    <row r="361" spans="24:24" ht="15.75" customHeight="1" x14ac:dyDescent="0.2">
      <c r="X361" s="244"/>
    </row>
    <row r="362" spans="24:24" ht="15.75" customHeight="1" x14ac:dyDescent="0.2">
      <c r="X362" s="244"/>
    </row>
    <row r="363" spans="24:24" ht="15.75" customHeight="1" x14ac:dyDescent="0.2">
      <c r="X363" s="244"/>
    </row>
    <row r="364" spans="24:24" ht="15.75" customHeight="1" x14ac:dyDescent="0.2">
      <c r="X364" s="244"/>
    </row>
    <row r="365" spans="24:24" ht="15.75" customHeight="1" x14ac:dyDescent="0.2">
      <c r="X365" s="244"/>
    </row>
    <row r="366" spans="24:24" ht="15.75" customHeight="1" x14ac:dyDescent="0.2">
      <c r="X366" s="244"/>
    </row>
    <row r="367" spans="24:24" ht="15.75" customHeight="1" x14ac:dyDescent="0.2">
      <c r="X367" s="244"/>
    </row>
    <row r="368" spans="24:24" ht="15.75" customHeight="1" x14ac:dyDescent="0.2">
      <c r="X368" s="244"/>
    </row>
    <row r="369" spans="24:24" ht="15.75" customHeight="1" x14ac:dyDescent="0.2">
      <c r="X369" s="244"/>
    </row>
    <row r="370" spans="24:24" ht="15.75" customHeight="1" x14ac:dyDescent="0.2">
      <c r="X370" s="244"/>
    </row>
    <row r="371" spans="24:24" ht="15.75" customHeight="1" x14ac:dyDescent="0.2">
      <c r="X371" s="244"/>
    </row>
    <row r="372" spans="24:24" ht="15.75" customHeight="1" x14ac:dyDescent="0.2">
      <c r="X372" s="244"/>
    </row>
    <row r="373" spans="24:24" ht="15.75" customHeight="1" x14ac:dyDescent="0.2">
      <c r="X373" s="244"/>
    </row>
    <row r="374" spans="24:24" ht="15.75" customHeight="1" x14ac:dyDescent="0.2">
      <c r="X374" s="244"/>
    </row>
    <row r="375" spans="24:24" ht="15.75" customHeight="1" x14ac:dyDescent="0.2">
      <c r="X375" s="244"/>
    </row>
    <row r="376" spans="24:24" ht="15.75" customHeight="1" x14ac:dyDescent="0.2">
      <c r="X376" s="244"/>
    </row>
    <row r="377" spans="24:24" ht="15.75" customHeight="1" x14ac:dyDescent="0.2">
      <c r="X377" s="244"/>
    </row>
    <row r="378" spans="24:24" ht="15.75" customHeight="1" x14ac:dyDescent="0.2">
      <c r="X378" s="244"/>
    </row>
    <row r="379" spans="24:24" ht="15.75" customHeight="1" x14ac:dyDescent="0.2">
      <c r="X379" s="244"/>
    </row>
    <row r="380" spans="24:24" ht="15.75" customHeight="1" x14ac:dyDescent="0.2">
      <c r="X380" s="244"/>
    </row>
    <row r="381" spans="24:24" ht="15.75" customHeight="1" x14ac:dyDescent="0.2">
      <c r="X381" s="244"/>
    </row>
    <row r="382" spans="24:24" ht="15.75" customHeight="1" x14ac:dyDescent="0.2">
      <c r="X382" s="244"/>
    </row>
    <row r="383" spans="24:24" ht="15.75" customHeight="1" x14ac:dyDescent="0.2">
      <c r="X383" s="244"/>
    </row>
    <row r="384" spans="24:24" ht="15.75" customHeight="1" x14ac:dyDescent="0.2">
      <c r="X384" s="244"/>
    </row>
    <row r="385" spans="24:24" ht="15.75" customHeight="1" x14ac:dyDescent="0.2">
      <c r="X385" s="244"/>
    </row>
    <row r="386" spans="24:24" ht="15.75" customHeight="1" x14ac:dyDescent="0.2">
      <c r="X386" s="244"/>
    </row>
    <row r="387" spans="24:24" ht="15.75" customHeight="1" x14ac:dyDescent="0.2">
      <c r="X387" s="244"/>
    </row>
    <row r="388" spans="24:24" ht="15.75" customHeight="1" x14ac:dyDescent="0.2">
      <c r="X388" s="244"/>
    </row>
    <row r="389" spans="24:24" ht="15.75" customHeight="1" x14ac:dyDescent="0.2">
      <c r="X389" s="244"/>
    </row>
    <row r="390" spans="24:24" ht="15.75" customHeight="1" x14ac:dyDescent="0.2">
      <c r="X390" s="244"/>
    </row>
    <row r="391" spans="24:24" ht="15.75" customHeight="1" x14ac:dyDescent="0.2">
      <c r="X391" s="244"/>
    </row>
    <row r="392" spans="24:24" ht="15.75" customHeight="1" x14ac:dyDescent="0.2">
      <c r="X392" s="244"/>
    </row>
    <row r="393" spans="24:24" ht="15.75" customHeight="1" x14ac:dyDescent="0.2">
      <c r="X393" s="244"/>
    </row>
    <row r="394" spans="24:24" ht="15.75" customHeight="1" x14ac:dyDescent="0.2">
      <c r="X394" s="244"/>
    </row>
    <row r="395" spans="24:24" ht="15.75" customHeight="1" x14ac:dyDescent="0.2">
      <c r="X395" s="244"/>
    </row>
    <row r="396" spans="24:24" ht="15.75" customHeight="1" x14ac:dyDescent="0.2">
      <c r="X396" s="244"/>
    </row>
    <row r="397" spans="24:24" ht="15.75" customHeight="1" x14ac:dyDescent="0.2">
      <c r="X397" s="244"/>
    </row>
    <row r="398" spans="24:24" ht="15.75" customHeight="1" x14ac:dyDescent="0.2">
      <c r="X398" s="244"/>
    </row>
    <row r="399" spans="24:24" ht="15.75" customHeight="1" x14ac:dyDescent="0.2">
      <c r="X399" s="244"/>
    </row>
    <row r="400" spans="24:24" ht="15.75" customHeight="1" x14ac:dyDescent="0.2">
      <c r="X400" s="244"/>
    </row>
    <row r="401" spans="24:24" ht="15.75" customHeight="1" x14ac:dyDescent="0.2">
      <c r="X401" s="244"/>
    </row>
    <row r="402" spans="24:24" ht="15.75" customHeight="1" x14ac:dyDescent="0.2">
      <c r="X402" s="244"/>
    </row>
    <row r="403" spans="24:24" ht="15.75" customHeight="1" x14ac:dyDescent="0.2">
      <c r="X403" s="244"/>
    </row>
    <row r="404" spans="24:24" ht="15.75" customHeight="1" x14ac:dyDescent="0.2">
      <c r="X404" s="244"/>
    </row>
    <row r="405" spans="24:24" ht="15.75" customHeight="1" x14ac:dyDescent="0.2">
      <c r="X405" s="244"/>
    </row>
    <row r="406" spans="24:24" ht="15.75" customHeight="1" x14ac:dyDescent="0.2">
      <c r="X406" s="244"/>
    </row>
    <row r="407" spans="24:24" ht="15.75" customHeight="1" x14ac:dyDescent="0.2">
      <c r="X407" s="244"/>
    </row>
    <row r="408" spans="24:24" ht="15.75" customHeight="1" x14ac:dyDescent="0.2">
      <c r="X408" s="244"/>
    </row>
    <row r="409" spans="24:24" ht="15.75" customHeight="1" x14ac:dyDescent="0.2">
      <c r="X409" s="244"/>
    </row>
    <row r="410" spans="24:24" ht="15.75" customHeight="1" x14ac:dyDescent="0.2">
      <c r="X410" s="244"/>
    </row>
    <row r="411" spans="24:24" ht="15.75" customHeight="1" x14ac:dyDescent="0.2">
      <c r="X411" s="244"/>
    </row>
    <row r="412" spans="24:24" ht="15.75" customHeight="1" x14ac:dyDescent="0.2">
      <c r="X412" s="244"/>
    </row>
    <row r="413" spans="24:24" ht="15.75" customHeight="1" x14ac:dyDescent="0.2">
      <c r="X413" s="244"/>
    </row>
    <row r="414" spans="24:24" ht="15.75" customHeight="1" x14ac:dyDescent="0.2">
      <c r="X414" s="244"/>
    </row>
    <row r="415" spans="24:24" ht="15.75" customHeight="1" x14ac:dyDescent="0.2">
      <c r="X415" s="244"/>
    </row>
    <row r="416" spans="24:24" ht="15.75" customHeight="1" x14ac:dyDescent="0.2">
      <c r="X416" s="244"/>
    </row>
    <row r="417" spans="24:24" ht="15.75" customHeight="1" x14ac:dyDescent="0.2">
      <c r="X417" s="244"/>
    </row>
    <row r="418" spans="24:24" ht="15.75" customHeight="1" x14ac:dyDescent="0.2">
      <c r="X418" s="244"/>
    </row>
    <row r="419" spans="24:24" ht="15.75" customHeight="1" x14ac:dyDescent="0.2">
      <c r="X419" s="244"/>
    </row>
    <row r="420" spans="24:24" ht="15.75" customHeight="1" x14ac:dyDescent="0.2">
      <c r="X420" s="244"/>
    </row>
    <row r="421" spans="24:24" ht="15.75" customHeight="1" x14ac:dyDescent="0.2">
      <c r="X421" s="244"/>
    </row>
    <row r="422" spans="24:24" ht="15.75" customHeight="1" x14ac:dyDescent="0.2">
      <c r="X422" s="244"/>
    </row>
    <row r="423" spans="24:24" ht="15.75" customHeight="1" x14ac:dyDescent="0.2">
      <c r="X423" s="244"/>
    </row>
    <row r="424" spans="24:24" ht="15.75" customHeight="1" x14ac:dyDescent="0.2">
      <c r="X424" s="244"/>
    </row>
    <row r="425" spans="24:24" ht="15.75" customHeight="1" x14ac:dyDescent="0.2">
      <c r="X425" s="244"/>
    </row>
    <row r="426" spans="24:24" ht="15.75" customHeight="1" x14ac:dyDescent="0.2">
      <c r="X426" s="244"/>
    </row>
    <row r="427" spans="24:24" ht="15.75" customHeight="1" x14ac:dyDescent="0.2">
      <c r="X427" s="244"/>
    </row>
    <row r="428" spans="24:24" ht="15.75" customHeight="1" x14ac:dyDescent="0.2">
      <c r="X428" s="244"/>
    </row>
    <row r="429" spans="24:24" ht="15.75" customHeight="1" x14ac:dyDescent="0.2">
      <c r="X429" s="244"/>
    </row>
    <row r="430" spans="24:24" ht="15.75" customHeight="1" x14ac:dyDescent="0.2">
      <c r="X430" s="244"/>
    </row>
    <row r="431" spans="24:24" ht="15.75" customHeight="1" x14ac:dyDescent="0.2">
      <c r="X431" s="244"/>
    </row>
    <row r="432" spans="24:24" ht="15.75" customHeight="1" x14ac:dyDescent="0.2">
      <c r="X432" s="244"/>
    </row>
    <row r="433" spans="24:24" ht="15.75" customHeight="1" x14ac:dyDescent="0.2">
      <c r="X433" s="244"/>
    </row>
    <row r="434" spans="24:24" ht="15.75" customHeight="1" x14ac:dyDescent="0.2">
      <c r="X434" s="244"/>
    </row>
    <row r="435" spans="24:24" ht="15.75" customHeight="1" x14ac:dyDescent="0.2">
      <c r="X435" s="244"/>
    </row>
    <row r="436" spans="24:24" ht="15.75" customHeight="1" x14ac:dyDescent="0.2">
      <c r="X436" s="244"/>
    </row>
    <row r="437" spans="24:24" ht="15.75" customHeight="1" x14ac:dyDescent="0.2">
      <c r="X437" s="244"/>
    </row>
    <row r="438" spans="24:24" ht="15.75" customHeight="1" x14ac:dyDescent="0.2">
      <c r="X438" s="244"/>
    </row>
    <row r="439" spans="24:24" ht="15.75" customHeight="1" x14ac:dyDescent="0.2">
      <c r="X439" s="244"/>
    </row>
    <row r="440" spans="24:24" ht="15.75" customHeight="1" x14ac:dyDescent="0.2">
      <c r="X440" s="244"/>
    </row>
    <row r="441" spans="24:24" ht="15.75" customHeight="1" x14ac:dyDescent="0.2">
      <c r="X441" s="244"/>
    </row>
    <row r="442" spans="24:24" ht="15.75" customHeight="1" x14ac:dyDescent="0.2">
      <c r="X442" s="244"/>
    </row>
    <row r="443" spans="24:24" ht="15.75" customHeight="1" x14ac:dyDescent="0.2">
      <c r="X443" s="244"/>
    </row>
    <row r="444" spans="24:24" ht="15.75" customHeight="1" x14ac:dyDescent="0.2">
      <c r="X444" s="244"/>
    </row>
    <row r="445" spans="24:24" ht="15.75" customHeight="1" x14ac:dyDescent="0.2">
      <c r="X445" s="244"/>
    </row>
    <row r="446" spans="24:24" ht="15.75" customHeight="1" x14ac:dyDescent="0.2">
      <c r="X446" s="244"/>
    </row>
    <row r="447" spans="24:24" ht="15.75" customHeight="1" x14ac:dyDescent="0.2">
      <c r="X447" s="244"/>
    </row>
    <row r="448" spans="24:24" ht="15.75" customHeight="1" x14ac:dyDescent="0.2">
      <c r="X448" s="244"/>
    </row>
    <row r="449" spans="24:24" ht="15.75" customHeight="1" x14ac:dyDescent="0.2">
      <c r="X449" s="244"/>
    </row>
    <row r="450" spans="24:24" ht="15.75" customHeight="1" x14ac:dyDescent="0.2">
      <c r="X450" s="244"/>
    </row>
    <row r="451" spans="24:24" ht="15.75" customHeight="1" x14ac:dyDescent="0.2">
      <c r="X451" s="244"/>
    </row>
    <row r="452" spans="24:24" ht="15.75" customHeight="1" x14ac:dyDescent="0.2">
      <c r="X452" s="244"/>
    </row>
    <row r="453" spans="24:24" ht="15.75" customHeight="1" x14ac:dyDescent="0.2">
      <c r="X453" s="244"/>
    </row>
    <row r="454" spans="24:24" ht="15.75" customHeight="1" x14ac:dyDescent="0.2">
      <c r="X454" s="244"/>
    </row>
    <row r="455" spans="24:24" ht="15.75" customHeight="1" x14ac:dyDescent="0.2">
      <c r="X455" s="244"/>
    </row>
    <row r="456" spans="24:24" ht="15.75" customHeight="1" x14ac:dyDescent="0.2">
      <c r="X456" s="244"/>
    </row>
    <row r="457" spans="24:24" ht="15.75" customHeight="1" x14ac:dyDescent="0.2">
      <c r="X457" s="244"/>
    </row>
    <row r="458" spans="24:24" ht="15.75" customHeight="1" x14ac:dyDescent="0.2">
      <c r="X458" s="244"/>
    </row>
    <row r="459" spans="24:24" ht="15.75" customHeight="1" x14ac:dyDescent="0.2">
      <c r="X459" s="244"/>
    </row>
    <row r="460" spans="24:24" ht="15.75" customHeight="1" x14ac:dyDescent="0.2">
      <c r="X460" s="244"/>
    </row>
    <row r="461" spans="24:24" ht="15.75" customHeight="1" x14ac:dyDescent="0.2">
      <c r="X461" s="244"/>
    </row>
    <row r="462" spans="24:24" ht="15.75" customHeight="1" x14ac:dyDescent="0.2">
      <c r="X462" s="244"/>
    </row>
    <row r="463" spans="24:24" ht="15.75" customHeight="1" x14ac:dyDescent="0.2">
      <c r="X463" s="244"/>
    </row>
    <row r="464" spans="24:24" ht="15.75" customHeight="1" x14ac:dyDescent="0.2">
      <c r="X464" s="244"/>
    </row>
    <row r="465" spans="24:24" ht="15.75" customHeight="1" x14ac:dyDescent="0.2">
      <c r="X465" s="244"/>
    </row>
    <row r="466" spans="24:24" ht="15.75" customHeight="1" x14ac:dyDescent="0.2">
      <c r="X466" s="244"/>
    </row>
    <row r="467" spans="24:24" ht="15.75" customHeight="1" x14ac:dyDescent="0.2">
      <c r="X467" s="244"/>
    </row>
    <row r="468" spans="24:24" ht="15.75" customHeight="1" x14ac:dyDescent="0.2">
      <c r="X468" s="244"/>
    </row>
    <row r="469" spans="24:24" ht="15.75" customHeight="1" x14ac:dyDescent="0.2">
      <c r="X469" s="244"/>
    </row>
    <row r="470" spans="24:24" ht="15.75" customHeight="1" x14ac:dyDescent="0.2">
      <c r="X470" s="244"/>
    </row>
    <row r="471" spans="24:24" ht="15.75" customHeight="1" x14ac:dyDescent="0.2">
      <c r="X471" s="244"/>
    </row>
    <row r="472" spans="24:24" ht="15.75" customHeight="1" x14ac:dyDescent="0.2">
      <c r="X472" s="244"/>
    </row>
    <row r="473" spans="24:24" ht="15.75" customHeight="1" x14ac:dyDescent="0.2">
      <c r="X473" s="244"/>
    </row>
    <row r="474" spans="24:24" ht="15.75" customHeight="1" x14ac:dyDescent="0.2">
      <c r="X474" s="244"/>
    </row>
    <row r="475" spans="24:24" ht="15.75" customHeight="1" x14ac:dyDescent="0.2">
      <c r="X475" s="244"/>
    </row>
    <row r="476" spans="24:24" ht="15.75" customHeight="1" x14ac:dyDescent="0.2">
      <c r="X476" s="244"/>
    </row>
    <row r="477" spans="24:24" ht="15.75" customHeight="1" x14ac:dyDescent="0.2">
      <c r="X477" s="244"/>
    </row>
    <row r="478" spans="24:24" ht="15.75" customHeight="1" x14ac:dyDescent="0.2">
      <c r="X478" s="244"/>
    </row>
    <row r="479" spans="24:24" ht="15.75" customHeight="1" x14ac:dyDescent="0.2">
      <c r="X479" s="244"/>
    </row>
    <row r="480" spans="24:24" ht="15.75" customHeight="1" x14ac:dyDescent="0.2">
      <c r="X480" s="244"/>
    </row>
    <row r="481" spans="24:24" ht="15.75" customHeight="1" x14ac:dyDescent="0.2">
      <c r="X481" s="244"/>
    </row>
    <row r="482" spans="24:24" ht="15.75" customHeight="1" x14ac:dyDescent="0.2">
      <c r="X482" s="244"/>
    </row>
    <row r="483" spans="24:24" ht="15.75" customHeight="1" x14ac:dyDescent="0.2">
      <c r="X483" s="244"/>
    </row>
    <row r="484" spans="24:24" ht="15.75" customHeight="1" x14ac:dyDescent="0.2">
      <c r="X484" s="244"/>
    </row>
    <row r="485" spans="24:24" ht="15.75" customHeight="1" x14ac:dyDescent="0.2">
      <c r="X485" s="244"/>
    </row>
    <row r="486" spans="24:24" ht="15.75" customHeight="1" x14ac:dyDescent="0.2">
      <c r="X486" s="244"/>
    </row>
    <row r="487" spans="24:24" ht="15.75" customHeight="1" x14ac:dyDescent="0.2">
      <c r="X487" s="244"/>
    </row>
    <row r="488" spans="24:24" ht="15.75" customHeight="1" x14ac:dyDescent="0.2">
      <c r="X488" s="244"/>
    </row>
    <row r="489" spans="24:24" ht="15.75" customHeight="1" x14ac:dyDescent="0.2">
      <c r="X489" s="244"/>
    </row>
    <row r="490" spans="24:24" ht="15.75" customHeight="1" x14ac:dyDescent="0.2">
      <c r="X490" s="244"/>
    </row>
    <row r="491" spans="24:24" ht="15.75" customHeight="1" x14ac:dyDescent="0.2">
      <c r="X491" s="244"/>
    </row>
    <row r="492" spans="24:24" ht="15.75" customHeight="1" x14ac:dyDescent="0.2">
      <c r="X492" s="244"/>
    </row>
    <row r="493" spans="24:24" ht="15.75" customHeight="1" x14ac:dyDescent="0.2">
      <c r="X493" s="244"/>
    </row>
    <row r="494" spans="24:24" ht="15.75" customHeight="1" x14ac:dyDescent="0.2">
      <c r="X494" s="244"/>
    </row>
    <row r="495" spans="24:24" ht="15.75" customHeight="1" x14ac:dyDescent="0.2">
      <c r="X495" s="244"/>
    </row>
    <row r="496" spans="24:24" ht="15.75" customHeight="1" x14ac:dyDescent="0.2">
      <c r="X496" s="244"/>
    </row>
    <row r="497" spans="24:24" ht="15.75" customHeight="1" x14ac:dyDescent="0.2">
      <c r="X497" s="244"/>
    </row>
    <row r="498" spans="24:24" ht="15.75" customHeight="1" x14ac:dyDescent="0.2">
      <c r="X498" s="244"/>
    </row>
    <row r="499" spans="24:24" ht="15.75" customHeight="1" x14ac:dyDescent="0.2">
      <c r="X499" s="244"/>
    </row>
    <row r="500" spans="24:24" ht="15.75" customHeight="1" x14ac:dyDescent="0.2">
      <c r="X500" s="244"/>
    </row>
    <row r="501" spans="24:24" ht="15.75" customHeight="1" x14ac:dyDescent="0.2">
      <c r="X501" s="244"/>
    </row>
    <row r="502" spans="24:24" ht="15.75" customHeight="1" x14ac:dyDescent="0.2">
      <c r="X502" s="244"/>
    </row>
    <row r="503" spans="24:24" ht="15.75" customHeight="1" x14ac:dyDescent="0.2">
      <c r="X503" s="244"/>
    </row>
    <row r="504" spans="24:24" ht="15.75" customHeight="1" x14ac:dyDescent="0.2">
      <c r="X504" s="244"/>
    </row>
    <row r="505" spans="24:24" ht="15.75" customHeight="1" x14ac:dyDescent="0.2">
      <c r="X505" s="244"/>
    </row>
    <row r="506" spans="24:24" ht="15.75" customHeight="1" x14ac:dyDescent="0.2">
      <c r="X506" s="244"/>
    </row>
    <row r="507" spans="24:24" ht="15.75" customHeight="1" x14ac:dyDescent="0.2">
      <c r="X507" s="244"/>
    </row>
    <row r="508" spans="24:24" ht="15.75" customHeight="1" x14ac:dyDescent="0.2">
      <c r="X508" s="244"/>
    </row>
    <row r="509" spans="24:24" ht="15.75" customHeight="1" x14ac:dyDescent="0.2">
      <c r="X509" s="244"/>
    </row>
    <row r="510" spans="24:24" ht="15.75" customHeight="1" x14ac:dyDescent="0.2">
      <c r="X510" s="244"/>
    </row>
    <row r="511" spans="24:24" ht="15.75" customHeight="1" x14ac:dyDescent="0.2">
      <c r="X511" s="244"/>
    </row>
    <row r="512" spans="24:24" ht="15.75" customHeight="1" x14ac:dyDescent="0.2">
      <c r="X512" s="244"/>
    </row>
    <row r="513" spans="24:24" ht="15.75" customHeight="1" x14ac:dyDescent="0.2">
      <c r="X513" s="244"/>
    </row>
    <row r="514" spans="24:24" ht="15.75" customHeight="1" x14ac:dyDescent="0.2">
      <c r="X514" s="244"/>
    </row>
    <row r="515" spans="24:24" ht="15.75" customHeight="1" x14ac:dyDescent="0.2">
      <c r="X515" s="244"/>
    </row>
    <row r="516" spans="24:24" ht="15.75" customHeight="1" x14ac:dyDescent="0.2">
      <c r="X516" s="244"/>
    </row>
    <row r="517" spans="24:24" ht="15.75" customHeight="1" x14ac:dyDescent="0.2">
      <c r="X517" s="244"/>
    </row>
    <row r="518" spans="24:24" ht="15.75" customHeight="1" x14ac:dyDescent="0.2">
      <c r="X518" s="244"/>
    </row>
    <row r="519" spans="24:24" ht="15.75" customHeight="1" x14ac:dyDescent="0.2">
      <c r="X519" s="244"/>
    </row>
    <row r="520" spans="24:24" ht="15.75" customHeight="1" x14ac:dyDescent="0.2">
      <c r="X520" s="244"/>
    </row>
    <row r="521" spans="24:24" ht="15.75" customHeight="1" x14ac:dyDescent="0.2">
      <c r="X521" s="244"/>
    </row>
    <row r="522" spans="24:24" ht="15.75" customHeight="1" x14ac:dyDescent="0.2">
      <c r="X522" s="244"/>
    </row>
    <row r="523" spans="24:24" ht="15.75" customHeight="1" x14ac:dyDescent="0.2">
      <c r="X523" s="244"/>
    </row>
    <row r="524" spans="24:24" ht="15.75" customHeight="1" x14ac:dyDescent="0.2">
      <c r="X524" s="244"/>
    </row>
    <row r="525" spans="24:24" ht="15.75" customHeight="1" x14ac:dyDescent="0.2">
      <c r="X525" s="244"/>
    </row>
    <row r="526" spans="24:24" ht="15.75" customHeight="1" x14ac:dyDescent="0.2">
      <c r="X526" s="244"/>
    </row>
    <row r="527" spans="24:24" ht="15.75" customHeight="1" x14ac:dyDescent="0.2">
      <c r="X527" s="244"/>
    </row>
    <row r="528" spans="24:24" ht="15.75" customHeight="1" x14ac:dyDescent="0.2">
      <c r="X528" s="244"/>
    </row>
    <row r="529" spans="24:24" ht="15.75" customHeight="1" x14ac:dyDescent="0.2">
      <c r="X529" s="244"/>
    </row>
    <row r="530" spans="24:24" ht="15.75" customHeight="1" x14ac:dyDescent="0.2">
      <c r="X530" s="244"/>
    </row>
    <row r="531" spans="24:24" ht="15.75" customHeight="1" x14ac:dyDescent="0.2">
      <c r="X531" s="244"/>
    </row>
    <row r="532" spans="24:24" ht="15.75" customHeight="1" x14ac:dyDescent="0.2">
      <c r="X532" s="244"/>
    </row>
    <row r="533" spans="24:24" ht="15.75" customHeight="1" x14ac:dyDescent="0.2">
      <c r="X533" s="244"/>
    </row>
    <row r="534" spans="24:24" ht="15.75" customHeight="1" x14ac:dyDescent="0.2">
      <c r="X534" s="244"/>
    </row>
    <row r="535" spans="24:24" ht="15.75" customHeight="1" x14ac:dyDescent="0.2">
      <c r="X535" s="244"/>
    </row>
    <row r="536" spans="24:24" ht="15.75" customHeight="1" x14ac:dyDescent="0.2">
      <c r="X536" s="244"/>
    </row>
    <row r="537" spans="24:24" ht="15.75" customHeight="1" x14ac:dyDescent="0.2">
      <c r="X537" s="244"/>
    </row>
    <row r="538" spans="24:24" ht="15.75" customHeight="1" x14ac:dyDescent="0.2">
      <c r="X538" s="244"/>
    </row>
    <row r="539" spans="24:24" ht="15.75" customHeight="1" x14ac:dyDescent="0.2">
      <c r="X539" s="244"/>
    </row>
    <row r="540" spans="24:24" ht="15.75" customHeight="1" x14ac:dyDescent="0.2">
      <c r="X540" s="244"/>
    </row>
    <row r="541" spans="24:24" ht="15.75" customHeight="1" x14ac:dyDescent="0.2">
      <c r="X541" s="244"/>
    </row>
    <row r="542" spans="24:24" ht="15.75" customHeight="1" x14ac:dyDescent="0.2">
      <c r="X542" s="244"/>
    </row>
    <row r="543" spans="24:24" ht="15.75" customHeight="1" x14ac:dyDescent="0.2">
      <c r="X543" s="244"/>
    </row>
    <row r="544" spans="24:24" ht="15.75" customHeight="1" x14ac:dyDescent="0.2">
      <c r="X544" s="244"/>
    </row>
    <row r="545" spans="24:24" ht="15.75" customHeight="1" x14ac:dyDescent="0.2">
      <c r="X545" s="244"/>
    </row>
    <row r="546" spans="24:24" ht="15.75" customHeight="1" x14ac:dyDescent="0.2">
      <c r="X546" s="244"/>
    </row>
    <row r="547" spans="24:24" ht="15.75" customHeight="1" x14ac:dyDescent="0.2">
      <c r="X547" s="244"/>
    </row>
    <row r="548" spans="24:24" ht="15.75" customHeight="1" x14ac:dyDescent="0.2">
      <c r="X548" s="244"/>
    </row>
    <row r="549" spans="24:24" ht="15.75" customHeight="1" x14ac:dyDescent="0.2">
      <c r="X549" s="244"/>
    </row>
    <row r="550" spans="24:24" ht="15.75" customHeight="1" x14ac:dyDescent="0.2">
      <c r="X550" s="244"/>
    </row>
    <row r="551" spans="24:24" ht="15.75" customHeight="1" x14ac:dyDescent="0.2">
      <c r="X551" s="244"/>
    </row>
    <row r="552" spans="24:24" ht="15.75" customHeight="1" x14ac:dyDescent="0.2">
      <c r="X552" s="244"/>
    </row>
    <row r="553" spans="24:24" ht="15.75" customHeight="1" x14ac:dyDescent="0.2">
      <c r="X553" s="244"/>
    </row>
    <row r="554" spans="24:24" ht="15.75" customHeight="1" x14ac:dyDescent="0.2">
      <c r="X554" s="244"/>
    </row>
    <row r="555" spans="24:24" ht="15.75" customHeight="1" x14ac:dyDescent="0.2">
      <c r="X555" s="244"/>
    </row>
    <row r="556" spans="24:24" ht="15.75" customHeight="1" x14ac:dyDescent="0.2">
      <c r="X556" s="244"/>
    </row>
    <row r="557" spans="24:24" ht="15.75" customHeight="1" x14ac:dyDescent="0.2">
      <c r="X557" s="244"/>
    </row>
    <row r="558" spans="24:24" ht="15.75" customHeight="1" x14ac:dyDescent="0.2">
      <c r="X558" s="244"/>
    </row>
    <row r="559" spans="24:24" ht="15.75" customHeight="1" x14ac:dyDescent="0.2">
      <c r="X559" s="244"/>
    </row>
    <row r="560" spans="24:24" ht="15.75" customHeight="1" x14ac:dyDescent="0.2">
      <c r="X560" s="244"/>
    </row>
    <row r="561" spans="24:24" ht="15.75" customHeight="1" x14ac:dyDescent="0.2">
      <c r="X561" s="244"/>
    </row>
    <row r="562" spans="24:24" ht="15.75" customHeight="1" x14ac:dyDescent="0.2">
      <c r="X562" s="244"/>
    </row>
    <row r="563" spans="24:24" ht="15.75" customHeight="1" x14ac:dyDescent="0.2">
      <c r="X563" s="244"/>
    </row>
    <row r="564" spans="24:24" ht="15.75" customHeight="1" x14ac:dyDescent="0.2">
      <c r="X564" s="244"/>
    </row>
    <row r="565" spans="24:24" ht="15.75" customHeight="1" x14ac:dyDescent="0.2">
      <c r="X565" s="244"/>
    </row>
    <row r="566" spans="24:24" ht="15.75" customHeight="1" x14ac:dyDescent="0.2">
      <c r="X566" s="244"/>
    </row>
    <row r="567" spans="24:24" ht="15.75" customHeight="1" x14ac:dyDescent="0.2">
      <c r="X567" s="244"/>
    </row>
    <row r="568" spans="24:24" ht="15.75" customHeight="1" x14ac:dyDescent="0.2">
      <c r="X568" s="244"/>
    </row>
    <row r="569" spans="24:24" ht="15.75" customHeight="1" x14ac:dyDescent="0.2">
      <c r="X569" s="244"/>
    </row>
    <row r="570" spans="24:24" ht="15.75" customHeight="1" x14ac:dyDescent="0.2">
      <c r="X570" s="244"/>
    </row>
    <row r="571" spans="24:24" ht="15.75" customHeight="1" x14ac:dyDescent="0.2">
      <c r="X571" s="244"/>
    </row>
    <row r="572" spans="24:24" ht="15.75" customHeight="1" x14ac:dyDescent="0.2">
      <c r="X572" s="244"/>
    </row>
    <row r="573" spans="24:24" ht="15.75" customHeight="1" x14ac:dyDescent="0.2">
      <c r="X573" s="244"/>
    </row>
    <row r="574" spans="24:24" ht="15.75" customHeight="1" x14ac:dyDescent="0.2">
      <c r="X574" s="244"/>
    </row>
    <row r="575" spans="24:24" ht="15.75" customHeight="1" x14ac:dyDescent="0.2">
      <c r="X575" s="244"/>
    </row>
    <row r="576" spans="24:24" ht="15.75" customHeight="1" x14ac:dyDescent="0.2">
      <c r="X576" s="244"/>
    </row>
    <row r="577" spans="24:24" ht="15.75" customHeight="1" x14ac:dyDescent="0.2">
      <c r="X577" s="244"/>
    </row>
    <row r="578" spans="24:24" ht="15.75" customHeight="1" x14ac:dyDescent="0.2">
      <c r="X578" s="244"/>
    </row>
    <row r="579" spans="24:24" ht="15.75" customHeight="1" x14ac:dyDescent="0.2">
      <c r="X579" s="244"/>
    </row>
    <row r="580" spans="24:24" ht="15.75" customHeight="1" x14ac:dyDescent="0.2">
      <c r="X580" s="244"/>
    </row>
    <row r="581" spans="24:24" ht="15.75" customHeight="1" x14ac:dyDescent="0.2">
      <c r="X581" s="244"/>
    </row>
    <row r="582" spans="24:24" ht="15.75" customHeight="1" x14ac:dyDescent="0.2">
      <c r="X582" s="244"/>
    </row>
    <row r="583" spans="24:24" ht="15.75" customHeight="1" x14ac:dyDescent="0.2">
      <c r="X583" s="244"/>
    </row>
    <row r="584" spans="24:24" ht="15.75" customHeight="1" x14ac:dyDescent="0.2">
      <c r="X584" s="244"/>
    </row>
    <row r="585" spans="24:24" ht="15.75" customHeight="1" x14ac:dyDescent="0.2">
      <c r="X585" s="244"/>
    </row>
    <row r="586" spans="24:24" ht="15.75" customHeight="1" x14ac:dyDescent="0.2">
      <c r="X586" s="244"/>
    </row>
    <row r="587" spans="24:24" ht="15.75" customHeight="1" x14ac:dyDescent="0.2">
      <c r="X587" s="244"/>
    </row>
    <row r="588" spans="24:24" ht="15.75" customHeight="1" x14ac:dyDescent="0.2">
      <c r="X588" s="244"/>
    </row>
    <row r="589" spans="24:24" ht="15.75" customHeight="1" x14ac:dyDescent="0.2">
      <c r="X589" s="244"/>
    </row>
    <row r="590" spans="24:24" ht="15.75" customHeight="1" x14ac:dyDescent="0.2">
      <c r="X590" s="244"/>
    </row>
    <row r="591" spans="24:24" ht="15.75" customHeight="1" x14ac:dyDescent="0.2">
      <c r="X591" s="244"/>
    </row>
    <row r="592" spans="24:24" ht="15.75" customHeight="1" x14ac:dyDescent="0.2">
      <c r="X592" s="244"/>
    </row>
    <row r="593" spans="24:24" ht="15.75" customHeight="1" x14ac:dyDescent="0.2">
      <c r="X593" s="244"/>
    </row>
    <row r="594" spans="24:24" ht="15.75" customHeight="1" x14ac:dyDescent="0.2">
      <c r="X594" s="244"/>
    </row>
    <row r="595" spans="24:24" ht="15.75" customHeight="1" x14ac:dyDescent="0.2">
      <c r="X595" s="244"/>
    </row>
    <row r="596" spans="24:24" ht="15.75" customHeight="1" x14ac:dyDescent="0.2">
      <c r="X596" s="244"/>
    </row>
    <row r="597" spans="24:24" ht="15.75" customHeight="1" x14ac:dyDescent="0.2">
      <c r="X597" s="244"/>
    </row>
    <row r="598" spans="24:24" ht="15.75" customHeight="1" x14ac:dyDescent="0.2">
      <c r="X598" s="244"/>
    </row>
    <row r="599" spans="24:24" ht="15.75" customHeight="1" x14ac:dyDescent="0.2">
      <c r="X599" s="244"/>
    </row>
    <row r="600" spans="24:24" ht="15.75" customHeight="1" x14ac:dyDescent="0.2">
      <c r="X600" s="244"/>
    </row>
    <row r="601" spans="24:24" ht="15.75" customHeight="1" x14ac:dyDescent="0.2">
      <c r="X601" s="244"/>
    </row>
    <row r="602" spans="24:24" ht="15.75" customHeight="1" x14ac:dyDescent="0.2">
      <c r="X602" s="244"/>
    </row>
    <row r="603" spans="24:24" ht="15.75" customHeight="1" x14ac:dyDescent="0.2">
      <c r="X603" s="244"/>
    </row>
    <row r="604" spans="24:24" ht="15.75" customHeight="1" x14ac:dyDescent="0.2">
      <c r="X604" s="244"/>
    </row>
    <row r="605" spans="24:24" ht="15.75" customHeight="1" x14ac:dyDescent="0.2">
      <c r="X605" s="244"/>
    </row>
    <row r="606" spans="24:24" ht="15.75" customHeight="1" x14ac:dyDescent="0.2">
      <c r="X606" s="244"/>
    </row>
    <row r="607" spans="24:24" ht="15.75" customHeight="1" x14ac:dyDescent="0.2">
      <c r="X607" s="244"/>
    </row>
    <row r="608" spans="24:24" ht="15.75" customHeight="1" x14ac:dyDescent="0.2">
      <c r="X608" s="244"/>
    </row>
    <row r="609" spans="24:24" ht="15.75" customHeight="1" x14ac:dyDescent="0.2">
      <c r="X609" s="244"/>
    </row>
    <row r="610" spans="24:24" ht="15.75" customHeight="1" x14ac:dyDescent="0.2">
      <c r="X610" s="244"/>
    </row>
    <row r="611" spans="24:24" ht="15.75" customHeight="1" x14ac:dyDescent="0.2">
      <c r="X611" s="244"/>
    </row>
    <row r="612" spans="24:24" ht="15.75" customHeight="1" x14ac:dyDescent="0.2">
      <c r="X612" s="244"/>
    </row>
    <row r="613" spans="24:24" ht="15.75" customHeight="1" x14ac:dyDescent="0.2">
      <c r="X613" s="244"/>
    </row>
    <row r="614" spans="24:24" ht="15.75" customHeight="1" x14ac:dyDescent="0.2">
      <c r="X614" s="244"/>
    </row>
    <row r="615" spans="24:24" ht="15.75" customHeight="1" x14ac:dyDescent="0.2">
      <c r="X615" s="244"/>
    </row>
    <row r="616" spans="24:24" ht="15.75" customHeight="1" x14ac:dyDescent="0.2">
      <c r="X616" s="244"/>
    </row>
    <row r="617" spans="24:24" ht="15.75" customHeight="1" x14ac:dyDescent="0.2">
      <c r="X617" s="244"/>
    </row>
    <row r="618" spans="24:24" ht="15.75" customHeight="1" x14ac:dyDescent="0.2">
      <c r="X618" s="244"/>
    </row>
    <row r="619" spans="24:24" ht="15.75" customHeight="1" x14ac:dyDescent="0.2">
      <c r="X619" s="244"/>
    </row>
    <row r="620" spans="24:24" ht="15.75" customHeight="1" x14ac:dyDescent="0.2">
      <c r="X620" s="244"/>
    </row>
    <row r="621" spans="24:24" ht="15.75" customHeight="1" x14ac:dyDescent="0.2">
      <c r="X621" s="244"/>
    </row>
    <row r="622" spans="24:24" ht="15.75" customHeight="1" x14ac:dyDescent="0.2">
      <c r="X622" s="244"/>
    </row>
    <row r="623" spans="24:24" ht="15.75" customHeight="1" x14ac:dyDescent="0.2">
      <c r="X623" s="244"/>
    </row>
    <row r="624" spans="24:24" ht="15.75" customHeight="1" x14ac:dyDescent="0.2">
      <c r="X624" s="244"/>
    </row>
    <row r="625" spans="24:24" ht="15.75" customHeight="1" x14ac:dyDescent="0.2">
      <c r="X625" s="244"/>
    </row>
    <row r="626" spans="24:24" ht="15.75" customHeight="1" x14ac:dyDescent="0.2">
      <c r="X626" s="244"/>
    </row>
    <row r="627" spans="24:24" ht="15.75" customHeight="1" x14ac:dyDescent="0.2">
      <c r="X627" s="244"/>
    </row>
    <row r="628" spans="24:24" ht="15.75" customHeight="1" x14ac:dyDescent="0.2">
      <c r="X628" s="244"/>
    </row>
    <row r="629" spans="24:24" ht="15.75" customHeight="1" x14ac:dyDescent="0.2">
      <c r="X629" s="244"/>
    </row>
    <row r="630" spans="24:24" ht="15.75" customHeight="1" x14ac:dyDescent="0.2">
      <c r="X630" s="244"/>
    </row>
    <row r="631" spans="24:24" ht="15.75" customHeight="1" x14ac:dyDescent="0.2">
      <c r="X631" s="244"/>
    </row>
    <row r="632" spans="24:24" ht="15.75" customHeight="1" x14ac:dyDescent="0.2">
      <c r="X632" s="244"/>
    </row>
    <row r="633" spans="24:24" ht="15.75" customHeight="1" x14ac:dyDescent="0.2">
      <c r="X633" s="244"/>
    </row>
    <row r="634" spans="24:24" ht="15.75" customHeight="1" x14ac:dyDescent="0.2">
      <c r="X634" s="244"/>
    </row>
    <row r="635" spans="24:24" ht="15.75" customHeight="1" x14ac:dyDescent="0.2">
      <c r="X635" s="244"/>
    </row>
    <row r="636" spans="24:24" ht="15.75" customHeight="1" x14ac:dyDescent="0.2">
      <c r="X636" s="244"/>
    </row>
    <row r="637" spans="24:24" ht="15.75" customHeight="1" x14ac:dyDescent="0.2">
      <c r="X637" s="244"/>
    </row>
    <row r="638" spans="24:24" ht="15.75" customHeight="1" x14ac:dyDescent="0.2">
      <c r="X638" s="244"/>
    </row>
    <row r="639" spans="24:24" ht="15.75" customHeight="1" x14ac:dyDescent="0.2">
      <c r="X639" s="244"/>
    </row>
    <row r="640" spans="24:24" ht="15.75" customHeight="1" x14ac:dyDescent="0.2">
      <c r="X640" s="244"/>
    </row>
    <row r="641" spans="24:24" ht="15.75" customHeight="1" x14ac:dyDescent="0.2">
      <c r="X641" s="244"/>
    </row>
    <row r="642" spans="24:24" ht="15.75" customHeight="1" x14ac:dyDescent="0.2">
      <c r="X642" s="244"/>
    </row>
    <row r="643" spans="24:24" ht="15.75" customHeight="1" x14ac:dyDescent="0.2">
      <c r="X643" s="244"/>
    </row>
    <row r="644" spans="24:24" ht="15.75" customHeight="1" x14ac:dyDescent="0.2">
      <c r="X644" s="244"/>
    </row>
    <row r="645" spans="24:24" ht="15.75" customHeight="1" x14ac:dyDescent="0.2">
      <c r="X645" s="244"/>
    </row>
    <row r="646" spans="24:24" ht="15.75" customHeight="1" x14ac:dyDescent="0.2">
      <c r="X646" s="244"/>
    </row>
    <row r="647" spans="24:24" ht="15.75" customHeight="1" x14ac:dyDescent="0.2">
      <c r="X647" s="244"/>
    </row>
    <row r="648" spans="24:24" ht="15.75" customHeight="1" x14ac:dyDescent="0.2">
      <c r="X648" s="244"/>
    </row>
    <row r="649" spans="24:24" ht="15.75" customHeight="1" x14ac:dyDescent="0.2">
      <c r="X649" s="244"/>
    </row>
    <row r="650" spans="24:24" ht="15.75" customHeight="1" x14ac:dyDescent="0.2">
      <c r="X650" s="244"/>
    </row>
    <row r="651" spans="24:24" ht="15.75" customHeight="1" x14ac:dyDescent="0.2">
      <c r="X651" s="244"/>
    </row>
    <row r="652" spans="24:24" ht="15.75" customHeight="1" x14ac:dyDescent="0.2">
      <c r="X652" s="244"/>
    </row>
    <row r="653" spans="24:24" ht="15.75" customHeight="1" x14ac:dyDescent="0.2">
      <c r="X653" s="244"/>
    </row>
    <row r="654" spans="24:24" ht="15.75" customHeight="1" x14ac:dyDescent="0.2">
      <c r="X654" s="244"/>
    </row>
    <row r="655" spans="24:24" ht="15.75" customHeight="1" x14ac:dyDescent="0.2">
      <c r="X655" s="244"/>
    </row>
    <row r="656" spans="24:24" ht="15.75" customHeight="1" x14ac:dyDescent="0.2">
      <c r="X656" s="244"/>
    </row>
    <row r="657" spans="24:24" ht="15.75" customHeight="1" x14ac:dyDescent="0.2">
      <c r="X657" s="244"/>
    </row>
    <row r="658" spans="24:24" ht="15.75" customHeight="1" x14ac:dyDescent="0.2">
      <c r="X658" s="244"/>
    </row>
    <row r="659" spans="24:24" ht="15.75" customHeight="1" x14ac:dyDescent="0.2">
      <c r="X659" s="244"/>
    </row>
    <row r="660" spans="24:24" ht="15.75" customHeight="1" x14ac:dyDescent="0.2">
      <c r="X660" s="244"/>
    </row>
    <row r="661" spans="24:24" ht="15.75" customHeight="1" x14ac:dyDescent="0.2">
      <c r="X661" s="244"/>
    </row>
    <row r="662" spans="24:24" ht="15.75" customHeight="1" x14ac:dyDescent="0.2">
      <c r="X662" s="244"/>
    </row>
    <row r="663" spans="24:24" ht="15.75" customHeight="1" x14ac:dyDescent="0.2">
      <c r="X663" s="244"/>
    </row>
    <row r="664" spans="24:24" ht="15.75" customHeight="1" x14ac:dyDescent="0.2">
      <c r="X664" s="244"/>
    </row>
    <row r="665" spans="24:24" ht="15.75" customHeight="1" x14ac:dyDescent="0.2">
      <c r="X665" s="244"/>
    </row>
    <row r="666" spans="24:24" ht="15.75" customHeight="1" x14ac:dyDescent="0.2">
      <c r="X666" s="244"/>
    </row>
    <row r="667" spans="24:24" ht="15.75" customHeight="1" x14ac:dyDescent="0.2">
      <c r="X667" s="244"/>
    </row>
    <row r="668" spans="24:24" ht="15.75" customHeight="1" x14ac:dyDescent="0.2">
      <c r="X668" s="244"/>
    </row>
    <row r="669" spans="24:24" ht="15.75" customHeight="1" x14ac:dyDescent="0.2">
      <c r="X669" s="244"/>
    </row>
    <row r="670" spans="24:24" ht="15.75" customHeight="1" x14ac:dyDescent="0.2">
      <c r="X670" s="244"/>
    </row>
    <row r="671" spans="24:24" ht="15.75" customHeight="1" x14ac:dyDescent="0.2">
      <c r="X671" s="244"/>
    </row>
    <row r="672" spans="24:24" ht="15.75" customHeight="1" x14ac:dyDescent="0.2">
      <c r="X672" s="244"/>
    </row>
    <row r="673" spans="24:24" ht="15.75" customHeight="1" x14ac:dyDescent="0.2">
      <c r="X673" s="244"/>
    </row>
    <row r="674" spans="24:24" ht="15.75" customHeight="1" x14ac:dyDescent="0.2">
      <c r="X674" s="244"/>
    </row>
    <row r="675" spans="24:24" ht="15.75" customHeight="1" x14ac:dyDescent="0.2">
      <c r="X675" s="244"/>
    </row>
    <row r="676" spans="24:24" ht="15.75" customHeight="1" x14ac:dyDescent="0.2">
      <c r="X676" s="244"/>
    </row>
    <row r="677" spans="24:24" ht="15.75" customHeight="1" x14ac:dyDescent="0.2">
      <c r="X677" s="244"/>
    </row>
    <row r="678" spans="24:24" ht="15.75" customHeight="1" x14ac:dyDescent="0.2">
      <c r="X678" s="244"/>
    </row>
    <row r="679" spans="24:24" ht="15.75" customHeight="1" x14ac:dyDescent="0.2">
      <c r="X679" s="244"/>
    </row>
    <row r="680" spans="24:24" ht="15.75" customHeight="1" x14ac:dyDescent="0.2">
      <c r="X680" s="244"/>
    </row>
    <row r="681" spans="24:24" ht="15.75" customHeight="1" x14ac:dyDescent="0.2">
      <c r="X681" s="244"/>
    </row>
    <row r="682" spans="24:24" ht="15.75" customHeight="1" x14ac:dyDescent="0.2">
      <c r="X682" s="244"/>
    </row>
    <row r="683" spans="24:24" ht="15.75" customHeight="1" x14ac:dyDescent="0.2">
      <c r="X683" s="244"/>
    </row>
    <row r="684" spans="24:24" ht="15.75" customHeight="1" x14ac:dyDescent="0.2">
      <c r="X684" s="244"/>
    </row>
    <row r="685" spans="24:24" ht="15.75" customHeight="1" x14ac:dyDescent="0.2">
      <c r="X685" s="244"/>
    </row>
    <row r="686" spans="24:24" ht="15.75" customHeight="1" x14ac:dyDescent="0.2">
      <c r="X686" s="244"/>
    </row>
    <row r="687" spans="24:24" ht="15.75" customHeight="1" x14ac:dyDescent="0.2">
      <c r="X687" s="244"/>
    </row>
    <row r="688" spans="24:24" ht="15.75" customHeight="1" x14ac:dyDescent="0.2">
      <c r="X688" s="244"/>
    </row>
    <row r="689" spans="24:24" ht="15.75" customHeight="1" x14ac:dyDescent="0.2">
      <c r="X689" s="244"/>
    </row>
    <row r="690" spans="24:24" ht="15.75" customHeight="1" x14ac:dyDescent="0.2">
      <c r="X690" s="244"/>
    </row>
    <row r="691" spans="24:24" ht="15.75" customHeight="1" x14ac:dyDescent="0.2">
      <c r="X691" s="244"/>
    </row>
    <row r="692" spans="24:24" ht="15.75" customHeight="1" x14ac:dyDescent="0.2">
      <c r="X692" s="244"/>
    </row>
    <row r="693" spans="24:24" ht="15.75" customHeight="1" x14ac:dyDescent="0.2">
      <c r="X693" s="244"/>
    </row>
    <row r="694" spans="24:24" ht="15.75" customHeight="1" x14ac:dyDescent="0.2">
      <c r="X694" s="244"/>
    </row>
    <row r="695" spans="24:24" ht="15.75" customHeight="1" x14ac:dyDescent="0.2">
      <c r="X695" s="244"/>
    </row>
    <row r="696" spans="24:24" ht="15.75" customHeight="1" x14ac:dyDescent="0.2">
      <c r="X696" s="244"/>
    </row>
    <row r="697" spans="24:24" ht="15.75" customHeight="1" x14ac:dyDescent="0.2">
      <c r="X697" s="244"/>
    </row>
    <row r="698" spans="24:24" ht="15.75" customHeight="1" x14ac:dyDescent="0.2">
      <c r="X698" s="244"/>
    </row>
    <row r="699" spans="24:24" ht="15.75" customHeight="1" x14ac:dyDescent="0.2">
      <c r="X699" s="244"/>
    </row>
    <row r="700" spans="24:24" ht="15.75" customHeight="1" x14ac:dyDescent="0.2">
      <c r="X700" s="244"/>
    </row>
    <row r="701" spans="24:24" ht="15.75" customHeight="1" x14ac:dyDescent="0.2">
      <c r="X701" s="244"/>
    </row>
    <row r="702" spans="24:24" ht="15.75" customHeight="1" x14ac:dyDescent="0.2">
      <c r="X702" s="244"/>
    </row>
    <row r="703" spans="24:24" ht="15.75" customHeight="1" x14ac:dyDescent="0.2">
      <c r="X703" s="244"/>
    </row>
    <row r="704" spans="24:24" ht="15.75" customHeight="1" x14ac:dyDescent="0.2">
      <c r="X704" s="244"/>
    </row>
    <row r="705" spans="24:24" ht="15.75" customHeight="1" x14ac:dyDescent="0.2">
      <c r="X705" s="244"/>
    </row>
    <row r="706" spans="24:24" ht="15.75" customHeight="1" x14ac:dyDescent="0.2">
      <c r="X706" s="244"/>
    </row>
    <row r="707" spans="24:24" ht="15.75" customHeight="1" x14ac:dyDescent="0.2">
      <c r="X707" s="244"/>
    </row>
    <row r="708" spans="24:24" ht="15.75" customHeight="1" x14ac:dyDescent="0.2">
      <c r="X708" s="244"/>
    </row>
    <row r="709" spans="24:24" ht="15.75" customHeight="1" x14ac:dyDescent="0.2">
      <c r="X709" s="244"/>
    </row>
    <row r="710" spans="24:24" ht="15.75" customHeight="1" x14ac:dyDescent="0.2">
      <c r="X710" s="244"/>
    </row>
    <row r="711" spans="24:24" ht="15.75" customHeight="1" x14ac:dyDescent="0.2">
      <c r="X711" s="244"/>
    </row>
    <row r="712" spans="24:24" ht="15.75" customHeight="1" x14ac:dyDescent="0.2">
      <c r="X712" s="244"/>
    </row>
    <row r="713" spans="24:24" ht="15.75" customHeight="1" x14ac:dyDescent="0.2">
      <c r="X713" s="244"/>
    </row>
    <row r="714" spans="24:24" ht="15.75" customHeight="1" x14ac:dyDescent="0.2">
      <c r="X714" s="244"/>
    </row>
    <row r="715" spans="24:24" ht="15.75" customHeight="1" x14ac:dyDescent="0.2">
      <c r="X715" s="244"/>
    </row>
    <row r="716" spans="24:24" ht="15.75" customHeight="1" x14ac:dyDescent="0.2">
      <c r="X716" s="244"/>
    </row>
    <row r="717" spans="24:24" ht="15.75" customHeight="1" x14ac:dyDescent="0.2">
      <c r="X717" s="244"/>
    </row>
    <row r="718" spans="24:24" ht="15.75" customHeight="1" x14ac:dyDescent="0.2">
      <c r="X718" s="244"/>
    </row>
    <row r="719" spans="24:24" ht="15.75" customHeight="1" x14ac:dyDescent="0.2">
      <c r="X719" s="244"/>
    </row>
    <row r="720" spans="24:24" ht="15.75" customHeight="1" x14ac:dyDescent="0.2">
      <c r="X720" s="244"/>
    </row>
    <row r="721" spans="24:24" ht="15.75" customHeight="1" x14ac:dyDescent="0.2">
      <c r="X721" s="244"/>
    </row>
    <row r="722" spans="24:24" ht="15.75" customHeight="1" x14ac:dyDescent="0.2">
      <c r="X722" s="244"/>
    </row>
    <row r="723" spans="24:24" ht="15.75" customHeight="1" x14ac:dyDescent="0.2">
      <c r="X723" s="244"/>
    </row>
    <row r="724" spans="24:24" ht="15.75" customHeight="1" x14ac:dyDescent="0.2">
      <c r="X724" s="244"/>
    </row>
    <row r="725" spans="24:24" ht="15.75" customHeight="1" x14ac:dyDescent="0.2">
      <c r="X725" s="244"/>
    </row>
    <row r="726" spans="24:24" ht="15.75" customHeight="1" x14ac:dyDescent="0.2">
      <c r="X726" s="244"/>
    </row>
    <row r="727" spans="24:24" ht="15.75" customHeight="1" x14ac:dyDescent="0.2">
      <c r="X727" s="244"/>
    </row>
    <row r="728" spans="24:24" ht="15.75" customHeight="1" x14ac:dyDescent="0.2">
      <c r="X728" s="244"/>
    </row>
    <row r="729" spans="24:24" ht="15.75" customHeight="1" x14ac:dyDescent="0.2">
      <c r="X729" s="244"/>
    </row>
    <row r="730" spans="24:24" ht="15.75" customHeight="1" x14ac:dyDescent="0.2">
      <c r="X730" s="244"/>
    </row>
    <row r="731" spans="24:24" ht="15.75" customHeight="1" x14ac:dyDescent="0.2">
      <c r="X731" s="244"/>
    </row>
    <row r="732" spans="24:24" ht="15.75" customHeight="1" x14ac:dyDescent="0.2">
      <c r="X732" s="244"/>
    </row>
    <row r="733" spans="24:24" ht="15.75" customHeight="1" x14ac:dyDescent="0.2">
      <c r="X733" s="244"/>
    </row>
    <row r="734" spans="24:24" ht="15.75" customHeight="1" x14ac:dyDescent="0.2">
      <c r="X734" s="244"/>
    </row>
    <row r="735" spans="24:24" ht="15.75" customHeight="1" x14ac:dyDescent="0.2">
      <c r="X735" s="244"/>
    </row>
    <row r="736" spans="24:24" ht="15.75" customHeight="1" x14ac:dyDescent="0.2">
      <c r="X736" s="244"/>
    </row>
    <row r="737" spans="24:24" ht="15.75" customHeight="1" x14ac:dyDescent="0.2">
      <c r="X737" s="244"/>
    </row>
    <row r="738" spans="24:24" ht="15.75" customHeight="1" x14ac:dyDescent="0.2">
      <c r="X738" s="244"/>
    </row>
    <row r="739" spans="24:24" ht="15.75" customHeight="1" x14ac:dyDescent="0.2">
      <c r="X739" s="244"/>
    </row>
    <row r="740" spans="24:24" ht="15.75" customHeight="1" x14ac:dyDescent="0.2">
      <c r="X740" s="244"/>
    </row>
    <row r="741" spans="24:24" ht="15.75" customHeight="1" x14ac:dyDescent="0.2">
      <c r="X741" s="244"/>
    </row>
    <row r="742" spans="24:24" ht="15.75" customHeight="1" x14ac:dyDescent="0.2">
      <c r="X742" s="244"/>
    </row>
    <row r="743" spans="24:24" ht="15.75" customHeight="1" x14ac:dyDescent="0.2">
      <c r="X743" s="244"/>
    </row>
    <row r="744" spans="24:24" ht="15.75" customHeight="1" x14ac:dyDescent="0.2">
      <c r="X744" s="244"/>
    </row>
    <row r="745" spans="24:24" ht="15.75" customHeight="1" x14ac:dyDescent="0.2">
      <c r="X745" s="244"/>
    </row>
    <row r="746" spans="24:24" ht="15.75" customHeight="1" x14ac:dyDescent="0.2">
      <c r="X746" s="244"/>
    </row>
    <row r="747" spans="24:24" ht="15.75" customHeight="1" x14ac:dyDescent="0.2">
      <c r="X747" s="244"/>
    </row>
    <row r="748" spans="24:24" ht="15.75" customHeight="1" x14ac:dyDescent="0.2">
      <c r="X748" s="244"/>
    </row>
    <row r="749" spans="24:24" ht="15.75" customHeight="1" x14ac:dyDescent="0.2">
      <c r="X749" s="244"/>
    </row>
    <row r="750" spans="24:24" ht="15.75" customHeight="1" x14ac:dyDescent="0.2">
      <c r="X750" s="244"/>
    </row>
    <row r="751" spans="24:24" ht="15.75" customHeight="1" x14ac:dyDescent="0.2">
      <c r="X751" s="244"/>
    </row>
    <row r="752" spans="24:24" ht="15.75" customHeight="1" x14ac:dyDescent="0.2">
      <c r="X752" s="244"/>
    </row>
    <row r="753" spans="24:24" ht="15.75" customHeight="1" x14ac:dyDescent="0.2">
      <c r="X753" s="244"/>
    </row>
    <row r="754" spans="24:24" ht="15.75" customHeight="1" x14ac:dyDescent="0.2">
      <c r="X754" s="244"/>
    </row>
    <row r="755" spans="24:24" ht="15.75" customHeight="1" x14ac:dyDescent="0.2">
      <c r="X755" s="244"/>
    </row>
    <row r="756" spans="24:24" ht="15.75" customHeight="1" x14ac:dyDescent="0.2">
      <c r="X756" s="244"/>
    </row>
    <row r="757" spans="24:24" ht="15.75" customHeight="1" x14ac:dyDescent="0.2">
      <c r="X757" s="244"/>
    </row>
    <row r="758" spans="24:24" ht="15.75" customHeight="1" x14ac:dyDescent="0.2">
      <c r="X758" s="244"/>
    </row>
    <row r="759" spans="24:24" ht="15.75" customHeight="1" x14ac:dyDescent="0.2">
      <c r="X759" s="244"/>
    </row>
    <row r="760" spans="24:24" ht="15.75" customHeight="1" x14ac:dyDescent="0.2">
      <c r="X760" s="244"/>
    </row>
    <row r="761" spans="24:24" ht="15.75" customHeight="1" x14ac:dyDescent="0.2">
      <c r="X761" s="244"/>
    </row>
    <row r="762" spans="24:24" ht="15.75" customHeight="1" x14ac:dyDescent="0.2">
      <c r="X762" s="244"/>
    </row>
    <row r="763" spans="24:24" ht="15.75" customHeight="1" x14ac:dyDescent="0.2">
      <c r="X763" s="244"/>
    </row>
    <row r="764" spans="24:24" ht="15.75" customHeight="1" x14ac:dyDescent="0.2">
      <c r="X764" s="244"/>
    </row>
    <row r="765" spans="24:24" ht="15.75" customHeight="1" x14ac:dyDescent="0.2">
      <c r="X765" s="244"/>
    </row>
    <row r="766" spans="24:24" ht="15.75" customHeight="1" x14ac:dyDescent="0.2">
      <c r="X766" s="244"/>
    </row>
    <row r="767" spans="24:24" ht="15.75" customHeight="1" x14ac:dyDescent="0.2">
      <c r="X767" s="244"/>
    </row>
    <row r="768" spans="24:24" ht="15.75" customHeight="1" x14ac:dyDescent="0.2">
      <c r="X768" s="244"/>
    </row>
    <row r="769" spans="24:24" ht="15.75" customHeight="1" x14ac:dyDescent="0.2">
      <c r="X769" s="244"/>
    </row>
    <row r="770" spans="24:24" ht="15.75" customHeight="1" x14ac:dyDescent="0.2">
      <c r="X770" s="244"/>
    </row>
    <row r="771" spans="24:24" ht="15.75" customHeight="1" x14ac:dyDescent="0.2">
      <c r="X771" s="244"/>
    </row>
    <row r="772" spans="24:24" ht="15.75" customHeight="1" x14ac:dyDescent="0.2">
      <c r="X772" s="244"/>
    </row>
    <row r="773" spans="24:24" ht="15.75" customHeight="1" x14ac:dyDescent="0.2">
      <c r="X773" s="244"/>
    </row>
    <row r="774" spans="24:24" ht="15.75" customHeight="1" x14ac:dyDescent="0.2">
      <c r="X774" s="244"/>
    </row>
    <row r="775" spans="24:24" ht="15.75" customHeight="1" x14ac:dyDescent="0.2">
      <c r="X775" s="244"/>
    </row>
    <row r="776" spans="24:24" ht="15.75" customHeight="1" x14ac:dyDescent="0.2">
      <c r="X776" s="244"/>
    </row>
    <row r="777" spans="24:24" ht="15.75" customHeight="1" x14ac:dyDescent="0.2">
      <c r="X777" s="244"/>
    </row>
    <row r="778" spans="24:24" ht="15.75" customHeight="1" x14ac:dyDescent="0.2">
      <c r="X778" s="244"/>
    </row>
    <row r="779" spans="24:24" ht="15.75" customHeight="1" x14ac:dyDescent="0.2">
      <c r="X779" s="244"/>
    </row>
    <row r="780" spans="24:24" ht="15.75" customHeight="1" x14ac:dyDescent="0.2">
      <c r="X780" s="244"/>
    </row>
    <row r="781" spans="24:24" ht="15.75" customHeight="1" x14ac:dyDescent="0.2">
      <c r="X781" s="244"/>
    </row>
    <row r="782" spans="24:24" ht="15.75" customHeight="1" x14ac:dyDescent="0.2">
      <c r="X782" s="244"/>
    </row>
    <row r="783" spans="24:24" ht="15.75" customHeight="1" x14ac:dyDescent="0.2">
      <c r="X783" s="244"/>
    </row>
    <row r="784" spans="24:24" ht="15.75" customHeight="1" x14ac:dyDescent="0.2">
      <c r="X784" s="244"/>
    </row>
    <row r="785" spans="24:24" ht="15.75" customHeight="1" x14ac:dyDescent="0.2">
      <c r="X785" s="244"/>
    </row>
    <row r="786" spans="24:24" ht="15.75" customHeight="1" x14ac:dyDescent="0.2">
      <c r="X786" s="244"/>
    </row>
    <row r="787" spans="24:24" ht="15.75" customHeight="1" x14ac:dyDescent="0.2">
      <c r="X787" s="244"/>
    </row>
    <row r="788" spans="24:24" ht="15.75" customHeight="1" x14ac:dyDescent="0.2">
      <c r="X788" s="244"/>
    </row>
    <row r="789" spans="24:24" ht="15.75" customHeight="1" x14ac:dyDescent="0.2">
      <c r="X789" s="244"/>
    </row>
    <row r="790" spans="24:24" ht="15.75" customHeight="1" x14ac:dyDescent="0.2">
      <c r="X790" s="244"/>
    </row>
    <row r="791" spans="24:24" ht="15.75" customHeight="1" x14ac:dyDescent="0.2">
      <c r="X791" s="244"/>
    </row>
    <row r="792" spans="24:24" ht="15.75" customHeight="1" x14ac:dyDescent="0.2">
      <c r="X792" s="244"/>
    </row>
    <row r="793" spans="24:24" ht="15.75" customHeight="1" x14ac:dyDescent="0.2">
      <c r="X793" s="244"/>
    </row>
    <row r="794" spans="24:24" ht="15.75" customHeight="1" x14ac:dyDescent="0.2">
      <c r="X794" s="244"/>
    </row>
    <row r="795" spans="24:24" ht="15.75" customHeight="1" x14ac:dyDescent="0.2">
      <c r="X795" s="244"/>
    </row>
    <row r="796" spans="24:24" ht="15.75" customHeight="1" x14ac:dyDescent="0.2">
      <c r="X796" s="244"/>
    </row>
    <row r="797" spans="24:24" ht="15.75" customHeight="1" x14ac:dyDescent="0.2">
      <c r="X797" s="244"/>
    </row>
    <row r="798" spans="24:24" ht="15.75" customHeight="1" x14ac:dyDescent="0.2">
      <c r="X798" s="244"/>
    </row>
    <row r="799" spans="24:24" ht="15.75" customHeight="1" x14ac:dyDescent="0.2">
      <c r="X799" s="244"/>
    </row>
    <row r="800" spans="24:24" ht="15.75" customHeight="1" x14ac:dyDescent="0.2">
      <c r="X800" s="244"/>
    </row>
    <row r="801" spans="24:24" ht="15.75" customHeight="1" x14ac:dyDescent="0.2">
      <c r="X801" s="244"/>
    </row>
    <row r="802" spans="24:24" ht="15.75" customHeight="1" x14ac:dyDescent="0.2">
      <c r="X802" s="244"/>
    </row>
    <row r="803" spans="24:24" ht="15.75" customHeight="1" x14ac:dyDescent="0.2">
      <c r="X803" s="244"/>
    </row>
    <row r="804" spans="24:24" ht="15.75" customHeight="1" x14ac:dyDescent="0.2">
      <c r="X804" s="244"/>
    </row>
    <row r="805" spans="24:24" ht="15.75" customHeight="1" x14ac:dyDescent="0.2">
      <c r="X805" s="244"/>
    </row>
    <row r="806" spans="24:24" ht="15.75" customHeight="1" x14ac:dyDescent="0.2">
      <c r="X806" s="244"/>
    </row>
    <row r="807" spans="24:24" ht="15.75" customHeight="1" x14ac:dyDescent="0.2">
      <c r="X807" s="244"/>
    </row>
    <row r="808" spans="24:24" ht="15.75" customHeight="1" x14ac:dyDescent="0.2">
      <c r="X808" s="244"/>
    </row>
    <row r="809" spans="24:24" ht="15.75" customHeight="1" x14ac:dyDescent="0.2">
      <c r="X809" s="244"/>
    </row>
    <row r="810" spans="24:24" ht="15.75" customHeight="1" x14ac:dyDescent="0.2">
      <c r="X810" s="244"/>
    </row>
    <row r="811" spans="24:24" ht="15.75" customHeight="1" x14ac:dyDescent="0.2">
      <c r="X811" s="244"/>
    </row>
    <row r="812" spans="24:24" ht="15.75" customHeight="1" x14ac:dyDescent="0.2">
      <c r="X812" s="244"/>
    </row>
    <row r="813" spans="24:24" ht="15.75" customHeight="1" x14ac:dyDescent="0.2">
      <c r="X813" s="244"/>
    </row>
    <row r="814" spans="24:24" ht="15.75" customHeight="1" x14ac:dyDescent="0.2">
      <c r="X814" s="244"/>
    </row>
    <row r="815" spans="24:24" ht="15.75" customHeight="1" x14ac:dyDescent="0.2">
      <c r="X815" s="244"/>
    </row>
    <row r="816" spans="24:24" ht="15.75" customHeight="1" x14ac:dyDescent="0.2">
      <c r="X816" s="244"/>
    </row>
    <row r="817" spans="24:24" ht="15.75" customHeight="1" x14ac:dyDescent="0.2">
      <c r="X817" s="244"/>
    </row>
    <row r="818" spans="24:24" ht="15.75" customHeight="1" x14ac:dyDescent="0.2">
      <c r="X818" s="244"/>
    </row>
    <row r="819" spans="24:24" ht="15.75" customHeight="1" x14ac:dyDescent="0.2">
      <c r="X819" s="244"/>
    </row>
    <row r="820" spans="24:24" ht="15.75" customHeight="1" x14ac:dyDescent="0.2">
      <c r="X820" s="244"/>
    </row>
    <row r="821" spans="24:24" ht="15.75" customHeight="1" x14ac:dyDescent="0.2">
      <c r="X821" s="244"/>
    </row>
    <row r="822" spans="24:24" ht="15.75" customHeight="1" x14ac:dyDescent="0.2">
      <c r="X822" s="244"/>
    </row>
    <row r="823" spans="24:24" ht="15.75" customHeight="1" x14ac:dyDescent="0.2">
      <c r="X823" s="244"/>
    </row>
    <row r="824" spans="24:24" ht="15.75" customHeight="1" x14ac:dyDescent="0.2">
      <c r="X824" s="244"/>
    </row>
    <row r="825" spans="24:24" ht="15.75" customHeight="1" x14ac:dyDescent="0.2">
      <c r="X825" s="244"/>
    </row>
    <row r="826" spans="24:24" ht="15.75" customHeight="1" x14ac:dyDescent="0.2">
      <c r="X826" s="244"/>
    </row>
    <row r="827" spans="24:24" ht="15.75" customHeight="1" x14ac:dyDescent="0.2">
      <c r="X827" s="244"/>
    </row>
    <row r="828" spans="24:24" ht="15.75" customHeight="1" x14ac:dyDescent="0.2">
      <c r="X828" s="244"/>
    </row>
    <row r="829" spans="24:24" ht="15.75" customHeight="1" x14ac:dyDescent="0.2">
      <c r="X829" s="244"/>
    </row>
    <row r="830" spans="24:24" ht="15.75" customHeight="1" x14ac:dyDescent="0.2">
      <c r="X830" s="244"/>
    </row>
    <row r="831" spans="24:24" ht="15.75" customHeight="1" x14ac:dyDescent="0.2">
      <c r="X831" s="244"/>
    </row>
    <row r="832" spans="24:24" ht="15.75" customHeight="1" x14ac:dyDescent="0.2">
      <c r="X832" s="244"/>
    </row>
    <row r="833" spans="24:24" ht="15.75" customHeight="1" x14ac:dyDescent="0.2">
      <c r="X833" s="244"/>
    </row>
    <row r="834" spans="24:24" ht="15.75" customHeight="1" x14ac:dyDescent="0.2">
      <c r="X834" s="244"/>
    </row>
    <row r="835" spans="24:24" ht="15.75" customHeight="1" x14ac:dyDescent="0.2">
      <c r="X835" s="244"/>
    </row>
    <row r="836" spans="24:24" ht="15.75" customHeight="1" x14ac:dyDescent="0.2">
      <c r="X836" s="244"/>
    </row>
    <row r="837" spans="24:24" ht="15.75" customHeight="1" x14ac:dyDescent="0.2">
      <c r="X837" s="244"/>
    </row>
    <row r="838" spans="24:24" ht="15.75" customHeight="1" x14ac:dyDescent="0.2">
      <c r="X838" s="244"/>
    </row>
    <row r="839" spans="24:24" ht="15.75" customHeight="1" x14ac:dyDescent="0.2">
      <c r="X839" s="244"/>
    </row>
    <row r="840" spans="24:24" ht="15.75" customHeight="1" x14ac:dyDescent="0.2">
      <c r="X840" s="244"/>
    </row>
    <row r="841" spans="24:24" ht="15.75" customHeight="1" x14ac:dyDescent="0.2">
      <c r="X841" s="244"/>
    </row>
    <row r="842" spans="24:24" ht="15.75" customHeight="1" x14ac:dyDescent="0.2">
      <c r="X842" s="244"/>
    </row>
    <row r="843" spans="24:24" ht="15.75" customHeight="1" x14ac:dyDescent="0.2">
      <c r="X843" s="244"/>
    </row>
    <row r="844" spans="24:24" ht="15.75" customHeight="1" x14ac:dyDescent="0.2">
      <c r="X844" s="244"/>
    </row>
    <row r="845" spans="24:24" ht="15.75" customHeight="1" x14ac:dyDescent="0.2">
      <c r="X845" s="244"/>
    </row>
    <row r="846" spans="24:24" ht="15.75" customHeight="1" x14ac:dyDescent="0.2">
      <c r="X846" s="244"/>
    </row>
    <row r="847" spans="24:24" ht="15.75" customHeight="1" x14ac:dyDescent="0.2">
      <c r="X847" s="244"/>
    </row>
    <row r="848" spans="24:24" ht="15.75" customHeight="1" x14ac:dyDescent="0.2">
      <c r="X848" s="244"/>
    </row>
    <row r="849" spans="24:24" ht="15.75" customHeight="1" x14ac:dyDescent="0.2">
      <c r="X849" s="244"/>
    </row>
    <row r="850" spans="24:24" ht="15.75" customHeight="1" x14ac:dyDescent="0.2">
      <c r="X850" s="244"/>
    </row>
    <row r="851" spans="24:24" ht="15.75" customHeight="1" x14ac:dyDescent="0.2">
      <c r="X851" s="244"/>
    </row>
    <row r="852" spans="24:24" ht="15.75" customHeight="1" x14ac:dyDescent="0.2">
      <c r="X852" s="244"/>
    </row>
    <row r="853" spans="24:24" ht="15.75" customHeight="1" x14ac:dyDescent="0.2">
      <c r="X853" s="244"/>
    </row>
    <row r="854" spans="24:24" ht="15.75" customHeight="1" x14ac:dyDescent="0.2">
      <c r="X854" s="244"/>
    </row>
    <row r="855" spans="24:24" ht="15.75" customHeight="1" x14ac:dyDescent="0.2">
      <c r="X855" s="244"/>
    </row>
    <row r="856" spans="24:24" ht="15.75" customHeight="1" x14ac:dyDescent="0.2">
      <c r="X856" s="244"/>
    </row>
    <row r="857" spans="24:24" ht="15.75" customHeight="1" x14ac:dyDescent="0.2">
      <c r="X857" s="244"/>
    </row>
    <row r="858" spans="24:24" ht="15.75" customHeight="1" x14ac:dyDescent="0.2">
      <c r="X858" s="244"/>
    </row>
    <row r="859" spans="24:24" ht="15.75" customHeight="1" x14ac:dyDescent="0.2">
      <c r="X859" s="244"/>
    </row>
    <row r="860" spans="24:24" ht="15.75" customHeight="1" x14ac:dyDescent="0.2">
      <c r="X860" s="244"/>
    </row>
    <row r="861" spans="24:24" ht="15.75" customHeight="1" x14ac:dyDescent="0.2">
      <c r="X861" s="244"/>
    </row>
    <row r="862" spans="24:24" ht="15.75" customHeight="1" x14ac:dyDescent="0.2">
      <c r="X862" s="244"/>
    </row>
    <row r="863" spans="24:24" ht="15.75" customHeight="1" x14ac:dyDescent="0.2">
      <c r="X863" s="244"/>
    </row>
    <row r="864" spans="24:24" ht="15.75" customHeight="1" x14ac:dyDescent="0.2">
      <c r="X864" s="244"/>
    </row>
    <row r="865" spans="24:24" ht="15.75" customHeight="1" x14ac:dyDescent="0.2">
      <c r="X865" s="244"/>
    </row>
    <row r="866" spans="24:24" ht="15.75" customHeight="1" x14ac:dyDescent="0.2">
      <c r="X866" s="244"/>
    </row>
    <row r="867" spans="24:24" ht="15.75" customHeight="1" x14ac:dyDescent="0.2">
      <c r="X867" s="244"/>
    </row>
    <row r="868" spans="24:24" ht="15.75" customHeight="1" x14ac:dyDescent="0.2">
      <c r="X868" s="244"/>
    </row>
    <row r="869" spans="24:24" ht="15.75" customHeight="1" x14ac:dyDescent="0.2">
      <c r="X869" s="244"/>
    </row>
    <row r="870" spans="24:24" ht="15.75" customHeight="1" x14ac:dyDescent="0.2">
      <c r="X870" s="244"/>
    </row>
    <row r="871" spans="24:24" ht="15.75" customHeight="1" x14ac:dyDescent="0.2">
      <c r="X871" s="244"/>
    </row>
    <row r="872" spans="24:24" ht="15.75" customHeight="1" x14ac:dyDescent="0.2">
      <c r="X872" s="244"/>
    </row>
    <row r="873" spans="24:24" ht="15.75" customHeight="1" x14ac:dyDescent="0.2">
      <c r="X873" s="244"/>
    </row>
    <row r="874" spans="24:24" ht="15.75" customHeight="1" x14ac:dyDescent="0.2">
      <c r="X874" s="244"/>
    </row>
    <row r="875" spans="24:24" ht="15.75" customHeight="1" x14ac:dyDescent="0.2">
      <c r="X875" s="244"/>
    </row>
    <row r="876" spans="24:24" ht="15.75" customHeight="1" x14ac:dyDescent="0.2">
      <c r="X876" s="244"/>
    </row>
    <row r="877" spans="24:24" ht="15.75" customHeight="1" x14ac:dyDescent="0.2">
      <c r="X877" s="244"/>
    </row>
    <row r="878" spans="24:24" ht="15.75" customHeight="1" x14ac:dyDescent="0.2">
      <c r="X878" s="244"/>
    </row>
    <row r="879" spans="24:24" ht="15.75" customHeight="1" x14ac:dyDescent="0.2">
      <c r="X879" s="244"/>
    </row>
    <row r="880" spans="24:24" ht="15.75" customHeight="1" x14ac:dyDescent="0.2">
      <c r="X880" s="244"/>
    </row>
    <row r="881" spans="24:24" ht="15.75" customHeight="1" x14ac:dyDescent="0.2">
      <c r="X881" s="244"/>
    </row>
    <row r="882" spans="24:24" ht="15.75" customHeight="1" x14ac:dyDescent="0.2">
      <c r="X882" s="244"/>
    </row>
    <row r="883" spans="24:24" ht="15.75" customHeight="1" x14ac:dyDescent="0.2">
      <c r="X883" s="244"/>
    </row>
    <row r="884" spans="24:24" ht="15.75" customHeight="1" x14ac:dyDescent="0.2">
      <c r="X884" s="244"/>
    </row>
    <row r="885" spans="24:24" ht="15.75" customHeight="1" x14ac:dyDescent="0.2">
      <c r="X885" s="244"/>
    </row>
    <row r="886" spans="24:24" ht="15.75" customHeight="1" x14ac:dyDescent="0.2">
      <c r="X886" s="244"/>
    </row>
    <row r="887" spans="24:24" ht="15.75" customHeight="1" x14ac:dyDescent="0.2">
      <c r="X887" s="244"/>
    </row>
    <row r="888" spans="24:24" ht="15.75" customHeight="1" x14ac:dyDescent="0.2">
      <c r="X888" s="244"/>
    </row>
    <row r="889" spans="24:24" ht="15.75" customHeight="1" x14ac:dyDescent="0.2">
      <c r="X889" s="244"/>
    </row>
    <row r="890" spans="24:24" ht="15.75" customHeight="1" x14ac:dyDescent="0.2">
      <c r="X890" s="244"/>
    </row>
    <row r="891" spans="24:24" ht="15.75" customHeight="1" x14ac:dyDescent="0.2">
      <c r="X891" s="244"/>
    </row>
    <row r="892" spans="24:24" ht="15.75" customHeight="1" x14ac:dyDescent="0.2">
      <c r="X892" s="244"/>
    </row>
    <row r="893" spans="24:24" ht="15.75" customHeight="1" x14ac:dyDescent="0.2">
      <c r="X893" s="244"/>
    </row>
    <row r="894" spans="24:24" ht="15.75" customHeight="1" x14ac:dyDescent="0.2">
      <c r="X894" s="244"/>
    </row>
    <row r="895" spans="24:24" ht="15.75" customHeight="1" x14ac:dyDescent="0.2">
      <c r="X895" s="244"/>
    </row>
    <row r="896" spans="24:24" ht="15.75" customHeight="1" x14ac:dyDescent="0.2">
      <c r="X896" s="244"/>
    </row>
    <row r="897" spans="24:24" ht="15.75" customHeight="1" x14ac:dyDescent="0.2">
      <c r="X897" s="244"/>
    </row>
    <row r="898" spans="24:24" ht="15.75" customHeight="1" x14ac:dyDescent="0.2">
      <c r="X898" s="244"/>
    </row>
    <row r="899" spans="24:24" ht="15.75" customHeight="1" x14ac:dyDescent="0.2">
      <c r="X899" s="244"/>
    </row>
    <row r="900" spans="24:24" ht="15.75" customHeight="1" x14ac:dyDescent="0.2">
      <c r="X900" s="244"/>
    </row>
    <row r="901" spans="24:24" ht="15.75" customHeight="1" x14ac:dyDescent="0.2">
      <c r="X901" s="244"/>
    </row>
    <row r="902" spans="24:24" ht="15.75" customHeight="1" x14ac:dyDescent="0.2">
      <c r="X902" s="244"/>
    </row>
    <row r="903" spans="24:24" ht="15.75" customHeight="1" x14ac:dyDescent="0.2">
      <c r="X903" s="244"/>
    </row>
    <row r="904" spans="24:24" ht="15.75" customHeight="1" x14ac:dyDescent="0.2">
      <c r="X904" s="244"/>
    </row>
    <row r="905" spans="24:24" ht="15.75" customHeight="1" x14ac:dyDescent="0.2">
      <c r="X905" s="244"/>
    </row>
    <row r="906" spans="24:24" ht="15.75" customHeight="1" x14ac:dyDescent="0.2">
      <c r="X906" s="244"/>
    </row>
    <row r="907" spans="24:24" ht="15.75" customHeight="1" x14ac:dyDescent="0.2">
      <c r="X907" s="244"/>
    </row>
    <row r="908" spans="24:24" ht="15.75" customHeight="1" x14ac:dyDescent="0.2">
      <c r="X908" s="244"/>
    </row>
    <row r="909" spans="24:24" ht="15.75" customHeight="1" x14ac:dyDescent="0.2">
      <c r="X909" s="244"/>
    </row>
    <row r="910" spans="24:24" ht="15.75" customHeight="1" x14ac:dyDescent="0.2">
      <c r="X910" s="244"/>
    </row>
    <row r="911" spans="24:24" ht="15.75" customHeight="1" x14ac:dyDescent="0.2">
      <c r="X911" s="244"/>
    </row>
    <row r="912" spans="24:24" ht="15.75" customHeight="1" x14ac:dyDescent="0.2">
      <c r="X912" s="244"/>
    </row>
    <row r="913" spans="24:24" ht="15.75" customHeight="1" x14ac:dyDescent="0.2">
      <c r="X913" s="244"/>
    </row>
    <row r="914" spans="24:24" ht="15.75" customHeight="1" x14ac:dyDescent="0.2">
      <c r="X914" s="244"/>
    </row>
    <row r="915" spans="24:24" ht="15.75" customHeight="1" x14ac:dyDescent="0.2">
      <c r="X915" s="244"/>
    </row>
    <row r="916" spans="24:24" ht="15.75" customHeight="1" x14ac:dyDescent="0.2">
      <c r="X916" s="244"/>
    </row>
    <row r="917" spans="24:24" ht="15.75" customHeight="1" x14ac:dyDescent="0.2">
      <c r="X917" s="244"/>
    </row>
    <row r="918" spans="24:24" ht="15.75" customHeight="1" x14ac:dyDescent="0.2">
      <c r="X918" s="244"/>
    </row>
    <row r="919" spans="24:24" ht="15.75" customHeight="1" x14ac:dyDescent="0.2">
      <c r="X919" s="244"/>
    </row>
    <row r="920" spans="24:24" ht="15.75" customHeight="1" x14ac:dyDescent="0.2">
      <c r="X920" s="244"/>
    </row>
    <row r="921" spans="24:24" ht="15.75" customHeight="1" x14ac:dyDescent="0.2">
      <c r="X921" s="244"/>
    </row>
    <row r="922" spans="24:24" ht="15.75" customHeight="1" x14ac:dyDescent="0.2">
      <c r="X922" s="244"/>
    </row>
    <row r="923" spans="24:24" ht="15.75" customHeight="1" x14ac:dyDescent="0.2">
      <c r="X923" s="244"/>
    </row>
    <row r="924" spans="24:24" ht="15.75" customHeight="1" x14ac:dyDescent="0.2">
      <c r="X924" s="244"/>
    </row>
    <row r="925" spans="24:24" ht="15.75" customHeight="1" x14ac:dyDescent="0.2">
      <c r="X925" s="244"/>
    </row>
    <row r="926" spans="24:24" ht="15.75" customHeight="1" x14ac:dyDescent="0.2">
      <c r="X926" s="244"/>
    </row>
    <row r="927" spans="24:24" ht="15.75" customHeight="1" x14ac:dyDescent="0.2">
      <c r="X927" s="244"/>
    </row>
    <row r="928" spans="24:24" ht="15.75" customHeight="1" x14ac:dyDescent="0.2">
      <c r="X928" s="244"/>
    </row>
    <row r="929" spans="24:24" ht="15.75" customHeight="1" x14ac:dyDescent="0.2">
      <c r="X929" s="244"/>
    </row>
    <row r="930" spans="24:24" ht="15.75" customHeight="1" x14ac:dyDescent="0.2">
      <c r="X930" s="244"/>
    </row>
    <row r="931" spans="24:24" ht="15.75" customHeight="1" x14ac:dyDescent="0.2">
      <c r="X931" s="244"/>
    </row>
    <row r="932" spans="24:24" ht="15.75" customHeight="1" x14ac:dyDescent="0.2">
      <c r="X932" s="244"/>
    </row>
    <row r="933" spans="24:24" ht="15.75" customHeight="1" x14ac:dyDescent="0.2">
      <c r="X933" s="244"/>
    </row>
    <row r="934" spans="24:24" ht="15.75" customHeight="1" x14ac:dyDescent="0.2">
      <c r="X934" s="244"/>
    </row>
    <row r="935" spans="24:24" ht="15.75" customHeight="1" x14ac:dyDescent="0.2">
      <c r="X935" s="244"/>
    </row>
    <row r="936" spans="24:24" ht="15.75" customHeight="1" x14ac:dyDescent="0.2">
      <c r="X936" s="244"/>
    </row>
    <row r="937" spans="24:24" ht="15.75" customHeight="1" x14ac:dyDescent="0.2">
      <c r="X937" s="244"/>
    </row>
    <row r="938" spans="24:24" ht="15.75" customHeight="1" x14ac:dyDescent="0.2">
      <c r="X938" s="244"/>
    </row>
    <row r="939" spans="24:24" ht="15.75" customHeight="1" x14ac:dyDescent="0.2">
      <c r="X939" s="244"/>
    </row>
    <row r="940" spans="24:24" ht="15.75" customHeight="1" x14ac:dyDescent="0.2">
      <c r="X940" s="244"/>
    </row>
    <row r="941" spans="24:24" ht="15.75" customHeight="1" x14ac:dyDescent="0.2">
      <c r="X941" s="244"/>
    </row>
    <row r="942" spans="24:24" ht="15.75" customHeight="1" x14ac:dyDescent="0.2">
      <c r="X942" s="244"/>
    </row>
    <row r="943" spans="24:24" ht="15.75" customHeight="1" x14ac:dyDescent="0.2">
      <c r="X943" s="244"/>
    </row>
    <row r="944" spans="24:24" ht="15.75" customHeight="1" x14ac:dyDescent="0.2">
      <c r="X944" s="244"/>
    </row>
    <row r="945" spans="24:24" ht="15.75" customHeight="1" x14ac:dyDescent="0.2">
      <c r="X945" s="244"/>
    </row>
    <row r="946" spans="24:24" ht="15.75" customHeight="1" x14ac:dyDescent="0.2">
      <c r="X946" s="244"/>
    </row>
    <row r="947" spans="24:24" ht="15.75" customHeight="1" x14ac:dyDescent="0.2">
      <c r="X947" s="244"/>
    </row>
    <row r="948" spans="24:24" ht="15.75" customHeight="1" x14ac:dyDescent="0.2">
      <c r="X948" s="244"/>
    </row>
    <row r="949" spans="24:24" ht="15.75" customHeight="1" x14ac:dyDescent="0.2">
      <c r="X949" s="244"/>
    </row>
    <row r="950" spans="24:24" ht="15.75" customHeight="1" x14ac:dyDescent="0.2">
      <c r="X950" s="244"/>
    </row>
    <row r="951" spans="24:24" ht="15.75" customHeight="1" x14ac:dyDescent="0.2">
      <c r="X951" s="244"/>
    </row>
    <row r="952" spans="24:24" ht="15.75" customHeight="1" x14ac:dyDescent="0.2">
      <c r="X952" s="244"/>
    </row>
    <row r="953" spans="24:24" ht="15.75" customHeight="1" x14ac:dyDescent="0.2">
      <c r="X953" s="244"/>
    </row>
    <row r="954" spans="24:24" ht="15.75" customHeight="1" x14ac:dyDescent="0.2">
      <c r="X954" s="244"/>
    </row>
    <row r="955" spans="24:24" ht="15.75" customHeight="1" x14ac:dyDescent="0.2">
      <c r="X955" s="244"/>
    </row>
    <row r="956" spans="24:24" ht="15.75" customHeight="1" x14ac:dyDescent="0.2">
      <c r="X956" s="244"/>
    </row>
    <row r="957" spans="24:24" ht="15.75" customHeight="1" x14ac:dyDescent="0.2">
      <c r="X957" s="244"/>
    </row>
    <row r="958" spans="24:24" ht="15.75" customHeight="1" x14ac:dyDescent="0.2">
      <c r="X958" s="244"/>
    </row>
    <row r="959" spans="24:24" ht="15.75" customHeight="1" x14ac:dyDescent="0.2">
      <c r="X959" s="244"/>
    </row>
    <row r="960" spans="24:24" ht="15.75" customHeight="1" x14ac:dyDescent="0.2">
      <c r="X960" s="244"/>
    </row>
    <row r="961" spans="24:24" ht="15.75" customHeight="1" x14ac:dyDescent="0.2">
      <c r="X961" s="244"/>
    </row>
    <row r="962" spans="24:24" ht="15.75" customHeight="1" x14ac:dyDescent="0.2">
      <c r="X962" s="244"/>
    </row>
    <row r="963" spans="24:24" ht="15.75" customHeight="1" x14ac:dyDescent="0.2">
      <c r="X963" s="244"/>
    </row>
    <row r="964" spans="24:24" ht="15.75" customHeight="1" x14ac:dyDescent="0.2">
      <c r="X964" s="244"/>
    </row>
    <row r="965" spans="24:24" ht="15.75" customHeight="1" x14ac:dyDescent="0.2">
      <c r="X965" s="244"/>
    </row>
    <row r="966" spans="24:24" ht="15.75" customHeight="1" x14ac:dyDescent="0.2">
      <c r="X966" s="244"/>
    </row>
    <row r="967" spans="24:24" ht="15.75" customHeight="1" x14ac:dyDescent="0.2">
      <c r="X967" s="244"/>
    </row>
    <row r="968" spans="24:24" ht="15.75" customHeight="1" x14ac:dyDescent="0.2">
      <c r="X968" s="244"/>
    </row>
    <row r="969" spans="24:24" ht="15.75" customHeight="1" x14ac:dyDescent="0.2">
      <c r="X969" s="244"/>
    </row>
    <row r="970" spans="24:24" ht="15.75" customHeight="1" x14ac:dyDescent="0.2">
      <c r="X970" s="244"/>
    </row>
    <row r="971" spans="24:24" ht="15.75" customHeight="1" x14ac:dyDescent="0.2">
      <c r="X971" s="244"/>
    </row>
    <row r="972" spans="24:24" ht="15.75" customHeight="1" x14ac:dyDescent="0.2">
      <c r="X972" s="244"/>
    </row>
    <row r="973" spans="24:24" ht="15.75" customHeight="1" x14ac:dyDescent="0.2">
      <c r="X973" s="244"/>
    </row>
    <row r="974" spans="24:24" ht="15.75" customHeight="1" x14ac:dyDescent="0.2">
      <c r="X974" s="244"/>
    </row>
    <row r="975" spans="24:24" ht="15.75" customHeight="1" x14ac:dyDescent="0.2">
      <c r="X975" s="244"/>
    </row>
    <row r="976" spans="24:24" ht="15.75" customHeight="1" x14ac:dyDescent="0.2">
      <c r="X976" s="244"/>
    </row>
    <row r="977" spans="24:24" ht="15.75" customHeight="1" x14ac:dyDescent="0.2">
      <c r="X977" s="244"/>
    </row>
    <row r="978" spans="24:24" ht="15.75" customHeight="1" x14ac:dyDescent="0.2">
      <c r="X978" s="244"/>
    </row>
    <row r="979" spans="24:24" ht="15.75" customHeight="1" x14ac:dyDescent="0.2">
      <c r="X979" s="244"/>
    </row>
    <row r="980" spans="24:24" ht="15.75" customHeight="1" x14ac:dyDescent="0.2">
      <c r="X980" s="244"/>
    </row>
    <row r="981" spans="24:24" ht="15.75" customHeight="1" x14ac:dyDescent="0.2">
      <c r="X981" s="244"/>
    </row>
    <row r="982" spans="24:24" ht="15.75" customHeight="1" x14ac:dyDescent="0.2">
      <c r="X982" s="244"/>
    </row>
    <row r="983" spans="24:24" ht="15.75" customHeight="1" x14ac:dyDescent="0.2">
      <c r="X983" s="244"/>
    </row>
    <row r="984" spans="24:24" ht="15.75" customHeight="1" x14ac:dyDescent="0.2">
      <c r="X984" s="244"/>
    </row>
    <row r="985" spans="24:24" ht="15.75" customHeight="1" x14ac:dyDescent="0.2">
      <c r="X985" s="244"/>
    </row>
    <row r="986" spans="24:24" ht="15.75" customHeight="1" x14ac:dyDescent="0.2">
      <c r="X986" s="244"/>
    </row>
    <row r="987" spans="24:24" ht="15.75" customHeight="1" x14ac:dyDescent="0.2">
      <c r="X987" s="244"/>
    </row>
    <row r="988" spans="24:24" ht="15.75" customHeight="1" x14ac:dyDescent="0.2">
      <c r="X988" s="244"/>
    </row>
    <row r="989" spans="24:24" ht="15.75" customHeight="1" x14ac:dyDescent="0.2">
      <c r="X989" s="244"/>
    </row>
    <row r="990" spans="24:24" ht="15.75" customHeight="1" x14ac:dyDescent="0.2">
      <c r="X990" s="244"/>
    </row>
    <row r="991" spans="24:24" ht="15.75" customHeight="1" x14ac:dyDescent="0.2">
      <c r="X991" s="244"/>
    </row>
    <row r="992" spans="24:24" ht="15.75" customHeight="1" x14ac:dyDescent="0.2">
      <c r="X992" s="244"/>
    </row>
  </sheetData>
  <mergeCells count="6">
    <mergeCell ref="A1:D4"/>
    <mergeCell ref="E1:T4"/>
    <mergeCell ref="U1:X2"/>
    <mergeCell ref="U3:X4"/>
    <mergeCell ref="A5:D5"/>
    <mergeCell ref="E5:X5"/>
  </mergeCells>
  <dataValidations count="1">
    <dataValidation type="list" allowBlank="1" showErrorMessage="1" sqref="E7:W8" xr:uid="{00000000-0002-0000-2600-000000000000}">
      <formula1>"SI,NO"</formula1>
    </dataValidation>
  </dataValidations>
  <pageMargins left="0.51181102362204722" right="0.70866141732283472" top="1.1417322834645669" bottom="0.74803149606299213" header="0" footer="0"/>
  <pageSetup orientation="landscape" r:id="rId1"/>
  <headerFooter>
    <oddHeader>&amp;C Matriz de Riesgos</oddHeader>
  </headerFooter>
  <colBreaks count="1" manualBreakCount="1">
    <brk id="4"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K963"/>
  <sheetViews>
    <sheetView showGridLines="0" topLeftCell="X1" zoomScale="85" zoomScaleNormal="85" workbookViewId="0">
      <selection activeCell="L17" sqref="L17"/>
    </sheetView>
  </sheetViews>
  <sheetFormatPr baseColWidth="10" defaultColWidth="12.625" defaultRowHeight="15" customHeight="1" x14ac:dyDescent="0.2"/>
  <cols>
    <col min="1" max="1" width="4.75" customWidth="1"/>
    <col min="2" max="2" width="18.125" customWidth="1"/>
    <col min="3" max="3" width="56.25" customWidth="1"/>
    <col min="4" max="4" width="26.25" style="103" customWidth="1"/>
    <col min="5" max="5" width="10.625" customWidth="1"/>
    <col min="6" max="6" width="17.25" customWidth="1"/>
    <col min="7" max="7" width="12.875" customWidth="1"/>
    <col min="8" max="8" width="5.375" customWidth="1"/>
    <col min="9" max="9" width="14" customWidth="1"/>
    <col min="10" max="10" width="12.75" customWidth="1"/>
    <col min="11" max="11" width="26.5" customWidth="1"/>
    <col min="12" max="12" width="58.25" customWidth="1"/>
    <col min="13" max="13" width="13.75" customWidth="1"/>
    <col min="14" max="14" width="15" customWidth="1"/>
    <col min="15" max="15" width="19.25" customWidth="1"/>
    <col min="16" max="16" width="18.875" customWidth="1"/>
    <col min="17" max="17" width="12" customWidth="1"/>
    <col min="18" max="18" width="12.625" customWidth="1"/>
    <col min="19" max="20" width="13.625" customWidth="1"/>
    <col min="21" max="21" width="17.5" customWidth="1"/>
    <col min="22" max="22" width="12.125" customWidth="1"/>
    <col min="23" max="23" width="13.875" customWidth="1"/>
    <col min="24" max="24" width="14.375" customWidth="1"/>
    <col min="25" max="25" width="35.75" customWidth="1"/>
    <col min="26" max="26" width="24.25" customWidth="1"/>
    <col min="27" max="28" width="10.875" customWidth="1"/>
    <col min="29" max="29" width="31.125" customWidth="1"/>
    <col min="30" max="33" width="22.5" customWidth="1"/>
    <col min="34" max="35" width="18.5" customWidth="1"/>
    <col min="36" max="36" width="39.5" customWidth="1"/>
    <col min="37" max="37" width="59.375" customWidth="1"/>
  </cols>
  <sheetData>
    <row r="1" spans="1:37" ht="14.25" x14ac:dyDescent="0.2">
      <c r="A1" s="975"/>
      <c r="B1" s="930"/>
      <c r="C1" s="931"/>
      <c r="D1" s="976" t="s">
        <v>55</v>
      </c>
      <c r="E1" s="930"/>
      <c r="F1" s="930"/>
      <c r="G1" s="930"/>
      <c r="H1" s="930"/>
      <c r="I1" s="930"/>
      <c r="J1" s="930"/>
      <c r="K1" s="930"/>
      <c r="L1" s="930"/>
      <c r="M1" s="930"/>
      <c r="N1" s="930"/>
      <c r="O1" s="930"/>
      <c r="P1" s="930"/>
      <c r="Q1" s="930"/>
      <c r="R1" s="930"/>
      <c r="S1" s="930"/>
      <c r="T1" s="930"/>
      <c r="U1" s="930"/>
      <c r="V1" s="930"/>
      <c r="W1" s="930"/>
      <c r="X1" s="930"/>
      <c r="Y1" s="930"/>
      <c r="Z1" s="930"/>
      <c r="AA1" s="930"/>
      <c r="AB1" s="930"/>
      <c r="AC1" s="930"/>
      <c r="AD1" s="930"/>
      <c r="AE1" s="930"/>
      <c r="AF1" s="930"/>
      <c r="AG1" s="930"/>
      <c r="AH1" s="930"/>
      <c r="AI1" s="930"/>
      <c r="AJ1" s="931"/>
      <c r="AK1" s="977" t="s">
        <v>35</v>
      </c>
    </row>
    <row r="2" spans="1:37" ht="14.25" x14ac:dyDescent="0.2">
      <c r="A2" s="932"/>
      <c r="B2" s="933"/>
      <c r="C2" s="934"/>
      <c r="D2" s="932"/>
      <c r="E2" s="933"/>
      <c r="F2" s="933"/>
      <c r="G2" s="933"/>
      <c r="H2" s="933"/>
      <c r="I2" s="933"/>
      <c r="J2" s="933"/>
      <c r="K2" s="933"/>
      <c r="L2" s="933"/>
      <c r="M2" s="933"/>
      <c r="N2" s="933"/>
      <c r="O2" s="933"/>
      <c r="P2" s="933"/>
      <c r="Q2" s="933"/>
      <c r="R2" s="933"/>
      <c r="S2" s="933"/>
      <c r="T2" s="933"/>
      <c r="U2" s="933"/>
      <c r="V2" s="933"/>
      <c r="W2" s="933"/>
      <c r="X2" s="933"/>
      <c r="Y2" s="933"/>
      <c r="Z2" s="933"/>
      <c r="AA2" s="933"/>
      <c r="AB2" s="933"/>
      <c r="AC2" s="933"/>
      <c r="AD2" s="933"/>
      <c r="AE2" s="933"/>
      <c r="AF2" s="933"/>
      <c r="AG2" s="933"/>
      <c r="AH2" s="933"/>
      <c r="AI2" s="933"/>
      <c r="AJ2" s="934"/>
      <c r="AK2" s="961"/>
    </row>
    <row r="3" spans="1:37" ht="14.25" x14ac:dyDescent="0.2">
      <c r="A3" s="932"/>
      <c r="B3" s="933"/>
      <c r="C3" s="934"/>
      <c r="D3" s="932"/>
      <c r="E3" s="933"/>
      <c r="F3" s="933"/>
      <c r="G3" s="933"/>
      <c r="H3" s="933"/>
      <c r="I3" s="933"/>
      <c r="J3" s="933"/>
      <c r="K3" s="933"/>
      <c r="L3" s="933"/>
      <c r="M3" s="933"/>
      <c r="N3" s="933"/>
      <c r="O3" s="933"/>
      <c r="P3" s="933"/>
      <c r="Q3" s="933"/>
      <c r="R3" s="933"/>
      <c r="S3" s="933"/>
      <c r="T3" s="933"/>
      <c r="U3" s="933"/>
      <c r="V3" s="933"/>
      <c r="W3" s="933"/>
      <c r="X3" s="933"/>
      <c r="Y3" s="933"/>
      <c r="Z3" s="933"/>
      <c r="AA3" s="933"/>
      <c r="AB3" s="933"/>
      <c r="AC3" s="933"/>
      <c r="AD3" s="933"/>
      <c r="AE3" s="933"/>
      <c r="AF3" s="933"/>
      <c r="AG3" s="933"/>
      <c r="AH3" s="933"/>
      <c r="AI3" s="933"/>
      <c r="AJ3" s="934"/>
      <c r="AK3" s="977" t="s">
        <v>56</v>
      </c>
    </row>
    <row r="4" spans="1:37" ht="14.25" x14ac:dyDescent="0.2">
      <c r="A4" s="935"/>
      <c r="B4" s="936"/>
      <c r="C4" s="937"/>
      <c r="D4" s="935"/>
      <c r="E4" s="936"/>
      <c r="F4" s="936"/>
      <c r="G4" s="936"/>
      <c r="H4" s="936"/>
      <c r="I4" s="936"/>
      <c r="J4" s="936"/>
      <c r="K4" s="936"/>
      <c r="L4" s="936"/>
      <c r="M4" s="936"/>
      <c r="N4" s="936"/>
      <c r="O4" s="936"/>
      <c r="P4" s="936"/>
      <c r="Q4" s="936"/>
      <c r="R4" s="936"/>
      <c r="S4" s="936"/>
      <c r="T4" s="936"/>
      <c r="U4" s="936"/>
      <c r="V4" s="936"/>
      <c r="W4" s="936"/>
      <c r="X4" s="936"/>
      <c r="Y4" s="936"/>
      <c r="Z4" s="936"/>
      <c r="AA4" s="936"/>
      <c r="AB4" s="936"/>
      <c r="AC4" s="936"/>
      <c r="AD4" s="936"/>
      <c r="AE4" s="936"/>
      <c r="AF4" s="936"/>
      <c r="AG4" s="936"/>
      <c r="AH4" s="936"/>
      <c r="AI4" s="936"/>
      <c r="AJ4" s="937"/>
      <c r="AK4" s="961"/>
    </row>
    <row r="5" spans="1:37" ht="18.75" customHeight="1" x14ac:dyDescent="0.25">
      <c r="A5" s="978" t="s">
        <v>57</v>
      </c>
      <c r="B5" s="973"/>
      <c r="C5" s="973"/>
      <c r="D5" s="973"/>
      <c r="E5" s="973"/>
      <c r="F5" s="973"/>
      <c r="G5" s="973"/>
      <c r="H5" s="973"/>
      <c r="I5" s="974"/>
      <c r="J5" s="105"/>
      <c r="K5" s="979" t="s">
        <v>58</v>
      </c>
      <c r="L5" s="973"/>
      <c r="M5" s="973"/>
      <c r="N5" s="973"/>
      <c r="O5" s="973"/>
      <c r="P5" s="974"/>
      <c r="Q5" s="980" t="s">
        <v>59</v>
      </c>
      <c r="R5" s="973"/>
      <c r="S5" s="973"/>
      <c r="T5" s="973"/>
      <c r="U5" s="973"/>
      <c r="V5" s="973"/>
      <c r="W5" s="973"/>
      <c r="X5" s="973"/>
      <c r="Y5" s="972" t="s">
        <v>60</v>
      </c>
      <c r="Z5" s="973"/>
      <c r="AA5" s="973"/>
      <c r="AB5" s="973"/>
      <c r="AC5" s="974"/>
      <c r="AD5" s="972" t="s">
        <v>61</v>
      </c>
      <c r="AE5" s="973"/>
      <c r="AF5" s="973"/>
      <c r="AG5" s="973"/>
      <c r="AH5" s="973"/>
      <c r="AI5" s="974"/>
      <c r="AJ5" s="106" t="s">
        <v>62</v>
      </c>
      <c r="AK5" s="106" t="s">
        <v>63</v>
      </c>
    </row>
    <row r="6" spans="1:37" ht="51" x14ac:dyDescent="0.2">
      <c r="A6" s="108" t="s">
        <v>44</v>
      </c>
      <c r="B6" s="108" t="s">
        <v>64</v>
      </c>
      <c r="C6" s="108" t="s">
        <v>65</v>
      </c>
      <c r="D6" s="107" t="s">
        <v>66</v>
      </c>
      <c r="E6" s="108" t="s">
        <v>67</v>
      </c>
      <c r="F6" s="108" t="s">
        <v>68</v>
      </c>
      <c r="G6" s="107" t="s">
        <v>69</v>
      </c>
      <c r="H6" s="107" t="s">
        <v>70</v>
      </c>
      <c r="I6" s="108" t="s">
        <v>71</v>
      </c>
      <c r="J6" s="108" t="s">
        <v>72</v>
      </c>
      <c r="K6" s="108" t="s">
        <v>73</v>
      </c>
      <c r="L6" s="108" t="s">
        <v>74</v>
      </c>
      <c r="M6" s="109" t="s">
        <v>75</v>
      </c>
      <c r="N6" s="108" t="s">
        <v>76</v>
      </c>
      <c r="O6" s="108" t="s">
        <v>77</v>
      </c>
      <c r="P6" s="108" t="s">
        <v>78</v>
      </c>
      <c r="Q6" s="108" t="s">
        <v>79</v>
      </c>
      <c r="R6" s="108" t="s">
        <v>80</v>
      </c>
      <c r="S6" s="108" t="s">
        <v>67</v>
      </c>
      <c r="T6" s="108" t="s">
        <v>70</v>
      </c>
      <c r="U6" s="108" t="s">
        <v>81</v>
      </c>
      <c r="V6" s="108" t="s">
        <v>82</v>
      </c>
      <c r="W6" s="108" t="s">
        <v>83</v>
      </c>
      <c r="X6" s="108" t="s">
        <v>84</v>
      </c>
      <c r="Y6" s="108" t="s">
        <v>85</v>
      </c>
      <c r="Z6" s="108" t="s">
        <v>86</v>
      </c>
      <c r="AA6" s="108" t="s">
        <v>87</v>
      </c>
      <c r="AB6" s="108" t="s">
        <v>88</v>
      </c>
      <c r="AC6" s="108" t="s">
        <v>89</v>
      </c>
      <c r="AD6" s="108" t="s">
        <v>90</v>
      </c>
      <c r="AE6" s="108" t="s">
        <v>91</v>
      </c>
      <c r="AF6" s="108" t="s">
        <v>92</v>
      </c>
      <c r="AG6" s="108" t="s">
        <v>91</v>
      </c>
      <c r="AH6" s="108" t="s">
        <v>93</v>
      </c>
      <c r="AI6" s="108" t="s">
        <v>91</v>
      </c>
      <c r="AJ6" s="108" t="s">
        <v>94</v>
      </c>
      <c r="AK6" s="108" t="s">
        <v>95</v>
      </c>
    </row>
    <row r="7" spans="1:37" ht="57" x14ac:dyDescent="0.2">
      <c r="A7" s="985">
        <f>'Identificación del Riesgo'!D9</f>
        <v>1</v>
      </c>
      <c r="B7" s="991" t="str">
        <f>'Identificación del Riesgo'!E9</f>
        <v>Inorportunidad en la expedicción de respuestas y certificados certificados.</v>
      </c>
      <c r="C7" s="991" t="str">
        <f>'Identificación del Riesgo'!H9</f>
        <v>-Falta de personal para la evaluación de solicitudes.
-Exceso de solicitudes.
-Falta de automatización en el procedimiento.
-Reprocesos por mala información y errado diligenciamiento de los formatos.
-Cambios normativos.</v>
      </c>
      <c r="D7" s="992" t="s">
        <v>210</v>
      </c>
      <c r="E7" s="985">
        <f>IF(D7="Selecciona un descriptor de frecuencia."," ",IF(D7="","",VLOOKUP(D7,Datos!$G$8:$J$12,2,FALSE)))</f>
        <v>3</v>
      </c>
      <c r="F7" s="985" t="str">
        <f>IF(D7="Selecciona un descriptor de frecuencia."," ",IF(D7="","",VLOOKUP(D7,Datos!$G$8:$J$12,3,FALSE)))</f>
        <v>Posible</v>
      </c>
      <c r="G7" s="992" t="s">
        <v>204</v>
      </c>
      <c r="H7" s="985">
        <f>IF(G7="Selecciona un descriptor de impacto."," ",IF(G7="","",VLOOKUP(G7,Datos!$K$8:$L$12,2,FALSE)))</f>
        <v>3</v>
      </c>
      <c r="I7" s="983" t="str">
        <f>IF(D7="Selecciona un descriptor de frecuencia."," ",IF(G7="Selecciona un descriptor de impacto."," ",IF(E7+H7=" ","",IF(E7="","",VLOOKUP(E7,Datos!$U$8:$Z$12,MATCH(H7,Datos!$V$7:$Z$7,0)+1,FALSE)))))</f>
        <v>ALTO</v>
      </c>
      <c r="J7" s="986" t="s">
        <v>122</v>
      </c>
      <c r="K7" s="121" t="s">
        <v>277</v>
      </c>
      <c r="L7" s="116" t="s">
        <v>278</v>
      </c>
      <c r="M7" s="111">
        <f>Controles!T9</f>
        <v>100</v>
      </c>
      <c r="N7" s="111" t="str">
        <f>Controles!AB9</f>
        <v>SI</v>
      </c>
      <c r="O7" s="112">
        <f>Controles!W9</f>
        <v>0</v>
      </c>
      <c r="P7" s="112">
        <f>Controles!X9</f>
        <v>1</v>
      </c>
      <c r="Q7" s="981">
        <f>SUM(O7:O12)</f>
        <v>5</v>
      </c>
      <c r="R7" s="981">
        <f t="shared" ref="R7" si="0">SUM(P7:P12)</f>
        <v>3</v>
      </c>
      <c r="S7" s="987">
        <f>IF(D7="Selecciona un descriptor de frecuencia."," ",IF(ROUNDUP(E7-Q7,0)&lt;0,1,ROUNDUP(E7-Q7,0)))</f>
        <v>1</v>
      </c>
      <c r="T7" s="987">
        <f>IF(G7="Selecciona un descriptor de impacto."," ",IF(ROUNDUP(H7-R7,0)&lt;=0,1,ROUNDUP(H7-R7,0)))</f>
        <v>1</v>
      </c>
      <c r="U7" s="981" t="str">
        <f>IF(D7="Selecciona un descriptor de frecuencia."," ",VLOOKUP(S7,Datos!$H$8:$I$12,2,FALSE))</f>
        <v>Rara vez</v>
      </c>
      <c r="V7" s="981" t="str">
        <f>IF(G7="Selecciona un descriptor de impacto."," ",VLOOKUP(T7,Datos!$L$8:$M$12,2,FALSE))</f>
        <v>Insignificante</v>
      </c>
      <c r="W7" s="983" t="str">
        <f>IF(S7=" "," ",VLOOKUP(S7,Datos!$U$8:$Z$12,MATCH(T7,Datos!$V$7:$Z$7,0)+1,FALSE))</f>
        <v>BAJO</v>
      </c>
      <c r="X7" s="984" t="s">
        <v>187</v>
      </c>
      <c r="Y7" s="110"/>
      <c r="Z7" s="113"/>
      <c r="AA7" s="114"/>
      <c r="AB7" s="114"/>
      <c r="AC7" s="113"/>
      <c r="AD7" s="115"/>
      <c r="AE7" s="115"/>
      <c r="AF7" s="115"/>
      <c r="AG7" s="115"/>
      <c r="AH7" s="115"/>
      <c r="AI7" s="115"/>
      <c r="AJ7" s="115"/>
      <c r="AK7" s="115"/>
    </row>
    <row r="8" spans="1:37" ht="101.25" customHeight="1" x14ac:dyDescent="0.2">
      <c r="A8" s="982"/>
      <c r="B8" s="982"/>
      <c r="C8" s="982"/>
      <c r="D8" s="993"/>
      <c r="E8" s="982"/>
      <c r="F8" s="982"/>
      <c r="G8" s="982"/>
      <c r="H8" s="982"/>
      <c r="I8" s="982"/>
      <c r="J8" s="982"/>
      <c r="K8" s="116" t="s">
        <v>275</v>
      </c>
      <c r="L8" s="120" t="s">
        <v>281</v>
      </c>
      <c r="M8" s="111">
        <f>Controles!T10</f>
        <v>100</v>
      </c>
      <c r="N8" s="111" t="str">
        <f>Controles!AB10</f>
        <v>No</v>
      </c>
      <c r="O8" s="112">
        <f>Controles!W10</f>
        <v>1</v>
      </c>
      <c r="P8" s="112">
        <f>Controles!X10</f>
        <v>0</v>
      </c>
      <c r="Q8" s="982"/>
      <c r="R8" s="982"/>
      <c r="S8" s="982"/>
      <c r="T8" s="982"/>
      <c r="U8" s="982"/>
      <c r="V8" s="982"/>
      <c r="W8" s="982"/>
      <c r="X8" s="982"/>
      <c r="Y8" s="110"/>
      <c r="Z8" s="113"/>
      <c r="AA8" s="114"/>
      <c r="AB8" s="114"/>
      <c r="AC8" s="113"/>
      <c r="AD8" s="115"/>
      <c r="AE8" s="115"/>
      <c r="AF8" s="115"/>
      <c r="AG8" s="115"/>
      <c r="AH8" s="115"/>
      <c r="AI8" s="115"/>
      <c r="AJ8" s="115"/>
      <c r="AK8" s="115"/>
    </row>
    <row r="9" spans="1:37" ht="78" customHeight="1" x14ac:dyDescent="0.2">
      <c r="A9" s="982"/>
      <c r="B9" s="982"/>
      <c r="C9" s="982"/>
      <c r="D9" s="993"/>
      <c r="E9" s="982"/>
      <c r="F9" s="982"/>
      <c r="G9" s="982"/>
      <c r="H9" s="982"/>
      <c r="I9" s="982"/>
      <c r="J9" s="982"/>
      <c r="K9" s="116" t="s">
        <v>279</v>
      </c>
      <c r="L9" s="116" t="s">
        <v>280</v>
      </c>
      <c r="M9" s="111">
        <f>Controles!T11</f>
        <v>100</v>
      </c>
      <c r="N9" s="111" t="str">
        <f>Controles!AB11</f>
        <v>No</v>
      </c>
      <c r="O9" s="112">
        <f>Controles!W11</f>
        <v>1</v>
      </c>
      <c r="P9" s="112">
        <f>Controles!X11</f>
        <v>1</v>
      </c>
      <c r="Q9" s="982"/>
      <c r="R9" s="982"/>
      <c r="S9" s="982"/>
      <c r="T9" s="982"/>
      <c r="U9" s="982"/>
      <c r="V9" s="982"/>
      <c r="W9" s="982"/>
      <c r="X9" s="982"/>
      <c r="Y9" s="110"/>
      <c r="Z9" s="113"/>
      <c r="AA9" s="114"/>
      <c r="AB9" s="114"/>
      <c r="AC9" s="113"/>
      <c r="AD9" s="115"/>
      <c r="AE9" s="115"/>
      <c r="AF9" s="115"/>
      <c r="AG9" s="115"/>
      <c r="AH9" s="115"/>
      <c r="AI9" s="115"/>
      <c r="AJ9" s="115"/>
      <c r="AK9" s="115"/>
    </row>
    <row r="10" spans="1:37" ht="85.5" x14ac:dyDescent="0.2">
      <c r="A10" s="982"/>
      <c r="B10" s="982"/>
      <c r="C10" s="982"/>
      <c r="D10" s="993"/>
      <c r="E10" s="982"/>
      <c r="F10" s="982"/>
      <c r="G10" s="982"/>
      <c r="H10" s="982"/>
      <c r="I10" s="982"/>
      <c r="J10" s="982"/>
      <c r="K10" s="116" t="s">
        <v>306</v>
      </c>
      <c r="L10" s="120" t="s">
        <v>287</v>
      </c>
      <c r="M10" s="111">
        <f>Controles!T13</f>
        <v>100</v>
      </c>
      <c r="N10" s="111" t="str">
        <f>Controles!AB13</f>
        <v>No</v>
      </c>
      <c r="O10" s="112">
        <f>Controles!W13</f>
        <v>1</v>
      </c>
      <c r="P10" s="112">
        <f>Controles!X13</f>
        <v>1</v>
      </c>
      <c r="Q10" s="982"/>
      <c r="R10" s="982"/>
      <c r="S10" s="982"/>
      <c r="T10" s="982"/>
      <c r="U10" s="982"/>
      <c r="V10" s="982"/>
      <c r="W10" s="982"/>
      <c r="X10" s="982"/>
      <c r="Y10" s="113"/>
      <c r="Z10" s="113"/>
      <c r="AA10" s="114"/>
      <c r="AB10" s="114"/>
      <c r="AC10" s="113"/>
      <c r="AD10" s="115"/>
      <c r="AE10" s="115"/>
      <c r="AF10" s="115"/>
      <c r="AG10" s="115"/>
      <c r="AH10" s="115"/>
      <c r="AI10" s="115"/>
      <c r="AJ10" s="115"/>
      <c r="AK10" s="115"/>
    </row>
    <row r="11" spans="1:37" ht="52.5" customHeight="1" x14ac:dyDescent="0.2">
      <c r="A11" s="982"/>
      <c r="B11" s="982"/>
      <c r="C11" s="982"/>
      <c r="D11" s="993"/>
      <c r="E11" s="982"/>
      <c r="F11" s="982"/>
      <c r="G11" s="982"/>
      <c r="H11" s="982"/>
      <c r="I11" s="982"/>
      <c r="J11" s="982"/>
      <c r="K11" s="117" t="s">
        <v>286</v>
      </c>
      <c r="L11" s="116" t="s">
        <v>288</v>
      </c>
      <c r="M11" s="111">
        <f>Controles!T14</f>
        <v>100</v>
      </c>
      <c r="N11" s="111" t="str">
        <f>Controles!AB14</f>
        <v>No</v>
      </c>
      <c r="O11" s="112">
        <f>Controles!W14</f>
        <v>1</v>
      </c>
      <c r="P11" s="112">
        <f>Controles!X14</f>
        <v>0</v>
      </c>
      <c r="Q11" s="982"/>
      <c r="R11" s="982"/>
      <c r="S11" s="982"/>
      <c r="T11" s="982"/>
      <c r="U11" s="982"/>
      <c r="V11" s="982"/>
      <c r="W11" s="982"/>
      <c r="X11" s="982"/>
      <c r="Y11" s="113"/>
      <c r="Z11" s="113"/>
      <c r="AA11" s="114"/>
      <c r="AB11" s="114"/>
      <c r="AC11" s="113"/>
      <c r="AD11" s="115"/>
      <c r="AE11" s="115"/>
      <c r="AF11" s="115"/>
      <c r="AG11" s="115"/>
      <c r="AH11" s="115"/>
      <c r="AI11" s="115"/>
      <c r="AJ11" s="115"/>
      <c r="AK11" s="115"/>
    </row>
    <row r="12" spans="1:37" ht="57" x14ac:dyDescent="0.2">
      <c r="A12" s="982"/>
      <c r="B12" s="982"/>
      <c r="C12" s="982"/>
      <c r="D12" s="993"/>
      <c r="E12" s="982"/>
      <c r="F12" s="982"/>
      <c r="G12" s="982"/>
      <c r="H12" s="982"/>
      <c r="I12" s="982"/>
      <c r="J12" s="982"/>
      <c r="K12" s="117" t="s">
        <v>289</v>
      </c>
      <c r="L12" s="116" t="s">
        <v>290</v>
      </c>
      <c r="M12" s="111">
        <f>Controles!T14</f>
        <v>100</v>
      </c>
      <c r="N12" s="111" t="str">
        <f>Controles!AB14</f>
        <v>No</v>
      </c>
      <c r="O12" s="112">
        <f>Controles!W14</f>
        <v>1</v>
      </c>
      <c r="P12" s="112">
        <f>Controles!X14</f>
        <v>0</v>
      </c>
      <c r="Q12" s="982"/>
      <c r="R12" s="982"/>
      <c r="S12" s="982"/>
      <c r="T12" s="982"/>
      <c r="U12" s="982"/>
      <c r="V12" s="982"/>
      <c r="W12" s="982"/>
      <c r="X12" s="982"/>
      <c r="Y12" s="113"/>
      <c r="Z12" s="113"/>
      <c r="AA12" s="114"/>
      <c r="AB12" s="114"/>
      <c r="AC12" s="113"/>
      <c r="AD12" s="115"/>
      <c r="AE12" s="115"/>
      <c r="AF12" s="115"/>
      <c r="AG12" s="115"/>
      <c r="AH12" s="115"/>
      <c r="AI12" s="115"/>
      <c r="AJ12" s="115"/>
      <c r="AK12" s="115"/>
    </row>
    <row r="13" spans="1:37" ht="128.25" x14ac:dyDescent="0.2">
      <c r="A13" s="988">
        <f>'Identificación del Riesgo'!D10</f>
        <v>2</v>
      </c>
      <c r="B13" s="988" t="str">
        <f>'Identificación del Riesgo'!E10</f>
        <v>Posibilidad de recibir o solicitar cualquier dadiva o beneficio a nombre propio o de terceros a través del manejo discrecional de las solicitudes</v>
      </c>
      <c r="C13" s="988" t="str">
        <f>'Identificación del Riesgo'!H10</f>
        <v>- Presion por parte de los solicitantes interesados en los beneficios tributarios.
-Instrucción indebida de un superior jerarquico en la entidad.
-Presion indebida por otras instancias de gobierno.
- Interacciones entre el evaluador y el solicitante generadas por inadecuada definición de los procesos.</v>
      </c>
      <c r="D13" s="1002" t="s">
        <v>210</v>
      </c>
      <c r="E13" s="1003">
        <f>IF(D13="Selecciona un descriptor de frecuencia."," ",IF(D13="","",VLOOKUP(D13,Datos!$G$8:$J$12,2,FALSE)))</f>
        <v>3</v>
      </c>
      <c r="F13" s="1003" t="str">
        <f>IF(D13="Selecciona un descriptor de frecuencia."," ",IF(D13="","",VLOOKUP(D13,Datos!$G$8:$J$12,3,FALSE)))</f>
        <v>Posible</v>
      </c>
      <c r="G13" s="1002" t="s">
        <v>199</v>
      </c>
      <c r="H13" s="988">
        <f>IF(G13="","",VLOOKUP(G13,Datos!$K$8:$L$12,2,FALSE))</f>
        <v>4</v>
      </c>
      <c r="I13" s="1006" t="str">
        <f>IF(D13="Selecciona un descriptor de frecuencia."," ",IF(G13="Selecciona un descriptor de impacto."," ",IF(E13+H13=" ","",IF(E13="","",VLOOKUP(E13,Datos!$U$8:$Z$12,MATCH(H13,Datos!$V$7:$Z$7,0)+1,FALSE)))))</f>
        <v>EXTREMO</v>
      </c>
      <c r="J13" s="1002" t="s">
        <v>122</v>
      </c>
      <c r="K13" s="117" t="s">
        <v>270</v>
      </c>
      <c r="L13" s="120" t="s">
        <v>271</v>
      </c>
      <c r="M13" s="111">
        <f>Controles!T15</f>
        <v>100</v>
      </c>
      <c r="N13" s="111" t="str">
        <f>Controles!AB15</f>
        <v>No</v>
      </c>
      <c r="O13" s="112">
        <f>Controles!W15</f>
        <v>1</v>
      </c>
      <c r="P13" s="112">
        <f>Controles!X15</f>
        <v>0</v>
      </c>
      <c r="Q13" s="1012">
        <f>SUM(O13:O17)</f>
        <v>3</v>
      </c>
      <c r="R13" s="1012">
        <f>SUM(P13:P16)</f>
        <v>1</v>
      </c>
      <c r="S13" s="994">
        <f>IF(D13="Selecciona un descriptor de frecuencia."," ",IF(ROUNDUP(E13-Q13,0)&lt;=0,1,ROUNDUP(E13-Q13,0)))</f>
        <v>1</v>
      </c>
      <c r="T13" s="994">
        <f>IF(G13="Selecciona un descriptor de impacto."," ",IF(ROUNDUP(H13-R13,0)&lt;0,1,ROUNDUP(H13-R13,0)))</f>
        <v>3</v>
      </c>
      <c r="U13" s="1009" t="str">
        <f>IF(D13="Selecciona un descriptor de frecuencia."," ",VLOOKUP(S13,Datos!$H$8:$I$12,2,FALSE))</f>
        <v>Rara vez</v>
      </c>
      <c r="V13" s="1009" t="str">
        <f>IF(G13="Selecciona un descriptor de impacto."," ",VLOOKUP(T13,Datos!$L$8:$M$12,2,FALSE))</f>
        <v>Moderado</v>
      </c>
      <c r="W13" s="1006" t="str">
        <f>IF(S13=" "," ",VLOOKUP(S13,Datos!$U$8:$Z$12,MATCH(T13,Datos!$V$7:$Z$7,0)+1,FALSE))</f>
        <v>MODERADO</v>
      </c>
      <c r="X13" s="999" t="s">
        <v>202</v>
      </c>
      <c r="Y13" s="117" t="s">
        <v>312</v>
      </c>
      <c r="Z13" s="113" t="s">
        <v>307</v>
      </c>
      <c r="AA13" s="125">
        <v>43844</v>
      </c>
      <c r="AB13" s="125">
        <v>44195</v>
      </c>
      <c r="AC13" s="117" t="s">
        <v>313</v>
      </c>
      <c r="AD13" s="118"/>
      <c r="AE13" s="118"/>
      <c r="AF13" s="118"/>
      <c r="AG13" s="118"/>
      <c r="AH13" s="118"/>
      <c r="AI13" s="118"/>
      <c r="AJ13" s="118"/>
      <c r="AK13" s="118"/>
    </row>
    <row r="14" spans="1:37" ht="71.25" x14ac:dyDescent="0.2">
      <c r="A14" s="989"/>
      <c r="B14" s="989"/>
      <c r="C14" s="989"/>
      <c r="D14" s="1000"/>
      <c r="E14" s="1004"/>
      <c r="F14" s="1004"/>
      <c r="G14" s="1000"/>
      <c r="H14" s="989"/>
      <c r="I14" s="1007"/>
      <c r="J14" s="1000"/>
      <c r="K14" s="116" t="s">
        <v>275</v>
      </c>
      <c r="L14" s="120" t="s">
        <v>272</v>
      </c>
      <c r="M14" s="111">
        <f>Controles!T16</f>
        <v>100</v>
      </c>
      <c r="N14" s="111" t="str">
        <f>Controles!AB16</f>
        <v>No</v>
      </c>
      <c r="O14" s="112">
        <f>Controles!W16</f>
        <v>1</v>
      </c>
      <c r="P14" s="112">
        <f>Controles!X16</f>
        <v>0</v>
      </c>
      <c r="Q14" s="1013"/>
      <c r="R14" s="1013"/>
      <c r="S14" s="995"/>
      <c r="T14" s="995"/>
      <c r="U14" s="1010"/>
      <c r="V14" s="1010"/>
      <c r="W14" s="1007"/>
      <c r="X14" s="1000"/>
      <c r="Y14" s="113"/>
      <c r="Z14" s="113"/>
      <c r="AA14" s="125"/>
      <c r="AB14" s="125"/>
      <c r="AC14" s="113"/>
      <c r="AD14" s="118"/>
      <c r="AE14" s="118"/>
      <c r="AF14" s="118"/>
      <c r="AG14" s="118"/>
      <c r="AH14" s="118"/>
      <c r="AI14" s="118"/>
      <c r="AJ14" s="118"/>
      <c r="AK14" s="118"/>
    </row>
    <row r="15" spans="1:37" ht="99.75" x14ac:dyDescent="0.2">
      <c r="A15" s="989"/>
      <c r="B15" s="989"/>
      <c r="C15" s="989"/>
      <c r="D15" s="1000"/>
      <c r="E15" s="1004"/>
      <c r="F15" s="1004"/>
      <c r="G15" s="1000"/>
      <c r="H15" s="989"/>
      <c r="I15" s="1007"/>
      <c r="J15" s="1000"/>
      <c r="K15" s="117" t="s">
        <v>274</v>
      </c>
      <c r="L15" s="120" t="s">
        <v>273</v>
      </c>
      <c r="M15" s="111">
        <f>Controles!T17</f>
        <v>100</v>
      </c>
      <c r="N15" s="111" t="str">
        <f>Controles!AB17</f>
        <v>SI</v>
      </c>
      <c r="O15" s="112">
        <f>Controles!W17</f>
        <v>0</v>
      </c>
      <c r="P15" s="112">
        <f>Controles!X17</f>
        <v>1</v>
      </c>
      <c r="Q15" s="1013"/>
      <c r="R15" s="1013"/>
      <c r="S15" s="995"/>
      <c r="T15" s="995"/>
      <c r="U15" s="1010"/>
      <c r="V15" s="1010"/>
      <c r="W15" s="1007"/>
      <c r="X15" s="1000"/>
      <c r="Y15" s="113"/>
      <c r="Z15" s="113"/>
      <c r="AA15" s="125"/>
      <c r="AB15" s="125"/>
      <c r="AC15" s="113"/>
      <c r="AD15" s="118"/>
      <c r="AE15" s="118"/>
      <c r="AF15" s="118"/>
      <c r="AG15" s="118"/>
      <c r="AH15" s="118"/>
      <c r="AI15" s="118"/>
      <c r="AJ15" s="118"/>
      <c r="AK15" s="118"/>
    </row>
    <row r="16" spans="1:37" ht="57" x14ac:dyDescent="0.2">
      <c r="A16" s="989"/>
      <c r="B16" s="989"/>
      <c r="C16" s="989"/>
      <c r="D16" s="1000"/>
      <c r="E16" s="1004"/>
      <c r="F16" s="1004"/>
      <c r="G16" s="1000"/>
      <c r="H16" s="989"/>
      <c r="I16" s="1007"/>
      <c r="J16" s="1000"/>
      <c r="K16" s="117" t="s">
        <v>283</v>
      </c>
      <c r="L16" s="120" t="s">
        <v>282</v>
      </c>
      <c r="M16" s="111">
        <f>Controles!T18</f>
        <v>100</v>
      </c>
      <c r="N16" s="111" t="str">
        <f>Controles!AB18</f>
        <v>No</v>
      </c>
      <c r="O16" s="112">
        <f>Controles!W18</f>
        <v>1</v>
      </c>
      <c r="P16" s="112">
        <f>Controles!X18</f>
        <v>0</v>
      </c>
      <c r="Q16" s="1013"/>
      <c r="R16" s="1013"/>
      <c r="S16" s="995"/>
      <c r="T16" s="995"/>
      <c r="U16" s="1010"/>
      <c r="V16" s="1010"/>
      <c r="W16" s="1007"/>
      <c r="X16" s="1000"/>
      <c r="Y16" s="110"/>
      <c r="Z16" s="113"/>
      <c r="AA16" s="114"/>
      <c r="AB16" s="114"/>
      <c r="AC16" s="113"/>
      <c r="AD16" s="118"/>
      <c r="AE16" s="118"/>
      <c r="AF16" s="118"/>
      <c r="AG16" s="118"/>
      <c r="AH16" s="118"/>
      <c r="AI16" s="118"/>
      <c r="AJ16" s="118"/>
      <c r="AK16" s="118"/>
    </row>
    <row r="17" spans="1:37" s="101" customFormat="1" ht="131.25" customHeight="1" x14ac:dyDescent="0.2">
      <c r="A17" s="990"/>
      <c r="B17" s="990"/>
      <c r="C17" s="990"/>
      <c r="D17" s="1001"/>
      <c r="E17" s="1005"/>
      <c r="F17" s="1005"/>
      <c r="G17" s="1001"/>
      <c r="H17" s="990"/>
      <c r="I17" s="1008"/>
      <c r="J17" s="1001"/>
      <c r="K17" s="117" t="s">
        <v>294</v>
      </c>
      <c r="L17" s="120" t="s">
        <v>295</v>
      </c>
      <c r="M17" s="111">
        <f>Controles!T19</f>
        <v>100</v>
      </c>
      <c r="N17" s="111" t="str">
        <f>Controles!AB19</f>
        <v>SI</v>
      </c>
      <c r="O17" s="112">
        <f>Controles!W19</f>
        <v>0</v>
      </c>
      <c r="P17" s="112">
        <f>Controles!X19</f>
        <v>0</v>
      </c>
      <c r="Q17" s="1014"/>
      <c r="R17" s="1014"/>
      <c r="S17" s="996"/>
      <c r="T17" s="996"/>
      <c r="U17" s="1011"/>
      <c r="V17" s="1011"/>
      <c r="W17" s="1008"/>
      <c r="X17" s="1001"/>
      <c r="Y17" s="110"/>
      <c r="Z17" s="113"/>
      <c r="AA17" s="114"/>
      <c r="AB17" s="114"/>
      <c r="AC17" s="113"/>
      <c r="AD17" s="118"/>
      <c r="AE17" s="118"/>
      <c r="AF17" s="118"/>
      <c r="AG17" s="118"/>
      <c r="AH17" s="118"/>
      <c r="AI17" s="118"/>
      <c r="AJ17" s="118"/>
      <c r="AK17" s="118"/>
    </row>
    <row r="18" spans="1:37" ht="128.25" x14ac:dyDescent="0.2">
      <c r="A18" s="997">
        <f>'Identificación del Riesgo'!D11</f>
        <v>3</v>
      </c>
      <c r="B18" s="991" t="str">
        <f>'Identificación del Riesgo'!E11</f>
        <v>Entrega errada de información relacionada a los beneficios tributarios.</v>
      </c>
      <c r="C18" s="991" t="str">
        <f>'Identificación del Riesgo'!H11</f>
        <v>- Falta de claridad y/o carencia de la politica y protocolos de atención al usuario.
- Inadecuada definición de los mecanismos de comunicación y atenión de las solicitudes.
- Incertidumbre en los tiempos de respuesta.
- Fallas de comunicación con los usuarios.
- Improvisación en la atención presonalizada de usuarios.
- Inadecuados tiempos de atención.</v>
      </c>
      <c r="D18" s="992" t="s">
        <v>196</v>
      </c>
      <c r="E18" s="985">
        <f>IF(D18="Selecciona un descriptor de frecuencia."," ",IF(D18="","",VLOOKUP(D18,Datos!$G$8:$J$12,2,FALSE)))</f>
        <v>4</v>
      </c>
      <c r="F18" s="985" t="str">
        <f>IF(D18="Selecciona un descriptor de frecuencia."," ",IF(D18="","",VLOOKUP(D18,Datos!$G$8:$J$12,3,FALSE)))</f>
        <v>Probable</v>
      </c>
      <c r="G18" s="992" t="s">
        <v>204</v>
      </c>
      <c r="H18" s="997">
        <f>IF(G18="","",VLOOKUP(G18,Datos!$K$8:$L$12,2,FALSE))</f>
        <v>3</v>
      </c>
      <c r="I18" s="983" t="str">
        <f>IF(D18="Selecciona un descriptor de frecuencia."," ",IF(G18="Selecciona un descriptor de impacto."," ",IF(E18+H18=" ","",IF(E18="","",VLOOKUP(E18,Datos!$U$8:$Z$12,MATCH(H18,Datos!$V$7:$Z$7,0)+1,FALSE)))))</f>
        <v>ALTO</v>
      </c>
      <c r="J18" s="992" t="s">
        <v>122</v>
      </c>
      <c r="K18" s="117" t="s">
        <v>285</v>
      </c>
      <c r="L18" s="116" t="s">
        <v>291</v>
      </c>
      <c r="M18" s="111">
        <f>Controles!T20</f>
        <v>100</v>
      </c>
      <c r="N18" s="111" t="str">
        <f>Controles!AB20</f>
        <v>No</v>
      </c>
      <c r="O18" s="112">
        <f>Controles!W20</f>
        <v>1</v>
      </c>
      <c r="P18" s="112">
        <f>Controles!X20</f>
        <v>0</v>
      </c>
      <c r="Q18" s="998">
        <f>SUM(O18:O20)</f>
        <v>2</v>
      </c>
      <c r="R18" s="998">
        <f>SUM(P18:P20)</f>
        <v>1</v>
      </c>
      <c r="S18" s="987">
        <f>IF(D18="Selecciona un descriptor de frecuencia."," ",IF(ROUNDUP(E18-Q18,0)&lt;=0,1,ROUNDUP(E18-Q18,0)))</f>
        <v>2</v>
      </c>
      <c r="T18" s="987">
        <f>IF(G18="Selecciona un descriptor de impacto."," ",IF(ROUNDUP(H18-R18,0)&lt;=0,1,ROUNDUP(H18-R18,0)))</f>
        <v>2</v>
      </c>
      <c r="U18" s="981" t="str">
        <f>IF(D18="Selecciona un descriptor de frecuencia."," ",VLOOKUP(S18,Datos!$H$8:$I$12,2,FALSE))</f>
        <v>Improbable</v>
      </c>
      <c r="V18" s="981" t="str">
        <f>IF(G18="Selecciona un descriptor de impacto."," ",VLOOKUP(T18,Datos!$L$8:$M$12,2,FALSE))</f>
        <v>Menor</v>
      </c>
      <c r="W18" s="983" t="str">
        <f>IF(S18=" "," ",VLOOKUP(S18,Datos!$U$8:$Z$12,MATCH(T18,Datos!$V$7:$Z$7,0)+1,FALSE))</f>
        <v>BAJO</v>
      </c>
      <c r="X18" s="992" t="s">
        <v>202</v>
      </c>
      <c r="Y18" s="117" t="s">
        <v>309</v>
      </c>
      <c r="Z18" s="113" t="s">
        <v>307</v>
      </c>
      <c r="AA18" s="125">
        <v>44088</v>
      </c>
      <c r="AB18" s="125">
        <v>44195</v>
      </c>
      <c r="AC18" s="117" t="s">
        <v>310</v>
      </c>
      <c r="AD18" s="118"/>
      <c r="AE18" s="118"/>
      <c r="AF18" s="118"/>
      <c r="AG18" s="118"/>
      <c r="AH18" s="118"/>
      <c r="AI18" s="118"/>
      <c r="AJ18" s="118"/>
      <c r="AK18" s="118"/>
    </row>
    <row r="19" spans="1:37" ht="99.75" x14ac:dyDescent="0.2">
      <c r="A19" s="982"/>
      <c r="B19" s="982"/>
      <c r="C19" s="982"/>
      <c r="D19" s="993"/>
      <c r="E19" s="982"/>
      <c r="F19" s="982"/>
      <c r="G19" s="982"/>
      <c r="H19" s="982"/>
      <c r="I19" s="982"/>
      <c r="J19" s="982"/>
      <c r="K19" s="117" t="s">
        <v>292</v>
      </c>
      <c r="L19" s="116" t="s">
        <v>293</v>
      </c>
      <c r="M19" s="111">
        <f>Controles!T21</f>
        <v>100</v>
      </c>
      <c r="N19" s="111" t="str">
        <f>Controles!AB21</f>
        <v>No</v>
      </c>
      <c r="O19" s="112">
        <f>Controles!W21</f>
        <v>1</v>
      </c>
      <c r="P19" s="112">
        <f>Controles!X21</f>
        <v>0</v>
      </c>
      <c r="Q19" s="982"/>
      <c r="R19" s="982"/>
      <c r="S19" s="982"/>
      <c r="T19" s="982"/>
      <c r="U19" s="982"/>
      <c r="V19" s="982"/>
      <c r="W19" s="982"/>
      <c r="X19" s="982"/>
      <c r="Y19" s="113" t="s">
        <v>308</v>
      </c>
      <c r="Z19" s="113" t="s">
        <v>307</v>
      </c>
      <c r="AA19" s="125">
        <v>44088</v>
      </c>
      <c r="AB19" s="125">
        <v>44195</v>
      </c>
      <c r="AC19" s="117" t="s">
        <v>311</v>
      </c>
      <c r="AD19" s="118"/>
      <c r="AE19" s="118"/>
      <c r="AF19" s="118"/>
      <c r="AG19" s="118"/>
      <c r="AH19" s="118"/>
      <c r="AI19" s="118"/>
      <c r="AJ19" s="118"/>
      <c r="AK19" s="118"/>
    </row>
    <row r="20" spans="1:37" ht="54.75" customHeight="1" x14ac:dyDescent="0.2">
      <c r="A20" s="982"/>
      <c r="B20" s="982"/>
      <c r="C20" s="982"/>
      <c r="D20" s="993"/>
      <c r="E20" s="982"/>
      <c r="F20" s="982"/>
      <c r="G20" s="982"/>
      <c r="H20" s="982"/>
      <c r="I20" s="982"/>
      <c r="J20" s="982"/>
      <c r="K20" s="117" t="s">
        <v>286</v>
      </c>
      <c r="L20" s="116" t="s">
        <v>288</v>
      </c>
      <c r="M20" s="111">
        <f>Controles!T22</f>
        <v>100</v>
      </c>
      <c r="N20" s="111" t="str">
        <f>Controles!AB22</f>
        <v>SI</v>
      </c>
      <c r="O20" s="112">
        <f>Controles!W22</f>
        <v>0</v>
      </c>
      <c r="P20" s="112">
        <f>Controles!X22</f>
        <v>1</v>
      </c>
      <c r="Q20" s="982"/>
      <c r="R20" s="982"/>
      <c r="S20" s="982"/>
      <c r="T20" s="982"/>
      <c r="U20" s="982"/>
      <c r="V20" s="982"/>
      <c r="W20" s="982"/>
      <c r="X20" s="982"/>
      <c r="Y20" s="113"/>
      <c r="Z20" s="113"/>
      <c r="AA20" s="114"/>
      <c r="AB20" s="114"/>
      <c r="AC20" s="113"/>
      <c r="AD20" s="118"/>
      <c r="AE20" s="118"/>
      <c r="AF20" s="118"/>
      <c r="AG20" s="118"/>
      <c r="AH20" s="118"/>
      <c r="AI20" s="118"/>
      <c r="AJ20" s="118"/>
      <c r="AK20" s="118"/>
    </row>
    <row r="21" spans="1:37" ht="15.75" customHeight="1" x14ac:dyDescent="0.25">
      <c r="A21" s="24"/>
      <c r="C21" s="26"/>
      <c r="D21" s="104"/>
      <c r="E21" s="24"/>
      <c r="F21" s="24"/>
      <c r="G21" s="24"/>
      <c r="H21" s="24"/>
      <c r="K21" s="27"/>
      <c r="S21" s="24"/>
    </row>
    <row r="22" spans="1:37" ht="15.75" customHeight="1" x14ac:dyDescent="0.25">
      <c r="A22" s="24"/>
      <c r="C22" s="26"/>
      <c r="D22" s="104"/>
      <c r="E22" s="24"/>
      <c r="F22" s="24"/>
      <c r="G22" s="24"/>
      <c r="H22" s="24"/>
      <c r="K22" s="27"/>
      <c r="S22" s="24"/>
    </row>
    <row r="23" spans="1:37" ht="15.75" customHeight="1" x14ac:dyDescent="0.25">
      <c r="A23" s="24"/>
      <c r="C23" s="26"/>
      <c r="D23" s="104"/>
      <c r="E23" s="24"/>
      <c r="F23" s="24"/>
      <c r="G23" s="24"/>
      <c r="H23" s="24"/>
      <c r="K23" s="27"/>
      <c r="S23" s="24"/>
    </row>
    <row r="24" spans="1:37" ht="15.75" customHeight="1" x14ac:dyDescent="0.25">
      <c r="A24" s="24"/>
      <c r="C24" s="26"/>
      <c r="D24" s="104"/>
      <c r="E24" s="24"/>
      <c r="F24" s="24"/>
      <c r="G24" s="24"/>
      <c r="H24" s="24"/>
      <c r="K24" s="27"/>
      <c r="S24" s="24"/>
    </row>
    <row r="25" spans="1:37" ht="15.75" customHeight="1" x14ac:dyDescent="0.25">
      <c r="A25" s="24"/>
      <c r="C25" s="26"/>
      <c r="D25" s="104"/>
      <c r="E25" s="24"/>
      <c r="F25" s="24"/>
      <c r="G25" s="24"/>
      <c r="H25" s="24"/>
      <c r="K25" s="27"/>
      <c r="S25" s="24"/>
    </row>
    <row r="26" spans="1:37" ht="15.75" customHeight="1" x14ac:dyDescent="0.25">
      <c r="A26" s="24"/>
      <c r="C26" s="26"/>
      <c r="D26" s="104"/>
      <c r="E26" s="24"/>
      <c r="F26" s="24"/>
      <c r="G26" s="24"/>
      <c r="H26" s="24"/>
      <c r="K26" s="27"/>
      <c r="S26" s="24"/>
    </row>
    <row r="27" spans="1:37" ht="15.75" customHeight="1" x14ac:dyDescent="0.25">
      <c r="A27" s="24"/>
      <c r="C27" s="26"/>
      <c r="D27" s="104"/>
      <c r="E27" s="24"/>
      <c r="F27" s="24"/>
      <c r="G27" s="24"/>
      <c r="H27" s="24"/>
      <c r="K27" s="27"/>
      <c r="S27" s="24"/>
    </row>
    <row r="28" spans="1:37" ht="15.75" customHeight="1" x14ac:dyDescent="0.25">
      <c r="A28" s="24"/>
      <c r="C28" s="26"/>
      <c r="D28" s="104"/>
      <c r="E28" s="24"/>
      <c r="F28" s="24"/>
      <c r="G28" s="24"/>
      <c r="H28" s="24"/>
      <c r="K28" s="27"/>
      <c r="S28" s="24"/>
    </row>
    <row r="29" spans="1:37" ht="15.75" customHeight="1" x14ac:dyDescent="0.25">
      <c r="A29" s="24"/>
      <c r="C29" s="26"/>
      <c r="D29" s="104"/>
      <c r="E29" s="24"/>
      <c r="F29" s="24"/>
      <c r="G29" s="24"/>
      <c r="H29" s="24"/>
      <c r="K29" s="27"/>
      <c r="S29" s="24"/>
    </row>
    <row r="30" spans="1:37" ht="15.75" customHeight="1" x14ac:dyDescent="0.25">
      <c r="A30" s="24"/>
      <c r="C30" s="26"/>
      <c r="D30" s="104"/>
      <c r="E30" s="24"/>
      <c r="F30" s="24"/>
      <c r="G30" s="24"/>
      <c r="H30" s="24"/>
      <c r="K30" s="27"/>
      <c r="S30" s="24"/>
    </row>
    <row r="31" spans="1:37" ht="15.75" customHeight="1" x14ac:dyDescent="0.25">
      <c r="A31" s="24"/>
      <c r="C31" s="26"/>
      <c r="D31" s="104"/>
      <c r="E31" s="24"/>
      <c r="F31" s="24"/>
      <c r="G31" s="24"/>
      <c r="H31" s="24"/>
      <c r="K31" s="27"/>
      <c r="S31" s="24"/>
    </row>
    <row r="32" spans="1:37" ht="15.75" customHeight="1" x14ac:dyDescent="0.25">
      <c r="A32" s="24"/>
      <c r="C32" s="26"/>
      <c r="D32" s="104"/>
      <c r="E32" s="24"/>
      <c r="F32" s="24"/>
      <c r="G32" s="24"/>
      <c r="H32" s="24"/>
      <c r="K32" s="27"/>
      <c r="S32" s="24"/>
    </row>
    <row r="33" spans="1:19" ht="15.75" customHeight="1" x14ac:dyDescent="0.25">
      <c r="A33" s="24"/>
      <c r="C33" s="26"/>
      <c r="D33" s="104"/>
      <c r="E33" s="24"/>
      <c r="F33" s="24"/>
      <c r="G33" s="24"/>
      <c r="H33" s="24"/>
      <c r="K33" s="27"/>
      <c r="S33" s="24"/>
    </row>
    <row r="34" spans="1:19" ht="15.75" customHeight="1" x14ac:dyDescent="0.25">
      <c r="A34" s="24"/>
      <c r="C34" s="26"/>
      <c r="D34" s="104"/>
      <c r="E34" s="24"/>
      <c r="F34" s="24"/>
      <c r="G34" s="24"/>
      <c r="H34" s="24"/>
      <c r="K34" s="27"/>
      <c r="S34" s="24"/>
    </row>
    <row r="35" spans="1:19" ht="15.75" customHeight="1" x14ac:dyDescent="0.25">
      <c r="A35" s="24"/>
      <c r="C35" s="26"/>
      <c r="D35" s="104"/>
      <c r="E35" s="24"/>
      <c r="F35" s="24"/>
      <c r="G35" s="24"/>
      <c r="H35" s="24"/>
      <c r="K35" s="27"/>
      <c r="S35" s="24"/>
    </row>
    <row r="36" spans="1:19" ht="15.75" customHeight="1" x14ac:dyDescent="0.25">
      <c r="A36" s="24"/>
      <c r="C36" s="26"/>
      <c r="D36" s="104"/>
      <c r="E36" s="24"/>
      <c r="F36" s="24"/>
      <c r="G36" s="24"/>
      <c r="H36" s="24"/>
      <c r="K36" s="27"/>
      <c r="S36" s="24"/>
    </row>
    <row r="37" spans="1:19" ht="15.75" customHeight="1" x14ac:dyDescent="0.25">
      <c r="A37" s="24"/>
      <c r="C37" s="26"/>
      <c r="D37" s="104"/>
      <c r="E37" s="24"/>
      <c r="F37" s="24"/>
      <c r="G37" s="24"/>
      <c r="H37" s="24"/>
      <c r="K37" s="27"/>
      <c r="S37" s="24"/>
    </row>
    <row r="38" spans="1:19" ht="15.75" customHeight="1" x14ac:dyDescent="0.25">
      <c r="A38" s="24"/>
      <c r="C38" s="26"/>
      <c r="D38" s="104"/>
      <c r="E38" s="24"/>
      <c r="F38" s="24"/>
      <c r="G38" s="24"/>
      <c r="H38" s="24"/>
      <c r="K38" s="27"/>
      <c r="S38" s="24"/>
    </row>
    <row r="39" spans="1:19" ht="15.75" customHeight="1" x14ac:dyDescent="0.25">
      <c r="A39" s="24"/>
      <c r="C39" s="26"/>
      <c r="D39" s="104"/>
      <c r="E39" s="24"/>
      <c r="F39" s="24"/>
      <c r="G39" s="24"/>
      <c r="H39" s="24"/>
      <c r="K39" s="27"/>
      <c r="S39" s="24"/>
    </row>
    <row r="40" spans="1:19" ht="15.75" customHeight="1" x14ac:dyDescent="0.25">
      <c r="A40" s="24"/>
      <c r="C40" s="26"/>
      <c r="D40" s="104"/>
      <c r="E40" s="24"/>
      <c r="F40" s="24"/>
      <c r="G40" s="24"/>
      <c r="H40" s="24"/>
      <c r="K40" s="27"/>
      <c r="S40" s="24"/>
    </row>
    <row r="41" spans="1:19" ht="15.75" customHeight="1" x14ac:dyDescent="0.25">
      <c r="A41" s="24"/>
      <c r="C41" s="26"/>
      <c r="D41" s="104"/>
      <c r="E41" s="24"/>
      <c r="F41" s="24"/>
      <c r="G41" s="24"/>
      <c r="H41" s="24"/>
      <c r="K41" s="27"/>
      <c r="S41" s="24"/>
    </row>
    <row r="42" spans="1:19" ht="15.75" customHeight="1" x14ac:dyDescent="0.25">
      <c r="A42" s="24"/>
      <c r="C42" s="26"/>
      <c r="D42" s="104"/>
      <c r="E42" s="24"/>
      <c r="F42" s="24"/>
      <c r="G42" s="24"/>
      <c r="H42" s="24"/>
      <c r="K42" s="27"/>
      <c r="S42" s="24"/>
    </row>
    <row r="43" spans="1:19" ht="15.75" customHeight="1" x14ac:dyDescent="0.25">
      <c r="A43" s="24"/>
      <c r="C43" s="26"/>
      <c r="D43" s="104"/>
      <c r="E43" s="24"/>
      <c r="F43" s="24"/>
      <c r="G43" s="24"/>
      <c r="H43" s="24"/>
      <c r="K43" s="27"/>
      <c r="S43" s="24"/>
    </row>
    <row r="44" spans="1:19" ht="15.75" customHeight="1" x14ac:dyDescent="0.25">
      <c r="A44" s="24"/>
      <c r="C44" s="26"/>
      <c r="D44" s="104"/>
      <c r="E44" s="24"/>
      <c r="F44" s="24"/>
      <c r="G44" s="24"/>
      <c r="H44" s="24"/>
      <c r="K44" s="27"/>
      <c r="S44" s="24"/>
    </row>
    <row r="45" spans="1:19" ht="15.75" customHeight="1" x14ac:dyDescent="0.25">
      <c r="A45" s="24"/>
      <c r="C45" s="26"/>
      <c r="D45" s="104"/>
      <c r="E45" s="24"/>
      <c r="F45" s="24"/>
      <c r="G45" s="24"/>
      <c r="H45" s="24"/>
      <c r="K45" s="27"/>
      <c r="S45" s="24"/>
    </row>
    <row r="46" spans="1:19" ht="15.75" customHeight="1" x14ac:dyDescent="0.25">
      <c r="A46" s="24"/>
      <c r="C46" s="26"/>
      <c r="D46" s="104"/>
      <c r="E46" s="24"/>
      <c r="F46" s="24"/>
      <c r="G46" s="24"/>
      <c r="H46" s="24"/>
      <c r="K46" s="27"/>
      <c r="S46" s="24"/>
    </row>
    <row r="47" spans="1:19" ht="15.75" customHeight="1" x14ac:dyDescent="0.25">
      <c r="A47" s="24"/>
      <c r="C47" s="26"/>
      <c r="D47" s="104"/>
      <c r="E47" s="24"/>
      <c r="F47" s="24"/>
      <c r="G47" s="24"/>
      <c r="H47" s="24"/>
      <c r="K47" s="27"/>
      <c r="S47" s="24"/>
    </row>
    <row r="48" spans="1:19" ht="15.75" customHeight="1" x14ac:dyDescent="0.25">
      <c r="A48" s="24"/>
      <c r="C48" s="26"/>
      <c r="D48" s="104"/>
      <c r="E48" s="24"/>
      <c r="F48" s="24"/>
      <c r="G48" s="24"/>
      <c r="H48" s="24"/>
      <c r="K48" s="27"/>
      <c r="S48" s="24"/>
    </row>
    <row r="49" spans="1:19" ht="15.75" customHeight="1" x14ac:dyDescent="0.25">
      <c r="A49" s="24"/>
      <c r="C49" s="26"/>
      <c r="D49" s="104"/>
      <c r="E49" s="24"/>
      <c r="F49" s="24"/>
      <c r="G49" s="24"/>
      <c r="H49" s="24"/>
      <c r="K49" s="27"/>
      <c r="S49" s="24"/>
    </row>
    <row r="50" spans="1:19" ht="15.75" customHeight="1" x14ac:dyDescent="0.25">
      <c r="A50" s="24"/>
      <c r="C50" s="26"/>
      <c r="D50" s="104"/>
      <c r="E50" s="24"/>
      <c r="F50" s="24"/>
      <c r="G50" s="24"/>
      <c r="H50" s="24"/>
      <c r="K50" s="27"/>
      <c r="S50" s="24"/>
    </row>
    <row r="51" spans="1:19" ht="15.75" customHeight="1" x14ac:dyDescent="0.25">
      <c r="A51" s="24"/>
      <c r="C51" s="26"/>
      <c r="D51" s="104"/>
      <c r="E51" s="24"/>
      <c r="F51" s="24"/>
      <c r="G51" s="24"/>
      <c r="H51" s="24"/>
      <c r="K51" s="27"/>
      <c r="S51" s="24"/>
    </row>
    <row r="52" spans="1:19" ht="15.75" customHeight="1" x14ac:dyDescent="0.25">
      <c r="A52" s="24"/>
      <c r="C52" s="26"/>
      <c r="D52" s="104"/>
      <c r="E52" s="24"/>
      <c r="F52" s="24"/>
      <c r="G52" s="24"/>
      <c r="H52" s="24"/>
      <c r="K52" s="27"/>
      <c r="S52" s="24"/>
    </row>
    <row r="53" spans="1:19" ht="15.75" customHeight="1" x14ac:dyDescent="0.25">
      <c r="A53" s="24"/>
      <c r="C53" s="26"/>
      <c r="D53" s="104"/>
      <c r="E53" s="24"/>
      <c r="F53" s="24"/>
      <c r="G53" s="24"/>
      <c r="H53" s="24"/>
      <c r="K53" s="27"/>
      <c r="S53" s="24"/>
    </row>
    <row r="54" spans="1:19" ht="15.75" customHeight="1" x14ac:dyDescent="0.25">
      <c r="A54" s="24"/>
      <c r="C54" s="26"/>
      <c r="D54" s="104"/>
      <c r="E54" s="24"/>
      <c r="F54" s="24"/>
      <c r="G54" s="24"/>
      <c r="H54" s="24"/>
      <c r="K54" s="27"/>
      <c r="S54" s="24"/>
    </row>
    <row r="55" spans="1:19" ht="15.75" customHeight="1" x14ac:dyDescent="0.25">
      <c r="A55" s="24"/>
      <c r="C55" s="26"/>
      <c r="D55" s="104"/>
      <c r="E55" s="24"/>
      <c r="F55" s="24"/>
      <c r="G55" s="24"/>
      <c r="H55" s="24"/>
      <c r="K55" s="27"/>
      <c r="S55" s="24"/>
    </row>
    <row r="56" spans="1:19" ht="15.75" customHeight="1" x14ac:dyDescent="0.25">
      <c r="A56" s="24"/>
      <c r="C56" s="26"/>
      <c r="D56" s="104"/>
      <c r="E56" s="24"/>
      <c r="F56" s="24"/>
      <c r="G56" s="24"/>
      <c r="H56" s="24"/>
      <c r="K56" s="27"/>
      <c r="S56" s="24"/>
    </row>
    <row r="57" spans="1:19" ht="15.75" customHeight="1" x14ac:dyDescent="0.25">
      <c r="A57" s="24"/>
      <c r="C57" s="26"/>
      <c r="D57" s="104"/>
      <c r="E57" s="24"/>
      <c r="F57" s="24"/>
      <c r="G57" s="24"/>
      <c r="H57" s="24"/>
      <c r="K57" s="27"/>
      <c r="S57" s="24"/>
    </row>
    <row r="58" spans="1:19" ht="15.75" customHeight="1" x14ac:dyDescent="0.25">
      <c r="A58" s="24"/>
      <c r="C58" s="26"/>
      <c r="D58" s="104"/>
      <c r="E58" s="24"/>
      <c r="F58" s="24"/>
      <c r="G58" s="24"/>
      <c r="H58" s="24"/>
      <c r="K58" s="27"/>
      <c r="S58" s="24"/>
    </row>
    <row r="59" spans="1:19" ht="15.75" customHeight="1" x14ac:dyDescent="0.25">
      <c r="A59" s="24"/>
      <c r="C59" s="26"/>
      <c r="D59" s="104"/>
      <c r="E59" s="24"/>
      <c r="F59" s="24"/>
      <c r="G59" s="24"/>
      <c r="H59" s="24"/>
      <c r="K59" s="27"/>
      <c r="S59" s="24"/>
    </row>
    <row r="60" spans="1:19" ht="15.75" customHeight="1" x14ac:dyDescent="0.25">
      <c r="A60" s="24"/>
      <c r="C60" s="26"/>
      <c r="D60" s="104"/>
      <c r="E60" s="24"/>
      <c r="F60" s="24"/>
      <c r="G60" s="24"/>
      <c r="H60" s="24"/>
      <c r="K60" s="27"/>
      <c r="S60" s="24"/>
    </row>
    <row r="61" spans="1:19" ht="15.75" customHeight="1" x14ac:dyDescent="0.25">
      <c r="A61" s="24"/>
      <c r="C61" s="26"/>
      <c r="D61" s="104"/>
      <c r="E61" s="24"/>
      <c r="F61" s="24"/>
      <c r="G61" s="24"/>
      <c r="H61" s="24"/>
      <c r="K61" s="27"/>
      <c r="S61" s="24"/>
    </row>
    <row r="62" spans="1:19" ht="15.75" customHeight="1" x14ac:dyDescent="0.25">
      <c r="A62" s="24"/>
      <c r="C62" s="26"/>
      <c r="D62" s="104"/>
      <c r="E62" s="24"/>
      <c r="F62" s="24"/>
      <c r="G62" s="24"/>
      <c r="H62" s="24"/>
      <c r="K62" s="27"/>
      <c r="S62" s="24"/>
    </row>
    <row r="63" spans="1:19" ht="15.75" customHeight="1" x14ac:dyDescent="0.25">
      <c r="A63" s="24"/>
      <c r="C63" s="26"/>
      <c r="D63" s="104"/>
      <c r="E63" s="24"/>
      <c r="F63" s="24"/>
      <c r="G63" s="24"/>
      <c r="H63" s="24"/>
      <c r="K63" s="27"/>
      <c r="S63" s="24"/>
    </row>
    <row r="64" spans="1:19" ht="15.75" customHeight="1" x14ac:dyDescent="0.25">
      <c r="A64" s="24"/>
      <c r="C64" s="26"/>
      <c r="D64" s="104"/>
      <c r="E64" s="24"/>
      <c r="F64" s="24"/>
      <c r="G64" s="24"/>
      <c r="H64" s="24"/>
      <c r="K64" s="27"/>
      <c r="S64" s="24"/>
    </row>
    <row r="65" spans="1:19" ht="15.75" customHeight="1" x14ac:dyDescent="0.25">
      <c r="A65" s="24"/>
      <c r="C65" s="26"/>
      <c r="D65" s="104"/>
      <c r="E65" s="24"/>
      <c r="F65" s="24"/>
      <c r="G65" s="24"/>
      <c r="H65" s="24"/>
      <c r="K65" s="27"/>
      <c r="S65" s="24"/>
    </row>
    <row r="66" spans="1:19" ht="15.75" customHeight="1" x14ac:dyDescent="0.25">
      <c r="A66" s="24"/>
      <c r="C66" s="26"/>
      <c r="D66" s="104"/>
      <c r="E66" s="24"/>
      <c r="F66" s="24"/>
      <c r="G66" s="24"/>
      <c r="H66" s="24"/>
      <c r="K66" s="27"/>
      <c r="S66" s="24"/>
    </row>
    <row r="67" spans="1:19" ht="15.75" customHeight="1" x14ac:dyDescent="0.25">
      <c r="A67" s="24"/>
      <c r="C67" s="26"/>
      <c r="D67" s="104"/>
      <c r="E67" s="24"/>
      <c r="F67" s="24"/>
      <c r="G67" s="24"/>
      <c r="H67" s="24"/>
      <c r="K67" s="27"/>
      <c r="S67" s="24"/>
    </row>
    <row r="68" spans="1:19" ht="15.75" customHeight="1" x14ac:dyDescent="0.25">
      <c r="A68" s="24"/>
      <c r="C68" s="26"/>
      <c r="D68" s="104"/>
      <c r="E68" s="24"/>
      <c r="F68" s="24"/>
      <c r="G68" s="24"/>
      <c r="H68" s="24"/>
      <c r="K68" s="27"/>
      <c r="S68" s="24"/>
    </row>
    <row r="69" spans="1:19" ht="15.75" customHeight="1" x14ac:dyDescent="0.25">
      <c r="A69" s="24"/>
      <c r="C69" s="26"/>
      <c r="D69" s="104"/>
      <c r="E69" s="24"/>
      <c r="F69" s="24"/>
      <c r="G69" s="24"/>
      <c r="H69" s="24"/>
      <c r="K69" s="27"/>
      <c r="S69" s="24"/>
    </row>
    <row r="70" spans="1:19" ht="15.75" customHeight="1" x14ac:dyDescent="0.25">
      <c r="A70" s="24"/>
      <c r="C70" s="26"/>
      <c r="D70" s="104"/>
      <c r="E70" s="24"/>
      <c r="F70" s="24"/>
      <c r="G70" s="24"/>
      <c r="H70" s="24"/>
      <c r="K70" s="27"/>
      <c r="S70" s="24"/>
    </row>
    <row r="71" spans="1:19" ht="15.75" customHeight="1" x14ac:dyDescent="0.25">
      <c r="A71" s="24"/>
      <c r="C71" s="26"/>
      <c r="D71" s="104"/>
      <c r="E71" s="24"/>
      <c r="F71" s="24"/>
      <c r="G71" s="24"/>
      <c r="H71" s="24"/>
      <c r="K71" s="27"/>
      <c r="S71" s="24"/>
    </row>
    <row r="72" spans="1:19" ht="15.75" customHeight="1" x14ac:dyDescent="0.25">
      <c r="A72" s="24"/>
      <c r="C72" s="26"/>
      <c r="D72" s="104"/>
      <c r="E72" s="24"/>
      <c r="F72" s="24"/>
      <c r="G72" s="24"/>
      <c r="H72" s="24"/>
      <c r="K72" s="27"/>
      <c r="S72" s="24"/>
    </row>
    <row r="73" spans="1:19" ht="15.75" customHeight="1" x14ac:dyDescent="0.25">
      <c r="A73" s="24"/>
      <c r="C73" s="26"/>
      <c r="D73" s="104"/>
      <c r="E73" s="24"/>
      <c r="F73" s="24"/>
      <c r="G73" s="24"/>
      <c r="H73" s="24"/>
      <c r="K73" s="27"/>
      <c r="S73" s="24"/>
    </row>
    <row r="74" spans="1:19" ht="15.75" customHeight="1" x14ac:dyDescent="0.25">
      <c r="A74" s="24"/>
      <c r="C74" s="26"/>
      <c r="D74" s="104"/>
      <c r="E74" s="24"/>
      <c r="F74" s="24"/>
      <c r="G74" s="24"/>
      <c r="H74" s="24"/>
      <c r="K74" s="27"/>
      <c r="S74" s="24"/>
    </row>
    <row r="75" spans="1:19" ht="15.75" customHeight="1" x14ac:dyDescent="0.25">
      <c r="A75" s="24"/>
      <c r="C75" s="26"/>
      <c r="D75" s="104"/>
      <c r="E75" s="24"/>
      <c r="F75" s="24"/>
      <c r="G75" s="24"/>
      <c r="H75" s="24"/>
      <c r="K75" s="27"/>
      <c r="S75" s="24"/>
    </row>
    <row r="76" spans="1:19" ht="15.75" customHeight="1" x14ac:dyDescent="0.25">
      <c r="A76" s="24"/>
      <c r="C76" s="26"/>
      <c r="D76" s="104"/>
      <c r="E76" s="24"/>
      <c r="F76" s="24"/>
      <c r="G76" s="24"/>
      <c r="H76" s="24"/>
      <c r="K76" s="27"/>
      <c r="S76" s="24"/>
    </row>
    <row r="77" spans="1:19" ht="15.75" customHeight="1" x14ac:dyDescent="0.25">
      <c r="A77" s="24"/>
      <c r="C77" s="26"/>
      <c r="D77" s="104"/>
      <c r="E77" s="24"/>
      <c r="F77" s="24"/>
      <c r="G77" s="24"/>
      <c r="H77" s="24"/>
      <c r="K77" s="27"/>
      <c r="S77" s="24"/>
    </row>
    <row r="78" spans="1:19" ht="15.75" customHeight="1" x14ac:dyDescent="0.25">
      <c r="A78" s="24"/>
      <c r="C78" s="26"/>
      <c r="D78" s="104"/>
      <c r="E78" s="24"/>
      <c r="F78" s="24"/>
      <c r="G78" s="24"/>
      <c r="H78" s="24"/>
      <c r="K78" s="27"/>
      <c r="S78" s="24"/>
    </row>
    <row r="79" spans="1:19" ht="15.75" customHeight="1" x14ac:dyDescent="0.25">
      <c r="A79" s="24"/>
      <c r="C79" s="26"/>
      <c r="D79" s="104"/>
      <c r="E79" s="24"/>
      <c r="F79" s="24"/>
      <c r="G79" s="24"/>
      <c r="H79" s="24"/>
      <c r="K79" s="27"/>
      <c r="S79" s="24"/>
    </row>
    <row r="80" spans="1:19" ht="15.75" customHeight="1" x14ac:dyDescent="0.25">
      <c r="A80" s="24"/>
      <c r="C80" s="26"/>
      <c r="D80" s="104"/>
      <c r="E80" s="24"/>
      <c r="F80" s="24"/>
      <c r="G80" s="24"/>
      <c r="H80" s="24"/>
      <c r="K80" s="27"/>
      <c r="S80" s="24"/>
    </row>
    <row r="81" spans="1:19" ht="15.75" customHeight="1" x14ac:dyDescent="0.25">
      <c r="A81" s="24"/>
      <c r="C81" s="26"/>
      <c r="D81" s="104"/>
      <c r="E81" s="24"/>
      <c r="F81" s="24"/>
      <c r="G81" s="24"/>
      <c r="H81" s="24"/>
      <c r="K81" s="27"/>
      <c r="S81" s="24"/>
    </row>
    <row r="82" spans="1:19" ht="15.75" customHeight="1" x14ac:dyDescent="0.25">
      <c r="A82" s="24"/>
      <c r="C82" s="26"/>
      <c r="D82" s="104"/>
      <c r="E82" s="24"/>
      <c r="F82" s="24"/>
      <c r="G82" s="24"/>
      <c r="H82" s="24"/>
      <c r="K82" s="27"/>
      <c r="S82" s="24"/>
    </row>
    <row r="83" spans="1:19" ht="15.75" customHeight="1" x14ac:dyDescent="0.25">
      <c r="A83" s="24"/>
      <c r="C83" s="26"/>
      <c r="D83" s="104"/>
      <c r="E83" s="24"/>
      <c r="F83" s="24"/>
      <c r="G83" s="24"/>
      <c r="H83" s="24"/>
      <c r="K83" s="27"/>
      <c r="S83" s="24"/>
    </row>
    <row r="84" spans="1:19" ht="15.75" customHeight="1" x14ac:dyDescent="0.25">
      <c r="A84" s="24"/>
      <c r="C84" s="26"/>
      <c r="D84" s="104"/>
      <c r="E84" s="24"/>
      <c r="F84" s="24"/>
      <c r="G84" s="24"/>
      <c r="H84" s="24"/>
      <c r="K84" s="27"/>
      <c r="S84" s="24"/>
    </row>
    <row r="85" spans="1:19" ht="15.75" customHeight="1" x14ac:dyDescent="0.25">
      <c r="A85" s="24"/>
      <c r="C85" s="26"/>
      <c r="D85" s="104"/>
      <c r="E85" s="24"/>
      <c r="F85" s="24"/>
      <c r="G85" s="24"/>
      <c r="H85" s="24"/>
      <c r="K85" s="27"/>
      <c r="S85" s="24"/>
    </row>
    <row r="86" spans="1:19" ht="15.75" customHeight="1" x14ac:dyDescent="0.25">
      <c r="A86" s="24"/>
      <c r="C86" s="26"/>
      <c r="D86" s="104"/>
      <c r="E86" s="24"/>
      <c r="F86" s="24"/>
      <c r="G86" s="24"/>
      <c r="H86" s="24"/>
      <c r="K86" s="27"/>
      <c r="S86" s="24"/>
    </row>
    <row r="87" spans="1:19" ht="15.75" customHeight="1" x14ac:dyDescent="0.25">
      <c r="A87" s="24"/>
      <c r="C87" s="26"/>
      <c r="D87" s="104"/>
      <c r="E87" s="24"/>
      <c r="F87" s="24"/>
      <c r="G87" s="24"/>
      <c r="H87" s="24"/>
      <c r="K87" s="27"/>
      <c r="S87" s="24"/>
    </row>
    <row r="88" spans="1:19" ht="15.75" customHeight="1" x14ac:dyDescent="0.25">
      <c r="A88" s="24"/>
      <c r="C88" s="26"/>
      <c r="D88" s="104"/>
      <c r="E88" s="24"/>
      <c r="F88" s="24"/>
      <c r="G88" s="24"/>
      <c r="H88" s="24"/>
      <c r="K88" s="27"/>
      <c r="S88" s="24"/>
    </row>
    <row r="89" spans="1:19" ht="15.75" customHeight="1" x14ac:dyDescent="0.25">
      <c r="A89" s="24"/>
      <c r="C89" s="26"/>
      <c r="D89" s="104"/>
      <c r="E89" s="24"/>
      <c r="F89" s="24"/>
      <c r="G89" s="24"/>
      <c r="H89" s="24"/>
      <c r="K89" s="27"/>
      <c r="S89" s="24"/>
    </row>
    <row r="90" spans="1:19" ht="15.75" customHeight="1" x14ac:dyDescent="0.25">
      <c r="A90" s="24"/>
      <c r="C90" s="26"/>
      <c r="D90" s="104"/>
      <c r="E90" s="24"/>
      <c r="F90" s="24"/>
      <c r="G90" s="24"/>
      <c r="H90" s="24"/>
      <c r="K90" s="27"/>
      <c r="S90" s="24"/>
    </row>
    <row r="91" spans="1:19" ht="15.75" customHeight="1" x14ac:dyDescent="0.25">
      <c r="A91" s="24"/>
      <c r="C91" s="26"/>
      <c r="D91" s="104"/>
      <c r="E91" s="24"/>
      <c r="F91" s="24"/>
      <c r="G91" s="24"/>
      <c r="H91" s="24"/>
      <c r="K91" s="27"/>
      <c r="S91" s="24"/>
    </row>
    <row r="92" spans="1:19" ht="15.75" customHeight="1" x14ac:dyDescent="0.25">
      <c r="A92" s="24"/>
      <c r="C92" s="26"/>
      <c r="D92" s="104"/>
      <c r="E92" s="24"/>
      <c r="F92" s="24"/>
      <c r="G92" s="24"/>
      <c r="H92" s="24"/>
      <c r="K92" s="27"/>
      <c r="S92" s="24"/>
    </row>
    <row r="93" spans="1:19" ht="15.75" customHeight="1" x14ac:dyDescent="0.25">
      <c r="A93" s="24"/>
      <c r="C93" s="26"/>
      <c r="D93" s="104"/>
      <c r="E93" s="24"/>
      <c r="F93" s="24"/>
      <c r="G93" s="24"/>
      <c r="H93" s="24"/>
      <c r="K93" s="27"/>
      <c r="S93" s="24"/>
    </row>
    <row r="94" spans="1:19" ht="15.75" customHeight="1" x14ac:dyDescent="0.25">
      <c r="A94" s="24"/>
      <c r="C94" s="26"/>
      <c r="D94" s="104"/>
      <c r="E94" s="24"/>
      <c r="F94" s="24"/>
      <c r="G94" s="24"/>
      <c r="H94" s="24"/>
      <c r="K94" s="27"/>
      <c r="S94" s="24"/>
    </row>
    <row r="95" spans="1:19" ht="15.75" customHeight="1" x14ac:dyDescent="0.25">
      <c r="A95" s="24"/>
      <c r="C95" s="26"/>
      <c r="D95" s="104"/>
      <c r="E95" s="24"/>
      <c r="F95" s="24"/>
      <c r="G95" s="24"/>
      <c r="H95" s="24"/>
      <c r="K95" s="27"/>
      <c r="S95" s="24"/>
    </row>
    <row r="96" spans="1:19" ht="15.75" customHeight="1" x14ac:dyDescent="0.25">
      <c r="A96" s="24"/>
      <c r="C96" s="26"/>
      <c r="D96" s="104"/>
      <c r="E96" s="24"/>
      <c r="F96" s="24"/>
      <c r="G96" s="24"/>
      <c r="H96" s="24"/>
      <c r="K96" s="27"/>
      <c r="S96" s="24"/>
    </row>
    <row r="97" spans="1:19" ht="15.75" customHeight="1" x14ac:dyDescent="0.25">
      <c r="A97" s="24"/>
      <c r="C97" s="26"/>
      <c r="D97" s="104"/>
      <c r="E97" s="24"/>
      <c r="F97" s="24"/>
      <c r="G97" s="24"/>
      <c r="H97" s="24"/>
      <c r="K97" s="27"/>
      <c r="S97" s="24"/>
    </row>
    <row r="98" spans="1:19" ht="15.75" customHeight="1" x14ac:dyDescent="0.25">
      <c r="A98" s="24"/>
      <c r="C98" s="26"/>
      <c r="D98" s="104"/>
      <c r="E98" s="24"/>
      <c r="F98" s="24"/>
      <c r="G98" s="24"/>
      <c r="H98" s="24"/>
      <c r="K98" s="27"/>
      <c r="S98" s="24"/>
    </row>
    <row r="99" spans="1:19" ht="15.75" customHeight="1" x14ac:dyDescent="0.25">
      <c r="A99" s="24"/>
      <c r="C99" s="26"/>
      <c r="D99" s="104"/>
      <c r="E99" s="24"/>
      <c r="F99" s="24"/>
      <c r="G99" s="24"/>
      <c r="H99" s="24"/>
      <c r="K99" s="27"/>
      <c r="S99" s="24"/>
    </row>
    <row r="100" spans="1:19" ht="15.75" customHeight="1" x14ac:dyDescent="0.25">
      <c r="A100" s="24"/>
      <c r="C100" s="26"/>
      <c r="D100" s="104"/>
      <c r="E100" s="24"/>
      <c r="F100" s="24"/>
      <c r="G100" s="24"/>
      <c r="H100" s="24"/>
      <c r="K100" s="27"/>
      <c r="S100" s="24"/>
    </row>
    <row r="101" spans="1:19" ht="15.75" customHeight="1" x14ac:dyDescent="0.25">
      <c r="A101" s="24"/>
      <c r="C101" s="26"/>
      <c r="D101" s="104"/>
      <c r="E101" s="24"/>
      <c r="F101" s="24"/>
      <c r="G101" s="24"/>
      <c r="H101" s="24"/>
      <c r="K101" s="27"/>
      <c r="S101" s="24"/>
    </row>
    <row r="102" spans="1:19" ht="15.75" customHeight="1" x14ac:dyDescent="0.25">
      <c r="A102" s="24"/>
      <c r="C102" s="26"/>
      <c r="D102" s="104"/>
      <c r="E102" s="24"/>
      <c r="F102" s="24"/>
      <c r="G102" s="24"/>
      <c r="H102" s="24"/>
      <c r="K102" s="27"/>
      <c r="S102" s="24"/>
    </row>
    <row r="103" spans="1:19" ht="15.75" customHeight="1" x14ac:dyDescent="0.25">
      <c r="A103" s="24"/>
      <c r="C103" s="26"/>
      <c r="D103" s="104"/>
      <c r="E103" s="24"/>
      <c r="F103" s="24"/>
      <c r="G103" s="24"/>
      <c r="H103" s="24"/>
      <c r="K103" s="27"/>
      <c r="S103" s="24"/>
    </row>
    <row r="104" spans="1:19" ht="15.75" customHeight="1" x14ac:dyDescent="0.25">
      <c r="A104" s="24"/>
      <c r="C104" s="26"/>
      <c r="D104" s="104"/>
      <c r="E104" s="24"/>
      <c r="F104" s="24"/>
      <c r="G104" s="24"/>
      <c r="H104" s="24"/>
      <c r="K104" s="27"/>
      <c r="S104" s="24"/>
    </row>
    <row r="105" spans="1:19" ht="15.75" customHeight="1" x14ac:dyDescent="0.25">
      <c r="A105" s="24"/>
      <c r="C105" s="26"/>
      <c r="D105" s="104"/>
      <c r="E105" s="24"/>
      <c r="F105" s="24"/>
      <c r="G105" s="24"/>
      <c r="H105" s="24"/>
      <c r="K105" s="27"/>
      <c r="S105" s="24"/>
    </row>
    <row r="106" spans="1:19" ht="15.75" customHeight="1" x14ac:dyDescent="0.25">
      <c r="A106" s="24"/>
      <c r="C106" s="26"/>
      <c r="D106" s="104"/>
      <c r="E106" s="24"/>
      <c r="F106" s="24"/>
      <c r="G106" s="24"/>
      <c r="H106" s="24"/>
      <c r="K106" s="27"/>
      <c r="S106" s="24"/>
    </row>
    <row r="107" spans="1:19" ht="15.75" customHeight="1" x14ac:dyDescent="0.25">
      <c r="A107" s="24"/>
      <c r="C107" s="26"/>
      <c r="D107" s="104"/>
      <c r="E107" s="24"/>
      <c r="F107" s="24"/>
      <c r="G107" s="24"/>
      <c r="H107" s="24"/>
      <c r="K107" s="27"/>
      <c r="S107" s="24"/>
    </row>
    <row r="108" spans="1:19" ht="15.75" customHeight="1" x14ac:dyDescent="0.25">
      <c r="A108" s="24"/>
      <c r="C108" s="26"/>
      <c r="D108" s="104"/>
      <c r="E108" s="24"/>
      <c r="F108" s="24"/>
      <c r="G108" s="24"/>
      <c r="H108" s="24"/>
      <c r="K108" s="27"/>
      <c r="S108" s="24"/>
    </row>
    <row r="109" spans="1:19" ht="15.75" customHeight="1" x14ac:dyDescent="0.25">
      <c r="A109" s="24"/>
      <c r="C109" s="26"/>
      <c r="D109" s="104"/>
      <c r="E109" s="24"/>
      <c r="F109" s="24"/>
      <c r="G109" s="24"/>
      <c r="H109" s="24"/>
      <c r="K109" s="27"/>
      <c r="S109" s="24"/>
    </row>
    <row r="110" spans="1:19" ht="15.75" customHeight="1" x14ac:dyDescent="0.25">
      <c r="A110" s="24"/>
      <c r="C110" s="26"/>
      <c r="D110" s="104"/>
      <c r="E110" s="24"/>
      <c r="F110" s="24"/>
      <c r="G110" s="24"/>
      <c r="H110" s="24"/>
      <c r="K110" s="27"/>
      <c r="S110" s="24"/>
    </row>
    <row r="111" spans="1:19" ht="15.75" customHeight="1" x14ac:dyDescent="0.25">
      <c r="A111" s="24"/>
      <c r="C111" s="26"/>
      <c r="D111" s="104"/>
      <c r="E111" s="24"/>
      <c r="F111" s="24"/>
      <c r="G111" s="24"/>
      <c r="H111" s="24"/>
      <c r="K111" s="27"/>
      <c r="S111" s="24"/>
    </row>
    <row r="112" spans="1:19" ht="15.75" customHeight="1" x14ac:dyDescent="0.25">
      <c r="A112" s="24"/>
      <c r="C112" s="26"/>
      <c r="D112" s="104"/>
      <c r="E112" s="24"/>
      <c r="F112" s="24"/>
      <c r="G112" s="24"/>
      <c r="H112" s="24"/>
      <c r="K112" s="27"/>
      <c r="S112" s="24"/>
    </row>
    <row r="113" spans="1:19" ht="15.75" customHeight="1" x14ac:dyDescent="0.25">
      <c r="A113" s="24"/>
      <c r="C113" s="26"/>
      <c r="D113" s="104"/>
      <c r="E113" s="24"/>
      <c r="F113" s="24"/>
      <c r="G113" s="24"/>
      <c r="H113" s="24"/>
      <c r="K113" s="27"/>
      <c r="S113" s="24"/>
    </row>
    <row r="114" spans="1:19" ht="15.75" customHeight="1" x14ac:dyDescent="0.25">
      <c r="A114" s="24"/>
      <c r="C114" s="26"/>
      <c r="D114" s="104"/>
      <c r="E114" s="24"/>
      <c r="F114" s="24"/>
      <c r="G114" s="24"/>
      <c r="H114" s="24"/>
      <c r="K114" s="27"/>
      <c r="S114" s="24"/>
    </row>
    <row r="115" spans="1:19" ht="15.75" customHeight="1" x14ac:dyDescent="0.25">
      <c r="A115" s="24"/>
      <c r="C115" s="26"/>
      <c r="D115" s="104"/>
      <c r="E115" s="24"/>
      <c r="F115" s="24"/>
      <c r="G115" s="24"/>
      <c r="H115" s="24"/>
      <c r="K115" s="27"/>
      <c r="S115" s="24"/>
    </row>
    <row r="116" spans="1:19" ht="15.75" customHeight="1" x14ac:dyDescent="0.25">
      <c r="A116" s="24"/>
      <c r="C116" s="26"/>
      <c r="D116" s="104"/>
      <c r="E116" s="24"/>
      <c r="F116" s="24"/>
      <c r="G116" s="24"/>
      <c r="H116" s="24"/>
      <c r="K116" s="27"/>
      <c r="S116" s="24"/>
    </row>
    <row r="117" spans="1:19" ht="15.75" customHeight="1" x14ac:dyDescent="0.25">
      <c r="A117" s="24"/>
      <c r="C117" s="26"/>
      <c r="D117" s="104"/>
      <c r="E117" s="24"/>
      <c r="F117" s="24"/>
      <c r="G117" s="24"/>
      <c r="H117" s="24"/>
      <c r="K117" s="27"/>
      <c r="S117" s="24"/>
    </row>
    <row r="118" spans="1:19" ht="15.75" customHeight="1" x14ac:dyDescent="0.25">
      <c r="A118" s="24"/>
      <c r="C118" s="26"/>
      <c r="D118" s="104"/>
      <c r="E118" s="24"/>
      <c r="F118" s="24"/>
      <c r="G118" s="24"/>
      <c r="H118" s="24"/>
      <c r="K118" s="27"/>
      <c r="S118" s="24"/>
    </row>
    <row r="119" spans="1:19" ht="15.75" customHeight="1" x14ac:dyDescent="0.25">
      <c r="A119" s="24"/>
      <c r="C119" s="26"/>
      <c r="D119" s="104"/>
      <c r="E119" s="24"/>
      <c r="F119" s="24"/>
      <c r="G119" s="24"/>
      <c r="H119" s="24"/>
      <c r="K119" s="27"/>
      <c r="S119" s="24"/>
    </row>
    <row r="120" spans="1:19" ht="15.75" customHeight="1" x14ac:dyDescent="0.25">
      <c r="A120" s="24"/>
      <c r="C120" s="26"/>
      <c r="D120" s="104"/>
      <c r="E120" s="24"/>
      <c r="F120" s="24"/>
      <c r="G120" s="24"/>
      <c r="H120" s="24"/>
      <c r="K120" s="27"/>
      <c r="S120" s="24"/>
    </row>
    <row r="121" spans="1:19" ht="15.75" customHeight="1" x14ac:dyDescent="0.25">
      <c r="A121" s="24"/>
      <c r="C121" s="26"/>
      <c r="D121" s="104"/>
      <c r="E121" s="24"/>
      <c r="F121" s="24"/>
      <c r="G121" s="24"/>
      <c r="H121" s="24"/>
      <c r="K121" s="27"/>
      <c r="S121" s="24"/>
    </row>
    <row r="122" spans="1:19" ht="15.75" customHeight="1" x14ac:dyDescent="0.25">
      <c r="A122" s="24"/>
      <c r="C122" s="26"/>
      <c r="D122" s="104"/>
      <c r="E122" s="24"/>
      <c r="F122" s="24"/>
      <c r="G122" s="24"/>
      <c r="H122" s="24"/>
      <c r="K122" s="27"/>
      <c r="S122" s="24"/>
    </row>
    <row r="123" spans="1:19" ht="15.75" customHeight="1" x14ac:dyDescent="0.25">
      <c r="A123" s="24"/>
      <c r="C123" s="26"/>
      <c r="D123" s="104"/>
      <c r="E123" s="24"/>
      <c r="F123" s="24"/>
      <c r="G123" s="24"/>
      <c r="H123" s="24"/>
      <c r="K123" s="27"/>
      <c r="S123" s="24"/>
    </row>
    <row r="124" spans="1:19" ht="15.75" customHeight="1" x14ac:dyDescent="0.25">
      <c r="A124" s="24"/>
      <c r="C124" s="26"/>
      <c r="D124" s="104"/>
      <c r="E124" s="24"/>
      <c r="F124" s="24"/>
      <c r="G124" s="24"/>
      <c r="H124" s="24"/>
      <c r="K124" s="27"/>
      <c r="S124" s="24"/>
    </row>
    <row r="125" spans="1:19" ht="15.75" customHeight="1" x14ac:dyDescent="0.25">
      <c r="A125" s="24"/>
      <c r="C125" s="26"/>
      <c r="D125" s="104"/>
      <c r="E125" s="24"/>
      <c r="F125" s="24"/>
      <c r="G125" s="24"/>
      <c r="H125" s="24"/>
      <c r="K125" s="27"/>
      <c r="S125" s="24"/>
    </row>
    <row r="126" spans="1:19" ht="15.75" customHeight="1" x14ac:dyDescent="0.25">
      <c r="A126" s="24"/>
      <c r="C126" s="26"/>
      <c r="D126" s="104"/>
      <c r="E126" s="24"/>
      <c r="F126" s="24"/>
      <c r="G126" s="24"/>
      <c r="H126" s="24"/>
      <c r="K126" s="27"/>
      <c r="S126" s="24"/>
    </row>
    <row r="127" spans="1:19" ht="15.75" customHeight="1" x14ac:dyDescent="0.25">
      <c r="A127" s="24"/>
      <c r="C127" s="26"/>
      <c r="D127" s="104"/>
      <c r="E127" s="24"/>
      <c r="F127" s="24"/>
      <c r="G127" s="24"/>
      <c r="H127" s="24"/>
      <c r="K127" s="27"/>
      <c r="S127" s="24"/>
    </row>
    <row r="128" spans="1:19" ht="15.75" customHeight="1" x14ac:dyDescent="0.25">
      <c r="A128" s="24"/>
      <c r="C128" s="26"/>
      <c r="D128" s="104"/>
      <c r="E128" s="24"/>
      <c r="F128" s="24"/>
      <c r="G128" s="24"/>
      <c r="H128" s="24"/>
      <c r="K128" s="27"/>
      <c r="S128" s="24"/>
    </row>
    <row r="129" spans="1:19" ht="15.75" customHeight="1" x14ac:dyDescent="0.25">
      <c r="A129" s="24"/>
      <c r="C129" s="26"/>
      <c r="D129" s="104"/>
      <c r="E129" s="24"/>
      <c r="F129" s="24"/>
      <c r="G129" s="24"/>
      <c r="H129" s="24"/>
      <c r="K129" s="27"/>
      <c r="S129" s="24"/>
    </row>
    <row r="130" spans="1:19" ht="15.75" customHeight="1" x14ac:dyDescent="0.25">
      <c r="A130" s="24"/>
      <c r="C130" s="26"/>
      <c r="D130" s="104"/>
      <c r="E130" s="24"/>
      <c r="F130" s="24"/>
      <c r="G130" s="24"/>
      <c r="H130" s="24"/>
      <c r="K130" s="27"/>
      <c r="S130" s="24"/>
    </row>
    <row r="131" spans="1:19" ht="15.75" customHeight="1" x14ac:dyDescent="0.25">
      <c r="A131" s="24"/>
      <c r="C131" s="26"/>
      <c r="D131" s="104"/>
      <c r="E131" s="24"/>
      <c r="F131" s="24"/>
      <c r="G131" s="24"/>
      <c r="H131" s="24"/>
      <c r="K131" s="27"/>
      <c r="S131" s="24"/>
    </row>
    <row r="132" spans="1:19" ht="15.75" customHeight="1" x14ac:dyDescent="0.25">
      <c r="A132" s="24"/>
      <c r="C132" s="26"/>
      <c r="D132" s="104"/>
      <c r="E132" s="24"/>
      <c r="F132" s="24"/>
      <c r="G132" s="24"/>
      <c r="H132" s="24"/>
      <c r="K132" s="27"/>
      <c r="S132" s="24"/>
    </row>
    <row r="133" spans="1:19" ht="15.75" customHeight="1" x14ac:dyDescent="0.25">
      <c r="A133" s="24"/>
      <c r="C133" s="26"/>
      <c r="D133" s="104"/>
      <c r="E133" s="24"/>
      <c r="F133" s="24"/>
      <c r="G133" s="24"/>
      <c r="H133" s="24"/>
      <c r="K133" s="27"/>
      <c r="S133" s="24"/>
    </row>
    <row r="134" spans="1:19" ht="15.75" customHeight="1" x14ac:dyDescent="0.25">
      <c r="A134" s="24"/>
      <c r="C134" s="26"/>
      <c r="D134" s="104"/>
      <c r="E134" s="24"/>
      <c r="F134" s="24"/>
      <c r="G134" s="24"/>
      <c r="H134" s="24"/>
      <c r="K134" s="27"/>
      <c r="S134" s="24"/>
    </row>
    <row r="135" spans="1:19" ht="15.75" customHeight="1" x14ac:dyDescent="0.25">
      <c r="A135" s="24"/>
      <c r="C135" s="26"/>
      <c r="D135" s="104"/>
      <c r="E135" s="24"/>
      <c r="F135" s="24"/>
      <c r="G135" s="24"/>
      <c r="H135" s="24"/>
      <c r="K135" s="27"/>
      <c r="S135" s="24"/>
    </row>
    <row r="136" spans="1:19" ht="15.75" customHeight="1" x14ac:dyDescent="0.25">
      <c r="A136" s="24"/>
      <c r="C136" s="26"/>
      <c r="D136" s="104"/>
      <c r="E136" s="24"/>
      <c r="F136" s="24"/>
      <c r="G136" s="24"/>
      <c r="H136" s="24"/>
      <c r="K136" s="27"/>
      <c r="S136" s="24"/>
    </row>
    <row r="137" spans="1:19" ht="15.75" customHeight="1" x14ac:dyDescent="0.25">
      <c r="A137" s="24"/>
      <c r="C137" s="26"/>
      <c r="D137" s="104"/>
      <c r="E137" s="24"/>
      <c r="F137" s="24"/>
      <c r="G137" s="24"/>
      <c r="H137" s="24"/>
      <c r="K137" s="27"/>
      <c r="S137" s="24"/>
    </row>
    <row r="138" spans="1:19" ht="15.75" customHeight="1" x14ac:dyDescent="0.25">
      <c r="A138" s="24"/>
      <c r="C138" s="26"/>
      <c r="D138" s="104"/>
      <c r="E138" s="24"/>
      <c r="F138" s="24"/>
      <c r="G138" s="24"/>
      <c r="H138" s="24"/>
      <c r="K138" s="27"/>
      <c r="S138" s="24"/>
    </row>
    <row r="139" spans="1:19" ht="15.75" customHeight="1" x14ac:dyDescent="0.25">
      <c r="A139" s="24"/>
      <c r="C139" s="26"/>
      <c r="D139" s="104"/>
      <c r="E139" s="24"/>
      <c r="F139" s="24"/>
      <c r="G139" s="24"/>
      <c r="H139" s="24"/>
      <c r="K139" s="27"/>
      <c r="S139" s="24"/>
    </row>
    <row r="140" spans="1:19" ht="15.75" customHeight="1" x14ac:dyDescent="0.25">
      <c r="A140" s="24"/>
      <c r="C140" s="26"/>
      <c r="D140" s="104"/>
      <c r="E140" s="24"/>
      <c r="F140" s="24"/>
      <c r="G140" s="24"/>
      <c r="H140" s="24"/>
      <c r="K140" s="27"/>
      <c r="S140" s="24"/>
    </row>
    <row r="141" spans="1:19" ht="15.75" customHeight="1" x14ac:dyDescent="0.25">
      <c r="A141" s="24"/>
      <c r="C141" s="26"/>
      <c r="D141" s="104"/>
      <c r="E141" s="24"/>
      <c r="F141" s="24"/>
      <c r="G141" s="24"/>
      <c r="H141" s="24"/>
      <c r="K141" s="27"/>
      <c r="S141" s="24"/>
    </row>
    <row r="142" spans="1:19" ht="15.75" customHeight="1" x14ac:dyDescent="0.25">
      <c r="A142" s="24"/>
      <c r="C142" s="26"/>
      <c r="D142" s="104"/>
      <c r="E142" s="24"/>
      <c r="F142" s="24"/>
      <c r="G142" s="24"/>
      <c r="H142" s="24"/>
      <c r="K142" s="27"/>
      <c r="S142" s="24"/>
    </row>
    <row r="143" spans="1:19" ht="15.75" customHeight="1" x14ac:dyDescent="0.25">
      <c r="A143" s="24"/>
      <c r="C143" s="26"/>
      <c r="D143" s="104"/>
      <c r="E143" s="24"/>
      <c r="F143" s="24"/>
      <c r="G143" s="24"/>
      <c r="H143" s="24"/>
      <c r="K143" s="27"/>
      <c r="S143" s="24"/>
    </row>
    <row r="144" spans="1:19" ht="15.75" customHeight="1" x14ac:dyDescent="0.25">
      <c r="A144" s="24"/>
      <c r="C144" s="26"/>
      <c r="D144" s="104"/>
      <c r="E144" s="24"/>
      <c r="F144" s="24"/>
      <c r="G144" s="24"/>
      <c r="H144" s="24"/>
      <c r="K144" s="27"/>
      <c r="S144" s="24"/>
    </row>
    <row r="145" spans="1:19" ht="15.75" customHeight="1" x14ac:dyDescent="0.25">
      <c r="A145" s="24"/>
      <c r="C145" s="26"/>
      <c r="D145" s="104"/>
      <c r="E145" s="24"/>
      <c r="F145" s="24"/>
      <c r="G145" s="24"/>
      <c r="H145" s="24"/>
      <c r="K145" s="27"/>
      <c r="S145" s="24"/>
    </row>
    <row r="146" spans="1:19" ht="15.75" customHeight="1" x14ac:dyDescent="0.25">
      <c r="A146" s="24"/>
      <c r="C146" s="26"/>
      <c r="D146" s="104"/>
      <c r="E146" s="24"/>
      <c r="F146" s="24"/>
      <c r="G146" s="24"/>
      <c r="H146" s="24"/>
      <c r="K146" s="27"/>
      <c r="S146" s="24"/>
    </row>
    <row r="147" spans="1:19" ht="15.75" customHeight="1" x14ac:dyDescent="0.25">
      <c r="A147" s="24"/>
      <c r="C147" s="26"/>
      <c r="D147" s="104"/>
      <c r="E147" s="24"/>
      <c r="F147" s="24"/>
      <c r="G147" s="24"/>
      <c r="H147" s="24"/>
      <c r="K147" s="27"/>
      <c r="S147" s="24"/>
    </row>
    <row r="148" spans="1:19" ht="15.75" customHeight="1" x14ac:dyDescent="0.25">
      <c r="A148" s="24"/>
      <c r="C148" s="26"/>
      <c r="D148" s="104"/>
      <c r="E148" s="24"/>
      <c r="F148" s="24"/>
      <c r="G148" s="24"/>
      <c r="H148" s="24"/>
      <c r="K148" s="27"/>
      <c r="S148" s="24"/>
    </row>
    <row r="149" spans="1:19" ht="15.75" customHeight="1" x14ac:dyDescent="0.25">
      <c r="A149" s="24"/>
      <c r="C149" s="26"/>
      <c r="D149" s="104"/>
      <c r="E149" s="24"/>
      <c r="F149" s="24"/>
      <c r="G149" s="24"/>
      <c r="H149" s="24"/>
      <c r="K149" s="27"/>
      <c r="S149" s="24"/>
    </row>
    <row r="150" spans="1:19" ht="15.75" customHeight="1" x14ac:dyDescent="0.25">
      <c r="A150" s="24"/>
      <c r="C150" s="26"/>
      <c r="D150" s="104"/>
      <c r="E150" s="24"/>
      <c r="F150" s="24"/>
      <c r="G150" s="24"/>
      <c r="H150" s="24"/>
      <c r="K150" s="27"/>
      <c r="S150" s="24"/>
    </row>
    <row r="151" spans="1:19" ht="15.75" customHeight="1" x14ac:dyDescent="0.25">
      <c r="A151" s="24"/>
      <c r="C151" s="26"/>
      <c r="D151" s="104"/>
      <c r="E151" s="24"/>
      <c r="F151" s="24"/>
      <c r="G151" s="24"/>
      <c r="H151" s="24"/>
      <c r="K151" s="27"/>
      <c r="S151" s="24"/>
    </row>
    <row r="152" spans="1:19" ht="15.75" customHeight="1" x14ac:dyDescent="0.25">
      <c r="A152" s="24"/>
      <c r="C152" s="26"/>
      <c r="D152" s="104"/>
      <c r="E152" s="24"/>
      <c r="F152" s="24"/>
      <c r="G152" s="24"/>
      <c r="H152" s="24"/>
      <c r="K152" s="27"/>
      <c r="S152" s="24"/>
    </row>
    <row r="153" spans="1:19" ht="15.75" customHeight="1" x14ac:dyDescent="0.25">
      <c r="A153" s="24"/>
      <c r="C153" s="26"/>
      <c r="D153" s="104"/>
      <c r="E153" s="24"/>
      <c r="F153" s="24"/>
      <c r="G153" s="24"/>
      <c r="H153" s="24"/>
      <c r="K153" s="27"/>
      <c r="S153" s="24"/>
    </row>
    <row r="154" spans="1:19" ht="15.75" customHeight="1" x14ac:dyDescent="0.25">
      <c r="A154" s="24"/>
      <c r="C154" s="26"/>
      <c r="D154" s="104"/>
      <c r="E154" s="24"/>
      <c r="F154" s="24"/>
      <c r="G154" s="24"/>
      <c r="H154" s="24"/>
      <c r="K154" s="27"/>
      <c r="S154" s="24"/>
    </row>
    <row r="155" spans="1:19" ht="15.75" customHeight="1" x14ac:dyDescent="0.25">
      <c r="A155" s="24"/>
      <c r="C155" s="26"/>
      <c r="D155" s="104"/>
      <c r="E155" s="24"/>
      <c r="F155" s="24"/>
      <c r="G155" s="24"/>
      <c r="H155" s="24"/>
      <c r="K155" s="27"/>
      <c r="S155" s="24"/>
    </row>
    <row r="156" spans="1:19" ht="15.75" customHeight="1" x14ac:dyDescent="0.25">
      <c r="A156" s="24"/>
      <c r="C156" s="26"/>
      <c r="D156" s="104"/>
      <c r="E156" s="24"/>
      <c r="F156" s="24"/>
      <c r="G156" s="24"/>
      <c r="H156" s="24"/>
      <c r="K156" s="27"/>
      <c r="S156" s="24"/>
    </row>
    <row r="157" spans="1:19" ht="15.75" customHeight="1" x14ac:dyDescent="0.25">
      <c r="A157" s="24"/>
      <c r="C157" s="26"/>
      <c r="D157" s="104"/>
      <c r="E157" s="24"/>
      <c r="F157" s="24"/>
      <c r="G157" s="24"/>
      <c r="H157" s="24"/>
      <c r="K157" s="27"/>
      <c r="S157" s="24"/>
    </row>
    <row r="158" spans="1:19" ht="15.75" customHeight="1" x14ac:dyDescent="0.25">
      <c r="A158" s="24"/>
      <c r="C158" s="26"/>
      <c r="D158" s="104"/>
      <c r="E158" s="24"/>
      <c r="F158" s="24"/>
      <c r="G158" s="24"/>
      <c r="H158" s="24"/>
      <c r="K158" s="27"/>
      <c r="S158" s="24"/>
    </row>
    <row r="159" spans="1:19" ht="15.75" customHeight="1" x14ac:dyDescent="0.25">
      <c r="A159" s="24"/>
      <c r="C159" s="26"/>
      <c r="D159" s="104"/>
      <c r="E159" s="24"/>
      <c r="F159" s="24"/>
      <c r="G159" s="24"/>
      <c r="H159" s="24"/>
      <c r="K159" s="27"/>
      <c r="S159" s="24"/>
    </row>
    <row r="160" spans="1:19" ht="15.75" customHeight="1" x14ac:dyDescent="0.25">
      <c r="A160" s="24"/>
      <c r="C160" s="26"/>
      <c r="D160" s="104"/>
      <c r="E160" s="24"/>
      <c r="F160" s="24"/>
      <c r="G160" s="24"/>
      <c r="H160" s="24"/>
      <c r="K160" s="27"/>
      <c r="S160" s="24"/>
    </row>
    <row r="161" spans="1:19" ht="15.75" customHeight="1" x14ac:dyDescent="0.25">
      <c r="A161" s="24"/>
      <c r="C161" s="26"/>
      <c r="D161" s="104"/>
      <c r="E161" s="24"/>
      <c r="F161" s="24"/>
      <c r="G161" s="24"/>
      <c r="H161" s="24"/>
      <c r="K161" s="27"/>
      <c r="S161" s="24"/>
    </row>
    <row r="162" spans="1:19" ht="15.75" customHeight="1" x14ac:dyDescent="0.25">
      <c r="A162" s="24"/>
      <c r="C162" s="26"/>
      <c r="D162" s="104"/>
      <c r="E162" s="24"/>
      <c r="F162" s="24"/>
      <c r="G162" s="24"/>
      <c r="H162" s="24"/>
      <c r="K162" s="27"/>
      <c r="S162" s="24"/>
    </row>
    <row r="163" spans="1:19" ht="15.75" customHeight="1" x14ac:dyDescent="0.25">
      <c r="A163" s="24"/>
      <c r="C163" s="26"/>
      <c r="D163" s="104"/>
      <c r="E163" s="24"/>
      <c r="F163" s="24"/>
      <c r="G163" s="24"/>
      <c r="H163" s="24"/>
      <c r="K163" s="27"/>
      <c r="S163" s="24"/>
    </row>
    <row r="164" spans="1:19" ht="15.75" customHeight="1" x14ac:dyDescent="0.25">
      <c r="A164" s="24"/>
      <c r="C164" s="26"/>
      <c r="D164" s="104"/>
      <c r="E164" s="24"/>
      <c r="F164" s="24"/>
      <c r="G164" s="24"/>
      <c r="H164" s="24"/>
      <c r="K164" s="27"/>
      <c r="S164" s="24"/>
    </row>
    <row r="165" spans="1:19" ht="15.75" customHeight="1" x14ac:dyDescent="0.25">
      <c r="A165" s="24"/>
      <c r="C165" s="26"/>
      <c r="D165" s="104"/>
      <c r="E165" s="24"/>
      <c r="F165" s="24"/>
      <c r="G165" s="24"/>
      <c r="H165" s="24"/>
      <c r="K165" s="27"/>
      <c r="S165" s="24"/>
    </row>
    <row r="166" spans="1:19" ht="15.75" customHeight="1" x14ac:dyDescent="0.25">
      <c r="A166" s="24"/>
      <c r="C166" s="26"/>
      <c r="D166" s="104"/>
      <c r="E166" s="24"/>
      <c r="F166" s="24"/>
      <c r="G166" s="24"/>
      <c r="H166" s="24"/>
      <c r="K166" s="27"/>
      <c r="S166" s="24"/>
    </row>
    <row r="167" spans="1:19" ht="15.75" customHeight="1" x14ac:dyDescent="0.25">
      <c r="A167" s="24"/>
      <c r="C167" s="26"/>
      <c r="D167" s="104"/>
      <c r="E167" s="24"/>
      <c r="F167" s="24"/>
      <c r="G167" s="24"/>
      <c r="H167" s="24"/>
      <c r="K167" s="27"/>
      <c r="S167" s="24"/>
    </row>
    <row r="168" spans="1:19" ht="15.75" customHeight="1" x14ac:dyDescent="0.25">
      <c r="A168" s="24"/>
      <c r="C168" s="26"/>
      <c r="D168" s="104"/>
      <c r="E168" s="24"/>
      <c r="F168" s="24"/>
      <c r="G168" s="24"/>
      <c r="H168" s="24"/>
      <c r="K168" s="27"/>
      <c r="S168" s="24"/>
    </row>
    <row r="169" spans="1:19" ht="15.75" customHeight="1" x14ac:dyDescent="0.25">
      <c r="A169" s="24"/>
      <c r="C169" s="26"/>
      <c r="D169" s="104"/>
      <c r="E169" s="24"/>
      <c r="F169" s="24"/>
      <c r="G169" s="24"/>
      <c r="H169" s="24"/>
      <c r="K169" s="27"/>
      <c r="S169" s="24"/>
    </row>
    <row r="170" spans="1:19" ht="15.75" customHeight="1" x14ac:dyDescent="0.25">
      <c r="A170" s="24"/>
      <c r="C170" s="26"/>
      <c r="D170" s="104"/>
      <c r="E170" s="24"/>
      <c r="F170" s="24"/>
      <c r="G170" s="24"/>
      <c r="H170" s="24"/>
      <c r="K170" s="27"/>
      <c r="S170" s="24"/>
    </row>
    <row r="171" spans="1:19" ht="15.75" customHeight="1" x14ac:dyDescent="0.25">
      <c r="A171" s="24"/>
      <c r="C171" s="26"/>
      <c r="D171" s="104"/>
      <c r="E171" s="24"/>
      <c r="F171" s="24"/>
      <c r="G171" s="24"/>
      <c r="H171" s="24"/>
      <c r="K171" s="27"/>
      <c r="S171" s="24"/>
    </row>
    <row r="172" spans="1:19" ht="15.75" customHeight="1" x14ac:dyDescent="0.25">
      <c r="A172" s="24"/>
      <c r="C172" s="26"/>
      <c r="D172" s="104"/>
      <c r="E172" s="24"/>
      <c r="F172" s="24"/>
      <c r="G172" s="24"/>
      <c r="H172" s="24"/>
      <c r="K172" s="27"/>
      <c r="S172" s="24"/>
    </row>
    <row r="173" spans="1:19" ht="15.75" customHeight="1" x14ac:dyDescent="0.25">
      <c r="A173" s="24"/>
      <c r="C173" s="26"/>
      <c r="D173" s="104"/>
      <c r="E173" s="24"/>
      <c r="F173" s="24"/>
      <c r="G173" s="24"/>
      <c r="H173" s="24"/>
      <c r="K173" s="27"/>
      <c r="S173" s="24"/>
    </row>
    <row r="174" spans="1:19" ht="15.75" customHeight="1" x14ac:dyDescent="0.25">
      <c r="A174" s="24"/>
      <c r="C174" s="26"/>
      <c r="D174" s="104"/>
      <c r="E174" s="24"/>
      <c r="F174" s="24"/>
      <c r="G174" s="24"/>
      <c r="H174" s="24"/>
      <c r="K174" s="27"/>
      <c r="S174" s="24"/>
    </row>
    <row r="175" spans="1:19" ht="15.75" customHeight="1" x14ac:dyDescent="0.25">
      <c r="A175" s="24"/>
      <c r="C175" s="26"/>
      <c r="D175" s="104"/>
      <c r="E175" s="24"/>
      <c r="F175" s="24"/>
      <c r="G175" s="24"/>
      <c r="H175" s="24"/>
      <c r="K175" s="27"/>
      <c r="S175" s="24"/>
    </row>
    <row r="176" spans="1:19" ht="15.75" customHeight="1" x14ac:dyDescent="0.25">
      <c r="A176" s="24"/>
      <c r="C176" s="26"/>
      <c r="D176" s="104"/>
      <c r="E176" s="24"/>
      <c r="F176" s="24"/>
      <c r="G176" s="24"/>
      <c r="H176" s="24"/>
      <c r="K176" s="27"/>
      <c r="S176" s="24"/>
    </row>
    <row r="177" spans="1:19" ht="15.75" customHeight="1" x14ac:dyDescent="0.25">
      <c r="A177" s="24"/>
      <c r="C177" s="26"/>
      <c r="D177" s="104"/>
      <c r="E177" s="24"/>
      <c r="F177" s="24"/>
      <c r="G177" s="24"/>
      <c r="H177" s="24"/>
      <c r="K177" s="27"/>
      <c r="S177" s="24"/>
    </row>
    <row r="178" spans="1:19" ht="15.75" customHeight="1" x14ac:dyDescent="0.25">
      <c r="A178" s="24"/>
      <c r="C178" s="26"/>
      <c r="D178" s="104"/>
      <c r="E178" s="24"/>
      <c r="F178" s="24"/>
      <c r="G178" s="24"/>
      <c r="H178" s="24"/>
      <c r="K178" s="27"/>
      <c r="S178" s="24"/>
    </row>
    <row r="179" spans="1:19" ht="15.75" customHeight="1" x14ac:dyDescent="0.25">
      <c r="A179" s="24"/>
      <c r="C179" s="26"/>
      <c r="D179" s="104"/>
      <c r="E179" s="24"/>
      <c r="F179" s="24"/>
      <c r="G179" s="24"/>
      <c r="H179" s="24"/>
      <c r="K179" s="27"/>
      <c r="S179" s="24"/>
    </row>
    <row r="180" spans="1:19" ht="15.75" customHeight="1" x14ac:dyDescent="0.25">
      <c r="A180" s="24"/>
      <c r="C180" s="26"/>
      <c r="D180" s="104"/>
      <c r="E180" s="24"/>
      <c r="F180" s="24"/>
      <c r="G180" s="24"/>
      <c r="H180" s="24"/>
      <c r="K180" s="27"/>
      <c r="S180" s="24"/>
    </row>
    <row r="181" spans="1:19" ht="15.75" customHeight="1" x14ac:dyDescent="0.25">
      <c r="A181" s="24"/>
      <c r="C181" s="26"/>
      <c r="D181" s="104"/>
      <c r="E181" s="24"/>
      <c r="F181" s="24"/>
      <c r="G181" s="24"/>
      <c r="H181" s="24"/>
      <c r="K181" s="27"/>
      <c r="S181" s="24"/>
    </row>
    <row r="182" spans="1:19" ht="15.75" customHeight="1" x14ac:dyDescent="0.25">
      <c r="A182" s="24"/>
      <c r="C182" s="26"/>
      <c r="D182" s="104"/>
      <c r="E182" s="24"/>
      <c r="F182" s="24"/>
      <c r="G182" s="24"/>
      <c r="H182" s="24"/>
      <c r="K182" s="27"/>
      <c r="S182" s="24"/>
    </row>
    <row r="183" spans="1:19" ht="15.75" customHeight="1" x14ac:dyDescent="0.25">
      <c r="A183" s="24"/>
      <c r="C183" s="26"/>
      <c r="D183" s="104"/>
      <c r="E183" s="24"/>
      <c r="F183" s="24"/>
      <c r="G183" s="24"/>
      <c r="H183" s="24"/>
      <c r="K183" s="27"/>
      <c r="S183" s="24"/>
    </row>
    <row r="184" spans="1:19" ht="15.75" customHeight="1" x14ac:dyDescent="0.25">
      <c r="A184" s="24"/>
      <c r="C184" s="26"/>
      <c r="D184" s="104"/>
      <c r="E184" s="24"/>
      <c r="F184" s="24"/>
      <c r="G184" s="24"/>
      <c r="H184" s="24"/>
      <c r="K184" s="27"/>
      <c r="S184" s="24"/>
    </row>
    <row r="185" spans="1:19" ht="15.75" customHeight="1" x14ac:dyDescent="0.25">
      <c r="A185" s="24"/>
      <c r="C185" s="26"/>
      <c r="D185" s="104"/>
      <c r="E185" s="24"/>
      <c r="F185" s="24"/>
      <c r="G185" s="24"/>
      <c r="H185" s="24"/>
      <c r="K185" s="27"/>
      <c r="S185" s="24"/>
    </row>
    <row r="186" spans="1:19" ht="15.75" customHeight="1" x14ac:dyDescent="0.25">
      <c r="A186" s="24"/>
      <c r="C186" s="26"/>
      <c r="D186" s="104"/>
      <c r="E186" s="24"/>
      <c r="F186" s="24"/>
      <c r="G186" s="24"/>
      <c r="H186" s="24"/>
      <c r="K186" s="27"/>
      <c r="S186" s="24"/>
    </row>
    <row r="187" spans="1:19" ht="15.75" customHeight="1" x14ac:dyDescent="0.25">
      <c r="A187" s="24"/>
      <c r="C187" s="26"/>
      <c r="D187" s="104"/>
      <c r="E187" s="24"/>
      <c r="F187" s="24"/>
      <c r="G187" s="24"/>
      <c r="H187" s="24"/>
      <c r="K187" s="27"/>
      <c r="S187" s="24"/>
    </row>
    <row r="188" spans="1:19" ht="15.75" customHeight="1" x14ac:dyDescent="0.25">
      <c r="A188" s="24"/>
      <c r="C188" s="26"/>
      <c r="D188" s="104"/>
      <c r="E188" s="24"/>
      <c r="F188" s="24"/>
      <c r="G188" s="24"/>
      <c r="H188" s="24"/>
      <c r="K188" s="27"/>
      <c r="S188" s="24"/>
    </row>
    <row r="189" spans="1:19" ht="15.75" customHeight="1" x14ac:dyDescent="0.25">
      <c r="A189" s="24"/>
      <c r="C189" s="26"/>
      <c r="D189" s="104"/>
      <c r="E189" s="24"/>
      <c r="F189" s="24"/>
      <c r="G189" s="24"/>
      <c r="H189" s="24"/>
      <c r="K189" s="27"/>
      <c r="S189" s="24"/>
    </row>
    <row r="190" spans="1:19" ht="15.75" customHeight="1" x14ac:dyDescent="0.25">
      <c r="A190" s="24"/>
      <c r="C190" s="26"/>
      <c r="D190" s="104"/>
      <c r="E190" s="24"/>
      <c r="F190" s="24"/>
      <c r="G190" s="24"/>
      <c r="H190" s="24"/>
      <c r="K190" s="27"/>
      <c r="S190" s="24"/>
    </row>
    <row r="191" spans="1:19" ht="15.75" customHeight="1" x14ac:dyDescent="0.25">
      <c r="A191" s="24"/>
      <c r="C191" s="26"/>
      <c r="D191" s="104"/>
      <c r="E191" s="24"/>
      <c r="F191" s="24"/>
      <c r="G191" s="24"/>
      <c r="H191" s="24"/>
      <c r="K191" s="27"/>
      <c r="S191" s="24"/>
    </row>
    <row r="192" spans="1:19" ht="15.75" customHeight="1" x14ac:dyDescent="0.25">
      <c r="A192" s="24"/>
      <c r="C192" s="26"/>
      <c r="D192" s="104"/>
      <c r="E192" s="24"/>
      <c r="F192" s="24"/>
      <c r="G192" s="24"/>
      <c r="H192" s="24"/>
      <c r="K192" s="27"/>
      <c r="S192" s="24"/>
    </row>
    <row r="193" spans="1:19" ht="15.75" customHeight="1" x14ac:dyDescent="0.25">
      <c r="A193" s="24"/>
      <c r="C193" s="26"/>
      <c r="D193" s="104"/>
      <c r="E193" s="24"/>
      <c r="F193" s="24"/>
      <c r="G193" s="24"/>
      <c r="H193" s="24"/>
      <c r="K193" s="27"/>
      <c r="S193" s="24"/>
    </row>
    <row r="194" spans="1:19" ht="15.75" customHeight="1" x14ac:dyDescent="0.25">
      <c r="A194" s="24"/>
      <c r="C194" s="26"/>
      <c r="D194" s="104"/>
      <c r="E194" s="24"/>
      <c r="F194" s="24"/>
      <c r="G194" s="24"/>
      <c r="H194" s="24"/>
      <c r="K194" s="27"/>
      <c r="S194" s="24"/>
    </row>
    <row r="195" spans="1:19" ht="15.75" customHeight="1" x14ac:dyDescent="0.25">
      <c r="A195" s="24"/>
      <c r="C195" s="26"/>
      <c r="D195" s="104"/>
      <c r="E195" s="24"/>
      <c r="F195" s="24"/>
      <c r="G195" s="24"/>
      <c r="H195" s="24"/>
      <c r="K195" s="27"/>
      <c r="S195" s="24"/>
    </row>
    <row r="196" spans="1:19" ht="15.75" customHeight="1" x14ac:dyDescent="0.25">
      <c r="A196" s="24"/>
      <c r="C196" s="26"/>
      <c r="D196" s="104"/>
      <c r="E196" s="24"/>
      <c r="F196" s="24"/>
      <c r="G196" s="24"/>
      <c r="H196" s="24"/>
      <c r="K196" s="27"/>
      <c r="S196" s="24"/>
    </row>
    <row r="197" spans="1:19" ht="15.75" customHeight="1" x14ac:dyDescent="0.25">
      <c r="A197" s="24"/>
      <c r="C197" s="26"/>
      <c r="D197" s="104"/>
      <c r="E197" s="24"/>
      <c r="F197" s="24"/>
      <c r="G197" s="24"/>
      <c r="H197" s="24"/>
      <c r="K197" s="27"/>
      <c r="S197" s="24"/>
    </row>
    <row r="198" spans="1:19" ht="15.75" customHeight="1" x14ac:dyDescent="0.25">
      <c r="A198" s="24"/>
      <c r="C198" s="26"/>
      <c r="D198" s="104"/>
      <c r="E198" s="24"/>
      <c r="F198" s="24"/>
      <c r="G198" s="24"/>
      <c r="H198" s="24"/>
      <c r="K198" s="27"/>
      <c r="S198" s="24"/>
    </row>
    <row r="199" spans="1:19" ht="15.75" customHeight="1" x14ac:dyDescent="0.25">
      <c r="A199" s="24"/>
      <c r="C199" s="26"/>
      <c r="D199" s="104"/>
      <c r="E199" s="24"/>
      <c r="F199" s="24"/>
      <c r="G199" s="24"/>
      <c r="H199" s="24"/>
      <c r="K199" s="27"/>
      <c r="S199" s="24"/>
    </row>
    <row r="200" spans="1:19" ht="15.75" customHeight="1" x14ac:dyDescent="0.25">
      <c r="A200" s="24"/>
      <c r="C200" s="26"/>
      <c r="D200" s="104"/>
      <c r="E200" s="24"/>
      <c r="F200" s="24"/>
      <c r="G200" s="24"/>
      <c r="H200" s="24"/>
      <c r="K200" s="27"/>
      <c r="S200" s="24"/>
    </row>
    <row r="201" spans="1:19" ht="15.75" customHeight="1" x14ac:dyDescent="0.25">
      <c r="A201" s="24"/>
      <c r="C201" s="26"/>
      <c r="D201" s="104"/>
      <c r="E201" s="24"/>
      <c r="F201" s="24"/>
      <c r="G201" s="24"/>
      <c r="H201" s="24"/>
      <c r="K201" s="27"/>
      <c r="S201" s="24"/>
    </row>
    <row r="202" spans="1:19" ht="15.75" customHeight="1" x14ac:dyDescent="0.25">
      <c r="A202" s="24"/>
      <c r="C202" s="26"/>
      <c r="D202" s="104"/>
      <c r="E202" s="24"/>
      <c r="F202" s="24"/>
      <c r="G202" s="24"/>
      <c r="H202" s="24"/>
      <c r="K202" s="27"/>
      <c r="S202" s="24"/>
    </row>
    <row r="203" spans="1:19" ht="15.75" customHeight="1" x14ac:dyDescent="0.25">
      <c r="A203" s="24"/>
      <c r="C203" s="26"/>
      <c r="D203" s="104"/>
      <c r="E203" s="24"/>
      <c r="F203" s="24"/>
      <c r="G203" s="24"/>
      <c r="H203" s="24"/>
      <c r="K203" s="27"/>
      <c r="S203" s="24"/>
    </row>
    <row r="204" spans="1:19" ht="15.75" customHeight="1" x14ac:dyDescent="0.25">
      <c r="A204" s="24"/>
      <c r="C204" s="26"/>
      <c r="D204" s="104"/>
      <c r="E204" s="24"/>
      <c r="F204" s="24"/>
      <c r="G204" s="24"/>
      <c r="H204" s="24"/>
      <c r="K204" s="27"/>
      <c r="S204" s="24"/>
    </row>
    <row r="205" spans="1:19" ht="15.75" customHeight="1" x14ac:dyDescent="0.25">
      <c r="A205" s="24"/>
      <c r="C205" s="26"/>
      <c r="D205" s="104"/>
      <c r="E205" s="24"/>
      <c r="F205" s="24"/>
      <c r="G205" s="24"/>
      <c r="H205" s="24"/>
      <c r="K205" s="27"/>
      <c r="S205" s="24"/>
    </row>
    <row r="206" spans="1:19" ht="15.75" customHeight="1" x14ac:dyDescent="0.25">
      <c r="A206" s="24"/>
      <c r="C206" s="26"/>
      <c r="D206" s="104"/>
      <c r="E206" s="24"/>
      <c r="F206" s="24"/>
      <c r="G206" s="24"/>
      <c r="H206" s="24"/>
      <c r="K206" s="27"/>
      <c r="S206" s="24"/>
    </row>
    <row r="207" spans="1:19" ht="15.75" customHeight="1" x14ac:dyDescent="0.25">
      <c r="A207" s="24"/>
      <c r="C207" s="26"/>
      <c r="D207" s="104"/>
      <c r="E207" s="24"/>
      <c r="F207" s="24"/>
      <c r="G207" s="24"/>
      <c r="H207" s="24"/>
      <c r="K207" s="27"/>
      <c r="S207" s="24"/>
    </row>
    <row r="208" spans="1:19" ht="15.75" customHeight="1" x14ac:dyDescent="0.25">
      <c r="A208" s="24"/>
      <c r="C208" s="26"/>
      <c r="D208" s="104"/>
      <c r="E208" s="24"/>
      <c r="F208" s="24"/>
      <c r="G208" s="24"/>
      <c r="H208" s="24"/>
      <c r="K208" s="27"/>
      <c r="S208" s="24"/>
    </row>
    <row r="209" spans="1:19" ht="15.75" customHeight="1" x14ac:dyDescent="0.25">
      <c r="A209" s="24"/>
      <c r="C209" s="26"/>
      <c r="D209" s="104"/>
      <c r="E209" s="24"/>
      <c r="F209" s="24"/>
      <c r="G209" s="24"/>
      <c r="H209" s="24"/>
      <c r="K209" s="27"/>
      <c r="S209" s="24"/>
    </row>
    <row r="210" spans="1:19" ht="15.75" customHeight="1" x14ac:dyDescent="0.25">
      <c r="A210" s="24"/>
      <c r="C210" s="26"/>
      <c r="D210" s="104"/>
      <c r="E210" s="24"/>
      <c r="F210" s="24"/>
      <c r="G210" s="24"/>
      <c r="H210" s="24"/>
      <c r="K210" s="27"/>
      <c r="S210" s="24"/>
    </row>
    <row r="211" spans="1:19" ht="15.75" customHeight="1" x14ac:dyDescent="0.25">
      <c r="A211" s="24"/>
      <c r="C211" s="26"/>
      <c r="D211" s="104"/>
      <c r="E211" s="24"/>
      <c r="F211" s="24"/>
      <c r="G211" s="24"/>
      <c r="H211" s="24"/>
      <c r="K211" s="27"/>
      <c r="S211" s="24"/>
    </row>
    <row r="212" spans="1:19" ht="15.75" customHeight="1" x14ac:dyDescent="0.25">
      <c r="A212" s="24"/>
      <c r="C212" s="26"/>
      <c r="D212" s="104"/>
      <c r="E212" s="24"/>
      <c r="F212" s="24"/>
      <c r="G212" s="24"/>
      <c r="H212" s="24"/>
      <c r="K212" s="27"/>
      <c r="S212" s="24"/>
    </row>
    <row r="213" spans="1:19" ht="15.75" customHeight="1" x14ac:dyDescent="0.25">
      <c r="A213" s="24"/>
      <c r="C213" s="26"/>
      <c r="D213" s="104"/>
      <c r="E213" s="24"/>
      <c r="F213" s="24"/>
      <c r="G213" s="24"/>
      <c r="H213" s="24"/>
      <c r="K213" s="27"/>
      <c r="S213" s="24"/>
    </row>
    <row r="214" spans="1:19" ht="15.75" customHeight="1" x14ac:dyDescent="0.25">
      <c r="A214" s="24"/>
      <c r="C214" s="26"/>
      <c r="D214" s="104"/>
      <c r="E214" s="24"/>
      <c r="F214" s="24"/>
      <c r="G214" s="24"/>
      <c r="H214" s="24"/>
      <c r="K214" s="27"/>
      <c r="S214" s="24"/>
    </row>
    <row r="215" spans="1:19" ht="15.75" customHeight="1" x14ac:dyDescent="0.25">
      <c r="A215" s="24"/>
      <c r="C215" s="26"/>
      <c r="D215" s="104"/>
      <c r="E215" s="24"/>
      <c r="F215" s="24"/>
      <c r="G215" s="24"/>
      <c r="H215" s="24"/>
      <c r="K215" s="27"/>
      <c r="S215" s="24"/>
    </row>
    <row r="216" spans="1:19" ht="15.75" customHeight="1" x14ac:dyDescent="0.25">
      <c r="A216" s="24"/>
      <c r="C216" s="26"/>
      <c r="D216" s="104"/>
      <c r="E216" s="24"/>
      <c r="F216" s="24"/>
      <c r="G216" s="24"/>
      <c r="H216" s="24"/>
      <c r="K216" s="27"/>
      <c r="S216" s="24"/>
    </row>
    <row r="217" spans="1:19" ht="15.75" customHeight="1" x14ac:dyDescent="0.25">
      <c r="A217" s="24"/>
      <c r="C217" s="26"/>
      <c r="D217" s="104"/>
      <c r="E217" s="24"/>
      <c r="F217" s="24"/>
      <c r="G217" s="24"/>
      <c r="H217" s="24"/>
      <c r="K217" s="27"/>
      <c r="S217" s="24"/>
    </row>
    <row r="218" spans="1:19" ht="15.75" customHeight="1" x14ac:dyDescent="0.25">
      <c r="A218" s="24"/>
      <c r="C218" s="26"/>
      <c r="D218" s="104"/>
      <c r="E218" s="24"/>
      <c r="F218" s="24"/>
      <c r="G218" s="24"/>
      <c r="H218" s="24"/>
      <c r="K218" s="27"/>
      <c r="S218" s="24"/>
    </row>
    <row r="219" spans="1:19" ht="15.75" customHeight="1" x14ac:dyDescent="0.25">
      <c r="A219" s="24"/>
      <c r="C219" s="26"/>
      <c r="D219" s="104"/>
      <c r="E219" s="24"/>
      <c r="F219" s="24"/>
      <c r="G219" s="24"/>
      <c r="H219" s="24"/>
      <c r="K219" s="27"/>
      <c r="S219" s="24"/>
    </row>
    <row r="220" spans="1:19" ht="15.75" customHeight="1" x14ac:dyDescent="0.25">
      <c r="A220" s="24"/>
      <c r="C220" s="26"/>
      <c r="D220" s="104"/>
      <c r="E220" s="24"/>
      <c r="F220" s="24"/>
      <c r="G220" s="24"/>
      <c r="H220" s="24"/>
      <c r="K220" s="27"/>
      <c r="S220" s="24"/>
    </row>
    <row r="221" spans="1:19" ht="15.75" customHeight="1" x14ac:dyDescent="0.25">
      <c r="A221" s="24"/>
      <c r="C221" s="26"/>
      <c r="D221" s="104"/>
      <c r="E221" s="24"/>
      <c r="F221" s="24"/>
      <c r="G221" s="24"/>
      <c r="H221" s="24"/>
      <c r="K221" s="27"/>
      <c r="S221" s="24"/>
    </row>
    <row r="222" spans="1:19" ht="15.75" customHeight="1" x14ac:dyDescent="0.25">
      <c r="A222" s="24"/>
      <c r="C222" s="26"/>
      <c r="D222" s="104"/>
      <c r="E222" s="24"/>
      <c r="F222" s="24"/>
      <c r="G222" s="24"/>
      <c r="H222" s="24"/>
      <c r="K222" s="27"/>
      <c r="S222" s="24"/>
    </row>
    <row r="223" spans="1:19" ht="15.75" customHeight="1" x14ac:dyDescent="0.25">
      <c r="A223" s="24"/>
      <c r="C223" s="26"/>
      <c r="D223" s="104"/>
      <c r="E223" s="24"/>
      <c r="F223" s="24"/>
      <c r="G223" s="24"/>
      <c r="H223" s="24"/>
      <c r="K223" s="27"/>
      <c r="S223" s="24"/>
    </row>
    <row r="224" spans="1:19" ht="15.75" customHeight="1" x14ac:dyDescent="0.25">
      <c r="A224" s="24"/>
      <c r="C224" s="26"/>
      <c r="D224" s="104"/>
      <c r="E224" s="24"/>
      <c r="F224" s="24"/>
      <c r="G224" s="24"/>
      <c r="H224" s="24"/>
      <c r="K224" s="27"/>
      <c r="S224" s="24"/>
    </row>
    <row r="225" spans="1:19" ht="15.75" customHeight="1" x14ac:dyDescent="0.25">
      <c r="A225" s="24"/>
      <c r="C225" s="26"/>
      <c r="D225" s="104"/>
      <c r="E225" s="24"/>
      <c r="F225" s="24"/>
      <c r="G225" s="24"/>
      <c r="H225" s="24"/>
      <c r="K225" s="27"/>
      <c r="S225" s="24"/>
    </row>
    <row r="226" spans="1:19" ht="15.75" customHeight="1" x14ac:dyDescent="0.25">
      <c r="A226" s="24"/>
      <c r="C226" s="26"/>
      <c r="D226" s="104"/>
      <c r="E226" s="24"/>
      <c r="F226" s="24"/>
      <c r="G226" s="24"/>
      <c r="H226" s="24"/>
      <c r="K226" s="27"/>
      <c r="S226" s="24"/>
    </row>
    <row r="227" spans="1:19" ht="15.75" customHeight="1" x14ac:dyDescent="0.25">
      <c r="A227" s="24"/>
      <c r="C227" s="26"/>
      <c r="D227" s="104"/>
      <c r="E227" s="24"/>
      <c r="F227" s="24"/>
      <c r="G227" s="24"/>
      <c r="H227" s="24"/>
      <c r="K227" s="27"/>
      <c r="S227" s="24"/>
    </row>
    <row r="228" spans="1:19" ht="15.75" customHeight="1" x14ac:dyDescent="0.25">
      <c r="A228" s="24"/>
      <c r="C228" s="26"/>
      <c r="D228" s="104"/>
      <c r="E228" s="24"/>
      <c r="F228" s="24"/>
      <c r="G228" s="24"/>
      <c r="H228" s="24"/>
      <c r="K228" s="27"/>
      <c r="S228" s="24"/>
    </row>
    <row r="229" spans="1:19" ht="15.75" customHeight="1" x14ac:dyDescent="0.25">
      <c r="A229" s="24"/>
      <c r="C229" s="26"/>
      <c r="D229" s="104"/>
      <c r="E229" s="24"/>
      <c r="F229" s="24"/>
      <c r="G229" s="24"/>
      <c r="H229" s="24"/>
      <c r="K229" s="27"/>
      <c r="S229" s="24"/>
    </row>
    <row r="230" spans="1:19" ht="15.75" customHeight="1" x14ac:dyDescent="0.25">
      <c r="A230" s="24"/>
      <c r="C230" s="26"/>
      <c r="D230" s="104"/>
      <c r="E230" s="24"/>
      <c r="F230" s="24"/>
      <c r="G230" s="24"/>
      <c r="H230" s="24"/>
      <c r="K230" s="27"/>
      <c r="S230" s="24"/>
    </row>
    <row r="231" spans="1:19" ht="15.75" customHeight="1" x14ac:dyDescent="0.25">
      <c r="A231" s="24"/>
      <c r="C231" s="26"/>
      <c r="D231" s="104"/>
      <c r="E231" s="24"/>
      <c r="F231" s="24"/>
      <c r="G231" s="24"/>
      <c r="H231" s="24"/>
      <c r="K231" s="27"/>
      <c r="S231" s="24"/>
    </row>
    <row r="232" spans="1:19" ht="15.75" customHeight="1" x14ac:dyDescent="0.25">
      <c r="A232" s="24"/>
      <c r="C232" s="26"/>
      <c r="D232" s="104"/>
      <c r="E232" s="24"/>
      <c r="F232" s="24"/>
      <c r="G232" s="24"/>
      <c r="H232" s="24"/>
      <c r="K232" s="27"/>
      <c r="S232" s="24"/>
    </row>
    <row r="233" spans="1:19" ht="15.75" customHeight="1" x14ac:dyDescent="0.25">
      <c r="A233" s="24"/>
      <c r="C233" s="26"/>
      <c r="D233" s="104"/>
      <c r="E233" s="24"/>
      <c r="F233" s="24"/>
      <c r="G233" s="24"/>
      <c r="H233" s="24"/>
      <c r="K233" s="27"/>
      <c r="S233" s="24"/>
    </row>
    <row r="234" spans="1:19" ht="15.75" customHeight="1" x14ac:dyDescent="0.25">
      <c r="A234" s="24"/>
      <c r="C234" s="26"/>
      <c r="D234" s="104"/>
      <c r="E234" s="24"/>
      <c r="F234" s="24"/>
      <c r="G234" s="24"/>
      <c r="H234" s="24"/>
      <c r="K234" s="27"/>
      <c r="S234" s="24"/>
    </row>
    <row r="235" spans="1:19" ht="15.75" customHeight="1" x14ac:dyDescent="0.25">
      <c r="A235" s="24"/>
      <c r="C235" s="26"/>
      <c r="D235" s="104"/>
      <c r="E235" s="24"/>
      <c r="F235" s="24"/>
      <c r="G235" s="24"/>
      <c r="H235" s="24"/>
      <c r="K235" s="27"/>
      <c r="S235" s="24"/>
    </row>
    <row r="236" spans="1:19" ht="15.75" customHeight="1" x14ac:dyDescent="0.25">
      <c r="A236" s="24"/>
      <c r="C236" s="26"/>
      <c r="D236" s="104"/>
      <c r="E236" s="24"/>
      <c r="F236" s="24"/>
      <c r="G236" s="24"/>
      <c r="H236" s="24"/>
      <c r="K236" s="27"/>
      <c r="S236" s="24"/>
    </row>
    <row r="237" spans="1:19" ht="15.75" customHeight="1" x14ac:dyDescent="0.25">
      <c r="A237" s="24"/>
      <c r="C237" s="26"/>
      <c r="D237" s="104"/>
      <c r="E237" s="24"/>
      <c r="F237" s="24"/>
      <c r="G237" s="24"/>
      <c r="H237" s="24"/>
      <c r="K237" s="27"/>
      <c r="S237" s="24"/>
    </row>
    <row r="238" spans="1:19" ht="15.75" customHeight="1" x14ac:dyDescent="0.25">
      <c r="A238" s="24"/>
      <c r="C238" s="26"/>
      <c r="D238" s="104"/>
      <c r="E238" s="24"/>
      <c r="F238" s="24"/>
      <c r="G238" s="24"/>
      <c r="H238" s="24"/>
      <c r="K238" s="27"/>
      <c r="S238" s="24"/>
    </row>
    <row r="239" spans="1:19" ht="15.75" customHeight="1" x14ac:dyDescent="0.25">
      <c r="A239" s="24"/>
      <c r="C239" s="26"/>
      <c r="D239" s="104"/>
      <c r="E239" s="24"/>
      <c r="F239" s="24"/>
      <c r="G239" s="24"/>
      <c r="H239" s="24"/>
      <c r="K239" s="27"/>
      <c r="S239" s="24"/>
    </row>
    <row r="240" spans="1:19" ht="15.75" customHeight="1" x14ac:dyDescent="0.25">
      <c r="A240" s="24"/>
      <c r="C240" s="26"/>
      <c r="D240" s="104"/>
      <c r="E240" s="24"/>
      <c r="F240" s="24"/>
      <c r="G240" s="24"/>
      <c r="H240" s="24"/>
      <c r="K240" s="27"/>
      <c r="S240" s="24"/>
    </row>
    <row r="241" spans="1:19" ht="15.75" customHeight="1" x14ac:dyDescent="0.25">
      <c r="A241" s="24"/>
      <c r="C241" s="26"/>
      <c r="D241" s="104"/>
      <c r="E241" s="24"/>
      <c r="F241" s="24"/>
      <c r="G241" s="24"/>
      <c r="H241" s="24"/>
      <c r="K241" s="27"/>
      <c r="S241" s="24"/>
    </row>
    <row r="242" spans="1:19" ht="15.75" customHeight="1" x14ac:dyDescent="0.25">
      <c r="A242" s="24"/>
      <c r="C242" s="26"/>
      <c r="D242" s="104"/>
      <c r="E242" s="24"/>
      <c r="F242" s="24"/>
      <c r="G242" s="24"/>
      <c r="H242" s="24"/>
      <c r="K242" s="27"/>
      <c r="S242" s="24"/>
    </row>
    <row r="243" spans="1:19" ht="15.75" customHeight="1" x14ac:dyDescent="0.25">
      <c r="A243" s="24"/>
      <c r="C243" s="26"/>
      <c r="D243" s="104"/>
      <c r="E243" s="24"/>
      <c r="F243" s="24"/>
      <c r="G243" s="24"/>
      <c r="H243" s="24"/>
      <c r="K243" s="27"/>
      <c r="S243" s="24"/>
    </row>
    <row r="244" spans="1:19" ht="15.75" customHeight="1" x14ac:dyDescent="0.25">
      <c r="A244" s="24"/>
      <c r="C244" s="26"/>
      <c r="D244" s="104"/>
      <c r="E244" s="24"/>
      <c r="F244" s="24"/>
      <c r="G244" s="24"/>
      <c r="H244" s="24"/>
      <c r="K244" s="27"/>
      <c r="S244" s="24"/>
    </row>
    <row r="245" spans="1:19" ht="15.75" customHeight="1" x14ac:dyDescent="0.25">
      <c r="A245" s="24"/>
      <c r="C245" s="26"/>
      <c r="D245" s="104"/>
      <c r="E245" s="24"/>
      <c r="F245" s="24"/>
      <c r="G245" s="24"/>
      <c r="H245" s="24"/>
      <c r="K245" s="27"/>
      <c r="S245" s="24"/>
    </row>
    <row r="246" spans="1:19" ht="15.75" customHeight="1" x14ac:dyDescent="0.25">
      <c r="A246" s="24"/>
      <c r="C246" s="26"/>
      <c r="D246" s="104"/>
      <c r="E246" s="24"/>
      <c r="F246" s="24"/>
      <c r="G246" s="24"/>
      <c r="H246" s="24"/>
      <c r="K246" s="27"/>
      <c r="S246" s="24"/>
    </row>
    <row r="247" spans="1:19" ht="15.75" customHeight="1" x14ac:dyDescent="0.25">
      <c r="A247" s="24"/>
      <c r="C247" s="26"/>
      <c r="D247" s="104"/>
      <c r="E247" s="24"/>
      <c r="F247" s="24"/>
      <c r="G247" s="24"/>
      <c r="H247" s="24"/>
      <c r="K247" s="27"/>
      <c r="S247" s="24"/>
    </row>
    <row r="248" spans="1:19" ht="15.75" customHeight="1" x14ac:dyDescent="0.25">
      <c r="A248" s="24"/>
      <c r="C248" s="26"/>
      <c r="D248" s="104"/>
      <c r="E248" s="24"/>
      <c r="F248" s="24"/>
      <c r="G248" s="24"/>
      <c r="H248" s="24"/>
      <c r="K248" s="27"/>
      <c r="S248" s="24"/>
    </row>
    <row r="249" spans="1:19" ht="15.75" customHeight="1" x14ac:dyDescent="0.25">
      <c r="A249" s="24"/>
      <c r="C249" s="26"/>
      <c r="D249" s="104"/>
      <c r="E249" s="24"/>
      <c r="F249" s="24"/>
      <c r="G249" s="24"/>
      <c r="H249" s="24"/>
      <c r="K249" s="27"/>
      <c r="S249" s="24"/>
    </row>
    <row r="250" spans="1:19" ht="15.75" customHeight="1" x14ac:dyDescent="0.25">
      <c r="A250" s="24"/>
      <c r="C250" s="26"/>
      <c r="D250" s="104"/>
      <c r="E250" s="24"/>
      <c r="F250" s="24"/>
      <c r="G250" s="24"/>
      <c r="H250" s="24"/>
      <c r="K250" s="27"/>
      <c r="S250" s="24"/>
    </row>
    <row r="251" spans="1:19" ht="15.75" customHeight="1" x14ac:dyDescent="0.25">
      <c r="A251" s="24"/>
      <c r="C251" s="26"/>
      <c r="D251" s="104"/>
      <c r="E251" s="24"/>
      <c r="F251" s="24"/>
      <c r="G251" s="24"/>
      <c r="H251" s="24"/>
      <c r="K251" s="27"/>
      <c r="S251" s="24"/>
    </row>
    <row r="252" spans="1:19" ht="15.75" customHeight="1" x14ac:dyDescent="0.25">
      <c r="A252" s="24"/>
      <c r="C252" s="26"/>
      <c r="D252" s="104"/>
      <c r="E252" s="24"/>
      <c r="F252" s="24"/>
      <c r="G252" s="24"/>
      <c r="H252" s="24"/>
      <c r="K252" s="27"/>
      <c r="S252" s="24"/>
    </row>
    <row r="253" spans="1:19" ht="15.75" customHeight="1" x14ac:dyDescent="0.25">
      <c r="A253" s="24"/>
      <c r="C253" s="26"/>
      <c r="D253" s="104"/>
      <c r="E253" s="24"/>
      <c r="F253" s="24"/>
      <c r="G253" s="24"/>
      <c r="H253" s="24"/>
      <c r="K253" s="27"/>
      <c r="S253" s="24"/>
    </row>
    <row r="254" spans="1:19" ht="15.75" customHeight="1" x14ac:dyDescent="0.25">
      <c r="A254" s="24"/>
      <c r="C254" s="26"/>
      <c r="D254" s="104"/>
      <c r="E254" s="24"/>
      <c r="F254" s="24"/>
      <c r="G254" s="24"/>
      <c r="H254" s="24"/>
      <c r="K254" s="27"/>
      <c r="S254" s="24"/>
    </row>
    <row r="255" spans="1:19" ht="15.75" customHeight="1" x14ac:dyDescent="0.25">
      <c r="A255" s="24"/>
      <c r="C255" s="26"/>
      <c r="D255" s="104"/>
      <c r="E255" s="24"/>
      <c r="F255" s="24"/>
      <c r="G255" s="24"/>
      <c r="H255" s="24"/>
      <c r="K255" s="27"/>
      <c r="S255" s="24"/>
    </row>
    <row r="256" spans="1:19" ht="15.75" customHeight="1" x14ac:dyDescent="0.25">
      <c r="A256" s="24"/>
      <c r="C256" s="26"/>
      <c r="D256" s="104"/>
      <c r="E256" s="24"/>
      <c r="F256" s="24"/>
      <c r="G256" s="24"/>
      <c r="H256" s="24"/>
      <c r="K256" s="27"/>
      <c r="S256" s="24"/>
    </row>
    <row r="257" spans="1:19" ht="15.75" customHeight="1" x14ac:dyDescent="0.25">
      <c r="A257" s="24"/>
      <c r="C257" s="26"/>
      <c r="D257" s="104"/>
      <c r="E257" s="24"/>
      <c r="F257" s="24"/>
      <c r="G257" s="24"/>
      <c r="H257" s="24"/>
      <c r="K257" s="27"/>
      <c r="S257" s="24"/>
    </row>
    <row r="258" spans="1:19" ht="15.75" customHeight="1" x14ac:dyDescent="0.25">
      <c r="A258" s="24"/>
      <c r="C258" s="26"/>
      <c r="D258" s="104"/>
      <c r="E258" s="24"/>
      <c r="F258" s="24"/>
      <c r="G258" s="24"/>
      <c r="H258" s="24"/>
      <c r="K258" s="27"/>
      <c r="S258" s="24"/>
    </row>
    <row r="259" spans="1:19" ht="15.75" customHeight="1" x14ac:dyDescent="0.25">
      <c r="A259" s="24"/>
      <c r="C259" s="26"/>
      <c r="D259" s="104"/>
      <c r="E259" s="24"/>
      <c r="F259" s="24"/>
      <c r="G259" s="24"/>
      <c r="H259" s="24"/>
      <c r="K259" s="27"/>
      <c r="S259" s="24"/>
    </row>
    <row r="260" spans="1:19" ht="15.75" customHeight="1" x14ac:dyDescent="0.25">
      <c r="A260" s="24"/>
      <c r="C260" s="26"/>
      <c r="D260" s="104"/>
      <c r="E260" s="24"/>
      <c r="F260" s="24"/>
      <c r="G260" s="24"/>
      <c r="H260" s="24"/>
      <c r="K260" s="27"/>
      <c r="S260" s="24"/>
    </row>
    <row r="261" spans="1:19" ht="15.75" customHeight="1" x14ac:dyDescent="0.25">
      <c r="A261" s="24"/>
      <c r="C261" s="26"/>
      <c r="D261" s="104"/>
      <c r="E261" s="24"/>
      <c r="F261" s="24"/>
      <c r="G261" s="24"/>
      <c r="H261" s="24"/>
      <c r="K261" s="27"/>
      <c r="S261" s="24"/>
    </row>
    <row r="262" spans="1:19" ht="15.75" customHeight="1" x14ac:dyDescent="0.25">
      <c r="A262" s="24"/>
      <c r="C262" s="26"/>
      <c r="D262" s="104"/>
      <c r="E262" s="24"/>
      <c r="F262" s="24"/>
      <c r="G262" s="24"/>
      <c r="H262" s="24"/>
      <c r="K262" s="27"/>
      <c r="S262" s="24"/>
    </row>
    <row r="263" spans="1:19" ht="15.75" customHeight="1" x14ac:dyDescent="0.25">
      <c r="A263" s="24"/>
      <c r="C263" s="26"/>
      <c r="D263" s="104"/>
      <c r="E263" s="24"/>
      <c r="F263" s="24"/>
      <c r="G263" s="24"/>
      <c r="H263" s="24"/>
      <c r="K263" s="27"/>
      <c r="S263" s="24"/>
    </row>
    <row r="264" spans="1:19" ht="15.75" customHeight="1" x14ac:dyDescent="0.25">
      <c r="A264" s="24"/>
      <c r="C264" s="26"/>
      <c r="D264" s="104"/>
      <c r="E264" s="24"/>
      <c r="F264" s="24"/>
      <c r="G264" s="24"/>
      <c r="H264" s="24"/>
      <c r="K264" s="27"/>
      <c r="S264" s="24"/>
    </row>
    <row r="265" spans="1:19" ht="15.75" customHeight="1" x14ac:dyDescent="0.25">
      <c r="A265" s="24"/>
      <c r="C265" s="26"/>
      <c r="D265" s="104"/>
      <c r="E265" s="24"/>
      <c r="F265" s="24"/>
      <c r="G265" s="24"/>
      <c r="H265" s="24"/>
      <c r="K265" s="27"/>
      <c r="S265" s="24"/>
    </row>
    <row r="266" spans="1:19" ht="15.75" customHeight="1" x14ac:dyDescent="0.25">
      <c r="A266" s="24"/>
      <c r="C266" s="26"/>
      <c r="D266" s="104"/>
      <c r="E266" s="24"/>
      <c r="F266" s="24"/>
      <c r="G266" s="24"/>
      <c r="H266" s="24"/>
      <c r="K266" s="27"/>
      <c r="S266" s="24"/>
    </row>
    <row r="267" spans="1:19" ht="15.75" customHeight="1" x14ac:dyDescent="0.25">
      <c r="A267" s="24"/>
      <c r="C267" s="26"/>
      <c r="D267" s="104"/>
      <c r="E267" s="24"/>
      <c r="F267" s="24"/>
      <c r="G267" s="24"/>
      <c r="H267" s="24"/>
      <c r="K267" s="27"/>
      <c r="S267" s="24"/>
    </row>
    <row r="268" spans="1:19" ht="15.75" customHeight="1" x14ac:dyDescent="0.25">
      <c r="A268" s="24"/>
      <c r="C268" s="26"/>
      <c r="D268" s="104"/>
      <c r="E268" s="24"/>
      <c r="F268" s="24"/>
      <c r="G268" s="24"/>
      <c r="H268" s="24"/>
      <c r="K268" s="27"/>
      <c r="S268" s="24"/>
    </row>
    <row r="269" spans="1:19" ht="15.75" customHeight="1" x14ac:dyDescent="0.25">
      <c r="A269" s="24"/>
      <c r="C269" s="26"/>
      <c r="D269" s="104"/>
      <c r="E269" s="24"/>
      <c r="F269" s="24"/>
      <c r="G269" s="24"/>
      <c r="H269" s="24"/>
      <c r="K269" s="27"/>
      <c r="S269" s="24"/>
    </row>
    <row r="270" spans="1:19" ht="15.75" customHeight="1" x14ac:dyDescent="0.25">
      <c r="A270" s="24"/>
      <c r="C270" s="26"/>
      <c r="D270" s="104"/>
      <c r="E270" s="24"/>
      <c r="F270" s="24"/>
      <c r="G270" s="24"/>
      <c r="H270" s="24"/>
      <c r="K270" s="27"/>
      <c r="S270" s="24"/>
    </row>
    <row r="271" spans="1:19" ht="15.75" customHeight="1" x14ac:dyDescent="0.25">
      <c r="A271" s="24"/>
      <c r="C271" s="26"/>
      <c r="D271" s="104"/>
      <c r="E271" s="24"/>
      <c r="F271" s="24"/>
      <c r="G271" s="24"/>
      <c r="H271" s="24"/>
      <c r="K271" s="27"/>
      <c r="S271" s="24"/>
    </row>
    <row r="272" spans="1:19" ht="15.75" customHeight="1" x14ac:dyDescent="0.25">
      <c r="A272" s="24"/>
      <c r="C272" s="26"/>
      <c r="D272" s="104"/>
      <c r="E272" s="24"/>
      <c r="F272" s="24"/>
      <c r="G272" s="24"/>
      <c r="H272" s="24"/>
      <c r="K272" s="27"/>
      <c r="S272" s="24"/>
    </row>
    <row r="273" spans="1:19" ht="15.75" customHeight="1" x14ac:dyDescent="0.25">
      <c r="A273" s="24"/>
      <c r="C273" s="26"/>
      <c r="D273" s="104"/>
      <c r="E273" s="24"/>
      <c r="F273" s="24"/>
      <c r="G273" s="24"/>
      <c r="H273" s="24"/>
      <c r="K273" s="27"/>
      <c r="S273" s="24"/>
    </row>
    <row r="274" spans="1:19" ht="15.75" customHeight="1" x14ac:dyDescent="0.25">
      <c r="A274" s="24"/>
      <c r="C274" s="26"/>
      <c r="D274" s="104"/>
      <c r="E274" s="24"/>
      <c r="F274" s="24"/>
      <c r="G274" s="24"/>
      <c r="H274" s="24"/>
      <c r="K274" s="27"/>
      <c r="S274" s="24"/>
    </row>
    <row r="275" spans="1:19" ht="15.75" customHeight="1" x14ac:dyDescent="0.25">
      <c r="A275" s="24"/>
      <c r="C275" s="26"/>
      <c r="D275" s="104"/>
      <c r="E275" s="24"/>
      <c r="F275" s="24"/>
      <c r="G275" s="24"/>
      <c r="H275" s="24"/>
      <c r="K275" s="27"/>
      <c r="S275" s="24"/>
    </row>
    <row r="276" spans="1:19" ht="15.75" customHeight="1" x14ac:dyDescent="0.25">
      <c r="A276" s="24"/>
      <c r="C276" s="26"/>
      <c r="D276" s="104"/>
      <c r="E276" s="24"/>
      <c r="F276" s="24"/>
      <c r="G276" s="24"/>
      <c r="H276" s="24"/>
      <c r="K276" s="27"/>
      <c r="S276" s="24"/>
    </row>
    <row r="277" spans="1:19" ht="15.75" customHeight="1" x14ac:dyDescent="0.25">
      <c r="A277" s="24"/>
      <c r="C277" s="26"/>
      <c r="D277" s="104"/>
      <c r="E277" s="24"/>
      <c r="F277" s="24"/>
      <c r="G277" s="24"/>
      <c r="H277" s="24"/>
      <c r="K277" s="27"/>
      <c r="S277" s="24"/>
    </row>
    <row r="278" spans="1:19" ht="15.75" customHeight="1" x14ac:dyDescent="0.25">
      <c r="A278" s="24"/>
      <c r="C278" s="26"/>
      <c r="D278" s="104"/>
      <c r="E278" s="24"/>
      <c r="F278" s="24"/>
      <c r="G278" s="24"/>
      <c r="H278" s="24"/>
      <c r="K278" s="27"/>
      <c r="S278" s="24"/>
    </row>
    <row r="279" spans="1:19" ht="15.75" customHeight="1" x14ac:dyDescent="0.25">
      <c r="A279" s="24"/>
      <c r="C279" s="26"/>
      <c r="D279" s="104"/>
      <c r="E279" s="24"/>
      <c r="F279" s="24"/>
      <c r="G279" s="24"/>
      <c r="H279" s="24"/>
      <c r="K279" s="27"/>
      <c r="S279" s="24"/>
    </row>
    <row r="280" spans="1:19" ht="15.75" customHeight="1" x14ac:dyDescent="0.25">
      <c r="A280" s="24"/>
      <c r="C280" s="26"/>
      <c r="D280" s="104"/>
      <c r="E280" s="24"/>
      <c r="F280" s="24"/>
      <c r="G280" s="24"/>
      <c r="H280" s="24"/>
      <c r="K280" s="27"/>
      <c r="S280" s="24"/>
    </row>
    <row r="281" spans="1:19" ht="15.75" customHeight="1" x14ac:dyDescent="0.25">
      <c r="A281" s="24"/>
      <c r="C281" s="26"/>
      <c r="D281" s="104"/>
      <c r="E281" s="24"/>
      <c r="F281" s="24"/>
      <c r="G281" s="24"/>
      <c r="H281" s="24"/>
      <c r="K281" s="27"/>
      <c r="S281" s="24"/>
    </row>
    <row r="282" spans="1:19" ht="15.75" customHeight="1" x14ac:dyDescent="0.25">
      <c r="A282" s="24"/>
      <c r="C282" s="26"/>
      <c r="D282" s="104"/>
      <c r="E282" s="24"/>
      <c r="F282" s="24"/>
      <c r="G282" s="24"/>
      <c r="H282" s="24"/>
      <c r="K282" s="27"/>
      <c r="S282" s="24"/>
    </row>
    <row r="283" spans="1:19" ht="15.75" customHeight="1" x14ac:dyDescent="0.25">
      <c r="A283" s="24"/>
      <c r="C283" s="26"/>
      <c r="D283" s="104"/>
      <c r="E283" s="24"/>
      <c r="F283" s="24"/>
      <c r="G283" s="24"/>
      <c r="H283" s="24"/>
      <c r="K283" s="27"/>
      <c r="S283" s="24"/>
    </row>
    <row r="284" spans="1:19" ht="15.75" customHeight="1" x14ac:dyDescent="0.25">
      <c r="A284" s="24"/>
      <c r="C284" s="26"/>
      <c r="D284" s="104"/>
      <c r="E284" s="24"/>
      <c r="F284" s="24"/>
      <c r="G284" s="24"/>
      <c r="H284" s="24"/>
      <c r="K284" s="27"/>
      <c r="S284" s="24"/>
    </row>
    <row r="285" spans="1:19" ht="15.75" customHeight="1" x14ac:dyDescent="0.25">
      <c r="A285" s="24"/>
      <c r="C285" s="26"/>
      <c r="D285" s="104"/>
      <c r="E285" s="24"/>
      <c r="F285" s="24"/>
      <c r="G285" s="24"/>
      <c r="H285" s="24"/>
      <c r="K285" s="27"/>
      <c r="S285" s="24"/>
    </row>
    <row r="286" spans="1:19" ht="15.75" customHeight="1" x14ac:dyDescent="0.25">
      <c r="A286" s="24"/>
      <c r="C286" s="26"/>
      <c r="D286" s="104"/>
      <c r="E286" s="24"/>
      <c r="F286" s="24"/>
      <c r="G286" s="24"/>
      <c r="H286" s="24"/>
      <c r="K286" s="27"/>
      <c r="S286" s="24"/>
    </row>
    <row r="287" spans="1:19" ht="15.75" customHeight="1" x14ac:dyDescent="0.25">
      <c r="A287" s="24"/>
      <c r="C287" s="26"/>
      <c r="D287" s="104"/>
      <c r="E287" s="24"/>
      <c r="F287" s="24"/>
      <c r="G287" s="24"/>
      <c r="H287" s="24"/>
      <c r="K287" s="27"/>
      <c r="S287" s="24"/>
    </row>
    <row r="288" spans="1:19" ht="15.75" customHeight="1" x14ac:dyDescent="0.25">
      <c r="A288" s="24"/>
      <c r="C288" s="26"/>
      <c r="D288" s="104"/>
      <c r="E288" s="24"/>
      <c r="F288" s="24"/>
      <c r="G288" s="24"/>
      <c r="H288" s="24"/>
      <c r="K288" s="27"/>
      <c r="S288" s="24"/>
    </row>
    <row r="289" spans="1:19" ht="15.75" customHeight="1" x14ac:dyDescent="0.25">
      <c r="A289" s="24"/>
      <c r="C289" s="26"/>
      <c r="D289" s="104"/>
      <c r="E289" s="24"/>
      <c r="F289" s="24"/>
      <c r="G289" s="24"/>
      <c r="H289" s="24"/>
      <c r="K289" s="27"/>
      <c r="S289" s="24"/>
    </row>
    <row r="290" spans="1:19" ht="15.75" customHeight="1" x14ac:dyDescent="0.25">
      <c r="A290" s="24"/>
      <c r="C290" s="26"/>
      <c r="D290" s="104"/>
      <c r="E290" s="24"/>
      <c r="F290" s="24"/>
      <c r="G290" s="24"/>
      <c r="H290" s="24"/>
      <c r="K290" s="27"/>
      <c r="S290" s="24"/>
    </row>
    <row r="291" spans="1:19" ht="15.75" customHeight="1" x14ac:dyDescent="0.25">
      <c r="A291" s="24"/>
      <c r="C291" s="26"/>
      <c r="D291" s="104"/>
      <c r="E291" s="24"/>
      <c r="F291" s="24"/>
      <c r="G291" s="24"/>
      <c r="H291" s="24"/>
      <c r="K291" s="27"/>
      <c r="S291" s="24"/>
    </row>
    <row r="292" spans="1:19" ht="15.75" customHeight="1" x14ac:dyDescent="0.25">
      <c r="A292" s="24"/>
      <c r="C292" s="26"/>
      <c r="D292" s="104"/>
      <c r="E292" s="24"/>
      <c r="F292" s="24"/>
      <c r="G292" s="24"/>
      <c r="H292" s="24"/>
      <c r="K292" s="27"/>
      <c r="S292" s="24"/>
    </row>
    <row r="293" spans="1:19" ht="15.75" customHeight="1" x14ac:dyDescent="0.25">
      <c r="A293" s="24"/>
      <c r="C293" s="26"/>
      <c r="D293" s="104"/>
      <c r="E293" s="24"/>
      <c r="F293" s="24"/>
      <c r="G293" s="24"/>
      <c r="H293" s="24"/>
      <c r="K293" s="27"/>
      <c r="S293" s="24"/>
    </row>
    <row r="294" spans="1:19" ht="15.75" customHeight="1" x14ac:dyDescent="0.25">
      <c r="A294" s="24"/>
      <c r="C294" s="26"/>
      <c r="D294" s="104"/>
      <c r="E294" s="24"/>
      <c r="F294" s="24"/>
      <c r="G294" s="24"/>
      <c r="H294" s="24"/>
      <c r="K294" s="27"/>
      <c r="S294" s="24"/>
    </row>
    <row r="295" spans="1:19" ht="15.75" customHeight="1" x14ac:dyDescent="0.25">
      <c r="A295" s="24"/>
      <c r="C295" s="26"/>
      <c r="D295" s="104"/>
      <c r="E295" s="24"/>
      <c r="F295" s="24"/>
      <c r="G295" s="24"/>
      <c r="H295" s="24"/>
      <c r="K295" s="27"/>
      <c r="S295" s="24"/>
    </row>
    <row r="296" spans="1:19" ht="15.75" customHeight="1" x14ac:dyDescent="0.25">
      <c r="A296" s="24"/>
      <c r="C296" s="26"/>
      <c r="D296" s="104"/>
      <c r="E296" s="24"/>
      <c r="F296" s="24"/>
      <c r="G296" s="24"/>
      <c r="H296" s="24"/>
      <c r="K296" s="27"/>
      <c r="S296" s="24"/>
    </row>
    <row r="297" spans="1:19" ht="15.75" customHeight="1" x14ac:dyDescent="0.25">
      <c r="A297" s="24"/>
      <c r="C297" s="26"/>
      <c r="D297" s="104"/>
      <c r="E297" s="24"/>
      <c r="F297" s="24"/>
      <c r="G297" s="24"/>
      <c r="H297" s="24"/>
      <c r="K297" s="27"/>
      <c r="S297" s="24"/>
    </row>
    <row r="298" spans="1:19" ht="15.75" customHeight="1" x14ac:dyDescent="0.25">
      <c r="A298" s="24"/>
      <c r="C298" s="26"/>
      <c r="D298" s="104"/>
      <c r="E298" s="24"/>
      <c r="F298" s="24"/>
      <c r="G298" s="24"/>
      <c r="H298" s="24"/>
      <c r="K298" s="27"/>
      <c r="S298" s="24"/>
    </row>
    <row r="299" spans="1:19" ht="15.75" customHeight="1" x14ac:dyDescent="0.25">
      <c r="A299" s="24"/>
      <c r="C299" s="26"/>
      <c r="D299" s="104"/>
      <c r="E299" s="24"/>
      <c r="F299" s="24"/>
      <c r="G299" s="24"/>
      <c r="H299" s="24"/>
      <c r="K299" s="27"/>
      <c r="S299" s="24"/>
    </row>
    <row r="300" spans="1:19" ht="15.75" customHeight="1" x14ac:dyDescent="0.25">
      <c r="A300" s="24"/>
      <c r="C300" s="26"/>
      <c r="D300" s="104"/>
      <c r="E300" s="24"/>
      <c r="F300" s="24"/>
      <c r="G300" s="24"/>
      <c r="H300" s="24"/>
      <c r="K300" s="27"/>
      <c r="S300" s="24"/>
    </row>
    <row r="301" spans="1:19" ht="15.75" customHeight="1" x14ac:dyDescent="0.25">
      <c r="A301" s="24"/>
      <c r="C301" s="26"/>
      <c r="D301" s="104"/>
      <c r="E301" s="24"/>
      <c r="F301" s="24"/>
      <c r="G301" s="24"/>
      <c r="H301" s="24"/>
      <c r="K301" s="27"/>
      <c r="S301" s="24"/>
    </row>
    <row r="302" spans="1:19" ht="15.75" customHeight="1" x14ac:dyDescent="0.25">
      <c r="A302" s="24"/>
      <c r="C302" s="26"/>
      <c r="D302" s="104"/>
      <c r="E302" s="24"/>
      <c r="F302" s="24"/>
      <c r="G302" s="24"/>
      <c r="H302" s="24"/>
      <c r="K302" s="27"/>
      <c r="S302" s="24"/>
    </row>
    <row r="303" spans="1:19" ht="15.75" customHeight="1" x14ac:dyDescent="0.25">
      <c r="A303" s="24"/>
      <c r="C303" s="26"/>
      <c r="D303" s="104"/>
      <c r="E303" s="24"/>
      <c r="F303" s="24"/>
      <c r="G303" s="24"/>
      <c r="H303" s="24"/>
      <c r="K303" s="27"/>
      <c r="S303" s="24"/>
    </row>
    <row r="304" spans="1:19" ht="15.75" customHeight="1" x14ac:dyDescent="0.25">
      <c r="A304" s="24"/>
      <c r="C304" s="26"/>
      <c r="D304" s="104"/>
      <c r="E304" s="24"/>
      <c r="F304" s="24"/>
      <c r="G304" s="24"/>
      <c r="H304" s="24"/>
      <c r="K304" s="27"/>
      <c r="S304" s="24"/>
    </row>
    <row r="305" spans="1:19" ht="15.75" customHeight="1" x14ac:dyDescent="0.25">
      <c r="A305" s="24"/>
      <c r="C305" s="26"/>
      <c r="D305" s="104"/>
      <c r="E305" s="24"/>
      <c r="F305" s="24"/>
      <c r="G305" s="24"/>
      <c r="H305" s="24"/>
      <c r="K305" s="27"/>
      <c r="S305" s="24"/>
    </row>
    <row r="306" spans="1:19" ht="15.75" customHeight="1" x14ac:dyDescent="0.25">
      <c r="A306" s="24"/>
      <c r="C306" s="26"/>
      <c r="D306" s="104"/>
      <c r="E306" s="24"/>
      <c r="F306" s="24"/>
      <c r="G306" s="24"/>
      <c r="H306" s="24"/>
      <c r="K306" s="27"/>
      <c r="S306" s="24"/>
    </row>
    <row r="307" spans="1:19" ht="15.75" customHeight="1" x14ac:dyDescent="0.25">
      <c r="A307" s="24"/>
      <c r="C307" s="26"/>
      <c r="D307" s="104"/>
      <c r="E307" s="24"/>
      <c r="F307" s="24"/>
      <c r="G307" s="24"/>
      <c r="H307" s="24"/>
      <c r="K307" s="27"/>
      <c r="S307" s="24"/>
    </row>
    <row r="308" spans="1:19" ht="15.75" customHeight="1" x14ac:dyDescent="0.25">
      <c r="A308" s="24"/>
      <c r="C308" s="26"/>
      <c r="D308" s="104"/>
      <c r="E308" s="24"/>
      <c r="F308" s="24"/>
      <c r="G308" s="24"/>
      <c r="H308" s="24"/>
      <c r="K308" s="27"/>
      <c r="S308" s="24"/>
    </row>
    <row r="309" spans="1:19" ht="15.75" customHeight="1" x14ac:dyDescent="0.25">
      <c r="A309" s="24"/>
      <c r="C309" s="26"/>
      <c r="D309" s="104"/>
      <c r="E309" s="24"/>
      <c r="F309" s="24"/>
      <c r="G309" s="24"/>
      <c r="H309" s="24"/>
      <c r="K309" s="27"/>
      <c r="S309" s="24"/>
    </row>
    <row r="310" spans="1:19" ht="15.75" customHeight="1" x14ac:dyDescent="0.25">
      <c r="A310" s="24"/>
      <c r="C310" s="26"/>
      <c r="D310" s="104"/>
      <c r="E310" s="24"/>
      <c r="F310" s="24"/>
      <c r="G310" s="24"/>
      <c r="H310" s="24"/>
      <c r="K310" s="27"/>
      <c r="S310" s="24"/>
    </row>
    <row r="311" spans="1:19" ht="15.75" customHeight="1" x14ac:dyDescent="0.25">
      <c r="A311" s="24"/>
      <c r="C311" s="26"/>
      <c r="D311" s="104"/>
      <c r="E311" s="24"/>
      <c r="F311" s="24"/>
      <c r="G311" s="24"/>
      <c r="H311" s="24"/>
      <c r="K311" s="27"/>
      <c r="S311" s="24"/>
    </row>
    <row r="312" spans="1:19" ht="15.75" customHeight="1" x14ac:dyDescent="0.25">
      <c r="A312" s="24"/>
      <c r="C312" s="26"/>
      <c r="D312" s="104"/>
      <c r="E312" s="24"/>
      <c r="F312" s="24"/>
      <c r="G312" s="24"/>
      <c r="H312" s="24"/>
      <c r="K312" s="27"/>
      <c r="S312" s="24"/>
    </row>
    <row r="313" spans="1:19" ht="15.75" customHeight="1" x14ac:dyDescent="0.25">
      <c r="A313" s="24"/>
      <c r="C313" s="26"/>
      <c r="D313" s="104"/>
      <c r="E313" s="24"/>
      <c r="F313" s="24"/>
      <c r="G313" s="24"/>
      <c r="H313" s="24"/>
      <c r="K313" s="27"/>
      <c r="S313" s="24"/>
    </row>
    <row r="314" spans="1:19" ht="15.75" customHeight="1" x14ac:dyDescent="0.25">
      <c r="A314" s="24"/>
      <c r="C314" s="26"/>
      <c r="D314" s="104"/>
      <c r="E314" s="24"/>
      <c r="F314" s="24"/>
      <c r="G314" s="24"/>
      <c r="H314" s="24"/>
      <c r="K314" s="27"/>
      <c r="S314" s="24"/>
    </row>
    <row r="315" spans="1:19" ht="15.75" customHeight="1" x14ac:dyDescent="0.25">
      <c r="A315" s="24"/>
      <c r="C315" s="26"/>
      <c r="D315" s="104"/>
      <c r="E315" s="24"/>
      <c r="F315" s="24"/>
      <c r="G315" s="24"/>
      <c r="H315" s="24"/>
      <c r="K315" s="27"/>
      <c r="S315" s="24"/>
    </row>
    <row r="316" spans="1:19" ht="15.75" customHeight="1" x14ac:dyDescent="0.25">
      <c r="A316" s="24"/>
      <c r="C316" s="26"/>
      <c r="D316" s="104"/>
      <c r="E316" s="24"/>
      <c r="F316" s="24"/>
      <c r="G316" s="24"/>
      <c r="H316" s="24"/>
      <c r="K316" s="27"/>
      <c r="S316" s="24"/>
    </row>
    <row r="317" spans="1:19" ht="15.75" customHeight="1" x14ac:dyDescent="0.25">
      <c r="A317" s="24"/>
      <c r="C317" s="26"/>
      <c r="D317" s="104"/>
      <c r="E317" s="24"/>
      <c r="F317" s="24"/>
      <c r="G317" s="24"/>
      <c r="H317" s="24"/>
      <c r="K317" s="27"/>
      <c r="S317" s="24"/>
    </row>
    <row r="318" spans="1:19" ht="15.75" customHeight="1" x14ac:dyDescent="0.25">
      <c r="A318" s="24"/>
      <c r="C318" s="26"/>
      <c r="D318" s="104"/>
      <c r="E318" s="24"/>
      <c r="F318" s="24"/>
      <c r="G318" s="24"/>
      <c r="H318" s="24"/>
      <c r="K318" s="27"/>
      <c r="S318" s="24"/>
    </row>
    <row r="319" spans="1:19" ht="15.75" customHeight="1" x14ac:dyDescent="0.25">
      <c r="A319" s="24"/>
      <c r="C319" s="26"/>
      <c r="D319" s="104"/>
      <c r="E319" s="24"/>
      <c r="F319" s="24"/>
      <c r="G319" s="24"/>
      <c r="H319" s="24"/>
      <c r="K319" s="27"/>
      <c r="S319" s="24"/>
    </row>
    <row r="320" spans="1:19" ht="15.75" customHeight="1" x14ac:dyDescent="0.25">
      <c r="A320" s="24"/>
      <c r="C320" s="26"/>
      <c r="D320" s="104"/>
      <c r="E320" s="24"/>
      <c r="F320" s="24"/>
      <c r="G320" s="24"/>
      <c r="H320" s="24"/>
      <c r="K320" s="27"/>
      <c r="S320" s="24"/>
    </row>
    <row r="321" spans="1:19" ht="15.75" customHeight="1" x14ac:dyDescent="0.25">
      <c r="A321" s="24"/>
      <c r="C321" s="26"/>
      <c r="D321" s="104"/>
      <c r="E321" s="24"/>
      <c r="F321" s="24"/>
      <c r="G321" s="24"/>
      <c r="H321" s="24"/>
      <c r="K321" s="27"/>
      <c r="S321" s="24"/>
    </row>
    <row r="322" spans="1:19" ht="15.75" customHeight="1" x14ac:dyDescent="0.25">
      <c r="A322" s="24"/>
      <c r="C322" s="26"/>
      <c r="D322" s="104"/>
      <c r="E322" s="24"/>
      <c r="F322" s="24"/>
      <c r="G322" s="24"/>
      <c r="H322" s="24"/>
      <c r="K322" s="27"/>
      <c r="S322" s="24"/>
    </row>
    <row r="323" spans="1:19" ht="15.75" customHeight="1" x14ac:dyDescent="0.25">
      <c r="A323" s="24"/>
      <c r="C323" s="26"/>
      <c r="D323" s="104"/>
      <c r="E323" s="24"/>
      <c r="F323" s="24"/>
      <c r="G323" s="24"/>
      <c r="H323" s="24"/>
      <c r="K323" s="27"/>
      <c r="S323" s="24"/>
    </row>
    <row r="324" spans="1:19" ht="15.75" customHeight="1" x14ac:dyDescent="0.25">
      <c r="A324" s="24"/>
      <c r="C324" s="26"/>
      <c r="D324" s="104"/>
      <c r="E324" s="24"/>
      <c r="F324" s="24"/>
      <c r="G324" s="24"/>
      <c r="H324" s="24"/>
      <c r="K324" s="27"/>
      <c r="S324" s="24"/>
    </row>
    <row r="325" spans="1:19" ht="15.75" customHeight="1" x14ac:dyDescent="0.25">
      <c r="A325" s="24"/>
      <c r="C325" s="26"/>
      <c r="D325" s="104"/>
      <c r="E325" s="24"/>
      <c r="F325" s="24"/>
      <c r="G325" s="24"/>
      <c r="H325" s="24"/>
      <c r="K325" s="27"/>
      <c r="S325" s="24"/>
    </row>
    <row r="326" spans="1:19" ht="15.75" customHeight="1" x14ac:dyDescent="0.25">
      <c r="A326" s="24"/>
      <c r="C326" s="26"/>
      <c r="D326" s="104"/>
      <c r="E326" s="24"/>
      <c r="F326" s="24"/>
      <c r="G326" s="24"/>
      <c r="H326" s="24"/>
      <c r="K326" s="27"/>
      <c r="S326" s="24"/>
    </row>
    <row r="327" spans="1:19" ht="15.75" customHeight="1" x14ac:dyDescent="0.25">
      <c r="A327" s="24"/>
      <c r="C327" s="26"/>
      <c r="D327" s="104"/>
      <c r="E327" s="24"/>
      <c r="F327" s="24"/>
      <c r="G327" s="24"/>
      <c r="H327" s="24"/>
      <c r="K327" s="27"/>
      <c r="S327" s="24"/>
    </row>
    <row r="328" spans="1:19" ht="15.75" customHeight="1" x14ac:dyDescent="0.25">
      <c r="A328" s="24"/>
      <c r="C328" s="26"/>
      <c r="D328" s="104"/>
      <c r="E328" s="24"/>
      <c r="F328" s="24"/>
      <c r="G328" s="24"/>
      <c r="H328" s="24"/>
      <c r="K328" s="27"/>
      <c r="S328" s="24"/>
    </row>
    <row r="329" spans="1:19" ht="15.75" customHeight="1" x14ac:dyDescent="0.25">
      <c r="A329" s="24"/>
      <c r="C329" s="26"/>
      <c r="D329" s="104"/>
      <c r="E329" s="24"/>
      <c r="F329" s="24"/>
      <c r="G329" s="24"/>
      <c r="H329" s="24"/>
      <c r="K329" s="27"/>
      <c r="S329" s="24"/>
    </row>
    <row r="330" spans="1:19" ht="15.75" customHeight="1" x14ac:dyDescent="0.25">
      <c r="A330" s="24"/>
      <c r="C330" s="26"/>
      <c r="D330" s="104"/>
      <c r="E330" s="24"/>
      <c r="F330" s="24"/>
      <c r="G330" s="24"/>
      <c r="H330" s="24"/>
      <c r="K330" s="27"/>
      <c r="S330" s="24"/>
    </row>
    <row r="331" spans="1:19" ht="15.75" customHeight="1" x14ac:dyDescent="0.25">
      <c r="A331" s="24"/>
      <c r="C331" s="26"/>
      <c r="D331" s="104"/>
      <c r="E331" s="24"/>
      <c r="F331" s="24"/>
      <c r="G331" s="24"/>
      <c r="H331" s="24"/>
      <c r="K331" s="27"/>
      <c r="S331" s="24"/>
    </row>
    <row r="332" spans="1:19" ht="15.75" customHeight="1" x14ac:dyDescent="0.25">
      <c r="A332" s="24"/>
      <c r="C332" s="26"/>
      <c r="D332" s="104"/>
      <c r="E332" s="24"/>
      <c r="F332" s="24"/>
      <c r="G332" s="24"/>
      <c r="H332" s="24"/>
      <c r="K332" s="27"/>
      <c r="S332" s="24"/>
    </row>
    <row r="333" spans="1:19" ht="15.75" customHeight="1" x14ac:dyDescent="0.25">
      <c r="A333" s="24"/>
      <c r="C333" s="26"/>
      <c r="D333" s="104"/>
      <c r="E333" s="24"/>
      <c r="F333" s="24"/>
      <c r="G333" s="24"/>
      <c r="H333" s="24"/>
      <c r="K333" s="27"/>
      <c r="S333" s="24"/>
    </row>
    <row r="334" spans="1:19" ht="15.75" customHeight="1" x14ac:dyDescent="0.25">
      <c r="A334" s="24"/>
      <c r="C334" s="26"/>
      <c r="D334" s="104"/>
      <c r="E334" s="24"/>
      <c r="F334" s="24"/>
      <c r="G334" s="24"/>
      <c r="H334" s="24"/>
      <c r="K334" s="27"/>
      <c r="S334" s="24"/>
    </row>
    <row r="335" spans="1:19" ht="15.75" customHeight="1" x14ac:dyDescent="0.25">
      <c r="A335" s="24"/>
      <c r="C335" s="26"/>
      <c r="D335" s="104"/>
      <c r="E335" s="24"/>
      <c r="F335" s="24"/>
      <c r="G335" s="24"/>
      <c r="H335" s="24"/>
      <c r="K335" s="27"/>
      <c r="S335" s="24"/>
    </row>
    <row r="336" spans="1:19" ht="15.75" customHeight="1" x14ac:dyDescent="0.25">
      <c r="A336" s="24"/>
      <c r="C336" s="26"/>
      <c r="D336" s="104"/>
      <c r="E336" s="24"/>
      <c r="F336" s="24"/>
      <c r="G336" s="24"/>
      <c r="H336" s="24"/>
      <c r="K336" s="27"/>
      <c r="S336" s="24"/>
    </row>
    <row r="337" spans="1:19" ht="15.75" customHeight="1" x14ac:dyDescent="0.25">
      <c r="A337" s="24"/>
      <c r="C337" s="26"/>
      <c r="D337" s="104"/>
      <c r="E337" s="24"/>
      <c r="F337" s="24"/>
      <c r="G337" s="24"/>
      <c r="H337" s="24"/>
      <c r="K337" s="27"/>
      <c r="S337" s="24"/>
    </row>
    <row r="338" spans="1:19" ht="15.75" customHeight="1" x14ac:dyDescent="0.25">
      <c r="A338" s="24"/>
      <c r="C338" s="26"/>
      <c r="D338" s="104"/>
      <c r="E338" s="24"/>
      <c r="F338" s="24"/>
      <c r="G338" s="24"/>
      <c r="H338" s="24"/>
      <c r="K338" s="27"/>
      <c r="S338" s="24"/>
    </row>
    <row r="339" spans="1:19" ht="15.75" customHeight="1" x14ac:dyDescent="0.25">
      <c r="A339" s="24"/>
      <c r="C339" s="26"/>
      <c r="D339" s="104"/>
      <c r="E339" s="24"/>
      <c r="F339" s="24"/>
      <c r="G339" s="24"/>
      <c r="H339" s="24"/>
      <c r="K339" s="27"/>
      <c r="S339" s="24"/>
    </row>
    <row r="340" spans="1:19" ht="15.75" customHeight="1" x14ac:dyDescent="0.25">
      <c r="A340" s="24"/>
      <c r="C340" s="26"/>
      <c r="D340" s="104"/>
      <c r="E340" s="24"/>
      <c r="F340" s="24"/>
      <c r="G340" s="24"/>
      <c r="H340" s="24"/>
      <c r="K340" s="27"/>
      <c r="S340" s="24"/>
    </row>
    <row r="341" spans="1:19" ht="15.75" customHeight="1" x14ac:dyDescent="0.25">
      <c r="A341" s="24"/>
      <c r="C341" s="26"/>
      <c r="D341" s="104"/>
      <c r="E341" s="24"/>
      <c r="F341" s="24"/>
      <c r="G341" s="24"/>
      <c r="H341" s="24"/>
      <c r="K341" s="27"/>
      <c r="S341" s="24"/>
    </row>
    <row r="342" spans="1:19" ht="15.75" customHeight="1" x14ac:dyDescent="0.25">
      <c r="A342" s="24"/>
      <c r="C342" s="26"/>
      <c r="D342" s="104"/>
      <c r="E342" s="24"/>
      <c r="F342" s="24"/>
      <c r="G342" s="24"/>
      <c r="H342" s="24"/>
      <c r="K342" s="27"/>
      <c r="S342" s="24"/>
    </row>
    <row r="343" spans="1:19" ht="15.75" customHeight="1" x14ac:dyDescent="0.25">
      <c r="A343" s="24"/>
      <c r="C343" s="26"/>
      <c r="D343" s="104"/>
      <c r="E343" s="24"/>
      <c r="F343" s="24"/>
      <c r="G343" s="24"/>
      <c r="H343" s="24"/>
      <c r="K343" s="27"/>
      <c r="S343" s="24"/>
    </row>
    <row r="344" spans="1:19" ht="15.75" customHeight="1" x14ac:dyDescent="0.25">
      <c r="A344" s="24"/>
      <c r="C344" s="26"/>
      <c r="D344" s="104"/>
      <c r="E344" s="24"/>
      <c r="F344" s="24"/>
      <c r="G344" s="24"/>
      <c r="H344" s="24"/>
      <c r="K344" s="27"/>
      <c r="S344" s="24"/>
    </row>
    <row r="345" spans="1:19" ht="15.75" customHeight="1" x14ac:dyDescent="0.25">
      <c r="A345" s="24"/>
      <c r="C345" s="26"/>
      <c r="D345" s="104"/>
      <c r="E345" s="24"/>
      <c r="F345" s="24"/>
      <c r="G345" s="24"/>
      <c r="H345" s="24"/>
      <c r="K345" s="27"/>
      <c r="S345" s="24"/>
    </row>
    <row r="346" spans="1:19" ht="15.75" customHeight="1" x14ac:dyDescent="0.25">
      <c r="A346" s="24"/>
      <c r="C346" s="26"/>
      <c r="D346" s="104"/>
      <c r="E346" s="24"/>
      <c r="F346" s="24"/>
      <c r="G346" s="24"/>
      <c r="H346" s="24"/>
      <c r="K346" s="27"/>
      <c r="S346" s="24"/>
    </row>
    <row r="347" spans="1:19" ht="15.75" customHeight="1" x14ac:dyDescent="0.25">
      <c r="A347" s="24"/>
      <c r="C347" s="26"/>
      <c r="D347" s="104"/>
      <c r="E347" s="24"/>
      <c r="F347" s="24"/>
      <c r="G347" s="24"/>
      <c r="H347" s="24"/>
      <c r="K347" s="27"/>
      <c r="S347" s="24"/>
    </row>
    <row r="348" spans="1:19" ht="15.75" customHeight="1" x14ac:dyDescent="0.25">
      <c r="A348" s="24"/>
      <c r="C348" s="26"/>
      <c r="D348" s="104"/>
      <c r="E348" s="24"/>
      <c r="F348" s="24"/>
      <c r="G348" s="24"/>
      <c r="H348" s="24"/>
      <c r="K348" s="27"/>
      <c r="S348" s="24"/>
    </row>
    <row r="349" spans="1:19" ht="15.75" customHeight="1" x14ac:dyDescent="0.25">
      <c r="A349" s="24"/>
      <c r="C349" s="26"/>
      <c r="D349" s="104"/>
      <c r="E349" s="24"/>
      <c r="F349" s="24"/>
      <c r="G349" s="24"/>
      <c r="H349" s="24"/>
      <c r="K349" s="27"/>
      <c r="S349" s="24"/>
    </row>
    <row r="350" spans="1:19" ht="15.75" customHeight="1" x14ac:dyDescent="0.25">
      <c r="A350" s="24"/>
      <c r="C350" s="26"/>
      <c r="D350" s="104"/>
      <c r="E350" s="24"/>
      <c r="F350" s="24"/>
      <c r="G350" s="24"/>
      <c r="H350" s="24"/>
      <c r="K350" s="27"/>
      <c r="S350" s="24"/>
    </row>
    <row r="351" spans="1:19" ht="15.75" customHeight="1" x14ac:dyDescent="0.25">
      <c r="A351" s="24"/>
      <c r="C351" s="26"/>
      <c r="D351" s="104"/>
      <c r="E351" s="24"/>
      <c r="F351" s="24"/>
      <c r="G351" s="24"/>
      <c r="H351" s="24"/>
      <c r="K351" s="27"/>
      <c r="S351" s="24"/>
    </row>
    <row r="352" spans="1:19" ht="15.75" customHeight="1" x14ac:dyDescent="0.25">
      <c r="A352" s="24"/>
      <c r="C352" s="26"/>
      <c r="D352" s="104"/>
      <c r="E352" s="24"/>
      <c r="F352" s="24"/>
      <c r="G352" s="24"/>
      <c r="H352" s="24"/>
      <c r="K352" s="27"/>
      <c r="S352" s="24"/>
    </row>
    <row r="353" spans="1:19" ht="15.75" customHeight="1" x14ac:dyDescent="0.25">
      <c r="A353" s="24"/>
      <c r="C353" s="26"/>
      <c r="D353" s="104"/>
      <c r="E353" s="24"/>
      <c r="F353" s="24"/>
      <c r="G353" s="24"/>
      <c r="H353" s="24"/>
      <c r="K353" s="27"/>
      <c r="S353" s="24"/>
    </row>
    <row r="354" spans="1:19" ht="15.75" customHeight="1" x14ac:dyDescent="0.25">
      <c r="A354" s="24"/>
      <c r="C354" s="26"/>
      <c r="D354" s="104"/>
      <c r="E354" s="24"/>
      <c r="F354" s="24"/>
      <c r="G354" s="24"/>
      <c r="H354" s="24"/>
      <c r="K354" s="27"/>
      <c r="S354" s="24"/>
    </row>
    <row r="355" spans="1:19" ht="15.75" customHeight="1" x14ac:dyDescent="0.25">
      <c r="A355" s="24"/>
      <c r="C355" s="26"/>
      <c r="D355" s="104"/>
      <c r="E355" s="24"/>
      <c r="F355" s="24"/>
      <c r="G355" s="24"/>
      <c r="H355" s="24"/>
      <c r="K355" s="27"/>
      <c r="S355" s="24"/>
    </row>
    <row r="356" spans="1:19" ht="15.75" customHeight="1" x14ac:dyDescent="0.25">
      <c r="A356" s="24"/>
      <c r="C356" s="26"/>
      <c r="D356" s="104"/>
      <c r="E356" s="24"/>
      <c r="F356" s="24"/>
      <c r="G356" s="24"/>
      <c r="H356" s="24"/>
      <c r="K356" s="27"/>
      <c r="S356" s="24"/>
    </row>
    <row r="357" spans="1:19" ht="15.75" customHeight="1" x14ac:dyDescent="0.25">
      <c r="A357" s="24"/>
      <c r="C357" s="26"/>
      <c r="D357" s="104"/>
      <c r="E357" s="24"/>
      <c r="F357" s="24"/>
      <c r="G357" s="24"/>
      <c r="H357" s="24"/>
      <c r="K357" s="27"/>
      <c r="S357" s="24"/>
    </row>
    <row r="358" spans="1:19" ht="15.75" customHeight="1" x14ac:dyDescent="0.25">
      <c r="A358" s="24"/>
      <c r="C358" s="26"/>
      <c r="D358" s="104"/>
      <c r="E358" s="24"/>
      <c r="F358" s="24"/>
      <c r="G358" s="24"/>
      <c r="H358" s="24"/>
      <c r="K358" s="27"/>
      <c r="S358" s="24"/>
    </row>
    <row r="359" spans="1:19" ht="15.75" customHeight="1" x14ac:dyDescent="0.25">
      <c r="A359" s="24"/>
      <c r="C359" s="26"/>
      <c r="D359" s="104"/>
      <c r="E359" s="24"/>
      <c r="F359" s="24"/>
      <c r="G359" s="24"/>
      <c r="H359" s="24"/>
      <c r="K359" s="27"/>
      <c r="S359" s="24"/>
    </row>
    <row r="360" spans="1:19" ht="15.75" customHeight="1" x14ac:dyDescent="0.25">
      <c r="A360" s="24"/>
      <c r="C360" s="26"/>
      <c r="D360" s="104"/>
      <c r="E360" s="24"/>
      <c r="F360" s="24"/>
      <c r="G360" s="24"/>
      <c r="H360" s="24"/>
      <c r="K360" s="27"/>
      <c r="S360" s="24"/>
    </row>
    <row r="361" spans="1:19" ht="15.75" customHeight="1" x14ac:dyDescent="0.25">
      <c r="A361" s="24"/>
      <c r="C361" s="26"/>
      <c r="D361" s="104"/>
      <c r="E361" s="24"/>
      <c r="F361" s="24"/>
      <c r="G361" s="24"/>
      <c r="H361" s="24"/>
      <c r="K361" s="27"/>
      <c r="S361" s="24"/>
    </row>
    <row r="362" spans="1:19" ht="15.75" customHeight="1" x14ac:dyDescent="0.25">
      <c r="A362" s="24"/>
      <c r="C362" s="26"/>
      <c r="D362" s="104"/>
      <c r="E362" s="24"/>
      <c r="F362" s="24"/>
      <c r="G362" s="24"/>
      <c r="H362" s="24"/>
      <c r="K362" s="27"/>
      <c r="S362" s="24"/>
    </row>
    <row r="363" spans="1:19" ht="15.75" customHeight="1" x14ac:dyDescent="0.25">
      <c r="A363" s="24"/>
      <c r="C363" s="26"/>
      <c r="D363" s="104"/>
      <c r="E363" s="24"/>
      <c r="F363" s="24"/>
      <c r="G363" s="24"/>
      <c r="H363" s="24"/>
      <c r="K363" s="27"/>
      <c r="S363" s="24"/>
    </row>
    <row r="364" spans="1:19" ht="15.75" customHeight="1" x14ac:dyDescent="0.25">
      <c r="A364" s="24"/>
      <c r="C364" s="26"/>
      <c r="D364" s="104"/>
      <c r="E364" s="24"/>
      <c r="F364" s="24"/>
      <c r="G364" s="24"/>
      <c r="H364" s="24"/>
      <c r="K364" s="27"/>
      <c r="S364" s="24"/>
    </row>
    <row r="365" spans="1:19" ht="15.75" customHeight="1" x14ac:dyDescent="0.25">
      <c r="A365" s="24"/>
      <c r="C365" s="26"/>
      <c r="D365" s="104"/>
      <c r="E365" s="24"/>
      <c r="F365" s="24"/>
      <c r="G365" s="24"/>
      <c r="H365" s="24"/>
      <c r="K365" s="27"/>
      <c r="S365" s="24"/>
    </row>
    <row r="366" spans="1:19" ht="15.75" customHeight="1" x14ac:dyDescent="0.25">
      <c r="A366" s="24"/>
      <c r="C366" s="26"/>
      <c r="D366" s="104"/>
      <c r="E366" s="24"/>
      <c r="F366" s="24"/>
      <c r="G366" s="24"/>
      <c r="H366" s="24"/>
      <c r="K366" s="27"/>
      <c r="S366" s="24"/>
    </row>
    <row r="367" spans="1:19" ht="15.75" customHeight="1" x14ac:dyDescent="0.25">
      <c r="A367" s="24"/>
      <c r="C367" s="26"/>
      <c r="D367" s="104"/>
      <c r="E367" s="24"/>
      <c r="F367" s="24"/>
      <c r="G367" s="24"/>
      <c r="H367" s="24"/>
      <c r="K367" s="27"/>
      <c r="S367" s="24"/>
    </row>
    <row r="368" spans="1:19" ht="15.75" customHeight="1" x14ac:dyDescent="0.25">
      <c r="A368" s="24"/>
      <c r="C368" s="26"/>
      <c r="D368" s="104"/>
      <c r="E368" s="24"/>
      <c r="F368" s="24"/>
      <c r="G368" s="24"/>
      <c r="H368" s="24"/>
      <c r="K368" s="27"/>
      <c r="S368" s="24"/>
    </row>
    <row r="369" spans="1:19" ht="15.75" customHeight="1" x14ac:dyDescent="0.25">
      <c r="A369" s="24"/>
      <c r="C369" s="26"/>
      <c r="D369" s="104"/>
      <c r="E369" s="24"/>
      <c r="F369" s="24"/>
      <c r="G369" s="24"/>
      <c r="H369" s="24"/>
      <c r="K369" s="27"/>
      <c r="S369" s="24"/>
    </row>
    <row r="370" spans="1:19" ht="15.75" customHeight="1" x14ac:dyDescent="0.25">
      <c r="A370" s="24"/>
      <c r="C370" s="26"/>
      <c r="D370" s="104"/>
      <c r="E370" s="24"/>
      <c r="F370" s="24"/>
      <c r="G370" s="24"/>
      <c r="H370" s="24"/>
      <c r="K370" s="27"/>
      <c r="S370" s="24"/>
    </row>
    <row r="371" spans="1:19" ht="15.75" customHeight="1" x14ac:dyDescent="0.25">
      <c r="A371" s="24"/>
      <c r="C371" s="26"/>
      <c r="D371" s="104"/>
      <c r="E371" s="24"/>
      <c r="F371" s="24"/>
      <c r="G371" s="24"/>
      <c r="H371" s="24"/>
      <c r="K371" s="27"/>
      <c r="S371" s="24"/>
    </row>
    <row r="372" spans="1:19" ht="15.75" customHeight="1" x14ac:dyDescent="0.25">
      <c r="A372" s="24"/>
      <c r="C372" s="26"/>
      <c r="D372" s="104"/>
      <c r="E372" s="24"/>
      <c r="F372" s="24"/>
      <c r="G372" s="24"/>
      <c r="H372" s="24"/>
      <c r="K372" s="27"/>
      <c r="S372" s="24"/>
    </row>
    <row r="373" spans="1:19" ht="15.75" customHeight="1" x14ac:dyDescent="0.25">
      <c r="A373" s="24"/>
      <c r="C373" s="26"/>
      <c r="D373" s="104"/>
      <c r="E373" s="24"/>
      <c r="F373" s="24"/>
      <c r="G373" s="24"/>
      <c r="H373" s="24"/>
      <c r="K373" s="27"/>
      <c r="S373" s="24"/>
    </row>
    <row r="374" spans="1:19" ht="15.75" customHeight="1" x14ac:dyDescent="0.25">
      <c r="A374" s="24"/>
      <c r="C374" s="26"/>
      <c r="D374" s="104"/>
      <c r="E374" s="24"/>
      <c r="F374" s="24"/>
      <c r="G374" s="24"/>
      <c r="H374" s="24"/>
      <c r="K374" s="27"/>
      <c r="S374" s="24"/>
    </row>
    <row r="375" spans="1:19" ht="15.75" customHeight="1" x14ac:dyDescent="0.25">
      <c r="A375" s="24"/>
      <c r="C375" s="26"/>
      <c r="D375" s="104"/>
      <c r="E375" s="24"/>
      <c r="F375" s="24"/>
      <c r="G375" s="24"/>
      <c r="H375" s="24"/>
      <c r="K375" s="27"/>
      <c r="S375" s="24"/>
    </row>
    <row r="376" spans="1:19" ht="15.75" customHeight="1" x14ac:dyDescent="0.25">
      <c r="A376" s="24"/>
      <c r="C376" s="26"/>
      <c r="D376" s="104"/>
      <c r="E376" s="24"/>
      <c r="F376" s="24"/>
      <c r="G376" s="24"/>
      <c r="H376" s="24"/>
      <c r="K376" s="27"/>
      <c r="S376" s="24"/>
    </row>
    <row r="377" spans="1:19" ht="15.75" customHeight="1" x14ac:dyDescent="0.25">
      <c r="A377" s="24"/>
      <c r="C377" s="26"/>
      <c r="D377" s="104"/>
      <c r="E377" s="24"/>
      <c r="F377" s="24"/>
      <c r="G377" s="24"/>
      <c r="H377" s="24"/>
      <c r="K377" s="27"/>
      <c r="S377" s="24"/>
    </row>
    <row r="378" spans="1:19" ht="15.75" customHeight="1" x14ac:dyDescent="0.25">
      <c r="A378" s="24"/>
      <c r="C378" s="26"/>
      <c r="D378" s="104"/>
      <c r="E378" s="24"/>
      <c r="F378" s="24"/>
      <c r="G378" s="24"/>
      <c r="H378" s="24"/>
      <c r="K378" s="27"/>
      <c r="S378" s="24"/>
    </row>
    <row r="379" spans="1:19" ht="15.75" customHeight="1" x14ac:dyDescent="0.25">
      <c r="A379" s="24"/>
      <c r="C379" s="26"/>
      <c r="D379" s="104"/>
      <c r="E379" s="24"/>
      <c r="F379" s="24"/>
      <c r="G379" s="24"/>
      <c r="H379" s="24"/>
      <c r="K379" s="27"/>
      <c r="S379" s="24"/>
    </row>
    <row r="380" spans="1:19" ht="15.75" customHeight="1" x14ac:dyDescent="0.25">
      <c r="A380" s="24"/>
      <c r="C380" s="26"/>
      <c r="D380" s="104"/>
      <c r="E380" s="24"/>
      <c r="F380" s="24"/>
      <c r="G380" s="24"/>
      <c r="H380" s="24"/>
      <c r="K380" s="27"/>
      <c r="S380" s="24"/>
    </row>
    <row r="381" spans="1:19" ht="15.75" customHeight="1" x14ac:dyDescent="0.25">
      <c r="A381" s="24"/>
      <c r="C381" s="26"/>
      <c r="D381" s="104"/>
      <c r="E381" s="24"/>
      <c r="F381" s="24"/>
      <c r="G381" s="24"/>
      <c r="H381" s="24"/>
      <c r="K381" s="27"/>
      <c r="S381" s="24"/>
    </row>
    <row r="382" spans="1:19" ht="15.75" customHeight="1" x14ac:dyDescent="0.25">
      <c r="A382" s="24"/>
      <c r="C382" s="26"/>
      <c r="D382" s="104"/>
      <c r="E382" s="24"/>
      <c r="F382" s="24"/>
      <c r="G382" s="24"/>
      <c r="H382" s="24"/>
      <c r="K382" s="27"/>
      <c r="S382" s="24"/>
    </row>
    <row r="383" spans="1:19" ht="15.75" customHeight="1" x14ac:dyDescent="0.25">
      <c r="A383" s="24"/>
      <c r="C383" s="26"/>
      <c r="D383" s="104"/>
      <c r="E383" s="24"/>
      <c r="F383" s="24"/>
      <c r="G383" s="24"/>
      <c r="H383" s="24"/>
      <c r="K383" s="27"/>
      <c r="S383" s="24"/>
    </row>
    <row r="384" spans="1:19" ht="15.75" customHeight="1" x14ac:dyDescent="0.25">
      <c r="A384" s="24"/>
      <c r="C384" s="26"/>
      <c r="D384" s="104"/>
      <c r="E384" s="24"/>
      <c r="F384" s="24"/>
      <c r="G384" s="24"/>
      <c r="H384" s="24"/>
      <c r="K384" s="27"/>
      <c r="S384" s="24"/>
    </row>
    <row r="385" spans="1:19" ht="15.75" customHeight="1" x14ac:dyDescent="0.25">
      <c r="A385" s="24"/>
      <c r="C385" s="26"/>
      <c r="D385" s="104"/>
      <c r="E385" s="24"/>
      <c r="F385" s="24"/>
      <c r="G385" s="24"/>
      <c r="H385" s="24"/>
      <c r="K385" s="27"/>
      <c r="S385" s="24"/>
    </row>
    <row r="386" spans="1:19" ht="15.75" customHeight="1" x14ac:dyDescent="0.25">
      <c r="A386" s="24"/>
      <c r="C386" s="26"/>
      <c r="D386" s="104"/>
      <c r="E386" s="24"/>
      <c r="F386" s="24"/>
      <c r="G386" s="24"/>
      <c r="H386" s="24"/>
      <c r="K386" s="27"/>
      <c r="S386" s="24"/>
    </row>
    <row r="387" spans="1:19" ht="15.75" customHeight="1" x14ac:dyDescent="0.25">
      <c r="A387" s="24"/>
      <c r="C387" s="26"/>
      <c r="D387" s="104"/>
      <c r="E387" s="24"/>
      <c r="F387" s="24"/>
      <c r="G387" s="24"/>
      <c r="H387" s="24"/>
      <c r="K387" s="27"/>
      <c r="S387" s="24"/>
    </row>
    <row r="388" spans="1:19" ht="15.75" customHeight="1" x14ac:dyDescent="0.25">
      <c r="A388" s="24"/>
      <c r="C388" s="26"/>
      <c r="D388" s="104"/>
      <c r="E388" s="24"/>
      <c r="F388" s="24"/>
      <c r="G388" s="24"/>
      <c r="H388" s="24"/>
      <c r="K388" s="27"/>
      <c r="S388" s="24"/>
    </row>
    <row r="389" spans="1:19" ht="15.75" customHeight="1" x14ac:dyDescent="0.25">
      <c r="A389" s="24"/>
      <c r="C389" s="26"/>
      <c r="D389" s="104"/>
      <c r="E389" s="24"/>
      <c r="F389" s="24"/>
      <c r="G389" s="24"/>
      <c r="H389" s="24"/>
      <c r="K389" s="27"/>
      <c r="S389" s="24"/>
    </row>
    <row r="390" spans="1:19" ht="15.75" customHeight="1" x14ac:dyDescent="0.25">
      <c r="A390" s="24"/>
      <c r="C390" s="26"/>
      <c r="D390" s="104"/>
      <c r="E390" s="24"/>
      <c r="F390" s="24"/>
      <c r="G390" s="24"/>
      <c r="H390" s="24"/>
      <c r="K390" s="27"/>
      <c r="S390" s="24"/>
    </row>
    <row r="391" spans="1:19" ht="15.75" customHeight="1" x14ac:dyDescent="0.25">
      <c r="A391" s="24"/>
      <c r="C391" s="26"/>
      <c r="D391" s="104"/>
      <c r="E391" s="24"/>
      <c r="F391" s="24"/>
      <c r="G391" s="24"/>
      <c r="H391" s="24"/>
      <c r="K391" s="27"/>
      <c r="S391" s="24"/>
    </row>
    <row r="392" spans="1:19" ht="15.75" customHeight="1" x14ac:dyDescent="0.25">
      <c r="A392" s="24"/>
      <c r="C392" s="26"/>
      <c r="D392" s="104"/>
      <c r="E392" s="24"/>
      <c r="F392" s="24"/>
      <c r="G392" s="24"/>
      <c r="H392" s="24"/>
      <c r="K392" s="27"/>
      <c r="S392" s="24"/>
    </row>
    <row r="393" spans="1:19" ht="15.75" customHeight="1" x14ac:dyDescent="0.25">
      <c r="A393" s="24"/>
      <c r="C393" s="26"/>
      <c r="D393" s="104"/>
      <c r="E393" s="24"/>
      <c r="F393" s="24"/>
      <c r="G393" s="24"/>
      <c r="H393" s="24"/>
      <c r="K393" s="27"/>
      <c r="S393" s="24"/>
    </row>
    <row r="394" spans="1:19" ht="15.75" customHeight="1" x14ac:dyDescent="0.25">
      <c r="A394" s="24"/>
      <c r="C394" s="26"/>
      <c r="D394" s="104"/>
      <c r="E394" s="24"/>
      <c r="F394" s="24"/>
      <c r="G394" s="24"/>
      <c r="H394" s="24"/>
      <c r="K394" s="27"/>
      <c r="S394" s="24"/>
    </row>
    <row r="395" spans="1:19" ht="15.75" customHeight="1" x14ac:dyDescent="0.25">
      <c r="A395" s="24"/>
      <c r="C395" s="26"/>
      <c r="D395" s="104"/>
      <c r="E395" s="24"/>
      <c r="F395" s="24"/>
      <c r="G395" s="24"/>
      <c r="H395" s="24"/>
      <c r="K395" s="27"/>
      <c r="S395" s="24"/>
    </row>
    <row r="396" spans="1:19" ht="15.75" customHeight="1" x14ac:dyDescent="0.25">
      <c r="A396" s="24"/>
      <c r="C396" s="26"/>
      <c r="D396" s="104"/>
      <c r="E396" s="24"/>
      <c r="F396" s="24"/>
      <c r="G396" s="24"/>
      <c r="H396" s="24"/>
      <c r="K396" s="27"/>
      <c r="S396" s="24"/>
    </row>
    <row r="397" spans="1:19" ht="15.75" customHeight="1" x14ac:dyDescent="0.25">
      <c r="A397" s="24"/>
      <c r="C397" s="26"/>
      <c r="D397" s="104"/>
      <c r="E397" s="24"/>
      <c r="F397" s="24"/>
      <c r="G397" s="24"/>
      <c r="H397" s="24"/>
      <c r="K397" s="27"/>
      <c r="S397" s="24"/>
    </row>
    <row r="398" spans="1:19" ht="15.75" customHeight="1" x14ac:dyDescent="0.25">
      <c r="A398" s="24"/>
      <c r="C398" s="26"/>
      <c r="D398" s="104"/>
      <c r="E398" s="24"/>
      <c r="F398" s="24"/>
      <c r="G398" s="24"/>
      <c r="H398" s="24"/>
      <c r="K398" s="27"/>
      <c r="S398" s="24"/>
    </row>
    <row r="399" spans="1:19" ht="15.75" customHeight="1" x14ac:dyDescent="0.25">
      <c r="A399" s="24"/>
      <c r="C399" s="26"/>
      <c r="D399" s="104"/>
      <c r="E399" s="24"/>
      <c r="F399" s="24"/>
      <c r="G399" s="24"/>
      <c r="H399" s="24"/>
      <c r="K399" s="27"/>
      <c r="S399" s="24"/>
    </row>
    <row r="400" spans="1:19" ht="15.75" customHeight="1" x14ac:dyDescent="0.25">
      <c r="A400" s="24"/>
      <c r="C400" s="26"/>
      <c r="D400" s="104"/>
      <c r="E400" s="24"/>
      <c r="F400" s="24"/>
      <c r="G400" s="24"/>
      <c r="H400" s="24"/>
      <c r="K400" s="27"/>
      <c r="S400" s="24"/>
    </row>
    <row r="401" spans="1:19" ht="15.75" customHeight="1" x14ac:dyDescent="0.25">
      <c r="A401" s="24"/>
      <c r="C401" s="26"/>
      <c r="D401" s="104"/>
      <c r="E401" s="24"/>
      <c r="F401" s="24"/>
      <c r="G401" s="24"/>
      <c r="H401" s="24"/>
      <c r="K401" s="27"/>
      <c r="S401" s="24"/>
    </row>
    <row r="402" spans="1:19" ht="15.75" customHeight="1" x14ac:dyDescent="0.25">
      <c r="A402" s="24"/>
      <c r="C402" s="26"/>
      <c r="D402" s="104"/>
      <c r="E402" s="24"/>
      <c r="F402" s="24"/>
      <c r="G402" s="24"/>
      <c r="H402" s="24"/>
      <c r="K402" s="27"/>
      <c r="S402" s="24"/>
    </row>
    <row r="403" spans="1:19" ht="15.75" customHeight="1" x14ac:dyDescent="0.25">
      <c r="A403" s="24"/>
      <c r="C403" s="26"/>
      <c r="D403" s="104"/>
      <c r="E403" s="24"/>
      <c r="F403" s="24"/>
      <c r="G403" s="24"/>
      <c r="H403" s="24"/>
      <c r="K403" s="27"/>
      <c r="S403" s="24"/>
    </row>
    <row r="404" spans="1:19" ht="15.75" customHeight="1" x14ac:dyDescent="0.25">
      <c r="A404" s="24"/>
      <c r="C404" s="26"/>
      <c r="D404" s="104"/>
      <c r="E404" s="24"/>
      <c r="F404" s="24"/>
      <c r="G404" s="24"/>
      <c r="H404" s="24"/>
      <c r="K404" s="27"/>
      <c r="S404" s="24"/>
    </row>
    <row r="405" spans="1:19" ht="15.75" customHeight="1" x14ac:dyDescent="0.25">
      <c r="A405" s="24"/>
      <c r="C405" s="26"/>
      <c r="D405" s="104"/>
      <c r="E405" s="24"/>
      <c r="F405" s="24"/>
      <c r="G405" s="24"/>
      <c r="H405" s="24"/>
      <c r="K405" s="27"/>
      <c r="S405" s="24"/>
    </row>
    <row r="406" spans="1:19" ht="15.75" customHeight="1" x14ac:dyDescent="0.25">
      <c r="A406" s="24"/>
      <c r="C406" s="26"/>
      <c r="D406" s="104"/>
      <c r="E406" s="24"/>
      <c r="F406" s="24"/>
      <c r="G406" s="24"/>
      <c r="H406" s="24"/>
      <c r="K406" s="27"/>
      <c r="S406" s="24"/>
    </row>
    <row r="407" spans="1:19" ht="15.75" customHeight="1" x14ac:dyDescent="0.25">
      <c r="A407" s="24"/>
      <c r="C407" s="26"/>
      <c r="D407" s="104"/>
      <c r="E407" s="24"/>
      <c r="F407" s="24"/>
      <c r="G407" s="24"/>
      <c r="H407" s="24"/>
      <c r="K407" s="27"/>
      <c r="S407" s="24"/>
    </row>
    <row r="408" spans="1:19" ht="15.75" customHeight="1" x14ac:dyDescent="0.25">
      <c r="A408" s="24"/>
      <c r="C408" s="26"/>
      <c r="D408" s="104"/>
      <c r="E408" s="24"/>
      <c r="F408" s="24"/>
      <c r="G408" s="24"/>
      <c r="H408" s="24"/>
      <c r="K408" s="27"/>
      <c r="S408" s="24"/>
    </row>
    <row r="409" spans="1:19" ht="15.75" customHeight="1" x14ac:dyDescent="0.25">
      <c r="A409" s="24"/>
      <c r="C409" s="26"/>
      <c r="D409" s="104"/>
      <c r="E409" s="24"/>
      <c r="F409" s="24"/>
      <c r="G409" s="24"/>
      <c r="H409" s="24"/>
      <c r="K409" s="27"/>
      <c r="S409" s="24"/>
    </row>
    <row r="410" spans="1:19" ht="15.75" customHeight="1" x14ac:dyDescent="0.25">
      <c r="A410" s="24"/>
      <c r="C410" s="26"/>
      <c r="D410" s="104"/>
      <c r="E410" s="24"/>
      <c r="F410" s="24"/>
      <c r="G410" s="24"/>
      <c r="H410" s="24"/>
      <c r="K410" s="27"/>
      <c r="S410" s="24"/>
    </row>
    <row r="411" spans="1:19" ht="15.75" customHeight="1" x14ac:dyDescent="0.25">
      <c r="A411" s="24"/>
      <c r="C411" s="26"/>
      <c r="D411" s="104"/>
      <c r="E411" s="24"/>
      <c r="F411" s="24"/>
      <c r="G411" s="24"/>
      <c r="H411" s="24"/>
      <c r="K411" s="27"/>
      <c r="S411" s="24"/>
    </row>
    <row r="412" spans="1:19" ht="15.75" customHeight="1" x14ac:dyDescent="0.25">
      <c r="A412" s="24"/>
      <c r="C412" s="26"/>
      <c r="D412" s="104"/>
      <c r="E412" s="24"/>
      <c r="F412" s="24"/>
      <c r="G412" s="24"/>
      <c r="H412" s="24"/>
      <c r="K412" s="27"/>
      <c r="S412" s="24"/>
    </row>
    <row r="413" spans="1:19" ht="15.75" customHeight="1" x14ac:dyDescent="0.25">
      <c r="A413" s="24"/>
      <c r="C413" s="26"/>
      <c r="D413" s="104"/>
      <c r="E413" s="24"/>
      <c r="F413" s="24"/>
      <c r="G413" s="24"/>
      <c r="H413" s="24"/>
      <c r="K413" s="27"/>
      <c r="S413" s="24"/>
    </row>
    <row r="414" spans="1:19" ht="15.75" customHeight="1" x14ac:dyDescent="0.25">
      <c r="A414" s="24"/>
      <c r="C414" s="26"/>
      <c r="D414" s="104"/>
      <c r="E414" s="24"/>
      <c r="F414" s="24"/>
      <c r="G414" s="24"/>
      <c r="H414" s="24"/>
      <c r="K414" s="27"/>
      <c r="S414" s="24"/>
    </row>
    <row r="415" spans="1:19" ht="15.75" customHeight="1" x14ac:dyDescent="0.25">
      <c r="A415" s="24"/>
      <c r="C415" s="26"/>
      <c r="D415" s="104"/>
      <c r="E415" s="24"/>
      <c r="F415" s="24"/>
      <c r="G415" s="24"/>
      <c r="H415" s="24"/>
      <c r="K415" s="27"/>
      <c r="S415" s="24"/>
    </row>
    <row r="416" spans="1:19" ht="15.75" customHeight="1" x14ac:dyDescent="0.25">
      <c r="A416" s="24"/>
      <c r="C416" s="26"/>
      <c r="D416" s="104"/>
      <c r="E416" s="24"/>
      <c r="F416" s="24"/>
      <c r="G416" s="24"/>
      <c r="H416" s="24"/>
      <c r="K416" s="27"/>
      <c r="S416" s="24"/>
    </row>
    <row r="417" spans="1:19" ht="15.75" customHeight="1" x14ac:dyDescent="0.25">
      <c r="A417" s="24"/>
      <c r="C417" s="26"/>
      <c r="D417" s="104"/>
      <c r="E417" s="24"/>
      <c r="F417" s="24"/>
      <c r="G417" s="24"/>
      <c r="H417" s="24"/>
      <c r="K417" s="27"/>
      <c r="S417" s="24"/>
    </row>
    <row r="418" spans="1:19" ht="15.75" customHeight="1" x14ac:dyDescent="0.25">
      <c r="A418" s="24"/>
      <c r="C418" s="26"/>
      <c r="D418" s="104"/>
      <c r="E418" s="24"/>
      <c r="F418" s="24"/>
      <c r="G418" s="24"/>
      <c r="H418" s="24"/>
      <c r="K418" s="27"/>
      <c r="S418" s="24"/>
    </row>
    <row r="419" spans="1:19" ht="15.75" customHeight="1" x14ac:dyDescent="0.25">
      <c r="A419" s="24"/>
      <c r="C419" s="26"/>
      <c r="D419" s="104"/>
      <c r="E419" s="24"/>
      <c r="F419" s="24"/>
      <c r="G419" s="24"/>
      <c r="H419" s="24"/>
      <c r="K419" s="27"/>
      <c r="S419" s="24"/>
    </row>
    <row r="420" spans="1:19" ht="15.75" customHeight="1" x14ac:dyDescent="0.25">
      <c r="A420" s="24"/>
      <c r="C420" s="26"/>
      <c r="D420" s="104"/>
      <c r="E420" s="24"/>
      <c r="F420" s="24"/>
      <c r="G420" s="24"/>
      <c r="H420" s="24"/>
      <c r="K420" s="27"/>
      <c r="S420" s="24"/>
    </row>
    <row r="421" spans="1:19" ht="15.75" customHeight="1" x14ac:dyDescent="0.25">
      <c r="A421" s="24"/>
      <c r="C421" s="26"/>
      <c r="D421" s="104"/>
      <c r="E421" s="24"/>
      <c r="F421" s="24"/>
      <c r="G421" s="24"/>
      <c r="H421" s="24"/>
      <c r="K421" s="27"/>
      <c r="S421" s="24"/>
    </row>
    <row r="422" spans="1:19" ht="15.75" customHeight="1" x14ac:dyDescent="0.25">
      <c r="A422" s="24"/>
      <c r="C422" s="26"/>
      <c r="D422" s="104"/>
      <c r="E422" s="24"/>
      <c r="F422" s="24"/>
      <c r="G422" s="24"/>
      <c r="H422" s="24"/>
      <c r="K422" s="27"/>
      <c r="S422" s="24"/>
    </row>
    <row r="423" spans="1:19" ht="15.75" customHeight="1" x14ac:dyDescent="0.25">
      <c r="A423" s="24"/>
      <c r="C423" s="26"/>
      <c r="D423" s="104"/>
      <c r="E423" s="24"/>
      <c r="F423" s="24"/>
      <c r="G423" s="24"/>
      <c r="H423" s="24"/>
      <c r="K423" s="27"/>
      <c r="S423" s="24"/>
    </row>
    <row r="424" spans="1:19" ht="15.75" customHeight="1" x14ac:dyDescent="0.25">
      <c r="A424" s="24"/>
      <c r="C424" s="26"/>
      <c r="D424" s="104"/>
      <c r="E424" s="24"/>
      <c r="F424" s="24"/>
      <c r="G424" s="24"/>
      <c r="H424" s="24"/>
      <c r="K424" s="27"/>
      <c r="S424" s="24"/>
    </row>
    <row r="425" spans="1:19" ht="15.75" customHeight="1" x14ac:dyDescent="0.25">
      <c r="A425" s="24"/>
      <c r="C425" s="26"/>
      <c r="D425" s="104"/>
      <c r="E425" s="24"/>
      <c r="F425" s="24"/>
      <c r="G425" s="24"/>
      <c r="H425" s="24"/>
      <c r="K425" s="27"/>
      <c r="S425" s="24"/>
    </row>
    <row r="426" spans="1:19" ht="15.75" customHeight="1" x14ac:dyDescent="0.25">
      <c r="A426" s="24"/>
      <c r="C426" s="26"/>
      <c r="D426" s="104"/>
      <c r="E426" s="24"/>
      <c r="F426" s="24"/>
      <c r="G426" s="24"/>
      <c r="H426" s="24"/>
      <c r="K426" s="27"/>
      <c r="S426" s="24"/>
    </row>
    <row r="427" spans="1:19" ht="15.75" customHeight="1" x14ac:dyDescent="0.25">
      <c r="A427" s="24"/>
      <c r="C427" s="26"/>
      <c r="D427" s="104"/>
      <c r="E427" s="24"/>
      <c r="F427" s="24"/>
      <c r="G427" s="24"/>
      <c r="H427" s="24"/>
      <c r="K427" s="27"/>
      <c r="S427" s="24"/>
    </row>
    <row r="428" spans="1:19" ht="15.75" customHeight="1" x14ac:dyDescent="0.25">
      <c r="A428" s="24"/>
      <c r="C428" s="26"/>
      <c r="D428" s="104"/>
      <c r="E428" s="24"/>
      <c r="F428" s="24"/>
      <c r="G428" s="24"/>
      <c r="H428" s="24"/>
      <c r="K428" s="27"/>
      <c r="S428" s="24"/>
    </row>
    <row r="429" spans="1:19" ht="15.75" customHeight="1" x14ac:dyDescent="0.25">
      <c r="A429" s="24"/>
      <c r="C429" s="26"/>
      <c r="D429" s="104"/>
      <c r="E429" s="24"/>
      <c r="F429" s="24"/>
      <c r="G429" s="24"/>
      <c r="H429" s="24"/>
      <c r="K429" s="27"/>
      <c r="S429" s="24"/>
    </row>
    <row r="430" spans="1:19" ht="15.75" customHeight="1" x14ac:dyDescent="0.25">
      <c r="A430" s="24"/>
      <c r="C430" s="26"/>
      <c r="D430" s="104"/>
      <c r="E430" s="24"/>
      <c r="F430" s="24"/>
      <c r="G430" s="24"/>
      <c r="H430" s="24"/>
      <c r="K430" s="27"/>
      <c r="S430" s="24"/>
    </row>
    <row r="431" spans="1:19" ht="15.75" customHeight="1" x14ac:dyDescent="0.25">
      <c r="A431" s="24"/>
      <c r="C431" s="26"/>
      <c r="D431" s="104"/>
      <c r="E431" s="24"/>
      <c r="F431" s="24"/>
      <c r="G431" s="24"/>
      <c r="H431" s="24"/>
      <c r="K431" s="27"/>
      <c r="S431" s="24"/>
    </row>
    <row r="432" spans="1:19" ht="15.75" customHeight="1" x14ac:dyDescent="0.25">
      <c r="A432" s="24"/>
      <c r="C432" s="26"/>
      <c r="D432" s="104"/>
      <c r="E432" s="24"/>
      <c r="F432" s="24"/>
      <c r="G432" s="24"/>
      <c r="H432" s="24"/>
      <c r="K432" s="27"/>
      <c r="S432" s="24"/>
    </row>
    <row r="433" spans="1:19" ht="15.75" customHeight="1" x14ac:dyDescent="0.25">
      <c r="A433" s="24"/>
      <c r="C433" s="26"/>
      <c r="D433" s="104"/>
      <c r="E433" s="24"/>
      <c r="F433" s="24"/>
      <c r="G433" s="24"/>
      <c r="H433" s="24"/>
      <c r="K433" s="27"/>
      <c r="S433" s="24"/>
    </row>
    <row r="434" spans="1:19" ht="15.75" customHeight="1" x14ac:dyDescent="0.25">
      <c r="A434" s="24"/>
      <c r="C434" s="26"/>
      <c r="D434" s="104"/>
      <c r="E434" s="24"/>
      <c r="F434" s="24"/>
      <c r="G434" s="24"/>
      <c r="H434" s="24"/>
      <c r="K434" s="27"/>
      <c r="S434" s="24"/>
    </row>
    <row r="435" spans="1:19" ht="15.75" customHeight="1" x14ac:dyDescent="0.25">
      <c r="A435" s="24"/>
      <c r="C435" s="26"/>
      <c r="D435" s="104"/>
      <c r="E435" s="24"/>
      <c r="F435" s="24"/>
      <c r="G435" s="24"/>
      <c r="H435" s="24"/>
      <c r="K435" s="27"/>
      <c r="S435" s="24"/>
    </row>
    <row r="436" spans="1:19" ht="15.75" customHeight="1" x14ac:dyDescent="0.25">
      <c r="A436" s="24"/>
      <c r="C436" s="26"/>
      <c r="D436" s="104"/>
      <c r="E436" s="24"/>
      <c r="F436" s="24"/>
      <c r="G436" s="24"/>
      <c r="H436" s="24"/>
      <c r="K436" s="27"/>
      <c r="S436" s="24"/>
    </row>
    <row r="437" spans="1:19" ht="15.75" customHeight="1" x14ac:dyDescent="0.25">
      <c r="A437" s="24"/>
      <c r="C437" s="26"/>
      <c r="D437" s="104"/>
      <c r="E437" s="24"/>
      <c r="F437" s="24"/>
      <c r="G437" s="24"/>
      <c r="H437" s="24"/>
      <c r="K437" s="27"/>
      <c r="S437" s="24"/>
    </row>
    <row r="438" spans="1:19" ht="15.75" customHeight="1" x14ac:dyDescent="0.25">
      <c r="A438" s="24"/>
      <c r="C438" s="26"/>
      <c r="D438" s="104"/>
      <c r="E438" s="24"/>
      <c r="F438" s="24"/>
      <c r="G438" s="24"/>
      <c r="H438" s="24"/>
      <c r="K438" s="27"/>
      <c r="S438" s="24"/>
    </row>
    <row r="439" spans="1:19" ht="15.75" customHeight="1" x14ac:dyDescent="0.25">
      <c r="A439" s="24"/>
      <c r="C439" s="26"/>
      <c r="D439" s="104"/>
      <c r="E439" s="24"/>
      <c r="F439" s="24"/>
      <c r="G439" s="24"/>
      <c r="H439" s="24"/>
      <c r="K439" s="27"/>
      <c r="S439" s="24"/>
    </row>
    <row r="440" spans="1:19" ht="15.75" customHeight="1" x14ac:dyDescent="0.25">
      <c r="A440" s="24"/>
      <c r="C440" s="26"/>
      <c r="D440" s="104"/>
      <c r="E440" s="24"/>
      <c r="F440" s="24"/>
      <c r="G440" s="24"/>
      <c r="H440" s="24"/>
      <c r="K440" s="27"/>
      <c r="S440" s="24"/>
    </row>
    <row r="441" spans="1:19" ht="15.75" customHeight="1" x14ac:dyDescent="0.25">
      <c r="A441" s="24"/>
      <c r="C441" s="26"/>
      <c r="D441" s="104"/>
      <c r="E441" s="24"/>
      <c r="F441" s="24"/>
      <c r="G441" s="24"/>
      <c r="H441" s="24"/>
      <c r="K441" s="27"/>
      <c r="S441" s="24"/>
    </row>
    <row r="442" spans="1:19" ht="15.75" customHeight="1" x14ac:dyDescent="0.25">
      <c r="A442" s="24"/>
      <c r="C442" s="26"/>
      <c r="D442" s="104"/>
      <c r="E442" s="24"/>
      <c r="F442" s="24"/>
      <c r="G442" s="24"/>
      <c r="H442" s="24"/>
      <c r="K442" s="27"/>
      <c r="S442" s="24"/>
    </row>
    <row r="443" spans="1:19" ht="15.75" customHeight="1" x14ac:dyDescent="0.25">
      <c r="A443" s="24"/>
      <c r="C443" s="26"/>
      <c r="D443" s="104"/>
      <c r="E443" s="24"/>
      <c r="F443" s="24"/>
      <c r="G443" s="24"/>
      <c r="H443" s="24"/>
      <c r="K443" s="27"/>
      <c r="S443" s="24"/>
    </row>
    <row r="444" spans="1:19" ht="15.75" customHeight="1" x14ac:dyDescent="0.25">
      <c r="A444" s="24"/>
      <c r="C444" s="26"/>
      <c r="D444" s="104"/>
      <c r="E444" s="24"/>
      <c r="F444" s="24"/>
      <c r="G444" s="24"/>
      <c r="H444" s="24"/>
      <c r="K444" s="27"/>
      <c r="S444" s="24"/>
    </row>
    <row r="445" spans="1:19" ht="15.75" customHeight="1" x14ac:dyDescent="0.25">
      <c r="A445" s="24"/>
      <c r="C445" s="26"/>
      <c r="D445" s="104"/>
      <c r="E445" s="24"/>
      <c r="F445" s="24"/>
      <c r="G445" s="24"/>
      <c r="H445" s="24"/>
      <c r="K445" s="27"/>
      <c r="S445" s="24"/>
    </row>
    <row r="446" spans="1:19" ht="15.75" customHeight="1" x14ac:dyDescent="0.25">
      <c r="A446" s="24"/>
      <c r="C446" s="26"/>
      <c r="D446" s="104"/>
      <c r="E446" s="24"/>
      <c r="F446" s="24"/>
      <c r="G446" s="24"/>
      <c r="H446" s="24"/>
      <c r="K446" s="27"/>
      <c r="S446" s="24"/>
    </row>
    <row r="447" spans="1:19" ht="15.75" customHeight="1" x14ac:dyDescent="0.25">
      <c r="A447" s="24"/>
      <c r="C447" s="26"/>
      <c r="D447" s="104"/>
      <c r="E447" s="24"/>
      <c r="F447" s="24"/>
      <c r="G447" s="24"/>
      <c r="H447" s="24"/>
      <c r="K447" s="27"/>
      <c r="S447" s="24"/>
    </row>
    <row r="448" spans="1:19" ht="15.75" customHeight="1" x14ac:dyDescent="0.25">
      <c r="A448" s="24"/>
      <c r="C448" s="26"/>
      <c r="D448" s="104"/>
      <c r="E448" s="24"/>
      <c r="F448" s="24"/>
      <c r="G448" s="24"/>
      <c r="H448" s="24"/>
      <c r="K448" s="27"/>
      <c r="S448" s="24"/>
    </row>
    <row r="449" spans="1:19" ht="15.75" customHeight="1" x14ac:dyDescent="0.25">
      <c r="A449" s="24"/>
      <c r="C449" s="26"/>
      <c r="D449" s="104"/>
      <c r="E449" s="24"/>
      <c r="F449" s="24"/>
      <c r="G449" s="24"/>
      <c r="H449" s="24"/>
      <c r="K449" s="27"/>
      <c r="S449" s="24"/>
    </row>
    <row r="450" spans="1:19" ht="15.75" customHeight="1" x14ac:dyDescent="0.25">
      <c r="A450" s="24"/>
      <c r="C450" s="26"/>
      <c r="D450" s="104"/>
      <c r="E450" s="24"/>
      <c r="F450" s="24"/>
      <c r="G450" s="24"/>
      <c r="H450" s="24"/>
      <c r="K450" s="27"/>
      <c r="S450" s="24"/>
    </row>
    <row r="451" spans="1:19" ht="15.75" customHeight="1" x14ac:dyDescent="0.25">
      <c r="A451" s="24"/>
      <c r="C451" s="26"/>
      <c r="D451" s="104"/>
      <c r="E451" s="24"/>
      <c r="F451" s="24"/>
      <c r="G451" s="24"/>
      <c r="H451" s="24"/>
      <c r="K451" s="27"/>
      <c r="S451" s="24"/>
    </row>
    <row r="452" spans="1:19" ht="15.75" customHeight="1" x14ac:dyDescent="0.25">
      <c r="A452" s="24"/>
      <c r="C452" s="26"/>
      <c r="D452" s="104"/>
      <c r="E452" s="24"/>
      <c r="F452" s="24"/>
      <c r="G452" s="24"/>
      <c r="H452" s="24"/>
      <c r="K452" s="27"/>
      <c r="S452" s="24"/>
    </row>
    <row r="453" spans="1:19" ht="15.75" customHeight="1" x14ac:dyDescent="0.25">
      <c r="A453" s="24"/>
      <c r="C453" s="26"/>
      <c r="D453" s="104"/>
      <c r="E453" s="24"/>
      <c r="F453" s="24"/>
      <c r="G453" s="24"/>
      <c r="H453" s="24"/>
      <c r="K453" s="27"/>
      <c r="S453" s="24"/>
    </row>
    <row r="454" spans="1:19" ht="15.75" customHeight="1" x14ac:dyDescent="0.25">
      <c r="A454" s="24"/>
      <c r="C454" s="26"/>
      <c r="D454" s="104"/>
      <c r="E454" s="24"/>
      <c r="F454" s="24"/>
      <c r="G454" s="24"/>
      <c r="H454" s="24"/>
      <c r="K454" s="27"/>
      <c r="S454" s="24"/>
    </row>
    <row r="455" spans="1:19" ht="15.75" customHeight="1" x14ac:dyDescent="0.25">
      <c r="A455" s="24"/>
      <c r="C455" s="26"/>
      <c r="D455" s="104"/>
      <c r="E455" s="24"/>
      <c r="F455" s="24"/>
      <c r="G455" s="24"/>
      <c r="H455" s="24"/>
      <c r="K455" s="27"/>
      <c r="S455" s="24"/>
    </row>
    <row r="456" spans="1:19" ht="15.75" customHeight="1" x14ac:dyDescent="0.25">
      <c r="A456" s="24"/>
      <c r="C456" s="26"/>
      <c r="D456" s="104"/>
      <c r="E456" s="24"/>
      <c r="F456" s="24"/>
      <c r="G456" s="24"/>
      <c r="H456" s="24"/>
      <c r="K456" s="27"/>
      <c r="S456" s="24"/>
    </row>
    <row r="457" spans="1:19" ht="15.75" customHeight="1" x14ac:dyDescent="0.25">
      <c r="A457" s="24"/>
      <c r="C457" s="26"/>
      <c r="D457" s="104"/>
      <c r="E457" s="24"/>
      <c r="F457" s="24"/>
      <c r="G457" s="24"/>
      <c r="H457" s="24"/>
      <c r="K457" s="27"/>
      <c r="S457" s="24"/>
    </row>
    <row r="458" spans="1:19" ht="15.75" customHeight="1" x14ac:dyDescent="0.25">
      <c r="A458" s="24"/>
      <c r="C458" s="26"/>
      <c r="D458" s="104"/>
      <c r="E458" s="24"/>
      <c r="F458" s="24"/>
      <c r="G458" s="24"/>
      <c r="H458" s="24"/>
      <c r="K458" s="27"/>
      <c r="S458" s="24"/>
    </row>
    <row r="459" spans="1:19" ht="15.75" customHeight="1" x14ac:dyDescent="0.25">
      <c r="A459" s="24"/>
      <c r="C459" s="26"/>
      <c r="D459" s="104"/>
      <c r="E459" s="24"/>
      <c r="F459" s="24"/>
      <c r="G459" s="24"/>
      <c r="H459" s="24"/>
      <c r="K459" s="27"/>
      <c r="S459" s="24"/>
    </row>
    <row r="460" spans="1:19" ht="15.75" customHeight="1" x14ac:dyDescent="0.25">
      <c r="A460" s="24"/>
      <c r="C460" s="26"/>
      <c r="D460" s="104"/>
      <c r="E460" s="24"/>
      <c r="F460" s="24"/>
      <c r="G460" s="24"/>
      <c r="H460" s="24"/>
      <c r="K460" s="27"/>
      <c r="S460" s="24"/>
    </row>
    <row r="461" spans="1:19" ht="15.75" customHeight="1" x14ac:dyDescent="0.25">
      <c r="A461" s="24"/>
      <c r="C461" s="26"/>
      <c r="D461" s="104"/>
      <c r="E461" s="24"/>
      <c r="F461" s="24"/>
      <c r="G461" s="24"/>
      <c r="H461" s="24"/>
      <c r="K461" s="27"/>
      <c r="S461" s="24"/>
    </row>
    <row r="462" spans="1:19" ht="15.75" customHeight="1" x14ac:dyDescent="0.25">
      <c r="A462" s="24"/>
      <c r="C462" s="26"/>
      <c r="D462" s="104"/>
      <c r="E462" s="24"/>
      <c r="F462" s="24"/>
      <c r="G462" s="24"/>
      <c r="H462" s="24"/>
      <c r="K462" s="27"/>
      <c r="S462" s="24"/>
    </row>
    <row r="463" spans="1:19" ht="15.75" customHeight="1" x14ac:dyDescent="0.25">
      <c r="A463" s="24"/>
      <c r="C463" s="26"/>
      <c r="D463" s="104"/>
      <c r="E463" s="24"/>
      <c r="F463" s="24"/>
      <c r="G463" s="24"/>
      <c r="H463" s="24"/>
      <c r="K463" s="27"/>
      <c r="S463" s="24"/>
    </row>
    <row r="464" spans="1:19" ht="15.75" customHeight="1" x14ac:dyDescent="0.25">
      <c r="A464" s="24"/>
      <c r="C464" s="26"/>
      <c r="D464" s="104"/>
      <c r="E464" s="24"/>
      <c r="F464" s="24"/>
      <c r="G464" s="24"/>
      <c r="H464" s="24"/>
      <c r="K464" s="27"/>
      <c r="S464" s="24"/>
    </row>
    <row r="465" spans="1:19" ht="15.75" customHeight="1" x14ac:dyDescent="0.25">
      <c r="A465" s="24"/>
      <c r="C465" s="26"/>
      <c r="D465" s="104"/>
      <c r="E465" s="24"/>
      <c r="F465" s="24"/>
      <c r="G465" s="24"/>
      <c r="H465" s="24"/>
      <c r="K465" s="27"/>
      <c r="S465" s="24"/>
    </row>
    <row r="466" spans="1:19" ht="15.75" customHeight="1" x14ac:dyDescent="0.25">
      <c r="A466" s="24"/>
      <c r="C466" s="26"/>
      <c r="D466" s="104"/>
      <c r="E466" s="24"/>
      <c r="F466" s="24"/>
      <c r="G466" s="24"/>
      <c r="H466" s="24"/>
      <c r="K466" s="27"/>
      <c r="S466" s="24"/>
    </row>
    <row r="467" spans="1:19" ht="15.75" customHeight="1" x14ac:dyDescent="0.25">
      <c r="A467" s="24"/>
      <c r="C467" s="26"/>
      <c r="D467" s="104"/>
      <c r="E467" s="24"/>
      <c r="F467" s="24"/>
      <c r="G467" s="24"/>
      <c r="H467" s="24"/>
      <c r="K467" s="27"/>
      <c r="S467" s="24"/>
    </row>
    <row r="468" spans="1:19" ht="15.75" customHeight="1" x14ac:dyDescent="0.25">
      <c r="A468" s="24"/>
      <c r="C468" s="26"/>
      <c r="D468" s="104"/>
      <c r="E468" s="24"/>
      <c r="F468" s="24"/>
      <c r="G468" s="24"/>
      <c r="H468" s="24"/>
      <c r="K468" s="27"/>
      <c r="S468" s="24"/>
    </row>
    <row r="469" spans="1:19" ht="15.75" customHeight="1" x14ac:dyDescent="0.25">
      <c r="A469" s="24"/>
      <c r="C469" s="26"/>
      <c r="D469" s="104"/>
      <c r="E469" s="24"/>
      <c r="F469" s="24"/>
      <c r="G469" s="24"/>
      <c r="H469" s="24"/>
      <c r="K469" s="27"/>
      <c r="S469" s="24"/>
    </row>
    <row r="470" spans="1:19" ht="15.75" customHeight="1" x14ac:dyDescent="0.25">
      <c r="A470" s="24"/>
      <c r="C470" s="26"/>
      <c r="D470" s="104"/>
      <c r="E470" s="24"/>
      <c r="F470" s="24"/>
      <c r="G470" s="24"/>
      <c r="H470" s="24"/>
      <c r="K470" s="27"/>
      <c r="S470" s="24"/>
    </row>
    <row r="471" spans="1:19" ht="15.75" customHeight="1" x14ac:dyDescent="0.25">
      <c r="A471" s="24"/>
      <c r="C471" s="26"/>
      <c r="D471" s="104"/>
      <c r="E471" s="24"/>
      <c r="F471" s="24"/>
      <c r="G471" s="24"/>
      <c r="H471" s="24"/>
      <c r="K471" s="27"/>
      <c r="S471" s="24"/>
    </row>
    <row r="472" spans="1:19" ht="15.75" customHeight="1" x14ac:dyDescent="0.25">
      <c r="A472" s="24"/>
      <c r="C472" s="26"/>
      <c r="D472" s="104"/>
      <c r="E472" s="24"/>
      <c r="F472" s="24"/>
      <c r="G472" s="24"/>
      <c r="H472" s="24"/>
      <c r="K472" s="27"/>
      <c r="S472" s="24"/>
    </row>
    <row r="473" spans="1:19" ht="15.75" customHeight="1" x14ac:dyDescent="0.25">
      <c r="A473" s="24"/>
      <c r="C473" s="26"/>
      <c r="D473" s="104"/>
      <c r="E473" s="24"/>
      <c r="F473" s="24"/>
      <c r="G473" s="24"/>
      <c r="H473" s="24"/>
      <c r="K473" s="27"/>
      <c r="S473" s="24"/>
    </row>
    <row r="474" spans="1:19" ht="15.75" customHeight="1" x14ac:dyDescent="0.25">
      <c r="A474" s="24"/>
      <c r="C474" s="26"/>
      <c r="D474" s="104"/>
      <c r="E474" s="24"/>
      <c r="F474" s="24"/>
      <c r="G474" s="24"/>
      <c r="H474" s="24"/>
      <c r="K474" s="27"/>
      <c r="S474" s="24"/>
    </row>
    <row r="475" spans="1:19" ht="15.75" customHeight="1" x14ac:dyDescent="0.25">
      <c r="A475" s="24"/>
      <c r="C475" s="26"/>
      <c r="D475" s="104"/>
      <c r="E475" s="24"/>
      <c r="F475" s="24"/>
      <c r="G475" s="24"/>
      <c r="H475" s="24"/>
      <c r="K475" s="27"/>
      <c r="S475" s="24"/>
    </row>
    <row r="476" spans="1:19" ht="15.75" customHeight="1" x14ac:dyDescent="0.25">
      <c r="A476" s="24"/>
      <c r="C476" s="26"/>
      <c r="D476" s="104"/>
      <c r="E476" s="24"/>
      <c r="F476" s="24"/>
      <c r="G476" s="24"/>
      <c r="H476" s="24"/>
      <c r="K476" s="27"/>
      <c r="S476" s="24"/>
    </row>
    <row r="477" spans="1:19" ht="15.75" customHeight="1" x14ac:dyDescent="0.25">
      <c r="A477" s="24"/>
      <c r="C477" s="26"/>
      <c r="D477" s="104"/>
      <c r="E477" s="24"/>
      <c r="F477" s="24"/>
      <c r="G477" s="24"/>
      <c r="H477" s="24"/>
      <c r="K477" s="27"/>
      <c r="S477" s="24"/>
    </row>
    <row r="478" spans="1:19" ht="15.75" customHeight="1" x14ac:dyDescent="0.25">
      <c r="A478" s="24"/>
      <c r="C478" s="26"/>
      <c r="D478" s="104"/>
      <c r="E478" s="24"/>
      <c r="F478" s="24"/>
      <c r="G478" s="24"/>
      <c r="H478" s="24"/>
      <c r="K478" s="27"/>
      <c r="S478" s="24"/>
    </row>
    <row r="479" spans="1:19" ht="15.75" customHeight="1" x14ac:dyDescent="0.25">
      <c r="A479" s="24"/>
      <c r="C479" s="26"/>
      <c r="D479" s="104"/>
      <c r="E479" s="24"/>
      <c r="F479" s="24"/>
      <c r="G479" s="24"/>
      <c r="H479" s="24"/>
      <c r="K479" s="27"/>
      <c r="S479" s="24"/>
    </row>
    <row r="480" spans="1:19" ht="15.75" customHeight="1" x14ac:dyDescent="0.25">
      <c r="A480" s="24"/>
      <c r="C480" s="26"/>
      <c r="D480" s="104"/>
      <c r="E480" s="24"/>
      <c r="F480" s="24"/>
      <c r="G480" s="24"/>
      <c r="H480" s="24"/>
      <c r="K480" s="27"/>
      <c r="S480" s="24"/>
    </row>
    <row r="481" spans="1:19" ht="15.75" customHeight="1" x14ac:dyDescent="0.25">
      <c r="A481" s="24"/>
      <c r="C481" s="26"/>
      <c r="D481" s="104"/>
      <c r="E481" s="24"/>
      <c r="F481" s="24"/>
      <c r="G481" s="24"/>
      <c r="H481" s="24"/>
      <c r="K481" s="27"/>
      <c r="S481" s="24"/>
    </row>
    <row r="482" spans="1:19" ht="15.75" customHeight="1" x14ac:dyDescent="0.25">
      <c r="A482" s="24"/>
      <c r="C482" s="26"/>
      <c r="D482" s="104"/>
      <c r="E482" s="24"/>
      <c r="F482" s="24"/>
      <c r="G482" s="24"/>
      <c r="H482" s="24"/>
      <c r="K482" s="27"/>
      <c r="S482" s="24"/>
    </row>
    <row r="483" spans="1:19" ht="15.75" customHeight="1" x14ac:dyDescent="0.25">
      <c r="A483" s="24"/>
      <c r="C483" s="26"/>
      <c r="D483" s="104"/>
      <c r="E483" s="24"/>
      <c r="F483" s="24"/>
      <c r="G483" s="24"/>
      <c r="H483" s="24"/>
      <c r="K483" s="27"/>
      <c r="S483" s="24"/>
    </row>
    <row r="484" spans="1:19" ht="15.75" customHeight="1" x14ac:dyDescent="0.25">
      <c r="A484" s="24"/>
      <c r="C484" s="26"/>
      <c r="D484" s="104"/>
      <c r="E484" s="24"/>
      <c r="F484" s="24"/>
      <c r="G484" s="24"/>
      <c r="H484" s="24"/>
      <c r="K484" s="27"/>
      <c r="S484" s="24"/>
    </row>
    <row r="485" spans="1:19" ht="15.75" customHeight="1" x14ac:dyDescent="0.25">
      <c r="A485" s="24"/>
      <c r="C485" s="26"/>
      <c r="D485" s="104"/>
      <c r="E485" s="24"/>
      <c r="F485" s="24"/>
      <c r="G485" s="24"/>
      <c r="H485" s="24"/>
      <c r="K485" s="27"/>
      <c r="S485" s="24"/>
    </row>
    <row r="486" spans="1:19" ht="15.75" customHeight="1" x14ac:dyDescent="0.25">
      <c r="A486" s="24"/>
      <c r="C486" s="26"/>
      <c r="D486" s="104"/>
      <c r="E486" s="24"/>
      <c r="F486" s="24"/>
      <c r="G486" s="24"/>
      <c r="H486" s="24"/>
      <c r="K486" s="27"/>
      <c r="S486" s="24"/>
    </row>
    <row r="487" spans="1:19" ht="15.75" customHeight="1" x14ac:dyDescent="0.25">
      <c r="A487" s="24"/>
      <c r="C487" s="26"/>
      <c r="D487" s="104"/>
      <c r="E487" s="24"/>
      <c r="F487" s="24"/>
      <c r="G487" s="24"/>
      <c r="H487" s="24"/>
      <c r="K487" s="27"/>
      <c r="S487" s="24"/>
    </row>
    <row r="488" spans="1:19" ht="15.75" customHeight="1" x14ac:dyDescent="0.25">
      <c r="A488" s="24"/>
      <c r="C488" s="26"/>
      <c r="D488" s="104"/>
      <c r="E488" s="24"/>
      <c r="F488" s="24"/>
      <c r="G488" s="24"/>
      <c r="H488" s="24"/>
      <c r="K488" s="27"/>
      <c r="S488" s="24"/>
    </row>
    <row r="489" spans="1:19" ht="15.75" customHeight="1" x14ac:dyDescent="0.25">
      <c r="A489" s="24"/>
      <c r="C489" s="26"/>
      <c r="D489" s="104"/>
      <c r="E489" s="24"/>
      <c r="F489" s="24"/>
      <c r="G489" s="24"/>
      <c r="H489" s="24"/>
      <c r="K489" s="27"/>
      <c r="S489" s="24"/>
    </row>
    <row r="490" spans="1:19" ht="15.75" customHeight="1" x14ac:dyDescent="0.25">
      <c r="A490" s="24"/>
      <c r="C490" s="26"/>
      <c r="D490" s="104"/>
      <c r="E490" s="24"/>
      <c r="F490" s="24"/>
      <c r="G490" s="24"/>
      <c r="H490" s="24"/>
      <c r="K490" s="27"/>
      <c r="S490" s="24"/>
    </row>
    <row r="491" spans="1:19" ht="15.75" customHeight="1" x14ac:dyDescent="0.25">
      <c r="A491" s="24"/>
      <c r="C491" s="26"/>
      <c r="D491" s="104"/>
      <c r="E491" s="24"/>
      <c r="F491" s="24"/>
      <c r="G491" s="24"/>
      <c r="H491" s="24"/>
      <c r="K491" s="27"/>
      <c r="S491" s="24"/>
    </row>
    <row r="492" spans="1:19" ht="15.75" customHeight="1" x14ac:dyDescent="0.25">
      <c r="A492" s="24"/>
      <c r="C492" s="26"/>
      <c r="D492" s="104"/>
      <c r="E492" s="24"/>
      <c r="F492" s="24"/>
      <c r="G492" s="24"/>
      <c r="H492" s="24"/>
      <c r="K492" s="27"/>
      <c r="S492" s="24"/>
    </row>
    <row r="493" spans="1:19" ht="15.75" customHeight="1" x14ac:dyDescent="0.25">
      <c r="A493" s="24"/>
      <c r="C493" s="26"/>
      <c r="D493" s="104"/>
      <c r="E493" s="24"/>
      <c r="F493" s="24"/>
      <c r="G493" s="24"/>
      <c r="H493" s="24"/>
      <c r="K493" s="27"/>
      <c r="S493" s="24"/>
    </row>
    <row r="494" spans="1:19" ht="15.75" customHeight="1" x14ac:dyDescent="0.25">
      <c r="A494" s="24"/>
      <c r="C494" s="26"/>
      <c r="D494" s="104"/>
      <c r="E494" s="24"/>
      <c r="F494" s="24"/>
      <c r="G494" s="24"/>
      <c r="H494" s="24"/>
      <c r="K494" s="27"/>
      <c r="S494" s="24"/>
    </row>
    <row r="495" spans="1:19" ht="15.75" customHeight="1" x14ac:dyDescent="0.25">
      <c r="A495" s="24"/>
      <c r="C495" s="26"/>
      <c r="D495" s="104"/>
      <c r="E495" s="24"/>
      <c r="F495" s="24"/>
      <c r="G495" s="24"/>
      <c r="H495" s="24"/>
      <c r="K495" s="27"/>
      <c r="S495" s="24"/>
    </row>
    <row r="496" spans="1:19" ht="15.75" customHeight="1" x14ac:dyDescent="0.25">
      <c r="A496" s="24"/>
      <c r="C496" s="26"/>
      <c r="D496" s="104"/>
      <c r="E496" s="24"/>
      <c r="F496" s="24"/>
      <c r="G496" s="24"/>
      <c r="H496" s="24"/>
      <c r="K496" s="27"/>
      <c r="S496" s="24"/>
    </row>
    <row r="497" spans="1:19" ht="15.75" customHeight="1" x14ac:dyDescent="0.25">
      <c r="A497" s="24"/>
      <c r="C497" s="26"/>
      <c r="D497" s="104"/>
      <c r="E497" s="24"/>
      <c r="F497" s="24"/>
      <c r="G497" s="24"/>
      <c r="H497" s="24"/>
      <c r="K497" s="27"/>
      <c r="S497" s="24"/>
    </row>
    <row r="498" spans="1:19" ht="15.75" customHeight="1" x14ac:dyDescent="0.25">
      <c r="A498" s="24"/>
      <c r="C498" s="26"/>
      <c r="D498" s="104"/>
      <c r="E498" s="24"/>
      <c r="F498" s="24"/>
      <c r="G498" s="24"/>
      <c r="H498" s="24"/>
      <c r="K498" s="27"/>
      <c r="S498" s="24"/>
    </row>
    <row r="499" spans="1:19" ht="15.75" customHeight="1" x14ac:dyDescent="0.25">
      <c r="A499" s="24"/>
      <c r="C499" s="26"/>
      <c r="D499" s="104"/>
      <c r="E499" s="24"/>
      <c r="F499" s="24"/>
      <c r="G499" s="24"/>
      <c r="H499" s="24"/>
      <c r="K499" s="27"/>
      <c r="S499" s="24"/>
    </row>
    <row r="500" spans="1:19" ht="15.75" customHeight="1" x14ac:dyDescent="0.25">
      <c r="A500" s="24"/>
      <c r="C500" s="26"/>
      <c r="D500" s="104"/>
      <c r="E500" s="24"/>
      <c r="F500" s="24"/>
      <c r="G500" s="24"/>
      <c r="H500" s="24"/>
      <c r="K500" s="27"/>
      <c r="S500" s="24"/>
    </row>
    <row r="501" spans="1:19" ht="15.75" customHeight="1" x14ac:dyDescent="0.25">
      <c r="A501" s="24"/>
      <c r="C501" s="26"/>
      <c r="D501" s="104"/>
      <c r="E501" s="24"/>
      <c r="F501" s="24"/>
      <c r="G501" s="24"/>
      <c r="H501" s="24"/>
      <c r="K501" s="27"/>
      <c r="S501" s="24"/>
    </row>
    <row r="502" spans="1:19" ht="15.75" customHeight="1" x14ac:dyDescent="0.25">
      <c r="A502" s="24"/>
      <c r="C502" s="26"/>
      <c r="D502" s="104"/>
      <c r="E502" s="24"/>
      <c r="F502" s="24"/>
      <c r="G502" s="24"/>
      <c r="H502" s="24"/>
      <c r="K502" s="27"/>
      <c r="S502" s="24"/>
    </row>
    <row r="503" spans="1:19" ht="15.75" customHeight="1" x14ac:dyDescent="0.25">
      <c r="A503" s="24"/>
      <c r="C503" s="26"/>
      <c r="D503" s="104"/>
      <c r="E503" s="24"/>
      <c r="F503" s="24"/>
      <c r="G503" s="24"/>
      <c r="H503" s="24"/>
      <c r="K503" s="27"/>
      <c r="S503" s="24"/>
    </row>
    <row r="504" spans="1:19" ht="15.75" customHeight="1" x14ac:dyDescent="0.25">
      <c r="A504" s="24"/>
      <c r="C504" s="26"/>
      <c r="D504" s="104"/>
      <c r="E504" s="24"/>
      <c r="F504" s="24"/>
      <c r="G504" s="24"/>
      <c r="H504" s="24"/>
      <c r="K504" s="27"/>
      <c r="S504" s="24"/>
    </row>
    <row r="505" spans="1:19" ht="15.75" customHeight="1" x14ac:dyDescent="0.25">
      <c r="A505" s="24"/>
      <c r="C505" s="26"/>
      <c r="D505" s="104"/>
      <c r="E505" s="24"/>
      <c r="F505" s="24"/>
      <c r="G505" s="24"/>
      <c r="H505" s="24"/>
      <c r="K505" s="27"/>
      <c r="S505" s="24"/>
    </row>
    <row r="506" spans="1:19" ht="15.75" customHeight="1" x14ac:dyDescent="0.25">
      <c r="A506" s="24"/>
      <c r="C506" s="26"/>
      <c r="D506" s="104"/>
      <c r="E506" s="24"/>
      <c r="F506" s="24"/>
      <c r="G506" s="24"/>
      <c r="H506" s="24"/>
      <c r="K506" s="27"/>
      <c r="S506" s="24"/>
    </row>
    <row r="507" spans="1:19" ht="15.75" customHeight="1" x14ac:dyDescent="0.25">
      <c r="A507" s="24"/>
      <c r="C507" s="26"/>
      <c r="D507" s="104"/>
      <c r="E507" s="24"/>
      <c r="F507" s="24"/>
      <c r="G507" s="24"/>
      <c r="H507" s="24"/>
      <c r="K507" s="27"/>
      <c r="S507" s="24"/>
    </row>
    <row r="508" spans="1:19" ht="15.75" customHeight="1" x14ac:dyDescent="0.25">
      <c r="A508" s="24"/>
      <c r="C508" s="26"/>
      <c r="D508" s="104"/>
      <c r="E508" s="24"/>
      <c r="F508" s="24"/>
      <c r="G508" s="24"/>
      <c r="H508" s="24"/>
      <c r="K508" s="27"/>
      <c r="S508" s="24"/>
    </row>
    <row r="509" spans="1:19" ht="15.75" customHeight="1" x14ac:dyDescent="0.25">
      <c r="A509" s="24"/>
      <c r="C509" s="26"/>
      <c r="D509" s="104"/>
      <c r="E509" s="24"/>
      <c r="F509" s="24"/>
      <c r="G509" s="24"/>
      <c r="H509" s="24"/>
      <c r="K509" s="27"/>
      <c r="S509" s="24"/>
    </row>
    <row r="510" spans="1:19" ht="15.75" customHeight="1" x14ac:dyDescent="0.25">
      <c r="A510" s="24"/>
      <c r="C510" s="26"/>
      <c r="D510" s="104"/>
      <c r="E510" s="24"/>
      <c r="F510" s="24"/>
      <c r="G510" s="24"/>
      <c r="H510" s="24"/>
      <c r="K510" s="27"/>
      <c r="S510" s="24"/>
    </row>
    <row r="511" spans="1:19" ht="15.75" customHeight="1" x14ac:dyDescent="0.25">
      <c r="A511" s="24"/>
      <c r="C511" s="26"/>
      <c r="D511" s="104"/>
      <c r="E511" s="24"/>
      <c r="F511" s="24"/>
      <c r="G511" s="24"/>
      <c r="H511" s="24"/>
      <c r="K511" s="27"/>
      <c r="S511" s="24"/>
    </row>
    <row r="512" spans="1:19" ht="15.75" customHeight="1" x14ac:dyDescent="0.25">
      <c r="A512" s="24"/>
      <c r="C512" s="26"/>
      <c r="D512" s="104"/>
      <c r="E512" s="24"/>
      <c r="F512" s="24"/>
      <c r="G512" s="24"/>
      <c r="H512" s="24"/>
      <c r="K512" s="27"/>
      <c r="S512" s="24"/>
    </row>
    <row r="513" spans="1:19" ht="15.75" customHeight="1" x14ac:dyDescent="0.25">
      <c r="A513" s="24"/>
      <c r="C513" s="26"/>
      <c r="D513" s="104"/>
      <c r="E513" s="24"/>
      <c r="F513" s="24"/>
      <c r="G513" s="24"/>
      <c r="H513" s="24"/>
      <c r="K513" s="27"/>
      <c r="S513" s="24"/>
    </row>
    <row r="514" spans="1:19" ht="15.75" customHeight="1" x14ac:dyDescent="0.25">
      <c r="A514" s="24"/>
      <c r="C514" s="26"/>
      <c r="D514" s="104"/>
      <c r="E514" s="24"/>
      <c r="F514" s="24"/>
      <c r="G514" s="24"/>
      <c r="H514" s="24"/>
      <c r="K514" s="27"/>
      <c r="S514" s="24"/>
    </row>
    <row r="515" spans="1:19" ht="15.75" customHeight="1" x14ac:dyDescent="0.25">
      <c r="A515" s="24"/>
      <c r="C515" s="26"/>
      <c r="D515" s="104"/>
      <c r="E515" s="24"/>
      <c r="F515" s="24"/>
      <c r="G515" s="24"/>
      <c r="H515" s="24"/>
      <c r="K515" s="27"/>
      <c r="S515" s="24"/>
    </row>
    <row r="516" spans="1:19" ht="15.75" customHeight="1" x14ac:dyDescent="0.25">
      <c r="A516" s="24"/>
      <c r="C516" s="26"/>
      <c r="D516" s="104"/>
      <c r="E516" s="24"/>
      <c r="F516" s="24"/>
      <c r="G516" s="24"/>
      <c r="H516" s="24"/>
      <c r="K516" s="27"/>
      <c r="S516" s="24"/>
    </row>
    <row r="517" spans="1:19" ht="15.75" customHeight="1" x14ac:dyDescent="0.25">
      <c r="A517" s="24"/>
      <c r="C517" s="26"/>
      <c r="D517" s="104"/>
      <c r="E517" s="24"/>
      <c r="F517" s="24"/>
      <c r="G517" s="24"/>
      <c r="H517" s="24"/>
      <c r="K517" s="27"/>
      <c r="S517" s="24"/>
    </row>
    <row r="518" spans="1:19" ht="15.75" customHeight="1" x14ac:dyDescent="0.25">
      <c r="A518" s="24"/>
      <c r="C518" s="26"/>
      <c r="D518" s="104"/>
      <c r="E518" s="24"/>
      <c r="F518" s="24"/>
      <c r="G518" s="24"/>
      <c r="H518" s="24"/>
      <c r="K518" s="27"/>
      <c r="S518" s="24"/>
    </row>
    <row r="519" spans="1:19" ht="15.75" customHeight="1" x14ac:dyDescent="0.25">
      <c r="A519" s="24"/>
      <c r="C519" s="26"/>
      <c r="D519" s="104"/>
      <c r="E519" s="24"/>
      <c r="F519" s="24"/>
      <c r="G519" s="24"/>
      <c r="H519" s="24"/>
      <c r="K519" s="27"/>
      <c r="S519" s="24"/>
    </row>
    <row r="520" spans="1:19" ht="15.75" customHeight="1" x14ac:dyDescent="0.25">
      <c r="A520" s="24"/>
      <c r="C520" s="26"/>
      <c r="D520" s="104"/>
      <c r="E520" s="24"/>
      <c r="F520" s="24"/>
      <c r="G520" s="24"/>
      <c r="H520" s="24"/>
      <c r="K520" s="27"/>
      <c r="S520" s="24"/>
    </row>
    <row r="521" spans="1:19" ht="15.75" customHeight="1" x14ac:dyDescent="0.25">
      <c r="A521" s="24"/>
      <c r="C521" s="26"/>
      <c r="D521" s="104"/>
      <c r="E521" s="24"/>
      <c r="F521" s="24"/>
      <c r="G521" s="24"/>
      <c r="H521" s="24"/>
      <c r="K521" s="27"/>
      <c r="S521" s="24"/>
    </row>
    <row r="522" spans="1:19" ht="15.75" customHeight="1" x14ac:dyDescent="0.25">
      <c r="A522" s="24"/>
      <c r="C522" s="26"/>
      <c r="D522" s="104"/>
      <c r="E522" s="24"/>
      <c r="F522" s="24"/>
      <c r="G522" s="24"/>
      <c r="H522" s="24"/>
      <c r="K522" s="27"/>
      <c r="S522" s="24"/>
    </row>
    <row r="523" spans="1:19" ht="15.75" customHeight="1" x14ac:dyDescent="0.25">
      <c r="A523" s="24"/>
      <c r="C523" s="26"/>
      <c r="D523" s="104"/>
      <c r="E523" s="24"/>
      <c r="F523" s="24"/>
      <c r="G523" s="24"/>
      <c r="H523" s="24"/>
      <c r="K523" s="27"/>
      <c r="S523" s="24"/>
    </row>
    <row r="524" spans="1:19" ht="15.75" customHeight="1" x14ac:dyDescent="0.25">
      <c r="A524" s="24"/>
      <c r="C524" s="26"/>
      <c r="D524" s="104"/>
      <c r="E524" s="24"/>
      <c r="F524" s="24"/>
      <c r="G524" s="24"/>
      <c r="H524" s="24"/>
      <c r="K524" s="27"/>
      <c r="S524" s="24"/>
    </row>
    <row r="525" spans="1:19" ht="15.75" customHeight="1" x14ac:dyDescent="0.25">
      <c r="A525" s="24"/>
      <c r="C525" s="26"/>
      <c r="D525" s="104"/>
      <c r="E525" s="24"/>
      <c r="F525" s="24"/>
      <c r="G525" s="24"/>
      <c r="H525" s="24"/>
      <c r="K525" s="27"/>
      <c r="S525" s="24"/>
    </row>
    <row r="526" spans="1:19" ht="15.75" customHeight="1" x14ac:dyDescent="0.25">
      <c r="A526" s="24"/>
      <c r="C526" s="26"/>
      <c r="D526" s="104"/>
      <c r="E526" s="24"/>
      <c r="F526" s="24"/>
      <c r="G526" s="24"/>
      <c r="H526" s="24"/>
      <c r="K526" s="27"/>
      <c r="S526" s="24"/>
    </row>
    <row r="527" spans="1:19" ht="15.75" customHeight="1" x14ac:dyDescent="0.25">
      <c r="A527" s="24"/>
      <c r="C527" s="26"/>
      <c r="D527" s="104"/>
      <c r="E527" s="24"/>
      <c r="F527" s="24"/>
      <c r="G527" s="24"/>
      <c r="H527" s="24"/>
      <c r="K527" s="27"/>
      <c r="S527" s="24"/>
    </row>
    <row r="528" spans="1:19" ht="15.75" customHeight="1" x14ac:dyDescent="0.25">
      <c r="A528" s="24"/>
      <c r="C528" s="26"/>
      <c r="D528" s="104"/>
      <c r="E528" s="24"/>
      <c r="F528" s="24"/>
      <c r="G528" s="24"/>
      <c r="H528" s="24"/>
      <c r="K528" s="27"/>
      <c r="S528" s="24"/>
    </row>
    <row r="529" spans="1:19" ht="15.75" customHeight="1" x14ac:dyDescent="0.25">
      <c r="A529" s="24"/>
      <c r="C529" s="26"/>
      <c r="D529" s="104"/>
      <c r="E529" s="24"/>
      <c r="F529" s="24"/>
      <c r="G529" s="24"/>
      <c r="H529" s="24"/>
      <c r="K529" s="27"/>
      <c r="S529" s="24"/>
    </row>
    <row r="530" spans="1:19" ht="15.75" customHeight="1" x14ac:dyDescent="0.25">
      <c r="A530" s="24"/>
      <c r="C530" s="26"/>
      <c r="D530" s="104"/>
      <c r="E530" s="24"/>
      <c r="F530" s="24"/>
      <c r="G530" s="24"/>
      <c r="H530" s="24"/>
      <c r="K530" s="27"/>
      <c r="S530" s="24"/>
    </row>
    <row r="531" spans="1:19" ht="15.75" customHeight="1" x14ac:dyDescent="0.25">
      <c r="A531" s="24"/>
      <c r="C531" s="26"/>
      <c r="D531" s="104"/>
      <c r="E531" s="24"/>
      <c r="F531" s="24"/>
      <c r="G531" s="24"/>
      <c r="H531" s="24"/>
      <c r="K531" s="27"/>
      <c r="S531" s="24"/>
    </row>
    <row r="532" spans="1:19" ht="15.75" customHeight="1" x14ac:dyDescent="0.25">
      <c r="A532" s="24"/>
      <c r="C532" s="26"/>
      <c r="D532" s="104"/>
      <c r="E532" s="24"/>
      <c r="F532" s="24"/>
      <c r="G532" s="24"/>
      <c r="H532" s="24"/>
      <c r="K532" s="27"/>
      <c r="S532" s="24"/>
    </row>
    <row r="533" spans="1:19" ht="15.75" customHeight="1" x14ac:dyDescent="0.25">
      <c r="A533" s="24"/>
      <c r="C533" s="26"/>
      <c r="D533" s="104"/>
      <c r="E533" s="24"/>
      <c r="F533" s="24"/>
      <c r="G533" s="24"/>
      <c r="H533" s="24"/>
      <c r="K533" s="27"/>
      <c r="S533" s="24"/>
    </row>
    <row r="534" spans="1:19" ht="15.75" customHeight="1" x14ac:dyDescent="0.25">
      <c r="A534" s="24"/>
      <c r="C534" s="26"/>
      <c r="D534" s="104"/>
      <c r="E534" s="24"/>
      <c r="F534" s="24"/>
      <c r="G534" s="24"/>
      <c r="H534" s="24"/>
      <c r="K534" s="27"/>
      <c r="S534" s="24"/>
    </row>
    <row r="535" spans="1:19" ht="15.75" customHeight="1" x14ac:dyDescent="0.25">
      <c r="A535" s="24"/>
      <c r="C535" s="26"/>
      <c r="D535" s="104"/>
      <c r="E535" s="24"/>
      <c r="F535" s="24"/>
      <c r="G535" s="24"/>
      <c r="H535" s="24"/>
      <c r="K535" s="27"/>
      <c r="S535" s="24"/>
    </row>
    <row r="536" spans="1:19" ht="15.75" customHeight="1" x14ac:dyDescent="0.25">
      <c r="A536" s="24"/>
      <c r="C536" s="26"/>
      <c r="D536" s="104"/>
      <c r="E536" s="24"/>
      <c r="F536" s="24"/>
      <c r="G536" s="24"/>
      <c r="H536" s="24"/>
      <c r="K536" s="27"/>
      <c r="S536" s="24"/>
    </row>
    <row r="537" spans="1:19" ht="15.75" customHeight="1" x14ac:dyDescent="0.25">
      <c r="A537" s="24"/>
      <c r="C537" s="26"/>
      <c r="D537" s="104"/>
      <c r="E537" s="24"/>
      <c r="F537" s="24"/>
      <c r="G537" s="24"/>
      <c r="H537" s="24"/>
      <c r="K537" s="27"/>
      <c r="S537" s="24"/>
    </row>
    <row r="538" spans="1:19" ht="15.75" customHeight="1" x14ac:dyDescent="0.25">
      <c r="A538" s="24"/>
      <c r="C538" s="26"/>
      <c r="D538" s="104"/>
      <c r="E538" s="24"/>
      <c r="F538" s="24"/>
      <c r="G538" s="24"/>
      <c r="H538" s="24"/>
      <c r="K538" s="27"/>
      <c r="S538" s="24"/>
    </row>
    <row r="539" spans="1:19" ht="15.75" customHeight="1" x14ac:dyDescent="0.25">
      <c r="A539" s="24"/>
      <c r="C539" s="26"/>
      <c r="D539" s="104"/>
      <c r="E539" s="24"/>
      <c r="F539" s="24"/>
      <c r="G539" s="24"/>
      <c r="H539" s="24"/>
      <c r="K539" s="27"/>
      <c r="S539" s="24"/>
    </row>
    <row r="540" spans="1:19" ht="15.75" customHeight="1" x14ac:dyDescent="0.25">
      <c r="A540" s="24"/>
      <c r="C540" s="26"/>
      <c r="D540" s="104"/>
      <c r="E540" s="24"/>
      <c r="F540" s="24"/>
      <c r="G540" s="24"/>
      <c r="H540" s="24"/>
      <c r="K540" s="27"/>
      <c r="S540" s="24"/>
    </row>
    <row r="541" spans="1:19" ht="15.75" customHeight="1" x14ac:dyDescent="0.25">
      <c r="A541" s="24"/>
      <c r="C541" s="26"/>
      <c r="D541" s="104"/>
      <c r="E541" s="24"/>
      <c r="F541" s="24"/>
      <c r="G541" s="24"/>
      <c r="H541" s="24"/>
      <c r="K541" s="27"/>
      <c r="S541" s="24"/>
    </row>
    <row r="542" spans="1:19" ht="15.75" customHeight="1" x14ac:dyDescent="0.25">
      <c r="A542" s="24"/>
      <c r="C542" s="26"/>
      <c r="D542" s="104"/>
      <c r="E542" s="24"/>
      <c r="F542" s="24"/>
      <c r="G542" s="24"/>
      <c r="H542" s="24"/>
      <c r="K542" s="27"/>
      <c r="S542" s="24"/>
    </row>
    <row r="543" spans="1:19" ht="15.75" customHeight="1" x14ac:dyDescent="0.25">
      <c r="A543" s="24"/>
      <c r="C543" s="26"/>
      <c r="D543" s="104"/>
      <c r="E543" s="24"/>
      <c r="F543" s="24"/>
      <c r="G543" s="24"/>
      <c r="H543" s="24"/>
      <c r="K543" s="27"/>
      <c r="S543" s="24"/>
    </row>
    <row r="544" spans="1:19" ht="15.75" customHeight="1" x14ac:dyDescent="0.25">
      <c r="A544" s="24"/>
      <c r="C544" s="26"/>
      <c r="D544" s="104"/>
      <c r="E544" s="24"/>
      <c r="F544" s="24"/>
      <c r="G544" s="24"/>
      <c r="H544" s="24"/>
      <c r="K544" s="27"/>
      <c r="S544" s="24"/>
    </row>
    <row r="545" spans="1:19" ht="15.75" customHeight="1" x14ac:dyDescent="0.25">
      <c r="A545" s="24"/>
      <c r="C545" s="26"/>
      <c r="D545" s="104"/>
      <c r="E545" s="24"/>
      <c r="F545" s="24"/>
      <c r="G545" s="24"/>
      <c r="H545" s="24"/>
      <c r="K545" s="27"/>
      <c r="S545" s="24"/>
    </row>
    <row r="546" spans="1:19" ht="15.75" customHeight="1" x14ac:dyDescent="0.25">
      <c r="A546" s="24"/>
      <c r="C546" s="26"/>
      <c r="D546" s="104"/>
      <c r="E546" s="24"/>
      <c r="F546" s="24"/>
      <c r="G546" s="24"/>
      <c r="H546" s="24"/>
      <c r="K546" s="27"/>
      <c r="S546" s="24"/>
    </row>
    <row r="547" spans="1:19" ht="15.75" customHeight="1" x14ac:dyDescent="0.25">
      <c r="A547" s="24"/>
      <c r="C547" s="26"/>
      <c r="D547" s="104"/>
      <c r="E547" s="24"/>
      <c r="F547" s="24"/>
      <c r="G547" s="24"/>
      <c r="H547" s="24"/>
      <c r="K547" s="27"/>
      <c r="S547" s="24"/>
    </row>
    <row r="548" spans="1:19" ht="15.75" customHeight="1" x14ac:dyDescent="0.25">
      <c r="A548" s="24"/>
      <c r="C548" s="26"/>
      <c r="D548" s="104"/>
      <c r="E548" s="24"/>
      <c r="F548" s="24"/>
      <c r="G548" s="24"/>
      <c r="H548" s="24"/>
      <c r="K548" s="27"/>
      <c r="S548" s="24"/>
    </row>
    <row r="549" spans="1:19" ht="15.75" customHeight="1" x14ac:dyDescent="0.25">
      <c r="A549" s="24"/>
      <c r="C549" s="26"/>
      <c r="D549" s="104"/>
      <c r="E549" s="24"/>
      <c r="F549" s="24"/>
      <c r="G549" s="24"/>
      <c r="H549" s="24"/>
      <c r="K549" s="27"/>
      <c r="S549" s="24"/>
    </row>
    <row r="550" spans="1:19" ht="15.75" customHeight="1" x14ac:dyDescent="0.25">
      <c r="A550" s="24"/>
      <c r="C550" s="26"/>
      <c r="D550" s="104"/>
      <c r="E550" s="24"/>
      <c r="F550" s="24"/>
      <c r="G550" s="24"/>
      <c r="H550" s="24"/>
      <c r="K550" s="27"/>
      <c r="S550" s="24"/>
    </row>
    <row r="551" spans="1:19" ht="15.75" customHeight="1" x14ac:dyDescent="0.25">
      <c r="A551" s="24"/>
      <c r="C551" s="26"/>
      <c r="D551" s="104"/>
      <c r="E551" s="24"/>
      <c r="F551" s="24"/>
      <c r="G551" s="24"/>
      <c r="H551" s="24"/>
      <c r="K551" s="27"/>
      <c r="S551" s="24"/>
    </row>
    <row r="552" spans="1:19" ht="15.75" customHeight="1" x14ac:dyDescent="0.25">
      <c r="A552" s="24"/>
      <c r="C552" s="26"/>
      <c r="D552" s="104"/>
      <c r="E552" s="24"/>
      <c r="F552" s="24"/>
      <c r="G552" s="24"/>
      <c r="H552" s="24"/>
      <c r="K552" s="27"/>
      <c r="S552" s="24"/>
    </row>
    <row r="553" spans="1:19" ht="15.75" customHeight="1" x14ac:dyDescent="0.25">
      <c r="A553" s="24"/>
      <c r="C553" s="26"/>
      <c r="D553" s="104"/>
      <c r="E553" s="24"/>
      <c r="F553" s="24"/>
      <c r="G553" s="24"/>
      <c r="H553" s="24"/>
      <c r="K553" s="27"/>
      <c r="S553" s="24"/>
    </row>
    <row r="554" spans="1:19" ht="15.75" customHeight="1" x14ac:dyDescent="0.25">
      <c r="A554" s="24"/>
      <c r="C554" s="26"/>
      <c r="D554" s="104"/>
      <c r="E554" s="24"/>
      <c r="F554" s="24"/>
      <c r="G554" s="24"/>
      <c r="H554" s="24"/>
      <c r="K554" s="27"/>
      <c r="S554" s="24"/>
    </row>
    <row r="555" spans="1:19" ht="15.75" customHeight="1" x14ac:dyDescent="0.25">
      <c r="A555" s="24"/>
      <c r="C555" s="26"/>
      <c r="D555" s="104"/>
      <c r="E555" s="24"/>
      <c r="F555" s="24"/>
      <c r="G555" s="24"/>
      <c r="H555" s="24"/>
      <c r="K555" s="27"/>
      <c r="S555" s="24"/>
    </row>
    <row r="556" spans="1:19" ht="15.75" customHeight="1" x14ac:dyDescent="0.25">
      <c r="A556" s="24"/>
      <c r="C556" s="26"/>
      <c r="D556" s="104"/>
      <c r="E556" s="24"/>
      <c r="F556" s="24"/>
      <c r="G556" s="24"/>
      <c r="H556" s="24"/>
      <c r="K556" s="27"/>
      <c r="S556" s="24"/>
    </row>
    <row r="557" spans="1:19" ht="15.75" customHeight="1" x14ac:dyDescent="0.25">
      <c r="A557" s="24"/>
      <c r="C557" s="26"/>
      <c r="D557" s="104"/>
      <c r="E557" s="24"/>
      <c r="F557" s="24"/>
      <c r="G557" s="24"/>
      <c r="H557" s="24"/>
      <c r="K557" s="27"/>
      <c r="S557" s="24"/>
    </row>
    <row r="558" spans="1:19" ht="15.75" customHeight="1" x14ac:dyDescent="0.25">
      <c r="A558" s="24"/>
      <c r="C558" s="26"/>
      <c r="D558" s="104"/>
      <c r="E558" s="24"/>
      <c r="F558" s="24"/>
      <c r="G558" s="24"/>
      <c r="H558" s="24"/>
      <c r="K558" s="27"/>
      <c r="S558" s="24"/>
    </row>
    <row r="559" spans="1:19" ht="15.75" customHeight="1" x14ac:dyDescent="0.25">
      <c r="A559" s="24"/>
      <c r="C559" s="26"/>
      <c r="D559" s="104"/>
      <c r="E559" s="24"/>
      <c r="F559" s="24"/>
      <c r="G559" s="24"/>
      <c r="H559" s="24"/>
      <c r="K559" s="27"/>
      <c r="S559" s="24"/>
    </row>
    <row r="560" spans="1:19" ht="15.75" customHeight="1" x14ac:dyDescent="0.25">
      <c r="A560" s="24"/>
      <c r="C560" s="26"/>
      <c r="D560" s="104"/>
      <c r="E560" s="24"/>
      <c r="F560" s="24"/>
      <c r="G560" s="24"/>
      <c r="H560" s="24"/>
      <c r="K560" s="27"/>
      <c r="S560" s="24"/>
    </row>
    <row r="561" spans="1:19" ht="15.75" customHeight="1" x14ac:dyDescent="0.25">
      <c r="A561" s="24"/>
      <c r="C561" s="26"/>
      <c r="D561" s="104"/>
      <c r="E561" s="24"/>
      <c r="F561" s="24"/>
      <c r="G561" s="24"/>
      <c r="H561" s="24"/>
      <c r="K561" s="27"/>
      <c r="S561" s="24"/>
    </row>
    <row r="562" spans="1:19" ht="15.75" customHeight="1" x14ac:dyDescent="0.25">
      <c r="A562" s="24"/>
      <c r="C562" s="26"/>
      <c r="D562" s="104"/>
      <c r="E562" s="24"/>
      <c r="F562" s="24"/>
      <c r="G562" s="24"/>
      <c r="H562" s="24"/>
      <c r="K562" s="27"/>
      <c r="S562" s="24"/>
    </row>
    <row r="563" spans="1:19" ht="15.75" customHeight="1" x14ac:dyDescent="0.25">
      <c r="A563" s="24"/>
      <c r="C563" s="26"/>
      <c r="D563" s="104"/>
      <c r="E563" s="24"/>
      <c r="F563" s="24"/>
      <c r="G563" s="24"/>
      <c r="H563" s="24"/>
      <c r="K563" s="27"/>
      <c r="S563" s="24"/>
    </row>
    <row r="564" spans="1:19" ht="15.75" customHeight="1" x14ac:dyDescent="0.25">
      <c r="A564" s="24"/>
      <c r="C564" s="26"/>
      <c r="D564" s="104"/>
      <c r="E564" s="24"/>
      <c r="F564" s="24"/>
      <c r="G564" s="24"/>
      <c r="H564" s="24"/>
      <c r="K564" s="27"/>
      <c r="S564" s="24"/>
    </row>
    <row r="565" spans="1:19" ht="15.75" customHeight="1" x14ac:dyDescent="0.25">
      <c r="A565" s="24"/>
      <c r="C565" s="26"/>
      <c r="D565" s="104"/>
      <c r="E565" s="24"/>
      <c r="F565" s="24"/>
      <c r="G565" s="24"/>
      <c r="H565" s="24"/>
      <c r="K565" s="27"/>
      <c r="S565" s="24"/>
    </row>
    <row r="566" spans="1:19" ht="15.75" customHeight="1" x14ac:dyDescent="0.25">
      <c r="A566" s="24"/>
      <c r="C566" s="26"/>
      <c r="D566" s="104"/>
      <c r="E566" s="24"/>
      <c r="F566" s="24"/>
      <c r="G566" s="24"/>
      <c r="H566" s="24"/>
      <c r="K566" s="27"/>
      <c r="S566" s="24"/>
    </row>
    <row r="567" spans="1:19" ht="15.75" customHeight="1" x14ac:dyDescent="0.25">
      <c r="A567" s="24"/>
      <c r="C567" s="26"/>
      <c r="D567" s="104"/>
      <c r="E567" s="24"/>
      <c r="F567" s="24"/>
      <c r="G567" s="24"/>
      <c r="H567" s="24"/>
      <c r="K567" s="27"/>
      <c r="S567" s="24"/>
    </row>
    <row r="568" spans="1:19" ht="15.75" customHeight="1" x14ac:dyDescent="0.25">
      <c r="A568" s="24"/>
      <c r="C568" s="26"/>
      <c r="D568" s="104"/>
      <c r="E568" s="24"/>
      <c r="F568" s="24"/>
      <c r="G568" s="24"/>
      <c r="H568" s="24"/>
      <c r="K568" s="27"/>
      <c r="S568" s="24"/>
    </row>
    <row r="569" spans="1:19" ht="15.75" customHeight="1" x14ac:dyDescent="0.25">
      <c r="A569" s="24"/>
      <c r="C569" s="26"/>
      <c r="D569" s="104"/>
      <c r="E569" s="24"/>
      <c r="F569" s="24"/>
      <c r="G569" s="24"/>
      <c r="H569" s="24"/>
      <c r="K569" s="27"/>
      <c r="S569" s="24"/>
    </row>
    <row r="570" spans="1:19" ht="15.75" customHeight="1" x14ac:dyDescent="0.25">
      <c r="A570" s="24"/>
      <c r="C570" s="26"/>
      <c r="D570" s="104"/>
      <c r="E570" s="24"/>
      <c r="F570" s="24"/>
      <c r="G570" s="24"/>
      <c r="H570" s="24"/>
      <c r="K570" s="27"/>
      <c r="S570" s="24"/>
    </row>
    <row r="571" spans="1:19" ht="15.75" customHeight="1" x14ac:dyDescent="0.25">
      <c r="A571" s="24"/>
      <c r="C571" s="26"/>
      <c r="D571" s="104"/>
      <c r="E571" s="24"/>
      <c r="F571" s="24"/>
      <c r="G571" s="24"/>
      <c r="H571" s="24"/>
      <c r="K571" s="27"/>
      <c r="S571" s="24"/>
    </row>
    <row r="572" spans="1:19" ht="15.75" customHeight="1" x14ac:dyDescent="0.25">
      <c r="A572" s="24"/>
      <c r="C572" s="26"/>
      <c r="D572" s="104"/>
      <c r="E572" s="24"/>
      <c r="F572" s="24"/>
      <c r="G572" s="24"/>
      <c r="H572" s="24"/>
      <c r="K572" s="27"/>
      <c r="S572" s="24"/>
    </row>
    <row r="573" spans="1:19" ht="15.75" customHeight="1" x14ac:dyDescent="0.25">
      <c r="A573" s="24"/>
      <c r="C573" s="26"/>
      <c r="D573" s="104"/>
      <c r="E573" s="24"/>
      <c r="F573" s="24"/>
      <c r="G573" s="24"/>
      <c r="H573" s="24"/>
      <c r="K573" s="27"/>
      <c r="S573" s="24"/>
    </row>
    <row r="574" spans="1:19" ht="15.75" customHeight="1" x14ac:dyDescent="0.25">
      <c r="A574" s="24"/>
      <c r="C574" s="26"/>
      <c r="D574" s="104"/>
      <c r="E574" s="24"/>
      <c r="F574" s="24"/>
      <c r="G574" s="24"/>
      <c r="H574" s="24"/>
      <c r="K574" s="27"/>
      <c r="S574" s="24"/>
    </row>
    <row r="575" spans="1:19" ht="15.75" customHeight="1" x14ac:dyDescent="0.25">
      <c r="A575" s="24"/>
      <c r="C575" s="26"/>
      <c r="D575" s="104"/>
      <c r="E575" s="24"/>
      <c r="F575" s="24"/>
      <c r="G575" s="24"/>
      <c r="H575" s="24"/>
      <c r="K575" s="27"/>
      <c r="S575" s="24"/>
    </row>
    <row r="576" spans="1:19" ht="15.75" customHeight="1" x14ac:dyDescent="0.25">
      <c r="A576" s="24"/>
      <c r="C576" s="26"/>
      <c r="D576" s="104"/>
      <c r="E576" s="24"/>
      <c r="F576" s="24"/>
      <c r="G576" s="24"/>
      <c r="H576" s="24"/>
      <c r="K576" s="27"/>
      <c r="S576" s="24"/>
    </row>
    <row r="577" spans="1:19" ht="15.75" customHeight="1" x14ac:dyDescent="0.25">
      <c r="A577" s="24"/>
      <c r="C577" s="26"/>
      <c r="D577" s="104"/>
      <c r="E577" s="24"/>
      <c r="F577" s="24"/>
      <c r="G577" s="24"/>
      <c r="H577" s="24"/>
      <c r="K577" s="27"/>
      <c r="S577" s="24"/>
    </row>
    <row r="578" spans="1:19" ht="15.75" customHeight="1" x14ac:dyDescent="0.25">
      <c r="A578" s="24"/>
      <c r="C578" s="26"/>
      <c r="D578" s="104"/>
      <c r="E578" s="24"/>
      <c r="F578" s="24"/>
      <c r="G578" s="24"/>
      <c r="H578" s="24"/>
      <c r="K578" s="27"/>
      <c r="S578" s="24"/>
    </row>
    <row r="579" spans="1:19" ht="15.75" customHeight="1" x14ac:dyDescent="0.25">
      <c r="A579" s="24"/>
      <c r="C579" s="26"/>
      <c r="D579" s="104"/>
      <c r="E579" s="24"/>
      <c r="F579" s="24"/>
      <c r="G579" s="24"/>
      <c r="H579" s="24"/>
      <c r="K579" s="27"/>
      <c r="S579" s="24"/>
    </row>
    <row r="580" spans="1:19" ht="15.75" customHeight="1" x14ac:dyDescent="0.25">
      <c r="A580" s="24"/>
      <c r="C580" s="26"/>
      <c r="D580" s="104"/>
      <c r="E580" s="24"/>
      <c r="F580" s="24"/>
      <c r="G580" s="24"/>
      <c r="H580" s="24"/>
      <c r="K580" s="27"/>
      <c r="S580" s="24"/>
    </row>
    <row r="581" spans="1:19" ht="15.75" customHeight="1" x14ac:dyDescent="0.25">
      <c r="A581" s="24"/>
      <c r="C581" s="26"/>
      <c r="D581" s="104"/>
      <c r="E581" s="24"/>
      <c r="F581" s="24"/>
      <c r="G581" s="24"/>
      <c r="H581" s="24"/>
      <c r="K581" s="27"/>
      <c r="S581" s="24"/>
    </row>
    <row r="582" spans="1:19" ht="15.75" customHeight="1" x14ac:dyDescent="0.25">
      <c r="A582" s="24"/>
      <c r="C582" s="26"/>
      <c r="D582" s="104"/>
      <c r="E582" s="24"/>
      <c r="F582" s="24"/>
      <c r="G582" s="24"/>
      <c r="H582" s="24"/>
      <c r="K582" s="27"/>
      <c r="S582" s="24"/>
    </row>
    <row r="583" spans="1:19" ht="15.75" customHeight="1" x14ac:dyDescent="0.25">
      <c r="A583" s="24"/>
      <c r="C583" s="26"/>
      <c r="D583" s="104"/>
      <c r="E583" s="24"/>
      <c r="F583" s="24"/>
      <c r="G583" s="24"/>
      <c r="H583" s="24"/>
      <c r="K583" s="27"/>
      <c r="S583" s="24"/>
    </row>
    <row r="584" spans="1:19" ht="15.75" customHeight="1" x14ac:dyDescent="0.25">
      <c r="A584" s="24"/>
      <c r="C584" s="26"/>
      <c r="D584" s="104"/>
      <c r="E584" s="24"/>
      <c r="F584" s="24"/>
      <c r="G584" s="24"/>
      <c r="H584" s="24"/>
      <c r="K584" s="27"/>
      <c r="S584" s="24"/>
    </row>
    <row r="585" spans="1:19" ht="15.75" customHeight="1" x14ac:dyDescent="0.25">
      <c r="A585" s="24"/>
      <c r="C585" s="26"/>
      <c r="D585" s="104"/>
      <c r="E585" s="24"/>
      <c r="F585" s="24"/>
      <c r="G585" s="24"/>
      <c r="H585" s="24"/>
      <c r="K585" s="27"/>
      <c r="S585" s="24"/>
    </row>
    <row r="586" spans="1:19" ht="15.75" customHeight="1" x14ac:dyDescent="0.25">
      <c r="A586" s="24"/>
      <c r="C586" s="26"/>
      <c r="D586" s="104"/>
      <c r="E586" s="24"/>
      <c r="F586" s="24"/>
      <c r="G586" s="24"/>
      <c r="H586" s="24"/>
      <c r="K586" s="27"/>
      <c r="S586" s="24"/>
    </row>
    <row r="587" spans="1:19" ht="15.75" customHeight="1" x14ac:dyDescent="0.25">
      <c r="A587" s="24"/>
      <c r="C587" s="26"/>
      <c r="D587" s="104"/>
      <c r="E587" s="24"/>
      <c r="F587" s="24"/>
      <c r="G587" s="24"/>
      <c r="H587" s="24"/>
      <c r="K587" s="27"/>
      <c r="S587" s="24"/>
    </row>
    <row r="588" spans="1:19" ht="15.75" customHeight="1" x14ac:dyDescent="0.25">
      <c r="A588" s="24"/>
      <c r="C588" s="26"/>
      <c r="D588" s="104"/>
      <c r="E588" s="24"/>
      <c r="F588" s="24"/>
      <c r="G588" s="24"/>
      <c r="H588" s="24"/>
      <c r="K588" s="27"/>
      <c r="S588" s="24"/>
    </row>
    <row r="589" spans="1:19" ht="15.75" customHeight="1" x14ac:dyDescent="0.25">
      <c r="A589" s="24"/>
      <c r="C589" s="26"/>
      <c r="D589" s="104"/>
      <c r="E589" s="24"/>
      <c r="F589" s="24"/>
      <c r="G589" s="24"/>
      <c r="H589" s="24"/>
      <c r="K589" s="27"/>
      <c r="S589" s="24"/>
    </row>
    <row r="590" spans="1:19" ht="15.75" customHeight="1" x14ac:dyDescent="0.25">
      <c r="A590" s="24"/>
      <c r="C590" s="26"/>
      <c r="D590" s="104"/>
      <c r="E590" s="24"/>
      <c r="F590" s="24"/>
      <c r="G590" s="24"/>
      <c r="H590" s="24"/>
      <c r="K590" s="27"/>
      <c r="S590" s="24"/>
    </row>
    <row r="591" spans="1:19" ht="15.75" customHeight="1" x14ac:dyDescent="0.25">
      <c r="A591" s="24"/>
      <c r="C591" s="26"/>
      <c r="D591" s="104"/>
      <c r="E591" s="24"/>
      <c r="F591" s="24"/>
      <c r="G591" s="24"/>
      <c r="H591" s="24"/>
      <c r="K591" s="27"/>
      <c r="S591" s="24"/>
    </row>
    <row r="592" spans="1:19" ht="15.75" customHeight="1" x14ac:dyDescent="0.25">
      <c r="A592" s="24"/>
      <c r="C592" s="26"/>
      <c r="D592" s="104"/>
      <c r="E592" s="24"/>
      <c r="F592" s="24"/>
      <c r="G592" s="24"/>
      <c r="H592" s="24"/>
      <c r="K592" s="27"/>
      <c r="S592" s="24"/>
    </row>
    <row r="593" spans="1:19" ht="15.75" customHeight="1" x14ac:dyDescent="0.25">
      <c r="A593" s="24"/>
      <c r="C593" s="26"/>
      <c r="D593" s="104"/>
      <c r="E593" s="24"/>
      <c r="F593" s="24"/>
      <c r="G593" s="24"/>
      <c r="H593" s="24"/>
      <c r="K593" s="27"/>
      <c r="S593" s="24"/>
    </row>
    <row r="594" spans="1:19" ht="15.75" customHeight="1" x14ac:dyDescent="0.25">
      <c r="A594" s="24"/>
      <c r="C594" s="26"/>
      <c r="D594" s="104"/>
      <c r="E594" s="24"/>
      <c r="F594" s="24"/>
      <c r="G594" s="24"/>
      <c r="H594" s="24"/>
      <c r="K594" s="27"/>
      <c r="S594" s="24"/>
    </row>
    <row r="595" spans="1:19" ht="15.75" customHeight="1" x14ac:dyDescent="0.25">
      <c r="A595" s="24"/>
      <c r="C595" s="26"/>
      <c r="D595" s="104"/>
      <c r="E595" s="24"/>
      <c r="F595" s="24"/>
      <c r="G595" s="24"/>
      <c r="H595" s="24"/>
      <c r="K595" s="27"/>
      <c r="S595" s="24"/>
    </row>
    <row r="596" spans="1:19" ht="15.75" customHeight="1" x14ac:dyDescent="0.25">
      <c r="A596" s="24"/>
      <c r="C596" s="26"/>
      <c r="D596" s="104"/>
      <c r="E596" s="24"/>
      <c r="F596" s="24"/>
      <c r="G596" s="24"/>
      <c r="H596" s="24"/>
      <c r="K596" s="27"/>
      <c r="S596" s="24"/>
    </row>
    <row r="597" spans="1:19" ht="15.75" customHeight="1" x14ac:dyDescent="0.25">
      <c r="A597" s="24"/>
      <c r="C597" s="26"/>
      <c r="D597" s="104"/>
      <c r="E597" s="24"/>
      <c r="F597" s="24"/>
      <c r="G597" s="24"/>
      <c r="H597" s="24"/>
      <c r="K597" s="27"/>
      <c r="S597" s="24"/>
    </row>
    <row r="598" spans="1:19" ht="15.75" customHeight="1" x14ac:dyDescent="0.25">
      <c r="A598" s="24"/>
      <c r="C598" s="26"/>
      <c r="D598" s="104"/>
      <c r="E598" s="24"/>
      <c r="F598" s="24"/>
      <c r="G598" s="24"/>
      <c r="H598" s="24"/>
      <c r="K598" s="27"/>
      <c r="S598" s="24"/>
    </row>
    <row r="599" spans="1:19" ht="15.75" customHeight="1" x14ac:dyDescent="0.25">
      <c r="A599" s="24"/>
      <c r="C599" s="26"/>
      <c r="D599" s="104"/>
      <c r="E599" s="24"/>
      <c r="F599" s="24"/>
      <c r="G599" s="24"/>
      <c r="H599" s="24"/>
      <c r="K599" s="27"/>
      <c r="S599" s="24"/>
    </row>
    <row r="600" spans="1:19" ht="15.75" customHeight="1" x14ac:dyDescent="0.25">
      <c r="A600" s="24"/>
      <c r="C600" s="26"/>
      <c r="D600" s="104"/>
      <c r="E600" s="24"/>
      <c r="F600" s="24"/>
      <c r="G600" s="24"/>
      <c r="H600" s="24"/>
      <c r="K600" s="27"/>
      <c r="S600" s="24"/>
    </row>
    <row r="601" spans="1:19" ht="15.75" customHeight="1" x14ac:dyDescent="0.25">
      <c r="A601" s="24"/>
      <c r="C601" s="26"/>
      <c r="D601" s="104"/>
      <c r="E601" s="24"/>
      <c r="F601" s="24"/>
      <c r="G601" s="24"/>
      <c r="H601" s="24"/>
      <c r="K601" s="27"/>
      <c r="S601" s="24"/>
    </row>
    <row r="602" spans="1:19" ht="15.75" customHeight="1" x14ac:dyDescent="0.25">
      <c r="A602" s="24"/>
      <c r="C602" s="26"/>
      <c r="D602" s="104"/>
      <c r="E602" s="24"/>
      <c r="F602" s="24"/>
      <c r="G602" s="24"/>
      <c r="H602" s="24"/>
      <c r="K602" s="27"/>
      <c r="S602" s="24"/>
    </row>
    <row r="603" spans="1:19" ht="15.75" customHeight="1" x14ac:dyDescent="0.25">
      <c r="A603" s="24"/>
      <c r="C603" s="26"/>
      <c r="D603" s="104"/>
      <c r="E603" s="24"/>
      <c r="F603" s="24"/>
      <c r="G603" s="24"/>
      <c r="H603" s="24"/>
      <c r="K603" s="27"/>
      <c r="S603" s="24"/>
    </row>
    <row r="604" spans="1:19" ht="15.75" customHeight="1" x14ac:dyDescent="0.25">
      <c r="A604" s="24"/>
      <c r="C604" s="26"/>
      <c r="D604" s="104"/>
      <c r="E604" s="24"/>
      <c r="F604" s="24"/>
      <c r="G604" s="24"/>
      <c r="H604" s="24"/>
      <c r="K604" s="27"/>
      <c r="S604" s="24"/>
    </row>
    <row r="605" spans="1:19" ht="15.75" customHeight="1" x14ac:dyDescent="0.25">
      <c r="A605" s="24"/>
      <c r="C605" s="26"/>
      <c r="D605" s="104"/>
      <c r="E605" s="24"/>
      <c r="F605" s="24"/>
      <c r="G605" s="24"/>
      <c r="H605" s="24"/>
      <c r="K605" s="27"/>
      <c r="S605" s="24"/>
    </row>
    <row r="606" spans="1:19" ht="15.75" customHeight="1" x14ac:dyDescent="0.25">
      <c r="A606" s="24"/>
      <c r="C606" s="26"/>
      <c r="D606" s="104"/>
      <c r="E606" s="24"/>
      <c r="F606" s="24"/>
      <c r="G606" s="24"/>
      <c r="H606" s="24"/>
      <c r="K606" s="27"/>
      <c r="S606" s="24"/>
    </row>
    <row r="607" spans="1:19" ht="15.75" customHeight="1" x14ac:dyDescent="0.25">
      <c r="A607" s="24"/>
      <c r="C607" s="26"/>
      <c r="D607" s="104"/>
      <c r="E607" s="24"/>
      <c r="F607" s="24"/>
      <c r="G607" s="24"/>
      <c r="H607" s="24"/>
      <c r="K607" s="27"/>
      <c r="S607" s="24"/>
    </row>
    <row r="608" spans="1:19" ht="15.75" customHeight="1" x14ac:dyDescent="0.25">
      <c r="A608" s="24"/>
      <c r="C608" s="26"/>
      <c r="D608" s="104"/>
      <c r="E608" s="24"/>
      <c r="F608" s="24"/>
      <c r="G608" s="24"/>
      <c r="H608" s="24"/>
      <c r="K608" s="27"/>
      <c r="S608" s="24"/>
    </row>
    <row r="609" spans="1:19" ht="15.75" customHeight="1" x14ac:dyDescent="0.25">
      <c r="A609" s="24"/>
      <c r="C609" s="26"/>
      <c r="D609" s="104"/>
      <c r="E609" s="24"/>
      <c r="F609" s="24"/>
      <c r="G609" s="24"/>
      <c r="H609" s="24"/>
      <c r="K609" s="27"/>
      <c r="S609" s="24"/>
    </row>
    <row r="610" spans="1:19" ht="15.75" customHeight="1" x14ac:dyDescent="0.25">
      <c r="A610" s="24"/>
      <c r="C610" s="26"/>
      <c r="D610" s="104"/>
      <c r="E610" s="24"/>
      <c r="F610" s="24"/>
      <c r="G610" s="24"/>
      <c r="H610" s="24"/>
      <c r="K610" s="27"/>
      <c r="S610" s="24"/>
    </row>
    <row r="611" spans="1:19" ht="15.75" customHeight="1" x14ac:dyDescent="0.25">
      <c r="A611" s="24"/>
      <c r="C611" s="26"/>
      <c r="D611" s="104"/>
      <c r="E611" s="24"/>
      <c r="F611" s="24"/>
      <c r="G611" s="24"/>
      <c r="H611" s="24"/>
      <c r="K611" s="27"/>
      <c r="S611" s="24"/>
    </row>
    <row r="612" spans="1:19" ht="15.75" customHeight="1" x14ac:dyDescent="0.25">
      <c r="A612" s="24"/>
      <c r="C612" s="26"/>
      <c r="D612" s="104"/>
      <c r="E612" s="24"/>
      <c r="F612" s="24"/>
      <c r="G612" s="24"/>
      <c r="H612" s="24"/>
      <c r="K612" s="27"/>
      <c r="S612" s="24"/>
    </row>
    <row r="613" spans="1:19" ht="15.75" customHeight="1" x14ac:dyDescent="0.25">
      <c r="A613" s="24"/>
      <c r="C613" s="26"/>
      <c r="D613" s="104"/>
      <c r="E613" s="24"/>
      <c r="F613" s="24"/>
      <c r="G613" s="24"/>
      <c r="H613" s="24"/>
      <c r="K613" s="27"/>
      <c r="S613" s="24"/>
    </row>
    <row r="614" spans="1:19" ht="15.75" customHeight="1" x14ac:dyDescent="0.25">
      <c r="A614" s="24"/>
      <c r="C614" s="26"/>
      <c r="D614" s="104"/>
      <c r="E614" s="24"/>
      <c r="F614" s="24"/>
      <c r="G614" s="24"/>
      <c r="H614" s="24"/>
      <c r="K614" s="27"/>
      <c r="S614" s="24"/>
    </row>
    <row r="615" spans="1:19" ht="15.75" customHeight="1" x14ac:dyDescent="0.25">
      <c r="A615" s="24"/>
      <c r="C615" s="26"/>
      <c r="D615" s="104"/>
      <c r="E615" s="24"/>
      <c r="F615" s="24"/>
      <c r="G615" s="24"/>
      <c r="H615" s="24"/>
      <c r="K615" s="27"/>
      <c r="S615" s="24"/>
    </row>
    <row r="616" spans="1:19" ht="15.75" customHeight="1" x14ac:dyDescent="0.25">
      <c r="A616" s="24"/>
      <c r="C616" s="26"/>
      <c r="D616" s="104"/>
      <c r="E616" s="24"/>
      <c r="F616" s="24"/>
      <c r="G616" s="24"/>
      <c r="H616" s="24"/>
      <c r="K616" s="27"/>
      <c r="S616" s="24"/>
    </row>
    <row r="617" spans="1:19" ht="15.75" customHeight="1" x14ac:dyDescent="0.25">
      <c r="A617" s="24"/>
      <c r="C617" s="26"/>
      <c r="D617" s="104"/>
      <c r="E617" s="24"/>
      <c r="F617" s="24"/>
      <c r="G617" s="24"/>
      <c r="H617" s="24"/>
      <c r="K617" s="27"/>
      <c r="S617" s="24"/>
    </row>
    <row r="618" spans="1:19" ht="15.75" customHeight="1" x14ac:dyDescent="0.25">
      <c r="A618" s="24"/>
      <c r="C618" s="26"/>
      <c r="D618" s="104"/>
      <c r="E618" s="24"/>
      <c r="F618" s="24"/>
      <c r="G618" s="24"/>
      <c r="H618" s="24"/>
      <c r="K618" s="27"/>
      <c r="S618" s="24"/>
    </row>
    <row r="619" spans="1:19" ht="15.75" customHeight="1" x14ac:dyDescent="0.25">
      <c r="A619" s="24"/>
      <c r="C619" s="26"/>
      <c r="D619" s="104"/>
      <c r="E619" s="24"/>
      <c r="F619" s="24"/>
      <c r="G619" s="24"/>
      <c r="H619" s="24"/>
      <c r="K619" s="27"/>
      <c r="S619" s="24"/>
    </row>
    <row r="620" spans="1:19" ht="15.75" customHeight="1" x14ac:dyDescent="0.25">
      <c r="A620" s="24"/>
      <c r="C620" s="26"/>
      <c r="D620" s="104"/>
      <c r="E620" s="24"/>
      <c r="F620" s="24"/>
      <c r="G620" s="24"/>
      <c r="H620" s="24"/>
      <c r="K620" s="27"/>
      <c r="S620" s="24"/>
    </row>
    <row r="621" spans="1:19" ht="15.75" customHeight="1" x14ac:dyDescent="0.25">
      <c r="A621" s="24"/>
      <c r="C621" s="26"/>
      <c r="D621" s="104"/>
      <c r="E621" s="24"/>
      <c r="F621" s="24"/>
      <c r="G621" s="24"/>
      <c r="H621" s="24"/>
      <c r="K621" s="27"/>
      <c r="S621" s="24"/>
    </row>
    <row r="622" spans="1:19" ht="15.75" customHeight="1" x14ac:dyDescent="0.25">
      <c r="A622" s="24"/>
      <c r="C622" s="26"/>
      <c r="D622" s="104"/>
      <c r="E622" s="24"/>
      <c r="F622" s="24"/>
      <c r="G622" s="24"/>
      <c r="H622" s="24"/>
      <c r="K622" s="27"/>
      <c r="S622" s="24"/>
    </row>
    <row r="623" spans="1:19" ht="15.75" customHeight="1" x14ac:dyDescent="0.25">
      <c r="A623" s="24"/>
      <c r="C623" s="26"/>
      <c r="D623" s="104"/>
      <c r="E623" s="24"/>
      <c r="F623" s="24"/>
      <c r="G623" s="24"/>
      <c r="H623" s="24"/>
      <c r="K623" s="27"/>
      <c r="S623" s="24"/>
    </row>
    <row r="624" spans="1:19" ht="15.75" customHeight="1" x14ac:dyDescent="0.25">
      <c r="A624" s="24"/>
      <c r="C624" s="26"/>
      <c r="D624" s="104"/>
      <c r="E624" s="24"/>
      <c r="F624" s="24"/>
      <c r="G624" s="24"/>
      <c r="H624" s="24"/>
      <c r="K624" s="27"/>
      <c r="S624" s="24"/>
    </row>
    <row r="625" spans="1:19" ht="15.75" customHeight="1" x14ac:dyDescent="0.25">
      <c r="A625" s="24"/>
      <c r="C625" s="26"/>
      <c r="D625" s="104"/>
      <c r="E625" s="24"/>
      <c r="F625" s="24"/>
      <c r="G625" s="24"/>
      <c r="H625" s="24"/>
      <c r="K625" s="27"/>
      <c r="S625" s="24"/>
    </row>
    <row r="626" spans="1:19" ht="15.75" customHeight="1" x14ac:dyDescent="0.25">
      <c r="A626" s="24"/>
      <c r="C626" s="26"/>
      <c r="D626" s="104"/>
      <c r="E626" s="24"/>
      <c r="F626" s="24"/>
      <c r="G626" s="24"/>
      <c r="H626" s="24"/>
      <c r="K626" s="27"/>
      <c r="S626" s="24"/>
    </row>
    <row r="627" spans="1:19" ht="15.75" customHeight="1" x14ac:dyDescent="0.25">
      <c r="A627" s="24"/>
      <c r="C627" s="26"/>
      <c r="D627" s="104"/>
      <c r="E627" s="24"/>
      <c r="F627" s="24"/>
      <c r="G627" s="24"/>
      <c r="H627" s="24"/>
      <c r="K627" s="27"/>
      <c r="S627" s="24"/>
    </row>
    <row r="628" spans="1:19" ht="15.75" customHeight="1" x14ac:dyDescent="0.25">
      <c r="A628" s="24"/>
      <c r="C628" s="26"/>
      <c r="D628" s="104"/>
      <c r="E628" s="24"/>
      <c r="F628" s="24"/>
      <c r="G628" s="24"/>
      <c r="H628" s="24"/>
      <c r="K628" s="27"/>
      <c r="S628" s="24"/>
    </row>
    <row r="629" spans="1:19" ht="15.75" customHeight="1" x14ac:dyDescent="0.25">
      <c r="A629" s="24"/>
      <c r="C629" s="26"/>
      <c r="D629" s="104"/>
      <c r="E629" s="24"/>
      <c r="F629" s="24"/>
      <c r="G629" s="24"/>
      <c r="H629" s="24"/>
      <c r="K629" s="27"/>
      <c r="S629" s="24"/>
    </row>
    <row r="630" spans="1:19" ht="15.75" customHeight="1" x14ac:dyDescent="0.25">
      <c r="A630" s="24"/>
      <c r="C630" s="26"/>
      <c r="D630" s="104"/>
      <c r="E630" s="24"/>
      <c r="F630" s="24"/>
      <c r="G630" s="24"/>
      <c r="H630" s="24"/>
      <c r="K630" s="27"/>
      <c r="S630" s="24"/>
    </row>
    <row r="631" spans="1:19" ht="15.75" customHeight="1" x14ac:dyDescent="0.25">
      <c r="A631" s="24"/>
      <c r="C631" s="26"/>
      <c r="D631" s="104"/>
      <c r="E631" s="24"/>
      <c r="F631" s="24"/>
      <c r="G631" s="24"/>
      <c r="H631" s="24"/>
      <c r="K631" s="27"/>
      <c r="S631" s="24"/>
    </row>
    <row r="632" spans="1:19" ht="15.75" customHeight="1" x14ac:dyDescent="0.25">
      <c r="A632" s="24"/>
      <c r="C632" s="26"/>
      <c r="D632" s="104"/>
      <c r="E632" s="24"/>
      <c r="F632" s="24"/>
      <c r="G632" s="24"/>
      <c r="H632" s="24"/>
      <c r="K632" s="27"/>
      <c r="S632" s="24"/>
    </row>
    <row r="633" spans="1:19" ht="15.75" customHeight="1" x14ac:dyDescent="0.25">
      <c r="A633" s="24"/>
      <c r="C633" s="26"/>
      <c r="D633" s="104"/>
      <c r="E633" s="24"/>
      <c r="F633" s="24"/>
      <c r="G633" s="24"/>
      <c r="H633" s="24"/>
      <c r="K633" s="27"/>
      <c r="S633" s="24"/>
    </row>
    <row r="634" spans="1:19" ht="15.75" customHeight="1" x14ac:dyDescent="0.25">
      <c r="A634" s="24"/>
      <c r="C634" s="26"/>
      <c r="D634" s="104"/>
      <c r="E634" s="24"/>
      <c r="F634" s="24"/>
      <c r="G634" s="24"/>
      <c r="H634" s="24"/>
      <c r="K634" s="27"/>
      <c r="S634" s="24"/>
    </row>
    <row r="635" spans="1:19" ht="15.75" customHeight="1" x14ac:dyDescent="0.25">
      <c r="A635" s="24"/>
      <c r="C635" s="26"/>
      <c r="D635" s="104"/>
      <c r="E635" s="24"/>
      <c r="F635" s="24"/>
      <c r="G635" s="24"/>
      <c r="H635" s="24"/>
      <c r="K635" s="27"/>
      <c r="S635" s="24"/>
    </row>
    <row r="636" spans="1:19" ht="15.75" customHeight="1" x14ac:dyDescent="0.25">
      <c r="A636" s="24"/>
      <c r="C636" s="26"/>
      <c r="D636" s="104"/>
      <c r="E636" s="24"/>
      <c r="F636" s="24"/>
      <c r="G636" s="24"/>
      <c r="H636" s="24"/>
      <c r="K636" s="27"/>
      <c r="S636" s="24"/>
    </row>
    <row r="637" spans="1:19" ht="15.75" customHeight="1" x14ac:dyDescent="0.25">
      <c r="A637" s="24"/>
      <c r="C637" s="26"/>
      <c r="D637" s="104"/>
      <c r="E637" s="24"/>
      <c r="F637" s="24"/>
      <c r="G637" s="24"/>
      <c r="H637" s="24"/>
      <c r="K637" s="27"/>
      <c r="S637" s="24"/>
    </row>
    <row r="638" spans="1:19" ht="15.75" customHeight="1" x14ac:dyDescent="0.25">
      <c r="A638" s="24"/>
      <c r="C638" s="26"/>
      <c r="D638" s="104"/>
      <c r="E638" s="24"/>
      <c r="F638" s="24"/>
      <c r="G638" s="24"/>
      <c r="H638" s="24"/>
      <c r="K638" s="27"/>
      <c r="S638" s="24"/>
    </row>
    <row r="639" spans="1:19" ht="15.75" customHeight="1" x14ac:dyDescent="0.25">
      <c r="A639" s="24"/>
      <c r="C639" s="26"/>
      <c r="D639" s="104"/>
      <c r="E639" s="24"/>
      <c r="F639" s="24"/>
      <c r="G639" s="24"/>
      <c r="H639" s="24"/>
      <c r="K639" s="27"/>
      <c r="S639" s="24"/>
    </row>
    <row r="640" spans="1:19" ht="15.75" customHeight="1" x14ac:dyDescent="0.25">
      <c r="A640" s="24"/>
      <c r="C640" s="26"/>
      <c r="D640" s="104"/>
      <c r="E640" s="24"/>
      <c r="F640" s="24"/>
      <c r="G640" s="24"/>
      <c r="H640" s="24"/>
      <c r="K640" s="27"/>
      <c r="S640" s="24"/>
    </row>
    <row r="641" spans="1:19" ht="15.75" customHeight="1" x14ac:dyDescent="0.25">
      <c r="A641" s="24"/>
      <c r="C641" s="26"/>
      <c r="D641" s="104"/>
      <c r="E641" s="24"/>
      <c r="F641" s="24"/>
      <c r="G641" s="24"/>
      <c r="H641" s="24"/>
      <c r="K641" s="27"/>
      <c r="S641" s="24"/>
    </row>
    <row r="642" spans="1:19" ht="15.75" customHeight="1" x14ac:dyDescent="0.25">
      <c r="A642" s="24"/>
      <c r="C642" s="26"/>
      <c r="D642" s="104"/>
      <c r="E642" s="24"/>
      <c r="F642" s="24"/>
      <c r="G642" s="24"/>
      <c r="H642" s="24"/>
      <c r="K642" s="27"/>
      <c r="S642" s="24"/>
    </row>
    <row r="643" spans="1:19" ht="15.75" customHeight="1" x14ac:dyDescent="0.25">
      <c r="A643" s="24"/>
      <c r="C643" s="26"/>
      <c r="D643" s="104"/>
      <c r="E643" s="24"/>
      <c r="F643" s="24"/>
      <c r="G643" s="24"/>
      <c r="H643" s="24"/>
      <c r="K643" s="27"/>
      <c r="S643" s="24"/>
    </row>
    <row r="644" spans="1:19" ht="15.75" customHeight="1" x14ac:dyDescent="0.25">
      <c r="A644" s="24"/>
      <c r="C644" s="26"/>
      <c r="D644" s="104"/>
      <c r="E644" s="24"/>
      <c r="F644" s="24"/>
      <c r="G644" s="24"/>
      <c r="H644" s="24"/>
      <c r="K644" s="27"/>
      <c r="S644" s="24"/>
    </row>
    <row r="645" spans="1:19" ht="15.75" customHeight="1" x14ac:dyDescent="0.25">
      <c r="A645" s="24"/>
      <c r="C645" s="26"/>
      <c r="D645" s="104"/>
      <c r="E645" s="24"/>
      <c r="F645" s="24"/>
      <c r="G645" s="24"/>
      <c r="H645" s="24"/>
      <c r="K645" s="27"/>
      <c r="S645" s="24"/>
    </row>
    <row r="646" spans="1:19" ht="15.75" customHeight="1" x14ac:dyDescent="0.25">
      <c r="A646" s="24"/>
      <c r="C646" s="26"/>
      <c r="D646" s="104"/>
      <c r="E646" s="24"/>
      <c r="F646" s="24"/>
      <c r="G646" s="24"/>
      <c r="H646" s="24"/>
      <c r="K646" s="27"/>
      <c r="S646" s="24"/>
    </row>
    <row r="647" spans="1:19" ht="15.75" customHeight="1" x14ac:dyDescent="0.25">
      <c r="A647" s="24"/>
      <c r="C647" s="26"/>
      <c r="D647" s="104"/>
      <c r="E647" s="24"/>
      <c r="F647" s="24"/>
      <c r="G647" s="24"/>
      <c r="H647" s="24"/>
      <c r="K647" s="27"/>
      <c r="S647" s="24"/>
    </row>
    <row r="648" spans="1:19" ht="15.75" customHeight="1" x14ac:dyDescent="0.25">
      <c r="A648" s="24"/>
      <c r="C648" s="26"/>
      <c r="D648" s="104"/>
      <c r="E648" s="24"/>
      <c r="F648" s="24"/>
      <c r="G648" s="24"/>
      <c r="H648" s="24"/>
      <c r="K648" s="27"/>
      <c r="S648" s="24"/>
    </row>
    <row r="649" spans="1:19" ht="15.75" customHeight="1" x14ac:dyDescent="0.25">
      <c r="A649" s="24"/>
      <c r="C649" s="26"/>
      <c r="D649" s="104"/>
      <c r="E649" s="24"/>
      <c r="F649" s="24"/>
      <c r="G649" s="24"/>
      <c r="H649" s="24"/>
      <c r="K649" s="27"/>
      <c r="S649" s="24"/>
    </row>
    <row r="650" spans="1:19" ht="15.75" customHeight="1" x14ac:dyDescent="0.25">
      <c r="A650" s="24"/>
      <c r="C650" s="26"/>
      <c r="D650" s="104"/>
      <c r="E650" s="24"/>
      <c r="F650" s="24"/>
      <c r="G650" s="24"/>
      <c r="H650" s="24"/>
      <c r="K650" s="27"/>
      <c r="S650" s="24"/>
    </row>
    <row r="651" spans="1:19" ht="15.75" customHeight="1" x14ac:dyDescent="0.25">
      <c r="A651" s="24"/>
      <c r="C651" s="26"/>
      <c r="D651" s="104"/>
      <c r="E651" s="24"/>
      <c r="F651" s="24"/>
      <c r="G651" s="24"/>
      <c r="H651" s="24"/>
      <c r="K651" s="27"/>
      <c r="S651" s="24"/>
    </row>
    <row r="652" spans="1:19" ht="15.75" customHeight="1" x14ac:dyDescent="0.25">
      <c r="A652" s="24"/>
      <c r="C652" s="26"/>
      <c r="D652" s="104"/>
      <c r="E652" s="24"/>
      <c r="F652" s="24"/>
      <c r="G652" s="24"/>
      <c r="H652" s="24"/>
      <c r="K652" s="27"/>
      <c r="S652" s="24"/>
    </row>
    <row r="653" spans="1:19" ht="15.75" customHeight="1" x14ac:dyDescent="0.25">
      <c r="A653" s="24"/>
      <c r="C653" s="26"/>
      <c r="D653" s="104"/>
      <c r="E653" s="24"/>
      <c r="F653" s="24"/>
      <c r="G653" s="24"/>
      <c r="H653" s="24"/>
      <c r="K653" s="27"/>
      <c r="S653" s="24"/>
    </row>
    <row r="654" spans="1:19" ht="15.75" customHeight="1" x14ac:dyDescent="0.25">
      <c r="A654" s="24"/>
      <c r="C654" s="26"/>
      <c r="D654" s="104"/>
      <c r="E654" s="24"/>
      <c r="F654" s="24"/>
      <c r="G654" s="24"/>
      <c r="H654" s="24"/>
      <c r="K654" s="27"/>
      <c r="S654" s="24"/>
    </row>
    <row r="655" spans="1:19" ht="15.75" customHeight="1" x14ac:dyDescent="0.25">
      <c r="A655" s="24"/>
      <c r="C655" s="26"/>
      <c r="D655" s="104"/>
      <c r="E655" s="24"/>
      <c r="F655" s="24"/>
      <c r="G655" s="24"/>
      <c r="H655" s="24"/>
      <c r="K655" s="27"/>
      <c r="S655" s="24"/>
    </row>
    <row r="656" spans="1:19" ht="15.75" customHeight="1" x14ac:dyDescent="0.25">
      <c r="A656" s="24"/>
      <c r="C656" s="26"/>
      <c r="D656" s="104"/>
      <c r="E656" s="24"/>
      <c r="F656" s="24"/>
      <c r="G656" s="24"/>
      <c r="H656" s="24"/>
      <c r="K656" s="27"/>
      <c r="S656" s="24"/>
    </row>
    <row r="657" spans="1:19" ht="15.75" customHeight="1" x14ac:dyDescent="0.25">
      <c r="A657" s="24"/>
      <c r="C657" s="26"/>
      <c r="D657" s="104"/>
      <c r="E657" s="24"/>
      <c r="F657" s="24"/>
      <c r="G657" s="24"/>
      <c r="H657" s="24"/>
      <c r="K657" s="27"/>
      <c r="S657" s="24"/>
    </row>
    <row r="658" spans="1:19" ht="15.75" customHeight="1" x14ac:dyDescent="0.25">
      <c r="A658" s="24"/>
      <c r="C658" s="26"/>
      <c r="D658" s="104"/>
      <c r="E658" s="24"/>
      <c r="F658" s="24"/>
      <c r="G658" s="24"/>
      <c r="H658" s="24"/>
      <c r="K658" s="27"/>
      <c r="S658" s="24"/>
    </row>
    <row r="659" spans="1:19" ht="15.75" customHeight="1" x14ac:dyDescent="0.25">
      <c r="A659" s="24"/>
      <c r="C659" s="26"/>
      <c r="D659" s="104"/>
      <c r="E659" s="24"/>
      <c r="F659" s="24"/>
      <c r="G659" s="24"/>
      <c r="H659" s="24"/>
      <c r="K659" s="27"/>
      <c r="S659" s="24"/>
    </row>
    <row r="660" spans="1:19" ht="15.75" customHeight="1" x14ac:dyDescent="0.25">
      <c r="A660" s="24"/>
      <c r="C660" s="26"/>
      <c r="D660" s="104"/>
      <c r="E660" s="24"/>
      <c r="F660" s="24"/>
      <c r="G660" s="24"/>
      <c r="H660" s="24"/>
      <c r="K660" s="27"/>
      <c r="S660" s="24"/>
    </row>
    <row r="661" spans="1:19" ht="15.75" customHeight="1" x14ac:dyDescent="0.25">
      <c r="A661" s="24"/>
      <c r="C661" s="26"/>
      <c r="D661" s="104"/>
      <c r="E661" s="24"/>
      <c r="F661" s="24"/>
      <c r="G661" s="24"/>
      <c r="H661" s="24"/>
      <c r="K661" s="27"/>
      <c r="S661" s="24"/>
    </row>
    <row r="662" spans="1:19" ht="15.75" customHeight="1" x14ac:dyDescent="0.25">
      <c r="A662" s="24"/>
      <c r="C662" s="26"/>
      <c r="D662" s="104"/>
      <c r="E662" s="24"/>
      <c r="F662" s="24"/>
      <c r="G662" s="24"/>
      <c r="H662" s="24"/>
      <c r="K662" s="27"/>
      <c r="S662" s="24"/>
    </row>
    <row r="663" spans="1:19" ht="15.75" customHeight="1" x14ac:dyDescent="0.25">
      <c r="A663" s="24"/>
      <c r="C663" s="26"/>
      <c r="D663" s="104"/>
      <c r="E663" s="24"/>
      <c r="F663" s="24"/>
      <c r="G663" s="24"/>
      <c r="H663" s="24"/>
      <c r="K663" s="27"/>
      <c r="S663" s="24"/>
    </row>
    <row r="664" spans="1:19" ht="15.75" customHeight="1" x14ac:dyDescent="0.25">
      <c r="A664" s="24"/>
      <c r="C664" s="26"/>
      <c r="D664" s="104"/>
      <c r="E664" s="24"/>
      <c r="F664" s="24"/>
      <c r="G664" s="24"/>
      <c r="H664" s="24"/>
      <c r="K664" s="27"/>
      <c r="S664" s="24"/>
    </row>
    <row r="665" spans="1:19" ht="15.75" customHeight="1" x14ac:dyDescent="0.25">
      <c r="A665" s="24"/>
      <c r="C665" s="26"/>
      <c r="D665" s="104"/>
      <c r="E665" s="24"/>
      <c r="F665" s="24"/>
      <c r="G665" s="24"/>
      <c r="H665" s="24"/>
      <c r="K665" s="27"/>
      <c r="S665" s="24"/>
    </row>
    <row r="666" spans="1:19" ht="15.75" customHeight="1" x14ac:dyDescent="0.25">
      <c r="A666" s="24"/>
      <c r="C666" s="26"/>
      <c r="D666" s="104"/>
      <c r="E666" s="24"/>
      <c r="F666" s="24"/>
      <c r="G666" s="24"/>
      <c r="H666" s="24"/>
      <c r="K666" s="27"/>
      <c r="S666" s="24"/>
    </row>
    <row r="667" spans="1:19" ht="15.75" customHeight="1" x14ac:dyDescent="0.25">
      <c r="A667" s="24"/>
      <c r="C667" s="26"/>
      <c r="D667" s="104"/>
      <c r="E667" s="24"/>
      <c r="F667" s="24"/>
      <c r="G667" s="24"/>
      <c r="H667" s="24"/>
      <c r="K667" s="27"/>
      <c r="S667" s="24"/>
    </row>
    <row r="668" spans="1:19" ht="15.75" customHeight="1" x14ac:dyDescent="0.25">
      <c r="A668" s="24"/>
      <c r="C668" s="26"/>
      <c r="D668" s="104"/>
      <c r="E668" s="24"/>
      <c r="F668" s="24"/>
      <c r="G668" s="24"/>
      <c r="H668" s="24"/>
      <c r="K668" s="27"/>
      <c r="S668" s="24"/>
    </row>
    <row r="669" spans="1:19" ht="15.75" customHeight="1" x14ac:dyDescent="0.25">
      <c r="A669" s="24"/>
      <c r="C669" s="26"/>
      <c r="D669" s="104"/>
      <c r="E669" s="24"/>
      <c r="F669" s="24"/>
      <c r="G669" s="24"/>
      <c r="H669" s="24"/>
      <c r="K669" s="27"/>
      <c r="S669" s="24"/>
    </row>
    <row r="670" spans="1:19" ht="15.75" customHeight="1" x14ac:dyDescent="0.25">
      <c r="A670" s="24"/>
      <c r="C670" s="26"/>
      <c r="D670" s="104"/>
      <c r="E670" s="24"/>
      <c r="F670" s="24"/>
      <c r="G670" s="24"/>
      <c r="H670" s="24"/>
      <c r="K670" s="27"/>
      <c r="S670" s="24"/>
    </row>
    <row r="671" spans="1:19" ht="15.75" customHeight="1" x14ac:dyDescent="0.25">
      <c r="A671" s="24"/>
      <c r="C671" s="26"/>
      <c r="D671" s="104"/>
      <c r="E671" s="24"/>
      <c r="F671" s="24"/>
      <c r="G671" s="24"/>
      <c r="H671" s="24"/>
      <c r="K671" s="27"/>
      <c r="S671" s="24"/>
    </row>
    <row r="672" spans="1:19" ht="15.75" customHeight="1" x14ac:dyDescent="0.25">
      <c r="A672" s="24"/>
      <c r="C672" s="26"/>
      <c r="D672" s="104"/>
      <c r="E672" s="24"/>
      <c r="F672" s="24"/>
      <c r="G672" s="24"/>
      <c r="H672" s="24"/>
      <c r="K672" s="27"/>
      <c r="S672" s="24"/>
    </row>
    <row r="673" spans="1:19" ht="15.75" customHeight="1" x14ac:dyDescent="0.25">
      <c r="A673" s="24"/>
      <c r="C673" s="26"/>
      <c r="D673" s="104"/>
      <c r="E673" s="24"/>
      <c r="F673" s="24"/>
      <c r="G673" s="24"/>
      <c r="H673" s="24"/>
      <c r="K673" s="27"/>
      <c r="S673" s="24"/>
    </row>
    <row r="674" spans="1:19" ht="15.75" customHeight="1" x14ac:dyDescent="0.25">
      <c r="A674" s="24"/>
      <c r="C674" s="26"/>
      <c r="D674" s="104"/>
      <c r="E674" s="24"/>
      <c r="F674" s="24"/>
      <c r="G674" s="24"/>
      <c r="H674" s="24"/>
      <c r="K674" s="27"/>
      <c r="S674" s="24"/>
    </row>
    <row r="675" spans="1:19" ht="15.75" customHeight="1" x14ac:dyDescent="0.25">
      <c r="A675" s="24"/>
      <c r="C675" s="26"/>
      <c r="D675" s="104"/>
      <c r="E675" s="24"/>
      <c r="F675" s="24"/>
      <c r="G675" s="24"/>
      <c r="H675" s="24"/>
      <c r="K675" s="27"/>
      <c r="S675" s="24"/>
    </row>
    <row r="676" spans="1:19" ht="15.75" customHeight="1" x14ac:dyDescent="0.25">
      <c r="A676" s="24"/>
      <c r="C676" s="26"/>
      <c r="D676" s="104"/>
      <c r="E676" s="24"/>
      <c r="F676" s="24"/>
      <c r="G676" s="24"/>
      <c r="H676" s="24"/>
      <c r="K676" s="27"/>
      <c r="S676" s="24"/>
    </row>
    <row r="677" spans="1:19" ht="15.75" customHeight="1" x14ac:dyDescent="0.25">
      <c r="A677" s="24"/>
      <c r="C677" s="26"/>
      <c r="D677" s="104"/>
      <c r="E677" s="24"/>
      <c r="F677" s="24"/>
      <c r="G677" s="24"/>
      <c r="H677" s="24"/>
      <c r="K677" s="27"/>
      <c r="S677" s="24"/>
    </row>
    <row r="678" spans="1:19" ht="15.75" customHeight="1" x14ac:dyDescent="0.25">
      <c r="A678" s="24"/>
      <c r="C678" s="26"/>
      <c r="D678" s="104"/>
      <c r="E678" s="24"/>
      <c r="F678" s="24"/>
      <c r="G678" s="24"/>
      <c r="H678" s="24"/>
      <c r="K678" s="27"/>
      <c r="S678" s="24"/>
    </row>
    <row r="679" spans="1:19" ht="15.75" customHeight="1" x14ac:dyDescent="0.25">
      <c r="A679" s="24"/>
      <c r="C679" s="26"/>
      <c r="D679" s="104"/>
      <c r="E679" s="24"/>
      <c r="F679" s="24"/>
      <c r="G679" s="24"/>
      <c r="H679" s="24"/>
      <c r="K679" s="27"/>
      <c r="S679" s="24"/>
    </row>
    <row r="680" spans="1:19" ht="15.75" customHeight="1" x14ac:dyDescent="0.25">
      <c r="A680" s="24"/>
      <c r="C680" s="26"/>
      <c r="D680" s="104"/>
      <c r="E680" s="24"/>
      <c r="F680" s="24"/>
      <c r="G680" s="24"/>
      <c r="H680" s="24"/>
      <c r="K680" s="27"/>
      <c r="S680" s="24"/>
    </row>
    <row r="681" spans="1:19" ht="15.75" customHeight="1" x14ac:dyDescent="0.25">
      <c r="A681" s="24"/>
      <c r="C681" s="26"/>
      <c r="D681" s="104"/>
      <c r="E681" s="24"/>
      <c r="F681" s="24"/>
      <c r="G681" s="24"/>
      <c r="H681" s="24"/>
      <c r="K681" s="27"/>
      <c r="S681" s="24"/>
    </row>
    <row r="682" spans="1:19" ht="15.75" customHeight="1" x14ac:dyDescent="0.25">
      <c r="A682" s="24"/>
      <c r="C682" s="26"/>
      <c r="D682" s="104"/>
      <c r="E682" s="24"/>
      <c r="F682" s="24"/>
      <c r="G682" s="24"/>
      <c r="H682" s="24"/>
      <c r="K682" s="27"/>
      <c r="S682" s="24"/>
    </row>
    <row r="683" spans="1:19" ht="15.75" customHeight="1" x14ac:dyDescent="0.25">
      <c r="A683" s="24"/>
      <c r="C683" s="26"/>
      <c r="D683" s="104"/>
      <c r="E683" s="24"/>
      <c r="F683" s="24"/>
      <c r="G683" s="24"/>
      <c r="H683" s="24"/>
      <c r="K683" s="27"/>
      <c r="S683" s="24"/>
    </row>
    <row r="684" spans="1:19" ht="15.75" customHeight="1" x14ac:dyDescent="0.25">
      <c r="A684" s="24"/>
      <c r="C684" s="26"/>
      <c r="D684" s="104"/>
      <c r="E684" s="24"/>
      <c r="F684" s="24"/>
      <c r="G684" s="24"/>
      <c r="H684" s="24"/>
      <c r="K684" s="27"/>
      <c r="S684" s="24"/>
    </row>
    <row r="685" spans="1:19" ht="15.75" customHeight="1" x14ac:dyDescent="0.25">
      <c r="A685" s="24"/>
      <c r="C685" s="26"/>
      <c r="D685" s="104"/>
      <c r="E685" s="24"/>
      <c r="F685" s="24"/>
      <c r="G685" s="24"/>
      <c r="H685" s="24"/>
      <c r="K685" s="27"/>
      <c r="S685" s="24"/>
    </row>
    <row r="686" spans="1:19" ht="15.75" customHeight="1" x14ac:dyDescent="0.25">
      <c r="A686" s="24"/>
      <c r="C686" s="26"/>
      <c r="D686" s="104"/>
      <c r="E686" s="24"/>
      <c r="F686" s="24"/>
      <c r="G686" s="24"/>
      <c r="H686" s="24"/>
      <c r="K686" s="27"/>
      <c r="S686" s="24"/>
    </row>
    <row r="687" spans="1:19" ht="15.75" customHeight="1" x14ac:dyDescent="0.25">
      <c r="A687" s="24"/>
      <c r="C687" s="26"/>
      <c r="D687" s="104"/>
      <c r="E687" s="24"/>
      <c r="F687" s="24"/>
      <c r="G687" s="24"/>
      <c r="H687" s="24"/>
      <c r="K687" s="27"/>
      <c r="S687" s="24"/>
    </row>
    <row r="688" spans="1:19" ht="15.75" customHeight="1" x14ac:dyDescent="0.25">
      <c r="A688" s="24"/>
      <c r="C688" s="26"/>
      <c r="D688" s="104"/>
      <c r="E688" s="24"/>
      <c r="F688" s="24"/>
      <c r="G688" s="24"/>
      <c r="H688" s="24"/>
      <c r="K688" s="27"/>
      <c r="S688" s="24"/>
    </row>
    <row r="689" spans="1:19" ht="15.75" customHeight="1" x14ac:dyDescent="0.25">
      <c r="A689" s="24"/>
      <c r="C689" s="26"/>
      <c r="D689" s="104"/>
      <c r="E689" s="24"/>
      <c r="F689" s="24"/>
      <c r="G689" s="24"/>
      <c r="H689" s="24"/>
      <c r="K689" s="27"/>
      <c r="S689" s="24"/>
    </row>
    <row r="690" spans="1:19" ht="15.75" customHeight="1" x14ac:dyDescent="0.25">
      <c r="A690" s="24"/>
      <c r="C690" s="26"/>
      <c r="D690" s="104"/>
      <c r="E690" s="24"/>
      <c r="F690" s="24"/>
      <c r="G690" s="24"/>
      <c r="H690" s="24"/>
      <c r="K690" s="27"/>
      <c r="S690" s="24"/>
    </row>
    <row r="691" spans="1:19" ht="15.75" customHeight="1" x14ac:dyDescent="0.25">
      <c r="A691" s="24"/>
      <c r="C691" s="26"/>
      <c r="D691" s="104"/>
      <c r="E691" s="24"/>
      <c r="F691" s="24"/>
      <c r="G691" s="24"/>
      <c r="H691" s="24"/>
      <c r="K691" s="27"/>
      <c r="S691" s="24"/>
    </row>
    <row r="692" spans="1:19" ht="15.75" customHeight="1" x14ac:dyDescent="0.25">
      <c r="A692" s="24"/>
      <c r="C692" s="26"/>
      <c r="D692" s="104"/>
      <c r="E692" s="24"/>
      <c r="F692" s="24"/>
      <c r="G692" s="24"/>
      <c r="H692" s="24"/>
      <c r="K692" s="27"/>
      <c r="S692" s="24"/>
    </row>
    <row r="693" spans="1:19" ht="15.75" customHeight="1" x14ac:dyDescent="0.25">
      <c r="A693" s="24"/>
      <c r="C693" s="26"/>
      <c r="D693" s="104"/>
      <c r="E693" s="24"/>
      <c r="F693" s="24"/>
      <c r="G693" s="24"/>
      <c r="H693" s="24"/>
      <c r="K693" s="27"/>
      <c r="S693" s="24"/>
    </row>
    <row r="694" spans="1:19" ht="15.75" customHeight="1" x14ac:dyDescent="0.25">
      <c r="A694" s="24"/>
      <c r="C694" s="26"/>
      <c r="D694" s="104"/>
      <c r="E694" s="24"/>
      <c r="F694" s="24"/>
      <c r="G694" s="24"/>
      <c r="H694" s="24"/>
      <c r="K694" s="27"/>
      <c r="S694" s="24"/>
    </row>
    <row r="695" spans="1:19" ht="15.75" customHeight="1" x14ac:dyDescent="0.25">
      <c r="A695" s="24"/>
      <c r="C695" s="26"/>
      <c r="D695" s="104"/>
      <c r="E695" s="24"/>
      <c r="F695" s="24"/>
      <c r="G695" s="24"/>
      <c r="H695" s="24"/>
      <c r="K695" s="27"/>
      <c r="S695" s="24"/>
    </row>
    <row r="696" spans="1:19" ht="15.75" customHeight="1" x14ac:dyDescent="0.25">
      <c r="A696" s="24"/>
      <c r="C696" s="26"/>
      <c r="D696" s="104"/>
      <c r="E696" s="24"/>
      <c r="F696" s="24"/>
      <c r="G696" s="24"/>
      <c r="H696" s="24"/>
      <c r="K696" s="27"/>
      <c r="S696" s="24"/>
    </row>
    <row r="697" spans="1:19" ht="15.75" customHeight="1" x14ac:dyDescent="0.25">
      <c r="A697" s="24"/>
      <c r="C697" s="26"/>
      <c r="D697" s="104"/>
      <c r="E697" s="24"/>
      <c r="F697" s="24"/>
      <c r="G697" s="24"/>
      <c r="H697" s="24"/>
      <c r="K697" s="27"/>
      <c r="S697" s="24"/>
    </row>
    <row r="698" spans="1:19" ht="15.75" customHeight="1" x14ac:dyDescent="0.25">
      <c r="A698" s="24"/>
      <c r="C698" s="26"/>
      <c r="D698" s="104"/>
      <c r="E698" s="24"/>
      <c r="F698" s="24"/>
      <c r="G698" s="24"/>
      <c r="H698" s="24"/>
      <c r="K698" s="27"/>
      <c r="S698" s="24"/>
    </row>
    <row r="699" spans="1:19" ht="15.75" customHeight="1" x14ac:dyDescent="0.25">
      <c r="A699" s="24"/>
      <c r="C699" s="26"/>
      <c r="D699" s="104"/>
      <c r="E699" s="24"/>
      <c r="F699" s="24"/>
      <c r="G699" s="24"/>
      <c r="H699" s="24"/>
      <c r="K699" s="27"/>
      <c r="S699" s="24"/>
    </row>
    <row r="700" spans="1:19" ht="15.75" customHeight="1" x14ac:dyDescent="0.25">
      <c r="A700" s="24"/>
      <c r="C700" s="26"/>
      <c r="D700" s="104"/>
      <c r="E700" s="24"/>
      <c r="F700" s="24"/>
      <c r="G700" s="24"/>
      <c r="H700" s="24"/>
      <c r="K700" s="27"/>
      <c r="S700" s="24"/>
    </row>
    <row r="701" spans="1:19" ht="15.75" customHeight="1" x14ac:dyDescent="0.25">
      <c r="A701" s="24"/>
      <c r="C701" s="26"/>
      <c r="D701" s="104"/>
      <c r="E701" s="24"/>
      <c r="F701" s="24"/>
      <c r="G701" s="24"/>
      <c r="H701" s="24"/>
      <c r="K701" s="27"/>
      <c r="S701" s="24"/>
    </row>
    <row r="702" spans="1:19" ht="15.75" customHeight="1" x14ac:dyDescent="0.25">
      <c r="A702" s="24"/>
      <c r="C702" s="26"/>
      <c r="D702" s="104"/>
      <c r="E702" s="24"/>
      <c r="F702" s="24"/>
      <c r="G702" s="24"/>
      <c r="H702" s="24"/>
      <c r="K702" s="27"/>
      <c r="S702" s="24"/>
    </row>
    <row r="703" spans="1:19" ht="15.75" customHeight="1" x14ac:dyDescent="0.25">
      <c r="A703" s="24"/>
      <c r="C703" s="26"/>
      <c r="D703" s="104"/>
      <c r="E703" s="24"/>
      <c r="F703" s="24"/>
      <c r="G703" s="24"/>
      <c r="H703" s="24"/>
      <c r="K703" s="27"/>
      <c r="S703" s="24"/>
    </row>
    <row r="704" spans="1:19" ht="15.75" customHeight="1" x14ac:dyDescent="0.25">
      <c r="A704" s="24"/>
      <c r="C704" s="26"/>
      <c r="D704" s="104"/>
      <c r="E704" s="24"/>
      <c r="F704" s="24"/>
      <c r="G704" s="24"/>
      <c r="H704" s="24"/>
      <c r="K704" s="27"/>
      <c r="S704" s="24"/>
    </row>
    <row r="705" spans="1:19" ht="15.75" customHeight="1" x14ac:dyDescent="0.25">
      <c r="A705" s="24"/>
      <c r="C705" s="26"/>
      <c r="D705" s="104"/>
      <c r="E705" s="24"/>
      <c r="F705" s="24"/>
      <c r="G705" s="24"/>
      <c r="H705" s="24"/>
      <c r="K705" s="27"/>
      <c r="S705" s="24"/>
    </row>
    <row r="706" spans="1:19" ht="15.75" customHeight="1" x14ac:dyDescent="0.25">
      <c r="A706" s="24"/>
      <c r="C706" s="26"/>
      <c r="D706" s="104"/>
      <c r="E706" s="24"/>
      <c r="F706" s="24"/>
      <c r="G706" s="24"/>
      <c r="H706" s="24"/>
      <c r="K706" s="27"/>
      <c r="S706" s="24"/>
    </row>
    <row r="707" spans="1:19" ht="15.75" customHeight="1" x14ac:dyDescent="0.25">
      <c r="A707" s="24"/>
      <c r="C707" s="26"/>
      <c r="D707" s="104"/>
      <c r="E707" s="24"/>
      <c r="F707" s="24"/>
      <c r="G707" s="24"/>
      <c r="H707" s="24"/>
      <c r="K707" s="27"/>
      <c r="S707" s="24"/>
    </row>
    <row r="708" spans="1:19" ht="15.75" customHeight="1" x14ac:dyDescent="0.25">
      <c r="A708" s="24"/>
      <c r="C708" s="26"/>
      <c r="D708" s="104"/>
      <c r="E708" s="24"/>
      <c r="F708" s="24"/>
      <c r="G708" s="24"/>
      <c r="H708" s="24"/>
      <c r="K708" s="27"/>
      <c r="S708" s="24"/>
    </row>
    <row r="709" spans="1:19" ht="15.75" customHeight="1" x14ac:dyDescent="0.25">
      <c r="A709" s="24"/>
      <c r="C709" s="26"/>
      <c r="D709" s="104"/>
      <c r="E709" s="24"/>
      <c r="F709" s="24"/>
      <c r="G709" s="24"/>
      <c r="H709" s="24"/>
      <c r="K709" s="27"/>
      <c r="S709" s="24"/>
    </row>
    <row r="710" spans="1:19" ht="15.75" customHeight="1" x14ac:dyDescent="0.25">
      <c r="A710" s="24"/>
      <c r="C710" s="26"/>
      <c r="D710" s="104"/>
      <c r="E710" s="24"/>
      <c r="F710" s="24"/>
      <c r="G710" s="24"/>
      <c r="H710" s="24"/>
      <c r="K710" s="27"/>
      <c r="S710" s="24"/>
    </row>
    <row r="711" spans="1:19" ht="15.75" customHeight="1" x14ac:dyDescent="0.25">
      <c r="A711" s="24"/>
      <c r="C711" s="26"/>
      <c r="D711" s="104"/>
      <c r="E711" s="24"/>
      <c r="F711" s="24"/>
      <c r="G711" s="24"/>
      <c r="H711" s="24"/>
      <c r="K711" s="27"/>
      <c r="S711" s="24"/>
    </row>
    <row r="712" spans="1:19" ht="15.75" customHeight="1" x14ac:dyDescent="0.25">
      <c r="A712" s="24"/>
      <c r="C712" s="26"/>
      <c r="D712" s="104"/>
      <c r="E712" s="24"/>
      <c r="F712" s="24"/>
      <c r="G712" s="24"/>
      <c r="H712" s="24"/>
      <c r="K712" s="27"/>
      <c r="S712" s="24"/>
    </row>
    <row r="713" spans="1:19" ht="15.75" customHeight="1" x14ac:dyDescent="0.25">
      <c r="A713" s="24"/>
      <c r="C713" s="26"/>
      <c r="D713" s="104"/>
      <c r="E713" s="24"/>
      <c r="F713" s="24"/>
      <c r="G713" s="24"/>
      <c r="H713" s="24"/>
      <c r="K713" s="27"/>
      <c r="S713" s="24"/>
    </row>
    <row r="714" spans="1:19" ht="15.75" customHeight="1" x14ac:dyDescent="0.25">
      <c r="A714" s="24"/>
      <c r="C714" s="26"/>
      <c r="D714" s="104"/>
      <c r="E714" s="24"/>
      <c r="F714" s="24"/>
      <c r="G714" s="24"/>
      <c r="H714" s="24"/>
      <c r="K714" s="27"/>
      <c r="S714" s="24"/>
    </row>
    <row r="715" spans="1:19" ht="15.75" customHeight="1" x14ac:dyDescent="0.25">
      <c r="A715" s="24"/>
      <c r="C715" s="26"/>
      <c r="D715" s="104"/>
      <c r="E715" s="24"/>
      <c r="F715" s="24"/>
      <c r="G715" s="24"/>
      <c r="H715" s="24"/>
      <c r="K715" s="27"/>
      <c r="S715" s="24"/>
    </row>
    <row r="716" spans="1:19" ht="15.75" customHeight="1" x14ac:dyDescent="0.25">
      <c r="A716" s="24"/>
      <c r="C716" s="26"/>
      <c r="D716" s="104"/>
      <c r="E716" s="24"/>
      <c r="F716" s="24"/>
      <c r="G716" s="24"/>
      <c r="H716" s="24"/>
      <c r="K716" s="27"/>
      <c r="S716" s="24"/>
    </row>
    <row r="717" spans="1:19" ht="15.75" customHeight="1" x14ac:dyDescent="0.25">
      <c r="A717" s="24"/>
      <c r="C717" s="26"/>
      <c r="D717" s="104"/>
      <c r="E717" s="24"/>
      <c r="F717" s="24"/>
      <c r="G717" s="24"/>
      <c r="H717" s="24"/>
      <c r="K717" s="27"/>
      <c r="S717" s="24"/>
    </row>
    <row r="718" spans="1:19" ht="15.75" customHeight="1" x14ac:dyDescent="0.25">
      <c r="A718" s="24"/>
      <c r="C718" s="26"/>
      <c r="D718" s="104"/>
      <c r="E718" s="24"/>
      <c r="F718" s="24"/>
      <c r="G718" s="24"/>
      <c r="H718" s="24"/>
      <c r="K718" s="27"/>
      <c r="S718" s="24"/>
    </row>
    <row r="719" spans="1:19" ht="15.75" customHeight="1" x14ac:dyDescent="0.25">
      <c r="A719" s="24"/>
      <c r="C719" s="26"/>
      <c r="D719" s="104"/>
      <c r="E719" s="24"/>
      <c r="F719" s="24"/>
      <c r="G719" s="24"/>
      <c r="H719" s="24"/>
      <c r="K719" s="27"/>
      <c r="S719" s="24"/>
    </row>
    <row r="720" spans="1:19" ht="15.75" customHeight="1" x14ac:dyDescent="0.25">
      <c r="A720" s="24"/>
      <c r="C720" s="26"/>
      <c r="D720" s="104"/>
      <c r="E720" s="24"/>
      <c r="F720" s="24"/>
      <c r="G720" s="24"/>
      <c r="H720" s="24"/>
      <c r="K720" s="27"/>
      <c r="S720" s="24"/>
    </row>
    <row r="721" spans="1:19" ht="15.75" customHeight="1" x14ac:dyDescent="0.25">
      <c r="A721" s="24"/>
      <c r="C721" s="26"/>
      <c r="D721" s="104"/>
      <c r="E721" s="24"/>
      <c r="F721" s="24"/>
      <c r="G721" s="24"/>
      <c r="H721" s="24"/>
      <c r="K721" s="27"/>
      <c r="S721" s="24"/>
    </row>
    <row r="722" spans="1:19" ht="15.75" customHeight="1" x14ac:dyDescent="0.25">
      <c r="A722" s="24"/>
      <c r="C722" s="26"/>
      <c r="D722" s="104"/>
      <c r="E722" s="24"/>
      <c r="F722" s="24"/>
      <c r="G722" s="24"/>
      <c r="H722" s="24"/>
      <c r="K722" s="27"/>
      <c r="S722" s="24"/>
    </row>
    <row r="723" spans="1:19" ht="15.75" customHeight="1" x14ac:dyDescent="0.25">
      <c r="A723" s="24"/>
      <c r="C723" s="26"/>
      <c r="D723" s="104"/>
      <c r="E723" s="24"/>
      <c r="F723" s="24"/>
      <c r="G723" s="24"/>
      <c r="H723" s="24"/>
      <c r="K723" s="27"/>
      <c r="S723" s="24"/>
    </row>
    <row r="724" spans="1:19" ht="15.75" customHeight="1" x14ac:dyDescent="0.25">
      <c r="A724" s="24"/>
      <c r="C724" s="26"/>
      <c r="D724" s="104"/>
      <c r="E724" s="24"/>
      <c r="F724" s="24"/>
      <c r="G724" s="24"/>
      <c r="H724" s="24"/>
      <c r="K724" s="27"/>
      <c r="S724" s="24"/>
    </row>
    <row r="725" spans="1:19" ht="15.75" customHeight="1" x14ac:dyDescent="0.25">
      <c r="A725" s="24"/>
      <c r="C725" s="26"/>
      <c r="D725" s="104"/>
      <c r="E725" s="24"/>
      <c r="F725" s="24"/>
      <c r="G725" s="24"/>
      <c r="H725" s="24"/>
      <c r="K725" s="27"/>
      <c r="S725" s="24"/>
    </row>
    <row r="726" spans="1:19" ht="15.75" customHeight="1" x14ac:dyDescent="0.25">
      <c r="A726" s="24"/>
      <c r="C726" s="26"/>
      <c r="D726" s="104"/>
      <c r="E726" s="24"/>
      <c r="F726" s="24"/>
      <c r="G726" s="24"/>
      <c r="H726" s="24"/>
      <c r="K726" s="27"/>
      <c r="S726" s="24"/>
    </row>
    <row r="727" spans="1:19" ht="15.75" customHeight="1" x14ac:dyDescent="0.25">
      <c r="A727" s="24"/>
      <c r="C727" s="26"/>
      <c r="D727" s="104"/>
      <c r="E727" s="24"/>
      <c r="F727" s="24"/>
      <c r="G727" s="24"/>
      <c r="H727" s="24"/>
      <c r="K727" s="27"/>
      <c r="S727" s="24"/>
    </row>
    <row r="728" spans="1:19" ht="15.75" customHeight="1" x14ac:dyDescent="0.25">
      <c r="A728" s="24"/>
      <c r="C728" s="26"/>
      <c r="D728" s="104"/>
      <c r="E728" s="24"/>
      <c r="F728" s="24"/>
      <c r="G728" s="24"/>
      <c r="H728" s="24"/>
      <c r="K728" s="27"/>
      <c r="S728" s="24"/>
    </row>
    <row r="729" spans="1:19" ht="15.75" customHeight="1" x14ac:dyDescent="0.25">
      <c r="A729" s="24"/>
      <c r="C729" s="26"/>
      <c r="D729" s="104"/>
      <c r="E729" s="24"/>
      <c r="F729" s="24"/>
      <c r="G729" s="24"/>
      <c r="H729" s="24"/>
      <c r="K729" s="27"/>
      <c r="S729" s="24"/>
    </row>
    <row r="730" spans="1:19" ht="15.75" customHeight="1" x14ac:dyDescent="0.25">
      <c r="A730" s="24"/>
      <c r="C730" s="26"/>
      <c r="D730" s="104"/>
      <c r="E730" s="24"/>
      <c r="F730" s="24"/>
      <c r="G730" s="24"/>
      <c r="H730" s="24"/>
      <c r="K730" s="27"/>
      <c r="S730" s="24"/>
    </row>
    <row r="731" spans="1:19" ht="15.75" customHeight="1" x14ac:dyDescent="0.25">
      <c r="A731" s="24"/>
      <c r="C731" s="26"/>
      <c r="D731" s="104"/>
      <c r="E731" s="24"/>
      <c r="F731" s="24"/>
      <c r="G731" s="24"/>
      <c r="H731" s="24"/>
      <c r="K731" s="27"/>
      <c r="S731" s="24"/>
    </row>
    <row r="732" spans="1:19" ht="15.75" customHeight="1" x14ac:dyDescent="0.25">
      <c r="A732" s="24"/>
      <c r="C732" s="26"/>
      <c r="D732" s="104"/>
      <c r="E732" s="24"/>
      <c r="F732" s="24"/>
      <c r="G732" s="24"/>
      <c r="H732" s="24"/>
      <c r="K732" s="27"/>
      <c r="S732" s="24"/>
    </row>
    <row r="733" spans="1:19" ht="15.75" customHeight="1" x14ac:dyDescent="0.25">
      <c r="A733" s="24"/>
      <c r="C733" s="26"/>
      <c r="D733" s="104"/>
      <c r="E733" s="24"/>
      <c r="F733" s="24"/>
      <c r="G733" s="24"/>
      <c r="H733" s="24"/>
      <c r="K733" s="27"/>
      <c r="S733" s="24"/>
    </row>
    <row r="734" spans="1:19" ht="15.75" customHeight="1" x14ac:dyDescent="0.25">
      <c r="A734" s="24"/>
      <c r="C734" s="26"/>
      <c r="D734" s="104"/>
      <c r="E734" s="24"/>
      <c r="F734" s="24"/>
      <c r="G734" s="24"/>
      <c r="H734" s="24"/>
      <c r="K734" s="27"/>
      <c r="S734" s="24"/>
    </row>
    <row r="735" spans="1:19" ht="15.75" customHeight="1" x14ac:dyDescent="0.25">
      <c r="A735" s="24"/>
      <c r="C735" s="26"/>
      <c r="D735" s="104"/>
      <c r="E735" s="24"/>
      <c r="F735" s="24"/>
      <c r="G735" s="24"/>
      <c r="H735" s="24"/>
      <c r="K735" s="27"/>
      <c r="S735" s="24"/>
    </row>
    <row r="736" spans="1:19" ht="15.75" customHeight="1" x14ac:dyDescent="0.25">
      <c r="A736" s="24"/>
      <c r="C736" s="26"/>
      <c r="D736" s="104"/>
      <c r="E736" s="24"/>
      <c r="F736" s="24"/>
      <c r="G736" s="24"/>
      <c r="H736" s="24"/>
      <c r="K736" s="27"/>
      <c r="S736" s="24"/>
    </row>
    <row r="737" spans="1:19" ht="15.75" customHeight="1" x14ac:dyDescent="0.25">
      <c r="A737" s="24"/>
      <c r="C737" s="26"/>
      <c r="D737" s="104"/>
      <c r="E737" s="24"/>
      <c r="F737" s="24"/>
      <c r="G737" s="24"/>
      <c r="H737" s="24"/>
      <c r="K737" s="27"/>
      <c r="S737" s="24"/>
    </row>
    <row r="738" spans="1:19" ht="15.75" customHeight="1" x14ac:dyDescent="0.25">
      <c r="A738" s="24"/>
      <c r="C738" s="26"/>
      <c r="D738" s="104"/>
      <c r="E738" s="24"/>
      <c r="F738" s="24"/>
      <c r="G738" s="24"/>
      <c r="H738" s="24"/>
      <c r="K738" s="27"/>
      <c r="S738" s="24"/>
    </row>
    <row r="739" spans="1:19" ht="15.75" customHeight="1" x14ac:dyDescent="0.25">
      <c r="A739" s="24"/>
      <c r="C739" s="26"/>
      <c r="D739" s="104"/>
      <c r="E739" s="24"/>
      <c r="F739" s="24"/>
      <c r="G739" s="24"/>
      <c r="H739" s="24"/>
      <c r="K739" s="27"/>
      <c r="S739" s="24"/>
    </row>
    <row r="740" spans="1:19" ht="15.75" customHeight="1" x14ac:dyDescent="0.25">
      <c r="A740" s="24"/>
      <c r="C740" s="26"/>
      <c r="D740" s="104"/>
      <c r="E740" s="24"/>
      <c r="F740" s="24"/>
      <c r="G740" s="24"/>
      <c r="H740" s="24"/>
      <c r="K740" s="27"/>
      <c r="S740" s="24"/>
    </row>
    <row r="741" spans="1:19" ht="15.75" customHeight="1" x14ac:dyDescent="0.25">
      <c r="A741" s="24"/>
      <c r="C741" s="26"/>
      <c r="D741" s="104"/>
      <c r="E741" s="24"/>
      <c r="F741" s="24"/>
      <c r="G741" s="24"/>
      <c r="H741" s="24"/>
      <c r="K741" s="27"/>
      <c r="S741" s="24"/>
    </row>
    <row r="742" spans="1:19" ht="15.75" customHeight="1" x14ac:dyDescent="0.25">
      <c r="A742" s="24"/>
      <c r="C742" s="26"/>
      <c r="D742" s="104"/>
      <c r="E742" s="24"/>
      <c r="F742" s="24"/>
      <c r="G742" s="24"/>
      <c r="H742" s="24"/>
      <c r="K742" s="27"/>
      <c r="S742" s="24"/>
    </row>
    <row r="743" spans="1:19" ht="15.75" customHeight="1" x14ac:dyDescent="0.25">
      <c r="A743" s="24"/>
      <c r="C743" s="26"/>
      <c r="D743" s="104"/>
      <c r="E743" s="24"/>
      <c r="F743" s="24"/>
      <c r="G743" s="24"/>
      <c r="H743" s="24"/>
      <c r="K743" s="27"/>
      <c r="S743" s="24"/>
    </row>
    <row r="744" spans="1:19" ht="15.75" customHeight="1" x14ac:dyDescent="0.25">
      <c r="A744" s="24"/>
      <c r="C744" s="26"/>
      <c r="D744" s="104"/>
      <c r="E744" s="24"/>
      <c r="F744" s="24"/>
      <c r="G744" s="24"/>
      <c r="H744" s="24"/>
      <c r="K744" s="27"/>
      <c r="S744" s="24"/>
    </row>
    <row r="745" spans="1:19" ht="15.75" customHeight="1" x14ac:dyDescent="0.25">
      <c r="A745" s="24"/>
      <c r="C745" s="26"/>
      <c r="D745" s="104"/>
      <c r="E745" s="24"/>
      <c r="F745" s="24"/>
      <c r="G745" s="24"/>
      <c r="H745" s="24"/>
      <c r="K745" s="27"/>
      <c r="S745" s="24"/>
    </row>
    <row r="746" spans="1:19" ht="15.75" customHeight="1" x14ac:dyDescent="0.25">
      <c r="A746" s="24"/>
      <c r="C746" s="26"/>
      <c r="D746" s="104"/>
      <c r="E746" s="24"/>
      <c r="F746" s="24"/>
      <c r="G746" s="24"/>
      <c r="H746" s="24"/>
      <c r="K746" s="27"/>
      <c r="S746" s="24"/>
    </row>
    <row r="747" spans="1:19" ht="15.75" customHeight="1" x14ac:dyDescent="0.25">
      <c r="A747" s="24"/>
      <c r="C747" s="26"/>
      <c r="D747" s="104"/>
      <c r="E747" s="24"/>
      <c r="F747" s="24"/>
      <c r="G747" s="24"/>
      <c r="H747" s="24"/>
      <c r="K747" s="27"/>
      <c r="S747" s="24"/>
    </row>
    <row r="748" spans="1:19" ht="15.75" customHeight="1" x14ac:dyDescent="0.25">
      <c r="A748" s="24"/>
      <c r="C748" s="26"/>
      <c r="D748" s="104"/>
      <c r="E748" s="24"/>
      <c r="F748" s="24"/>
      <c r="G748" s="24"/>
      <c r="H748" s="24"/>
      <c r="K748" s="27"/>
      <c r="S748" s="24"/>
    </row>
    <row r="749" spans="1:19" ht="15.75" customHeight="1" x14ac:dyDescent="0.25">
      <c r="A749" s="24"/>
      <c r="C749" s="26"/>
      <c r="D749" s="104"/>
      <c r="E749" s="24"/>
      <c r="F749" s="24"/>
      <c r="G749" s="24"/>
      <c r="H749" s="24"/>
      <c r="K749" s="27"/>
      <c r="S749" s="24"/>
    </row>
    <row r="750" spans="1:19" ht="15.75" customHeight="1" x14ac:dyDescent="0.25">
      <c r="A750" s="24"/>
      <c r="C750" s="26"/>
      <c r="D750" s="104"/>
      <c r="E750" s="24"/>
      <c r="F750" s="24"/>
      <c r="G750" s="24"/>
      <c r="H750" s="24"/>
      <c r="K750" s="27"/>
      <c r="S750" s="24"/>
    </row>
    <row r="751" spans="1:19" ht="15.75" customHeight="1" x14ac:dyDescent="0.25">
      <c r="A751" s="24"/>
      <c r="C751" s="26"/>
      <c r="D751" s="104"/>
      <c r="E751" s="24"/>
      <c r="F751" s="24"/>
      <c r="G751" s="24"/>
      <c r="H751" s="24"/>
      <c r="K751" s="27"/>
      <c r="S751" s="24"/>
    </row>
    <row r="752" spans="1:19" ht="15.75" customHeight="1" x14ac:dyDescent="0.25">
      <c r="A752" s="24"/>
      <c r="C752" s="26"/>
      <c r="D752" s="104"/>
      <c r="E752" s="24"/>
      <c r="F752" s="24"/>
      <c r="G752" s="24"/>
      <c r="H752" s="24"/>
      <c r="K752" s="27"/>
      <c r="S752" s="24"/>
    </row>
    <row r="753" spans="1:19" ht="15.75" customHeight="1" x14ac:dyDescent="0.25">
      <c r="A753" s="24"/>
      <c r="C753" s="26"/>
      <c r="D753" s="104"/>
      <c r="E753" s="24"/>
      <c r="F753" s="24"/>
      <c r="G753" s="24"/>
      <c r="H753" s="24"/>
      <c r="K753" s="27"/>
      <c r="S753" s="24"/>
    </row>
    <row r="754" spans="1:19" ht="15.75" customHeight="1" x14ac:dyDescent="0.25">
      <c r="A754" s="24"/>
      <c r="C754" s="26"/>
      <c r="D754" s="104"/>
      <c r="E754" s="24"/>
      <c r="F754" s="24"/>
      <c r="G754" s="24"/>
      <c r="H754" s="24"/>
      <c r="K754" s="27"/>
      <c r="S754" s="24"/>
    </row>
    <row r="755" spans="1:19" ht="15.75" customHeight="1" x14ac:dyDescent="0.25">
      <c r="A755" s="24"/>
      <c r="C755" s="26"/>
      <c r="D755" s="104"/>
      <c r="E755" s="24"/>
      <c r="F755" s="24"/>
      <c r="G755" s="24"/>
      <c r="H755" s="24"/>
      <c r="K755" s="27"/>
      <c r="S755" s="24"/>
    </row>
    <row r="756" spans="1:19" ht="15.75" customHeight="1" x14ac:dyDescent="0.25">
      <c r="A756" s="24"/>
      <c r="C756" s="26"/>
      <c r="D756" s="104"/>
      <c r="E756" s="24"/>
      <c r="F756" s="24"/>
      <c r="G756" s="24"/>
      <c r="H756" s="24"/>
      <c r="K756" s="27"/>
      <c r="S756" s="24"/>
    </row>
    <row r="757" spans="1:19" ht="15.75" customHeight="1" x14ac:dyDescent="0.25">
      <c r="A757" s="24"/>
      <c r="C757" s="26"/>
      <c r="D757" s="104"/>
      <c r="E757" s="24"/>
      <c r="F757" s="24"/>
      <c r="G757" s="24"/>
      <c r="H757" s="24"/>
      <c r="K757" s="27"/>
      <c r="S757" s="24"/>
    </row>
    <row r="758" spans="1:19" ht="15.75" customHeight="1" x14ac:dyDescent="0.25">
      <c r="A758" s="24"/>
      <c r="C758" s="26"/>
      <c r="D758" s="104"/>
      <c r="E758" s="24"/>
      <c r="F758" s="24"/>
      <c r="G758" s="24"/>
      <c r="H758" s="24"/>
      <c r="K758" s="27"/>
      <c r="S758" s="24"/>
    </row>
    <row r="759" spans="1:19" ht="15.75" customHeight="1" x14ac:dyDescent="0.25">
      <c r="A759" s="24"/>
      <c r="C759" s="26"/>
      <c r="D759" s="104"/>
      <c r="E759" s="24"/>
      <c r="F759" s="24"/>
      <c r="G759" s="24"/>
      <c r="H759" s="24"/>
      <c r="K759" s="27"/>
      <c r="S759" s="24"/>
    </row>
    <row r="760" spans="1:19" ht="15.75" customHeight="1" x14ac:dyDescent="0.25">
      <c r="A760" s="24"/>
      <c r="C760" s="26"/>
      <c r="D760" s="104"/>
      <c r="E760" s="24"/>
      <c r="F760" s="24"/>
      <c r="G760" s="24"/>
      <c r="H760" s="24"/>
      <c r="K760" s="27"/>
      <c r="S760" s="24"/>
    </row>
    <row r="761" spans="1:19" ht="15.75" customHeight="1" x14ac:dyDescent="0.25">
      <c r="A761" s="24"/>
      <c r="C761" s="26"/>
      <c r="D761" s="104"/>
      <c r="E761" s="24"/>
      <c r="F761" s="24"/>
      <c r="G761" s="24"/>
      <c r="H761" s="24"/>
      <c r="K761" s="27"/>
      <c r="S761" s="24"/>
    </row>
    <row r="762" spans="1:19" ht="15.75" customHeight="1" x14ac:dyDescent="0.25">
      <c r="A762" s="24"/>
      <c r="C762" s="26"/>
      <c r="D762" s="104"/>
      <c r="E762" s="24"/>
      <c r="F762" s="24"/>
      <c r="G762" s="24"/>
      <c r="H762" s="24"/>
      <c r="K762" s="27"/>
      <c r="S762" s="24"/>
    </row>
    <row r="763" spans="1:19" ht="15.75" customHeight="1" x14ac:dyDescent="0.25">
      <c r="A763" s="24"/>
      <c r="C763" s="26"/>
      <c r="D763" s="104"/>
      <c r="E763" s="24"/>
      <c r="F763" s="24"/>
      <c r="G763" s="24"/>
      <c r="H763" s="24"/>
      <c r="K763" s="27"/>
      <c r="S763" s="24"/>
    </row>
    <row r="764" spans="1:19" ht="15.75" customHeight="1" x14ac:dyDescent="0.25">
      <c r="A764" s="24"/>
      <c r="C764" s="26"/>
      <c r="D764" s="104"/>
      <c r="E764" s="24"/>
      <c r="F764" s="24"/>
      <c r="G764" s="24"/>
      <c r="H764" s="24"/>
      <c r="K764" s="27"/>
      <c r="S764" s="24"/>
    </row>
    <row r="765" spans="1:19" ht="15.75" customHeight="1" x14ac:dyDescent="0.25">
      <c r="A765" s="24"/>
      <c r="C765" s="26"/>
      <c r="D765" s="104"/>
      <c r="E765" s="24"/>
      <c r="F765" s="24"/>
      <c r="G765" s="24"/>
      <c r="H765" s="24"/>
      <c r="K765" s="27"/>
      <c r="S765" s="24"/>
    </row>
    <row r="766" spans="1:19" ht="15.75" customHeight="1" x14ac:dyDescent="0.25">
      <c r="A766" s="24"/>
      <c r="C766" s="26"/>
      <c r="D766" s="104"/>
      <c r="E766" s="24"/>
      <c r="F766" s="24"/>
      <c r="G766" s="24"/>
      <c r="H766" s="24"/>
      <c r="K766" s="27"/>
      <c r="S766" s="24"/>
    </row>
    <row r="767" spans="1:19" ht="15.75" customHeight="1" x14ac:dyDescent="0.25">
      <c r="A767" s="24"/>
      <c r="C767" s="26"/>
      <c r="D767" s="104"/>
      <c r="E767" s="24"/>
      <c r="F767" s="24"/>
      <c r="G767" s="24"/>
      <c r="H767" s="24"/>
      <c r="K767" s="27"/>
      <c r="S767" s="24"/>
    </row>
    <row r="768" spans="1:19" ht="15.75" customHeight="1" x14ac:dyDescent="0.25">
      <c r="A768" s="24"/>
      <c r="C768" s="26"/>
      <c r="D768" s="104"/>
      <c r="E768" s="24"/>
      <c r="F768" s="24"/>
      <c r="G768" s="24"/>
      <c r="H768" s="24"/>
      <c r="K768" s="27"/>
      <c r="S768" s="24"/>
    </row>
    <row r="769" spans="1:19" ht="15.75" customHeight="1" x14ac:dyDescent="0.25">
      <c r="A769" s="24"/>
      <c r="C769" s="26"/>
      <c r="D769" s="104"/>
      <c r="E769" s="24"/>
      <c r="F769" s="24"/>
      <c r="G769" s="24"/>
      <c r="H769" s="24"/>
      <c r="K769" s="27"/>
      <c r="S769" s="24"/>
    </row>
    <row r="770" spans="1:19" ht="15.75" customHeight="1" x14ac:dyDescent="0.25">
      <c r="A770" s="24"/>
      <c r="C770" s="26"/>
      <c r="D770" s="104"/>
      <c r="E770" s="24"/>
      <c r="F770" s="24"/>
      <c r="G770" s="24"/>
      <c r="H770" s="24"/>
      <c r="K770" s="27"/>
      <c r="S770" s="24"/>
    </row>
    <row r="771" spans="1:19" ht="15.75" customHeight="1" x14ac:dyDescent="0.25">
      <c r="A771" s="24"/>
      <c r="C771" s="26"/>
      <c r="D771" s="104"/>
      <c r="E771" s="24"/>
      <c r="F771" s="24"/>
      <c r="G771" s="24"/>
      <c r="H771" s="24"/>
      <c r="K771" s="27"/>
      <c r="S771" s="24"/>
    </row>
    <row r="772" spans="1:19" ht="15.75" customHeight="1" x14ac:dyDescent="0.25">
      <c r="A772" s="24"/>
      <c r="C772" s="26"/>
      <c r="D772" s="104"/>
      <c r="E772" s="24"/>
      <c r="F772" s="24"/>
      <c r="G772" s="24"/>
      <c r="H772" s="24"/>
      <c r="K772" s="27"/>
      <c r="S772" s="24"/>
    </row>
    <row r="773" spans="1:19" ht="15.75" customHeight="1" x14ac:dyDescent="0.25">
      <c r="A773" s="24"/>
      <c r="C773" s="26"/>
      <c r="D773" s="104"/>
      <c r="E773" s="24"/>
      <c r="F773" s="24"/>
      <c r="G773" s="24"/>
      <c r="H773" s="24"/>
      <c r="K773" s="27"/>
      <c r="S773" s="24"/>
    </row>
    <row r="774" spans="1:19" ht="15.75" customHeight="1" x14ac:dyDescent="0.25">
      <c r="A774" s="24"/>
      <c r="C774" s="26"/>
      <c r="D774" s="104"/>
      <c r="E774" s="24"/>
      <c r="F774" s="24"/>
      <c r="G774" s="24"/>
      <c r="H774" s="24"/>
      <c r="K774" s="27"/>
      <c r="S774" s="24"/>
    </row>
    <row r="775" spans="1:19" ht="15.75" customHeight="1" x14ac:dyDescent="0.25">
      <c r="A775" s="24"/>
      <c r="C775" s="26"/>
      <c r="D775" s="104"/>
      <c r="E775" s="24"/>
      <c r="F775" s="24"/>
      <c r="G775" s="24"/>
      <c r="H775" s="24"/>
      <c r="K775" s="27"/>
      <c r="S775" s="24"/>
    </row>
    <row r="776" spans="1:19" ht="15.75" customHeight="1" x14ac:dyDescent="0.25">
      <c r="A776" s="24"/>
      <c r="C776" s="26"/>
      <c r="D776" s="104"/>
      <c r="E776" s="24"/>
      <c r="F776" s="24"/>
      <c r="G776" s="24"/>
      <c r="H776" s="24"/>
      <c r="K776" s="27"/>
      <c r="S776" s="24"/>
    </row>
    <row r="777" spans="1:19" ht="15.75" customHeight="1" x14ac:dyDescent="0.25">
      <c r="A777" s="24"/>
      <c r="C777" s="26"/>
      <c r="D777" s="104"/>
      <c r="E777" s="24"/>
      <c r="F777" s="24"/>
      <c r="G777" s="24"/>
      <c r="H777" s="24"/>
      <c r="K777" s="27"/>
      <c r="S777" s="24"/>
    </row>
    <row r="778" spans="1:19" ht="15.75" customHeight="1" x14ac:dyDescent="0.25">
      <c r="A778" s="24"/>
      <c r="C778" s="26"/>
      <c r="D778" s="104"/>
      <c r="E778" s="24"/>
      <c r="F778" s="24"/>
      <c r="G778" s="24"/>
      <c r="H778" s="24"/>
      <c r="K778" s="27"/>
      <c r="S778" s="24"/>
    </row>
    <row r="779" spans="1:19" ht="15.75" customHeight="1" x14ac:dyDescent="0.25">
      <c r="A779" s="24"/>
      <c r="C779" s="26"/>
      <c r="D779" s="104"/>
      <c r="E779" s="24"/>
      <c r="F779" s="24"/>
      <c r="G779" s="24"/>
      <c r="H779" s="24"/>
      <c r="K779" s="27"/>
      <c r="S779" s="24"/>
    </row>
    <row r="780" spans="1:19" ht="15.75" customHeight="1" x14ac:dyDescent="0.25">
      <c r="A780" s="24"/>
      <c r="C780" s="26"/>
      <c r="D780" s="104"/>
      <c r="E780" s="24"/>
      <c r="F780" s="24"/>
      <c r="G780" s="24"/>
      <c r="H780" s="24"/>
      <c r="K780" s="27"/>
      <c r="S780" s="24"/>
    </row>
    <row r="781" spans="1:19" ht="15.75" customHeight="1" x14ac:dyDescent="0.25">
      <c r="A781" s="24"/>
      <c r="C781" s="26"/>
      <c r="D781" s="104"/>
      <c r="E781" s="24"/>
      <c r="F781" s="24"/>
      <c r="G781" s="24"/>
      <c r="H781" s="24"/>
      <c r="K781" s="27"/>
      <c r="S781" s="24"/>
    </row>
    <row r="782" spans="1:19" ht="15.75" customHeight="1" x14ac:dyDescent="0.25">
      <c r="A782" s="24"/>
      <c r="C782" s="26"/>
      <c r="D782" s="104"/>
      <c r="E782" s="24"/>
      <c r="F782" s="24"/>
      <c r="G782" s="24"/>
      <c r="H782" s="24"/>
      <c r="K782" s="27"/>
      <c r="S782" s="24"/>
    </row>
    <row r="783" spans="1:19" ht="15.75" customHeight="1" x14ac:dyDescent="0.25">
      <c r="A783" s="24"/>
      <c r="C783" s="26"/>
      <c r="D783" s="104"/>
      <c r="E783" s="24"/>
      <c r="F783" s="24"/>
      <c r="G783" s="24"/>
      <c r="H783" s="24"/>
      <c r="K783" s="27"/>
      <c r="S783" s="24"/>
    </row>
    <row r="784" spans="1:19" ht="15.75" customHeight="1" x14ac:dyDescent="0.25">
      <c r="A784" s="24"/>
      <c r="C784" s="26"/>
      <c r="D784" s="104"/>
      <c r="E784" s="24"/>
      <c r="F784" s="24"/>
      <c r="G784" s="24"/>
      <c r="H784" s="24"/>
      <c r="K784" s="27"/>
      <c r="S784" s="24"/>
    </row>
    <row r="785" spans="1:19" ht="15.75" customHeight="1" x14ac:dyDescent="0.25">
      <c r="A785" s="24"/>
      <c r="C785" s="26"/>
      <c r="D785" s="104"/>
      <c r="E785" s="24"/>
      <c r="F785" s="24"/>
      <c r="G785" s="24"/>
      <c r="H785" s="24"/>
      <c r="K785" s="27"/>
      <c r="S785" s="24"/>
    </row>
    <row r="786" spans="1:19" ht="15.75" customHeight="1" x14ac:dyDescent="0.25">
      <c r="A786" s="24"/>
      <c r="C786" s="26"/>
      <c r="D786" s="104"/>
      <c r="E786" s="24"/>
      <c r="F786" s="24"/>
      <c r="G786" s="24"/>
      <c r="H786" s="24"/>
      <c r="K786" s="27"/>
      <c r="S786" s="24"/>
    </row>
    <row r="787" spans="1:19" ht="15.75" customHeight="1" x14ac:dyDescent="0.25">
      <c r="A787" s="24"/>
      <c r="C787" s="26"/>
      <c r="D787" s="104"/>
      <c r="E787" s="24"/>
      <c r="F787" s="24"/>
      <c r="G787" s="24"/>
      <c r="H787" s="24"/>
      <c r="K787" s="27"/>
      <c r="S787" s="24"/>
    </row>
    <row r="788" spans="1:19" ht="15.75" customHeight="1" x14ac:dyDescent="0.25">
      <c r="A788" s="24"/>
      <c r="C788" s="26"/>
      <c r="D788" s="104"/>
      <c r="E788" s="24"/>
      <c r="F788" s="24"/>
      <c r="G788" s="24"/>
      <c r="H788" s="24"/>
      <c r="K788" s="27"/>
      <c r="S788" s="24"/>
    </row>
    <row r="789" spans="1:19" ht="15.75" customHeight="1" x14ac:dyDescent="0.25">
      <c r="A789" s="24"/>
      <c r="C789" s="26"/>
      <c r="D789" s="104"/>
      <c r="E789" s="24"/>
      <c r="F789" s="24"/>
      <c r="G789" s="24"/>
      <c r="H789" s="24"/>
      <c r="K789" s="27"/>
      <c r="S789" s="24"/>
    </row>
    <row r="790" spans="1:19" ht="15.75" customHeight="1" x14ac:dyDescent="0.25">
      <c r="A790" s="24"/>
      <c r="C790" s="26"/>
      <c r="D790" s="104"/>
      <c r="E790" s="24"/>
      <c r="F790" s="24"/>
      <c r="G790" s="24"/>
      <c r="H790" s="24"/>
      <c r="K790" s="27"/>
      <c r="S790" s="24"/>
    </row>
    <row r="791" spans="1:19" ht="15.75" customHeight="1" x14ac:dyDescent="0.25">
      <c r="A791" s="24"/>
      <c r="C791" s="26"/>
      <c r="D791" s="104"/>
      <c r="E791" s="24"/>
      <c r="F791" s="24"/>
      <c r="G791" s="24"/>
      <c r="H791" s="24"/>
      <c r="K791" s="27"/>
      <c r="S791" s="24"/>
    </row>
    <row r="792" spans="1:19" ht="15.75" customHeight="1" x14ac:dyDescent="0.25">
      <c r="A792" s="24"/>
      <c r="C792" s="26"/>
      <c r="D792" s="104"/>
      <c r="E792" s="24"/>
      <c r="F792" s="24"/>
      <c r="G792" s="24"/>
      <c r="H792" s="24"/>
      <c r="K792" s="27"/>
      <c r="S792" s="24"/>
    </row>
    <row r="793" spans="1:19" ht="15.75" customHeight="1" x14ac:dyDescent="0.25">
      <c r="A793" s="24"/>
      <c r="C793" s="26"/>
      <c r="D793" s="104"/>
      <c r="E793" s="24"/>
      <c r="F793" s="24"/>
      <c r="G793" s="24"/>
      <c r="H793" s="24"/>
      <c r="K793" s="27"/>
      <c r="S793" s="24"/>
    </row>
    <row r="794" spans="1:19" ht="15.75" customHeight="1" x14ac:dyDescent="0.25">
      <c r="A794" s="24"/>
      <c r="C794" s="26"/>
      <c r="D794" s="104"/>
      <c r="E794" s="24"/>
      <c r="F794" s="24"/>
      <c r="G794" s="24"/>
      <c r="H794" s="24"/>
      <c r="K794" s="27"/>
      <c r="S794" s="24"/>
    </row>
    <row r="795" spans="1:19" ht="15.75" customHeight="1" x14ac:dyDescent="0.25">
      <c r="A795" s="24"/>
      <c r="C795" s="26"/>
      <c r="D795" s="104"/>
      <c r="E795" s="24"/>
      <c r="F795" s="24"/>
      <c r="G795" s="24"/>
      <c r="H795" s="24"/>
      <c r="K795" s="27"/>
      <c r="S795" s="24"/>
    </row>
    <row r="796" spans="1:19" ht="15.75" customHeight="1" x14ac:dyDescent="0.25">
      <c r="A796" s="24"/>
      <c r="C796" s="26"/>
      <c r="D796" s="104"/>
      <c r="E796" s="24"/>
      <c r="F796" s="24"/>
      <c r="G796" s="24"/>
      <c r="H796" s="24"/>
      <c r="K796" s="27"/>
      <c r="S796" s="24"/>
    </row>
    <row r="797" spans="1:19" ht="15.75" customHeight="1" x14ac:dyDescent="0.25">
      <c r="A797" s="24"/>
      <c r="C797" s="26"/>
      <c r="D797" s="104"/>
      <c r="E797" s="24"/>
      <c r="F797" s="24"/>
      <c r="G797" s="24"/>
      <c r="H797" s="24"/>
      <c r="K797" s="27"/>
      <c r="S797" s="24"/>
    </row>
    <row r="798" spans="1:19" ht="15.75" customHeight="1" x14ac:dyDescent="0.25">
      <c r="A798" s="24"/>
      <c r="C798" s="26"/>
      <c r="D798" s="104"/>
      <c r="E798" s="24"/>
      <c r="F798" s="24"/>
      <c r="G798" s="24"/>
      <c r="H798" s="24"/>
      <c r="K798" s="27"/>
      <c r="S798" s="24"/>
    </row>
    <row r="799" spans="1:19" ht="15.75" customHeight="1" x14ac:dyDescent="0.25">
      <c r="A799" s="24"/>
      <c r="C799" s="26"/>
      <c r="D799" s="104"/>
      <c r="E799" s="24"/>
      <c r="F799" s="24"/>
      <c r="G799" s="24"/>
      <c r="H799" s="24"/>
      <c r="K799" s="27"/>
      <c r="S799" s="24"/>
    </row>
    <row r="800" spans="1:19" ht="15.75" customHeight="1" x14ac:dyDescent="0.25">
      <c r="A800" s="24"/>
      <c r="C800" s="26"/>
      <c r="D800" s="104"/>
      <c r="E800" s="24"/>
      <c r="F800" s="24"/>
      <c r="G800" s="24"/>
      <c r="H800" s="24"/>
      <c r="K800" s="27"/>
      <c r="S800" s="24"/>
    </row>
    <row r="801" spans="1:19" ht="15.75" customHeight="1" x14ac:dyDescent="0.25">
      <c r="A801" s="24"/>
      <c r="C801" s="26"/>
      <c r="D801" s="104"/>
      <c r="E801" s="24"/>
      <c r="F801" s="24"/>
      <c r="G801" s="24"/>
      <c r="H801" s="24"/>
      <c r="K801" s="27"/>
      <c r="S801" s="24"/>
    </row>
    <row r="802" spans="1:19" ht="15.75" customHeight="1" x14ac:dyDescent="0.25">
      <c r="A802" s="24"/>
      <c r="C802" s="26"/>
      <c r="D802" s="104"/>
      <c r="E802" s="24"/>
      <c r="F802" s="24"/>
      <c r="G802" s="24"/>
      <c r="H802" s="24"/>
      <c r="K802" s="27"/>
      <c r="S802" s="24"/>
    </row>
    <row r="803" spans="1:19" ht="15.75" customHeight="1" x14ac:dyDescent="0.25">
      <c r="A803" s="24"/>
      <c r="C803" s="26"/>
      <c r="D803" s="104"/>
      <c r="E803" s="24"/>
      <c r="F803" s="24"/>
      <c r="G803" s="24"/>
      <c r="H803" s="24"/>
      <c r="K803" s="27"/>
      <c r="S803" s="24"/>
    </row>
    <row r="804" spans="1:19" ht="15.75" customHeight="1" x14ac:dyDescent="0.25">
      <c r="A804" s="24"/>
      <c r="C804" s="26"/>
      <c r="D804" s="104"/>
      <c r="E804" s="24"/>
      <c r="F804" s="24"/>
      <c r="G804" s="24"/>
      <c r="H804" s="24"/>
      <c r="K804" s="27"/>
      <c r="S804" s="24"/>
    </row>
    <row r="805" spans="1:19" ht="15.75" customHeight="1" x14ac:dyDescent="0.25">
      <c r="A805" s="24"/>
      <c r="C805" s="26"/>
      <c r="D805" s="104"/>
      <c r="E805" s="24"/>
      <c r="F805" s="24"/>
      <c r="G805" s="24"/>
      <c r="H805" s="24"/>
      <c r="K805" s="27"/>
      <c r="S805" s="24"/>
    </row>
    <row r="806" spans="1:19" ht="15.75" customHeight="1" x14ac:dyDescent="0.25">
      <c r="A806" s="24"/>
      <c r="C806" s="26"/>
      <c r="D806" s="104"/>
      <c r="E806" s="24"/>
      <c r="F806" s="24"/>
      <c r="G806" s="24"/>
      <c r="H806" s="24"/>
      <c r="K806" s="27"/>
      <c r="S806" s="24"/>
    </row>
    <row r="807" spans="1:19" ht="15.75" customHeight="1" x14ac:dyDescent="0.25">
      <c r="A807" s="24"/>
      <c r="C807" s="26"/>
      <c r="D807" s="104"/>
      <c r="E807" s="24"/>
      <c r="F807" s="24"/>
      <c r="G807" s="24"/>
      <c r="H807" s="24"/>
      <c r="K807" s="27"/>
      <c r="S807" s="24"/>
    </row>
    <row r="808" spans="1:19" ht="15.75" customHeight="1" x14ac:dyDescent="0.25">
      <c r="A808" s="24"/>
      <c r="C808" s="26"/>
      <c r="D808" s="104"/>
      <c r="E808" s="24"/>
      <c r="F808" s="24"/>
      <c r="G808" s="24"/>
      <c r="H808" s="24"/>
      <c r="K808" s="27"/>
      <c r="S808" s="24"/>
    </row>
    <row r="809" spans="1:19" ht="15.75" customHeight="1" x14ac:dyDescent="0.25">
      <c r="A809" s="24"/>
      <c r="C809" s="26"/>
      <c r="D809" s="104"/>
      <c r="E809" s="24"/>
      <c r="F809" s="24"/>
      <c r="G809" s="24"/>
      <c r="H809" s="24"/>
      <c r="K809" s="27"/>
      <c r="S809" s="24"/>
    </row>
    <row r="810" spans="1:19" ht="15.75" customHeight="1" x14ac:dyDescent="0.25">
      <c r="A810" s="24"/>
      <c r="C810" s="26"/>
      <c r="D810" s="104"/>
      <c r="E810" s="24"/>
      <c r="F810" s="24"/>
      <c r="G810" s="24"/>
      <c r="H810" s="24"/>
      <c r="K810" s="27"/>
      <c r="S810" s="24"/>
    </row>
    <row r="811" spans="1:19" ht="15.75" customHeight="1" x14ac:dyDescent="0.25">
      <c r="A811" s="24"/>
      <c r="C811" s="26"/>
      <c r="D811" s="104"/>
      <c r="E811" s="24"/>
      <c r="F811" s="24"/>
      <c r="G811" s="24"/>
      <c r="H811" s="24"/>
      <c r="K811" s="27"/>
      <c r="S811" s="24"/>
    </row>
    <row r="812" spans="1:19" ht="15.75" customHeight="1" x14ac:dyDescent="0.25">
      <c r="A812" s="24"/>
      <c r="C812" s="26"/>
      <c r="D812" s="104"/>
      <c r="E812" s="24"/>
      <c r="F812" s="24"/>
      <c r="G812" s="24"/>
      <c r="H812" s="24"/>
      <c r="K812" s="27"/>
      <c r="S812" s="24"/>
    </row>
    <row r="813" spans="1:19" ht="15.75" customHeight="1" x14ac:dyDescent="0.25">
      <c r="A813" s="24"/>
      <c r="C813" s="26"/>
      <c r="D813" s="104"/>
      <c r="E813" s="24"/>
      <c r="F813" s="24"/>
      <c r="G813" s="24"/>
      <c r="H813" s="24"/>
      <c r="K813" s="27"/>
      <c r="S813" s="24"/>
    </row>
    <row r="814" spans="1:19" ht="15.75" customHeight="1" x14ac:dyDescent="0.25">
      <c r="A814" s="24"/>
      <c r="C814" s="26"/>
      <c r="D814" s="104"/>
      <c r="E814" s="24"/>
      <c r="F814" s="24"/>
      <c r="G814" s="24"/>
      <c r="H814" s="24"/>
      <c r="K814" s="27"/>
      <c r="S814" s="24"/>
    </row>
    <row r="815" spans="1:19" ht="15.75" customHeight="1" x14ac:dyDescent="0.25">
      <c r="A815" s="24"/>
      <c r="C815" s="26"/>
      <c r="D815" s="104"/>
      <c r="E815" s="24"/>
      <c r="F815" s="24"/>
      <c r="G815" s="24"/>
      <c r="H815" s="24"/>
      <c r="K815" s="27"/>
      <c r="S815" s="24"/>
    </row>
    <row r="816" spans="1:19" ht="15.75" customHeight="1" x14ac:dyDescent="0.25">
      <c r="A816" s="24"/>
      <c r="C816" s="26"/>
      <c r="D816" s="104"/>
      <c r="E816" s="24"/>
      <c r="F816" s="24"/>
      <c r="G816" s="24"/>
      <c r="H816" s="24"/>
      <c r="K816" s="27"/>
      <c r="S816" s="24"/>
    </row>
    <row r="817" spans="1:19" ht="15.75" customHeight="1" x14ac:dyDescent="0.25">
      <c r="A817" s="24"/>
      <c r="C817" s="26"/>
      <c r="D817" s="104"/>
      <c r="E817" s="24"/>
      <c r="F817" s="24"/>
      <c r="G817" s="24"/>
      <c r="H817" s="24"/>
      <c r="K817" s="27"/>
      <c r="S817" s="24"/>
    </row>
    <row r="818" spans="1:19" ht="15.75" customHeight="1" x14ac:dyDescent="0.25">
      <c r="A818" s="24"/>
      <c r="C818" s="26"/>
      <c r="D818" s="104"/>
      <c r="E818" s="24"/>
      <c r="F818" s="24"/>
      <c r="G818" s="24"/>
      <c r="H818" s="24"/>
      <c r="K818" s="27"/>
      <c r="S818" s="24"/>
    </row>
    <row r="819" spans="1:19" ht="15.75" customHeight="1" x14ac:dyDescent="0.25">
      <c r="A819" s="24"/>
      <c r="C819" s="26"/>
      <c r="D819" s="104"/>
      <c r="E819" s="24"/>
      <c r="F819" s="24"/>
      <c r="G819" s="24"/>
      <c r="H819" s="24"/>
      <c r="K819" s="27"/>
      <c r="S819" s="24"/>
    </row>
    <row r="820" spans="1:19" ht="15.75" customHeight="1" x14ac:dyDescent="0.25">
      <c r="A820" s="24"/>
      <c r="C820" s="26"/>
      <c r="D820" s="104"/>
      <c r="E820" s="24"/>
      <c r="F820" s="24"/>
      <c r="G820" s="24"/>
      <c r="H820" s="24"/>
      <c r="K820" s="27"/>
      <c r="S820" s="24"/>
    </row>
    <row r="821" spans="1:19" ht="15.75" customHeight="1" x14ac:dyDescent="0.25">
      <c r="A821" s="24"/>
      <c r="C821" s="26"/>
      <c r="D821" s="104"/>
      <c r="E821" s="24"/>
      <c r="F821" s="24"/>
      <c r="G821" s="24"/>
      <c r="H821" s="24"/>
      <c r="K821" s="27"/>
      <c r="S821" s="24"/>
    </row>
    <row r="822" spans="1:19" ht="15.75" customHeight="1" x14ac:dyDescent="0.25">
      <c r="A822" s="24"/>
      <c r="C822" s="26"/>
      <c r="D822" s="104"/>
      <c r="E822" s="24"/>
      <c r="F822" s="24"/>
      <c r="G822" s="24"/>
      <c r="H822" s="24"/>
      <c r="K822" s="27"/>
      <c r="S822" s="24"/>
    </row>
    <row r="823" spans="1:19" ht="15.75" customHeight="1" x14ac:dyDescent="0.25">
      <c r="A823" s="24"/>
      <c r="C823" s="26"/>
      <c r="D823" s="104"/>
      <c r="E823" s="24"/>
      <c r="F823" s="24"/>
      <c r="G823" s="24"/>
      <c r="H823" s="24"/>
      <c r="K823" s="27"/>
      <c r="S823" s="24"/>
    </row>
    <row r="824" spans="1:19" ht="15.75" customHeight="1" x14ac:dyDescent="0.25">
      <c r="A824" s="24"/>
      <c r="C824" s="26"/>
      <c r="D824" s="104"/>
      <c r="E824" s="24"/>
      <c r="F824" s="24"/>
      <c r="G824" s="24"/>
      <c r="H824" s="24"/>
      <c r="K824" s="27"/>
      <c r="S824" s="24"/>
    </row>
    <row r="825" spans="1:19" ht="15.75" customHeight="1" x14ac:dyDescent="0.25">
      <c r="A825" s="24"/>
      <c r="C825" s="26"/>
      <c r="D825" s="104"/>
      <c r="E825" s="24"/>
      <c r="F825" s="24"/>
      <c r="G825" s="24"/>
      <c r="H825" s="24"/>
      <c r="K825" s="27"/>
      <c r="S825" s="24"/>
    </row>
    <row r="826" spans="1:19" ht="15.75" customHeight="1" x14ac:dyDescent="0.25">
      <c r="A826" s="24"/>
      <c r="C826" s="26"/>
      <c r="D826" s="104"/>
      <c r="E826" s="24"/>
      <c r="F826" s="24"/>
      <c r="G826" s="24"/>
      <c r="H826" s="24"/>
      <c r="K826" s="27"/>
      <c r="S826" s="24"/>
    </row>
    <row r="827" spans="1:19" ht="15.75" customHeight="1" x14ac:dyDescent="0.25">
      <c r="A827" s="24"/>
      <c r="C827" s="26"/>
      <c r="D827" s="104"/>
      <c r="E827" s="24"/>
      <c r="F827" s="24"/>
      <c r="G827" s="24"/>
      <c r="H827" s="24"/>
      <c r="K827" s="27"/>
      <c r="S827" s="24"/>
    </row>
    <row r="828" spans="1:19" ht="15.75" customHeight="1" x14ac:dyDescent="0.25">
      <c r="A828" s="24"/>
      <c r="C828" s="26"/>
      <c r="D828" s="104"/>
      <c r="E828" s="24"/>
      <c r="F828" s="24"/>
      <c r="G828" s="24"/>
      <c r="H828" s="24"/>
      <c r="K828" s="27"/>
      <c r="S828" s="24"/>
    </row>
    <row r="829" spans="1:19" ht="15.75" customHeight="1" x14ac:dyDescent="0.25">
      <c r="A829" s="24"/>
      <c r="C829" s="26"/>
      <c r="D829" s="104"/>
      <c r="E829" s="24"/>
      <c r="F829" s="24"/>
      <c r="G829" s="24"/>
      <c r="H829" s="24"/>
      <c r="K829" s="27"/>
      <c r="S829" s="24"/>
    </row>
    <row r="830" spans="1:19" ht="15.75" customHeight="1" x14ac:dyDescent="0.25">
      <c r="A830" s="24"/>
      <c r="C830" s="26"/>
      <c r="D830" s="104"/>
      <c r="E830" s="24"/>
      <c r="F830" s="24"/>
      <c r="G830" s="24"/>
      <c r="H830" s="24"/>
      <c r="K830" s="27"/>
      <c r="S830" s="24"/>
    </row>
    <row r="831" spans="1:19" ht="15.75" customHeight="1" x14ac:dyDescent="0.25">
      <c r="A831" s="24"/>
      <c r="C831" s="26"/>
      <c r="D831" s="104"/>
      <c r="E831" s="24"/>
      <c r="F831" s="24"/>
      <c r="G831" s="24"/>
      <c r="H831" s="24"/>
      <c r="K831" s="27"/>
      <c r="S831" s="24"/>
    </row>
    <row r="832" spans="1:19" ht="15.75" customHeight="1" x14ac:dyDescent="0.25">
      <c r="A832" s="24"/>
      <c r="C832" s="26"/>
      <c r="D832" s="104"/>
      <c r="E832" s="24"/>
      <c r="F832" s="24"/>
      <c r="G832" s="24"/>
      <c r="H832" s="24"/>
      <c r="K832" s="27"/>
      <c r="S832" s="24"/>
    </row>
    <row r="833" spans="1:19" ht="15.75" customHeight="1" x14ac:dyDescent="0.25">
      <c r="A833" s="24"/>
      <c r="C833" s="26"/>
      <c r="D833" s="104"/>
      <c r="E833" s="24"/>
      <c r="F833" s="24"/>
      <c r="G833" s="24"/>
      <c r="H833" s="24"/>
      <c r="K833" s="27"/>
      <c r="S833" s="24"/>
    </row>
    <row r="834" spans="1:19" ht="15.75" customHeight="1" x14ac:dyDescent="0.25">
      <c r="A834" s="24"/>
      <c r="C834" s="26"/>
      <c r="D834" s="104"/>
      <c r="E834" s="24"/>
      <c r="F834" s="24"/>
      <c r="G834" s="24"/>
      <c r="H834" s="24"/>
      <c r="K834" s="27"/>
      <c r="S834" s="24"/>
    </row>
    <row r="835" spans="1:19" ht="15.75" customHeight="1" x14ac:dyDescent="0.25">
      <c r="A835" s="24"/>
      <c r="C835" s="26"/>
      <c r="D835" s="104"/>
      <c r="E835" s="24"/>
      <c r="F835" s="24"/>
      <c r="G835" s="24"/>
      <c r="H835" s="24"/>
      <c r="K835" s="27"/>
      <c r="S835" s="24"/>
    </row>
    <row r="836" spans="1:19" ht="15.75" customHeight="1" x14ac:dyDescent="0.25">
      <c r="A836" s="24"/>
      <c r="C836" s="26"/>
      <c r="D836" s="104"/>
      <c r="E836" s="24"/>
      <c r="F836" s="24"/>
      <c r="G836" s="24"/>
      <c r="H836" s="24"/>
      <c r="K836" s="27"/>
      <c r="S836" s="24"/>
    </row>
    <row r="837" spans="1:19" ht="15.75" customHeight="1" x14ac:dyDescent="0.25">
      <c r="A837" s="24"/>
      <c r="C837" s="26"/>
      <c r="D837" s="104"/>
      <c r="E837" s="24"/>
      <c r="F837" s="24"/>
      <c r="G837" s="24"/>
      <c r="H837" s="24"/>
      <c r="K837" s="27"/>
      <c r="S837" s="24"/>
    </row>
    <row r="838" spans="1:19" ht="15.75" customHeight="1" x14ac:dyDescent="0.25">
      <c r="A838" s="24"/>
      <c r="C838" s="26"/>
      <c r="D838" s="104"/>
      <c r="E838" s="24"/>
      <c r="F838" s="24"/>
      <c r="G838" s="24"/>
      <c r="H838" s="24"/>
      <c r="K838" s="27"/>
      <c r="S838" s="24"/>
    </row>
    <row r="839" spans="1:19" ht="15.75" customHeight="1" x14ac:dyDescent="0.25">
      <c r="A839" s="24"/>
      <c r="C839" s="26"/>
      <c r="D839" s="104"/>
      <c r="E839" s="24"/>
      <c r="F839" s="24"/>
      <c r="G839" s="24"/>
      <c r="H839" s="24"/>
      <c r="K839" s="27"/>
      <c r="S839" s="24"/>
    </row>
    <row r="840" spans="1:19" ht="15.75" customHeight="1" x14ac:dyDescent="0.25">
      <c r="A840" s="24"/>
      <c r="C840" s="26"/>
      <c r="D840" s="104"/>
      <c r="E840" s="24"/>
      <c r="F840" s="24"/>
      <c r="G840" s="24"/>
      <c r="H840" s="24"/>
      <c r="K840" s="27"/>
      <c r="S840" s="24"/>
    </row>
    <row r="841" spans="1:19" ht="15.75" customHeight="1" x14ac:dyDescent="0.25">
      <c r="A841" s="24"/>
      <c r="C841" s="26"/>
      <c r="D841" s="104"/>
      <c r="E841" s="24"/>
      <c r="F841" s="24"/>
      <c r="G841" s="24"/>
      <c r="H841" s="24"/>
      <c r="K841" s="27"/>
      <c r="S841" s="24"/>
    </row>
    <row r="842" spans="1:19" ht="15.75" customHeight="1" x14ac:dyDescent="0.25">
      <c r="A842" s="24"/>
      <c r="C842" s="26"/>
      <c r="D842" s="104"/>
      <c r="E842" s="24"/>
      <c r="F842" s="24"/>
      <c r="G842" s="24"/>
      <c r="H842" s="24"/>
      <c r="K842" s="27"/>
      <c r="S842" s="24"/>
    </row>
    <row r="843" spans="1:19" ht="15.75" customHeight="1" x14ac:dyDescent="0.25">
      <c r="A843" s="24"/>
      <c r="C843" s="26"/>
      <c r="D843" s="104"/>
      <c r="E843" s="24"/>
      <c r="F843" s="24"/>
      <c r="G843" s="24"/>
      <c r="H843" s="24"/>
      <c r="K843" s="27"/>
      <c r="S843" s="24"/>
    </row>
    <row r="844" spans="1:19" ht="15.75" customHeight="1" x14ac:dyDescent="0.25">
      <c r="A844" s="24"/>
      <c r="C844" s="26"/>
      <c r="D844" s="104"/>
      <c r="E844" s="24"/>
      <c r="F844" s="24"/>
      <c r="G844" s="24"/>
      <c r="H844" s="24"/>
      <c r="K844" s="27"/>
      <c r="S844" s="24"/>
    </row>
    <row r="845" spans="1:19" ht="15.75" customHeight="1" x14ac:dyDescent="0.25">
      <c r="A845" s="24"/>
      <c r="C845" s="26"/>
      <c r="D845" s="104"/>
      <c r="E845" s="24"/>
      <c r="F845" s="24"/>
      <c r="G845" s="24"/>
      <c r="H845" s="24"/>
      <c r="K845" s="27"/>
      <c r="S845" s="24"/>
    </row>
    <row r="846" spans="1:19" ht="15.75" customHeight="1" x14ac:dyDescent="0.25">
      <c r="A846" s="24"/>
      <c r="C846" s="26"/>
      <c r="D846" s="104"/>
      <c r="E846" s="24"/>
      <c r="F846" s="24"/>
      <c r="G846" s="24"/>
      <c r="H846" s="24"/>
      <c r="K846" s="27"/>
      <c r="S846" s="24"/>
    </row>
    <row r="847" spans="1:19" ht="15.75" customHeight="1" x14ac:dyDescent="0.25">
      <c r="A847" s="24"/>
      <c r="C847" s="26"/>
      <c r="D847" s="104"/>
      <c r="E847" s="24"/>
      <c r="F847" s="24"/>
      <c r="G847" s="24"/>
      <c r="H847" s="24"/>
      <c r="K847" s="27"/>
      <c r="S847" s="24"/>
    </row>
    <row r="848" spans="1:19" ht="15.75" customHeight="1" x14ac:dyDescent="0.25">
      <c r="A848" s="24"/>
      <c r="C848" s="26"/>
      <c r="D848" s="104"/>
      <c r="E848" s="24"/>
      <c r="F848" s="24"/>
      <c r="G848" s="24"/>
      <c r="H848" s="24"/>
      <c r="K848" s="27"/>
      <c r="S848" s="24"/>
    </row>
    <row r="849" spans="1:19" ht="15.75" customHeight="1" x14ac:dyDescent="0.25">
      <c r="A849" s="24"/>
      <c r="C849" s="26"/>
      <c r="D849" s="104"/>
      <c r="E849" s="24"/>
      <c r="F849" s="24"/>
      <c r="G849" s="24"/>
      <c r="H849" s="24"/>
      <c r="K849" s="27"/>
      <c r="S849" s="24"/>
    </row>
    <row r="850" spans="1:19" ht="15.75" customHeight="1" x14ac:dyDescent="0.25">
      <c r="A850" s="24"/>
      <c r="C850" s="26"/>
      <c r="D850" s="104"/>
      <c r="E850" s="24"/>
      <c r="F850" s="24"/>
      <c r="G850" s="24"/>
      <c r="H850" s="24"/>
      <c r="K850" s="27"/>
      <c r="S850" s="24"/>
    </row>
    <row r="851" spans="1:19" ht="15.75" customHeight="1" x14ac:dyDescent="0.25">
      <c r="A851" s="24"/>
      <c r="C851" s="26"/>
      <c r="D851" s="104"/>
      <c r="E851" s="24"/>
      <c r="F851" s="24"/>
      <c r="G851" s="24"/>
      <c r="H851" s="24"/>
      <c r="K851" s="27"/>
      <c r="S851" s="24"/>
    </row>
    <row r="852" spans="1:19" ht="15.75" customHeight="1" x14ac:dyDescent="0.25">
      <c r="A852" s="24"/>
      <c r="C852" s="26"/>
      <c r="D852" s="104"/>
      <c r="E852" s="24"/>
      <c r="F852" s="24"/>
      <c r="G852" s="24"/>
      <c r="H852" s="24"/>
      <c r="K852" s="27"/>
      <c r="S852" s="24"/>
    </row>
    <row r="853" spans="1:19" ht="15.75" customHeight="1" x14ac:dyDescent="0.25">
      <c r="A853" s="24"/>
      <c r="C853" s="26"/>
      <c r="D853" s="104"/>
      <c r="E853" s="24"/>
      <c r="F853" s="24"/>
      <c r="G853" s="24"/>
      <c r="H853" s="24"/>
      <c r="K853" s="27"/>
      <c r="S853" s="24"/>
    </row>
    <row r="854" spans="1:19" ht="15.75" customHeight="1" x14ac:dyDescent="0.25">
      <c r="A854" s="24"/>
      <c r="C854" s="26"/>
      <c r="D854" s="104"/>
      <c r="E854" s="24"/>
      <c r="F854" s="24"/>
      <c r="G854" s="24"/>
      <c r="H854" s="24"/>
      <c r="K854" s="27"/>
      <c r="S854" s="24"/>
    </row>
    <row r="855" spans="1:19" ht="15.75" customHeight="1" x14ac:dyDescent="0.25">
      <c r="A855" s="24"/>
      <c r="C855" s="26"/>
      <c r="D855" s="104"/>
      <c r="E855" s="24"/>
      <c r="F855" s="24"/>
      <c r="G855" s="24"/>
      <c r="H855" s="24"/>
      <c r="K855" s="27"/>
      <c r="S855" s="24"/>
    </row>
    <row r="856" spans="1:19" ht="15.75" customHeight="1" x14ac:dyDescent="0.25">
      <c r="A856" s="24"/>
      <c r="C856" s="26"/>
      <c r="D856" s="104"/>
      <c r="E856" s="24"/>
      <c r="F856" s="24"/>
      <c r="G856" s="24"/>
      <c r="H856" s="24"/>
      <c r="K856" s="27"/>
      <c r="S856" s="24"/>
    </row>
    <row r="857" spans="1:19" ht="15.75" customHeight="1" x14ac:dyDescent="0.25">
      <c r="A857" s="24"/>
      <c r="C857" s="26"/>
      <c r="D857" s="104"/>
      <c r="E857" s="24"/>
      <c r="F857" s="24"/>
      <c r="G857" s="24"/>
      <c r="H857" s="24"/>
      <c r="K857" s="27"/>
      <c r="S857" s="24"/>
    </row>
    <row r="858" spans="1:19" ht="15.75" customHeight="1" x14ac:dyDescent="0.25">
      <c r="A858" s="24"/>
      <c r="C858" s="26"/>
      <c r="D858" s="104"/>
      <c r="E858" s="24"/>
      <c r="F858" s="24"/>
      <c r="G858" s="24"/>
      <c r="H858" s="24"/>
      <c r="K858" s="27"/>
      <c r="S858" s="24"/>
    </row>
    <row r="859" spans="1:19" ht="15.75" customHeight="1" x14ac:dyDescent="0.25">
      <c r="A859" s="24"/>
      <c r="C859" s="26"/>
      <c r="D859" s="104"/>
      <c r="E859" s="24"/>
      <c r="F859" s="24"/>
      <c r="G859" s="24"/>
      <c r="H859" s="24"/>
      <c r="K859" s="27"/>
      <c r="S859" s="24"/>
    </row>
    <row r="860" spans="1:19" ht="15.75" customHeight="1" x14ac:dyDescent="0.25">
      <c r="A860" s="24"/>
      <c r="C860" s="26"/>
      <c r="D860" s="104"/>
      <c r="E860" s="24"/>
      <c r="F860" s="24"/>
      <c r="G860" s="24"/>
      <c r="H860" s="24"/>
      <c r="K860" s="27"/>
      <c r="S860" s="24"/>
    </row>
    <row r="861" spans="1:19" ht="15.75" customHeight="1" x14ac:dyDescent="0.25">
      <c r="A861" s="24"/>
      <c r="C861" s="26"/>
      <c r="D861" s="104"/>
      <c r="E861" s="24"/>
      <c r="F861" s="24"/>
      <c r="G861" s="24"/>
      <c r="H861" s="24"/>
      <c r="K861" s="27"/>
      <c r="S861" s="24"/>
    </row>
    <row r="862" spans="1:19" ht="15.75" customHeight="1" x14ac:dyDescent="0.25">
      <c r="A862" s="24"/>
      <c r="C862" s="26"/>
      <c r="D862" s="104"/>
      <c r="E862" s="24"/>
      <c r="F862" s="24"/>
      <c r="G862" s="24"/>
      <c r="H862" s="24"/>
      <c r="K862" s="27"/>
      <c r="S862" s="24"/>
    </row>
    <row r="863" spans="1:19" ht="15.75" customHeight="1" x14ac:dyDescent="0.25">
      <c r="A863" s="24"/>
      <c r="C863" s="26"/>
      <c r="D863" s="104"/>
      <c r="E863" s="24"/>
      <c r="F863" s="24"/>
      <c r="G863" s="24"/>
      <c r="H863" s="24"/>
      <c r="K863" s="27"/>
      <c r="S863" s="24"/>
    </row>
    <row r="864" spans="1:19" ht="15.75" customHeight="1" x14ac:dyDescent="0.25">
      <c r="A864" s="24"/>
      <c r="C864" s="26"/>
      <c r="D864" s="104"/>
      <c r="E864" s="24"/>
      <c r="F864" s="24"/>
      <c r="G864" s="24"/>
      <c r="H864" s="24"/>
      <c r="K864" s="27"/>
      <c r="S864" s="24"/>
    </row>
    <row r="865" spans="1:19" ht="15.75" customHeight="1" x14ac:dyDescent="0.25">
      <c r="A865" s="24"/>
      <c r="C865" s="26"/>
      <c r="D865" s="104"/>
      <c r="E865" s="24"/>
      <c r="F865" s="24"/>
      <c r="G865" s="24"/>
      <c r="H865" s="24"/>
      <c r="K865" s="27"/>
      <c r="S865" s="24"/>
    </row>
    <row r="866" spans="1:19" ht="15.75" customHeight="1" x14ac:dyDescent="0.25">
      <c r="A866" s="24"/>
      <c r="C866" s="26"/>
      <c r="D866" s="104"/>
      <c r="E866" s="24"/>
      <c r="F866" s="24"/>
      <c r="G866" s="24"/>
      <c r="H866" s="24"/>
      <c r="K866" s="27"/>
      <c r="S866" s="24"/>
    </row>
    <row r="867" spans="1:19" ht="15.75" customHeight="1" x14ac:dyDescent="0.25">
      <c r="A867" s="24"/>
      <c r="C867" s="26"/>
      <c r="D867" s="104"/>
      <c r="E867" s="24"/>
      <c r="F867" s="24"/>
      <c r="G867" s="24"/>
      <c r="H867" s="24"/>
      <c r="K867" s="27"/>
      <c r="S867" s="24"/>
    </row>
    <row r="868" spans="1:19" ht="15.75" customHeight="1" x14ac:dyDescent="0.25">
      <c r="A868" s="24"/>
      <c r="C868" s="26"/>
      <c r="D868" s="104"/>
      <c r="E868" s="24"/>
      <c r="F868" s="24"/>
      <c r="G868" s="24"/>
      <c r="H868" s="24"/>
      <c r="K868" s="27"/>
      <c r="S868" s="24"/>
    </row>
    <row r="869" spans="1:19" ht="15.75" customHeight="1" x14ac:dyDescent="0.25">
      <c r="A869" s="24"/>
      <c r="C869" s="26"/>
      <c r="D869" s="104"/>
      <c r="E869" s="24"/>
      <c r="F869" s="24"/>
      <c r="G869" s="24"/>
      <c r="H869" s="24"/>
      <c r="K869" s="27"/>
      <c r="S869" s="24"/>
    </row>
    <row r="870" spans="1:19" ht="15.75" customHeight="1" x14ac:dyDescent="0.25">
      <c r="A870" s="24"/>
      <c r="C870" s="26"/>
      <c r="D870" s="104"/>
      <c r="E870" s="24"/>
      <c r="F870" s="24"/>
      <c r="G870" s="24"/>
      <c r="H870" s="24"/>
      <c r="K870" s="27"/>
      <c r="S870" s="24"/>
    </row>
    <row r="871" spans="1:19" ht="15.75" customHeight="1" x14ac:dyDescent="0.25">
      <c r="A871" s="24"/>
      <c r="C871" s="26"/>
      <c r="D871" s="104"/>
      <c r="E871" s="24"/>
      <c r="F871" s="24"/>
      <c r="G871" s="24"/>
      <c r="H871" s="24"/>
      <c r="K871" s="27"/>
      <c r="S871" s="24"/>
    </row>
    <row r="872" spans="1:19" ht="15.75" customHeight="1" x14ac:dyDescent="0.25">
      <c r="A872" s="24"/>
      <c r="C872" s="26"/>
      <c r="D872" s="104"/>
      <c r="E872" s="24"/>
      <c r="F872" s="24"/>
      <c r="G872" s="24"/>
      <c r="H872" s="24"/>
      <c r="K872" s="27"/>
      <c r="S872" s="24"/>
    </row>
    <row r="873" spans="1:19" ht="15.75" customHeight="1" x14ac:dyDescent="0.25">
      <c r="A873" s="24"/>
      <c r="C873" s="26"/>
      <c r="D873" s="104"/>
      <c r="E873" s="24"/>
      <c r="F873" s="24"/>
      <c r="G873" s="24"/>
      <c r="H873" s="24"/>
      <c r="K873" s="27"/>
      <c r="S873" s="24"/>
    </row>
    <row r="874" spans="1:19" ht="15.75" customHeight="1" x14ac:dyDescent="0.25">
      <c r="A874" s="24"/>
      <c r="C874" s="26"/>
      <c r="D874" s="104"/>
      <c r="E874" s="24"/>
      <c r="F874" s="24"/>
      <c r="G874" s="24"/>
      <c r="H874" s="24"/>
      <c r="K874" s="27"/>
      <c r="S874" s="24"/>
    </row>
    <row r="875" spans="1:19" ht="15.75" customHeight="1" x14ac:dyDescent="0.25">
      <c r="A875" s="24"/>
      <c r="C875" s="26"/>
      <c r="D875" s="104"/>
      <c r="E875" s="24"/>
      <c r="F875" s="24"/>
      <c r="G875" s="24"/>
      <c r="H875" s="24"/>
      <c r="K875" s="27"/>
      <c r="S875" s="24"/>
    </row>
    <row r="876" spans="1:19" ht="15.75" customHeight="1" x14ac:dyDescent="0.25">
      <c r="A876" s="24"/>
      <c r="C876" s="26"/>
      <c r="D876" s="104"/>
      <c r="E876" s="24"/>
      <c r="F876" s="24"/>
      <c r="G876" s="24"/>
      <c r="H876" s="24"/>
      <c r="K876" s="27"/>
      <c r="S876" s="24"/>
    </row>
    <row r="877" spans="1:19" ht="15.75" customHeight="1" x14ac:dyDescent="0.25">
      <c r="A877" s="24"/>
      <c r="C877" s="26"/>
      <c r="D877" s="104"/>
      <c r="E877" s="24"/>
      <c r="F877" s="24"/>
      <c r="G877" s="24"/>
      <c r="H877" s="24"/>
      <c r="K877" s="27"/>
      <c r="S877" s="24"/>
    </row>
    <row r="878" spans="1:19" ht="15.75" customHeight="1" x14ac:dyDescent="0.25">
      <c r="A878" s="24"/>
      <c r="C878" s="26"/>
      <c r="D878" s="104"/>
      <c r="E878" s="24"/>
      <c r="F878" s="24"/>
      <c r="G878" s="24"/>
      <c r="H878" s="24"/>
      <c r="K878" s="27"/>
      <c r="S878" s="24"/>
    </row>
    <row r="879" spans="1:19" ht="15.75" customHeight="1" x14ac:dyDescent="0.25">
      <c r="A879" s="24"/>
      <c r="C879" s="26"/>
      <c r="D879" s="104"/>
      <c r="E879" s="24"/>
      <c r="F879" s="24"/>
      <c r="G879" s="24"/>
      <c r="H879" s="24"/>
      <c r="K879" s="27"/>
      <c r="S879" s="24"/>
    </row>
    <row r="880" spans="1:19" ht="15.75" customHeight="1" x14ac:dyDescent="0.25">
      <c r="A880" s="24"/>
      <c r="C880" s="26"/>
      <c r="D880" s="104"/>
      <c r="E880" s="24"/>
      <c r="F880" s="24"/>
      <c r="G880" s="24"/>
      <c r="H880" s="24"/>
      <c r="K880" s="27"/>
      <c r="S880" s="24"/>
    </row>
    <row r="881" spans="1:19" ht="15.75" customHeight="1" x14ac:dyDescent="0.25">
      <c r="A881" s="24"/>
      <c r="C881" s="26"/>
      <c r="D881" s="104"/>
      <c r="E881" s="24"/>
      <c r="F881" s="24"/>
      <c r="G881" s="24"/>
      <c r="H881" s="24"/>
      <c r="K881" s="27"/>
      <c r="S881" s="24"/>
    </row>
    <row r="882" spans="1:19" ht="15.75" customHeight="1" x14ac:dyDescent="0.25">
      <c r="A882" s="24"/>
      <c r="C882" s="26"/>
      <c r="D882" s="104"/>
      <c r="E882" s="24"/>
      <c r="F882" s="24"/>
      <c r="G882" s="24"/>
      <c r="H882" s="24"/>
      <c r="K882" s="27"/>
      <c r="S882" s="24"/>
    </row>
    <row r="883" spans="1:19" ht="15.75" customHeight="1" x14ac:dyDescent="0.25">
      <c r="A883" s="24"/>
      <c r="C883" s="26"/>
      <c r="D883" s="104"/>
      <c r="E883" s="24"/>
      <c r="F883" s="24"/>
      <c r="G883" s="24"/>
      <c r="H883" s="24"/>
      <c r="K883" s="27"/>
      <c r="S883" s="24"/>
    </row>
    <row r="884" spans="1:19" ht="15.75" customHeight="1" x14ac:dyDescent="0.25">
      <c r="A884" s="24"/>
      <c r="C884" s="26"/>
      <c r="D884" s="104"/>
      <c r="E884" s="24"/>
      <c r="F884" s="24"/>
      <c r="G884" s="24"/>
      <c r="H884" s="24"/>
      <c r="K884" s="27"/>
      <c r="S884" s="24"/>
    </row>
    <row r="885" spans="1:19" ht="15.75" customHeight="1" x14ac:dyDescent="0.25">
      <c r="A885" s="24"/>
      <c r="C885" s="26"/>
      <c r="D885" s="104"/>
      <c r="E885" s="24"/>
      <c r="F885" s="24"/>
      <c r="G885" s="24"/>
      <c r="H885" s="24"/>
      <c r="K885" s="27"/>
      <c r="S885" s="24"/>
    </row>
    <row r="886" spans="1:19" ht="15.75" customHeight="1" x14ac:dyDescent="0.25">
      <c r="A886" s="24"/>
      <c r="C886" s="26"/>
      <c r="D886" s="104"/>
      <c r="E886" s="24"/>
      <c r="F886" s="24"/>
      <c r="G886" s="24"/>
      <c r="H886" s="24"/>
      <c r="K886" s="27"/>
      <c r="S886" s="24"/>
    </row>
    <row r="887" spans="1:19" ht="15.75" customHeight="1" x14ac:dyDescent="0.25">
      <c r="A887" s="24"/>
      <c r="C887" s="26"/>
      <c r="D887" s="104"/>
      <c r="E887" s="24"/>
      <c r="F887" s="24"/>
      <c r="G887" s="24"/>
      <c r="H887" s="24"/>
      <c r="K887" s="27"/>
      <c r="S887" s="24"/>
    </row>
    <row r="888" spans="1:19" ht="15.75" customHeight="1" x14ac:dyDescent="0.25">
      <c r="A888" s="24"/>
      <c r="C888" s="26"/>
      <c r="D888" s="104"/>
      <c r="E888" s="24"/>
      <c r="F888" s="24"/>
      <c r="G888" s="24"/>
      <c r="H888" s="24"/>
      <c r="K888" s="27"/>
      <c r="S888" s="24"/>
    </row>
    <row r="889" spans="1:19" ht="15.75" customHeight="1" x14ac:dyDescent="0.25">
      <c r="A889" s="24"/>
      <c r="C889" s="26"/>
      <c r="D889" s="104"/>
      <c r="E889" s="24"/>
      <c r="F889" s="24"/>
      <c r="G889" s="24"/>
      <c r="H889" s="24"/>
      <c r="K889" s="27"/>
      <c r="S889" s="24"/>
    </row>
    <row r="890" spans="1:19" ht="15.75" customHeight="1" x14ac:dyDescent="0.25">
      <c r="A890" s="24"/>
      <c r="C890" s="26"/>
      <c r="D890" s="104"/>
      <c r="E890" s="24"/>
      <c r="F890" s="24"/>
      <c r="G890" s="24"/>
      <c r="H890" s="24"/>
      <c r="K890" s="27"/>
      <c r="S890" s="24"/>
    </row>
    <row r="891" spans="1:19" ht="15.75" customHeight="1" x14ac:dyDescent="0.25">
      <c r="A891" s="24"/>
      <c r="C891" s="26"/>
      <c r="D891" s="104"/>
      <c r="E891" s="24"/>
      <c r="F891" s="24"/>
      <c r="G891" s="24"/>
      <c r="H891" s="24"/>
      <c r="K891" s="27"/>
      <c r="S891" s="24"/>
    </row>
    <row r="892" spans="1:19" ht="15.75" customHeight="1" x14ac:dyDescent="0.25">
      <c r="A892" s="24"/>
      <c r="C892" s="26"/>
      <c r="D892" s="104"/>
      <c r="E892" s="24"/>
      <c r="F892" s="24"/>
      <c r="G892" s="24"/>
      <c r="H892" s="24"/>
      <c r="K892" s="27"/>
      <c r="S892" s="24"/>
    </row>
    <row r="893" spans="1:19" ht="15.75" customHeight="1" x14ac:dyDescent="0.25">
      <c r="A893" s="24"/>
      <c r="C893" s="26"/>
      <c r="D893" s="104"/>
      <c r="E893" s="24"/>
      <c r="F893" s="24"/>
      <c r="G893" s="24"/>
      <c r="H893" s="24"/>
      <c r="K893" s="27"/>
      <c r="S893" s="24"/>
    </row>
    <row r="894" spans="1:19" ht="15.75" customHeight="1" x14ac:dyDescent="0.25">
      <c r="A894" s="24"/>
      <c r="C894" s="26"/>
      <c r="D894" s="104"/>
      <c r="E894" s="24"/>
      <c r="F894" s="24"/>
      <c r="G894" s="24"/>
      <c r="H894" s="24"/>
      <c r="K894" s="27"/>
      <c r="S894" s="24"/>
    </row>
    <row r="895" spans="1:19" ht="15.75" customHeight="1" x14ac:dyDescent="0.25">
      <c r="A895" s="24"/>
      <c r="C895" s="26"/>
      <c r="D895" s="104"/>
      <c r="E895" s="24"/>
      <c r="F895" s="24"/>
      <c r="G895" s="24"/>
      <c r="H895" s="24"/>
      <c r="K895" s="27"/>
      <c r="S895" s="24"/>
    </row>
    <row r="896" spans="1:19" ht="15.75" customHeight="1" x14ac:dyDescent="0.25">
      <c r="A896" s="24"/>
      <c r="C896" s="26"/>
      <c r="D896" s="104"/>
      <c r="E896" s="24"/>
      <c r="F896" s="24"/>
      <c r="G896" s="24"/>
      <c r="H896" s="24"/>
      <c r="K896" s="27"/>
      <c r="S896" s="24"/>
    </row>
    <row r="897" spans="1:19" ht="15.75" customHeight="1" x14ac:dyDescent="0.25">
      <c r="A897" s="24"/>
      <c r="C897" s="26"/>
      <c r="D897" s="104"/>
      <c r="E897" s="24"/>
      <c r="F897" s="24"/>
      <c r="G897" s="24"/>
      <c r="H897" s="24"/>
      <c r="K897" s="27"/>
      <c r="S897" s="24"/>
    </row>
    <row r="898" spans="1:19" ht="15.75" customHeight="1" x14ac:dyDescent="0.25">
      <c r="A898" s="24"/>
      <c r="C898" s="26"/>
      <c r="D898" s="104"/>
      <c r="E898" s="24"/>
      <c r="F898" s="24"/>
      <c r="G898" s="24"/>
      <c r="H898" s="24"/>
      <c r="K898" s="27"/>
      <c r="S898" s="24"/>
    </row>
    <row r="899" spans="1:19" ht="15.75" customHeight="1" x14ac:dyDescent="0.25">
      <c r="A899" s="24"/>
      <c r="C899" s="26"/>
      <c r="D899" s="104"/>
      <c r="E899" s="24"/>
      <c r="F899" s="24"/>
      <c r="G899" s="24"/>
      <c r="H899" s="24"/>
      <c r="K899" s="27"/>
      <c r="S899" s="24"/>
    </row>
    <row r="900" spans="1:19" ht="15.75" customHeight="1" x14ac:dyDescent="0.25">
      <c r="A900" s="24"/>
      <c r="C900" s="26"/>
      <c r="D900" s="104"/>
      <c r="E900" s="24"/>
      <c r="F900" s="24"/>
      <c r="G900" s="24"/>
      <c r="H900" s="24"/>
      <c r="K900" s="27"/>
      <c r="S900" s="24"/>
    </row>
    <row r="901" spans="1:19" ht="15.75" customHeight="1" x14ac:dyDescent="0.25">
      <c r="A901" s="24"/>
      <c r="C901" s="26"/>
      <c r="D901" s="104"/>
      <c r="E901" s="24"/>
      <c r="F901" s="24"/>
      <c r="G901" s="24"/>
      <c r="H901" s="24"/>
      <c r="K901" s="27"/>
      <c r="S901" s="24"/>
    </row>
    <row r="902" spans="1:19" ht="15.75" customHeight="1" x14ac:dyDescent="0.25">
      <c r="A902" s="24"/>
      <c r="C902" s="26"/>
      <c r="D902" s="104"/>
      <c r="E902" s="24"/>
      <c r="F902" s="24"/>
      <c r="G902" s="24"/>
      <c r="H902" s="24"/>
      <c r="K902" s="27"/>
      <c r="S902" s="24"/>
    </row>
    <row r="903" spans="1:19" ht="15.75" customHeight="1" x14ac:dyDescent="0.25">
      <c r="A903" s="24"/>
      <c r="C903" s="26"/>
      <c r="D903" s="104"/>
      <c r="E903" s="24"/>
      <c r="F903" s="24"/>
      <c r="G903" s="24"/>
      <c r="H903" s="24"/>
      <c r="K903" s="27"/>
      <c r="S903" s="24"/>
    </row>
    <row r="904" spans="1:19" ht="15.75" customHeight="1" x14ac:dyDescent="0.25">
      <c r="A904" s="24"/>
      <c r="C904" s="26"/>
      <c r="D904" s="104"/>
      <c r="E904" s="24"/>
      <c r="F904" s="24"/>
      <c r="G904" s="24"/>
      <c r="H904" s="24"/>
      <c r="K904" s="27"/>
      <c r="S904" s="24"/>
    </row>
    <row r="905" spans="1:19" ht="15.75" customHeight="1" x14ac:dyDescent="0.25">
      <c r="A905" s="24"/>
      <c r="C905" s="26"/>
      <c r="D905" s="104"/>
      <c r="E905" s="24"/>
      <c r="F905" s="24"/>
      <c r="G905" s="24"/>
      <c r="H905" s="24"/>
      <c r="K905" s="27"/>
      <c r="S905" s="24"/>
    </row>
    <row r="906" spans="1:19" ht="15.75" customHeight="1" x14ac:dyDescent="0.25">
      <c r="A906" s="24"/>
      <c r="C906" s="26"/>
      <c r="D906" s="104"/>
      <c r="E906" s="24"/>
      <c r="F906" s="24"/>
      <c r="G906" s="24"/>
      <c r="H906" s="24"/>
      <c r="K906" s="27"/>
      <c r="S906" s="24"/>
    </row>
    <row r="907" spans="1:19" ht="15.75" customHeight="1" x14ac:dyDescent="0.25">
      <c r="A907" s="24"/>
      <c r="C907" s="26"/>
      <c r="D907" s="104"/>
      <c r="E907" s="24"/>
      <c r="F907" s="24"/>
      <c r="G907" s="24"/>
      <c r="H907" s="24"/>
      <c r="K907" s="27"/>
      <c r="S907" s="24"/>
    </row>
    <row r="908" spans="1:19" ht="15.75" customHeight="1" x14ac:dyDescent="0.25">
      <c r="A908" s="24"/>
      <c r="C908" s="26"/>
      <c r="D908" s="104"/>
      <c r="E908" s="24"/>
      <c r="F908" s="24"/>
      <c r="G908" s="24"/>
      <c r="H908" s="24"/>
      <c r="K908" s="27"/>
      <c r="S908" s="24"/>
    </row>
    <row r="909" spans="1:19" ht="15.75" customHeight="1" x14ac:dyDescent="0.25">
      <c r="A909" s="24"/>
      <c r="C909" s="26"/>
      <c r="D909" s="104"/>
      <c r="E909" s="24"/>
      <c r="F909" s="24"/>
      <c r="G909" s="24"/>
      <c r="H909" s="24"/>
      <c r="K909" s="27"/>
      <c r="S909" s="24"/>
    </row>
    <row r="910" spans="1:19" ht="15.75" customHeight="1" x14ac:dyDescent="0.25">
      <c r="A910" s="24"/>
      <c r="C910" s="26"/>
      <c r="D910" s="104"/>
      <c r="E910" s="24"/>
      <c r="F910" s="24"/>
      <c r="G910" s="24"/>
      <c r="H910" s="24"/>
      <c r="K910" s="27"/>
      <c r="S910" s="24"/>
    </row>
    <row r="911" spans="1:19" ht="15.75" customHeight="1" x14ac:dyDescent="0.25">
      <c r="A911" s="24"/>
      <c r="C911" s="26"/>
      <c r="D911" s="104"/>
      <c r="E911" s="24"/>
      <c r="F911" s="24"/>
      <c r="G911" s="24"/>
      <c r="H911" s="24"/>
      <c r="K911" s="27"/>
      <c r="S911" s="24"/>
    </row>
    <row r="912" spans="1:19" ht="15.75" customHeight="1" x14ac:dyDescent="0.25">
      <c r="A912" s="24"/>
      <c r="C912" s="26"/>
      <c r="D912" s="104"/>
      <c r="E912" s="24"/>
      <c r="F912" s="24"/>
      <c r="G912" s="24"/>
      <c r="H912" s="24"/>
      <c r="K912" s="27"/>
      <c r="S912" s="24"/>
    </row>
    <row r="913" spans="1:19" ht="15.75" customHeight="1" x14ac:dyDescent="0.25">
      <c r="A913" s="24"/>
      <c r="C913" s="26"/>
      <c r="D913" s="104"/>
      <c r="E913" s="24"/>
      <c r="F913" s="24"/>
      <c r="G913" s="24"/>
      <c r="H913" s="24"/>
      <c r="K913" s="27"/>
      <c r="S913" s="24"/>
    </row>
    <row r="914" spans="1:19" ht="15.75" customHeight="1" x14ac:dyDescent="0.25">
      <c r="A914" s="24"/>
      <c r="C914" s="26"/>
      <c r="D914" s="104"/>
      <c r="E914" s="24"/>
      <c r="F914" s="24"/>
      <c r="G914" s="24"/>
      <c r="H914" s="24"/>
      <c r="K914" s="27"/>
      <c r="S914" s="24"/>
    </row>
    <row r="915" spans="1:19" ht="15.75" customHeight="1" x14ac:dyDescent="0.25">
      <c r="A915" s="24"/>
      <c r="C915" s="26"/>
      <c r="D915" s="104"/>
      <c r="E915" s="24"/>
      <c r="F915" s="24"/>
      <c r="G915" s="24"/>
      <c r="H915" s="24"/>
      <c r="K915" s="27"/>
      <c r="S915" s="24"/>
    </row>
    <row r="916" spans="1:19" ht="15.75" customHeight="1" x14ac:dyDescent="0.25">
      <c r="A916" s="24"/>
      <c r="C916" s="26"/>
      <c r="D916" s="104"/>
      <c r="E916" s="24"/>
      <c r="F916" s="24"/>
      <c r="G916" s="24"/>
      <c r="H916" s="24"/>
      <c r="K916" s="27"/>
      <c r="S916" s="24"/>
    </row>
    <row r="917" spans="1:19" ht="15.75" customHeight="1" x14ac:dyDescent="0.25">
      <c r="A917" s="24"/>
      <c r="C917" s="26"/>
      <c r="D917" s="104"/>
      <c r="E917" s="24"/>
      <c r="F917" s="24"/>
      <c r="G917" s="24"/>
      <c r="H917" s="24"/>
      <c r="K917" s="27"/>
      <c r="S917" s="24"/>
    </row>
    <row r="918" spans="1:19" ht="15.75" customHeight="1" x14ac:dyDescent="0.25">
      <c r="A918" s="24"/>
      <c r="C918" s="26"/>
      <c r="D918" s="104"/>
      <c r="E918" s="24"/>
      <c r="F918" s="24"/>
      <c r="G918" s="24"/>
      <c r="H918" s="24"/>
      <c r="K918" s="27"/>
      <c r="S918" s="24"/>
    </row>
    <row r="919" spans="1:19" ht="15.75" customHeight="1" x14ac:dyDescent="0.25">
      <c r="A919" s="24"/>
      <c r="C919" s="26"/>
      <c r="D919" s="104"/>
      <c r="E919" s="24"/>
      <c r="F919" s="24"/>
      <c r="G919" s="24"/>
      <c r="H919" s="24"/>
      <c r="K919" s="27"/>
      <c r="S919" s="24"/>
    </row>
    <row r="920" spans="1:19" ht="15.75" customHeight="1" x14ac:dyDescent="0.25">
      <c r="A920" s="24"/>
      <c r="C920" s="26"/>
      <c r="D920" s="104"/>
      <c r="E920" s="24"/>
      <c r="F920" s="24"/>
      <c r="G920" s="24"/>
      <c r="H920" s="24"/>
      <c r="K920" s="27"/>
      <c r="S920" s="24"/>
    </row>
    <row r="921" spans="1:19" ht="15.75" customHeight="1" x14ac:dyDescent="0.25">
      <c r="A921" s="24"/>
      <c r="C921" s="26"/>
      <c r="D921" s="104"/>
      <c r="E921" s="24"/>
      <c r="F921" s="24"/>
      <c r="G921" s="24"/>
      <c r="H921" s="24"/>
      <c r="K921" s="27"/>
      <c r="S921" s="24"/>
    </row>
    <row r="922" spans="1:19" ht="15.75" customHeight="1" x14ac:dyDescent="0.25">
      <c r="A922" s="24"/>
      <c r="C922" s="26"/>
      <c r="D922" s="104"/>
      <c r="E922" s="24"/>
      <c r="F922" s="24"/>
      <c r="G922" s="24"/>
      <c r="H922" s="24"/>
      <c r="K922" s="27"/>
      <c r="S922" s="24"/>
    </row>
    <row r="923" spans="1:19" ht="15.75" customHeight="1" x14ac:dyDescent="0.25">
      <c r="A923" s="24"/>
      <c r="C923" s="26"/>
      <c r="D923" s="104"/>
      <c r="E923" s="24"/>
      <c r="F923" s="24"/>
      <c r="G923" s="24"/>
      <c r="H923" s="24"/>
      <c r="K923" s="27"/>
      <c r="S923" s="24"/>
    </row>
    <row r="924" spans="1:19" ht="15.75" customHeight="1" x14ac:dyDescent="0.25">
      <c r="A924" s="24"/>
      <c r="C924" s="26"/>
      <c r="D924" s="104"/>
      <c r="E924" s="24"/>
      <c r="F924" s="24"/>
      <c r="G924" s="24"/>
      <c r="H924" s="24"/>
      <c r="K924" s="27"/>
      <c r="S924" s="24"/>
    </row>
    <row r="925" spans="1:19" ht="15.75" customHeight="1" x14ac:dyDescent="0.25">
      <c r="A925" s="24"/>
      <c r="C925" s="26"/>
      <c r="D925" s="104"/>
      <c r="E925" s="24"/>
      <c r="F925" s="24"/>
      <c r="G925" s="24"/>
      <c r="H925" s="24"/>
      <c r="K925" s="27"/>
      <c r="S925" s="24"/>
    </row>
    <row r="926" spans="1:19" ht="15.75" customHeight="1" x14ac:dyDescent="0.25">
      <c r="A926" s="24"/>
      <c r="C926" s="26"/>
      <c r="D926" s="104"/>
      <c r="E926" s="24"/>
      <c r="F926" s="24"/>
      <c r="G926" s="24"/>
      <c r="H926" s="24"/>
      <c r="K926" s="27"/>
      <c r="S926" s="24"/>
    </row>
    <row r="927" spans="1:19" ht="15.75" customHeight="1" x14ac:dyDescent="0.25">
      <c r="A927" s="24"/>
      <c r="C927" s="26"/>
      <c r="D927" s="104"/>
      <c r="E927" s="24"/>
      <c r="F927" s="24"/>
      <c r="G927" s="24"/>
      <c r="H927" s="24"/>
      <c r="K927" s="27"/>
      <c r="S927" s="24"/>
    </row>
    <row r="928" spans="1:19" ht="15.75" customHeight="1" x14ac:dyDescent="0.25">
      <c r="A928" s="24"/>
      <c r="C928" s="26"/>
      <c r="D928" s="104"/>
      <c r="E928" s="24"/>
      <c r="F928" s="24"/>
      <c r="G928" s="24"/>
      <c r="H928" s="24"/>
      <c r="K928" s="27"/>
      <c r="S928" s="24"/>
    </row>
    <row r="929" spans="1:19" ht="15.75" customHeight="1" x14ac:dyDescent="0.25">
      <c r="A929" s="24"/>
      <c r="C929" s="26"/>
      <c r="D929" s="104"/>
      <c r="E929" s="24"/>
      <c r="F929" s="24"/>
      <c r="G929" s="24"/>
      <c r="H929" s="24"/>
      <c r="K929" s="27"/>
      <c r="S929" s="24"/>
    </row>
    <row r="930" spans="1:19" ht="15.75" customHeight="1" x14ac:dyDescent="0.25">
      <c r="A930" s="24"/>
      <c r="C930" s="26"/>
      <c r="D930" s="104"/>
      <c r="E930" s="24"/>
      <c r="F930" s="24"/>
      <c r="G930" s="24"/>
      <c r="H930" s="24"/>
      <c r="K930" s="27"/>
      <c r="S930" s="24"/>
    </row>
    <row r="931" spans="1:19" ht="15.75" customHeight="1" x14ac:dyDescent="0.25">
      <c r="A931" s="24"/>
      <c r="C931" s="26"/>
      <c r="D931" s="104"/>
      <c r="E931" s="24"/>
      <c r="F931" s="24"/>
      <c r="G931" s="24"/>
      <c r="H931" s="24"/>
      <c r="K931" s="27"/>
      <c r="S931" s="24"/>
    </row>
    <row r="932" spans="1:19" ht="15.75" customHeight="1" x14ac:dyDescent="0.25">
      <c r="A932" s="24"/>
      <c r="C932" s="26"/>
      <c r="D932" s="104"/>
      <c r="E932" s="24"/>
      <c r="F932" s="24"/>
      <c r="G932" s="24"/>
      <c r="H932" s="24"/>
      <c r="K932" s="27"/>
      <c r="S932" s="24"/>
    </row>
    <row r="933" spans="1:19" ht="15.75" customHeight="1" x14ac:dyDescent="0.25">
      <c r="A933" s="24"/>
      <c r="C933" s="26"/>
      <c r="D933" s="104"/>
      <c r="E933" s="24"/>
      <c r="F933" s="24"/>
      <c r="G933" s="24"/>
      <c r="H933" s="24"/>
      <c r="K933" s="27"/>
      <c r="S933" s="24"/>
    </row>
    <row r="934" spans="1:19" ht="15.75" customHeight="1" x14ac:dyDescent="0.25">
      <c r="A934" s="24"/>
      <c r="C934" s="26"/>
      <c r="D934" s="104"/>
      <c r="E934" s="24"/>
      <c r="F934" s="24"/>
      <c r="G934" s="24"/>
      <c r="H934" s="24"/>
      <c r="K934" s="27"/>
      <c r="S934" s="24"/>
    </row>
    <row r="935" spans="1:19" ht="15.75" customHeight="1" x14ac:dyDescent="0.25">
      <c r="A935" s="24"/>
      <c r="C935" s="26"/>
      <c r="D935" s="104"/>
      <c r="E935" s="24"/>
      <c r="F935" s="24"/>
      <c r="G935" s="24"/>
      <c r="H935" s="24"/>
      <c r="K935" s="27"/>
      <c r="S935" s="24"/>
    </row>
    <row r="936" spans="1:19" ht="15.75" customHeight="1" x14ac:dyDescent="0.25">
      <c r="A936" s="24"/>
      <c r="C936" s="26"/>
      <c r="D936" s="104"/>
      <c r="E936" s="24"/>
      <c r="F936" s="24"/>
      <c r="G936" s="24"/>
      <c r="H936" s="24"/>
      <c r="K936" s="27"/>
      <c r="S936" s="24"/>
    </row>
    <row r="937" spans="1:19" ht="15.75" customHeight="1" x14ac:dyDescent="0.25">
      <c r="A937" s="24"/>
      <c r="C937" s="26"/>
      <c r="D937" s="104"/>
      <c r="E937" s="24"/>
      <c r="F937" s="24"/>
      <c r="G937" s="24"/>
      <c r="H937" s="24"/>
      <c r="K937" s="27"/>
      <c r="S937" s="24"/>
    </row>
    <row r="938" spans="1:19" ht="15.75" customHeight="1" x14ac:dyDescent="0.25">
      <c r="A938" s="24"/>
      <c r="C938" s="26"/>
      <c r="D938" s="104"/>
      <c r="E938" s="24"/>
      <c r="F938" s="24"/>
      <c r="G938" s="24"/>
      <c r="H938" s="24"/>
      <c r="K938" s="27"/>
      <c r="S938" s="24"/>
    </row>
    <row r="939" spans="1:19" ht="15.75" customHeight="1" x14ac:dyDescent="0.25">
      <c r="A939" s="24"/>
      <c r="C939" s="26"/>
      <c r="D939" s="104"/>
      <c r="E939" s="24"/>
      <c r="F939" s="24"/>
      <c r="G939" s="24"/>
      <c r="H939" s="24"/>
      <c r="K939" s="27"/>
      <c r="S939" s="24"/>
    </row>
    <row r="940" spans="1:19" ht="15.75" customHeight="1" x14ac:dyDescent="0.25">
      <c r="A940" s="24"/>
      <c r="C940" s="26"/>
      <c r="D940" s="104"/>
      <c r="E940" s="24"/>
      <c r="F940" s="24"/>
      <c r="G940" s="24"/>
      <c r="H940" s="24"/>
      <c r="K940" s="27"/>
      <c r="S940" s="24"/>
    </row>
    <row r="941" spans="1:19" ht="15.75" customHeight="1" x14ac:dyDescent="0.25">
      <c r="A941" s="24"/>
      <c r="C941" s="26"/>
      <c r="D941" s="104"/>
      <c r="E941" s="24"/>
      <c r="F941" s="24"/>
      <c r="G941" s="24"/>
      <c r="H941" s="24"/>
      <c r="K941" s="27"/>
      <c r="S941" s="24"/>
    </row>
    <row r="942" spans="1:19" ht="15.75" customHeight="1" x14ac:dyDescent="0.25">
      <c r="A942" s="24"/>
      <c r="C942" s="26"/>
      <c r="D942" s="104"/>
      <c r="E942" s="24"/>
      <c r="F942" s="24"/>
      <c r="G942" s="24"/>
      <c r="H942" s="24"/>
      <c r="K942" s="27"/>
      <c r="S942" s="24"/>
    </row>
    <row r="943" spans="1:19" ht="15.75" customHeight="1" x14ac:dyDescent="0.25">
      <c r="A943" s="24"/>
      <c r="C943" s="26"/>
      <c r="D943" s="104"/>
      <c r="E943" s="24"/>
      <c r="F943" s="24"/>
      <c r="G943" s="24"/>
      <c r="H943" s="24"/>
      <c r="K943" s="27"/>
      <c r="S943" s="24"/>
    </row>
    <row r="944" spans="1:19" ht="15.75" customHeight="1" x14ac:dyDescent="0.25">
      <c r="A944" s="24"/>
      <c r="C944" s="26"/>
      <c r="D944" s="104"/>
      <c r="E944" s="24"/>
      <c r="F944" s="24"/>
      <c r="G944" s="24"/>
      <c r="H944" s="24"/>
      <c r="K944" s="27"/>
      <c r="S944" s="24"/>
    </row>
    <row r="945" spans="1:19" ht="15.75" customHeight="1" x14ac:dyDescent="0.25">
      <c r="A945" s="24"/>
      <c r="C945" s="26"/>
      <c r="D945" s="104"/>
      <c r="E945" s="24"/>
      <c r="F945" s="24"/>
      <c r="G945" s="24"/>
      <c r="H945" s="24"/>
      <c r="K945" s="27"/>
      <c r="S945" s="24"/>
    </row>
    <row r="946" spans="1:19" ht="15.75" customHeight="1" x14ac:dyDescent="0.25">
      <c r="A946" s="24"/>
      <c r="C946" s="26"/>
      <c r="D946" s="104"/>
      <c r="E946" s="24"/>
      <c r="F946" s="24"/>
      <c r="G946" s="24"/>
      <c r="H946" s="24"/>
      <c r="K946" s="27"/>
      <c r="S946" s="24"/>
    </row>
    <row r="947" spans="1:19" ht="15.75" customHeight="1" x14ac:dyDescent="0.25">
      <c r="A947" s="24"/>
      <c r="C947" s="26"/>
      <c r="D947" s="104"/>
      <c r="E947" s="24"/>
      <c r="F947" s="24"/>
      <c r="G947" s="24"/>
      <c r="H947" s="24"/>
      <c r="K947" s="27"/>
      <c r="S947" s="24"/>
    </row>
    <row r="948" spans="1:19" ht="15.75" customHeight="1" x14ac:dyDescent="0.25">
      <c r="A948" s="24"/>
      <c r="C948" s="26"/>
      <c r="D948" s="104"/>
      <c r="E948" s="24"/>
      <c r="F948" s="24"/>
      <c r="G948" s="24"/>
      <c r="H948" s="24"/>
      <c r="K948" s="27"/>
      <c r="S948" s="24"/>
    </row>
    <row r="949" spans="1:19" ht="15.75" customHeight="1" x14ac:dyDescent="0.25">
      <c r="A949" s="24"/>
      <c r="C949" s="26"/>
      <c r="D949" s="104"/>
      <c r="E949" s="24"/>
      <c r="F949" s="24"/>
      <c r="G949" s="24"/>
      <c r="H949" s="24"/>
      <c r="K949" s="27"/>
      <c r="S949" s="24"/>
    </row>
    <row r="950" spans="1:19" ht="15.75" customHeight="1" x14ac:dyDescent="0.25">
      <c r="A950" s="24"/>
      <c r="C950" s="26"/>
      <c r="D950" s="104"/>
      <c r="E950" s="24"/>
      <c r="F950" s="24"/>
      <c r="G950" s="24"/>
      <c r="H950" s="24"/>
      <c r="K950" s="27"/>
      <c r="S950" s="24"/>
    </row>
    <row r="951" spans="1:19" ht="15.75" customHeight="1" x14ac:dyDescent="0.25">
      <c r="A951" s="24"/>
      <c r="C951" s="26"/>
      <c r="D951" s="104"/>
      <c r="E951" s="24"/>
      <c r="F951" s="24"/>
      <c r="G951" s="24"/>
      <c r="H951" s="24"/>
      <c r="K951" s="27"/>
      <c r="S951" s="24"/>
    </row>
    <row r="952" spans="1:19" ht="15.75" customHeight="1" x14ac:dyDescent="0.25">
      <c r="A952" s="24"/>
      <c r="C952" s="26"/>
      <c r="D952" s="104"/>
      <c r="E952" s="24"/>
      <c r="F952" s="24"/>
      <c r="G952" s="24"/>
      <c r="H952" s="24"/>
      <c r="K952" s="27"/>
      <c r="S952" s="24"/>
    </row>
    <row r="953" spans="1:19" ht="15.75" customHeight="1" x14ac:dyDescent="0.25">
      <c r="A953" s="24"/>
      <c r="C953" s="26"/>
      <c r="D953" s="104"/>
      <c r="E953" s="24"/>
      <c r="F953" s="24"/>
      <c r="G953" s="24"/>
      <c r="H953" s="24"/>
      <c r="K953" s="27"/>
      <c r="S953" s="24"/>
    </row>
    <row r="954" spans="1:19" ht="15.75" customHeight="1" x14ac:dyDescent="0.25">
      <c r="A954" s="24"/>
      <c r="C954" s="26"/>
      <c r="D954" s="104"/>
      <c r="E954" s="24"/>
      <c r="F954" s="24"/>
      <c r="G954" s="24"/>
      <c r="H954" s="24"/>
      <c r="K954" s="27"/>
      <c r="S954" s="24"/>
    </row>
    <row r="955" spans="1:19" ht="15.75" customHeight="1" x14ac:dyDescent="0.25">
      <c r="A955" s="24"/>
      <c r="C955" s="26"/>
      <c r="D955" s="104"/>
      <c r="E955" s="24"/>
      <c r="F955" s="24"/>
      <c r="G955" s="24"/>
      <c r="H955" s="24"/>
      <c r="K955" s="27"/>
      <c r="S955" s="24"/>
    </row>
    <row r="956" spans="1:19" ht="15.75" customHeight="1" x14ac:dyDescent="0.25">
      <c r="A956" s="24"/>
      <c r="C956" s="26"/>
      <c r="D956" s="104"/>
      <c r="E956" s="24"/>
      <c r="F956" s="24"/>
      <c r="G956" s="24"/>
      <c r="H956" s="24"/>
      <c r="K956" s="27"/>
      <c r="S956" s="24"/>
    </row>
    <row r="957" spans="1:19" ht="15.75" customHeight="1" x14ac:dyDescent="0.25">
      <c r="A957" s="24"/>
      <c r="C957" s="26"/>
      <c r="D957" s="104"/>
      <c r="E957" s="24"/>
      <c r="F957" s="24"/>
      <c r="G957" s="24"/>
      <c r="H957" s="24"/>
      <c r="K957" s="27"/>
      <c r="S957" s="24"/>
    </row>
    <row r="958" spans="1:19" ht="15.75" customHeight="1" x14ac:dyDescent="0.25">
      <c r="A958" s="24"/>
      <c r="C958" s="26"/>
      <c r="D958" s="104"/>
      <c r="E958" s="24"/>
      <c r="F958" s="24"/>
      <c r="G958" s="24"/>
      <c r="H958" s="24"/>
      <c r="K958" s="27"/>
      <c r="S958" s="24"/>
    </row>
    <row r="959" spans="1:19" ht="15.75" customHeight="1" x14ac:dyDescent="0.25">
      <c r="A959" s="24"/>
      <c r="C959" s="26"/>
      <c r="D959" s="104"/>
      <c r="E959" s="24"/>
      <c r="F959" s="24"/>
      <c r="G959" s="24"/>
      <c r="H959" s="24"/>
      <c r="K959" s="27"/>
      <c r="S959" s="24"/>
    </row>
    <row r="960" spans="1:19" ht="15.75" customHeight="1" x14ac:dyDescent="0.25">
      <c r="A960" s="24"/>
      <c r="C960" s="26"/>
      <c r="D960" s="104"/>
      <c r="E960" s="24"/>
      <c r="F960" s="24"/>
      <c r="G960" s="24"/>
      <c r="H960" s="24"/>
      <c r="K960" s="27"/>
      <c r="S960" s="24"/>
    </row>
    <row r="961" spans="1:19" ht="15.75" customHeight="1" x14ac:dyDescent="0.25">
      <c r="A961" s="24"/>
      <c r="C961" s="26"/>
      <c r="D961" s="104"/>
      <c r="E961" s="24"/>
      <c r="F961" s="24"/>
      <c r="G961" s="24"/>
      <c r="H961" s="24"/>
      <c r="K961" s="27"/>
      <c r="S961" s="24"/>
    </row>
    <row r="962" spans="1:19" ht="15.75" customHeight="1" x14ac:dyDescent="0.25">
      <c r="A962" s="24"/>
      <c r="C962" s="26"/>
      <c r="D962" s="104"/>
      <c r="E962" s="24"/>
      <c r="F962" s="24"/>
      <c r="G962" s="24"/>
      <c r="H962" s="24"/>
      <c r="K962" s="27"/>
      <c r="S962" s="24"/>
    </row>
    <row r="963" spans="1:19" ht="15.75" customHeight="1" x14ac:dyDescent="0.25">
      <c r="A963" s="24"/>
      <c r="C963" s="26"/>
      <c r="D963" s="104"/>
      <c r="E963" s="24"/>
      <c r="F963" s="24"/>
      <c r="G963" s="24"/>
      <c r="H963" s="24"/>
      <c r="K963" s="27"/>
      <c r="S963" s="24"/>
    </row>
  </sheetData>
  <mergeCells count="63">
    <mergeCell ref="X13:X17"/>
    <mergeCell ref="B13:B17"/>
    <mergeCell ref="C13:C17"/>
    <mergeCell ref="D13:D17"/>
    <mergeCell ref="E13:E17"/>
    <mergeCell ref="F13:F17"/>
    <mergeCell ref="G13:G17"/>
    <mergeCell ref="H13:H17"/>
    <mergeCell ref="I13:I17"/>
    <mergeCell ref="J13:J17"/>
    <mergeCell ref="U13:U17"/>
    <mergeCell ref="V13:V17"/>
    <mergeCell ref="W13:W17"/>
    <mergeCell ref="Q13:Q17"/>
    <mergeCell ref="R13:R17"/>
    <mergeCell ref="S13:S17"/>
    <mergeCell ref="W18:W20"/>
    <mergeCell ref="X18:X20"/>
    <mergeCell ref="A18:A20"/>
    <mergeCell ref="B18:B20"/>
    <mergeCell ref="C18:C20"/>
    <mergeCell ref="D18:D20"/>
    <mergeCell ref="E18:E20"/>
    <mergeCell ref="F18:F20"/>
    <mergeCell ref="G18:G20"/>
    <mergeCell ref="U18:U20"/>
    <mergeCell ref="V18:V20"/>
    <mergeCell ref="H18:H20"/>
    <mergeCell ref="I18:I20"/>
    <mergeCell ref="J18:J20"/>
    <mergeCell ref="Q18:Q20"/>
    <mergeCell ref="R18:R20"/>
    <mergeCell ref="S18:S20"/>
    <mergeCell ref="T18:T20"/>
    <mergeCell ref="A13:A17"/>
    <mergeCell ref="A7:A12"/>
    <mergeCell ref="B7:B12"/>
    <mergeCell ref="C7:C12"/>
    <mergeCell ref="D7:D12"/>
    <mergeCell ref="E7:E12"/>
    <mergeCell ref="F7:F12"/>
    <mergeCell ref="G7:G12"/>
    <mergeCell ref="T13:T17"/>
    <mergeCell ref="U7:U12"/>
    <mergeCell ref="V7:V12"/>
    <mergeCell ref="W7:W12"/>
    <mergeCell ref="X7:X12"/>
    <mergeCell ref="H7:H12"/>
    <mergeCell ref="I7:I12"/>
    <mergeCell ref="J7:J12"/>
    <mergeCell ref="Q7:Q12"/>
    <mergeCell ref="R7:R12"/>
    <mergeCell ref="S7:S12"/>
    <mergeCell ref="T7:T12"/>
    <mergeCell ref="Y5:AC5"/>
    <mergeCell ref="AD5:AI5"/>
    <mergeCell ref="A1:C4"/>
    <mergeCell ref="D1:AJ4"/>
    <mergeCell ref="AK1:AK2"/>
    <mergeCell ref="AK3:AK4"/>
    <mergeCell ref="A5:I5"/>
    <mergeCell ref="K5:P5"/>
    <mergeCell ref="Q5:X5"/>
  </mergeCells>
  <conditionalFormatting sqref="I7:J7 W7:X7 I13:J13 I18:J18 W13:X13 W18:X18">
    <cfRule type="cellIs" dxfId="467" priority="1" operator="equal">
      <formula>"Extremo"</formula>
    </cfRule>
  </conditionalFormatting>
  <conditionalFormatting sqref="I7:J7 W7:X7 I13:J13 I18:J18 W13:X13 W18:X18">
    <cfRule type="cellIs" dxfId="466" priority="2" operator="equal">
      <formula>"Moderado"</formula>
    </cfRule>
  </conditionalFormatting>
  <conditionalFormatting sqref="I7:J7 W7:X7 I13:J13 I18:J18 W13:X13 W18:X18">
    <cfRule type="cellIs" dxfId="465" priority="3" operator="equal">
      <formula>"Bajo"</formula>
    </cfRule>
  </conditionalFormatting>
  <conditionalFormatting sqref="I7:J7 W7:X7 I13:J13 I18:J18 W13:X13 W18:X18">
    <cfRule type="cellIs" dxfId="464" priority="4" operator="equal">
      <formula>"Alto"</formula>
    </cfRule>
  </conditionalFormatting>
  <dataValidations count="1">
    <dataValidation type="list" allowBlank="1" showErrorMessage="1" sqref="J7 J13 J18" xr:uid="{00000000-0002-0000-0300-000000000000}">
      <formula1>"SI,NO"</formula1>
    </dataValidation>
  </dataValidations>
  <pageMargins left="7.874015748031496E-2" right="7.874015748031496E-2" top="1.1417322834645669" bottom="0.15748031496062992" header="0" footer="0"/>
  <pageSetup orientation="landscape" r:id="rId1"/>
  <headerFooter>
    <oddHeader>&amp;C Matriz de Riesgos</oddHeader>
  </headerFooter>
  <rowBreaks count="1" manualBreakCount="1">
    <brk id="17" man="1"/>
  </rowBreaks>
  <colBreaks count="2" manualBreakCount="2">
    <brk id="16" man="1"/>
    <brk id="29" man="1"/>
  </colBreaks>
  <drawing r:id="rId2"/>
  <legacyDrawing r:id="rId3"/>
  <extLst>
    <ext xmlns:x14="http://schemas.microsoft.com/office/spreadsheetml/2009/9/main" uri="{CCE6A557-97BC-4b89-ADB6-D9C93CAAB3DF}">
      <x14:dataValidations xmlns:xm="http://schemas.microsoft.com/office/excel/2006/main" count="3">
        <x14:dataValidation type="list" allowBlank="1" showErrorMessage="1" xr:uid="{00000000-0002-0000-0300-000001000000}">
          <x14:formula1>
            <xm:f>Datos!$P$8:$P$12</xm:f>
          </x14:formula1>
          <xm:sqref>X7:X20</xm:sqref>
        </x14:dataValidation>
        <x14:dataValidation type="list" allowBlank="1" showErrorMessage="1" xr:uid="{00000000-0002-0000-0300-000002000000}">
          <x14:formula1>
            <xm:f>Datos!$K$8:$K$13</xm:f>
          </x14:formula1>
          <xm:sqref>G7 G13 G18</xm:sqref>
        </x14:dataValidation>
        <x14:dataValidation type="list" allowBlank="1" showErrorMessage="1" xr:uid="{00000000-0002-0000-0300-000003000000}">
          <x14:formula1>
            <xm:f>Datos!$G$8:$G$13</xm:f>
          </x14:formula1>
          <xm:sqref>D7 D13 D18</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D981"/>
  <sheetViews>
    <sheetView showGridLines="0" topLeftCell="H26" zoomScale="55" zoomScaleNormal="55" workbookViewId="0">
      <selection activeCell="X33" sqref="X33"/>
    </sheetView>
  </sheetViews>
  <sheetFormatPr baseColWidth="10" defaultColWidth="12.625" defaultRowHeight="15" customHeight="1" x14ac:dyDescent="0.2"/>
  <cols>
    <col min="1" max="1" width="6.625" style="228" customWidth="1"/>
    <col min="2" max="2" width="16.75" style="228" customWidth="1"/>
    <col min="3" max="3" width="33.25" style="228" customWidth="1"/>
    <col min="4" max="4" width="22" style="228" customWidth="1"/>
    <col min="5" max="5" width="38" style="228" customWidth="1"/>
    <col min="6" max="10" width="21.75" style="228" customWidth="1"/>
    <col min="11" max="11" width="33.875" style="228" customWidth="1"/>
    <col min="12" max="12" width="21.75" style="228" customWidth="1"/>
    <col min="13" max="17" width="19.25" style="228" customWidth="1"/>
    <col min="18" max="18" width="22.625" style="228" customWidth="1"/>
    <col min="19" max="19" width="19.25" style="228" customWidth="1"/>
    <col min="20" max="20" width="8" style="228" customWidth="1"/>
    <col min="21" max="22" width="18.125" style="228" customWidth="1"/>
    <col min="23" max="23" width="17.75" style="228" customWidth="1"/>
    <col min="24" max="24" width="16.25" style="228" customWidth="1"/>
    <col min="25" max="25" width="15.25" style="228" customWidth="1"/>
    <col min="26" max="26" width="18.875" style="228" customWidth="1"/>
    <col min="27" max="27" width="15.625" style="228" customWidth="1"/>
    <col min="28" max="28" width="23.125" style="228" customWidth="1"/>
    <col min="29" max="29" width="22.25" style="228" customWidth="1"/>
    <col min="30" max="30" width="26.5" style="228" customWidth="1"/>
    <col min="31" max="16384" width="12.625" style="228"/>
  </cols>
  <sheetData>
    <row r="1" spans="1:30" ht="15.75" customHeight="1" x14ac:dyDescent="0.2">
      <c r="A1" s="1246"/>
      <c r="B1" s="1200"/>
      <c r="C1" s="1201"/>
      <c r="D1" s="1242" t="s">
        <v>0</v>
      </c>
      <c r="E1" s="1200"/>
      <c r="F1" s="1200"/>
      <c r="G1" s="1200"/>
      <c r="H1" s="1200"/>
      <c r="I1" s="1200"/>
      <c r="J1" s="1200"/>
      <c r="K1" s="1200"/>
      <c r="L1" s="1200"/>
      <c r="M1" s="1200"/>
      <c r="N1" s="1200"/>
      <c r="O1" s="1200"/>
      <c r="P1" s="1200"/>
      <c r="Q1" s="1200"/>
      <c r="R1" s="1200"/>
      <c r="S1" s="1200"/>
      <c r="T1" s="1200"/>
      <c r="U1" s="1200"/>
      <c r="V1" s="1200"/>
      <c r="W1" s="1200"/>
      <c r="X1" s="1200"/>
      <c r="Y1" s="1200"/>
      <c r="Z1" s="1200"/>
      <c r="AA1" s="1200"/>
      <c r="AB1" s="1201"/>
      <c r="AC1" s="1247" t="s">
        <v>128</v>
      </c>
      <c r="AD1" s="1201"/>
    </row>
    <row r="2" spans="1:30" ht="15.75" customHeight="1" x14ac:dyDescent="0.2">
      <c r="A2" s="1202"/>
      <c r="B2" s="1203"/>
      <c r="C2" s="1198"/>
      <c r="D2" s="1202"/>
      <c r="E2" s="1203"/>
      <c r="F2" s="1203"/>
      <c r="G2" s="1203"/>
      <c r="H2" s="1203"/>
      <c r="I2" s="1203"/>
      <c r="J2" s="1203"/>
      <c r="K2" s="1203"/>
      <c r="L2" s="1203"/>
      <c r="M2" s="1203"/>
      <c r="N2" s="1203"/>
      <c r="O2" s="1203"/>
      <c r="P2" s="1203"/>
      <c r="Q2" s="1203"/>
      <c r="R2" s="1203"/>
      <c r="S2" s="1203"/>
      <c r="T2" s="1203"/>
      <c r="U2" s="1203"/>
      <c r="V2" s="1203"/>
      <c r="W2" s="1203"/>
      <c r="X2" s="1203"/>
      <c r="Y2" s="1203"/>
      <c r="Z2" s="1203"/>
      <c r="AA2" s="1203"/>
      <c r="AB2" s="1198"/>
      <c r="AC2" s="1204"/>
      <c r="AD2" s="1206"/>
    </row>
    <row r="3" spans="1:30" ht="15.75" customHeight="1" x14ac:dyDescent="0.2">
      <c r="A3" s="1202"/>
      <c r="B3" s="1203"/>
      <c r="C3" s="1198"/>
      <c r="D3" s="1202"/>
      <c r="E3" s="1203"/>
      <c r="F3" s="1203"/>
      <c r="G3" s="1203"/>
      <c r="H3" s="1203"/>
      <c r="I3" s="1203"/>
      <c r="J3" s="1203"/>
      <c r="K3" s="1203"/>
      <c r="L3" s="1203"/>
      <c r="M3" s="1203"/>
      <c r="N3" s="1203"/>
      <c r="O3" s="1203"/>
      <c r="P3" s="1203"/>
      <c r="Q3" s="1203"/>
      <c r="R3" s="1203"/>
      <c r="S3" s="1203"/>
      <c r="T3" s="1203"/>
      <c r="U3" s="1203"/>
      <c r="V3" s="1203"/>
      <c r="W3" s="1203"/>
      <c r="X3" s="1203"/>
      <c r="Y3" s="1203"/>
      <c r="Z3" s="1203"/>
      <c r="AA3" s="1203"/>
      <c r="AB3" s="1198"/>
      <c r="AC3" s="1247" t="s">
        <v>2</v>
      </c>
      <c r="AD3" s="1201"/>
    </row>
    <row r="4" spans="1:30" ht="15.75" customHeight="1" x14ac:dyDescent="0.2">
      <c r="A4" s="1204"/>
      <c r="B4" s="1205"/>
      <c r="C4" s="1206"/>
      <c r="D4" s="1204"/>
      <c r="E4" s="1205"/>
      <c r="F4" s="1205"/>
      <c r="G4" s="1205"/>
      <c r="H4" s="1205"/>
      <c r="I4" s="1205"/>
      <c r="J4" s="1205"/>
      <c r="K4" s="1205"/>
      <c r="L4" s="1205"/>
      <c r="M4" s="1205"/>
      <c r="N4" s="1205"/>
      <c r="O4" s="1205"/>
      <c r="P4" s="1205"/>
      <c r="Q4" s="1205"/>
      <c r="R4" s="1205"/>
      <c r="S4" s="1205"/>
      <c r="T4" s="1205"/>
      <c r="U4" s="1205"/>
      <c r="V4" s="1205"/>
      <c r="W4" s="1205"/>
      <c r="X4" s="1205"/>
      <c r="Y4" s="1205"/>
      <c r="Z4" s="1205"/>
      <c r="AA4" s="1205"/>
      <c r="AB4" s="1206"/>
      <c r="AC4" s="1204"/>
      <c r="AD4" s="1206"/>
    </row>
    <row r="5" spans="1:30" ht="15.75" customHeight="1" x14ac:dyDescent="0.2">
      <c r="A5" s="1217" t="s">
        <v>36</v>
      </c>
      <c r="B5" s="1218"/>
      <c r="C5" s="1196"/>
      <c r="D5" s="1248" t="e">
        <f t="array" ref="D5">+#REF!</f>
        <v>#REF!</v>
      </c>
      <c r="E5" s="1218"/>
      <c r="F5" s="1218"/>
      <c r="G5" s="1218"/>
      <c r="H5" s="1218"/>
      <c r="I5" s="1218"/>
      <c r="J5" s="1218"/>
      <c r="K5" s="1218"/>
      <c r="L5" s="1218"/>
      <c r="M5" s="1218"/>
      <c r="N5" s="1218"/>
      <c r="O5" s="1218"/>
      <c r="P5" s="1218"/>
      <c r="Q5" s="1218"/>
      <c r="R5" s="1218"/>
      <c r="S5" s="1218"/>
      <c r="T5" s="1218"/>
      <c r="U5" s="1218"/>
      <c r="V5" s="1218"/>
      <c r="W5" s="1218"/>
      <c r="X5" s="1218"/>
      <c r="Y5" s="1218"/>
      <c r="Z5" s="1218"/>
      <c r="AA5" s="1218"/>
      <c r="AB5" s="1218"/>
      <c r="AC5" s="1218"/>
      <c r="AD5" s="1218"/>
    </row>
    <row r="6" spans="1:30" ht="15.75" customHeight="1" thickBot="1" x14ac:dyDescent="0.25">
      <c r="A6" s="1217" t="s">
        <v>37</v>
      </c>
      <c r="B6" s="1218"/>
      <c r="C6" s="1196"/>
      <c r="D6" s="1248" t="e">
        <f t="array" ref="D6">+#REF!</f>
        <v>#REF!</v>
      </c>
      <c r="E6" s="1218"/>
      <c r="F6" s="1218"/>
      <c r="G6" s="1218"/>
      <c r="H6" s="1218"/>
      <c r="I6" s="1218"/>
      <c r="J6" s="1218"/>
      <c r="K6" s="1218"/>
      <c r="L6" s="1218"/>
      <c r="M6" s="1218"/>
      <c r="N6" s="1218"/>
      <c r="O6" s="1218"/>
      <c r="P6" s="1218"/>
      <c r="Q6" s="1218"/>
      <c r="R6" s="1218"/>
      <c r="S6" s="1218"/>
      <c r="T6" s="1218"/>
      <c r="U6" s="1218"/>
      <c r="V6" s="1218"/>
      <c r="W6" s="1218"/>
      <c r="X6" s="1218"/>
      <c r="Y6" s="1218"/>
      <c r="Z6" s="1218"/>
      <c r="AA6" s="1218"/>
      <c r="AB6" s="1218"/>
      <c r="AC6" s="1218"/>
      <c r="AD6" s="1218"/>
    </row>
    <row r="7" spans="1:30" ht="15" customHeight="1" x14ac:dyDescent="0.2">
      <c r="A7" s="1249" t="s">
        <v>129</v>
      </c>
      <c r="B7" s="1250"/>
      <c r="C7" s="1250"/>
      <c r="D7" s="1250"/>
      <c r="E7" s="1250"/>
      <c r="F7" s="1250"/>
      <c r="G7" s="1250"/>
      <c r="H7" s="1250"/>
      <c r="I7" s="1250"/>
      <c r="J7" s="1250"/>
      <c r="K7" s="1250"/>
      <c r="L7" s="1213"/>
      <c r="M7" s="1251" t="s">
        <v>75</v>
      </c>
      <c r="N7" s="1250"/>
      <c r="O7" s="1250"/>
      <c r="P7" s="1250"/>
      <c r="Q7" s="1250"/>
      <c r="R7" s="1250"/>
      <c r="S7" s="1250"/>
      <c r="T7" s="1250"/>
      <c r="U7" s="1250"/>
      <c r="V7" s="1250"/>
      <c r="W7" s="1250"/>
      <c r="X7" s="1250"/>
      <c r="Y7" s="1213"/>
      <c r="Z7" s="1252" t="s">
        <v>130</v>
      </c>
      <c r="AA7" s="1250"/>
      <c r="AB7" s="1213"/>
      <c r="AC7" s="1253" t="s">
        <v>131</v>
      </c>
      <c r="AD7" s="1254"/>
    </row>
    <row r="8" spans="1:30" ht="12.75" customHeight="1" x14ac:dyDescent="0.2">
      <c r="A8" s="269" t="s">
        <v>44</v>
      </c>
      <c r="B8" s="270" t="s">
        <v>64</v>
      </c>
      <c r="C8" s="270" t="s">
        <v>132</v>
      </c>
      <c r="D8" s="270" t="s">
        <v>73</v>
      </c>
      <c r="E8" s="270" t="s">
        <v>133</v>
      </c>
      <c r="F8" s="270" t="s">
        <v>134</v>
      </c>
      <c r="G8" s="270" t="s">
        <v>135</v>
      </c>
      <c r="H8" s="270" t="s">
        <v>136</v>
      </c>
      <c r="I8" s="270" t="s">
        <v>137</v>
      </c>
      <c r="J8" s="270" t="s">
        <v>138</v>
      </c>
      <c r="K8" s="270" t="s">
        <v>139</v>
      </c>
      <c r="L8" s="270" t="s">
        <v>140</v>
      </c>
      <c r="M8" s="270" t="s">
        <v>134</v>
      </c>
      <c r="N8" s="270" t="s">
        <v>135</v>
      </c>
      <c r="O8" s="270" t="s">
        <v>141</v>
      </c>
      <c r="P8" s="270" t="s">
        <v>137</v>
      </c>
      <c r="Q8" s="270" t="s">
        <v>138</v>
      </c>
      <c r="R8" s="270" t="s">
        <v>139</v>
      </c>
      <c r="S8" s="270" t="s">
        <v>140</v>
      </c>
      <c r="T8" s="272" t="s">
        <v>121</v>
      </c>
      <c r="U8" s="270" t="s">
        <v>142</v>
      </c>
      <c r="V8" s="270" t="s">
        <v>143</v>
      </c>
      <c r="W8" s="270" t="s">
        <v>142</v>
      </c>
      <c r="X8" s="270" t="s">
        <v>143</v>
      </c>
      <c r="Y8" s="270" t="s">
        <v>144</v>
      </c>
      <c r="Z8" s="270" t="s">
        <v>145</v>
      </c>
      <c r="AA8" s="270" t="s">
        <v>146</v>
      </c>
      <c r="AB8" s="270" t="s">
        <v>76</v>
      </c>
      <c r="AC8" s="270" t="s">
        <v>147</v>
      </c>
      <c r="AD8" s="273" t="s">
        <v>148</v>
      </c>
    </row>
    <row r="9" spans="1:30" ht="142.5" x14ac:dyDescent="0.2">
      <c r="A9" s="1255" t="e">
        <f>#REF!</f>
        <v>#REF!</v>
      </c>
      <c r="B9" s="1258" t="e">
        <f>#REF!</f>
        <v>#REF!</v>
      </c>
      <c r="C9" s="1258" t="e">
        <f>#REF!</f>
        <v>#REF!</v>
      </c>
      <c r="D9" s="275" t="str">
        <f>'[5]Analisis Riesgo'!K7</f>
        <v>Solicitar informacion de demanda. (Acuerdo de nivel de servicio para la entrega del información)</v>
      </c>
      <c r="E9" s="275" t="str">
        <f>'[5]Analisis Riesgo'!L7</f>
        <v>Realiza solicitud a la subdirección de demanda acerca de la información de las proyecciones de demanda de energía eléctrica, documento en excel con los datos, el cual es solicitado por el subdirector de energía eléctrica a la subdirección de demanda en el primer trimestre del año. Esta informacion es utilizada para la elaboración del Plan de Expansión de Generación -Transmisión.</v>
      </c>
      <c r="F9" s="276" t="s">
        <v>296</v>
      </c>
      <c r="G9" s="276" t="s">
        <v>299</v>
      </c>
      <c r="H9" s="276" t="s">
        <v>300</v>
      </c>
      <c r="I9" s="276" t="s">
        <v>301</v>
      </c>
      <c r="J9" s="276" t="s">
        <v>302</v>
      </c>
      <c r="K9" s="277" t="s">
        <v>303</v>
      </c>
      <c r="L9" s="276" t="s">
        <v>304</v>
      </c>
      <c r="M9" s="278">
        <f t="shared" ref="M9:M40" si="0">IF(F9="Asignado", 15,0)</f>
        <v>15</v>
      </c>
      <c r="N9" s="278">
        <f t="shared" ref="N9:N40" si="1">IF(G9="Adecuado",15,0)</f>
        <v>15</v>
      </c>
      <c r="O9" s="278">
        <f t="shared" ref="O9:O40" si="2">IF(H9="Oportuna",15,0)</f>
        <v>15</v>
      </c>
      <c r="P9" s="278">
        <f t="shared" ref="P9:P40" si="3">IF(I9="Prevenir",15,IF(I9="Detectar",10,0))</f>
        <v>15</v>
      </c>
      <c r="Q9" s="278">
        <f t="shared" ref="Q9:Q40" si="4">IF(J9="Confiable", 15,0)</f>
        <v>15</v>
      </c>
      <c r="R9" s="278">
        <f>IF(K9="Se investigan y resuelven oportunamente",15,0)</f>
        <v>15</v>
      </c>
      <c r="S9" s="278">
        <f t="shared" ref="S9:S40" si="5">IF(L9="Completa",10,IF(L9="Incompleta",5,0))</f>
        <v>10</v>
      </c>
      <c r="T9" s="278">
        <f t="shared" ref="T9:T40" si="6">SUM(M9:S9)</f>
        <v>100</v>
      </c>
      <c r="U9" s="276" t="s">
        <v>122</v>
      </c>
      <c r="V9" s="276" t="s">
        <v>263</v>
      </c>
      <c r="W9" s="278">
        <f t="shared" ref="W9:W40" si="7">IF(U9="SI",1,0)*T9/100</f>
        <v>1</v>
      </c>
      <c r="X9" s="278">
        <f t="shared" ref="X9:X40" si="8">IF(V9="SI",1,0)*T9/100</f>
        <v>0</v>
      </c>
      <c r="Y9" s="278" t="str">
        <f t="shared" ref="Y9:Y40" si="9">IF(W9&gt;=0.96,"Fuerte",IF(W9&gt;=0.86,"Moderado","Debil"))</f>
        <v>Fuerte</v>
      </c>
      <c r="Z9" s="276" t="s">
        <v>305</v>
      </c>
      <c r="AA9" s="278" t="str">
        <f t="shared" ref="AA9:AA40" si="10">IF(Z9="Siempre se ejecuta","Fuerte",IF(Z9="Algunas veces se ejecuta","Moderado","Debil"))</f>
        <v>Fuerte</v>
      </c>
      <c r="AB9" s="278" t="str">
        <f t="shared" ref="AB9:AB40" si="11">IF(Y9="Fuerte",IF(AA9="Fuerte","No","SI"),"SI")</f>
        <v>No</v>
      </c>
      <c r="AC9" s="279"/>
      <c r="AD9" s="280"/>
    </row>
    <row r="10" spans="1:30" ht="99.75" x14ac:dyDescent="0.2">
      <c r="A10" s="1256"/>
      <c r="B10" s="1259"/>
      <c r="C10" s="1259"/>
      <c r="D10" s="275" t="str">
        <f>'[5]Analisis Riesgo'!K8</f>
        <v>Solicitar información a los operadores de red.</v>
      </c>
      <c r="E10" s="275" t="str">
        <f>'[5]Analisis Riesgo'!L8</f>
        <v>Se tiene determinado en regulación la entrega de información por parte de los operadores de red al 15 de Junio de cada vigencia. En los casos en que no es reportada se solicita al operador la entrega de la inforamcipon sobre el credimiento de la demanda de energía electrica.</v>
      </c>
      <c r="F10" s="276" t="s">
        <v>296</v>
      </c>
      <c r="G10" s="276" t="s">
        <v>299</v>
      </c>
      <c r="H10" s="276" t="s">
        <v>300</v>
      </c>
      <c r="I10" s="276" t="s">
        <v>301</v>
      </c>
      <c r="J10" s="276" t="s">
        <v>302</v>
      </c>
      <c r="K10" s="277" t="s">
        <v>303</v>
      </c>
      <c r="L10" s="276" t="s">
        <v>304</v>
      </c>
      <c r="M10" s="278">
        <f t="shared" si="0"/>
        <v>15</v>
      </c>
      <c r="N10" s="278">
        <f t="shared" si="1"/>
        <v>15</v>
      </c>
      <c r="O10" s="278">
        <f t="shared" si="2"/>
        <v>15</v>
      </c>
      <c r="P10" s="278">
        <f t="shared" si="3"/>
        <v>15</v>
      </c>
      <c r="Q10" s="278">
        <f t="shared" si="4"/>
        <v>15</v>
      </c>
      <c r="R10" s="278">
        <f t="shared" ref="R10:R40" si="12">IF(K10="Se investigan y resuelven oportunamente",15,0)</f>
        <v>15</v>
      </c>
      <c r="S10" s="278">
        <f t="shared" si="5"/>
        <v>10</v>
      </c>
      <c r="T10" s="278">
        <f t="shared" si="6"/>
        <v>100</v>
      </c>
      <c r="U10" s="276" t="s">
        <v>122</v>
      </c>
      <c r="V10" s="276" t="s">
        <v>263</v>
      </c>
      <c r="W10" s="278">
        <f t="shared" si="7"/>
        <v>1</v>
      </c>
      <c r="X10" s="278">
        <f t="shared" si="8"/>
        <v>0</v>
      </c>
      <c r="Y10" s="278" t="str">
        <f t="shared" si="9"/>
        <v>Fuerte</v>
      </c>
      <c r="Z10" s="276" t="s">
        <v>305</v>
      </c>
      <c r="AA10" s="278" t="str">
        <f t="shared" si="10"/>
        <v>Fuerte</v>
      </c>
      <c r="AB10" s="278" t="str">
        <f t="shared" si="11"/>
        <v>No</v>
      </c>
      <c r="AC10" s="279"/>
      <c r="AD10" s="280"/>
    </row>
    <row r="11" spans="1:30" ht="57" x14ac:dyDescent="0.2">
      <c r="A11" s="1256"/>
      <c r="B11" s="1259"/>
      <c r="C11" s="1259"/>
      <c r="D11" s="275" t="str">
        <f>'[5]Analisis Riesgo'!K9</f>
        <v>Revisar regulación relacionada con la operación del sistema.</v>
      </c>
      <c r="E11" s="275" t="str">
        <f>'[5]Analisis Riesgo'!L9</f>
        <v xml:space="preserve">Revisar los requisitos y criterios operativos definidos en la regulación, los cuales influyen en el proceso de elaboración del Plan de Expansión de Transmisión. </v>
      </c>
      <c r="F11" s="276" t="s">
        <v>296</v>
      </c>
      <c r="G11" s="276" t="s">
        <v>299</v>
      </c>
      <c r="H11" s="276" t="s">
        <v>300</v>
      </c>
      <c r="I11" s="276" t="s">
        <v>301</v>
      </c>
      <c r="J11" s="276" t="s">
        <v>302</v>
      </c>
      <c r="K11" s="277" t="s">
        <v>303</v>
      </c>
      <c r="L11" s="276" t="s">
        <v>304</v>
      </c>
      <c r="M11" s="278">
        <f t="shared" si="0"/>
        <v>15</v>
      </c>
      <c r="N11" s="278">
        <f t="shared" si="1"/>
        <v>15</v>
      </c>
      <c r="O11" s="278">
        <f t="shared" si="2"/>
        <v>15</v>
      </c>
      <c r="P11" s="278">
        <f t="shared" si="3"/>
        <v>15</v>
      </c>
      <c r="Q11" s="278">
        <f t="shared" si="4"/>
        <v>15</v>
      </c>
      <c r="R11" s="278">
        <f t="shared" si="12"/>
        <v>15</v>
      </c>
      <c r="S11" s="278">
        <f t="shared" si="5"/>
        <v>10</v>
      </c>
      <c r="T11" s="278">
        <f t="shared" si="6"/>
        <v>100</v>
      </c>
      <c r="U11" s="276" t="s">
        <v>122</v>
      </c>
      <c r="V11" s="276" t="s">
        <v>263</v>
      </c>
      <c r="W11" s="278">
        <f t="shared" si="7"/>
        <v>1</v>
      </c>
      <c r="X11" s="278">
        <f t="shared" si="8"/>
        <v>0</v>
      </c>
      <c r="Y11" s="278" t="str">
        <f t="shared" si="9"/>
        <v>Fuerte</v>
      </c>
      <c r="Z11" s="276" t="s">
        <v>305</v>
      </c>
      <c r="AA11" s="278" t="str">
        <f t="shared" si="10"/>
        <v>Fuerte</v>
      </c>
      <c r="AB11" s="278" t="str">
        <f t="shared" si="11"/>
        <v>No</v>
      </c>
      <c r="AC11" s="279"/>
      <c r="AD11" s="280"/>
    </row>
    <row r="12" spans="1:30" ht="71.25" x14ac:dyDescent="0.2">
      <c r="A12" s="1256"/>
      <c r="B12" s="1259"/>
      <c r="C12" s="1259"/>
      <c r="D12" s="275" t="str">
        <f>'[5]Analisis Riesgo'!K10</f>
        <v>Contar con herramientas informáticas para elaboración del Plan.</v>
      </c>
      <c r="E12" s="275" t="str">
        <f>'[5]Analisis Riesgo'!L10</f>
        <v>Disponer de las herramientas como Digsilent y Power Factory para efectuar modelamiento que permite realizar los calculos para la elaboración del Plan de Expansión de Transmisión.</v>
      </c>
      <c r="F12" s="276" t="s">
        <v>296</v>
      </c>
      <c r="G12" s="276" t="s">
        <v>299</v>
      </c>
      <c r="H12" s="276" t="s">
        <v>300</v>
      </c>
      <c r="I12" s="276" t="s">
        <v>301</v>
      </c>
      <c r="J12" s="276" t="s">
        <v>302</v>
      </c>
      <c r="K12" s="277" t="s">
        <v>303</v>
      </c>
      <c r="L12" s="276" t="s">
        <v>304</v>
      </c>
      <c r="M12" s="278">
        <f t="shared" si="0"/>
        <v>15</v>
      </c>
      <c r="N12" s="278">
        <f t="shared" si="1"/>
        <v>15</v>
      </c>
      <c r="O12" s="278">
        <f t="shared" si="2"/>
        <v>15</v>
      </c>
      <c r="P12" s="278">
        <f t="shared" si="3"/>
        <v>15</v>
      </c>
      <c r="Q12" s="278">
        <f t="shared" si="4"/>
        <v>15</v>
      </c>
      <c r="R12" s="278">
        <f t="shared" si="12"/>
        <v>15</v>
      </c>
      <c r="S12" s="278">
        <f t="shared" si="5"/>
        <v>10</v>
      </c>
      <c r="T12" s="278">
        <f t="shared" si="6"/>
        <v>100</v>
      </c>
      <c r="U12" s="276" t="s">
        <v>122</v>
      </c>
      <c r="V12" s="276" t="s">
        <v>263</v>
      </c>
      <c r="W12" s="278">
        <f t="shared" si="7"/>
        <v>1</v>
      </c>
      <c r="X12" s="278">
        <f t="shared" si="8"/>
        <v>0</v>
      </c>
      <c r="Y12" s="278" t="str">
        <f t="shared" si="9"/>
        <v>Fuerte</v>
      </c>
      <c r="Z12" s="276" t="s">
        <v>305</v>
      </c>
      <c r="AA12" s="278" t="str">
        <f t="shared" si="10"/>
        <v>Fuerte</v>
      </c>
      <c r="AB12" s="278" t="str">
        <f t="shared" si="11"/>
        <v>No</v>
      </c>
      <c r="AC12" s="279"/>
      <c r="AD12" s="280"/>
    </row>
    <row r="13" spans="1:30" ht="142.5" x14ac:dyDescent="0.2">
      <c r="A13" s="1255" t="e">
        <f>#REF!</f>
        <v>#REF!</v>
      </c>
      <c r="B13" s="1258" t="e">
        <f>#REF!</f>
        <v>#REF!</v>
      </c>
      <c r="C13" s="1258" t="e">
        <f>#REF!</f>
        <v>#REF!</v>
      </c>
      <c r="D13" s="275" t="str">
        <f>'[5]Analisis Riesgo'!K11</f>
        <v>Solicitar informacion de demanda. (Acuerdo de nivel de servicio para la entrega del información)</v>
      </c>
      <c r="E13" s="275" t="str">
        <f>'[5]Analisis Riesgo'!L11</f>
        <v>Realiza solicitud a la subdirección de demanda acerca de la información de las proyecciones de demanda de energía eléctrica, documento en excel con los datos, el cual es solicitado por el subdirector de energía eléctrica a la subdirección de demanda en el primer trimestre del año. Esta informacion es utilizada para la elaboración del Plan de Expansión de Generación -Transmisión.</v>
      </c>
      <c r="F13" s="276" t="s">
        <v>296</v>
      </c>
      <c r="G13" s="276" t="s">
        <v>299</v>
      </c>
      <c r="H13" s="276" t="s">
        <v>300</v>
      </c>
      <c r="I13" s="276" t="s">
        <v>301</v>
      </c>
      <c r="J13" s="276" t="s">
        <v>302</v>
      </c>
      <c r="K13" s="277" t="s">
        <v>303</v>
      </c>
      <c r="L13" s="276" t="s">
        <v>304</v>
      </c>
      <c r="M13" s="278">
        <f t="shared" si="0"/>
        <v>15</v>
      </c>
      <c r="N13" s="278">
        <f t="shared" si="1"/>
        <v>15</v>
      </c>
      <c r="O13" s="278">
        <f t="shared" si="2"/>
        <v>15</v>
      </c>
      <c r="P13" s="278">
        <f t="shared" si="3"/>
        <v>15</v>
      </c>
      <c r="Q13" s="278">
        <f t="shared" si="4"/>
        <v>15</v>
      </c>
      <c r="R13" s="278">
        <f t="shared" si="12"/>
        <v>15</v>
      </c>
      <c r="S13" s="278">
        <f t="shared" si="5"/>
        <v>10</v>
      </c>
      <c r="T13" s="278">
        <f t="shared" si="6"/>
        <v>100</v>
      </c>
      <c r="U13" s="276" t="s">
        <v>122</v>
      </c>
      <c r="V13" s="276" t="s">
        <v>263</v>
      </c>
      <c r="W13" s="278">
        <f t="shared" si="7"/>
        <v>1</v>
      </c>
      <c r="X13" s="278">
        <f t="shared" si="8"/>
        <v>0</v>
      </c>
      <c r="Y13" s="278" t="str">
        <f t="shared" si="9"/>
        <v>Fuerte</v>
      </c>
      <c r="Z13" s="276" t="s">
        <v>305</v>
      </c>
      <c r="AA13" s="278" t="str">
        <f t="shared" si="10"/>
        <v>Fuerte</v>
      </c>
      <c r="AB13" s="278" t="str">
        <f t="shared" si="11"/>
        <v>No</v>
      </c>
      <c r="AC13" s="279"/>
      <c r="AD13" s="280"/>
    </row>
    <row r="14" spans="1:30" ht="42.75" x14ac:dyDescent="0.2">
      <c r="A14" s="1256"/>
      <c r="B14" s="1259"/>
      <c r="C14" s="1259"/>
      <c r="D14" s="275" t="str">
        <f>'[5]Analisis Riesgo'!K12</f>
        <v>Extraer información de generación de energía eléctrica de Xm.</v>
      </c>
      <c r="E14" s="275" t="str">
        <f>'[5]Analisis Riesgo'!L12</f>
        <v>Extraer información de base de datos de Xm y adecuarla a las necesidades de las actividades de planeamiento.</v>
      </c>
      <c r="F14" s="276" t="s">
        <v>296</v>
      </c>
      <c r="G14" s="276" t="s">
        <v>299</v>
      </c>
      <c r="H14" s="276" t="s">
        <v>300</v>
      </c>
      <c r="I14" s="276" t="s">
        <v>301</v>
      </c>
      <c r="J14" s="276" t="s">
        <v>302</v>
      </c>
      <c r="K14" s="277" t="s">
        <v>303</v>
      </c>
      <c r="L14" s="276" t="s">
        <v>304</v>
      </c>
      <c r="M14" s="278">
        <f t="shared" si="0"/>
        <v>15</v>
      </c>
      <c r="N14" s="278">
        <f t="shared" si="1"/>
        <v>15</v>
      </c>
      <c r="O14" s="278">
        <f t="shared" si="2"/>
        <v>15</v>
      </c>
      <c r="P14" s="278">
        <f t="shared" si="3"/>
        <v>15</v>
      </c>
      <c r="Q14" s="278">
        <f t="shared" si="4"/>
        <v>15</v>
      </c>
      <c r="R14" s="278">
        <f t="shared" si="12"/>
        <v>15</v>
      </c>
      <c r="S14" s="278">
        <f t="shared" si="5"/>
        <v>10</v>
      </c>
      <c r="T14" s="278">
        <f t="shared" si="6"/>
        <v>100</v>
      </c>
      <c r="U14" s="276" t="s">
        <v>122</v>
      </c>
      <c r="V14" s="276" t="s">
        <v>263</v>
      </c>
      <c r="W14" s="278">
        <f t="shared" si="7"/>
        <v>1</v>
      </c>
      <c r="X14" s="278">
        <f t="shared" si="8"/>
        <v>0</v>
      </c>
      <c r="Y14" s="278" t="str">
        <f t="shared" si="9"/>
        <v>Fuerte</v>
      </c>
      <c r="Z14" s="276" t="s">
        <v>305</v>
      </c>
      <c r="AA14" s="278" t="str">
        <f t="shared" si="10"/>
        <v>Fuerte</v>
      </c>
      <c r="AB14" s="278" t="str">
        <f t="shared" si="11"/>
        <v>No</v>
      </c>
      <c r="AC14" s="279"/>
      <c r="AD14" s="280"/>
    </row>
    <row r="15" spans="1:30" ht="185.25" x14ac:dyDescent="0.2">
      <c r="A15" s="1256"/>
      <c r="B15" s="1259"/>
      <c r="C15" s="1259"/>
      <c r="D15" s="275" t="str">
        <f>'[5]Analisis Riesgo'!K13</f>
        <v xml:space="preserve">Definir roles y tiempos para la extracción de la información de generación. (Acuerdo de Nivel de Servicio). </v>
      </c>
      <c r="E15" s="275" t="str">
        <f>'[5]Analisis Riesgo'!L13</f>
        <v>Debido a los lineamientos de seguridad de la información y el formato de la información *ftp*, se han establecido roles para la descarga y transferencia de la información mediante la cual garantizar el acceso a esta información. Al inicio de la elaboración de productos del grupo de generación y de acuerdo a la demanda de estos, la coordinación solicitará al Jefe de la Oficina de Gestión de Ia Información lo requerido de las bases de datos, la cual deberá ser entregada máximo a los dos dias siguientes la solicitud.</v>
      </c>
      <c r="F15" s="276" t="s">
        <v>296</v>
      </c>
      <c r="G15" s="276" t="s">
        <v>299</v>
      </c>
      <c r="H15" s="276" t="s">
        <v>300</v>
      </c>
      <c r="I15" s="276" t="s">
        <v>301</v>
      </c>
      <c r="J15" s="276" t="s">
        <v>302</v>
      </c>
      <c r="K15" s="277" t="s">
        <v>303</v>
      </c>
      <c r="L15" s="276" t="s">
        <v>304</v>
      </c>
      <c r="M15" s="278">
        <f t="shared" si="0"/>
        <v>15</v>
      </c>
      <c r="N15" s="278">
        <f t="shared" si="1"/>
        <v>15</v>
      </c>
      <c r="O15" s="278">
        <f t="shared" si="2"/>
        <v>15</v>
      </c>
      <c r="P15" s="278">
        <f t="shared" si="3"/>
        <v>15</v>
      </c>
      <c r="Q15" s="278">
        <f t="shared" si="4"/>
        <v>15</v>
      </c>
      <c r="R15" s="278">
        <f t="shared" si="12"/>
        <v>15</v>
      </c>
      <c r="S15" s="278">
        <f t="shared" si="5"/>
        <v>10</v>
      </c>
      <c r="T15" s="278">
        <f t="shared" si="6"/>
        <v>100</v>
      </c>
      <c r="U15" s="276" t="s">
        <v>122</v>
      </c>
      <c r="V15" s="276" t="s">
        <v>263</v>
      </c>
      <c r="W15" s="278">
        <f t="shared" si="7"/>
        <v>1</v>
      </c>
      <c r="X15" s="278">
        <f t="shared" si="8"/>
        <v>0</v>
      </c>
      <c r="Y15" s="278" t="str">
        <f t="shared" si="9"/>
        <v>Fuerte</v>
      </c>
      <c r="Z15" s="276" t="s">
        <v>305</v>
      </c>
      <c r="AA15" s="278" t="str">
        <f t="shared" si="10"/>
        <v>Fuerte</v>
      </c>
      <c r="AB15" s="278" t="str">
        <f t="shared" si="11"/>
        <v>No</v>
      </c>
      <c r="AC15" s="279"/>
      <c r="AD15" s="280"/>
    </row>
    <row r="16" spans="1:30" ht="57" x14ac:dyDescent="0.2">
      <c r="A16" s="1256"/>
      <c r="B16" s="1259"/>
      <c r="C16" s="1259"/>
      <c r="D16" s="275" t="str">
        <f>'[5]Analisis Riesgo'!K14</f>
        <v>Revisar la información de la calidad y homogeneidad de los datos</v>
      </c>
      <c r="E16" s="275" t="str">
        <f>'[5]Analisis Riesgo'!L14</f>
        <v>Se realiza revisión y verificación de las bases de datos para vericar se aplique criterios unificados respecto a las unidades de las variables.</v>
      </c>
      <c r="F16" s="276" t="s">
        <v>296</v>
      </c>
      <c r="G16" s="276" t="s">
        <v>299</v>
      </c>
      <c r="H16" s="276" t="s">
        <v>300</v>
      </c>
      <c r="I16" s="276" t="s">
        <v>301</v>
      </c>
      <c r="J16" s="276" t="s">
        <v>302</v>
      </c>
      <c r="K16" s="277" t="s">
        <v>303</v>
      </c>
      <c r="L16" s="276" t="s">
        <v>304</v>
      </c>
      <c r="M16" s="278">
        <f t="shared" si="0"/>
        <v>15</v>
      </c>
      <c r="N16" s="278">
        <f t="shared" si="1"/>
        <v>15</v>
      </c>
      <c r="O16" s="278">
        <f t="shared" si="2"/>
        <v>15</v>
      </c>
      <c r="P16" s="278">
        <f t="shared" si="3"/>
        <v>15</v>
      </c>
      <c r="Q16" s="278">
        <f t="shared" si="4"/>
        <v>15</v>
      </c>
      <c r="R16" s="278">
        <f t="shared" si="12"/>
        <v>15</v>
      </c>
      <c r="S16" s="278">
        <f t="shared" si="5"/>
        <v>10</v>
      </c>
      <c r="T16" s="278">
        <f t="shared" si="6"/>
        <v>100</v>
      </c>
      <c r="U16" s="276" t="s">
        <v>122</v>
      </c>
      <c r="V16" s="276" t="s">
        <v>263</v>
      </c>
      <c r="W16" s="278">
        <f t="shared" si="7"/>
        <v>1</v>
      </c>
      <c r="X16" s="278">
        <f t="shared" si="8"/>
        <v>0</v>
      </c>
      <c r="Y16" s="278" t="str">
        <f t="shared" si="9"/>
        <v>Fuerte</v>
      </c>
      <c r="Z16" s="276" t="s">
        <v>305</v>
      </c>
      <c r="AA16" s="278" t="str">
        <f t="shared" si="10"/>
        <v>Fuerte</v>
      </c>
      <c r="AB16" s="278" t="str">
        <f t="shared" si="11"/>
        <v>No</v>
      </c>
      <c r="AC16" s="279"/>
      <c r="AD16" s="280"/>
    </row>
    <row r="17" spans="1:30" ht="71.25" x14ac:dyDescent="0.2">
      <c r="A17" s="1257"/>
      <c r="B17" s="1208"/>
      <c r="C17" s="1208"/>
      <c r="D17" s="275" t="str">
        <f>'[5]Analisis Riesgo'!K15</f>
        <v>Contar con herramientas informáticas para elaboración del Plan.</v>
      </c>
      <c r="E17" s="275" t="str">
        <f>'[5]Analisis Riesgo'!L15</f>
        <v>Disponer de las herramientas como SDDP, OPTGEN, PLEXOS para efectuar modelamiento que permite realizar los calculos para la elaboración del Plan de Expansión de Generación.</v>
      </c>
      <c r="F17" s="276" t="s">
        <v>296</v>
      </c>
      <c r="G17" s="276" t="s">
        <v>299</v>
      </c>
      <c r="H17" s="276" t="s">
        <v>300</v>
      </c>
      <c r="I17" s="276" t="s">
        <v>301</v>
      </c>
      <c r="J17" s="276" t="s">
        <v>302</v>
      </c>
      <c r="K17" s="277" t="s">
        <v>303</v>
      </c>
      <c r="L17" s="276" t="s">
        <v>304</v>
      </c>
      <c r="M17" s="278">
        <f t="shared" si="0"/>
        <v>15</v>
      </c>
      <c r="N17" s="278">
        <f t="shared" si="1"/>
        <v>15</v>
      </c>
      <c r="O17" s="278">
        <f t="shared" si="2"/>
        <v>15</v>
      </c>
      <c r="P17" s="278">
        <f t="shared" si="3"/>
        <v>15</v>
      </c>
      <c r="Q17" s="278">
        <f t="shared" si="4"/>
        <v>15</v>
      </c>
      <c r="R17" s="278">
        <f t="shared" si="12"/>
        <v>15</v>
      </c>
      <c r="S17" s="278">
        <f t="shared" si="5"/>
        <v>10</v>
      </c>
      <c r="T17" s="278">
        <f t="shared" si="6"/>
        <v>100</v>
      </c>
      <c r="U17" s="276" t="s">
        <v>122</v>
      </c>
      <c r="V17" s="276" t="s">
        <v>263</v>
      </c>
      <c r="W17" s="278">
        <f t="shared" si="7"/>
        <v>1</v>
      </c>
      <c r="X17" s="278">
        <f t="shared" si="8"/>
        <v>0</v>
      </c>
      <c r="Y17" s="278" t="str">
        <f t="shared" si="9"/>
        <v>Fuerte</v>
      </c>
      <c r="Z17" s="276" t="s">
        <v>305</v>
      </c>
      <c r="AA17" s="278" t="str">
        <f t="shared" si="10"/>
        <v>Fuerte</v>
      </c>
      <c r="AB17" s="278" t="str">
        <f t="shared" si="11"/>
        <v>No</v>
      </c>
      <c r="AC17" s="279"/>
      <c r="AD17" s="280"/>
    </row>
    <row r="18" spans="1:30" ht="71.25" customHeight="1" x14ac:dyDescent="0.2">
      <c r="A18" s="1255" t="e">
        <f>#REF!</f>
        <v>#REF!</v>
      </c>
      <c r="B18" s="1258" t="e">
        <f>#REF!</f>
        <v>#REF!</v>
      </c>
      <c r="C18" s="1258" t="e">
        <f>#REF!</f>
        <v>#REF!</v>
      </c>
      <c r="D18" s="397" t="str">
        <f>'[5]Analisis Riesgo'!K16</f>
        <v>Solicitar la información de cobertura e infraestructura georeferenciada a los operadores de red</v>
      </c>
      <c r="E18" s="397" t="str">
        <f>'[5]Analisis Riesgo'!L16</f>
        <v>Solicitad de información a los operadores de red  (redes, viviendas sin servicio, subestaciones) con el propósito de contar con información completa para la elaboración del plan.</v>
      </c>
      <c r="F18" s="276" t="s">
        <v>296</v>
      </c>
      <c r="G18" s="276" t="s">
        <v>299</v>
      </c>
      <c r="H18" s="276" t="s">
        <v>300</v>
      </c>
      <c r="I18" s="276" t="s">
        <v>301</v>
      </c>
      <c r="J18" s="276" t="s">
        <v>302</v>
      </c>
      <c r="K18" s="277" t="s">
        <v>303</v>
      </c>
      <c r="L18" s="276" t="s">
        <v>304</v>
      </c>
      <c r="M18" s="278">
        <f t="shared" si="0"/>
        <v>15</v>
      </c>
      <c r="N18" s="278">
        <f t="shared" si="1"/>
        <v>15</v>
      </c>
      <c r="O18" s="278">
        <f t="shared" si="2"/>
        <v>15</v>
      </c>
      <c r="P18" s="278">
        <f t="shared" si="3"/>
        <v>15</v>
      </c>
      <c r="Q18" s="278">
        <f t="shared" si="4"/>
        <v>15</v>
      </c>
      <c r="R18" s="278">
        <f t="shared" si="12"/>
        <v>15</v>
      </c>
      <c r="S18" s="278">
        <f t="shared" si="5"/>
        <v>10</v>
      </c>
      <c r="T18" s="278">
        <f t="shared" si="6"/>
        <v>100</v>
      </c>
      <c r="U18" s="276" t="s">
        <v>122</v>
      </c>
      <c r="V18" s="276" t="s">
        <v>263</v>
      </c>
      <c r="W18" s="278">
        <f t="shared" si="7"/>
        <v>1</v>
      </c>
      <c r="X18" s="278">
        <f t="shared" si="8"/>
        <v>0</v>
      </c>
      <c r="Y18" s="278" t="str">
        <f t="shared" si="9"/>
        <v>Fuerte</v>
      </c>
      <c r="Z18" s="276" t="s">
        <v>305</v>
      </c>
      <c r="AA18" s="278" t="str">
        <f t="shared" si="10"/>
        <v>Fuerte</v>
      </c>
      <c r="AB18" s="278" t="str">
        <f t="shared" si="11"/>
        <v>No</v>
      </c>
      <c r="AC18" s="281"/>
      <c r="AD18" s="280"/>
    </row>
    <row r="19" spans="1:30" ht="83.25" customHeight="1" x14ac:dyDescent="0.2">
      <c r="A19" s="1406"/>
      <c r="B19" s="1408"/>
      <c r="C19" s="1408"/>
      <c r="D19" s="397" t="str">
        <f>'[5]Analisis Riesgo'!K17</f>
        <v>Realizar solicitudes de  y mesas técnicas para consolidar información de la cobertura.</v>
      </c>
      <c r="E19" s="397" t="str">
        <f>'[5]Analisis Riesgo'!L17</f>
        <v>Mesas técnicas con entidades (MME, IPSE, SSPD y DANE) para obtener información requerida para el planeamiento de la cobertura de energía eléctrica.</v>
      </c>
      <c r="F19" s="276" t="s">
        <v>296</v>
      </c>
      <c r="G19" s="276" t="s">
        <v>299</v>
      </c>
      <c r="H19" s="276" t="s">
        <v>300</v>
      </c>
      <c r="I19" s="276" t="s">
        <v>301</v>
      </c>
      <c r="J19" s="276" t="s">
        <v>302</v>
      </c>
      <c r="K19" s="277" t="s">
        <v>303</v>
      </c>
      <c r="L19" s="276" t="s">
        <v>304</v>
      </c>
      <c r="M19" s="278">
        <f t="shared" si="0"/>
        <v>15</v>
      </c>
      <c r="N19" s="278">
        <f t="shared" si="1"/>
        <v>15</v>
      </c>
      <c r="O19" s="278">
        <f t="shared" si="2"/>
        <v>15</v>
      </c>
      <c r="P19" s="278">
        <f t="shared" si="3"/>
        <v>15</v>
      </c>
      <c r="Q19" s="278">
        <f t="shared" si="4"/>
        <v>15</v>
      </c>
      <c r="R19" s="278">
        <f t="shared" si="12"/>
        <v>15</v>
      </c>
      <c r="S19" s="278">
        <f t="shared" si="5"/>
        <v>10</v>
      </c>
      <c r="T19" s="278">
        <f t="shared" si="6"/>
        <v>100</v>
      </c>
      <c r="U19" s="276" t="s">
        <v>122</v>
      </c>
      <c r="V19" s="276" t="s">
        <v>263</v>
      </c>
      <c r="W19" s="278">
        <f t="shared" si="7"/>
        <v>1</v>
      </c>
      <c r="X19" s="278">
        <f t="shared" si="8"/>
        <v>0</v>
      </c>
      <c r="Y19" s="278" t="str">
        <f t="shared" si="9"/>
        <v>Fuerte</v>
      </c>
      <c r="Z19" s="276" t="s">
        <v>305</v>
      </c>
      <c r="AA19" s="278" t="str">
        <f t="shared" si="10"/>
        <v>Fuerte</v>
      </c>
      <c r="AB19" s="278" t="str">
        <f t="shared" si="11"/>
        <v>No</v>
      </c>
      <c r="AC19" s="282"/>
      <c r="AD19" s="280"/>
    </row>
    <row r="20" spans="1:30" ht="114" x14ac:dyDescent="0.2">
      <c r="A20" s="1406"/>
      <c r="B20" s="1408"/>
      <c r="C20" s="1408"/>
      <c r="D20" s="397" t="str">
        <f>'[5]Analisis Riesgo'!K18</f>
        <v>Solicitar a la Oficina de Gestión de Fondos Información para el planeamiento de la cobertura. (Acuerdo de Niveles de Servicio).</v>
      </c>
      <c r="E20" s="397" t="str">
        <f>'[5]Analisis Riesgo'!L18</f>
        <v>Solicitar la Información de los PERS y la información resultante de los proyectos evaluados en la Oficina de Gestión de Proyectos de Fondos. Esta información es ingresada por la OGPF en la herramienta SITIOS y en SIPERS de manera permanente la cual se tiene acceso en la Subdirección de Energía.</v>
      </c>
      <c r="F20" s="276" t="s">
        <v>296</v>
      </c>
      <c r="G20" s="276" t="s">
        <v>299</v>
      </c>
      <c r="H20" s="276" t="s">
        <v>300</v>
      </c>
      <c r="I20" s="276" t="s">
        <v>301</v>
      </c>
      <c r="J20" s="276" t="s">
        <v>302</v>
      </c>
      <c r="K20" s="277" t="s">
        <v>303</v>
      </c>
      <c r="L20" s="276" t="s">
        <v>304</v>
      </c>
      <c r="M20" s="278">
        <f t="shared" si="0"/>
        <v>15</v>
      </c>
      <c r="N20" s="278">
        <f t="shared" si="1"/>
        <v>15</v>
      </c>
      <c r="O20" s="278">
        <f t="shared" si="2"/>
        <v>15</v>
      </c>
      <c r="P20" s="278">
        <f t="shared" si="3"/>
        <v>15</v>
      </c>
      <c r="Q20" s="278">
        <f t="shared" si="4"/>
        <v>15</v>
      </c>
      <c r="R20" s="278">
        <f t="shared" si="12"/>
        <v>15</v>
      </c>
      <c r="S20" s="278">
        <f t="shared" si="5"/>
        <v>10</v>
      </c>
      <c r="T20" s="278">
        <f t="shared" si="6"/>
        <v>100</v>
      </c>
      <c r="U20" s="276" t="s">
        <v>122</v>
      </c>
      <c r="V20" s="276" t="s">
        <v>263</v>
      </c>
      <c r="W20" s="278">
        <f t="shared" si="7"/>
        <v>1</v>
      </c>
      <c r="X20" s="278">
        <f t="shared" si="8"/>
        <v>0</v>
      </c>
      <c r="Y20" s="278" t="str">
        <f t="shared" si="9"/>
        <v>Fuerte</v>
      </c>
      <c r="Z20" s="276" t="s">
        <v>305</v>
      </c>
      <c r="AA20" s="278" t="str">
        <f t="shared" si="10"/>
        <v>Fuerte</v>
      </c>
      <c r="AB20" s="278" t="str">
        <f t="shared" si="11"/>
        <v>No</v>
      </c>
      <c r="AC20" s="282"/>
      <c r="AD20" s="280"/>
    </row>
    <row r="21" spans="1:30" ht="71.25" x14ac:dyDescent="0.2">
      <c r="A21" s="1406"/>
      <c r="B21" s="1408"/>
      <c r="C21" s="1408"/>
      <c r="D21" s="397" t="str">
        <f>'[5]Analisis Riesgo'!K19</f>
        <v>Contar con herramientas informáticas para elaboración del Plan de Cobertura.</v>
      </c>
      <c r="E21" s="397" t="str">
        <f>'[5]Analisis Riesgo'!L19</f>
        <v>Disponer de las herramientas como Arcgis, Matlab y Hommer para efectuar modelamiento que permite realizar los calculos para la elaboración del Plan Indicativo de Expansión de la Cobertura</v>
      </c>
      <c r="F21" s="276" t="s">
        <v>296</v>
      </c>
      <c r="G21" s="276" t="s">
        <v>299</v>
      </c>
      <c r="H21" s="276" t="s">
        <v>300</v>
      </c>
      <c r="I21" s="276" t="s">
        <v>301</v>
      </c>
      <c r="J21" s="276" t="s">
        <v>302</v>
      </c>
      <c r="K21" s="277" t="s">
        <v>303</v>
      </c>
      <c r="L21" s="276" t="s">
        <v>304</v>
      </c>
      <c r="M21" s="278">
        <f t="shared" si="0"/>
        <v>15</v>
      </c>
      <c r="N21" s="278">
        <f t="shared" si="1"/>
        <v>15</v>
      </c>
      <c r="O21" s="278">
        <f t="shared" si="2"/>
        <v>15</v>
      </c>
      <c r="P21" s="278">
        <f t="shared" si="3"/>
        <v>15</v>
      </c>
      <c r="Q21" s="278">
        <f t="shared" si="4"/>
        <v>15</v>
      </c>
      <c r="R21" s="278">
        <f t="shared" si="12"/>
        <v>15</v>
      </c>
      <c r="S21" s="278">
        <f t="shared" si="5"/>
        <v>10</v>
      </c>
      <c r="T21" s="278">
        <f t="shared" si="6"/>
        <v>100</v>
      </c>
      <c r="U21" s="276" t="s">
        <v>122</v>
      </c>
      <c r="V21" s="276" t="s">
        <v>263</v>
      </c>
      <c r="W21" s="278">
        <f t="shared" si="7"/>
        <v>1</v>
      </c>
      <c r="X21" s="278">
        <f t="shared" si="8"/>
        <v>0</v>
      </c>
      <c r="Y21" s="278" t="str">
        <f t="shared" si="9"/>
        <v>Fuerte</v>
      </c>
      <c r="Z21" s="276" t="s">
        <v>305</v>
      </c>
      <c r="AA21" s="278" t="str">
        <f t="shared" si="10"/>
        <v>Fuerte</v>
      </c>
      <c r="AB21" s="278" t="str">
        <f t="shared" si="11"/>
        <v>No</v>
      </c>
      <c r="AC21" s="282"/>
      <c r="AD21" s="280"/>
    </row>
    <row r="22" spans="1:30" ht="114" x14ac:dyDescent="0.2">
      <c r="A22" s="1407"/>
      <c r="B22" s="1409"/>
      <c r="C22" s="1409"/>
      <c r="D22" s="397" t="str">
        <f>'[5]Analisis Riesgo'!K20</f>
        <v>Solicitar cuando se requiera la contratación de personal de apoyo.</v>
      </c>
      <c r="E22" s="397" t="str">
        <f>'[5]Analisis Riesgo'!L20</f>
        <v>Solicitar cuando se requiera la contratación de personal de apoyo para gestionar actividades especificas en la elaboración de planes o para liberar cargas de trabajo de funcionarios de la Subdirección que se deban dedicar a la formulación de planes esto en consideración a la falta de capacidades.</v>
      </c>
      <c r="F22" s="276" t="s">
        <v>296</v>
      </c>
      <c r="G22" s="276" t="s">
        <v>299</v>
      </c>
      <c r="H22" s="276" t="s">
        <v>300</v>
      </c>
      <c r="I22" s="276" t="s">
        <v>301</v>
      </c>
      <c r="J22" s="276" t="s">
        <v>302</v>
      </c>
      <c r="K22" s="277" t="s">
        <v>303</v>
      </c>
      <c r="L22" s="276" t="s">
        <v>304</v>
      </c>
      <c r="M22" s="278">
        <f t="shared" si="0"/>
        <v>15</v>
      </c>
      <c r="N22" s="278">
        <f t="shared" si="1"/>
        <v>15</v>
      </c>
      <c r="O22" s="278">
        <f t="shared" si="2"/>
        <v>15</v>
      </c>
      <c r="P22" s="278">
        <f t="shared" si="3"/>
        <v>15</v>
      </c>
      <c r="Q22" s="278">
        <f t="shared" si="4"/>
        <v>15</v>
      </c>
      <c r="R22" s="278">
        <f t="shared" si="12"/>
        <v>15</v>
      </c>
      <c r="S22" s="278">
        <f t="shared" si="5"/>
        <v>10</v>
      </c>
      <c r="T22" s="278">
        <f t="shared" si="6"/>
        <v>100</v>
      </c>
      <c r="U22" s="276" t="s">
        <v>263</v>
      </c>
      <c r="V22" s="276" t="s">
        <v>122</v>
      </c>
      <c r="W22" s="278">
        <f t="shared" si="7"/>
        <v>0</v>
      </c>
      <c r="X22" s="278">
        <f t="shared" si="8"/>
        <v>1</v>
      </c>
      <c r="Y22" s="278" t="str">
        <f t="shared" si="9"/>
        <v>Debil</v>
      </c>
      <c r="Z22" s="276" t="s">
        <v>305</v>
      </c>
      <c r="AA22" s="278" t="str">
        <f t="shared" si="10"/>
        <v>Fuerte</v>
      </c>
      <c r="AB22" s="278" t="str">
        <f t="shared" si="11"/>
        <v>SI</v>
      </c>
      <c r="AC22" s="282"/>
      <c r="AD22" s="280"/>
    </row>
    <row r="23" spans="1:30" ht="85.5" x14ac:dyDescent="0.2">
      <c r="A23" s="1255" t="e">
        <f>#REF!</f>
        <v>#REF!</v>
      </c>
      <c r="B23" s="1258" t="e">
        <f>#REF!</f>
        <v>#REF!</v>
      </c>
      <c r="C23" s="1258" t="e">
        <f>#REF!</f>
        <v>#REF!</v>
      </c>
      <c r="D23" s="397" t="str">
        <f>'[5]Analisis Riesgo'!K21</f>
        <v>Controles de revisión y verificación en la emisión de conceptos.</v>
      </c>
      <c r="E23" s="397" t="str">
        <f>'[5]Analisis Riesgo'!L21</f>
        <v>Aplicar niverles de revisión y verificación por parte del Coordinador del grupo de transmisión y el el Subdirector de Energía Eléctrica, al trabajo ejecutado por los profesionales del grupo de trabajo de transmisión.</v>
      </c>
      <c r="F23" s="276" t="s">
        <v>296</v>
      </c>
      <c r="G23" s="276" t="s">
        <v>299</v>
      </c>
      <c r="H23" s="276" t="s">
        <v>300</v>
      </c>
      <c r="I23" s="276" t="s">
        <v>301</v>
      </c>
      <c r="J23" s="276" t="s">
        <v>302</v>
      </c>
      <c r="K23" s="277" t="s">
        <v>303</v>
      </c>
      <c r="L23" s="276" t="s">
        <v>304</v>
      </c>
      <c r="M23" s="278">
        <f t="shared" si="0"/>
        <v>15</v>
      </c>
      <c r="N23" s="278">
        <f t="shared" si="1"/>
        <v>15</v>
      </c>
      <c r="O23" s="278">
        <f t="shared" si="2"/>
        <v>15</v>
      </c>
      <c r="P23" s="278">
        <f t="shared" si="3"/>
        <v>15</v>
      </c>
      <c r="Q23" s="278">
        <f t="shared" si="4"/>
        <v>15</v>
      </c>
      <c r="R23" s="278">
        <f t="shared" si="12"/>
        <v>15</v>
      </c>
      <c r="S23" s="278">
        <f t="shared" si="5"/>
        <v>10</v>
      </c>
      <c r="T23" s="278">
        <f t="shared" si="6"/>
        <v>100</v>
      </c>
      <c r="U23" s="276" t="s">
        <v>122</v>
      </c>
      <c r="V23" s="276" t="s">
        <v>263</v>
      </c>
      <c r="W23" s="278">
        <f t="shared" si="7"/>
        <v>1</v>
      </c>
      <c r="X23" s="278">
        <f t="shared" si="8"/>
        <v>0</v>
      </c>
      <c r="Y23" s="278" t="str">
        <f t="shared" si="9"/>
        <v>Fuerte</v>
      </c>
      <c r="Z23" s="276" t="s">
        <v>305</v>
      </c>
      <c r="AA23" s="278" t="str">
        <f t="shared" si="10"/>
        <v>Fuerte</v>
      </c>
      <c r="AB23" s="278" t="str">
        <f t="shared" si="11"/>
        <v>No</v>
      </c>
      <c r="AC23" s="279"/>
      <c r="AD23" s="280"/>
    </row>
    <row r="24" spans="1:30" ht="57" x14ac:dyDescent="0.2">
      <c r="A24" s="1256"/>
      <c r="B24" s="1259"/>
      <c r="C24" s="1259"/>
      <c r="D24" s="397" t="str">
        <f>'[5]Analisis Riesgo'!K22</f>
        <v>Solicitar al operador de red revisar la informaciòn entregada en la solicitud.</v>
      </c>
      <c r="E24" s="397" t="str">
        <f>'[5]Analisis Riesgo'!L22</f>
        <v>Realizar solicitudes para que el operador de red  revise y aclarare la información entregada en la solicitud de permiso de conexión.</v>
      </c>
      <c r="F24" s="276" t="s">
        <v>296</v>
      </c>
      <c r="G24" s="276" t="s">
        <v>299</v>
      </c>
      <c r="H24" s="276" t="s">
        <v>300</v>
      </c>
      <c r="I24" s="276" t="s">
        <v>301</v>
      </c>
      <c r="J24" s="276" t="s">
        <v>302</v>
      </c>
      <c r="K24" s="277" t="s">
        <v>303</v>
      </c>
      <c r="L24" s="276" t="s">
        <v>304</v>
      </c>
      <c r="M24" s="278">
        <f t="shared" si="0"/>
        <v>15</v>
      </c>
      <c r="N24" s="278">
        <f t="shared" si="1"/>
        <v>15</v>
      </c>
      <c r="O24" s="278">
        <f t="shared" si="2"/>
        <v>15</v>
      </c>
      <c r="P24" s="278">
        <f t="shared" si="3"/>
        <v>15</v>
      </c>
      <c r="Q24" s="278">
        <f t="shared" si="4"/>
        <v>15</v>
      </c>
      <c r="R24" s="278">
        <f t="shared" si="12"/>
        <v>15</v>
      </c>
      <c r="S24" s="278">
        <f t="shared" si="5"/>
        <v>10</v>
      </c>
      <c r="T24" s="278">
        <f t="shared" si="6"/>
        <v>100</v>
      </c>
      <c r="U24" s="276" t="s">
        <v>122</v>
      </c>
      <c r="V24" s="276" t="s">
        <v>263</v>
      </c>
      <c r="W24" s="278">
        <f t="shared" si="7"/>
        <v>1</v>
      </c>
      <c r="X24" s="278">
        <f t="shared" si="8"/>
        <v>0</v>
      </c>
      <c r="Y24" s="278" t="str">
        <f t="shared" si="9"/>
        <v>Fuerte</v>
      </c>
      <c r="Z24" s="276" t="s">
        <v>305</v>
      </c>
      <c r="AA24" s="278" t="str">
        <f t="shared" si="10"/>
        <v>Fuerte</v>
      </c>
      <c r="AB24" s="278" t="str">
        <f t="shared" si="11"/>
        <v>No</v>
      </c>
      <c r="AC24" s="279"/>
      <c r="AD24" s="280"/>
    </row>
    <row r="25" spans="1:30" ht="71.25" x14ac:dyDescent="0.2">
      <c r="A25" s="1255" t="e">
        <f>#REF!</f>
        <v>#REF!</v>
      </c>
      <c r="B25" s="1258" t="e">
        <f>#REF!</f>
        <v>#REF!</v>
      </c>
      <c r="C25" s="1258" t="e">
        <f>#REF!</f>
        <v>#REF!</v>
      </c>
      <c r="D25" s="274" t="str">
        <f>'[5]Analisis Riesgo'!K23</f>
        <v>Solicitar información de cobertura e infraestructura georeferenciada a los operadores de red</v>
      </c>
      <c r="E25" s="275" t="str">
        <f>'[5]Analisis Riesgo'!L23</f>
        <v>Solicitar de información a los operadores de red  (redes, viviendas sin servicio, subestaciones) con el propósito de contar con información completa para la elaboración del plan.</v>
      </c>
      <c r="F25" s="276" t="s">
        <v>296</v>
      </c>
      <c r="G25" s="276" t="s">
        <v>299</v>
      </c>
      <c r="H25" s="276" t="s">
        <v>300</v>
      </c>
      <c r="I25" s="276" t="s">
        <v>301</v>
      </c>
      <c r="J25" s="276" t="s">
        <v>302</v>
      </c>
      <c r="K25" s="277" t="s">
        <v>303</v>
      </c>
      <c r="L25" s="276" t="s">
        <v>304</v>
      </c>
      <c r="M25" s="278">
        <f t="shared" si="0"/>
        <v>15</v>
      </c>
      <c r="N25" s="278">
        <f t="shared" si="1"/>
        <v>15</v>
      </c>
      <c r="O25" s="278">
        <f t="shared" si="2"/>
        <v>15</v>
      </c>
      <c r="P25" s="278">
        <f t="shared" si="3"/>
        <v>15</v>
      </c>
      <c r="Q25" s="278">
        <f t="shared" si="4"/>
        <v>15</v>
      </c>
      <c r="R25" s="278">
        <f t="shared" si="12"/>
        <v>15</v>
      </c>
      <c r="S25" s="278">
        <f t="shared" si="5"/>
        <v>10</v>
      </c>
      <c r="T25" s="278">
        <f t="shared" si="6"/>
        <v>100</v>
      </c>
      <c r="U25" s="276" t="s">
        <v>122</v>
      </c>
      <c r="V25" s="276" t="s">
        <v>263</v>
      </c>
      <c r="W25" s="278">
        <f t="shared" si="7"/>
        <v>1</v>
      </c>
      <c r="X25" s="278">
        <f t="shared" si="8"/>
        <v>0</v>
      </c>
      <c r="Y25" s="278" t="str">
        <f t="shared" si="9"/>
        <v>Fuerte</v>
      </c>
      <c r="Z25" s="276" t="s">
        <v>305</v>
      </c>
      <c r="AA25" s="278" t="str">
        <f t="shared" si="10"/>
        <v>Fuerte</v>
      </c>
      <c r="AB25" s="278" t="str">
        <f t="shared" si="11"/>
        <v>No</v>
      </c>
      <c r="AC25" s="279"/>
      <c r="AD25" s="398"/>
    </row>
    <row r="26" spans="1:30" ht="57" x14ac:dyDescent="0.2">
      <c r="A26" s="1256"/>
      <c r="B26" s="1259"/>
      <c r="C26" s="1259"/>
      <c r="D26" s="274" t="str">
        <f>'[5]Analisis Riesgo'!K24</f>
        <v>Realizar solicitudes y mesas técnicas para consolidar información de la cobertura.</v>
      </c>
      <c r="E26" s="275" t="str">
        <f>'[5]Analisis Riesgo'!L24</f>
        <v>Mesas técnicas con entidades (MME, IPSE, SSPD y DANE) para obtener información requerida para el planeamiento de la cobertura de energía eléctrica.</v>
      </c>
      <c r="F26" s="276" t="s">
        <v>296</v>
      </c>
      <c r="G26" s="276" t="s">
        <v>299</v>
      </c>
      <c r="H26" s="276" t="s">
        <v>300</v>
      </c>
      <c r="I26" s="276" t="s">
        <v>301</v>
      </c>
      <c r="J26" s="276" t="s">
        <v>302</v>
      </c>
      <c r="K26" s="277" t="s">
        <v>303</v>
      </c>
      <c r="L26" s="276" t="s">
        <v>304</v>
      </c>
      <c r="M26" s="278">
        <f t="shared" si="0"/>
        <v>15</v>
      </c>
      <c r="N26" s="278">
        <f t="shared" si="1"/>
        <v>15</v>
      </c>
      <c r="O26" s="278">
        <f t="shared" si="2"/>
        <v>15</v>
      </c>
      <c r="P26" s="278">
        <f t="shared" si="3"/>
        <v>15</v>
      </c>
      <c r="Q26" s="278">
        <f t="shared" si="4"/>
        <v>15</v>
      </c>
      <c r="R26" s="278">
        <f t="shared" si="12"/>
        <v>15</v>
      </c>
      <c r="S26" s="278">
        <f t="shared" si="5"/>
        <v>10</v>
      </c>
      <c r="T26" s="278">
        <f t="shared" si="6"/>
        <v>100</v>
      </c>
      <c r="U26" s="276" t="s">
        <v>122</v>
      </c>
      <c r="V26" s="276" t="s">
        <v>263</v>
      </c>
      <c r="W26" s="278">
        <f t="shared" si="7"/>
        <v>1</v>
      </c>
      <c r="X26" s="278">
        <f t="shared" si="8"/>
        <v>0</v>
      </c>
      <c r="Y26" s="278" t="str">
        <f t="shared" si="9"/>
        <v>Fuerte</v>
      </c>
      <c r="Z26" s="276" t="s">
        <v>305</v>
      </c>
      <c r="AA26" s="278" t="str">
        <f t="shared" si="10"/>
        <v>Fuerte</v>
      </c>
      <c r="AB26" s="278" t="str">
        <f t="shared" si="11"/>
        <v>No</v>
      </c>
      <c r="AC26" s="281"/>
      <c r="AD26" s="399"/>
    </row>
    <row r="27" spans="1:30" ht="114" x14ac:dyDescent="0.2">
      <c r="A27" s="1256"/>
      <c r="B27" s="1259"/>
      <c r="C27" s="1259"/>
      <c r="D27" s="274" t="str">
        <f>'[5]Analisis Riesgo'!K25</f>
        <v>Solicitar a la Oficina de Gestión de Fondos Información para el planeamiento de la cobertura. (Acuerdo de Niveles de Servicio).</v>
      </c>
      <c r="E27" s="275" t="str">
        <f>'[5]Analisis Riesgo'!L25</f>
        <v>Solicitar la Información de los PERS y la información resultante de los proyectos evaluados en la Oficina de Gestión de Proyectos de Fondos. Esta información es ingresada por la OGPF en la herramienta SITIOS y en SIPERS de manera permanente la cual se tiene acceso en la Subdirección de Energía.</v>
      </c>
      <c r="F27" s="276" t="s">
        <v>296</v>
      </c>
      <c r="G27" s="276" t="s">
        <v>299</v>
      </c>
      <c r="H27" s="276" t="s">
        <v>300</v>
      </c>
      <c r="I27" s="276" t="s">
        <v>301</v>
      </c>
      <c r="J27" s="276" t="s">
        <v>302</v>
      </c>
      <c r="K27" s="277" t="s">
        <v>303</v>
      </c>
      <c r="L27" s="276" t="s">
        <v>304</v>
      </c>
      <c r="M27" s="278">
        <f t="shared" si="0"/>
        <v>15</v>
      </c>
      <c r="N27" s="278">
        <f t="shared" si="1"/>
        <v>15</v>
      </c>
      <c r="O27" s="278">
        <f t="shared" si="2"/>
        <v>15</v>
      </c>
      <c r="P27" s="278">
        <f t="shared" si="3"/>
        <v>15</v>
      </c>
      <c r="Q27" s="278">
        <f t="shared" si="4"/>
        <v>15</v>
      </c>
      <c r="R27" s="278">
        <f t="shared" si="12"/>
        <v>15</v>
      </c>
      <c r="S27" s="278">
        <f t="shared" si="5"/>
        <v>10</v>
      </c>
      <c r="T27" s="278">
        <f t="shared" si="6"/>
        <v>100</v>
      </c>
      <c r="U27" s="276" t="s">
        <v>122</v>
      </c>
      <c r="V27" s="276" t="s">
        <v>263</v>
      </c>
      <c r="W27" s="278">
        <f t="shared" si="7"/>
        <v>1</v>
      </c>
      <c r="X27" s="278">
        <f t="shared" si="8"/>
        <v>0</v>
      </c>
      <c r="Y27" s="278" t="str">
        <f t="shared" si="9"/>
        <v>Fuerte</v>
      </c>
      <c r="Z27" s="276" t="s">
        <v>305</v>
      </c>
      <c r="AA27" s="278" t="str">
        <f t="shared" si="10"/>
        <v>Fuerte</v>
      </c>
      <c r="AB27" s="278" t="str">
        <f t="shared" si="11"/>
        <v>No</v>
      </c>
      <c r="AC27" s="281"/>
      <c r="AD27" s="280"/>
    </row>
    <row r="28" spans="1:30" ht="71.25" x14ac:dyDescent="0.2">
      <c r="A28" s="1256"/>
      <c r="B28" s="1259"/>
      <c r="C28" s="1259"/>
      <c r="D28" s="274" t="str">
        <f>'[5]Analisis Riesgo'!K26</f>
        <v>Contar con herramientas informáticas para elaboración del Plan de Cobertura.</v>
      </c>
      <c r="E28" s="275" t="str">
        <f>'[5]Analisis Riesgo'!L26</f>
        <v>Disponer de las herramientas como Arcgis, Matlab y Hommer para efectuar modelamiento que permite realizar los calculos para la elaboración del Plan Indicativo de Expansión de la Cobertura</v>
      </c>
      <c r="F28" s="276" t="s">
        <v>296</v>
      </c>
      <c r="G28" s="276" t="s">
        <v>299</v>
      </c>
      <c r="H28" s="276" t="s">
        <v>300</v>
      </c>
      <c r="I28" s="276" t="s">
        <v>301</v>
      </c>
      <c r="J28" s="276" t="s">
        <v>302</v>
      </c>
      <c r="K28" s="277" t="s">
        <v>303</v>
      </c>
      <c r="L28" s="276" t="s">
        <v>304</v>
      </c>
      <c r="M28" s="278">
        <f t="shared" si="0"/>
        <v>15</v>
      </c>
      <c r="N28" s="278">
        <f t="shared" si="1"/>
        <v>15</v>
      </c>
      <c r="O28" s="278">
        <f t="shared" si="2"/>
        <v>15</v>
      </c>
      <c r="P28" s="278">
        <f t="shared" si="3"/>
        <v>15</v>
      </c>
      <c r="Q28" s="278">
        <f t="shared" si="4"/>
        <v>15</v>
      </c>
      <c r="R28" s="278">
        <f t="shared" si="12"/>
        <v>15</v>
      </c>
      <c r="S28" s="278">
        <f t="shared" si="5"/>
        <v>10</v>
      </c>
      <c r="T28" s="278">
        <f t="shared" si="6"/>
        <v>100</v>
      </c>
      <c r="U28" s="276" t="s">
        <v>122</v>
      </c>
      <c r="V28" s="276" t="s">
        <v>263</v>
      </c>
      <c r="W28" s="278">
        <f t="shared" si="7"/>
        <v>1</v>
      </c>
      <c r="X28" s="278">
        <f t="shared" si="8"/>
        <v>0</v>
      </c>
      <c r="Y28" s="278" t="str">
        <f t="shared" si="9"/>
        <v>Fuerte</v>
      </c>
      <c r="Z28" s="276" t="s">
        <v>305</v>
      </c>
      <c r="AA28" s="278" t="str">
        <f t="shared" si="10"/>
        <v>Fuerte</v>
      </c>
      <c r="AB28" s="278" t="str">
        <f t="shared" si="11"/>
        <v>No</v>
      </c>
      <c r="AC28" s="281"/>
      <c r="AD28" s="398"/>
    </row>
    <row r="29" spans="1:30" ht="156.75" x14ac:dyDescent="0.2">
      <c r="A29" s="1255" t="e">
        <f>#REF!</f>
        <v>#REF!</v>
      </c>
      <c r="B29" s="1258" t="e">
        <f>#REF!</f>
        <v>#REF!</v>
      </c>
      <c r="C29" s="1258" t="e">
        <f>#REF!</f>
        <v>#REF!</v>
      </c>
      <c r="D29" s="274" t="str">
        <f>'[5]Analisis Riesgo'!K27</f>
        <v>Aplicar el control de Gestión con responsables en la Elaboración, Revisión y Aprobación de documentos.</v>
      </c>
      <c r="E29" s="275" t="str">
        <f>'[5]Analisis Riesgo'!L27</f>
        <v>En las actividades de la Subdirección de Energía esta determinado que los Profesionales elaboran documentos y conceptos técnicos, los cuales son verificados por los coordinadores de los grupos de trabajo y finalmente avalados por el Subdirector de Energía. Este control busca garantizar que la información verificada y revisada por varios actores para evitar el favorecimiento propio o a particulares.</v>
      </c>
      <c r="F29" s="276" t="s">
        <v>296</v>
      </c>
      <c r="G29" s="276" t="s">
        <v>299</v>
      </c>
      <c r="H29" s="276" t="s">
        <v>300</v>
      </c>
      <c r="I29" s="276" t="s">
        <v>301</v>
      </c>
      <c r="J29" s="276" t="s">
        <v>302</v>
      </c>
      <c r="K29" s="277" t="s">
        <v>303</v>
      </c>
      <c r="L29" s="276" t="s">
        <v>304</v>
      </c>
      <c r="M29" s="278">
        <f t="shared" si="0"/>
        <v>15</v>
      </c>
      <c r="N29" s="278">
        <f t="shared" si="1"/>
        <v>15</v>
      </c>
      <c r="O29" s="278">
        <f t="shared" si="2"/>
        <v>15</v>
      </c>
      <c r="P29" s="278">
        <f t="shared" si="3"/>
        <v>15</v>
      </c>
      <c r="Q29" s="278">
        <f t="shared" si="4"/>
        <v>15</v>
      </c>
      <c r="R29" s="278">
        <f t="shared" si="12"/>
        <v>15</v>
      </c>
      <c r="S29" s="278">
        <f t="shared" si="5"/>
        <v>10</v>
      </c>
      <c r="T29" s="278">
        <f t="shared" si="6"/>
        <v>100</v>
      </c>
      <c r="U29" s="276" t="s">
        <v>122</v>
      </c>
      <c r="V29" s="276" t="s">
        <v>263</v>
      </c>
      <c r="W29" s="278">
        <f t="shared" si="7"/>
        <v>1</v>
      </c>
      <c r="X29" s="278">
        <f t="shared" si="8"/>
        <v>0</v>
      </c>
      <c r="Y29" s="278" t="str">
        <f t="shared" si="9"/>
        <v>Fuerte</v>
      </c>
      <c r="Z29" s="276" t="s">
        <v>305</v>
      </c>
      <c r="AA29" s="278" t="str">
        <f t="shared" si="10"/>
        <v>Fuerte</v>
      </c>
      <c r="AB29" s="278" t="str">
        <f t="shared" si="11"/>
        <v>No</v>
      </c>
      <c r="AC29" s="281"/>
      <c r="AD29" s="280"/>
    </row>
    <row r="30" spans="1:30" ht="142.5" x14ac:dyDescent="0.2">
      <c r="A30" s="1256"/>
      <c r="B30" s="1259"/>
      <c r="C30" s="1259"/>
      <c r="D30" s="274" t="str">
        <f>'[5]Analisis Riesgo'!K28</f>
        <v>Efectuar comparación de información</v>
      </c>
      <c r="E30" s="275" t="str">
        <f>'[5]Analisis Riesgo'!L28</f>
        <v>En este control se realiza la comparación del estudio de conexión contra el modelamiento, lo cual permite identificar si hay modificación o alteración de información. Es aplicado por los profesionales y revisado por el coordinador del grupo de transmisión de energía eléctrica esto es registrado en los documentos de evaluación de la solicitudde permiso de conexión.</v>
      </c>
      <c r="F30" s="276" t="s">
        <v>296</v>
      </c>
      <c r="G30" s="276" t="s">
        <v>299</v>
      </c>
      <c r="H30" s="276" t="s">
        <v>300</v>
      </c>
      <c r="I30" s="276" t="s">
        <v>301</v>
      </c>
      <c r="J30" s="276" t="s">
        <v>302</v>
      </c>
      <c r="K30" s="277" t="s">
        <v>303</v>
      </c>
      <c r="L30" s="276" t="s">
        <v>304</v>
      </c>
      <c r="M30" s="278">
        <f t="shared" si="0"/>
        <v>15</v>
      </c>
      <c r="N30" s="278">
        <f t="shared" si="1"/>
        <v>15</v>
      </c>
      <c r="O30" s="278">
        <f t="shared" si="2"/>
        <v>15</v>
      </c>
      <c r="P30" s="278">
        <f t="shared" si="3"/>
        <v>15</v>
      </c>
      <c r="Q30" s="278">
        <f t="shared" si="4"/>
        <v>15</v>
      </c>
      <c r="R30" s="278">
        <f t="shared" si="12"/>
        <v>15</v>
      </c>
      <c r="S30" s="278">
        <f t="shared" si="5"/>
        <v>10</v>
      </c>
      <c r="T30" s="278">
        <f t="shared" si="6"/>
        <v>100</v>
      </c>
      <c r="U30" s="276" t="s">
        <v>122</v>
      </c>
      <c r="V30" s="276" t="s">
        <v>263</v>
      </c>
      <c r="W30" s="278">
        <f t="shared" si="7"/>
        <v>1</v>
      </c>
      <c r="X30" s="278">
        <f t="shared" si="8"/>
        <v>0</v>
      </c>
      <c r="Y30" s="278" t="str">
        <f t="shared" si="9"/>
        <v>Fuerte</v>
      </c>
      <c r="Z30" s="276" t="s">
        <v>305</v>
      </c>
      <c r="AA30" s="278" t="str">
        <f t="shared" si="10"/>
        <v>Fuerte</v>
      </c>
      <c r="AB30" s="278" t="str">
        <f t="shared" si="11"/>
        <v>No</v>
      </c>
      <c r="AC30" s="279"/>
      <c r="AD30" s="280"/>
    </row>
    <row r="31" spans="1:30" ht="171" x14ac:dyDescent="0.2">
      <c r="A31" s="1256"/>
      <c r="B31" s="1259"/>
      <c r="C31" s="1259"/>
      <c r="D31" s="274" t="str">
        <f>'[5]Analisis Riesgo'!K29</f>
        <v>Solicitar soporte técnico para la administración de datos e información a la OGI Oficina de Gestión de la información</v>
      </c>
      <c r="E31" s="275" t="str">
        <f>'[5]Analisis Riesgo'!L29</f>
        <v>Este control se aplica cada vez que se requiere a través de correo electrónico o los medios dispuestos por la Oficina de Gestión de la Información, en los que se les solicita apoyo para el manejo y administración de datos e información, tiene como propósito se apliquen las políticas de información de la entidad apoyandose en el conocimiento de esta otra dependencia para resolver inquietudes. Estas solicitudes son realizada por los Coordinadores de la Subdirección de Energía o por el Subdirector de Energía</v>
      </c>
      <c r="F31" s="276" t="s">
        <v>296</v>
      </c>
      <c r="G31" s="276" t="s">
        <v>299</v>
      </c>
      <c r="H31" s="276" t="s">
        <v>300</v>
      </c>
      <c r="I31" s="276" t="s">
        <v>301</v>
      </c>
      <c r="J31" s="276" t="s">
        <v>302</v>
      </c>
      <c r="K31" s="277" t="s">
        <v>303</v>
      </c>
      <c r="L31" s="276" t="s">
        <v>304</v>
      </c>
      <c r="M31" s="278">
        <f t="shared" si="0"/>
        <v>15</v>
      </c>
      <c r="N31" s="278">
        <f t="shared" si="1"/>
        <v>15</v>
      </c>
      <c r="O31" s="278">
        <f t="shared" si="2"/>
        <v>15</v>
      </c>
      <c r="P31" s="278">
        <f t="shared" si="3"/>
        <v>15</v>
      </c>
      <c r="Q31" s="278">
        <f t="shared" si="4"/>
        <v>15</v>
      </c>
      <c r="R31" s="278">
        <f t="shared" si="12"/>
        <v>15</v>
      </c>
      <c r="S31" s="278">
        <f t="shared" si="5"/>
        <v>10</v>
      </c>
      <c r="T31" s="278">
        <f t="shared" si="6"/>
        <v>100</v>
      </c>
      <c r="U31" s="276" t="s">
        <v>122</v>
      </c>
      <c r="V31" s="276" t="s">
        <v>263</v>
      </c>
      <c r="W31" s="278">
        <f t="shared" si="7"/>
        <v>1</v>
      </c>
      <c r="X31" s="278">
        <f t="shared" si="8"/>
        <v>0</v>
      </c>
      <c r="Y31" s="278" t="str">
        <f t="shared" si="9"/>
        <v>Fuerte</v>
      </c>
      <c r="Z31" s="276" t="s">
        <v>305</v>
      </c>
      <c r="AA31" s="278" t="str">
        <f t="shared" si="10"/>
        <v>Fuerte</v>
      </c>
      <c r="AB31" s="278" t="str">
        <f t="shared" si="11"/>
        <v>No</v>
      </c>
      <c r="AC31" s="279"/>
      <c r="AD31" s="280"/>
    </row>
    <row r="32" spans="1:30" ht="142.5" x14ac:dyDescent="0.2">
      <c r="A32" s="1256"/>
      <c r="B32" s="1259"/>
      <c r="C32" s="1259"/>
      <c r="D32" s="274" t="str">
        <f>'[5]Analisis Riesgo'!K30</f>
        <v>Aplicar controles de acceso a la información del proceso.</v>
      </c>
      <c r="E32" s="275" t="str">
        <f>'[5]Analisis Riesgo'!L30</f>
        <v>Existe controles especificos para la manipulación y consulta de información en el grupo de  generación de energái electrica,  se tiene un control para el acceso de las mediciones de viento para temas de energía eólica en la cual la descarga es administrada por un sola persona con acceso. Evitando de esta forma se altere o manipule de manera inadecuada la información.</v>
      </c>
      <c r="F32" s="276" t="s">
        <v>296</v>
      </c>
      <c r="G32" s="276" t="s">
        <v>299</v>
      </c>
      <c r="H32" s="276" t="s">
        <v>300</v>
      </c>
      <c r="I32" s="276" t="s">
        <v>301</v>
      </c>
      <c r="J32" s="276" t="s">
        <v>302</v>
      </c>
      <c r="K32" s="277" t="s">
        <v>303</v>
      </c>
      <c r="L32" s="276" t="s">
        <v>304</v>
      </c>
      <c r="M32" s="278">
        <f t="shared" si="0"/>
        <v>15</v>
      </c>
      <c r="N32" s="278">
        <f t="shared" si="1"/>
        <v>15</v>
      </c>
      <c r="O32" s="278">
        <f t="shared" si="2"/>
        <v>15</v>
      </c>
      <c r="P32" s="278">
        <f t="shared" si="3"/>
        <v>15</v>
      </c>
      <c r="Q32" s="278">
        <f t="shared" si="4"/>
        <v>15</v>
      </c>
      <c r="R32" s="278">
        <f t="shared" si="12"/>
        <v>15</v>
      </c>
      <c r="S32" s="278">
        <f t="shared" si="5"/>
        <v>10</v>
      </c>
      <c r="T32" s="278">
        <f t="shared" si="6"/>
        <v>100</v>
      </c>
      <c r="U32" s="276" t="s">
        <v>122</v>
      </c>
      <c r="V32" s="276" t="s">
        <v>263</v>
      </c>
      <c r="W32" s="278">
        <f t="shared" si="7"/>
        <v>1</v>
      </c>
      <c r="X32" s="278">
        <f t="shared" si="8"/>
        <v>0</v>
      </c>
      <c r="Y32" s="278" t="str">
        <f t="shared" si="9"/>
        <v>Fuerte</v>
      </c>
      <c r="Z32" s="276" t="s">
        <v>305</v>
      </c>
      <c r="AA32" s="278" t="str">
        <f t="shared" si="10"/>
        <v>Fuerte</v>
      </c>
      <c r="AB32" s="278" t="str">
        <f t="shared" si="11"/>
        <v>No</v>
      </c>
      <c r="AC32" s="279"/>
      <c r="AD32" s="280"/>
    </row>
    <row r="33" spans="1:30" ht="114" x14ac:dyDescent="0.2">
      <c r="A33" s="1256"/>
      <c r="B33" s="1259"/>
      <c r="C33" s="1259"/>
      <c r="D33" s="274" t="str">
        <f>'[5]Analisis Riesgo'!K31</f>
        <v>Almacenar información en repositorio institucional</v>
      </c>
      <c r="E33" s="275" t="str">
        <f>'[5]Analisis Riesgo'!L31</f>
        <v>Este control es aplicado como regla en la cual se almacena información del proceso en el repositorio institucional para velar por la protección preservación y  conservación de la información del proceso. En los casos de alteración o manipulación de información esta podrá ser recuperada a través de los mecanismos de protección.</v>
      </c>
      <c r="F33" s="276" t="s">
        <v>296</v>
      </c>
      <c r="G33" s="276" t="s">
        <v>299</v>
      </c>
      <c r="H33" s="276" t="s">
        <v>300</v>
      </c>
      <c r="I33" s="276" t="s">
        <v>301</v>
      </c>
      <c r="J33" s="276" t="s">
        <v>302</v>
      </c>
      <c r="K33" s="277" t="s">
        <v>303</v>
      </c>
      <c r="L33" s="276" t="s">
        <v>304</v>
      </c>
      <c r="M33" s="278">
        <f t="shared" si="0"/>
        <v>15</v>
      </c>
      <c r="N33" s="278">
        <f t="shared" si="1"/>
        <v>15</v>
      </c>
      <c r="O33" s="278">
        <f t="shared" si="2"/>
        <v>15</v>
      </c>
      <c r="P33" s="278">
        <f t="shared" si="3"/>
        <v>15</v>
      </c>
      <c r="Q33" s="278">
        <f t="shared" si="4"/>
        <v>15</v>
      </c>
      <c r="R33" s="278">
        <f t="shared" si="12"/>
        <v>15</v>
      </c>
      <c r="S33" s="278">
        <f t="shared" si="5"/>
        <v>10</v>
      </c>
      <c r="T33" s="278">
        <f t="shared" si="6"/>
        <v>100</v>
      </c>
      <c r="U33" s="276" t="s">
        <v>263</v>
      </c>
      <c r="V33" s="276" t="s">
        <v>122</v>
      </c>
      <c r="W33" s="278">
        <f t="shared" si="7"/>
        <v>0</v>
      </c>
      <c r="X33" s="278">
        <f t="shared" si="8"/>
        <v>1</v>
      </c>
      <c r="Y33" s="278" t="str">
        <f t="shared" si="9"/>
        <v>Debil</v>
      </c>
      <c r="Z33" s="276" t="s">
        <v>305</v>
      </c>
      <c r="AA33" s="278" t="str">
        <f t="shared" si="10"/>
        <v>Fuerte</v>
      </c>
      <c r="AB33" s="278" t="str">
        <f t="shared" si="11"/>
        <v>SI</v>
      </c>
      <c r="AC33" s="279"/>
      <c r="AD33" s="280"/>
    </row>
    <row r="34" spans="1:30" ht="99.75" x14ac:dyDescent="0.2">
      <c r="A34" s="1257"/>
      <c r="B34" s="1208"/>
      <c r="C34" s="1208"/>
      <c r="D34" s="274" t="str">
        <f>'[5]Analisis Riesgo'!K32</f>
        <v>Aplicar acuerdos de confidencialidad e integridad de la información.</v>
      </c>
      <c r="E34" s="275" t="str">
        <f>'[5]Analisis Riesgo'!L32</f>
        <v>De acuerdo con las Políticas Institucionales de Información la Subdirección de Energía  velará por que sean suscritos de los acuerdos de confidencialidad en los casos en los que sea requerido, es control tiene como propósito velar por el adecuado uso de la información administrada por la UPME</v>
      </c>
      <c r="F34" s="276" t="s">
        <v>296</v>
      </c>
      <c r="G34" s="276" t="s">
        <v>299</v>
      </c>
      <c r="H34" s="276" t="s">
        <v>300</v>
      </c>
      <c r="I34" s="276" t="s">
        <v>301</v>
      </c>
      <c r="J34" s="276" t="s">
        <v>302</v>
      </c>
      <c r="K34" s="277" t="s">
        <v>303</v>
      </c>
      <c r="L34" s="276" t="s">
        <v>304</v>
      </c>
      <c r="M34" s="278">
        <f t="shared" si="0"/>
        <v>15</v>
      </c>
      <c r="N34" s="278">
        <f t="shared" si="1"/>
        <v>15</v>
      </c>
      <c r="O34" s="278">
        <f t="shared" si="2"/>
        <v>15</v>
      </c>
      <c r="P34" s="278">
        <f t="shared" si="3"/>
        <v>15</v>
      </c>
      <c r="Q34" s="278">
        <f t="shared" si="4"/>
        <v>15</v>
      </c>
      <c r="R34" s="278">
        <f t="shared" si="12"/>
        <v>15</v>
      </c>
      <c r="S34" s="278">
        <f t="shared" si="5"/>
        <v>10</v>
      </c>
      <c r="T34" s="278">
        <f t="shared" si="6"/>
        <v>100</v>
      </c>
      <c r="U34" s="276" t="s">
        <v>122</v>
      </c>
      <c r="V34" s="276" t="s">
        <v>263</v>
      </c>
      <c r="W34" s="278">
        <f t="shared" si="7"/>
        <v>1</v>
      </c>
      <c r="X34" s="278">
        <f t="shared" si="8"/>
        <v>0</v>
      </c>
      <c r="Y34" s="278" t="str">
        <f t="shared" si="9"/>
        <v>Fuerte</v>
      </c>
      <c r="Z34" s="276" t="s">
        <v>305</v>
      </c>
      <c r="AA34" s="278" t="str">
        <f t="shared" si="10"/>
        <v>Fuerte</v>
      </c>
      <c r="AB34" s="278" t="str">
        <f t="shared" si="11"/>
        <v>No</v>
      </c>
      <c r="AC34" s="279"/>
      <c r="AD34" s="280"/>
    </row>
    <row r="35" spans="1:30" ht="85.5" x14ac:dyDescent="0.2">
      <c r="A35" s="1255" t="e">
        <f>#REF!</f>
        <v>#REF!</v>
      </c>
      <c r="B35" s="1258" t="e">
        <f>#REF!</f>
        <v>#REF!</v>
      </c>
      <c r="C35" s="1258" t="e">
        <f>#REF!</f>
        <v>#REF!</v>
      </c>
      <c r="D35" s="274" t="str">
        <f>'[5]Analisis Riesgo'!K33</f>
        <v>Evaluar en orden de recepción las solicitudes de permiso de conexión.</v>
      </c>
      <c r="E35" s="275" t="str">
        <f>'[5]Analisis Riesgo'!L33</f>
        <v xml:space="preserve">Este control implica que las solicitudes de permiso de conexiòn son evaluadas en orden de ingreso a la entiedad, teniendose como herramienta para asegurar esto un control de radiados de Orfeo. Con esto se evita </v>
      </c>
      <c r="F35" s="276" t="s">
        <v>296</v>
      </c>
      <c r="G35" s="276" t="s">
        <v>299</v>
      </c>
      <c r="H35" s="276" t="s">
        <v>300</v>
      </c>
      <c r="I35" s="276" t="s">
        <v>301</v>
      </c>
      <c r="J35" s="276" t="s">
        <v>302</v>
      </c>
      <c r="K35" s="277" t="s">
        <v>303</v>
      </c>
      <c r="L35" s="276" t="s">
        <v>304</v>
      </c>
      <c r="M35" s="278">
        <f t="shared" si="0"/>
        <v>15</v>
      </c>
      <c r="N35" s="278">
        <f t="shared" si="1"/>
        <v>15</v>
      </c>
      <c r="O35" s="278">
        <f t="shared" si="2"/>
        <v>15</v>
      </c>
      <c r="P35" s="278">
        <f t="shared" si="3"/>
        <v>15</v>
      </c>
      <c r="Q35" s="278">
        <f t="shared" si="4"/>
        <v>15</v>
      </c>
      <c r="R35" s="278">
        <f t="shared" si="12"/>
        <v>15</v>
      </c>
      <c r="S35" s="278">
        <f t="shared" si="5"/>
        <v>10</v>
      </c>
      <c r="T35" s="278">
        <f t="shared" si="6"/>
        <v>100</v>
      </c>
      <c r="U35" s="276" t="s">
        <v>122</v>
      </c>
      <c r="V35" s="276" t="s">
        <v>263</v>
      </c>
      <c r="W35" s="278">
        <f t="shared" si="7"/>
        <v>1</v>
      </c>
      <c r="X35" s="278">
        <f t="shared" si="8"/>
        <v>0</v>
      </c>
      <c r="Y35" s="278" t="str">
        <f t="shared" si="9"/>
        <v>Fuerte</v>
      </c>
      <c r="Z35" s="276" t="s">
        <v>305</v>
      </c>
      <c r="AA35" s="278" t="str">
        <f t="shared" si="10"/>
        <v>Fuerte</v>
      </c>
      <c r="AB35" s="278" t="str">
        <f t="shared" si="11"/>
        <v>No</v>
      </c>
      <c r="AC35" s="279"/>
      <c r="AD35" s="399"/>
    </row>
    <row r="36" spans="1:30" ht="150.75" customHeight="1" x14ac:dyDescent="0.2">
      <c r="A36" s="1256"/>
      <c r="B36" s="1259"/>
      <c r="C36" s="1259"/>
      <c r="D36" s="274" t="str">
        <f>'[5]Analisis Riesgo'!K34</f>
        <v>Utilizar los canales de atención formales.</v>
      </c>
      <c r="E36" s="275" t="str">
        <f>'[5]Analisis Riesgo'!L34</f>
        <v>Este control se ha definido con el propósito de los evaluadores de conceptos de conexión y otros profesionales de la subdirección, indiquen a los usuarios los mecanismos de atención formales mediante los cuales se deben realizar la comunicación con la entidad. Esto se ejecuta con el propósito de que no se atiendan inquietudes, solicitudes y evitar las presiones indebidas de los operadores a los evaluadores.</v>
      </c>
      <c r="F36" s="276" t="s">
        <v>296</v>
      </c>
      <c r="G36" s="276" t="s">
        <v>299</v>
      </c>
      <c r="H36" s="276" t="s">
        <v>300</v>
      </c>
      <c r="I36" s="276" t="s">
        <v>301</v>
      </c>
      <c r="J36" s="276" t="s">
        <v>302</v>
      </c>
      <c r="K36" s="277" t="s">
        <v>303</v>
      </c>
      <c r="L36" s="276" t="s">
        <v>304</v>
      </c>
      <c r="M36" s="278">
        <f t="shared" si="0"/>
        <v>15</v>
      </c>
      <c r="N36" s="278">
        <f t="shared" si="1"/>
        <v>15</v>
      </c>
      <c r="O36" s="278">
        <f t="shared" si="2"/>
        <v>15</v>
      </c>
      <c r="P36" s="278">
        <f t="shared" si="3"/>
        <v>15</v>
      </c>
      <c r="Q36" s="278">
        <f t="shared" si="4"/>
        <v>15</v>
      </c>
      <c r="R36" s="278">
        <f t="shared" si="12"/>
        <v>15</v>
      </c>
      <c r="S36" s="278">
        <f t="shared" si="5"/>
        <v>10</v>
      </c>
      <c r="T36" s="278">
        <f t="shared" si="6"/>
        <v>100</v>
      </c>
      <c r="U36" s="276" t="s">
        <v>263</v>
      </c>
      <c r="V36" s="276" t="s">
        <v>122</v>
      </c>
      <c r="W36" s="278">
        <f t="shared" si="7"/>
        <v>0</v>
      </c>
      <c r="X36" s="278">
        <f t="shared" si="8"/>
        <v>1</v>
      </c>
      <c r="Y36" s="278" t="str">
        <f t="shared" si="9"/>
        <v>Debil</v>
      </c>
      <c r="Z36" s="276" t="s">
        <v>305</v>
      </c>
      <c r="AA36" s="278" t="str">
        <f t="shared" si="10"/>
        <v>Fuerte</v>
      </c>
      <c r="AB36" s="278" t="str">
        <f t="shared" si="11"/>
        <v>SI</v>
      </c>
      <c r="AC36" s="279"/>
      <c r="AD36" s="399"/>
    </row>
    <row r="37" spans="1:30" ht="117" customHeight="1" x14ac:dyDescent="0.2">
      <c r="A37" s="1256"/>
      <c r="B37" s="1259"/>
      <c r="C37" s="1259"/>
      <c r="D37" s="274" t="str">
        <f>'[5]Analisis Riesgo'!K35</f>
        <v>Aplicar mecanismo de atención a los solicitantes de permisos  de conexión.</v>
      </c>
      <c r="E37" s="275" t="str">
        <f>'[5]Analisis Riesgo'!L35</f>
        <v xml:space="preserve">Este control busca que el evaluador de conceptos de conexión no tenga interación directa con los solicitantes, en este caso la atención es efectuada siempre que el promotor realice solicitud formal, siendo esta atendida únicamente por el Director General o el Subdirector(a) de Energía siempre que sea autorizada. </v>
      </c>
      <c r="F37" s="276" t="s">
        <v>296</v>
      </c>
      <c r="G37" s="276" t="s">
        <v>299</v>
      </c>
      <c r="H37" s="276" t="s">
        <v>300</v>
      </c>
      <c r="I37" s="276" t="s">
        <v>301</v>
      </c>
      <c r="J37" s="276" t="s">
        <v>302</v>
      </c>
      <c r="K37" s="277" t="s">
        <v>303</v>
      </c>
      <c r="L37" s="276" t="s">
        <v>304</v>
      </c>
      <c r="M37" s="278">
        <f t="shared" si="0"/>
        <v>15</v>
      </c>
      <c r="N37" s="278">
        <f t="shared" si="1"/>
        <v>15</v>
      </c>
      <c r="O37" s="278">
        <f t="shared" si="2"/>
        <v>15</v>
      </c>
      <c r="P37" s="278">
        <f t="shared" si="3"/>
        <v>15</v>
      </c>
      <c r="Q37" s="278">
        <f t="shared" si="4"/>
        <v>15</v>
      </c>
      <c r="R37" s="278">
        <f t="shared" si="12"/>
        <v>15</v>
      </c>
      <c r="S37" s="278">
        <f t="shared" si="5"/>
        <v>10</v>
      </c>
      <c r="T37" s="278">
        <f t="shared" si="6"/>
        <v>100</v>
      </c>
      <c r="U37" s="276" t="s">
        <v>122</v>
      </c>
      <c r="V37" s="276" t="s">
        <v>263</v>
      </c>
      <c r="W37" s="278">
        <f t="shared" si="7"/>
        <v>1</v>
      </c>
      <c r="X37" s="278">
        <f t="shared" si="8"/>
        <v>0</v>
      </c>
      <c r="Y37" s="278" t="str">
        <f t="shared" si="9"/>
        <v>Fuerte</v>
      </c>
      <c r="Z37" s="276" t="s">
        <v>305</v>
      </c>
      <c r="AA37" s="278" t="str">
        <f t="shared" si="10"/>
        <v>Fuerte</v>
      </c>
      <c r="AB37" s="278" t="str">
        <f t="shared" si="11"/>
        <v>No</v>
      </c>
      <c r="AC37" s="279"/>
      <c r="AD37" s="399"/>
    </row>
    <row r="38" spans="1:30" ht="109.5" customHeight="1" x14ac:dyDescent="0.2">
      <c r="A38" s="1260" t="e">
        <f>#REF!</f>
        <v>#REF!</v>
      </c>
      <c r="B38" s="1261" t="e">
        <f>#REF!</f>
        <v>#REF!</v>
      </c>
      <c r="C38" s="1261" t="e">
        <f>#REF!</f>
        <v>#REF!</v>
      </c>
      <c r="D38" s="290" t="str">
        <f>'[5]Analisis Riesgo'!K37</f>
        <v>Revisión de la información entregada en el PECOR</v>
      </c>
      <c r="E38" s="291" t="str">
        <f>'[5]Analisis Riesgo'!L37</f>
        <v>Este control implica que al inicio del proceso se verifique la completitud y adecuación de la información entregada en el PECOR por el Operador de Red, este mecanismo tiene como propósito sea verificada la información para evitar emitir un concepto erróneo acerca de un PECOR</v>
      </c>
      <c r="F38" s="292" t="s">
        <v>296</v>
      </c>
      <c r="G38" s="292" t="s">
        <v>299</v>
      </c>
      <c r="H38" s="292" t="s">
        <v>300</v>
      </c>
      <c r="I38" s="292" t="s">
        <v>301</v>
      </c>
      <c r="J38" s="400" t="s">
        <v>302</v>
      </c>
      <c r="K38" s="277" t="s">
        <v>303</v>
      </c>
      <c r="L38" s="276" t="s">
        <v>304</v>
      </c>
      <c r="M38" s="278">
        <f t="shared" si="0"/>
        <v>15</v>
      </c>
      <c r="N38" s="278">
        <f t="shared" si="1"/>
        <v>15</v>
      </c>
      <c r="O38" s="278">
        <f t="shared" si="2"/>
        <v>15</v>
      </c>
      <c r="P38" s="278">
        <f t="shared" si="3"/>
        <v>15</v>
      </c>
      <c r="Q38" s="278">
        <f t="shared" si="4"/>
        <v>15</v>
      </c>
      <c r="R38" s="278">
        <f t="shared" si="12"/>
        <v>15</v>
      </c>
      <c r="S38" s="278">
        <f t="shared" si="5"/>
        <v>10</v>
      </c>
      <c r="T38" s="278">
        <f t="shared" si="6"/>
        <v>100</v>
      </c>
      <c r="U38" s="276" t="s">
        <v>122</v>
      </c>
      <c r="V38" s="276" t="s">
        <v>263</v>
      </c>
      <c r="W38" s="278">
        <f t="shared" si="7"/>
        <v>1</v>
      </c>
      <c r="X38" s="278">
        <f t="shared" si="8"/>
        <v>0</v>
      </c>
      <c r="Y38" s="278" t="str">
        <f t="shared" si="9"/>
        <v>Fuerte</v>
      </c>
      <c r="Z38" s="276" t="s">
        <v>305</v>
      </c>
      <c r="AA38" s="278" t="str">
        <f t="shared" si="10"/>
        <v>Fuerte</v>
      </c>
      <c r="AB38" s="278" t="str">
        <f t="shared" si="11"/>
        <v>No</v>
      </c>
      <c r="AC38" s="279"/>
      <c r="AD38" s="280"/>
    </row>
    <row r="39" spans="1:30" ht="156.75" customHeight="1" x14ac:dyDescent="0.2">
      <c r="A39" s="1225"/>
      <c r="B39" s="1225"/>
      <c r="C39" s="1225"/>
      <c r="D39" s="290" t="str">
        <f>'[5]Analisis Riesgo'!K38</f>
        <v>Emitir nota en oficio de evaluación PECOR al Operador de Red.</v>
      </c>
      <c r="E39" s="291" t="str">
        <f>'[5]Analisis Riesgo'!L38</f>
        <v>En la emisión de oficio de evaluación se ha incluido un párrafo en el cuerpo de carta para la evaluación del PECOR en los casos en que es rechazada la solicitud, esta permite aclarar al operador de red solicitante las condiciones del proceso ejecutado y las aclaraciones pertinentes, este control busca evitar posibles quejas y reclamos innecesarios y orientar al operador a realizar el proceso de manera adecuada.</v>
      </c>
      <c r="F39" s="292" t="s">
        <v>296</v>
      </c>
      <c r="G39" s="292" t="s">
        <v>299</v>
      </c>
      <c r="H39" s="292" t="s">
        <v>300</v>
      </c>
      <c r="I39" s="292" t="s">
        <v>301</v>
      </c>
      <c r="J39" s="400" t="s">
        <v>302</v>
      </c>
      <c r="K39" s="277" t="s">
        <v>303</v>
      </c>
      <c r="L39" s="276" t="s">
        <v>304</v>
      </c>
      <c r="M39" s="278">
        <f t="shared" si="0"/>
        <v>15</v>
      </c>
      <c r="N39" s="278">
        <f t="shared" si="1"/>
        <v>15</v>
      </c>
      <c r="O39" s="278">
        <f t="shared" si="2"/>
        <v>15</v>
      </c>
      <c r="P39" s="278">
        <f t="shared" si="3"/>
        <v>15</v>
      </c>
      <c r="Q39" s="278">
        <f t="shared" si="4"/>
        <v>15</v>
      </c>
      <c r="R39" s="278">
        <f t="shared" si="12"/>
        <v>15</v>
      </c>
      <c r="S39" s="278">
        <f t="shared" si="5"/>
        <v>10</v>
      </c>
      <c r="T39" s="278">
        <f t="shared" si="6"/>
        <v>100</v>
      </c>
      <c r="U39" s="276" t="s">
        <v>263</v>
      </c>
      <c r="V39" s="276" t="s">
        <v>122</v>
      </c>
      <c r="W39" s="278">
        <f t="shared" si="7"/>
        <v>0</v>
      </c>
      <c r="X39" s="278">
        <f t="shared" si="8"/>
        <v>1</v>
      </c>
      <c r="Y39" s="278" t="str">
        <f t="shared" si="9"/>
        <v>Debil</v>
      </c>
      <c r="Z39" s="276" t="s">
        <v>305</v>
      </c>
      <c r="AA39" s="278" t="str">
        <f t="shared" si="10"/>
        <v>Fuerte</v>
      </c>
      <c r="AB39" s="278" t="str">
        <f t="shared" si="11"/>
        <v>SI</v>
      </c>
      <c r="AC39" s="279"/>
      <c r="AD39" s="280"/>
    </row>
    <row r="40" spans="1:30" ht="162.75" customHeight="1" x14ac:dyDescent="0.2">
      <c r="A40" s="1225"/>
      <c r="B40" s="1225"/>
      <c r="C40" s="1225"/>
      <c r="D40" s="290" t="str">
        <f>'[5]Analisis Riesgo'!K39</f>
        <v>Comparar informaciòn entregada en los PECOR</v>
      </c>
      <c r="E40" s="291" t="str">
        <f>'[5]Analisis Riesgo'!L39</f>
        <v>Efectuar comparaciòn de la informaciòn entregada en el PECOR, con informaciòn de la base de datos para contrastar informaciòn de viviendas, subestaciones, redes e informaciòn referenciada permite identificar errores en la documentaciòn presentada por el PECOR la cual debe ser aclarada por el operador de RED, de esta forma se realiza una adecuada comparaciòn tècnica de las alternativas mediante las cuales se ejecuta la evaluaciòn.</v>
      </c>
      <c r="F40" s="292" t="s">
        <v>296</v>
      </c>
      <c r="G40" s="292" t="s">
        <v>299</v>
      </c>
      <c r="H40" s="292" t="s">
        <v>300</v>
      </c>
      <c r="I40" s="292" t="s">
        <v>301</v>
      </c>
      <c r="J40" s="400" t="s">
        <v>302</v>
      </c>
      <c r="K40" s="277" t="s">
        <v>303</v>
      </c>
      <c r="L40" s="276" t="s">
        <v>304</v>
      </c>
      <c r="M40" s="278">
        <f t="shared" si="0"/>
        <v>15</v>
      </c>
      <c r="N40" s="278">
        <f t="shared" si="1"/>
        <v>15</v>
      </c>
      <c r="O40" s="278">
        <f t="shared" si="2"/>
        <v>15</v>
      </c>
      <c r="P40" s="278">
        <f t="shared" si="3"/>
        <v>15</v>
      </c>
      <c r="Q40" s="278">
        <f t="shared" si="4"/>
        <v>15</v>
      </c>
      <c r="R40" s="278">
        <f t="shared" si="12"/>
        <v>15</v>
      </c>
      <c r="S40" s="278">
        <f t="shared" si="5"/>
        <v>10</v>
      </c>
      <c r="T40" s="278">
        <f t="shared" si="6"/>
        <v>100</v>
      </c>
      <c r="U40" s="276" t="s">
        <v>122</v>
      </c>
      <c r="V40" s="276" t="s">
        <v>263</v>
      </c>
      <c r="W40" s="278">
        <f t="shared" si="7"/>
        <v>1</v>
      </c>
      <c r="X40" s="278">
        <f t="shared" si="8"/>
        <v>0</v>
      </c>
      <c r="Y40" s="278" t="str">
        <f t="shared" si="9"/>
        <v>Fuerte</v>
      </c>
      <c r="Z40" s="276" t="s">
        <v>305</v>
      </c>
      <c r="AA40" s="278" t="str">
        <f t="shared" si="10"/>
        <v>Fuerte</v>
      </c>
      <c r="AB40" s="278" t="str">
        <f t="shared" si="11"/>
        <v>No</v>
      </c>
      <c r="AC40" s="279"/>
      <c r="AD40" s="280"/>
    </row>
    <row r="41" spans="1:30" ht="12.75" customHeight="1" x14ac:dyDescent="0.2">
      <c r="A41" s="296"/>
      <c r="B41" s="296"/>
      <c r="C41" s="296"/>
      <c r="D41" s="298"/>
      <c r="E41" s="298"/>
      <c r="F41" s="296"/>
      <c r="G41" s="296"/>
      <c r="H41" s="296"/>
      <c r="I41" s="296"/>
      <c r="J41" s="296"/>
      <c r="K41" s="296"/>
      <c r="L41" s="296"/>
      <c r="M41" s="299"/>
      <c r="N41" s="299"/>
      <c r="O41" s="299"/>
      <c r="P41" s="299"/>
      <c r="Q41" s="299"/>
      <c r="R41" s="299"/>
      <c r="S41" s="299"/>
      <c r="T41" s="299"/>
      <c r="U41" s="299"/>
      <c r="V41" s="299"/>
      <c r="W41" s="299"/>
      <c r="X41" s="299"/>
      <c r="Y41" s="299"/>
      <c r="Z41" s="299"/>
      <c r="AA41" s="299"/>
      <c r="AB41" s="299"/>
      <c r="AC41" s="300"/>
      <c r="AD41" s="300"/>
    </row>
    <row r="42" spans="1:30" ht="12.75" customHeight="1" x14ac:dyDescent="0.2">
      <c r="A42" s="296"/>
      <c r="B42" s="296"/>
      <c r="C42" s="296"/>
      <c r="D42" s="298"/>
      <c r="E42" s="298"/>
      <c r="F42" s="296"/>
      <c r="G42" s="296"/>
      <c r="H42" s="296"/>
      <c r="I42" s="296"/>
      <c r="J42" s="296"/>
      <c r="K42" s="296"/>
      <c r="L42" s="296"/>
      <c r="M42" s="299"/>
      <c r="N42" s="299"/>
      <c r="O42" s="299"/>
      <c r="P42" s="299"/>
      <c r="Q42" s="299"/>
      <c r="R42" s="299"/>
      <c r="S42" s="299"/>
      <c r="T42" s="299"/>
      <c r="U42" s="299"/>
      <c r="V42" s="299"/>
      <c r="W42" s="299"/>
      <c r="X42" s="299"/>
      <c r="Y42" s="299"/>
      <c r="Z42" s="299"/>
      <c r="AA42" s="299"/>
      <c r="AB42" s="299"/>
      <c r="AC42" s="300"/>
      <c r="AD42" s="300"/>
    </row>
    <row r="43" spans="1:30" ht="12.75" customHeight="1" x14ac:dyDescent="0.2">
      <c r="A43" s="296"/>
      <c r="B43" s="296"/>
      <c r="C43" s="296"/>
      <c r="D43" s="298"/>
      <c r="E43" s="298"/>
      <c r="F43" s="296"/>
      <c r="G43" s="296"/>
      <c r="H43" s="296"/>
      <c r="I43" s="296"/>
      <c r="J43" s="296"/>
      <c r="K43" s="296"/>
      <c r="L43" s="296"/>
      <c r="M43" s="299"/>
      <c r="N43" s="299"/>
      <c r="O43" s="299"/>
      <c r="P43" s="299"/>
      <c r="Q43" s="299"/>
      <c r="R43" s="299"/>
      <c r="S43" s="299"/>
      <c r="T43" s="299"/>
      <c r="U43" s="299"/>
      <c r="V43" s="299"/>
      <c r="W43" s="299"/>
      <c r="X43" s="299"/>
      <c r="Y43" s="299"/>
      <c r="Z43" s="299"/>
      <c r="AA43" s="299"/>
      <c r="AB43" s="299"/>
      <c r="AC43" s="300"/>
      <c r="AD43" s="300"/>
    </row>
    <row r="44" spans="1:30" ht="12.75" customHeight="1" x14ac:dyDescent="0.2">
      <c r="A44" s="296"/>
      <c r="B44" s="296"/>
      <c r="C44" s="296"/>
      <c r="D44" s="298"/>
      <c r="E44" s="298"/>
      <c r="F44" s="296"/>
      <c r="G44" s="296"/>
      <c r="H44" s="296"/>
      <c r="I44" s="296"/>
      <c r="J44" s="296"/>
      <c r="K44" s="296"/>
      <c r="L44" s="296"/>
      <c r="M44" s="299"/>
      <c r="N44" s="299"/>
      <c r="O44" s="299"/>
      <c r="P44" s="299"/>
      <c r="Q44" s="299"/>
      <c r="R44" s="299"/>
      <c r="S44" s="299"/>
      <c r="T44" s="299"/>
      <c r="U44" s="299"/>
      <c r="V44" s="299"/>
      <c r="W44" s="299"/>
      <c r="X44" s="299"/>
      <c r="Y44" s="299"/>
      <c r="Z44" s="299"/>
      <c r="AA44" s="299"/>
      <c r="AB44" s="299"/>
      <c r="AC44" s="300"/>
      <c r="AD44" s="300"/>
    </row>
    <row r="45" spans="1:30" ht="12.75" customHeight="1" x14ac:dyDescent="0.2">
      <c r="A45" s="296"/>
      <c r="B45" s="296"/>
      <c r="C45" s="296"/>
      <c r="D45" s="298"/>
      <c r="E45" s="298"/>
      <c r="F45" s="296"/>
      <c r="G45" s="296"/>
      <c r="H45" s="296"/>
      <c r="I45" s="296"/>
      <c r="J45" s="296"/>
      <c r="K45" s="296"/>
      <c r="L45" s="296"/>
      <c r="M45" s="299"/>
      <c r="N45" s="299"/>
      <c r="O45" s="299"/>
      <c r="P45" s="299"/>
      <c r="Q45" s="299"/>
      <c r="R45" s="299"/>
      <c r="S45" s="299"/>
      <c r="T45" s="299"/>
      <c r="U45" s="299"/>
      <c r="V45" s="299"/>
      <c r="W45" s="299"/>
      <c r="X45" s="299"/>
      <c r="Y45" s="299"/>
      <c r="Z45" s="299"/>
      <c r="AA45" s="299"/>
      <c r="AB45" s="299"/>
      <c r="AC45" s="300"/>
      <c r="AD45" s="300"/>
    </row>
    <row r="46" spans="1:30" ht="12.75" customHeight="1" x14ac:dyDescent="0.2">
      <c r="A46" s="296"/>
      <c r="B46" s="296"/>
      <c r="C46" s="296"/>
      <c r="D46" s="298"/>
      <c r="E46" s="298"/>
      <c r="F46" s="296"/>
      <c r="G46" s="296"/>
      <c r="H46" s="296"/>
      <c r="I46" s="296"/>
      <c r="J46" s="296"/>
      <c r="K46" s="296"/>
      <c r="L46" s="296"/>
      <c r="M46" s="299"/>
      <c r="N46" s="299"/>
      <c r="O46" s="299"/>
      <c r="P46" s="299"/>
      <c r="Q46" s="299"/>
      <c r="R46" s="299"/>
      <c r="S46" s="299"/>
      <c r="T46" s="299"/>
      <c r="U46" s="299"/>
      <c r="V46" s="299"/>
      <c r="W46" s="299"/>
      <c r="X46" s="299"/>
      <c r="Y46" s="299"/>
      <c r="Z46" s="299"/>
      <c r="AA46" s="299"/>
      <c r="AB46" s="299"/>
      <c r="AC46" s="300"/>
      <c r="AD46" s="300"/>
    </row>
    <row r="47" spans="1:30" ht="12.75" customHeight="1" x14ac:dyDescent="0.2">
      <c r="A47" s="296"/>
      <c r="B47" s="296"/>
      <c r="C47" s="296"/>
      <c r="D47" s="298"/>
      <c r="E47" s="298"/>
      <c r="F47" s="296"/>
      <c r="G47" s="296"/>
      <c r="H47" s="296"/>
      <c r="I47" s="296"/>
      <c r="J47" s="296"/>
      <c r="K47" s="296"/>
      <c r="L47" s="296"/>
      <c r="M47" s="299"/>
      <c r="N47" s="299"/>
      <c r="O47" s="299"/>
      <c r="P47" s="299"/>
      <c r="Q47" s="299"/>
      <c r="R47" s="299"/>
      <c r="S47" s="299"/>
      <c r="T47" s="299"/>
      <c r="U47" s="299"/>
      <c r="V47" s="299"/>
      <c r="W47" s="299"/>
      <c r="X47" s="299"/>
      <c r="Y47" s="299"/>
      <c r="Z47" s="299"/>
      <c r="AA47" s="299"/>
      <c r="AB47" s="299"/>
      <c r="AC47" s="300"/>
      <c r="AD47" s="300"/>
    </row>
    <row r="48" spans="1:30" ht="12.75" customHeight="1" x14ac:dyDescent="0.2">
      <c r="A48" s="296"/>
      <c r="B48" s="296"/>
      <c r="C48" s="296"/>
      <c r="D48" s="298"/>
      <c r="E48" s="298"/>
      <c r="F48" s="296"/>
      <c r="G48" s="296"/>
      <c r="H48" s="296"/>
      <c r="I48" s="296"/>
      <c r="J48" s="296"/>
      <c r="K48" s="296"/>
      <c r="L48" s="296"/>
      <c r="M48" s="299"/>
      <c r="N48" s="299"/>
      <c r="O48" s="299"/>
      <c r="P48" s="299"/>
      <c r="Q48" s="299"/>
      <c r="R48" s="299"/>
      <c r="S48" s="299"/>
      <c r="T48" s="299"/>
      <c r="U48" s="299"/>
      <c r="V48" s="299"/>
      <c r="W48" s="299"/>
      <c r="X48" s="299"/>
      <c r="Y48" s="299"/>
      <c r="Z48" s="299"/>
      <c r="AA48" s="299"/>
      <c r="AB48" s="299"/>
      <c r="AC48" s="300"/>
      <c r="AD48" s="300"/>
    </row>
    <row r="49" spans="1:30" ht="12.75" customHeight="1" x14ac:dyDescent="0.2">
      <c r="A49" s="296"/>
      <c r="B49" s="296"/>
      <c r="C49" s="296"/>
      <c r="D49" s="298"/>
      <c r="E49" s="298"/>
      <c r="F49" s="296"/>
      <c r="G49" s="296"/>
      <c r="H49" s="296"/>
      <c r="I49" s="296"/>
      <c r="J49" s="296"/>
      <c r="K49" s="296"/>
      <c r="L49" s="296"/>
      <c r="M49" s="299"/>
      <c r="N49" s="299"/>
      <c r="O49" s="299"/>
      <c r="P49" s="299"/>
      <c r="Q49" s="299"/>
      <c r="R49" s="299"/>
      <c r="S49" s="299"/>
      <c r="T49" s="299"/>
      <c r="U49" s="299"/>
      <c r="V49" s="299"/>
      <c r="W49" s="299"/>
      <c r="X49" s="299"/>
      <c r="Y49" s="299"/>
      <c r="Z49" s="299"/>
      <c r="AA49" s="299"/>
      <c r="AB49" s="299"/>
      <c r="AC49" s="300"/>
      <c r="AD49" s="300"/>
    </row>
    <row r="50" spans="1:30" ht="12.75" customHeight="1" x14ac:dyDescent="0.2">
      <c r="A50" s="296"/>
      <c r="B50" s="296"/>
      <c r="C50" s="296"/>
      <c r="D50" s="298"/>
      <c r="E50" s="298"/>
      <c r="F50" s="296"/>
      <c r="G50" s="296"/>
      <c r="H50" s="296"/>
      <c r="I50" s="296"/>
      <c r="J50" s="296"/>
      <c r="K50" s="296"/>
      <c r="L50" s="296"/>
      <c r="M50" s="299"/>
      <c r="N50" s="299"/>
      <c r="O50" s="299"/>
      <c r="P50" s="299"/>
      <c r="Q50" s="299"/>
      <c r="R50" s="299"/>
      <c r="S50" s="299"/>
      <c r="T50" s="299"/>
      <c r="U50" s="299"/>
      <c r="V50" s="299"/>
      <c r="W50" s="299"/>
      <c r="X50" s="299"/>
      <c r="Y50" s="299"/>
      <c r="Z50" s="299"/>
      <c r="AA50" s="299"/>
      <c r="AB50" s="299"/>
      <c r="AC50" s="300"/>
      <c r="AD50" s="300"/>
    </row>
    <row r="51" spans="1:30" ht="12.75" customHeight="1" x14ac:dyDescent="0.2">
      <c r="A51" s="296"/>
      <c r="B51" s="296"/>
      <c r="C51" s="296"/>
      <c r="D51" s="298"/>
      <c r="E51" s="298"/>
      <c r="F51" s="296"/>
      <c r="G51" s="296"/>
      <c r="H51" s="296"/>
      <c r="I51" s="296"/>
      <c r="J51" s="296"/>
      <c r="K51" s="296"/>
      <c r="L51" s="296"/>
      <c r="M51" s="299"/>
      <c r="N51" s="299"/>
      <c r="O51" s="299"/>
      <c r="P51" s="299"/>
      <c r="Q51" s="299"/>
      <c r="R51" s="299"/>
      <c r="S51" s="299"/>
      <c r="T51" s="299"/>
      <c r="U51" s="299"/>
      <c r="V51" s="299"/>
      <c r="W51" s="299"/>
      <c r="X51" s="299"/>
      <c r="Y51" s="299"/>
      <c r="Z51" s="299"/>
      <c r="AA51" s="299"/>
      <c r="AB51" s="299"/>
      <c r="AC51" s="300"/>
      <c r="AD51" s="300"/>
    </row>
    <row r="52" spans="1:30" ht="12.75" customHeight="1" x14ac:dyDescent="0.2">
      <c r="A52" s="296"/>
      <c r="B52" s="296"/>
      <c r="C52" s="296"/>
      <c r="D52" s="298"/>
      <c r="E52" s="298"/>
      <c r="F52" s="296"/>
      <c r="G52" s="296"/>
      <c r="H52" s="296"/>
      <c r="I52" s="296"/>
      <c r="J52" s="296"/>
      <c r="K52" s="296"/>
      <c r="L52" s="296"/>
      <c r="M52" s="299"/>
      <c r="N52" s="299"/>
      <c r="O52" s="299"/>
      <c r="P52" s="299"/>
      <c r="Q52" s="299"/>
      <c r="R52" s="299"/>
      <c r="S52" s="299"/>
      <c r="T52" s="299"/>
      <c r="U52" s="299"/>
      <c r="V52" s="299"/>
      <c r="W52" s="299"/>
      <c r="X52" s="299"/>
      <c r="Y52" s="299"/>
      <c r="Z52" s="299"/>
      <c r="AA52" s="299"/>
      <c r="AB52" s="299"/>
      <c r="AC52" s="300"/>
      <c r="AD52" s="300"/>
    </row>
    <row r="53" spans="1:30" ht="12.75" customHeight="1" x14ac:dyDescent="0.2">
      <c r="A53" s="296"/>
      <c r="B53" s="296"/>
      <c r="C53" s="296"/>
      <c r="D53" s="298"/>
      <c r="E53" s="298"/>
      <c r="F53" s="296"/>
      <c r="G53" s="296"/>
      <c r="H53" s="296"/>
      <c r="I53" s="296"/>
      <c r="J53" s="296"/>
      <c r="K53" s="296"/>
      <c r="L53" s="296"/>
      <c r="M53" s="299"/>
      <c r="N53" s="299"/>
      <c r="O53" s="299"/>
      <c r="P53" s="299"/>
      <c r="Q53" s="299"/>
      <c r="R53" s="299"/>
      <c r="S53" s="299"/>
      <c r="T53" s="299"/>
      <c r="U53" s="299"/>
      <c r="V53" s="299"/>
      <c r="W53" s="299"/>
      <c r="X53" s="299"/>
      <c r="Y53" s="299"/>
      <c r="Z53" s="299"/>
      <c r="AA53" s="299"/>
      <c r="AB53" s="299"/>
      <c r="AC53" s="300"/>
      <c r="AD53" s="300"/>
    </row>
    <row r="54" spans="1:30" ht="12.75" customHeight="1" x14ac:dyDescent="0.2">
      <c r="A54" s="296"/>
      <c r="B54" s="296"/>
      <c r="C54" s="296"/>
      <c r="D54" s="298"/>
      <c r="E54" s="298"/>
      <c r="F54" s="296"/>
      <c r="G54" s="296"/>
      <c r="H54" s="296"/>
      <c r="I54" s="296"/>
      <c r="J54" s="296"/>
      <c r="K54" s="296"/>
      <c r="L54" s="296"/>
      <c r="M54" s="299"/>
      <c r="N54" s="299"/>
      <c r="O54" s="299"/>
      <c r="P54" s="299"/>
      <c r="Q54" s="299"/>
      <c r="R54" s="299"/>
      <c r="S54" s="299"/>
      <c r="T54" s="299"/>
      <c r="U54" s="299"/>
      <c r="V54" s="299"/>
      <c r="W54" s="299"/>
      <c r="X54" s="299"/>
      <c r="Y54" s="299"/>
      <c r="Z54" s="299"/>
      <c r="AA54" s="299"/>
      <c r="AB54" s="299"/>
      <c r="AC54" s="300"/>
      <c r="AD54" s="300"/>
    </row>
    <row r="55" spans="1:30" ht="12.75" customHeight="1" x14ac:dyDescent="0.2">
      <c r="A55" s="296"/>
      <c r="B55" s="296"/>
      <c r="C55" s="296"/>
      <c r="D55" s="298"/>
      <c r="E55" s="298"/>
      <c r="F55" s="296"/>
      <c r="G55" s="296"/>
      <c r="H55" s="296"/>
      <c r="I55" s="296"/>
      <c r="J55" s="296"/>
      <c r="K55" s="296"/>
      <c r="L55" s="296"/>
      <c r="M55" s="299"/>
      <c r="N55" s="299"/>
      <c r="O55" s="299"/>
      <c r="P55" s="299"/>
      <c r="Q55" s="299"/>
      <c r="R55" s="299"/>
      <c r="S55" s="299"/>
      <c r="T55" s="299"/>
      <c r="U55" s="299"/>
      <c r="V55" s="299"/>
      <c r="W55" s="299"/>
      <c r="X55" s="299"/>
      <c r="Y55" s="299"/>
      <c r="Z55" s="299"/>
      <c r="AA55" s="299"/>
      <c r="AB55" s="299"/>
      <c r="AC55" s="300"/>
      <c r="AD55" s="300"/>
    </row>
    <row r="56" spans="1:30" ht="12.75" customHeight="1" x14ac:dyDescent="0.2">
      <c r="A56" s="296"/>
      <c r="B56" s="296"/>
      <c r="C56" s="296"/>
      <c r="D56" s="298"/>
      <c r="E56" s="298"/>
      <c r="F56" s="296"/>
      <c r="G56" s="296"/>
      <c r="H56" s="296"/>
      <c r="I56" s="296"/>
      <c r="J56" s="296"/>
      <c r="K56" s="296"/>
      <c r="L56" s="296"/>
      <c r="M56" s="299"/>
      <c r="N56" s="299"/>
      <c r="O56" s="299"/>
      <c r="P56" s="299"/>
      <c r="Q56" s="299"/>
      <c r="R56" s="299"/>
      <c r="S56" s="299"/>
      <c r="T56" s="299"/>
      <c r="U56" s="299"/>
      <c r="V56" s="299"/>
      <c r="W56" s="299"/>
      <c r="X56" s="299"/>
      <c r="Y56" s="299"/>
      <c r="Z56" s="299"/>
      <c r="AA56" s="299"/>
      <c r="AB56" s="299"/>
      <c r="AC56" s="300"/>
      <c r="AD56" s="300"/>
    </row>
    <row r="57" spans="1:30" ht="12.75" customHeight="1" x14ac:dyDescent="0.2">
      <c r="A57" s="296"/>
      <c r="B57" s="296"/>
      <c r="C57" s="296"/>
      <c r="D57" s="298"/>
      <c r="E57" s="298"/>
      <c r="F57" s="296"/>
      <c r="G57" s="296"/>
      <c r="H57" s="296"/>
      <c r="I57" s="296"/>
      <c r="J57" s="296"/>
      <c r="K57" s="296"/>
      <c r="L57" s="296"/>
      <c r="M57" s="299"/>
      <c r="N57" s="299"/>
      <c r="O57" s="299"/>
      <c r="P57" s="299"/>
      <c r="Q57" s="299"/>
      <c r="R57" s="299"/>
      <c r="S57" s="299"/>
      <c r="T57" s="299"/>
      <c r="U57" s="299"/>
      <c r="V57" s="299"/>
      <c r="W57" s="299"/>
      <c r="X57" s="299"/>
      <c r="Y57" s="299"/>
      <c r="Z57" s="299"/>
      <c r="AA57" s="299"/>
      <c r="AB57" s="299"/>
      <c r="AC57" s="300"/>
      <c r="AD57" s="300"/>
    </row>
    <row r="58" spans="1:30" ht="12.75" customHeight="1" x14ac:dyDescent="0.2">
      <c r="A58" s="296"/>
      <c r="B58" s="296"/>
      <c r="C58" s="296"/>
      <c r="D58" s="298"/>
      <c r="E58" s="298"/>
      <c r="F58" s="296"/>
      <c r="G58" s="296"/>
      <c r="H58" s="296"/>
      <c r="I58" s="296"/>
      <c r="J58" s="296"/>
      <c r="K58" s="296"/>
      <c r="L58" s="296"/>
      <c r="M58" s="299"/>
      <c r="N58" s="299"/>
      <c r="O58" s="299"/>
      <c r="P58" s="299"/>
      <c r="Q58" s="299"/>
      <c r="R58" s="299"/>
      <c r="S58" s="299"/>
      <c r="T58" s="299"/>
      <c r="U58" s="299"/>
      <c r="V58" s="299"/>
      <c r="W58" s="299"/>
      <c r="X58" s="299"/>
      <c r="Y58" s="299"/>
      <c r="Z58" s="299"/>
      <c r="AA58" s="299"/>
      <c r="AB58" s="299"/>
      <c r="AC58" s="300"/>
      <c r="AD58" s="300"/>
    </row>
    <row r="59" spans="1:30" ht="12.75" customHeight="1" x14ac:dyDescent="0.2">
      <c r="A59" s="296"/>
      <c r="B59" s="296"/>
      <c r="C59" s="296"/>
      <c r="D59" s="298"/>
      <c r="E59" s="298"/>
      <c r="F59" s="296"/>
      <c r="G59" s="296"/>
      <c r="H59" s="296"/>
      <c r="I59" s="296"/>
      <c r="J59" s="296"/>
      <c r="K59" s="296"/>
      <c r="L59" s="296"/>
      <c r="M59" s="299"/>
      <c r="N59" s="299"/>
      <c r="O59" s="299"/>
      <c r="P59" s="299"/>
      <c r="Q59" s="299"/>
      <c r="R59" s="299"/>
      <c r="S59" s="299"/>
      <c r="T59" s="299"/>
      <c r="U59" s="299"/>
      <c r="V59" s="299"/>
      <c r="W59" s="299"/>
      <c r="X59" s="299"/>
      <c r="Y59" s="299"/>
      <c r="Z59" s="299"/>
      <c r="AA59" s="299"/>
      <c r="AB59" s="299"/>
      <c r="AC59" s="300"/>
      <c r="AD59" s="300"/>
    </row>
    <row r="60" spans="1:30" ht="12.75" customHeight="1" x14ac:dyDescent="0.2">
      <c r="A60" s="296"/>
      <c r="B60" s="296"/>
      <c r="C60" s="296"/>
      <c r="D60" s="298"/>
      <c r="E60" s="298"/>
      <c r="F60" s="296"/>
      <c r="G60" s="296"/>
      <c r="H60" s="296"/>
      <c r="I60" s="296"/>
      <c r="J60" s="296"/>
      <c r="K60" s="296"/>
      <c r="L60" s="296"/>
      <c r="M60" s="299"/>
      <c r="N60" s="299"/>
      <c r="O60" s="299"/>
      <c r="P60" s="299"/>
      <c r="Q60" s="299"/>
      <c r="R60" s="299"/>
      <c r="S60" s="299"/>
      <c r="T60" s="299"/>
      <c r="U60" s="299"/>
      <c r="V60" s="299"/>
      <c r="W60" s="299"/>
      <c r="X60" s="299"/>
      <c r="Y60" s="299"/>
      <c r="Z60" s="299"/>
      <c r="AA60" s="299"/>
      <c r="AB60" s="299"/>
      <c r="AC60" s="300"/>
      <c r="AD60" s="300"/>
    </row>
    <row r="61" spans="1:30" ht="12.75" customHeight="1" x14ac:dyDescent="0.2">
      <c r="A61" s="296"/>
      <c r="B61" s="296"/>
      <c r="C61" s="296"/>
      <c r="D61" s="298"/>
      <c r="E61" s="298"/>
      <c r="F61" s="296"/>
      <c r="G61" s="296"/>
      <c r="H61" s="296"/>
      <c r="I61" s="296"/>
      <c r="J61" s="296"/>
      <c r="K61" s="296"/>
      <c r="L61" s="296"/>
      <c r="M61" s="299"/>
      <c r="N61" s="299"/>
      <c r="O61" s="299"/>
      <c r="P61" s="299"/>
      <c r="Q61" s="299"/>
      <c r="R61" s="299"/>
      <c r="S61" s="299"/>
      <c r="T61" s="299"/>
      <c r="U61" s="299"/>
      <c r="V61" s="299"/>
      <c r="W61" s="299"/>
      <c r="X61" s="299"/>
      <c r="Y61" s="299"/>
      <c r="Z61" s="299"/>
      <c r="AA61" s="299"/>
      <c r="AB61" s="299"/>
      <c r="AC61" s="300"/>
      <c r="AD61" s="300"/>
    </row>
    <row r="62" spans="1:30" ht="12.75" customHeight="1" x14ac:dyDescent="0.2">
      <c r="A62" s="296"/>
      <c r="B62" s="296"/>
      <c r="C62" s="296"/>
      <c r="D62" s="298"/>
      <c r="E62" s="298"/>
      <c r="F62" s="296"/>
      <c r="G62" s="296"/>
      <c r="H62" s="296"/>
      <c r="I62" s="296"/>
      <c r="J62" s="296"/>
      <c r="K62" s="296"/>
      <c r="L62" s="296"/>
      <c r="M62" s="299"/>
      <c r="N62" s="299"/>
      <c r="O62" s="299"/>
      <c r="P62" s="299"/>
      <c r="Q62" s="299"/>
      <c r="R62" s="299"/>
      <c r="S62" s="299"/>
      <c r="T62" s="299"/>
      <c r="U62" s="299"/>
      <c r="V62" s="299"/>
      <c r="W62" s="299"/>
      <c r="X62" s="299"/>
      <c r="Y62" s="299"/>
      <c r="Z62" s="299"/>
      <c r="AA62" s="299"/>
      <c r="AB62" s="299"/>
      <c r="AC62" s="300"/>
      <c r="AD62" s="300"/>
    </row>
    <row r="63" spans="1:30" ht="12.75" customHeight="1" x14ac:dyDescent="0.2">
      <c r="A63" s="296"/>
      <c r="B63" s="296"/>
      <c r="C63" s="296"/>
      <c r="D63" s="298"/>
      <c r="E63" s="298"/>
      <c r="F63" s="296"/>
      <c r="G63" s="296"/>
      <c r="H63" s="296"/>
      <c r="I63" s="296"/>
      <c r="J63" s="296"/>
      <c r="K63" s="296"/>
      <c r="L63" s="296"/>
      <c r="M63" s="299"/>
      <c r="N63" s="299"/>
      <c r="O63" s="299"/>
      <c r="P63" s="299"/>
      <c r="Q63" s="299"/>
      <c r="R63" s="299"/>
      <c r="S63" s="299"/>
      <c r="T63" s="299"/>
      <c r="U63" s="299"/>
      <c r="V63" s="299"/>
      <c r="W63" s="299"/>
      <c r="X63" s="299"/>
      <c r="Y63" s="299"/>
      <c r="Z63" s="299"/>
      <c r="AA63" s="299"/>
      <c r="AB63" s="299"/>
      <c r="AC63" s="300"/>
      <c r="AD63" s="300"/>
    </row>
    <row r="64" spans="1:30" ht="12.75" customHeight="1" x14ac:dyDescent="0.2">
      <c r="A64" s="296"/>
      <c r="B64" s="296"/>
      <c r="C64" s="296"/>
      <c r="D64" s="298"/>
      <c r="E64" s="298"/>
      <c r="F64" s="296"/>
      <c r="G64" s="296"/>
      <c r="H64" s="296"/>
      <c r="I64" s="296"/>
      <c r="J64" s="296"/>
      <c r="K64" s="296"/>
      <c r="L64" s="296"/>
      <c r="M64" s="299"/>
      <c r="N64" s="299"/>
      <c r="O64" s="299"/>
      <c r="P64" s="299"/>
      <c r="Q64" s="299"/>
      <c r="R64" s="299"/>
      <c r="S64" s="299"/>
      <c r="T64" s="299"/>
      <c r="U64" s="299"/>
      <c r="V64" s="299"/>
      <c r="W64" s="299"/>
      <c r="X64" s="299"/>
      <c r="Y64" s="299"/>
      <c r="Z64" s="299"/>
      <c r="AA64" s="299"/>
      <c r="AB64" s="299"/>
      <c r="AC64" s="300"/>
      <c r="AD64" s="300"/>
    </row>
    <row r="65" spans="1:30" ht="12.75" customHeight="1" x14ac:dyDescent="0.2">
      <c r="A65" s="296"/>
      <c r="B65" s="296"/>
      <c r="C65" s="296"/>
      <c r="D65" s="298"/>
      <c r="E65" s="298"/>
      <c r="F65" s="296"/>
      <c r="G65" s="296"/>
      <c r="H65" s="296"/>
      <c r="I65" s="296"/>
      <c r="J65" s="296"/>
      <c r="K65" s="296"/>
      <c r="L65" s="296"/>
      <c r="M65" s="299"/>
      <c r="N65" s="299"/>
      <c r="O65" s="299"/>
      <c r="P65" s="299"/>
      <c r="Q65" s="299"/>
      <c r="R65" s="299"/>
      <c r="S65" s="299"/>
      <c r="T65" s="299"/>
      <c r="U65" s="299"/>
      <c r="V65" s="299"/>
      <c r="W65" s="299"/>
      <c r="X65" s="299"/>
      <c r="Y65" s="299"/>
      <c r="Z65" s="299"/>
      <c r="AA65" s="299"/>
      <c r="AB65" s="299"/>
      <c r="AC65" s="300"/>
      <c r="AD65" s="300"/>
    </row>
    <row r="66" spans="1:30" ht="12.75" customHeight="1" x14ac:dyDescent="0.2">
      <c r="A66" s="296"/>
      <c r="B66" s="296"/>
      <c r="C66" s="296"/>
      <c r="D66" s="298"/>
      <c r="E66" s="298"/>
      <c r="F66" s="296"/>
      <c r="G66" s="296"/>
      <c r="H66" s="296"/>
      <c r="I66" s="296"/>
      <c r="J66" s="296"/>
      <c r="K66" s="296"/>
      <c r="L66" s="296"/>
      <c r="M66" s="299"/>
      <c r="N66" s="299"/>
      <c r="O66" s="299"/>
      <c r="P66" s="299"/>
      <c r="Q66" s="299"/>
      <c r="R66" s="299"/>
      <c r="S66" s="299"/>
      <c r="T66" s="299"/>
      <c r="U66" s="299"/>
      <c r="V66" s="299"/>
      <c r="W66" s="299"/>
      <c r="X66" s="299"/>
      <c r="Y66" s="299"/>
      <c r="Z66" s="299"/>
      <c r="AA66" s="299"/>
      <c r="AB66" s="299"/>
      <c r="AC66" s="300"/>
      <c r="AD66" s="300"/>
    </row>
    <row r="67" spans="1:30" ht="12.75" customHeight="1" x14ac:dyDescent="0.2">
      <c r="A67" s="296"/>
      <c r="B67" s="296"/>
      <c r="C67" s="296"/>
      <c r="D67" s="298"/>
      <c r="E67" s="298"/>
      <c r="F67" s="296"/>
      <c r="G67" s="296"/>
      <c r="H67" s="296"/>
      <c r="I67" s="296"/>
      <c r="J67" s="296"/>
      <c r="K67" s="296"/>
      <c r="L67" s="296"/>
      <c r="M67" s="299"/>
      <c r="N67" s="299"/>
      <c r="O67" s="299"/>
      <c r="P67" s="299"/>
      <c r="Q67" s="299"/>
      <c r="R67" s="299"/>
      <c r="S67" s="299"/>
      <c r="T67" s="299"/>
      <c r="U67" s="299"/>
      <c r="V67" s="299"/>
      <c r="W67" s="299"/>
      <c r="X67" s="299"/>
      <c r="Y67" s="299"/>
      <c r="Z67" s="299"/>
      <c r="AA67" s="299"/>
      <c r="AB67" s="299"/>
      <c r="AC67" s="300"/>
      <c r="AD67" s="300"/>
    </row>
    <row r="68" spans="1:30" ht="12.75" customHeight="1" x14ac:dyDescent="0.2">
      <c r="A68" s="296"/>
      <c r="B68" s="296"/>
      <c r="C68" s="296"/>
      <c r="D68" s="298"/>
      <c r="E68" s="298"/>
      <c r="F68" s="296"/>
      <c r="G68" s="296"/>
      <c r="H68" s="296"/>
      <c r="I68" s="296"/>
      <c r="J68" s="296"/>
      <c r="K68" s="296"/>
      <c r="L68" s="296"/>
      <c r="M68" s="299"/>
      <c r="N68" s="299"/>
      <c r="O68" s="299"/>
      <c r="P68" s="299"/>
      <c r="Q68" s="299"/>
      <c r="R68" s="299"/>
      <c r="S68" s="299"/>
      <c r="T68" s="299"/>
      <c r="U68" s="299"/>
      <c r="V68" s="299"/>
      <c r="W68" s="299"/>
      <c r="X68" s="299"/>
      <c r="Y68" s="299"/>
      <c r="Z68" s="299"/>
      <c r="AA68" s="299"/>
      <c r="AB68" s="299"/>
      <c r="AC68" s="300"/>
      <c r="AD68" s="300"/>
    </row>
    <row r="69" spans="1:30" ht="12.75" customHeight="1" x14ac:dyDescent="0.2">
      <c r="A69" s="296"/>
      <c r="B69" s="296"/>
      <c r="C69" s="296"/>
      <c r="D69" s="298"/>
      <c r="E69" s="298"/>
      <c r="F69" s="296"/>
      <c r="G69" s="296"/>
      <c r="H69" s="296"/>
      <c r="I69" s="296"/>
      <c r="J69" s="296"/>
      <c r="K69" s="296"/>
      <c r="L69" s="296"/>
      <c r="M69" s="299"/>
      <c r="N69" s="299"/>
      <c r="O69" s="299"/>
      <c r="P69" s="299"/>
      <c r="Q69" s="299"/>
      <c r="R69" s="299"/>
      <c r="S69" s="299"/>
      <c r="T69" s="299"/>
      <c r="U69" s="299"/>
      <c r="V69" s="299"/>
      <c r="W69" s="299"/>
      <c r="X69" s="299"/>
      <c r="Y69" s="299"/>
      <c r="Z69" s="299"/>
      <c r="AA69" s="299"/>
      <c r="AB69" s="299"/>
      <c r="AC69" s="300"/>
      <c r="AD69" s="300"/>
    </row>
    <row r="70" spans="1:30" ht="12.75" customHeight="1" x14ac:dyDescent="0.2">
      <c r="A70" s="296"/>
      <c r="B70" s="296"/>
      <c r="C70" s="296"/>
      <c r="D70" s="298"/>
      <c r="E70" s="298"/>
      <c r="F70" s="296"/>
      <c r="G70" s="296"/>
      <c r="H70" s="296"/>
      <c r="I70" s="296"/>
      <c r="J70" s="296"/>
      <c r="K70" s="296"/>
      <c r="L70" s="296"/>
      <c r="M70" s="299"/>
      <c r="N70" s="299"/>
      <c r="O70" s="299"/>
      <c r="P70" s="299"/>
      <c r="Q70" s="299"/>
      <c r="R70" s="299"/>
      <c r="S70" s="299"/>
      <c r="T70" s="299"/>
      <c r="U70" s="299"/>
      <c r="V70" s="299"/>
      <c r="W70" s="299"/>
      <c r="X70" s="299"/>
      <c r="Y70" s="299"/>
      <c r="Z70" s="299"/>
      <c r="AA70" s="299"/>
      <c r="AB70" s="299"/>
      <c r="AC70" s="300"/>
      <c r="AD70" s="300"/>
    </row>
    <row r="71" spans="1:30" ht="12.75" customHeight="1" x14ac:dyDescent="0.2">
      <c r="A71" s="296"/>
      <c r="B71" s="296"/>
      <c r="C71" s="296"/>
      <c r="D71" s="298"/>
      <c r="E71" s="298"/>
      <c r="F71" s="296"/>
      <c r="G71" s="296"/>
      <c r="H71" s="296"/>
      <c r="I71" s="296"/>
      <c r="J71" s="296"/>
      <c r="K71" s="296"/>
      <c r="L71" s="296"/>
      <c r="M71" s="299"/>
      <c r="N71" s="299"/>
      <c r="O71" s="299"/>
      <c r="P71" s="299"/>
      <c r="Q71" s="299"/>
      <c r="R71" s="299"/>
      <c r="S71" s="299"/>
      <c r="T71" s="299"/>
      <c r="U71" s="299"/>
      <c r="V71" s="299"/>
      <c r="W71" s="299"/>
      <c r="X71" s="299"/>
      <c r="Y71" s="299"/>
      <c r="Z71" s="299"/>
      <c r="AA71" s="299"/>
      <c r="AB71" s="299"/>
      <c r="AC71" s="300"/>
      <c r="AD71" s="300"/>
    </row>
    <row r="72" spans="1:30" ht="12.75" customHeight="1" x14ac:dyDescent="0.2">
      <c r="A72" s="296"/>
      <c r="B72" s="296"/>
      <c r="C72" s="296"/>
      <c r="D72" s="298"/>
      <c r="E72" s="298"/>
      <c r="F72" s="296"/>
      <c r="G72" s="296"/>
      <c r="H72" s="296"/>
      <c r="I72" s="296"/>
      <c r="J72" s="296"/>
      <c r="K72" s="296"/>
      <c r="L72" s="296"/>
      <c r="M72" s="299"/>
      <c r="N72" s="299"/>
      <c r="O72" s="299"/>
      <c r="P72" s="299"/>
      <c r="Q72" s="299"/>
      <c r="R72" s="299"/>
      <c r="S72" s="299"/>
      <c r="T72" s="299"/>
      <c r="U72" s="299"/>
      <c r="V72" s="299"/>
      <c r="W72" s="299"/>
      <c r="X72" s="299"/>
      <c r="Y72" s="299"/>
      <c r="Z72" s="299"/>
      <c r="AA72" s="299"/>
      <c r="AB72" s="299"/>
      <c r="AC72" s="300"/>
      <c r="AD72" s="300"/>
    </row>
    <row r="73" spans="1:30" ht="12.75" customHeight="1" x14ac:dyDescent="0.2">
      <c r="A73" s="296"/>
      <c r="B73" s="296"/>
      <c r="C73" s="296"/>
      <c r="D73" s="298"/>
      <c r="E73" s="298"/>
      <c r="F73" s="296"/>
      <c r="G73" s="296"/>
      <c r="H73" s="296"/>
      <c r="I73" s="296"/>
      <c r="J73" s="296"/>
      <c r="K73" s="296"/>
      <c r="L73" s="296"/>
      <c r="M73" s="299"/>
      <c r="N73" s="299"/>
      <c r="O73" s="299"/>
      <c r="P73" s="299"/>
      <c r="Q73" s="299"/>
      <c r="R73" s="299"/>
      <c r="S73" s="299"/>
      <c r="T73" s="299"/>
      <c r="U73" s="299"/>
      <c r="V73" s="299"/>
      <c r="W73" s="299"/>
      <c r="X73" s="299"/>
      <c r="Y73" s="299"/>
      <c r="Z73" s="299"/>
      <c r="AA73" s="299"/>
      <c r="AB73" s="299"/>
      <c r="AC73" s="300"/>
      <c r="AD73" s="300"/>
    </row>
    <row r="74" spans="1:30" ht="12.75" customHeight="1" x14ac:dyDescent="0.2">
      <c r="A74" s="296"/>
      <c r="B74" s="296"/>
      <c r="C74" s="296"/>
      <c r="D74" s="298"/>
      <c r="E74" s="298"/>
      <c r="F74" s="296"/>
      <c r="G74" s="296"/>
      <c r="H74" s="296"/>
      <c r="I74" s="296"/>
      <c r="J74" s="296"/>
      <c r="K74" s="296"/>
      <c r="L74" s="296"/>
      <c r="M74" s="299"/>
      <c r="N74" s="299"/>
      <c r="O74" s="299"/>
      <c r="P74" s="299"/>
      <c r="Q74" s="299"/>
      <c r="R74" s="299"/>
      <c r="S74" s="299"/>
      <c r="T74" s="299"/>
      <c r="U74" s="299"/>
      <c r="V74" s="299"/>
      <c r="W74" s="299"/>
      <c r="X74" s="299"/>
      <c r="Y74" s="299"/>
      <c r="Z74" s="299"/>
      <c r="AA74" s="299"/>
      <c r="AB74" s="299"/>
      <c r="AC74" s="300"/>
      <c r="AD74" s="300"/>
    </row>
    <row r="75" spans="1:30" ht="12.75" customHeight="1" x14ac:dyDescent="0.2">
      <c r="A75" s="296"/>
      <c r="B75" s="296"/>
      <c r="C75" s="296"/>
      <c r="D75" s="298"/>
      <c r="E75" s="298"/>
      <c r="F75" s="296"/>
      <c r="G75" s="296"/>
      <c r="H75" s="296"/>
      <c r="I75" s="296"/>
      <c r="J75" s="296"/>
      <c r="K75" s="296"/>
      <c r="L75" s="296"/>
      <c r="M75" s="299"/>
      <c r="N75" s="299"/>
      <c r="O75" s="299"/>
      <c r="P75" s="299"/>
      <c r="Q75" s="299"/>
      <c r="R75" s="299"/>
      <c r="S75" s="299"/>
      <c r="T75" s="299"/>
      <c r="U75" s="299"/>
      <c r="V75" s="299"/>
      <c r="W75" s="299"/>
      <c r="X75" s="299"/>
      <c r="Y75" s="299"/>
      <c r="Z75" s="299"/>
      <c r="AA75" s="299"/>
      <c r="AB75" s="299"/>
      <c r="AC75" s="300"/>
      <c r="AD75" s="300"/>
    </row>
    <row r="76" spans="1:30" ht="12.75" customHeight="1" x14ac:dyDescent="0.2">
      <c r="A76" s="296"/>
      <c r="B76" s="296"/>
      <c r="C76" s="296"/>
      <c r="D76" s="298"/>
      <c r="E76" s="298"/>
      <c r="F76" s="296"/>
      <c r="G76" s="296"/>
      <c r="H76" s="296"/>
      <c r="I76" s="296"/>
      <c r="J76" s="296"/>
      <c r="K76" s="296"/>
      <c r="L76" s="296"/>
      <c r="M76" s="299"/>
      <c r="N76" s="299"/>
      <c r="O76" s="299"/>
      <c r="P76" s="299"/>
      <c r="Q76" s="299"/>
      <c r="R76" s="299"/>
      <c r="S76" s="299"/>
      <c r="T76" s="299"/>
      <c r="U76" s="299"/>
      <c r="V76" s="299"/>
      <c r="W76" s="299"/>
      <c r="X76" s="299"/>
      <c r="Y76" s="299"/>
      <c r="Z76" s="299"/>
      <c r="AA76" s="299"/>
      <c r="AB76" s="299"/>
      <c r="AC76" s="300"/>
      <c r="AD76" s="300"/>
    </row>
    <row r="77" spans="1:30" ht="12.75" customHeight="1" x14ac:dyDescent="0.2">
      <c r="A77" s="296"/>
      <c r="B77" s="296"/>
      <c r="C77" s="296"/>
      <c r="D77" s="298"/>
      <c r="E77" s="298"/>
      <c r="F77" s="296"/>
      <c r="G77" s="296"/>
      <c r="H77" s="296"/>
      <c r="I77" s="296"/>
      <c r="J77" s="296"/>
      <c r="K77" s="296"/>
      <c r="L77" s="296"/>
      <c r="M77" s="299"/>
      <c r="N77" s="299"/>
      <c r="O77" s="299"/>
      <c r="P77" s="299"/>
      <c r="Q77" s="299"/>
      <c r="R77" s="299"/>
      <c r="S77" s="299"/>
      <c r="T77" s="299"/>
      <c r="U77" s="299"/>
      <c r="V77" s="299"/>
      <c r="W77" s="299"/>
      <c r="X77" s="299"/>
      <c r="Y77" s="299"/>
      <c r="Z77" s="299"/>
      <c r="AA77" s="299"/>
      <c r="AB77" s="299"/>
      <c r="AC77" s="300"/>
      <c r="AD77" s="300"/>
    </row>
    <row r="78" spans="1:30" ht="12.75" customHeight="1" x14ac:dyDescent="0.2">
      <c r="A78" s="296"/>
      <c r="B78" s="296"/>
      <c r="C78" s="296"/>
      <c r="D78" s="298"/>
      <c r="E78" s="298"/>
      <c r="F78" s="296"/>
      <c r="G78" s="296"/>
      <c r="H78" s="296"/>
      <c r="I78" s="296"/>
      <c r="J78" s="296"/>
      <c r="K78" s="296"/>
      <c r="L78" s="296"/>
      <c r="M78" s="299"/>
      <c r="N78" s="299"/>
      <c r="O78" s="299"/>
      <c r="P78" s="299"/>
      <c r="Q78" s="299"/>
      <c r="R78" s="299"/>
      <c r="S78" s="299"/>
      <c r="T78" s="299"/>
      <c r="U78" s="299"/>
      <c r="V78" s="299"/>
      <c r="W78" s="299"/>
      <c r="X78" s="299"/>
      <c r="Y78" s="299"/>
      <c r="Z78" s="299"/>
      <c r="AA78" s="299"/>
      <c r="AB78" s="299"/>
      <c r="AC78" s="300"/>
      <c r="AD78" s="300"/>
    </row>
    <row r="79" spans="1:30" ht="12.75" customHeight="1" x14ac:dyDescent="0.2">
      <c r="A79" s="296"/>
      <c r="B79" s="296"/>
      <c r="C79" s="296"/>
      <c r="D79" s="298"/>
      <c r="E79" s="298"/>
      <c r="F79" s="296"/>
      <c r="G79" s="296"/>
      <c r="H79" s="296"/>
      <c r="I79" s="296"/>
      <c r="J79" s="296"/>
      <c r="K79" s="296"/>
      <c r="L79" s="296"/>
      <c r="M79" s="299"/>
      <c r="N79" s="299"/>
      <c r="O79" s="299"/>
      <c r="P79" s="299"/>
      <c r="Q79" s="299"/>
      <c r="R79" s="299"/>
      <c r="S79" s="299"/>
      <c r="T79" s="299"/>
      <c r="U79" s="299"/>
      <c r="V79" s="299"/>
      <c r="W79" s="299"/>
      <c r="X79" s="299"/>
      <c r="Y79" s="299"/>
      <c r="Z79" s="299"/>
      <c r="AA79" s="299"/>
      <c r="AB79" s="299"/>
      <c r="AC79" s="300"/>
      <c r="AD79" s="300"/>
    </row>
    <row r="80" spans="1:30" ht="12.75" customHeight="1" x14ac:dyDescent="0.2">
      <c r="A80" s="296"/>
      <c r="B80" s="296"/>
      <c r="C80" s="296"/>
      <c r="D80" s="298"/>
      <c r="E80" s="298"/>
      <c r="F80" s="296"/>
      <c r="G80" s="296"/>
      <c r="H80" s="296"/>
      <c r="I80" s="296"/>
      <c r="J80" s="296"/>
      <c r="K80" s="296"/>
      <c r="L80" s="296"/>
      <c r="M80" s="299"/>
      <c r="N80" s="299"/>
      <c r="O80" s="299"/>
      <c r="P80" s="299"/>
      <c r="Q80" s="299"/>
      <c r="R80" s="299"/>
      <c r="S80" s="299"/>
      <c r="T80" s="299"/>
      <c r="U80" s="299"/>
      <c r="V80" s="299"/>
      <c r="W80" s="299"/>
      <c r="X80" s="299"/>
      <c r="Y80" s="299"/>
      <c r="Z80" s="299"/>
      <c r="AA80" s="299"/>
      <c r="AB80" s="299"/>
      <c r="AC80" s="300"/>
      <c r="AD80" s="300"/>
    </row>
    <row r="81" spans="1:30" ht="12.75" customHeight="1" x14ac:dyDescent="0.2">
      <c r="A81" s="296"/>
      <c r="B81" s="296"/>
      <c r="C81" s="296"/>
      <c r="D81" s="298"/>
      <c r="E81" s="298"/>
      <c r="F81" s="296"/>
      <c r="G81" s="296"/>
      <c r="H81" s="296"/>
      <c r="I81" s="296"/>
      <c r="J81" s="296"/>
      <c r="K81" s="296"/>
      <c r="L81" s="296"/>
      <c r="M81" s="299"/>
      <c r="N81" s="299"/>
      <c r="O81" s="299"/>
      <c r="P81" s="299"/>
      <c r="Q81" s="299"/>
      <c r="R81" s="299"/>
      <c r="S81" s="299"/>
      <c r="T81" s="299"/>
      <c r="U81" s="299"/>
      <c r="V81" s="299"/>
      <c r="W81" s="299"/>
      <c r="X81" s="299"/>
      <c r="Y81" s="299"/>
      <c r="Z81" s="299"/>
      <c r="AA81" s="299"/>
      <c r="AB81" s="299"/>
      <c r="AC81" s="300"/>
      <c r="AD81" s="300"/>
    </row>
    <row r="82" spans="1:30" ht="12.75" customHeight="1" x14ac:dyDescent="0.2">
      <c r="A82" s="296"/>
      <c r="B82" s="296"/>
      <c r="C82" s="296"/>
      <c r="D82" s="298"/>
      <c r="E82" s="298"/>
      <c r="F82" s="296"/>
      <c r="G82" s="296"/>
      <c r="H82" s="296"/>
      <c r="I82" s="296"/>
      <c r="J82" s="296"/>
      <c r="K82" s="296"/>
      <c r="L82" s="296"/>
      <c r="M82" s="299"/>
      <c r="N82" s="299"/>
      <c r="O82" s="299"/>
      <c r="P82" s="299"/>
      <c r="Q82" s="299"/>
      <c r="R82" s="299"/>
      <c r="S82" s="299"/>
      <c r="T82" s="299"/>
      <c r="U82" s="299"/>
      <c r="V82" s="299"/>
      <c r="W82" s="299"/>
      <c r="X82" s="299"/>
      <c r="Y82" s="299"/>
      <c r="Z82" s="299"/>
      <c r="AA82" s="299"/>
      <c r="AB82" s="299"/>
      <c r="AC82" s="300"/>
      <c r="AD82" s="300"/>
    </row>
    <row r="83" spans="1:30" ht="12.75" customHeight="1" x14ac:dyDescent="0.2">
      <c r="A83" s="296"/>
      <c r="B83" s="296"/>
      <c r="C83" s="296"/>
      <c r="D83" s="298"/>
      <c r="E83" s="298"/>
      <c r="F83" s="296"/>
      <c r="G83" s="296"/>
      <c r="H83" s="296"/>
      <c r="I83" s="296"/>
      <c r="J83" s="296"/>
      <c r="K83" s="296"/>
      <c r="L83" s="296"/>
      <c r="M83" s="299"/>
      <c r="N83" s="299"/>
      <c r="O83" s="299"/>
      <c r="P83" s="299"/>
      <c r="Q83" s="299"/>
      <c r="R83" s="299"/>
      <c r="S83" s="299"/>
      <c r="T83" s="299"/>
      <c r="U83" s="299"/>
      <c r="V83" s="299"/>
      <c r="W83" s="299"/>
      <c r="X83" s="299"/>
      <c r="Y83" s="299"/>
      <c r="Z83" s="299"/>
      <c r="AA83" s="299"/>
      <c r="AB83" s="299"/>
      <c r="AC83" s="300"/>
      <c r="AD83" s="300"/>
    </row>
    <row r="84" spans="1:30" ht="12.75" customHeight="1" x14ac:dyDescent="0.2">
      <c r="A84" s="296"/>
      <c r="B84" s="296"/>
      <c r="C84" s="296"/>
      <c r="D84" s="298"/>
      <c r="E84" s="298"/>
      <c r="F84" s="296"/>
      <c r="G84" s="296"/>
      <c r="H84" s="296"/>
      <c r="I84" s="296"/>
      <c r="J84" s="296"/>
      <c r="K84" s="296"/>
      <c r="L84" s="296"/>
      <c r="M84" s="299"/>
      <c r="N84" s="299"/>
      <c r="O84" s="299"/>
      <c r="P84" s="299"/>
      <c r="Q84" s="299"/>
      <c r="R84" s="299"/>
      <c r="S84" s="299"/>
      <c r="T84" s="299"/>
      <c r="U84" s="299"/>
      <c r="V84" s="299"/>
      <c r="W84" s="299"/>
      <c r="X84" s="299"/>
      <c r="Y84" s="299"/>
      <c r="Z84" s="299"/>
      <c r="AA84" s="299"/>
      <c r="AB84" s="299"/>
      <c r="AC84" s="300"/>
      <c r="AD84" s="300"/>
    </row>
    <row r="85" spans="1:30" ht="12.75" customHeight="1" x14ac:dyDescent="0.2">
      <c r="A85" s="296"/>
      <c r="B85" s="296"/>
      <c r="C85" s="296"/>
      <c r="D85" s="298"/>
      <c r="E85" s="298"/>
      <c r="F85" s="296"/>
      <c r="G85" s="296"/>
      <c r="H85" s="296"/>
      <c r="I85" s="296"/>
      <c r="J85" s="296"/>
      <c r="K85" s="296"/>
      <c r="L85" s="296"/>
      <c r="M85" s="299"/>
      <c r="N85" s="299"/>
      <c r="O85" s="299"/>
      <c r="P85" s="299"/>
      <c r="Q85" s="299"/>
      <c r="R85" s="299"/>
      <c r="S85" s="299"/>
      <c r="T85" s="299"/>
      <c r="U85" s="299"/>
      <c r="V85" s="299"/>
      <c r="W85" s="299"/>
      <c r="X85" s="299"/>
      <c r="Y85" s="299"/>
      <c r="Z85" s="299"/>
      <c r="AA85" s="299"/>
      <c r="AB85" s="299"/>
      <c r="AC85" s="300"/>
      <c r="AD85" s="300"/>
    </row>
    <row r="86" spans="1:30" ht="12.75" customHeight="1" x14ac:dyDescent="0.2">
      <c r="A86" s="296"/>
      <c r="B86" s="296"/>
      <c r="C86" s="296"/>
      <c r="D86" s="298"/>
      <c r="E86" s="298"/>
      <c r="F86" s="296"/>
      <c r="G86" s="296"/>
      <c r="H86" s="296"/>
      <c r="I86" s="296"/>
      <c r="J86" s="296"/>
      <c r="K86" s="296"/>
      <c r="L86" s="296"/>
      <c r="M86" s="299"/>
      <c r="N86" s="299"/>
      <c r="O86" s="299"/>
      <c r="P86" s="299"/>
      <c r="Q86" s="299"/>
      <c r="R86" s="299"/>
      <c r="S86" s="299"/>
      <c r="T86" s="299"/>
      <c r="U86" s="299"/>
      <c r="V86" s="299"/>
      <c r="W86" s="299"/>
      <c r="X86" s="299"/>
      <c r="Y86" s="299"/>
      <c r="Z86" s="299"/>
      <c r="AA86" s="299"/>
      <c r="AB86" s="299"/>
      <c r="AC86" s="300"/>
      <c r="AD86" s="300"/>
    </row>
    <row r="87" spans="1:30" ht="12.75" customHeight="1" x14ac:dyDescent="0.2">
      <c r="A87" s="296"/>
      <c r="B87" s="296"/>
      <c r="C87" s="296"/>
      <c r="D87" s="298"/>
      <c r="E87" s="298"/>
      <c r="F87" s="296"/>
      <c r="G87" s="296"/>
      <c r="H87" s="296"/>
      <c r="I87" s="296"/>
      <c r="J87" s="296"/>
      <c r="K87" s="296"/>
      <c r="L87" s="296"/>
      <c r="M87" s="299"/>
      <c r="N87" s="299"/>
      <c r="O87" s="299"/>
      <c r="P87" s="299"/>
      <c r="Q87" s="299"/>
      <c r="R87" s="299"/>
      <c r="S87" s="299"/>
      <c r="T87" s="299"/>
      <c r="U87" s="299"/>
      <c r="V87" s="299"/>
      <c r="W87" s="299"/>
      <c r="X87" s="299"/>
      <c r="Y87" s="299"/>
      <c r="Z87" s="299"/>
      <c r="AA87" s="299"/>
      <c r="AB87" s="299"/>
      <c r="AC87" s="300"/>
      <c r="AD87" s="300"/>
    </row>
    <row r="88" spans="1:30" ht="12.75" customHeight="1" x14ac:dyDescent="0.2">
      <c r="A88" s="296"/>
      <c r="B88" s="296"/>
      <c r="C88" s="296"/>
      <c r="D88" s="298"/>
      <c r="E88" s="298"/>
      <c r="F88" s="296"/>
      <c r="G88" s="296"/>
      <c r="H88" s="296"/>
      <c r="I88" s="296"/>
      <c r="J88" s="296"/>
      <c r="K88" s="296"/>
      <c r="L88" s="296"/>
      <c r="M88" s="299"/>
      <c r="N88" s="299"/>
      <c r="O88" s="299"/>
      <c r="P88" s="299"/>
      <c r="Q88" s="299"/>
      <c r="R88" s="299"/>
      <c r="S88" s="299"/>
      <c r="T88" s="299"/>
      <c r="U88" s="299"/>
      <c r="V88" s="299"/>
      <c r="W88" s="299"/>
      <c r="X88" s="299"/>
      <c r="Y88" s="299"/>
      <c r="Z88" s="299"/>
      <c r="AA88" s="299"/>
      <c r="AB88" s="299"/>
      <c r="AC88" s="300"/>
      <c r="AD88" s="300"/>
    </row>
    <row r="89" spans="1:30" ht="12.75" customHeight="1" x14ac:dyDescent="0.2">
      <c r="A89" s="296"/>
      <c r="B89" s="296"/>
      <c r="C89" s="296"/>
      <c r="D89" s="298"/>
      <c r="E89" s="298"/>
      <c r="F89" s="296"/>
      <c r="G89" s="296"/>
      <c r="H89" s="296"/>
      <c r="I89" s="296"/>
      <c r="J89" s="296"/>
      <c r="K89" s="296"/>
      <c r="L89" s="296"/>
      <c r="M89" s="299"/>
      <c r="N89" s="299"/>
      <c r="O89" s="299"/>
      <c r="P89" s="299"/>
      <c r="Q89" s="299"/>
      <c r="R89" s="299"/>
      <c r="S89" s="299"/>
      <c r="T89" s="299"/>
      <c r="U89" s="299"/>
      <c r="V89" s="299"/>
      <c r="W89" s="299"/>
      <c r="X89" s="299"/>
      <c r="Y89" s="299"/>
      <c r="Z89" s="299"/>
      <c r="AA89" s="299"/>
      <c r="AB89" s="299"/>
      <c r="AC89" s="300"/>
      <c r="AD89" s="300"/>
    </row>
    <row r="90" spans="1:30" ht="12.75" customHeight="1" x14ac:dyDescent="0.2">
      <c r="A90" s="296"/>
      <c r="B90" s="296"/>
      <c r="C90" s="296"/>
      <c r="D90" s="298"/>
      <c r="E90" s="298"/>
      <c r="F90" s="296"/>
      <c r="G90" s="296"/>
      <c r="H90" s="296"/>
      <c r="I90" s="296"/>
      <c r="J90" s="296"/>
      <c r="K90" s="296"/>
      <c r="L90" s="296"/>
      <c r="M90" s="299"/>
      <c r="N90" s="299"/>
      <c r="O90" s="299"/>
      <c r="P90" s="299"/>
      <c r="Q90" s="299"/>
      <c r="R90" s="299"/>
      <c r="S90" s="299"/>
      <c r="T90" s="299"/>
      <c r="U90" s="299"/>
      <c r="V90" s="299"/>
      <c r="W90" s="299"/>
      <c r="X90" s="299"/>
      <c r="Y90" s="299"/>
      <c r="Z90" s="299"/>
      <c r="AA90" s="299"/>
      <c r="AB90" s="299"/>
      <c r="AC90" s="300"/>
      <c r="AD90" s="300"/>
    </row>
    <row r="91" spans="1:30" ht="12.75" customHeight="1" x14ac:dyDescent="0.2">
      <c r="A91" s="296"/>
      <c r="B91" s="296"/>
      <c r="C91" s="296"/>
      <c r="D91" s="298"/>
      <c r="E91" s="298"/>
      <c r="F91" s="296"/>
      <c r="G91" s="296"/>
      <c r="H91" s="296"/>
      <c r="I91" s="296"/>
      <c r="J91" s="296"/>
      <c r="K91" s="296"/>
      <c r="L91" s="296"/>
      <c r="M91" s="299"/>
      <c r="N91" s="299"/>
      <c r="O91" s="299"/>
      <c r="P91" s="299"/>
      <c r="Q91" s="299"/>
      <c r="R91" s="299"/>
      <c r="S91" s="299"/>
      <c r="T91" s="299"/>
      <c r="U91" s="299"/>
      <c r="V91" s="299"/>
      <c r="W91" s="299"/>
      <c r="X91" s="299"/>
      <c r="Y91" s="299"/>
      <c r="Z91" s="299"/>
      <c r="AA91" s="299"/>
      <c r="AB91" s="299"/>
      <c r="AC91" s="300"/>
      <c r="AD91" s="300"/>
    </row>
    <row r="92" spans="1:30" ht="12.75" customHeight="1" x14ac:dyDescent="0.2">
      <c r="A92" s="296"/>
      <c r="B92" s="296"/>
      <c r="C92" s="296"/>
      <c r="D92" s="298"/>
      <c r="E92" s="298"/>
      <c r="F92" s="296"/>
      <c r="G92" s="296"/>
      <c r="H92" s="296"/>
      <c r="I92" s="296"/>
      <c r="J92" s="296"/>
      <c r="K92" s="296"/>
      <c r="L92" s="296"/>
      <c r="M92" s="299"/>
      <c r="N92" s="299"/>
      <c r="O92" s="299"/>
      <c r="P92" s="299"/>
      <c r="Q92" s="299"/>
      <c r="R92" s="299"/>
      <c r="S92" s="299"/>
      <c r="T92" s="299"/>
      <c r="U92" s="299"/>
      <c r="V92" s="299"/>
      <c r="W92" s="299"/>
      <c r="X92" s="299"/>
      <c r="Y92" s="299"/>
      <c r="Z92" s="299"/>
      <c r="AA92" s="299"/>
      <c r="AB92" s="299"/>
      <c r="AC92" s="300"/>
      <c r="AD92" s="300"/>
    </row>
    <row r="93" spans="1:30" ht="12.75" customHeight="1" x14ac:dyDescent="0.2">
      <c r="A93" s="296"/>
      <c r="B93" s="296"/>
      <c r="C93" s="296"/>
      <c r="D93" s="298"/>
      <c r="E93" s="298"/>
      <c r="F93" s="296"/>
      <c r="G93" s="296"/>
      <c r="H93" s="296"/>
      <c r="I93" s="296"/>
      <c r="J93" s="296"/>
      <c r="K93" s="296"/>
      <c r="L93" s="296"/>
      <c r="M93" s="299"/>
      <c r="N93" s="299"/>
      <c r="O93" s="299"/>
      <c r="P93" s="299"/>
      <c r="Q93" s="299"/>
      <c r="R93" s="299"/>
      <c r="S93" s="299"/>
      <c r="T93" s="299"/>
      <c r="U93" s="299"/>
      <c r="V93" s="299"/>
      <c r="W93" s="299"/>
      <c r="X93" s="299"/>
      <c r="Y93" s="299"/>
      <c r="Z93" s="299"/>
      <c r="AA93" s="299"/>
      <c r="AB93" s="299"/>
      <c r="AC93" s="300"/>
      <c r="AD93" s="300"/>
    </row>
    <row r="94" spans="1:30" ht="12.75" customHeight="1" x14ac:dyDescent="0.2">
      <c r="A94" s="296"/>
      <c r="B94" s="296"/>
      <c r="C94" s="296"/>
      <c r="D94" s="298"/>
      <c r="E94" s="298"/>
      <c r="F94" s="296"/>
      <c r="G94" s="296"/>
      <c r="H94" s="296"/>
      <c r="I94" s="296"/>
      <c r="J94" s="296"/>
      <c r="K94" s="296"/>
      <c r="L94" s="296"/>
      <c r="M94" s="299"/>
      <c r="N94" s="299"/>
      <c r="O94" s="299"/>
      <c r="P94" s="299"/>
      <c r="Q94" s="299"/>
      <c r="R94" s="299"/>
      <c r="S94" s="299"/>
      <c r="T94" s="299"/>
      <c r="U94" s="299"/>
      <c r="V94" s="299"/>
      <c r="W94" s="299"/>
      <c r="X94" s="299"/>
      <c r="Y94" s="299"/>
      <c r="Z94" s="299"/>
      <c r="AA94" s="299"/>
      <c r="AB94" s="299"/>
      <c r="AC94" s="300"/>
      <c r="AD94" s="300"/>
    </row>
    <row r="95" spans="1:30" ht="12.75" customHeight="1" x14ac:dyDescent="0.2">
      <c r="A95" s="296"/>
      <c r="B95" s="296"/>
      <c r="C95" s="296"/>
      <c r="D95" s="298"/>
      <c r="E95" s="298"/>
      <c r="F95" s="296"/>
      <c r="G95" s="296"/>
      <c r="H95" s="296"/>
      <c r="I95" s="296"/>
      <c r="J95" s="296"/>
      <c r="K95" s="296"/>
      <c r="L95" s="296"/>
      <c r="M95" s="299"/>
      <c r="N95" s="299"/>
      <c r="O95" s="299"/>
      <c r="P95" s="299"/>
      <c r="Q95" s="299"/>
      <c r="R95" s="299"/>
      <c r="S95" s="299"/>
      <c r="T95" s="299"/>
      <c r="U95" s="299"/>
      <c r="V95" s="299"/>
      <c r="W95" s="299"/>
      <c r="X95" s="299"/>
      <c r="Y95" s="299"/>
      <c r="Z95" s="299"/>
      <c r="AA95" s="299"/>
      <c r="AB95" s="299"/>
      <c r="AC95" s="300"/>
      <c r="AD95" s="300"/>
    </row>
    <row r="96" spans="1:30" ht="12.75" customHeight="1" x14ac:dyDescent="0.2">
      <c r="A96" s="296"/>
      <c r="B96" s="296"/>
      <c r="C96" s="296"/>
      <c r="D96" s="298"/>
      <c r="E96" s="298"/>
      <c r="F96" s="296"/>
      <c r="G96" s="296"/>
      <c r="H96" s="296"/>
      <c r="I96" s="296"/>
      <c r="J96" s="296"/>
      <c r="K96" s="296"/>
      <c r="L96" s="296"/>
      <c r="M96" s="299"/>
      <c r="N96" s="299"/>
      <c r="O96" s="299"/>
      <c r="P96" s="299"/>
      <c r="Q96" s="299"/>
      <c r="R96" s="299"/>
      <c r="S96" s="299"/>
      <c r="T96" s="299"/>
      <c r="U96" s="299"/>
      <c r="V96" s="299"/>
      <c r="W96" s="299"/>
      <c r="X96" s="299"/>
      <c r="Y96" s="299"/>
      <c r="Z96" s="299"/>
      <c r="AA96" s="299"/>
      <c r="AB96" s="299"/>
      <c r="AC96" s="300"/>
      <c r="AD96" s="300"/>
    </row>
    <row r="97" spans="1:30" ht="12.75" customHeight="1" x14ac:dyDescent="0.2">
      <c r="A97" s="296"/>
      <c r="B97" s="296"/>
      <c r="C97" s="296"/>
      <c r="D97" s="298"/>
      <c r="E97" s="298"/>
      <c r="F97" s="296"/>
      <c r="G97" s="296"/>
      <c r="H97" s="296"/>
      <c r="I97" s="296"/>
      <c r="J97" s="296"/>
      <c r="K97" s="296"/>
      <c r="L97" s="296"/>
      <c r="M97" s="299"/>
      <c r="N97" s="299"/>
      <c r="O97" s="299"/>
      <c r="P97" s="299"/>
      <c r="Q97" s="299"/>
      <c r="R97" s="299"/>
      <c r="S97" s="299"/>
      <c r="T97" s="299"/>
      <c r="U97" s="299"/>
      <c r="V97" s="299"/>
      <c r="W97" s="299"/>
      <c r="X97" s="299"/>
      <c r="Y97" s="299"/>
      <c r="Z97" s="299"/>
      <c r="AA97" s="299"/>
      <c r="AB97" s="299"/>
      <c r="AC97" s="300"/>
      <c r="AD97" s="300"/>
    </row>
    <row r="98" spans="1:30" ht="12.75" customHeight="1" x14ac:dyDescent="0.2">
      <c r="A98" s="296"/>
      <c r="B98" s="296"/>
      <c r="C98" s="296"/>
      <c r="D98" s="298"/>
      <c r="E98" s="298"/>
      <c r="F98" s="296"/>
      <c r="G98" s="296"/>
      <c r="H98" s="296"/>
      <c r="I98" s="296"/>
      <c r="J98" s="296"/>
      <c r="K98" s="296"/>
      <c r="L98" s="296"/>
      <c r="M98" s="299"/>
      <c r="N98" s="299"/>
      <c r="O98" s="299"/>
      <c r="P98" s="299"/>
      <c r="Q98" s="299"/>
      <c r="R98" s="299"/>
      <c r="S98" s="299"/>
      <c r="T98" s="299"/>
      <c r="U98" s="299"/>
      <c r="V98" s="299"/>
      <c r="W98" s="299"/>
      <c r="X98" s="299"/>
      <c r="Y98" s="299"/>
      <c r="Z98" s="299"/>
      <c r="AA98" s="299"/>
      <c r="AB98" s="299"/>
      <c r="AC98" s="300"/>
      <c r="AD98" s="300"/>
    </row>
    <row r="99" spans="1:30" ht="12.75" customHeight="1" x14ac:dyDescent="0.2">
      <c r="A99" s="296"/>
      <c r="B99" s="296"/>
      <c r="C99" s="296"/>
      <c r="D99" s="298"/>
      <c r="E99" s="298"/>
      <c r="F99" s="296"/>
      <c r="G99" s="296"/>
      <c r="H99" s="296"/>
      <c r="I99" s="296"/>
      <c r="J99" s="296"/>
      <c r="K99" s="296"/>
      <c r="L99" s="296"/>
      <c r="M99" s="299"/>
      <c r="N99" s="299"/>
      <c r="O99" s="299"/>
      <c r="P99" s="299"/>
      <c r="Q99" s="299"/>
      <c r="R99" s="299"/>
      <c r="S99" s="299"/>
      <c r="T99" s="299"/>
      <c r="U99" s="299"/>
      <c r="V99" s="299"/>
      <c r="W99" s="299"/>
      <c r="X99" s="299"/>
      <c r="Y99" s="299"/>
      <c r="Z99" s="299"/>
      <c r="AA99" s="299"/>
      <c r="AB99" s="299"/>
      <c r="AC99" s="300"/>
      <c r="AD99" s="300"/>
    </row>
    <row r="100" spans="1:30" ht="12.75" customHeight="1" x14ac:dyDescent="0.2">
      <c r="A100" s="296"/>
      <c r="B100" s="296"/>
      <c r="C100" s="296"/>
      <c r="D100" s="298"/>
      <c r="E100" s="298"/>
      <c r="F100" s="296"/>
      <c r="G100" s="296"/>
      <c r="H100" s="296"/>
      <c r="I100" s="296"/>
      <c r="J100" s="296"/>
      <c r="K100" s="296"/>
      <c r="L100" s="296"/>
      <c r="M100" s="299"/>
      <c r="N100" s="299"/>
      <c r="O100" s="299"/>
      <c r="P100" s="299"/>
      <c r="Q100" s="299"/>
      <c r="R100" s="299"/>
      <c r="S100" s="299"/>
      <c r="T100" s="299"/>
      <c r="U100" s="299"/>
      <c r="V100" s="299"/>
      <c r="W100" s="299"/>
      <c r="X100" s="299"/>
      <c r="Y100" s="299"/>
      <c r="Z100" s="299"/>
      <c r="AA100" s="299"/>
      <c r="AB100" s="299"/>
      <c r="AC100" s="300"/>
      <c r="AD100" s="300"/>
    </row>
    <row r="101" spans="1:30" ht="12.75" customHeight="1" x14ac:dyDescent="0.2">
      <c r="A101" s="296"/>
      <c r="B101" s="296"/>
      <c r="C101" s="296"/>
      <c r="D101" s="298"/>
      <c r="E101" s="298"/>
      <c r="F101" s="296"/>
      <c r="G101" s="296"/>
      <c r="H101" s="296"/>
      <c r="I101" s="296"/>
      <c r="J101" s="296"/>
      <c r="K101" s="296"/>
      <c r="L101" s="296"/>
      <c r="M101" s="299"/>
      <c r="N101" s="299"/>
      <c r="O101" s="299"/>
      <c r="P101" s="299"/>
      <c r="Q101" s="299"/>
      <c r="R101" s="299"/>
      <c r="S101" s="299"/>
      <c r="T101" s="299"/>
      <c r="U101" s="299"/>
      <c r="V101" s="299"/>
      <c r="W101" s="299"/>
      <c r="X101" s="299"/>
      <c r="Y101" s="299"/>
      <c r="Z101" s="299"/>
      <c r="AA101" s="299"/>
      <c r="AB101" s="299"/>
      <c r="AC101" s="300"/>
      <c r="AD101" s="300"/>
    </row>
    <row r="102" spans="1:30" ht="12.75" customHeight="1" x14ac:dyDescent="0.2">
      <c r="A102" s="296"/>
      <c r="B102" s="296"/>
      <c r="C102" s="296"/>
      <c r="D102" s="298"/>
      <c r="E102" s="298"/>
      <c r="F102" s="296"/>
      <c r="G102" s="296"/>
      <c r="H102" s="296"/>
      <c r="I102" s="296"/>
      <c r="J102" s="296"/>
      <c r="K102" s="296"/>
      <c r="L102" s="296"/>
      <c r="M102" s="299"/>
      <c r="N102" s="299"/>
      <c r="O102" s="299"/>
      <c r="P102" s="299"/>
      <c r="Q102" s="299"/>
      <c r="R102" s="299"/>
      <c r="S102" s="299"/>
      <c r="T102" s="299"/>
      <c r="U102" s="299"/>
      <c r="V102" s="299"/>
      <c r="W102" s="299"/>
      <c r="X102" s="299"/>
      <c r="Y102" s="299"/>
      <c r="Z102" s="299"/>
      <c r="AA102" s="299"/>
      <c r="AB102" s="299"/>
      <c r="AC102" s="300"/>
      <c r="AD102" s="300"/>
    </row>
    <row r="103" spans="1:30" ht="12.75" customHeight="1" x14ac:dyDescent="0.2">
      <c r="A103" s="296"/>
      <c r="B103" s="296"/>
      <c r="C103" s="296"/>
      <c r="D103" s="298"/>
      <c r="E103" s="298"/>
      <c r="F103" s="296"/>
      <c r="G103" s="296"/>
      <c r="H103" s="296"/>
      <c r="I103" s="296"/>
      <c r="J103" s="296"/>
      <c r="K103" s="296"/>
      <c r="L103" s="296"/>
      <c r="M103" s="299"/>
      <c r="N103" s="299"/>
      <c r="O103" s="299"/>
      <c r="P103" s="299"/>
      <c r="Q103" s="299"/>
      <c r="R103" s="299"/>
      <c r="S103" s="299"/>
      <c r="T103" s="299"/>
      <c r="U103" s="299"/>
      <c r="V103" s="299"/>
      <c r="W103" s="299"/>
      <c r="X103" s="299"/>
      <c r="Y103" s="299"/>
      <c r="Z103" s="299"/>
      <c r="AA103" s="299"/>
      <c r="AB103" s="299"/>
      <c r="AC103" s="300"/>
      <c r="AD103" s="300"/>
    </row>
    <row r="104" spans="1:30" ht="12.75" customHeight="1" x14ac:dyDescent="0.2">
      <c r="A104" s="296"/>
      <c r="B104" s="296"/>
      <c r="C104" s="296"/>
      <c r="D104" s="298"/>
      <c r="E104" s="298"/>
      <c r="F104" s="296"/>
      <c r="G104" s="296"/>
      <c r="H104" s="296"/>
      <c r="I104" s="296"/>
      <c r="J104" s="296"/>
      <c r="K104" s="296"/>
      <c r="L104" s="296"/>
      <c r="M104" s="299"/>
      <c r="N104" s="299"/>
      <c r="O104" s="299"/>
      <c r="P104" s="299"/>
      <c r="Q104" s="299"/>
      <c r="R104" s="299"/>
      <c r="S104" s="299"/>
      <c r="T104" s="299"/>
      <c r="U104" s="299"/>
      <c r="V104" s="299"/>
      <c r="W104" s="299"/>
      <c r="X104" s="299"/>
      <c r="Y104" s="299"/>
      <c r="Z104" s="299"/>
      <c r="AA104" s="299"/>
      <c r="AB104" s="299"/>
      <c r="AC104" s="300"/>
      <c r="AD104" s="300"/>
    </row>
    <row r="105" spans="1:30" ht="12.75" customHeight="1" x14ac:dyDescent="0.2">
      <c r="A105" s="296"/>
      <c r="B105" s="296"/>
      <c r="C105" s="296"/>
      <c r="D105" s="298"/>
      <c r="E105" s="298"/>
      <c r="F105" s="296"/>
      <c r="G105" s="296"/>
      <c r="H105" s="296"/>
      <c r="I105" s="296"/>
      <c r="J105" s="296"/>
      <c r="K105" s="296"/>
      <c r="L105" s="296"/>
      <c r="M105" s="299"/>
      <c r="N105" s="299"/>
      <c r="O105" s="299"/>
      <c r="P105" s="299"/>
      <c r="Q105" s="299"/>
      <c r="R105" s="299"/>
      <c r="S105" s="299"/>
      <c r="T105" s="299"/>
      <c r="U105" s="299"/>
      <c r="V105" s="299"/>
      <c r="W105" s="299"/>
      <c r="X105" s="299"/>
      <c r="Y105" s="299"/>
      <c r="Z105" s="299"/>
      <c r="AA105" s="299"/>
      <c r="AB105" s="299"/>
      <c r="AC105" s="300"/>
      <c r="AD105" s="300"/>
    </row>
    <row r="106" spans="1:30" ht="12.75" customHeight="1" x14ac:dyDescent="0.2">
      <c r="A106" s="296"/>
      <c r="B106" s="296"/>
      <c r="C106" s="296"/>
      <c r="D106" s="298"/>
      <c r="E106" s="298"/>
      <c r="F106" s="296"/>
      <c r="G106" s="296"/>
      <c r="H106" s="296"/>
      <c r="I106" s="296"/>
      <c r="J106" s="296"/>
      <c r="K106" s="296"/>
      <c r="L106" s="296"/>
      <c r="M106" s="299"/>
      <c r="N106" s="299"/>
      <c r="O106" s="299"/>
      <c r="P106" s="299"/>
      <c r="Q106" s="299"/>
      <c r="R106" s="299"/>
      <c r="S106" s="299"/>
      <c r="T106" s="299"/>
      <c r="U106" s="299"/>
      <c r="V106" s="299"/>
      <c r="W106" s="299"/>
      <c r="X106" s="299"/>
      <c r="Y106" s="299"/>
      <c r="Z106" s="299"/>
      <c r="AA106" s="299"/>
      <c r="AB106" s="299"/>
      <c r="AC106" s="300"/>
      <c r="AD106" s="300"/>
    </row>
    <row r="107" spans="1:30" ht="12.75" customHeight="1" x14ac:dyDescent="0.2">
      <c r="A107" s="296"/>
      <c r="B107" s="296"/>
      <c r="C107" s="296"/>
      <c r="D107" s="298"/>
      <c r="E107" s="298"/>
      <c r="F107" s="296"/>
      <c r="G107" s="296"/>
      <c r="H107" s="296"/>
      <c r="I107" s="296"/>
      <c r="J107" s="296"/>
      <c r="K107" s="296"/>
      <c r="L107" s="296"/>
      <c r="M107" s="299"/>
      <c r="N107" s="299"/>
      <c r="O107" s="299"/>
      <c r="P107" s="299"/>
      <c r="Q107" s="299"/>
      <c r="R107" s="299"/>
      <c r="S107" s="299"/>
      <c r="T107" s="299"/>
      <c r="U107" s="299"/>
      <c r="V107" s="299"/>
      <c r="W107" s="299"/>
      <c r="X107" s="299"/>
      <c r="Y107" s="299"/>
      <c r="Z107" s="299"/>
      <c r="AA107" s="299"/>
      <c r="AB107" s="299"/>
      <c r="AC107" s="300"/>
      <c r="AD107" s="300"/>
    </row>
    <row r="108" spans="1:30" ht="12.75" customHeight="1" x14ac:dyDescent="0.2">
      <c r="A108" s="296"/>
      <c r="B108" s="296"/>
      <c r="C108" s="296"/>
      <c r="D108" s="298"/>
      <c r="E108" s="298"/>
      <c r="F108" s="296"/>
      <c r="G108" s="296"/>
      <c r="H108" s="296"/>
      <c r="I108" s="296"/>
      <c r="J108" s="296"/>
      <c r="K108" s="296"/>
      <c r="L108" s="296"/>
      <c r="M108" s="299"/>
      <c r="N108" s="299"/>
      <c r="O108" s="299"/>
      <c r="P108" s="299"/>
      <c r="Q108" s="299"/>
      <c r="R108" s="299"/>
      <c r="S108" s="299"/>
      <c r="T108" s="299"/>
      <c r="U108" s="299"/>
      <c r="V108" s="299"/>
      <c r="W108" s="299"/>
      <c r="X108" s="299"/>
      <c r="Y108" s="299"/>
      <c r="Z108" s="299"/>
      <c r="AA108" s="299"/>
      <c r="AB108" s="299"/>
      <c r="AC108" s="300"/>
      <c r="AD108" s="300"/>
    </row>
    <row r="109" spans="1:30" ht="12.75" customHeight="1" x14ac:dyDescent="0.2">
      <c r="A109" s="296"/>
      <c r="B109" s="296"/>
      <c r="C109" s="296"/>
      <c r="D109" s="298"/>
      <c r="E109" s="298"/>
      <c r="F109" s="296"/>
      <c r="G109" s="296"/>
      <c r="H109" s="296"/>
      <c r="I109" s="296"/>
      <c r="J109" s="296"/>
      <c r="K109" s="296"/>
      <c r="L109" s="296"/>
      <c r="M109" s="299"/>
      <c r="N109" s="299"/>
      <c r="O109" s="299"/>
      <c r="P109" s="299"/>
      <c r="Q109" s="299"/>
      <c r="R109" s="299"/>
      <c r="S109" s="299"/>
      <c r="T109" s="299"/>
      <c r="U109" s="299"/>
      <c r="V109" s="299"/>
      <c r="W109" s="299"/>
      <c r="X109" s="299"/>
      <c r="Y109" s="299"/>
      <c r="Z109" s="299"/>
      <c r="AA109" s="299"/>
      <c r="AB109" s="299"/>
      <c r="AC109" s="300"/>
      <c r="AD109" s="300"/>
    </row>
    <row r="110" spans="1:30" ht="12.75" customHeight="1" x14ac:dyDescent="0.2">
      <c r="A110" s="296"/>
      <c r="B110" s="296"/>
      <c r="C110" s="296"/>
      <c r="D110" s="298"/>
      <c r="E110" s="298"/>
      <c r="F110" s="296"/>
      <c r="G110" s="296"/>
      <c r="H110" s="296"/>
      <c r="I110" s="296"/>
      <c r="J110" s="296"/>
      <c r="K110" s="296"/>
      <c r="L110" s="296"/>
      <c r="M110" s="299"/>
      <c r="N110" s="299"/>
      <c r="O110" s="299"/>
      <c r="P110" s="299"/>
      <c r="Q110" s="299"/>
      <c r="R110" s="299"/>
      <c r="S110" s="299"/>
      <c r="T110" s="299"/>
      <c r="U110" s="299"/>
      <c r="V110" s="299"/>
      <c r="W110" s="299"/>
      <c r="X110" s="299"/>
      <c r="Y110" s="299"/>
      <c r="Z110" s="299"/>
      <c r="AA110" s="299"/>
      <c r="AB110" s="299"/>
      <c r="AC110" s="300"/>
      <c r="AD110" s="300"/>
    </row>
    <row r="111" spans="1:30" ht="12.75" customHeight="1" x14ac:dyDescent="0.2">
      <c r="A111" s="296"/>
      <c r="B111" s="296"/>
      <c r="C111" s="296"/>
      <c r="D111" s="298"/>
      <c r="E111" s="298"/>
      <c r="F111" s="296"/>
      <c r="G111" s="296"/>
      <c r="H111" s="296"/>
      <c r="I111" s="296"/>
      <c r="J111" s="296"/>
      <c r="K111" s="296"/>
      <c r="L111" s="296"/>
      <c r="M111" s="299"/>
      <c r="N111" s="299"/>
      <c r="O111" s="299"/>
      <c r="P111" s="299"/>
      <c r="Q111" s="299"/>
      <c r="R111" s="299"/>
      <c r="S111" s="299"/>
      <c r="T111" s="299"/>
      <c r="U111" s="299"/>
      <c r="V111" s="299"/>
      <c r="W111" s="299"/>
      <c r="X111" s="299"/>
      <c r="Y111" s="299"/>
      <c r="Z111" s="299"/>
      <c r="AA111" s="299"/>
      <c r="AB111" s="299"/>
      <c r="AC111" s="300"/>
      <c r="AD111" s="300"/>
    </row>
    <row r="112" spans="1:30" ht="12.75" customHeight="1" x14ac:dyDescent="0.2">
      <c r="A112" s="296"/>
      <c r="B112" s="296"/>
      <c r="C112" s="296"/>
      <c r="D112" s="298"/>
      <c r="E112" s="298"/>
      <c r="F112" s="296"/>
      <c r="G112" s="296"/>
      <c r="H112" s="296"/>
      <c r="I112" s="296"/>
      <c r="J112" s="296"/>
      <c r="K112" s="296"/>
      <c r="L112" s="296"/>
      <c r="M112" s="299"/>
      <c r="N112" s="299"/>
      <c r="O112" s="299"/>
      <c r="P112" s="299"/>
      <c r="Q112" s="299"/>
      <c r="R112" s="299"/>
      <c r="S112" s="299"/>
      <c r="T112" s="299"/>
      <c r="U112" s="299"/>
      <c r="V112" s="299"/>
      <c r="W112" s="299"/>
      <c r="X112" s="299"/>
      <c r="Y112" s="299"/>
      <c r="Z112" s="299"/>
      <c r="AA112" s="299"/>
      <c r="AB112" s="299"/>
      <c r="AC112" s="300"/>
      <c r="AD112" s="300"/>
    </row>
    <row r="113" spans="1:30" ht="12.75" customHeight="1" x14ac:dyDescent="0.2">
      <c r="A113" s="296"/>
      <c r="B113" s="296"/>
      <c r="C113" s="296"/>
      <c r="D113" s="298"/>
      <c r="E113" s="298"/>
      <c r="F113" s="296"/>
      <c r="G113" s="296"/>
      <c r="H113" s="296"/>
      <c r="I113" s="296"/>
      <c r="J113" s="296"/>
      <c r="K113" s="296"/>
      <c r="L113" s="296"/>
      <c r="M113" s="299"/>
      <c r="N113" s="299"/>
      <c r="O113" s="299"/>
      <c r="P113" s="299"/>
      <c r="Q113" s="299"/>
      <c r="R113" s="299"/>
      <c r="S113" s="299"/>
      <c r="T113" s="299"/>
      <c r="U113" s="299"/>
      <c r="V113" s="299"/>
      <c r="W113" s="299"/>
      <c r="X113" s="299"/>
      <c r="Y113" s="299"/>
      <c r="Z113" s="299"/>
      <c r="AA113" s="299"/>
      <c r="AB113" s="299"/>
      <c r="AC113" s="300"/>
      <c r="AD113" s="300"/>
    </row>
    <row r="114" spans="1:30" ht="12.75" customHeight="1" x14ac:dyDescent="0.2">
      <c r="A114" s="296"/>
      <c r="B114" s="296"/>
      <c r="C114" s="296"/>
      <c r="D114" s="298"/>
      <c r="E114" s="298"/>
      <c r="F114" s="296"/>
      <c r="G114" s="296"/>
      <c r="H114" s="296"/>
      <c r="I114" s="296"/>
      <c r="J114" s="296"/>
      <c r="K114" s="296"/>
      <c r="L114" s="296"/>
      <c r="M114" s="299"/>
      <c r="N114" s="299"/>
      <c r="O114" s="299"/>
      <c r="P114" s="299"/>
      <c r="Q114" s="299"/>
      <c r="R114" s="299"/>
      <c r="S114" s="299"/>
      <c r="T114" s="299"/>
      <c r="U114" s="299"/>
      <c r="V114" s="299"/>
      <c r="W114" s="299"/>
      <c r="X114" s="299"/>
      <c r="Y114" s="299"/>
      <c r="Z114" s="299"/>
      <c r="AA114" s="299"/>
      <c r="AB114" s="299"/>
      <c r="AC114" s="300"/>
      <c r="AD114" s="300"/>
    </row>
    <row r="115" spans="1:30" ht="12.75" customHeight="1" x14ac:dyDescent="0.2">
      <c r="A115" s="296"/>
      <c r="B115" s="296"/>
      <c r="C115" s="296"/>
      <c r="D115" s="298"/>
      <c r="E115" s="298"/>
      <c r="F115" s="296"/>
      <c r="G115" s="296"/>
      <c r="H115" s="296"/>
      <c r="I115" s="296"/>
      <c r="J115" s="296"/>
      <c r="K115" s="296"/>
      <c r="L115" s="296"/>
      <c r="M115" s="299"/>
      <c r="N115" s="299"/>
      <c r="O115" s="299"/>
      <c r="P115" s="299"/>
      <c r="Q115" s="299"/>
      <c r="R115" s="299"/>
      <c r="S115" s="299"/>
      <c r="T115" s="299"/>
      <c r="U115" s="299"/>
      <c r="V115" s="299"/>
      <c r="W115" s="299"/>
      <c r="X115" s="299"/>
      <c r="Y115" s="299"/>
      <c r="Z115" s="299"/>
      <c r="AA115" s="299"/>
      <c r="AB115" s="299"/>
      <c r="AC115" s="300"/>
      <c r="AD115" s="300"/>
    </row>
    <row r="116" spans="1:30" ht="12.75" customHeight="1" x14ac:dyDescent="0.2">
      <c r="A116" s="296"/>
      <c r="B116" s="296"/>
      <c r="C116" s="296"/>
      <c r="D116" s="298"/>
      <c r="E116" s="298"/>
      <c r="F116" s="296"/>
      <c r="G116" s="296"/>
      <c r="H116" s="296"/>
      <c r="I116" s="296"/>
      <c r="J116" s="296"/>
      <c r="K116" s="296"/>
      <c r="L116" s="296"/>
      <c r="M116" s="299"/>
      <c r="N116" s="299"/>
      <c r="O116" s="299"/>
      <c r="P116" s="299"/>
      <c r="Q116" s="299"/>
      <c r="R116" s="299"/>
      <c r="S116" s="299"/>
      <c r="T116" s="299"/>
      <c r="U116" s="299"/>
      <c r="V116" s="299"/>
      <c r="W116" s="299"/>
      <c r="X116" s="299"/>
      <c r="Y116" s="299"/>
      <c r="Z116" s="299"/>
      <c r="AA116" s="299"/>
      <c r="AB116" s="299"/>
      <c r="AC116" s="300"/>
      <c r="AD116" s="300"/>
    </row>
    <row r="117" spans="1:30" ht="12.75" customHeight="1" x14ac:dyDescent="0.2">
      <c r="A117" s="296"/>
      <c r="B117" s="296"/>
      <c r="C117" s="296"/>
      <c r="D117" s="298"/>
      <c r="E117" s="298"/>
      <c r="F117" s="296"/>
      <c r="G117" s="296"/>
      <c r="H117" s="296"/>
      <c r="I117" s="296"/>
      <c r="J117" s="296"/>
      <c r="K117" s="296"/>
      <c r="L117" s="296"/>
      <c r="M117" s="299"/>
      <c r="N117" s="299"/>
      <c r="O117" s="299"/>
      <c r="P117" s="299"/>
      <c r="Q117" s="299"/>
      <c r="R117" s="299"/>
      <c r="S117" s="299"/>
      <c r="T117" s="299"/>
      <c r="U117" s="299"/>
      <c r="V117" s="299"/>
      <c r="W117" s="299"/>
      <c r="X117" s="299"/>
      <c r="Y117" s="299"/>
      <c r="Z117" s="299"/>
      <c r="AA117" s="299"/>
      <c r="AB117" s="299"/>
      <c r="AC117" s="300"/>
      <c r="AD117" s="300"/>
    </row>
    <row r="118" spans="1:30" ht="12.75" customHeight="1" x14ac:dyDescent="0.2">
      <c r="A118" s="296"/>
      <c r="B118" s="296"/>
      <c r="C118" s="296"/>
      <c r="D118" s="298"/>
      <c r="E118" s="298"/>
      <c r="F118" s="296"/>
      <c r="G118" s="296"/>
      <c r="H118" s="296"/>
      <c r="I118" s="296"/>
      <c r="J118" s="296"/>
      <c r="K118" s="296"/>
      <c r="L118" s="296"/>
      <c r="M118" s="299"/>
      <c r="N118" s="299"/>
      <c r="O118" s="299"/>
      <c r="P118" s="299"/>
      <c r="Q118" s="299"/>
      <c r="R118" s="299"/>
      <c r="S118" s="299"/>
      <c r="T118" s="299"/>
      <c r="U118" s="299"/>
      <c r="V118" s="299"/>
      <c r="W118" s="299"/>
      <c r="X118" s="299"/>
      <c r="Y118" s="299"/>
      <c r="Z118" s="299"/>
      <c r="AA118" s="299"/>
      <c r="AB118" s="299"/>
      <c r="AC118" s="300"/>
      <c r="AD118" s="300"/>
    </row>
    <row r="119" spans="1:30" ht="12.75" customHeight="1" x14ac:dyDescent="0.2">
      <c r="A119" s="296"/>
      <c r="B119" s="296"/>
      <c r="C119" s="296"/>
      <c r="D119" s="298"/>
      <c r="E119" s="298"/>
      <c r="F119" s="296"/>
      <c r="G119" s="296"/>
      <c r="H119" s="296"/>
      <c r="I119" s="296"/>
      <c r="J119" s="296"/>
      <c r="K119" s="296"/>
      <c r="L119" s="296"/>
      <c r="M119" s="299"/>
      <c r="N119" s="299"/>
      <c r="O119" s="299"/>
      <c r="P119" s="299"/>
      <c r="Q119" s="299"/>
      <c r="R119" s="299"/>
      <c r="S119" s="299"/>
      <c r="T119" s="299"/>
      <c r="U119" s="299"/>
      <c r="V119" s="299"/>
      <c r="W119" s="299"/>
      <c r="X119" s="299"/>
      <c r="Y119" s="299"/>
      <c r="Z119" s="299"/>
      <c r="AA119" s="299"/>
      <c r="AB119" s="299"/>
      <c r="AC119" s="300"/>
      <c r="AD119" s="300"/>
    </row>
    <row r="120" spans="1:30" ht="12.75" customHeight="1" x14ac:dyDescent="0.2">
      <c r="A120" s="296"/>
      <c r="B120" s="296"/>
      <c r="C120" s="296"/>
      <c r="D120" s="298"/>
      <c r="E120" s="298"/>
      <c r="F120" s="296"/>
      <c r="G120" s="296"/>
      <c r="H120" s="296"/>
      <c r="I120" s="296"/>
      <c r="J120" s="296"/>
      <c r="K120" s="296"/>
      <c r="L120" s="296"/>
      <c r="M120" s="299"/>
      <c r="N120" s="299"/>
      <c r="O120" s="299"/>
      <c r="P120" s="299"/>
      <c r="Q120" s="299"/>
      <c r="R120" s="299"/>
      <c r="S120" s="299"/>
      <c r="T120" s="299"/>
      <c r="U120" s="299"/>
      <c r="V120" s="299"/>
      <c r="W120" s="299"/>
      <c r="X120" s="299"/>
      <c r="Y120" s="299"/>
      <c r="Z120" s="299"/>
      <c r="AA120" s="299"/>
      <c r="AB120" s="299"/>
      <c r="AC120" s="300"/>
      <c r="AD120" s="300"/>
    </row>
    <row r="121" spans="1:30" ht="12.75" customHeight="1" x14ac:dyDescent="0.2">
      <c r="A121" s="296"/>
      <c r="B121" s="296"/>
      <c r="C121" s="296"/>
      <c r="D121" s="298"/>
      <c r="E121" s="298"/>
      <c r="F121" s="296"/>
      <c r="G121" s="296"/>
      <c r="H121" s="296"/>
      <c r="I121" s="296"/>
      <c r="J121" s="296"/>
      <c r="K121" s="296"/>
      <c r="L121" s="296"/>
      <c r="M121" s="299"/>
      <c r="N121" s="299"/>
      <c r="O121" s="299"/>
      <c r="P121" s="299"/>
      <c r="Q121" s="299"/>
      <c r="R121" s="299"/>
      <c r="S121" s="299"/>
      <c r="T121" s="299"/>
      <c r="U121" s="299"/>
      <c r="V121" s="299"/>
      <c r="W121" s="299"/>
      <c r="X121" s="299"/>
      <c r="Y121" s="299"/>
      <c r="Z121" s="299"/>
      <c r="AA121" s="299"/>
      <c r="AB121" s="299"/>
      <c r="AC121" s="300"/>
      <c r="AD121" s="300"/>
    </row>
    <row r="122" spans="1:30" ht="12.75" customHeight="1" x14ac:dyDescent="0.2">
      <c r="A122" s="296"/>
      <c r="B122" s="296"/>
      <c r="C122" s="296"/>
      <c r="D122" s="298"/>
      <c r="E122" s="298"/>
      <c r="F122" s="296"/>
      <c r="G122" s="296"/>
      <c r="H122" s="296"/>
      <c r="I122" s="296"/>
      <c r="J122" s="296"/>
      <c r="K122" s="296"/>
      <c r="L122" s="296"/>
      <c r="M122" s="299"/>
      <c r="N122" s="299"/>
      <c r="O122" s="299"/>
      <c r="P122" s="299"/>
      <c r="Q122" s="299"/>
      <c r="R122" s="299"/>
      <c r="S122" s="299"/>
      <c r="T122" s="299"/>
      <c r="U122" s="299"/>
      <c r="V122" s="299"/>
      <c r="W122" s="299"/>
      <c r="X122" s="299"/>
      <c r="Y122" s="299"/>
      <c r="Z122" s="299"/>
      <c r="AA122" s="299"/>
      <c r="AB122" s="299"/>
      <c r="AC122" s="300"/>
      <c r="AD122" s="300"/>
    </row>
    <row r="123" spans="1:30" ht="12.75" customHeight="1" x14ac:dyDescent="0.2">
      <c r="A123" s="296"/>
      <c r="B123" s="296"/>
      <c r="C123" s="296"/>
      <c r="D123" s="298"/>
      <c r="E123" s="298"/>
      <c r="F123" s="296"/>
      <c r="G123" s="296"/>
      <c r="H123" s="296"/>
      <c r="I123" s="296"/>
      <c r="J123" s="296"/>
      <c r="K123" s="296"/>
      <c r="L123" s="296"/>
      <c r="M123" s="299"/>
      <c r="N123" s="299"/>
      <c r="O123" s="299"/>
      <c r="P123" s="299"/>
      <c r="Q123" s="299"/>
      <c r="R123" s="299"/>
      <c r="S123" s="299"/>
      <c r="T123" s="299"/>
      <c r="U123" s="299"/>
      <c r="V123" s="299"/>
      <c r="W123" s="299"/>
      <c r="X123" s="299"/>
      <c r="Y123" s="299"/>
      <c r="Z123" s="299"/>
      <c r="AA123" s="299"/>
      <c r="AB123" s="299"/>
      <c r="AC123" s="300"/>
      <c r="AD123" s="300"/>
    </row>
    <row r="124" spans="1:30" ht="12.75" customHeight="1" x14ac:dyDescent="0.2">
      <c r="A124" s="296"/>
      <c r="B124" s="296"/>
      <c r="C124" s="296"/>
      <c r="D124" s="298"/>
      <c r="E124" s="298"/>
      <c r="F124" s="296"/>
      <c r="G124" s="296"/>
      <c r="H124" s="296"/>
      <c r="I124" s="296"/>
      <c r="J124" s="296"/>
      <c r="K124" s="296"/>
      <c r="L124" s="296"/>
      <c r="M124" s="299"/>
      <c r="N124" s="299"/>
      <c r="O124" s="299"/>
      <c r="P124" s="299"/>
      <c r="Q124" s="299"/>
      <c r="R124" s="299"/>
      <c r="S124" s="299"/>
      <c r="T124" s="299"/>
      <c r="U124" s="299"/>
      <c r="V124" s="299"/>
      <c r="W124" s="299"/>
      <c r="X124" s="299"/>
      <c r="Y124" s="299"/>
      <c r="Z124" s="299"/>
      <c r="AA124" s="299"/>
      <c r="AB124" s="299"/>
      <c r="AC124" s="300"/>
      <c r="AD124" s="300"/>
    </row>
    <row r="125" spans="1:30" ht="12.75" customHeight="1" x14ac:dyDescent="0.2">
      <c r="A125" s="296"/>
      <c r="B125" s="296"/>
      <c r="C125" s="296"/>
      <c r="D125" s="298"/>
      <c r="E125" s="298"/>
      <c r="F125" s="296"/>
      <c r="G125" s="296"/>
      <c r="H125" s="296"/>
      <c r="I125" s="296"/>
      <c r="J125" s="296"/>
      <c r="K125" s="296"/>
      <c r="L125" s="296"/>
      <c r="M125" s="299"/>
      <c r="N125" s="299"/>
      <c r="O125" s="299"/>
      <c r="P125" s="299"/>
      <c r="Q125" s="299"/>
      <c r="R125" s="299"/>
      <c r="S125" s="299"/>
      <c r="T125" s="299"/>
      <c r="U125" s="299"/>
      <c r="V125" s="299"/>
      <c r="W125" s="299"/>
      <c r="X125" s="299"/>
      <c r="Y125" s="299"/>
      <c r="Z125" s="299"/>
      <c r="AA125" s="299"/>
      <c r="AB125" s="299"/>
      <c r="AC125" s="300"/>
      <c r="AD125" s="300"/>
    </row>
    <row r="126" spans="1:30" ht="12.75" customHeight="1" x14ac:dyDescent="0.2">
      <c r="A126" s="296"/>
      <c r="B126" s="296"/>
      <c r="C126" s="296"/>
      <c r="D126" s="298"/>
      <c r="E126" s="298"/>
      <c r="F126" s="296"/>
      <c r="G126" s="296"/>
      <c r="H126" s="296"/>
      <c r="I126" s="296"/>
      <c r="J126" s="296"/>
      <c r="K126" s="296"/>
      <c r="L126" s="296"/>
      <c r="M126" s="299"/>
      <c r="N126" s="299"/>
      <c r="O126" s="299"/>
      <c r="P126" s="299"/>
      <c r="Q126" s="299"/>
      <c r="R126" s="299"/>
      <c r="S126" s="299"/>
      <c r="T126" s="299"/>
      <c r="U126" s="299"/>
      <c r="V126" s="299"/>
      <c r="W126" s="299"/>
      <c r="X126" s="299"/>
      <c r="Y126" s="299"/>
      <c r="Z126" s="299"/>
      <c r="AA126" s="299"/>
      <c r="AB126" s="299"/>
      <c r="AC126" s="300"/>
      <c r="AD126" s="300"/>
    </row>
    <row r="127" spans="1:30" ht="12.75" customHeight="1" x14ac:dyDescent="0.2">
      <c r="A127" s="296"/>
      <c r="B127" s="296"/>
      <c r="C127" s="296"/>
      <c r="D127" s="298"/>
      <c r="E127" s="298"/>
      <c r="F127" s="296"/>
      <c r="G127" s="296"/>
      <c r="H127" s="296"/>
      <c r="I127" s="296"/>
      <c r="J127" s="296"/>
      <c r="K127" s="296"/>
      <c r="L127" s="296"/>
      <c r="M127" s="299"/>
      <c r="N127" s="299"/>
      <c r="O127" s="299"/>
      <c r="P127" s="299"/>
      <c r="Q127" s="299"/>
      <c r="R127" s="299"/>
      <c r="S127" s="299"/>
      <c r="T127" s="299"/>
      <c r="U127" s="299"/>
      <c r="V127" s="299"/>
      <c r="W127" s="299"/>
      <c r="X127" s="299"/>
      <c r="Y127" s="299"/>
      <c r="Z127" s="299"/>
      <c r="AA127" s="299"/>
      <c r="AB127" s="299"/>
      <c r="AC127" s="300"/>
      <c r="AD127" s="300"/>
    </row>
    <row r="128" spans="1:30" ht="12.75" customHeight="1" x14ac:dyDescent="0.2">
      <c r="A128" s="296"/>
      <c r="B128" s="296"/>
      <c r="C128" s="296"/>
      <c r="D128" s="298"/>
      <c r="E128" s="298"/>
      <c r="F128" s="296"/>
      <c r="G128" s="296"/>
      <c r="H128" s="296"/>
      <c r="I128" s="296"/>
      <c r="J128" s="296"/>
      <c r="K128" s="296"/>
      <c r="L128" s="296"/>
      <c r="M128" s="299"/>
      <c r="N128" s="299"/>
      <c r="O128" s="299"/>
      <c r="P128" s="299"/>
      <c r="Q128" s="299"/>
      <c r="R128" s="299"/>
      <c r="S128" s="299"/>
      <c r="T128" s="299"/>
      <c r="U128" s="299"/>
      <c r="V128" s="299"/>
      <c r="W128" s="299"/>
      <c r="X128" s="299"/>
      <c r="Y128" s="299"/>
      <c r="Z128" s="299"/>
      <c r="AA128" s="299"/>
      <c r="AB128" s="299"/>
      <c r="AC128" s="300"/>
      <c r="AD128" s="300"/>
    </row>
    <row r="129" spans="1:30" ht="12.75" customHeight="1" x14ac:dyDescent="0.2">
      <c r="A129" s="296"/>
      <c r="B129" s="296"/>
      <c r="C129" s="296"/>
      <c r="D129" s="298"/>
      <c r="E129" s="298"/>
      <c r="F129" s="296"/>
      <c r="G129" s="296"/>
      <c r="H129" s="296"/>
      <c r="I129" s="296"/>
      <c r="J129" s="296"/>
      <c r="K129" s="296"/>
      <c r="L129" s="296"/>
      <c r="M129" s="299"/>
      <c r="N129" s="299"/>
      <c r="O129" s="299"/>
      <c r="P129" s="299"/>
      <c r="Q129" s="299"/>
      <c r="R129" s="299"/>
      <c r="S129" s="299"/>
      <c r="T129" s="299"/>
      <c r="U129" s="299"/>
      <c r="V129" s="299"/>
      <c r="W129" s="299"/>
      <c r="X129" s="299"/>
      <c r="Y129" s="299"/>
      <c r="Z129" s="299"/>
      <c r="AA129" s="299"/>
      <c r="AB129" s="299"/>
      <c r="AC129" s="300"/>
      <c r="AD129" s="300"/>
    </row>
    <row r="130" spans="1:30" ht="12.75" customHeight="1" x14ac:dyDescent="0.2">
      <c r="A130" s="296"/>
      <c r="B130" s="296"/>
      <c r="C130" s="296"/>
      <c r="D130" s="298"/>
      <c r="E130" s="298"/>
      <c r="F130" s="296"/>
      <c r="G130" s="296"/>
      <c r="H130" s="296"/>
      <c r="I130" s="296"/>
      <c r="J130" s="296"/>
      <c r="K130" s="296"/>
      <c r="L130" s="296"/>
      <c r="M130" s="299"/>
      <c r="N130" s="299"/>
      <c r="O130" s="299"/>
      <c r="P130" s="299"/>
      <c r="Q130" s="299"/>
      <c r="R130" s="299"/>
      <c r="S130" s="299"/>
      <c r="T130" s="299"/>
      <c r="U130" s="299"/>
      <c r="V130" s="299"/>
      <c r="W130" s="299"/>
      <c r="X130" s="299"/>
      <c r="Y130" s="299"/>
      <c r="Z130" s="299"/>
      <c r="AA130" s="299"/>
      <c r="AB130" s="299"/>
      <c r="AC130" s="300"/>
      <c r="AD130" s="300"/>
    </row>
    <row r="131" spans="1:30" ht="12.75" customHeight="1" x14ac:dyDescent="0.2">
      <c r="A131" s="296"/>
      <c r="B131" s="296"/>
      <c r="C131" s="296"/>
      <c r="D131" s="298"/>
      <c r="E131" s="298"/>
      <c r="F131" s="296"/>
      <c r="G131" s="296"/>
      <c r="H131" s="296"/>
      <c r="I131" s="296"/>
      <c r="J131" s="296"/>
      <c r="K131" s="296"/>
      <c r="L131" s="296"/>
      <c r="M131" s="299"/>
      <c r="N131" s="299"/>
      <c r="O131" s="299"/>
      <c r="P131" s="299"/>
      <c r="Q131" s="299"/>
      <c r="R131" s="299"/>
      <c r="S131" s="299"/>
      <c r="T131" s="299"/>
      <c r="U131" s="299"/>
      <c r="V131" s="299"/>
      <c r="W131" s="299"/>
      <c r="X131" s="299"/>
      <c r="Y131" s="299"/>
      <c r="Z131" s="299"/>
      <c r="AA131" s="299"/>
      <c r="AB131" s="299"/>
      <c r="AC131" s="300"/>
      <c r="AD131" s="300"/>
    </row>
    <row r="132" spans="1:30" ht="12.75" customHeight="1" x14ac:dyDescent="0.2">
      <c r="A132" s="296"/>
      <c r="B132" s="296"/>
      <c r="C132" s="296"/>
      <c r="D132" s="298"/>
      <c r="E132" s="298"/>
      <c r="F132" s="296"/>
      <c r="G132" s="296"/>
      <c r="H132" s="296"/>
      <c r="I132" s="296"/>
      <c r="J132" s="296"/>
      <c r="K132" s="296"/>
      <c r="L132" s="296"/>
      <c r="M132" s="299"/>
      <c r="N132" s="299"/>
      <c r="O132" s="299"/>
      <c r="P132" s="299"/>
      <c r="Q132" s="299"/>
      <c r="R132" s="299"/>
      <c r="S132" s="299"/>
      <c r="T132" s="299"/>
      <c r="U132" s="299"/>
      <c r="V132" s="299"/>
      <c r="W132" s="299"/>
      <c r="X132" s="299"/>
      <c r="Y132" s="299"/>
      <c r="Z132" s="299"/>
      <c r="AA132" s="299"/>
      <c r="AB132" s="299"/>
      <c r="AC132" s="300"/>
      <c r="AD132" s="300"/>
    </row>
    <row r="133" spans="1:30" ht="12.75" customHeight="1" x14ac:dyDescent="0.2">
      <c r="A133" s="296"/>
      <c r="B133" s="296"/>
      <c r="C133" s="296"/>
      <c r="D133" s="298"/>
      <c r="E133" s="298"/>
      <c r="F133" s="296"/>
      <c r="G133" s="296"/>
      <c r="H133" s="296"/>
      <c r="I133" s="296"/>
      <c r="J133" s="296"/>
      <c r="K133" s="296"/>
      <c r="L133" s="296"/>
      <c r="M133" s="299"/>
      <c r="N133" s="299"/>
      <c r="O133" s="299"/>
      <c r="P133" s="299"/>
      <c r="Q133" s="299"/>
      <c r="R133" s="299"/>
      <c r="S133" s="299"/>
      <c r="T133" s="299"/>
      <c r="U133" s="299"/>
      <c r="V133" s="299"/>
      <c r="W133" s="299"/>
      <c r="X133" s="299"/>
      <c r="Y133" s="299"/>
      <c r="Z133" s="299"/>
      <c r="AA133" s="299"/>
      <c r="AB133" s="299"/>
      <c r="AC133" s="300"/>
      <c r="AD133" s="300"/>
    </row>
    <row r="134" spans="1:30" ht="12.75" customHeight="1" x14ac:dyDescent="0.2">
      <c r="A134" s="296"/>
      <c r="B134" s="296"/>
      <c r="C134" s="296"/>
      <c r="D134" s="298"/>
      <c r="E134" s="298"/>
      <c r="F134" s="296"/>
      <c r="G134" s="296"/>
      <c r="H134" s="296"/>
      <c r="I134" s="296"/>
      <c r="J134" s="296"/>
      <c r="K134" s="296"/>
      <c r="L134" s="296"/>
      <c r="M134" s="299"/>
      <c r="N134" s="299"/>
      <c r="O134" s="299"/>
      <c r="P134" s="299"/>
      <c r="Q134" s="299"/>
      <c r="R134" s="299"/>
      <c r="S134" s="299"/>
      <c r="T134" s="299"/>
      <c r="U134" s="299"/>
      <c r="V134" s="299"/>
      <c r="W134" s="299"/>
      <c r="X134" s="299"/>
      <c r="Y134" s="299"/>
      <c r="Z134" s="299"/>
      <c r="AA134" s="299"/>
      <c r="AB134" s="299"/>
      <c r="AC134" s="300"/>
      <c r="AD134" s="300"/>
    </row>
    <row r="135" spans="1:30" ht="12.75" customHeight="1" x14ac:dyDescent="0.2">
      <c r="A135" s="296"/>
      <c r="B135" s="296"/>
      <c r="C135" s="296"/>
      <c r="D135" s="298"/>
      <c r="E135" s="298"/>
      <c r="F135" s="296"/>
      <c r="G135" s="296"/>
      <c r="H135" s="296"/>
      <c r="I135" s="296"/>
      <c r="J135" s="296"/>
      <c r="K135" s="296"/>
      <c r="L135" s="296"/>
      <c r="M135" s="299"/>
      <c r="N135" s="299"/>
      <c r="O135" s="299"/>
      <c r="P135" s="299"/>
      <c r="Q135" s="299"/>
      <c r="R135" s="299"/>
      <c r="S135" s="299"/>
      <c r="T135" s="299"/>
      <c r="U135" s="299"/>
      <c r="V135" s="299"/>
      <c r="W135" s="299"/>
      <c r="X135" s="299"/>
      <c r="Y135" s="299"/>
      <c r="Z135" s="299"/>
      <c r="AA135" s="299"/>
      <c r="AB135" s="299"/>
      <c r="AC135" s="300"/>
      <c r="AD135" s="300"/>
    </row>
    <row r="136" spans="1:30" ht="12.75" customHeight="1" x14ac:dyDescent="0.2">
      <c r="A136" s="296"/>
      <c r="B136" s="296"/>
      <c r="C136" s="296"/>
      <c r="D136" s="298"/>
      <c r="E136" s="298"/>
      <c r="F136" s="296"/>
      <c r="G136" s="296"/>
      <c r="H136" s="296"/>
      <c r="I136" s="296"/>
      <c r="J136" s="296"/>
      <c r="K136" s="296"/>
      <c r="L136" s="296"/>
      <c r="M136" s="299"/>
      <c r="N136" s="299"/>
      <c r="O136" s="299"/>
      <c r="P136" s="299"/>
      <c r="Q136" s="299"/>
      <c r="R136" s="299"/>
      <c r="S136" s="299"/>
      <c r="T136" s="299"/>
      <c r="U136" s="299"/>
      <c r="V136" s="299"/>
      <c r="W136" s="299"/>
      <c r="X136" s="299"/>
      <c r="Y136" s="299"/>
      <c r="Z136" s="299"/>
      <c r="AA136" s="299"/>
      <c r="AB136" s="299"/>
      <c r="AC136" s="300"/>
      <c r="AD136" s="300"/>
    </row>
    <row r="137" spans="1:30" ht="12.75" customHeight="1" x14ac:dyDescent="0.2">
      <c r="A137" s="296"/>
      <c r="B137" s="296"/>
      <c r="C137" s="296"/>
      <c r="D137" s="298"/>
      <c r="E137" s="298"/>
      <c r="F137" s="296"/>
      <c r="G137" s="296"/>
      <c r="H137" s="296"/>
      <c r="I137" s="296"/>
      <c r="J137" s="296"/>
      <c r="K137" s="296"/>
      <c r="L137" s="296"/>
      <c r="M137" s="299"/>
      <c r="N137" s="299"/>
      <c r="O137" s="299"/>
      <c r="P137" s="299"/>
      <c r="Q137" s="299"/>
      <c r="R137" s="299"/>
      <c r="S137" s="299"/>
      <c r="T137" s="299"/>
      <c r="U137" s="299"/>
      <c r="V137" s="299"/>
      <c r="W137" s="299"/>
      <c r="X137" s="299"/>
      <c r="Y137" s="299"/>
      <c r="Z137" s="299"/>
      <c r="AA137" s="299"/>
      <c r="AB137" s="299"/>
      <c r="AC137" s="300"/>
      <c r="AD137" s="300"/>
    </row>
    <row r="138" spans="1:30" ht="12.75" customHeight="1" x14ac:dyDescent="0.2">
      <c r="A138" s="296"/>
      <c r="B138" s="296"/>
      <c r="C138" s="296"/>
      <c r="D138" s="298"/>
      <c r="E138" s="298"/>
      <c r="F138" s="296"/>
      <c r="G138" s="296"/>
      <c r="H138" s="296"/>
      <c r="I138" s="296"/>
      <c r="J138" s="296"/>
      <c r="K138" s="296"/>
      <c r="L138" s="296"/>
      <c r="M138" s="299"/>
      <c r="N138" s="299"/>
      <c r="O138" s="299"/>
      <c r="P138" s="299"/>
      <c r="Q138" s="299"/>
      <c r="R138" s="299"/>
      <c r="S138" s="299"/>
      <c r="T138" s="299"/>
      <c r="U138" s="299"/>
      <c r="V138" s="299"/>
      <c r="W138" s="299"/>
      <c r="X138" s="299"/>
      <c r="Y138" s="299"/>
      <c r="Z138" s="299"/>
      <c r="AA138" s="299"/>
      <c r="AB138" s="299"/>
      <c r="AC138" s="300"/>
      <c r="AD138" s="300"/>
    </row>
    <row r="139" spans="1:30" ht="12.75" customHeight="1" x14ac:dyDescent="0.2">
      <c r="A139" s="296"/>
      <c r="B139" s="296"/>
      <c r="C139" s="296"/>
      <c r="D139" s="298"/>
      <c r="E139" s="298"/>
      <c r="F139" s="296"/>
      <c r="G139" s="296"/>
      <c r="H139" s="296"/>
      <c r="I139" s="296"/>
      <c r="J139" s="296"/>
      <c r="K139" s="296"/>
      <c r="L139" s="296"/>
      <c r="M139" s="299"/>
      <c r="N139" s="299"/>
      <c r="O139" s="299"/>
      <c r="P139" s="299"/>
      <c r="Q139" s="299"/>
      <c r="R139" s="299"/>
      <c r="S139" s="299"/>
      <c r="T139" s="299"/>
      <c r="U139" s="299"/>
      <c r="V139" s="299"/>
      <c r="W139" s="299"/>
      <c r="X139" s="299"/>
      <c r="Y139" s="299"/>
      <c r="Z139" s="299"/>
      <c r="AA139" s="299"/>
      <c r="AB139" s="299"/>
      <c r="AC139" s="300"/>
      <c r="AD139" s="300"/>
    </row>
    <row r="140" spans="1:30" ht="12.75" customHeight="1" x14ac:dyDescent="0.2">
      <c r="A140" s="296"/>
      <c r="B140" s="296"/>
      <c r="C140" s="296"/>
      <c r="D140" s="298"/>
      <c r="E140" s="298"/>
      <c r="F140" s="296"/>
      <c r="G140" s="296"/>
      <c r="H140" s="296"/>
      <c r="I140" s="296"/>
      <c r="J140" s="296"/>
      <c r="K140" s="296"/>
      <c r="L140" s="296"/>
      <c r="M140" s="299"/>
      <c r="N140" s="299"/>
      <c r="O140" s="299"/>
      <c r="P140" s="299"/>
      <c r="Q140" s="299"/>
      <c r="R140" s="299"/>
      <c r="S140" s="299"/>
      <c r="T140" s="299"/>
      <c r="U140" s="299"/>
      <c r="V140" s="299"/>
      <c r="W140" s="299"/>
      <c r="X140" s="299"/>
      <c r="Y140" s="299"/>
      <c r="Z140" s="299"/>
      <c r="AA140" s="299"/>
      <c r="AB140" s="299"/>
      <c r="AC140" s="300"/>
      <c r="AD140" s="300"/>
    </row>
    <row r="141" spans="1:30" ht="12.75" customHeight="1" x14ac:dyDescent="0.2">
      <c r="A141" s="296"/>
      <c r="B141" s="296"/>
      <c r="C141" s="296"/>
      <c r="D141" s="298"/>
      <c r="E141" s="298"/>
      <c r="F141" s="296"/>
      <c r="G141" s="296"/>
      <c r="H141" s="296"/>
      <c r="I141" s="296"/>
      <c r="J141" s="296"/>
      <c r="K141" s="296"/>
      <c r="L141" s="296"/>
      <c r="M141" s="299"/>
      <c r="N141" s="299"/>
      <c r="O141" s="299"/>
      <c r="P141" s="299"/>
      <c r="Q141" s="299"/>
      <c r="R141" s="299"/>
      <c r="S141" s="299"/>
      <c r="T141" s="299"/>
      <c r="U141" s="299"/>
      <c r="V141" s="299"/>
      <c r="W141" s="299"/>
      <c r="X141" s="299"/>
      <c r="Y141" s="299"/>
      <c r="Z141" s="299"/>
      <c r="AA141" s="299"/>
      <c r="AB141" s="299"/>
      <c r="AC141" s="300"/>
      <c r="AD141" s="300"/>
    </row>
    <row r="142" spans="1:30" ht="12.75" customHeight="1" x14ac:dyDescent="0.2">
      <c r="A142" s="296"/>
      <c r="B142" s="296"/>
      <c r="C142" s="296"/>
      <c r="D142" s="298"/>
      <c r="E142" s="298"/>
      <c r="F142" s="296"/>
      <c r="G142" s="296"/>
      <c r="H142" s="296"/>
      <c r="I142" s="296"/>
      <c r="J142" s="296"/>
      <c r="K142" s="296"/>
      <c r="L142" s="296"/>
      <c r="M142" s="299"/>
      <c r="N142" s="299"/>
      <c r="O142" s="299"/>
      <c r="P142" s="299"/>
      <c r="Q142" s="299"/>
      <c r="R142" s="299"/>
      <c r="S142" s="299"/>
      <c r="T142" s="299"/>
      <c r="U142" s="299"/>
      <c r="V142" s="299"/>
      <c r="W142" s="299"/>
      <c r="X142" s="299"/>
      <c r="Y142" s="299"/>
      <c r="Z142" s="299"/>
      <c r="AA142" s="299"/>
      <c r="AB142" s="299"/>
      <c r="AC142" s="300"/>
      <c r="AD142" s="300"/>
    </row>
    <row r="143" spans="1:30" ht="12.75" customHeight="1" x14ac:dyDescent="0.2">
      <c r="A143" s="296"/>
      <c r="B143" s="296"/>
      <c r="C143" s="296"/>
      <c r="D143" s="298"/>
      <c r="E143" s="298"/>
      <c r="F143" s="296"/>
      <c r="G143" s="296"/>
      <c r="H143" s="296"/>
      <c r="I143" s="296"/>
      <c r="J143" s="296"/>
      <c r="K143" s="296"/>
      <c r="L143" s="296"/>
      <c r="M143" s="299"/>
      <c r="N143" s="299"/>
      <c r="O143" s="299"/>
      <c r="P143" s="299"/>
      <c r="Q143" s="299"/>
      <c r="R143" s="299"/>
      <c r="S143" s="299"/>
      <c r="T143" s="299"/>
      <c r="U143" s="299"/>
      <c r="V143" s="299"/>
      <c r="W143" s="299"/>
      <c r="X143" s="299"/>
      <c r="Y143" s="299"/>
      <c r="Z143" s="299"/>
      <c r="AA143" s="299"/>
      <c r="AB143" s="299"/>
      <c r="AC143" s="300"/>
      <c r="AD143" s="300"/>
    </row>
    <row r="144" spans="1:30" ht="12.75" customHeight="1" x14ac:dyDescent="0.2">
      <c r="A144" s="296"/>
      <c r="B144" s="296"/>
      <c r="C144" s="296"/>
      <c r="D144" s="298"/>
      <c r="E144" s="298"/>
      <c r="F144" s="296"/>
      <c r="G144" s="296"/>
      <c r="H144" s="296"/>
      <c r="I144" s="296"/>
      <c r="J144" s="296"/>
      <c r="K144" s="296"/>
      <c r="L144" s="296"/>
      <c r="M144" s="299"/>
      <c r="N144" s="299"/>
      <c r="O144" s="299"/>
      <c r="P144" s="299"/>
      <c r="Q144" s="299"/>
      <c r="R144" s="299"/>
      <c r="S144" s="299"/>
      <c r="T144" s="299"/>
      <c r="U144" s="299"/>
      <c r="V144" s="299"/>
      <c r="W144" s="299"/>
      <c r="X144" s="299"/>
      <c r="Y144" s="299"/>
      <c r="Z144" s="299"/>
      <c r="AA144" s="299"/>
      <c r="AB144" s="299"/>
      <c r="AC144" s="300"/>
      <c r="AD144" s="300"/>
    </row>
    <row r="145" spans="1:30" ht="12.75" customHeight="1" x14ac:dyDescent="0.2">
      <c r="A145" s="296"/>
      <c r="B145" s="296"/>
      <c r="C145" s="296"/>
      <c r="D145" s="298"/>
      <c r="E145" s="298"/>
      <c r="F145" s="296"/>
      <c r="G145" s="296"/>
      <c r="H145" s="296"/>
      <c r="I145" s="296"/>
      <c r="J145" s="296"/>
      <c r="K145" s="296"/>
      <c r="L145" s="296"/>
      <c r="M145" s="299"/>
      <c r="N145" s="299"/>
      <c r="O145" s="299"/>
      <c r="P145" s="299"/>
      <c r="Q145" s="299"/>
      <c r="R145" s="299"/>
      <c r="S145" s="299"/>
      <c r="T145" s="299"/>
      <c r="U145" s="299"/>
      <c r="V145" s="299"/>
      <c r="W145" s="299"/>
      <c r="X145" s="299"/>
      <c r="Y145" s="299"/>
      <c r="Z145" s="299"/>
      <c r="AA145" s="299"/>
      <c r="AB145" s="299"/>
      <c r="AC145" s="300"/>
      <c r="AD145" s="300"/>
    </row>
    <row r="146" spans="1:30" ht="12.75" customHeight="1" x14ac:dyDescent="0.2">
      <c r="A146" s="296"/>
      <c r="B146" s="296"/>
      <c r="C146" s="296"/>
      <c r="D146" s="298"/>
      <c r="E146" s="298"/>
      <c r="F146" s="296"/>
      <c r="G146" s="296"/>
      <c r="H146" s="296"/>
      <c r="I146" s="296"/>
      <c r="J146" s="296"/>
      <c r="K146" s="296"/>
      <c r="L146" s="296"/>
      <c r="M146" s="299"/>
      <c r="N146" s="299"/>
      <c r="O146" s="299"/>
      <c r="P146" s="299"/>
      <c r="Q146" s="299"/>
      <c r="R146" s="299"/>
      <c r="S146" s="299"/>
      <c r="T146" s="299"/>
      <c r="U146" s="299"/>
      <c r="V146" s="299"/>
      <c r="W146" s="299"/>
      <c r="X146" s="299"/>
      <c r="Y146" s="299"/>
      <c r="Z146" s="299"/>
      <c r="AA146" s="299"/>
      <c r="AB146" s="299"/>
      <c r="AC146" s="300"/>
      <c r="AD146" s="300"/>
    </row>
    <row r="147" spans="1:30" ht="12.75" customHeight="1" x14ac:dyDescent="0.2">
      <c r="A147" s="296"/>
      <c r="B147" s="296"/>
      <c r="C147" s="296"/>
      <c r="D147" s="298"/>
      <c r="E147" s="298"/>
      <c r="F147" s="296"/>
      <c r="G147" s="296"/>
      <c r="H147" s="296"/>
      <c r="I147" s="296"/>
      <c r="J147" s="296"/>
      <c r="K147" s="296"/>
      <c r="L147" s="296"/>
      <c r="M147" s="299"/>
      <c r="N147" s="299"/>
      <c r="O147" s="299"/>
      <c r="P147" s="299"/>
      <c r="Q147" s="299"/>
      <c r="R147" s="299"/>
      <c r="S147" s="299"/>
      <c r="T147" s="299"/>
      <c r="U147" s="299"/>
      <c r="V147" s="299"/>
      <c r="W147" s="299"/>
      <c r="X147" s="299"/>
      <c r="Y147" s="299"/>
      <c r="Z147" s="299"/>
      <c r="AA147" s="299"/>
      <c r="AB147" s="299"/>
      <c r="AC147" s="300"/>
      <c r="AD147" s="300"/>
    </row>
    <row r="148" spans="1:30" ht="12.75" customHeight="1" x14ac:dyDescent="0.2">
      <c r="A148" s="296"/>
      <c r="B148" s="296"/>
      <c r="C148" s="296"/>
      <c r="D148" s="298"/>
      <c r="E148" s="298"/>
      <c r="F148" s="296"/>
      <c r="G148" s="296"/>
      <c r="H148" s="296"/>
      <c r="I148" s="296"/>
      <c r="J148" s="296"/>
      <c r="K148" s="296"/>
      <c r="L148" s="296"/>
      <c r="M148" s="299"/>
      <c r="N148" s="299"/>
      <c r="O148" s="299"/>
      <c r="P148" s="299"/>
      <c r="Q148" s="299"/>
      <c r="R148" s="299"/>
      <c r="S148" s="299"/>
      <c r="T148" s="299"/>
      <c r="U148" s="299"/>
      <c r="V148" s="299"/>
      <c r="W148" s="299"/>
      <c r="X148" s="299"/>
      <c r="Y148" s="299"/>
      <c r="Z148" s="299"/>
      <c r="AA148" s="299"/>
      <c r="AB148" s="299"/>
      <c r="AC148" s="300"/>
      <c r="AD148" s="300"/>
    </row>
    <row r="149" spans="1:30" ht="12.75" customHeight="1" x14ac:dyDescent="0.2">
      <c r="A149" s="296"/>
      <c r="B149" s="296"/>
      <c r="C149" s="296"/>
      <c r="D149" s="298"/>
      <c r="E149" s="298"/>
      <c r="F149" s="296"/>
      <c r="G149" s="296"/>
      <c r="H149" s="296"/>
      <c r="I149" s="296"/>
      <c r="J149" s="296"/>
      <c r="K149" s="296"/>
      <c r="L149" s="296"/>
      <c r="M149" s="299"/>
      <c r="N149" s="299"/>
      <c r="O149" s="299"/>
      <c r="P149" s="299"/>
      <c r="Q149" s="299"/>
      <c r="R149" s="299"/>
      <c r="S149" s="299"/>
      <c r="T149" s="299"/>
      <c r="U149" s="299"/>
      <c r="V149" s="299"/>
      <c r="W149" s="299"/>
      <c r="X149" s="299"/>
      <c r="Y149" s="299"/>
      <c r="Z149" s="299"/>
      <c r="AA149" s="299"/>
      <c r="AB149" s="299"/>
      <c r="AC149" s="300"/>
      <c r="AD149" s="300"/>
    </row>
    <row r="150" spans="1:30" ht="12.75" customHeight="1" x14ac:dyDescent="0.2">
      <c r="A150" s="296"/>
      <c r="B150" s="296"/>
      <c r="C150" s="296"/>
      <c r="D150" s="298"/>
      <c r="E150" s="298"/>
      <c r="F150" s="296"/>
      <c r="G150" s="296"/>
      <c r="H150" s="296"/>
      <c r="I150" s="296"/>
      <c r="J150" s="296"/>
      <c r="K150" s="296"/>
      <c r="L150" s="296"/>
      <c r="M150" s="299"/>
      <c r="N150" s="299"/>
      <c r="O150" s="299"/>
      <c r="P150" s="299"/>
      <c r="Q150" s="299"/>
      <c r="R150" s="299"/>
      <c r="S150" s="299"/>
      <c r="T150" s="299"/>
      <c r="U150" s="299"/>
      <c r="V150" s="299"/>
      <c r="W150" s="299"/>
      <c r="X150" s="299"/>
      <c r="Y150" s="299"/>
      <c r="Z150" s="299"/>
      <c r="AA150" s="299"/>
      <c r="AB150" s="299"/>
      <c r="AC150" s="300"/>
      <c r="AD150" s="300"/>
    </row>
    <row r="151" spans="1:30" ht="12.75" customHeight="1" x14ac:dyDescent="0.2">
      <c r="A151" s="296"/>
      <c r="B151" s="296"/>
      <c r="C151" s="296"/>
      <c r="D151" s="298"/>
      <c r="E151" s="298"/>
      <c r="F151" s="296"/>
      <c r="G151" s="296"/>
      <c r="H151" s="296"/>
      <c r="I151" s="296"/>
      <c r="J151" s="296"/>
      <c r="K151" s="296"/>
      <c r="L151" s="296"/>
      <c r="M151" s="299"/>
      <c r="N151" s="299"/>
      <c r="O151" s="299"/>
      <c r="P151" s="299"/>
      <c r="Q151" s="299"/>
      <c r="R151" s="299"/>
      <c r="S151" s="299"/>
      <c r="T151" s="299"/>
      <c r="U151" s="299"/>
      <c r="V151" s="299"/>
      <c r="W151" s="299"/>
      <c r="X151" s="299"/>
      <c r="Y151" s="299"/>
      <c r="Z151" s="299"/>
      <c r="AA151" s="299"/>
      <c r="AB151" s="299"/>
      <c r="AC151" s="300"/>
      <c r="AD151" s="300"/>
    </row>
    <row r="152" spans="1:30" ht="12.75" customHeight="1" x14ac:dyDescent="0.2">
      <c r="A152" s="296"/>
      <c r="B152" s="296"/>
      <c r="C152" s="296"/>
      <c r="D152" s="298"/>
      <c r="E152" s="298"/>
      <c r="F152" s="296"/>
      <c r="G152" s="296"/>
      <c r="H152" s="296"/>
      <c r="I152" s="296"/>
      <c r="J152" s="296"/>
      <c r="K152" s="296"/>
      <c r="L152" s="296"/>
      <c r="M152" s="299"/>
      <c r="N152" s="299"/>
      <c r="O152" s="299"/>
      <c r="P152" s="299"/>
      <c r="Q152" s="299"/>
      <c r="R152" s="299"/>
      <c r="S152" s="299"/>
      <c r="T152" s="299"/>
      <c r="U152" s="299"/>
      <c r="V152" s="299"/>
      <c r="W152" s="299"/>
      <c r="X152" s="299"/>
      <c r="Y152" s="299"/>
      <c r="Z152" s="299"/>
      <c r="AA152" s="299"/>
      <c r="AB152" s="299"/>
      <c r="AC152" s="300"/>
      <c r="AD152" s="300"/>
    </row>
    <row r="153" spans="1:30" ht="12.75" customHeight="1" x14ac:dyDescent="0.2">
      <c r="A153" s="296"/>
      <c r="B153" s="296"/>
      <c r="C153" s="296"/>
      <c r="D153" s="298"/>
      <c r="E153" s="298"/>
      <c r="F153" s="296"/>
      <c r="G153" s="296"/>
      <c r="H153" s="296"/>
      <c r="I153" s="296"/>
      <c r="J153" s="296"/>
      <c r="K153" s="296"/>
      <c r="L153" s="296"/>
      <c r="M153" s="299"/>
      <c r="N153" s="299"/>
      <c r="O153" s="299"/>
      <c r="P153" s="299"/>
      <c r="Q153" s="299"/>
      <c r="R153" s="299"/>
      <c r="S153" s="299"/>
      <c r="T153" s="299"/>
      <c r="U153" s="299"/>
      <c r="V153" s="299"/>
      <c r="W153" s="299"/>
      <c r="X153" s="299"/>
      <c r="Y153" s="299"/>
      <c r="Z153" s="299"/>
      <c r="AA153" s="299"/>
      <c r="AB153" s="299"/>
      <c r="AC153" s="300"/>
      <c r="AD153" s="300"/>
    </row>
    <row r="154" spans="1:30" ht="12.75" customHeight="1" x14ac:dyDescent="0.2">
      <c r="A154" s="296"/>
      <c r="B154" s="296"/>
      <c r="C154" s="296"/>
      <c r="D154" s="298"/>
      <c r="E154" s="298"/>
      <c r="F154" s="296"/>
      <c r="G154" s="296"/>
      <c r="H154" s="296"/>
      <c r="I154" s="296"/>
      <c r="J154" s="296"/>
      <c r="K154" s="296"/>
      <c r="L154" s="296"/>
      <c r="M154" s="299"/>
      <c r="N154" s="299"/>
      <c r="O154" s="299"/>
      <c r="P154" s="299"/>
      <c r="Q154" s="299"/>
      <c r="R154" s="299"/>
      <c r="S154" s="299"/>
      <c r="T154" s="299"/>
      <c r="U154" s="299"/>
      <c r="V154" s="299"/>
      <c r="W154" s="299"/>
      <c r="X154" s="299"/>
      <c r="Y154" s="299"/>
      <c r="Z154" s="299"/>
      <c r="AA154" s="299"/>
      <c r="AB154" s="299"/>
      <c r="AC154" s="300"/>
      <c r="AD154" s="300"/>
    </row>
    <row r="155" spans="1:30" ht="12.75" customHeight="1" x14ac:dyDescent="0.2">
      <c r="A155" s="296"/>
      <c r="B155" s="296"/>
      <c r="C155" s="296"/>
      <c r="D155" s="298"/>
      <c r="E155" s="298"/>
      <c r="F155" s="296"/>
      <c r="G155" s="296"/>
      <c r="H155" s="296"/>
      <c r="I155" s="296"/>
      <c r="J155" s="296"/>
      <c r="K155" s="296"/>
      <c r="L155" s="296"/>
      <c r="M155" s="299"/>
      <c r="N155" s="299"/>
      <c r="O155" s="299"/>
      <c r="P155" s="299"/>
      <c r="Q155" s="299"/>
      <c r="R155" s="299"/>
      <c r="S155" s="299"/>
      <c r="T155" s="299"/>
      <c r="U155" s="299"/>
      <c r="V155" s="299"/>
      <c r="W155" s="299"/>
      <c r="X155" s="299"/>
      <c r="Y155" s="299"/>
      <c r="Z155" s="299"/>
      <c r="AA155" s="299"/>
      <c r="AB155" s="299"/>
      <c r="AC155" s="300"/>
      <c r="AD155" s="300"/>
    </row>
    <row r="156" spans="1:30" ht="12.75" customHeight="1" x14ac:dyDescent="0.2">
      <c r="A156" s="296"/>
      <c r="B156" s="296"/>
      <c r="C156" s="296"/>
      <c r="D156" s="298"/>
      <c r="E156" s="298"/>
      <c r="F156" s="296"/>
      <c r="G156" s="296"/>
      <c r="H156" s="296"/>
      <c r="I156" s="296"/>
      <c r="J156" s="296"/>
      <c r="K156" s="296"/>
      <c r="L156" s="296"/>
      <c r="M156" s="299"/>
      <c r="N156" s="299"/>
      <c r="O156" s="299"/>
      <c r="P156" s="299"/>
      <c r="Q156" s="299"/>
      <c r="R156" s="299"/>
      <c r="S156" s="299"/>
      <c r="T156" s="299"/>
      <c r="U156" s="299"/>
      <c r="V156" s="299"/>
      <c r="W156" s="299"/>
      <c r="X156" s="299"/>
      <c r="Y156" s="299"/>
      <c r="Z156" s="299"/>
      <c r="AA156" s="299"/>
      <c r="AB156" s="299"/>
      <c r="AC156" s="300"/>
      <c r="AD156" s="300"/>
    </row>
    <row r="157" spans="1:30" ht="12.75" customHeight="1" x14ac:dyDescent="0.2">
      <c r="A157" s="296"/>
      <c r="B157" s="296"/>
      <c r="C157" s="296"/>
      <c r="D157" s="298"/>
      <c r="E157" s="298"/>
      <c r="F157" s="296"/>
      <c r="G157" s="296"/>
      <c r="H157" s="296"/>
      <c r="I157" s="296"/>
      <c r="J157" s="296"/>
      <c r="K157" s="296"/>
      <c r="L157" s="296"/>
      <c r="M157" s="299"/>
      <c r="N157" s="299"/>
      <c r="O157" s="299"/>
      <c r="P157" s="299"/>
      <c r="Q157" s="299"/>
      <c r="R157" s="299"/>
      <c r="S157" s="299"/>
      <c r="T157" s="299"/>
      <c r="U157" s="299"/>
      <c r="V157" s="299"/>
      <c r="W157" s="299"/>
      <c r="X157" s="299"/>
      <c r="Y157" s="299"/>
      <c r="Z157" s="299"/>
      <c r="AA157" s="299"/>
      <c r="AB157" s="299"/>
      <c r="AC157" s="300"/>
      <c r="AD157" s="300"/>
    </row>
    <row r="158" spans="1:30" ht="12.75" customHeight="1" x14ac:dyDescent="0.2">
      <c r="A158" s="296"/>
      <c r="B158" s="296"/>
      <c r="C158" s="296"/>
      <c r="D158" s="298"/>
      <c r="E158" s="298"/>
      <c r="F158" s="296"/>
      <c r="G158" s="296"/>
      <c r="H158" s="296"/>
      <c r="I158" s="296"/>
      <c r="J158" s="296"/>
      <c r="K158" s="296"/>
      <c r="L158" s="296"/>
      <c r="M158" s="299"/>
      <c r="N158" s="299"/>
      <c r="O158" s="299"/>
      <c r="P158" s="299"/>
      <c r="Q158" s="299"/>
      <c r="R158" s="299"/>
      <c r="S158" s="299"/>
      <c r="T158" s="299"/>
      <c r="U158" s="299"/>
      <c r="V158" s="299"/>
      <c r="W158" s="299"/>
      <c r="X158" s="299"/>
      <c r="Y158" s="299"/>
      <c r="Z158" s="299"/>
      <c r="AA158" s="299"/>
      <c r="AB158" s="299"/>
      <c r="AC158" s="300"/>
      <c r="AD158" s="300"/>
    </row>
    <row r="159" spans="1:30" ht="12.75" customHeight="1" x14ac:dyDescent="0.2">
      <c r="A159" s="296"/>
      <c r="B159" s="296"/>
      <c r="C159" s="296"/>
      <c r="D159" s="298"/>
      <c r="E159" s="298"/>
      <c r="F159" s="296"/>
      <c r="G159" s="296"/>
      <c r="H159" s="296"/>
      <c r="I159" s="296"/>
      <c r="J159" s="296"/>
      <c r="K159" s="296"/>
      <c r="L159" s="296"/>
      <c r="M159" s="299"/>
      <c r="N159" s="299"/>
      <c r="O159" s="299"/>
      <c r="P159" s="299"/>
      <c r="Q159" s="299"/>
      <c r="R159" s="299"/>
      <c r="S159" s="299"/>
      <c r="T159" s="299"/>
      <c r="U159" s="299"/>
      <c r="V159" s="299"/>
      <c r="W159" s="299"/>
      <c r="X159" s="299"/>
      <c r="Y159" s="299"/>
      <c r="Z159" s="299"/>
      <c r="AA159" s="299"/>
      <c r="AB159" s="299"/>
      <c r="AC159" s="300"/>
      <c r="AD159" s="300"/>
    </row>
    <row r="160" spans="1:30" ht="12.75" customHeight="1" x14ac:dyDescent="0.2">
      <c r="A160" s="296"/>
      <c r="B160" s="296"/>
      <c r="C160" s="296"/>
      <c r="D160" s="298"/>
      <c r="E160" s="298"/>
      <c r="F160" s="296"/>
      <c r="G160" s="296"/>
      <c r="H160" s="296"/>
      <c r="I160" s="296"/>
      <c r="J160" s="296"/>
      <c r="K160" s="296"/>
      <c r="L160" s="296"/>
      <c r="M160" s="299"/>
      <c r="N160" s="299"/>
      <c r="O160" s="299"/>
      <c r="P160" s="299"/>
      <c r="Q160" s="299"/>
      <c r="R160" s="299"/>
      <c r="S160" s="299"/>
      <c r="T160" s="299"/>
      <c r="U160" s="299"/>
      <c r="V160" s="299"/>
      <c r="W160" s="299"/>
      <c r="X160" s="299"/>
      <c r="Y160" s="299"/>
      <c r="Z160" s="299"/>
      <c r="AA160" s="299"/>
      <c r="AB160" s="299"/>
      <c r="AC160" s="300"/>
      <c r="AD160" s="300"/>
    </row>
    <row r="161" spans="1:30" ht="12.75" customHeight="1" x14ac:dyDescent="0.2">
      <c r="A161" s="296"/>
      <c r="B161" s="296"/>
      <c r="C161" s="296"/>
      <c r="D161" s="298"/>
      <c r="E161" s="298"/>
      <c r="F161" s="296"/>
      <c r="G161" s="296"/>
      <c r="H161" s="296"/>
      <c r="I161" s="296"/>
      <c r="J161" s="296"/>
      <c r="K161" s="296"/>
      <c r="L161" s="296"/>
      <c r="M161" s="299"/>
      <c r="N161" s="299"/>
      <c r="O161" s="299"/>
      <c r="P161" s="299"/>
      <c r="Q161" s="299"/>
      <c r="R161" s="299"/>
      <c r="S161" s="299"/>
      <c r="T161" s="299"/>
      <c r="U161" s="299"/>
      <c r="V161" s="299"/>
      <c r="W161" s="299"/>
      <c r="X161" s="299"/>
      <c r="Y161" s="299"/>
      <c r="Z161" s="299"/>
      <c r="AA161" s="299"/>
      <c r="AB161" s="299"/>
      <c r="AC161" s="300"/>
      <c r="AD161" s="300"/>
    </row>
    <row r="162" spans="1:30" ht="12.75" customHeight="1" x14ac:dyDescent="0.2">
      <c r="A162" s="296"/>
      <c r="B162" s="296"/>
      <c r="C162" s="296"/>
      <c r="D162" s="298"/>
      <c r="E162" s="298"/>
      <c r="F162" s="296"/>
      <c r="G162" s="296"/>
      <c r="H162" s="296"/>
      <c r="I162" s="296"/>
      <c r="J162" s="296"/>
      <c r="K162" s="296"/>
      <c r="L162" s="296"/>
      <c r="M162" s="299"/>
      <c r="N162" s="299"/>
      <c r="O162" s="299"/>
      <c r="P162" s="299"/>
      <c r="Q162" s="299"/>
      <c r="R162" s="299"/>
      <c r="S162" s="299"/>
      <c r="T162" s="299"/>
      <c r="U162" s="299"/>
      <c r="V162" s="299"/>
      <c r="W162" s="299"/>
      <c r="X162" s="299"/>
      <c r="Y162" s="299"/>
      <c r="Z162" s="299"/>
      <c r="AA162" s="299"/>
      <c r="AB162" s="299"/>
      <c r="AC162" s="300"/>
      <c r="AD162" s="300"/>
    </row>
    <row r="163" spans="1:30" ht="12.75" customHeight="1" x14ac:dyDescent="0.2">
      <c r="A163" s="296"/>
      <c r="B163" s="296"/>
      <c r="C163" s="296"/>
      <c r="D163" s="298"/>
      <c r="E163" s="298"/>
      <c r="F163" s="296"/>
      <c r="G163" s="296"/>
      <c r="H163" s="296"/>
      <c r="I163" s="296"/>
      <c r="J163" s="296"/>
      <c r="K163" s="296"/>
      <c r="L163" s="296"/>
      <c r="M163" s="299"/>
      <c r="N163" s="299"/>
      <c r="O163" s="299"/>
      <c r="P163" s="299"/>
      <c r="Q163" s="299"/>
      <c r="R163" s="299"/>
      <c r="S163" s="299"/>
      <c r="T163" s="299"/>
      <c r="U163" s="299"/>
      <c r="V163" s="299"/>
      <c r="W163" s="299"/>
      <c r="X163" s="299"/>
      <c r="Y163" s="299"/>
      <c r="Z163" s="299"/>
      <c r="AA163" s="299"/>
      <c r="AB163" s="299"/>
      <c r="AC163" s="300"/>
      <c r="AD163" s="300"/>
    </row>
    <row r="164" spans="1:30" ht="12.75" customHeight="1" x14ac:dyDescent="0.2">
      <c r="A164" s="296"/>
      <c r="B164" s="296"/>
      <c r="C164" s="296"/>
      <c r="D164" s="298"/>
      <c r="E164" s="298"/>
      <c r="F164" s="296"/>
      <c r="G164" s="296"/>
      <c r="H164" s="296"/>
      <c r="I164" s="296"/>
      <c r="J164" s="296"/>
      <c r="K164" s="296"/>
      <c r="L164" s="296"/>
      <c r="M164" s="299"/>
      <c r="N164" s="299"/>
      <c r="O164" s="299"/>
      <c r="P164" s="299"/>
      <c r="Q164" s="299"/>
      <c r="R164" s="299"/>
      <c r="S164" s="299"/>
      <c r="T164" s="299"/>
      <c r="U164" s="299"/>
      <c r="V164" s="299"/>
      <c r="W164" s="299"/>
      <c r="X164" s="299"/>
      <c r="Y164" s="299"/>
      <c r="Z164" s="299"/>
      <c r="AA164" s="299"/>
      <c r="AB164" s="299"/>
      <c r="AC164" s="300"/>
      <c r="AD164" s="300"/>
    </row>
    <row r="165" spans="1:30" ht="12.75" customHeight="1" x14ac:dyDescent="0.2">
      <c r="A165" s="296"/>
      <c r="B165" s="296"/>
      <c r="C165" s="296"/>
      <c r="D165" s="298"/>
      <c r="E165" s="298"/>
      <c r="F165" s="296"/>
      <c r="G165" s="296"/>
      <c r="H165" s="296"/>
      <c r="I165" s="296"/>
      <c r="J165" s="296"/>
      <c r="K165" s="296"/>
      <c r="L165" s="296"/>
      <c r="M165" s="299"/>
      <c r="N165" s="299"/>
      <c r="O165" s="299"/>
      <c r="P165" s="299"/>
      <c r="Q165" s="299"/>
      <c r="R165" s="299"/>
      <c r="S165" s="299"/>
      <c r="T165" s="299"/>
      <c r="U165" s="299"/>
      <c r="V165" s="299"/>
      <c r="W165" s="299"/>
      <c r="X165" s="299"/>
      <c r="Y165" s="299"/>
      <c r="Z165" s="299"/>
      <c r="AA165" s="299"/>
      <c r="AB165" s="299"/>
      <c r="AC165" s="300"/>
      <c r="AD165" s="300"/>
    </row>
    <row r="166" spans="1:30" ht="12.75" customHeight="1" x14ac:dyDescent="0.2">
      <c r="A166" s="296"/>
      <c r="B166" s="296"/>
      <c r="C166" s="296"/>
      <c r="D166" s="298"/>
      <c r="E166" s="298"/>
      <c r="F166" s="296"/>
      <c r="G166" s="296"/>
      <c r="H166" s="296"/>
      <c r="I166" s="296"/>
      <c r="J166" s="296"/>
      <c r="K166" s="296"/>
      <c r="L166" s="296"/>
      <c r="M166" s="299"/>
      <c r="N166" s="299"/>
      <c r="O166" s="299"/>
      <c r="P166" s="299"/>
      <c r="Q166" s="299"/>
      <c r="R166" s="299"/>
      <c r="S166" s="299"/>
      <c r="T166" s="299"/>
      <c r="U166" s="299"/>
      <c r="V166" s="299"/>
      <c r="W166" s="299"/>
      <c r="X166" s="299"/>
      <c r="Y166" s="299"/>
      <c r="Z166" s="299"/>
      <c r="AA166" s="299"/>
      <c r="AB166" s="299"/>
      <c r="AC166" s="300"/>
      <c r="AD166" s="300"/>
    </row>
    <row r="167" spans="1:30" ht="12.75" customHeight="1" x14ac:dyDescent="0.2">
      <c r="A167" s="296"/>
      <c r="B167" s="296"/>
      <c r="C167" s="296"/>
      <c r="D167" s="298"/>
      <c r="E167" s="298"/>
      <c r="F167" s="296"/>
      <c r="G167" s="296"/>
      <c r="H167" s="296"/>
      <c r="I167" s="296"/>
      <c r="J167" s="296"/>
      <c r="K167" s="296"/>
      <c r="L167" s="296"/>
      <c r="M167" s="299"/>
      <c r="N167" s="299"/>
      <c r="O167" s="299"/>
      <c r="P167" s="299"/>
      <c r="Q167" s="299"/>
      <c r="R167" s="299"/>
      <c r="S167" s="299"/>
      <c r="T167" s="299"/>
      <c r="U167" s="299"/>
      <c r="V167" s="299"/>
      <c r="W167" s="299"/>
      <c r="X167" s="299"/>
      <c r="Y167" s="299"/>
      <c r="Z167" s="299"/>
      <c r="AA167" s="299"/>
      <c r="AB167" s="299"/>
      <c r="AC167" s="300"/>
      <c r="AD167" s="300"/>
    </row>
    <row r="168" spans="1:30" ht="12.75" customHeight="1" x14ac:dyDescent="0.2">
      <c r="A168" s="296"/>
      <c r="B168" s="296"/>
      <c r="C168" s="296"/>
      <c r="D168" s="298"/>
      <c r="E168" s="298"/>
      <c r="F168" s="296"/>
      <c r="G168" s="296"/>
      <c r="H168" s="296"/>
      <c r="I168" s="296"/>
      <c r="J168" s="296"/>
      <c r="K168" s="296"/>
      <c r="L168" s="296"/>
      <c r="M168" s="299"/>
      <c r="N168" s="299"/>
      <c r="O168" s="299"/>
      <c r="P168" s="299"/>
      <c r="Q168" s="299"/>
      <c r="R168" s="299"/>
      <c r="S168" s="299"/>
      <c r="T168" s="299"/>
      <c r="U168" s="299"/>
      <c r="V168" s="299"/>
      <c r="W168" s="299"/>
      <c r="X168" s="299"/>
      <c r="Y168" s="299"/>
      <c r="Z168" s="299"/>
      <c r="AA168" s="299"/>
      <c r="AB168" s="299"/>
      <c r="AC168" s="300"/>
      <c r="AD168" s="300"/>
    </row>
    <row r="169" spans="1:30" ht="12.75" customHeight="1" x14ac:dyDescent="0.2">
      <c r="A169" s="296"/>
      <c r="B169" s="296"/>
      <c r="C169" s="296"/>
      <c r="D169" s="298"/>
      <c r="E169" s="298"/>
      <c r="F169" s="296"/>
      <c r="G169" s="296"/>
      <c r="H169" s="296"/>
      <c r="I169" s="296"/>
      <c r="J169" s="296"/>
      <c r="K169" s="296"/>
      <c r="L169" s="296"/>
      <c r="M169" s="299"/>
      <c r="N169" s="299"/>
      <c r="O169" s="299"/>
      <c r="P169" s="299"/>
      <c r="Q169" s="299"/>
      <c r="R169" s="299"/>
      <c r="S169" s="299"/>
      <c r="T169" s="299"/>
      <c r="U169" s="299"/>
      <c r="V169" s="299"/>
      <c r="W169" s="299"/>
      <c r="X169" s="299"/>
      <c r="Y169" s="299"/>
      <c r="Z169" s="299"/>
      <c r="AA169" s="299"/>
      <c r="AB169" s="299"/>
      <c r="AC169" s="300"/>
      <c r="AD169" s="300"/>
    </row>
    <row r="170" spans="1:30" ht="12.75" customHeight="1" x14ac:dyDescent="0.2">
      <c r="A170" s="296"/>
      <c r="B170" s="296"/>
      <c r="C170" s="296"/>
      <c r="D170" s="298"/>
      <c r="E170" s="298"/>
      <c r="F170" s="296"/>
      <c r="G170" s="296"/>
      <c r="H170" s="296"/>
      <c r="I170" s="296"/>
      <c r="J170" s="296"/>
      <c r="K170" s="296"/>
      <c r="L170" s="296"/>
      <c r="M170" s="299"/>
      <c r="N170" s="299"/>
      <c r="O170" s="299"/>
      <c r="P170" s="299"/>
      <c r="Q170" s="299"/>
      <c r="R170" s="299"/>
      <c r="S170" s="299"/>
      <c r="T170" s="299"/>
      <c r="U170" s="299"/>
      <c r="V170" s="299"/>
      <c r="W170" s="299"/>
      <c r="X170" s="299"/>
      <c r="Y170" s="299"/>
      <c r="Z170" s="299"/>
      <c r="AA170" s="299"/>
      <c r="AB170" s="299"/>
      <c r="AC170" s="300"/>
      <c r="AD170" s="300"/>
    </row>
    <row r="171" spans="1:30" ht="12.75" customHeight="1" x14ac:dyDescent="0.2">
      <c r="A171" s="296"/>
      <c r="B171" s="296"/>
      <c r="C171" s="296"/>
      <c r="D171" s="298"/>
      <c r="E171" s="298"/>
      <c r="F171" s="296"/>
      <c r="G171" s="296"/>
      <c r="H171" s="296"/>
      <c r="I171" s="296"/>
      <c r="J171" s="296"/>
      <c r="K171" s="296"/>
      <c r="L171" s="296"/>
      <c r="M171" s="299"/>
      <c r="N171" s="299"/>
      <c r="O171" s="299"/>
      <c r="P171" s="299"/>
      <c r="Q171" s="299"/>
      <c r="R171" s="299"/>
      <c r="S171" s="299"/>
      <c r="T171" s="299"/>
      <c r="U171" s="299"/>
      <c r="V171" s="299"/>
      <c r="W171" s="299"/>
      <c r="X171" s="299"/>
      <c r="Y171" s="299"/>
      <c r="Z171" s="299"/>
      <c r="AA171" s="299"/>
      <c r="AB171" s="299"/>
      <c r="AC171" s="300"/>
      <c r="AD171" s="300"/>
    </row>
    <row r="172" spans="1:30" ht="12.75" customHeight="1" x14ac:dyDescent="0.2">
      <c r="A172" s="296"/>
      <c r="B172" s="296"/>
      <c r="C172" s="296"/>
      <c r="D172" s="298"/>
      <c r="E172" s="298"/>
      <c r="F172" s="296"/>
      <c r="G172" s="296"/>
      <c r="H172" s="296"/>
      <c r="I172" s="296"/>
      <c r="J172" s="296"/>
      <c r="K172" s="296"/>
      <c r="L172" s="296"/>
      <c r="M172" s="299"/>
      <c r="N172" s="299"/>
      <c r="O172" s="299"/>
      <c r="P172" s="299"/>
      <c r="Q172" s="299"/>
      <c r="R172" s="299"/>
      <c r="S172" s="299"/>
      <c r="T172" s="299"/>
      <c r="U172" s="299"/>
      <c r="V172" s="299"/>
      <c r="W172" s="299"/>
      <c r="X172" s="299"/>
      <c r="Y172" s="299"/>
      <c r="Z172" s="299"/>
      <c r="AA172" s="299"/>
      <c r="AB172" s="299"/>
      <c r="AC172" s="300"/>
      <c r="AD172" s="300"/>
    </row>
    <row r="173" spans="1:30" ht="12.75" customHeight="1" x14ac:dyDescent="0.2">
      <c r="A173" s="296"/>
      <c r="B173" s="296"/>
      <c r="C173" s="296"/>
      <c r="D173" s="298"/>
      <c r="E173" s="298"/>
      <c r="F173" s="296"/>
      <c r="G173" s="296"/>
      <c r="H173" s="296"/>
      <c r="I173" s="296"/>
      <c r="J173" s="296"/>
      <c r="K173" s="296"/>
      <c r="L173" s="296"/>
      <c r="M173" s="299"/>
      <c r="N173" s="299"/>
      <c r="O173" s="299"/>
      <c r="P173" s="299"/>
      <c r="Q173" s="299"/>
      <c r="R173" s="299"/>
      <c r="S173" s="299"/>
      <c r="T173" s="299"/>
      <c r="U173" s="299"/>
      <c r="V173" s="299"/>
      <c r="W173" s="299"/>
      <c r="X173" s="299"/>
      <c r="Y173" s="299"/>
      <c r="Z173" s="299"/>
      <c r="AA173" s="299"/>
      <c r="AB173" s="299"/>
      <c r="AC173" s="300"/>
      <c r="AD173" s="300"/>
    </row>
    <row r="174" spans="1:30" ht="12.75" customHeight="1" x14ac:dyDescent="0.2">
      <c r="A174" s="296"/>
      <c r="B174" s="296"/>
      <c r="C174" s="296"/>
      <c r="D174" s="298"/>
      <c r="E174" s="298"/>
      <c r="F174" s="296"/>
      <c r="G174" s="296"/>
      <c r="H174" s="296"/>
      <c r="I174" s="296"/>
      <c r="J174" s="296"/>
      <c r="K174" s="296"/>
      <c r="L174" s="296"/>
      <c r="M174" s="299"/>
      <c r="N174" s="299"/>
      <c r="O174" s="299"/>
      <c r="P174" s="299"/>
      <c r="Q174" s="299"/>
      <c r="R174" s="299"/>
      <c r="S174" s="299"/>
      <c r="T174" s="299"/>
      <c r="U174" s="299"/>
      <c r="V174" s="299"/>
      <c r="W174" s="299"/>
      <c r="X174" s="299"/>
      <c r="Y174" s="299"/>
      <c r="Z174" s="299"/>
      <c r="AA174" s="299"/>
      <c r="AB174" s="299"/>
      <c r="AC174" s="300"/>
      <c r="AD174" s="300"/>
    </row>
    <row r="175" spans="1:30" ht="12.75" customHeight="1" x14ac:dyDescent="0.2">
      <c r="A175" s="296"/>
      <c r="B175" s="296"/>
      <c r="C175" s="296"/>
      <c r="D175" s="298"/>
      <c r="E175" s="298"/>
      <c r="F175" s="296"/>
      <c r="G175" s="296"/>
      <c r="H175" s="296"/>
      <c r="I175" s="296"/>
      <c r="J175" s="296"/>
      <c r="K175" s="296"/>
      <c r="L175" s="296"/>
      <c r="M175" s="299"/>
      <c r="N175" s="299"/>
      <c r="O175" s="299"/>
      <c r="P175" s="299"/>
      <c r="Q175" s="299"/>
      <c r="R175" s="299"/>
      <c r="S175" s="299"/>
      <c r="T175" s="299"/>
      <c r="U175" s="299"/>
      <c r="V175" s="299"/>
      <c r="W175" s="299"/>
      <c r="X175" s="299"/>
      <c r="Y175" s="299"/>
      <c r="Z175" s="299"/>
      <c r="AA175" s="299"/>
      <c r="AB175" s="299"/>
      <c r="AC175" s="300"/>
      <c r="AD175" s="300"/>
    </row>
    <row r="176" spans="1:30" ht="12.75" customHeight="1" x14ac:dyDescent="0.2">
      <c r="A176" s="296"/>
      <c r="B176" s="296"/>
      <c r="C176" s="296"/>
      <c r="D176" s="298"/>
      <c r="E176" s="298"/>
      <c r="F176" s="296"/>
      <c r="G176" s="296"/>
      <c r="H176" s="296"/>
      <c r="I176" s="296"/>
      <c r="J176" s="296"/>
      <c r="K176" s="296"/>
      <c r="L176" s="296"/>
      <c r="M176" s="299"/>
      <c r="N176" s="299"/>
      <c r="O176" s="299"/>
      <c r="P176" s="299"/>
      <c r="Q176" s="299"/>
      <c r="R176" s="299"/>
      <c r="S176" s="299"/>
      <c r="T176" s="299"/>
      <c r="U176" s="299"/>
      <c r="V176" s="299"/>
      <c r="W176" s="299"/>
      <c r="X176" s="299"/>
      <c r="Y176" s="299"/>
      <c r="Z176" s="299"/>
      <c r="AA176" s="299"/>
      <c r="AB176" s="299"/>
      <c r="AC176" s="300"/>
      <c r="AD176" s="300"/>
    </row>
    <row r="177" spans="1:30" ht="12.75" customHeight="1" x14ac:dyDescent="0.2">
      <c r="A177" s="296"/>
      <c r="B177" s="296"/>
      <c r="C177" s="296"/>
      <c r="D177" s="298"/>
      <c r="E177" s="298"/>
      <c r="F177" s="296"/>
      <c r="G177" s="296"/>
      <c r="H177" s="296"/>
      <c r="I177" s="296"/>
      <c r="J177" s="296"/>
      <c r="K177" s="296"/>
      <c r="L177" s="296"/>
      <c r="M177" s="299"/>
      <c r="N177" s="299"/>
      <c r="O177" s="299"/>
      <c r="P177" s="299"/>
      <c r="Q177" s="299"/>
      <c r="R177" s="299"/>
      <c r="S177" s="299"/>
      <c r="T177" s="299"/>
      <c r="U177" s="299"/>
      <c r="V177" s="299"/>
      <c r="W177" s="299"/>
      <c r="X177" s="299"/>
      <c r="Y177" s="299"/>
      <c r="Z177" s="299"/>
      <c r="AA177" s="299"/>
      <c r="AB177" s="299"/>
      <c r="AC177" s="300"/>
      <c r="AD177" s="300"/>
    </row>
    <row r="178" spans="1:30" ht="12.75" customHeight="1" x14ac:dyDescent="0.2">
      <c r="A178" s="296"/>
      <c r="B178" s="296"/>
      <c r="C178" s="296"/>
      <c r="D178" s="298"/>
      <c r="E178" s="298"/>
      <c r="F178" s="296"/>
      <c r="G178" s="296"/>
      <c r="H178" s="296"/>
      <c r="I178" s="296"/>
      <c r="J178" s="296"/>
      <c r="K178" s="296"/>
      <c r="L178" s="296"/>
      <c r="M178" s="299"/>
      <c r="N178" s="299"/>
      <c r="O178" s="299"/>
      <c r="P178" s="299"/>
      <c r="Q178" s="299"/>
      <c r="R178" s="299"/>
      <c r="S178" s="299"/>
      <c r="T178" s="299"/>
      <c r="U178" s="299"/>
      <c r="V178" s="299"/>
      <c r="W178" s="299"/>
      <c r="X178" s="299"/>
      <c r="Y178" s="299"/>
      <c r="Z178" s="299"/>
      <c r="AA178" s="299"/>
      <c r="AB178" s="299"/>
      <c r="AC178" s="300"/>
      <c r="AD178" s="300"/>
    </row>
    <row r="179" spans="1:30" ht="12.75" customHeight="1" x14ac:dyDescent="0.2">
      <c r="A179" s="296"/>
      <c r="B179" s="296"/>
      <c r="C179" s="296"/>
      <c r="D179" s="298"/>
      <c r="E179" s="298"/>
      <c r="F179" s="296"/>
      <c r="G179" s="296"/>
      <c r="H179" s="296"/>
      <c r="I179" s="296"/>
      <c r="J179" s="296"/>
      <c r="K179" s="296"/>
      <c r="L179" s="296"/>
      <c r="M179" s="299"/>
      <c r="N179" s="299"/>
      <c r="O179" s="299"/>
      <c r="P179" s="299"/>
      <c r="Q179" s="299"/>
      <c r="R179" s="299"/>
      <c r="S179" s="299"/>
      <c r="T179" s="299"/>
      <c r="U179" s="299"/>
      <c r="V179" s="299"/>
      <c r="W179" s="299"/>
      <c r="X179" s="299"/>
      <c r="Y179" s="299"/>
      <c r="Z179" s="299"/>
      <c r="AA179" s="299"/>
      <c r="AB179" s="299"/>
      <c r="AC179" s="300"/>
      <c r="AD179" s="300"/>
    </row>
    <row r="180" spans="1:30" ht="12.75" customHeight="1" x14ac:dyDescent="0.2">
      <c r="A180" s="296"/>
      <c r="B180" s="296"/>
      <c r="C180" s="296"/>
      <c r="D180" s="298"/>
      <c r="E180" s="298"/>
      <c r="F180" s="296"/>
      <c r="G180" s="296"/>
      <c r="H180" s="296"/>
      <c r="I180" s="296"/>
      <c r="J180" s="296"/>
      <c r="K180" s="296"/>
      <c r="L180" s="296"/>
      <c r="M180" s="299"/>
      <c r="N180" s="299"/>
      <c r="O180" s="299"/>
      <c r="P180" s="299"/>
      <c r="Q180" s="299"/>
      <c r="R180" s="299"/>
      <c r="S180" s="299"/>
      <c r="T180" s="299"/>
      <c r="U180" s="299"/>
      <c r="V180" s="299"/>
      <c r="W180" s="299"/>
      <c r="X180" s="299"/>
      <c r="Y180" s="299"/>
      <c r="Z180" s="299"/>
      <c r="AA180" s="299"/>
      <c r="AB180" s="299"/>
      <c r="AC180" s="300"/>
      <c r="AD180" s="300"/>
    </row>
    <row r="181" spans="1:30" ht="12.75" customHeight="1" x14ac:dyDescent="0.2">
      <c r="A181" s="296"/>
      <c r="B181" s="296"/>
      <c r="C181" s="296"/>
      <c r="D181" s="298"/>
      <c r="E181" s="298"/>
      <c r="F181" s="296"/>
      <c r="G181" s="296"/>
      <c r="H181" s="296"/>
      <c r="I181" s="296"/>
      <c r="J181" s="296"/>
      <c r="K181" s="296"/>
      <c r="L181" s="296"/>
      <c r="M181" s="299"/>
      <c r="N181" s="299"/>
      <c r="O181" s="299"/>
      <c r="P181" s="299"/>
      <c r="Q181" s="299"/>
      <c r="R181" s="299"/>
      <c r="S181" s="299"/>
      <c r="T181" s="299"/>
      <c r="U181" s="299"/>
      <c r="V181" s="299"/>
      <c r="W181" s="299"/>
      <c r="X181" s="299"/>
      <c r="Y181" s="299"/>
      <c r="Z181" s="299"/>
      <c r="AA181" s="299"/>
      <c r="AB181" s="299"/>
      <c r="AC181" s="300"/>
      <c r="AD181" s="300"/>
    </row>
    <row r="182" spans="1:30" ht="12.75" customHeight="1" x14ac:dyDescent="0.2">
      <c r="A182" s="296"/>
      <c r="B182" s="296"/>
      <c r="C182" s="296"/>
      <c r="D182" s="298"/>
      <c r="E182" s="298"/>
      <c r="F182" s="296"/>
      <c r="G182" s="296"/>
      <c r="H182" s="296"/>
      <c r="I182" s="296"/>
      <c r="J182" s="296"/>
      <c r="K182" s="296"/>
      <c r="L182" s="296"/>
      <c r="M182" s="299"/>
      <c r="N182" s="299"/>
      <c r="O182" s="299"/>
      <c r="P182" s="299"/>
      <c r="Q182" s="299"/>
      <c r="R182" s="299"/>
      <c r="S182" s="299"/>
      <c r="T182" s="299"/>
      <c r="U182" s="299"/>
      <c r="V182" s="299"/>
      <c r="W182" s="299"/>
      <c r="X182" s="299"/>
      <c r="Y182" s="299"/>
      <c r="Z182" s="299"/>
      <c r="AA182" s="299"/>
      <c r="AB182" s="299"/>
      <c r="AC182" s="300"/>
      <c r="AD182" s="300"/>
    </row>
    <row r="183" spans="1:30" ht="12.75" customHeight="1" x14ac:dyDescent="0.2">
      <c r="A183" s="296"/>
      <c r="B183" s="296"/>
      <c r="C183" s="296"/>
      <c r="D183" s="298"/>
      <c r="E183" s="298"/>
      <c r="F183" s="296"/>
      <c r="G183" s="296"/>
      <c r="H183" s="296"/>
      <c r="I183" s="296"/>
      <c r="J183" s="296"/>
      <c r="K183" s="296"/>
      <c r="L183" s="296"/>
      <c r="M183" s="299"/>
      <c r="N183" s="299"/>
      <c r="O183" s="299"/>
      <c r="P183" s="299"/>
      <c r="Q183" s="299"/>
      <c r="R183" s="299"/>
      <c r="S183" s="299"/>
      <c r="T183" s="299"/>
      <c r="U183" s="299"/>
      <c r="V183" s="299"/>
      <c r="W183" s="299"/>
      <c r="X183" s="299"/>
      <c r="Y183" s="299"/>
      <c r="Z183" s="299"/>
      <c r="AA183" s="299"/>
      <c r="AB183" s="299"/>
      <c r="AC183" s="300"/>
      <c r="AD183" s="300"/>
    </row>
    <row r="184" spans="1:30" ht="12.75" customHeight="1" x14ac:dyDescent="0.2">
      <c r="A184" s="296"/>
      <c r="B184" s="296"/>
      <c r="C184" s="296"/>
      <c r="D184" s="298"/>
      <c r="E184" s="298"/>
      <c r="F184" s="296"/>
      <c r="G184" s="296"/>
      <c r="H184" s="296"/>
      <c r="I184" s="296"/>
      <c r="J184" s="296"/>
      <c r="K184" s="296"/>
      <c r="L184" s="296"/>
      <c r="M184" s="299"/>
      <c r="N184" s="299"/>
      <c r="O184" s="299"/>
      <c r="P184" s="299"/>
      <c r="Q184" s="299"/>
      <c r="R184" s="299"/>
      <c r="S184" s="299"/>
      <c r="T184" s="299"/>
      <c r="U184" s="299"/>
      <c r="V184" s="299"/>
      <c r="W184" s="299"/>
      <c r="X184" s="299"/>
      <c r="Y184" s="299"/>
      <c r="Z184" s="299"/>
      <c r="AA184" s="299"/>
      <c r="AB184" s="299"/>
      <c r="AC184" s="300"/>
      <c r="AD184" s="300"/>
    </row>
    <row r="185" spans="1:30" ht="12.75" customHeight="1" x14ac:dyDescent="0.2">
      <c r="A185" s="296"/>
      <c r="B185" s="296"/>
      <c r="C185" s="296"/>
      <c r="D185" s="298"/>
      <c r="E185" s="298"/>
      <c r="F185" s="296"/>
      <c r="G185" s="296"/>
      <c r="H185" s="296"/>
      <c r="I185" s="296"/>
      <c r="J185" s="296"/>
      <c r="K185" s="296"/>
      <c r="L185" s="296"/>
      <c r="M185" s="299"/>
      <c r="N185" s="299"/>
      <c r="O185" s="299"/>
      <c r="P185" s="299"/>
      <c r="Q185" s="299"/>
      <c r="R185" s="299"/>
      <c r="S185" s="299"/>
      <c r="T185" s="299"/>
      <c r="U185" s="299"/>
      <c r="V185" s="299"/>
      <c r="W185" s="299"/>
      <c r="X185" s="299"/>
      <c r="Y185" s="299"/>
      <c r="Z185" s="299"/>
      <c r="AA185" s="299"/>
      <c r="AB185" s="299"/>
      <c r="AC185" s="300"/>
      <c r="AD185" s="300"/>
    </row>
    <row r="186" spans="1:30" ht="12.75" customHeight="1" x14ac:dyDescent="0.2">
      <c r="A186" s="296"/>
      <c r="B186" s="296"/>
      <c r="C186" s="296"/>
      <c r="D186" s="298"/>
      <c r="E186" s="298"/>
      <c r="F186" s="296"/>
      <c r="G186" s="296"/>
      <c r="H186" s="296"/>
      <c r="I186" s="296"/>
      <c r="J186" s="296"/>
      <c r="K186" s="296"/>
      <c r="L186" s="296"/>
      <c r="M186" s="299"/>
      <c r="N186" s="299"/>
      <c r="O186" s="299"/>
      <c r="P186" s="299"/>
      <c r="Q186" s="299"/>
      <c r="R186" s="299"/>
      <c r="S186" s="299"/>
      <c r="T186" s="299"/>
      <c r="U186" s="299"/>
      <c r="V186" s="299"/>
      <c r="W186" s="299"/>
      <c r="X186" s="299"/>
      <c r="Y186" s="299"/>
      <c r="Z186" s="299"/>
      <c r="AA186" s="299"/>
      <c r="AB186" s="299"/>
      <c r="AC186" s="300"/>
      <c r="AD186" s="300"/>
    </row>
    <row r="187" spans="1:30" ht="12.75" customHeight="1" x14ac:dyDescent="0.2">
      <c r="A187" s="296"/>
      <c r="B187" s="296"/>
      <c r="C187" s="296"/>
      <c r="D187" s="298"/>
      <c r="E187" s="298"/>
      <c r="F187" s="296"/>
      <c r="G187" s="296"/>
      <c r="H187" s="296"/>
      <c r="I187" s="296"/>
      <c r="J187" s="296"/>
      <c r="K187" s="296"/>
      <c r="L187" s="296"/>
      <c r="M187" s="299"/>
      <c r="N187" s="299"/>
      <c r="O187" s="299"/>
      <c r="P187" s="299"/>
      <c r="Q187" s="299"/>
      <c r="R187" s="299"/>
      <c r="S187" s="299"/>
      <c r="T187" s="299"/>
      <c r="U187" s="299"/>
      <c r="V187" s="299"/>
      <c r="W187" s="299"/>
      <c r="X187" s="299"/>
      <c r="Y187" s="299"/>
      <c r="Z187" s="299"/>
      <c r="AA187" s="299"/>
      <c r="AB187" s="299"/>
      <c r="AC187" s="300"/>
      <c r="AD187" s="300"/>
    </row>
    <row r="188" spans="1:30" ht="12.75" customHeight="1" x14ac:dyDescent="0.2">
      <c r="A188" s="296"/>
      <c r="B188" s="296"/>
      <c r="C188" s="296"/>
      <c r="D188" s="298"/>
      <c r="E188" s="298"/>
      <c r="F188" s="296"/>
      <c r="G188" s="296"/>
      <c r="H188" s="296"/>
      <c r="I188" s="296"/>
      <c r="J188" s="296"/>
      <c r="K188" s="296"/>
      <c r="L188" s="296"/>
      <c r="M188" s="299"/>
      <c r="N188" s="299"/>
      <c r="O188" s="299"/>
      <c r="P188" s="299"/>
      <c r="Q188" s="299"/>
      <c r="R188" s="299"/>
      <c r="S188" s="299"/>
      <c r="T188" s="299"/>
      <c r="U188" s="299"/>
      <c r="V188" s="299"/>
      <c r="W188" s="299"/>
      <c r="X188" s="299"/>
      <c r="Y188" s="299"/>
      <c r="Z188" s="299"/>
      <c r="AA188" s="299"/>
      <c r="AB188" s="299"/>
      <c r="AC188" s="300"/>
      <c r="AD188" s="300"/>
    </row>
    <row r="189" spans="1:30" ht="12.75" customHeight="1" x14ac:dyDescent="0.2">
      <c r="A189" s="296"/>
      <c r="B189" s="296"/>
      <c r="C189" s="296"/>
      <c r="D189" s="298"/>
      <c r="E189" s="298"/>
      <c r="F189" s="296"/>
      <c r="G189" s="296"/>
      <c r="H189" s="296"/>
      <c r="I189" s="296"/>
      <c r="J189" s="296"/>
      <c r="K189" s="296"/>
      <c r="L189" s="296"/>
      <c r="M189" s="299"/>
      <c r="N189" s="299"/>
      <c r="O189" s="299"/>
      <c r="P189" s="299"/>
      <c r="Q189" s="299"/>
      <c r="R189" s="299"/>
      <c r="S189" s="299"/>
      <c r="T189" s="299"/>
      <c r="U189" s="299"/>
      <c r="V189" s="299"/>
      <c r="W189" s="299"/>
      <c r="X189" s="299"/>
      <c r="Y189" s="299"/>
      <c r="Z189" s="299"/>
      <c r="AA189" s="299"/>
      <c r="AB189" s="299"/>
      <c r="AC189" s="300"/>
      <c r="AD189" s="300"/>
    </row>
    <row r="190" spans="1:30" ht="12.75" customHeight="1" x14ac:dyDescent="0.2">
      <c r="A190" s="296"/>
      <c r="B190" s="296"/>
      <c r="C190" s="296"/>
      <c r="D190" s="298"/>
      <c r="E190" s="298"/>
      <c r="F190" s="296"/>
      <c r="G190" s="296"/>
      <c r="H190" s="296"/>
      <c r="I190" s="296"/>
      <c r="J190" s="296"/>
      <c r="K190" s="296"/>
      <c r="L190" s="296"/>
      <c r="M190" s="299"/>
      <c r="N190" s="299"/>
      <c r="O190" s="299"/>
      <c r="P190" s="299"/>
      <c r="Q190" s="299"/>
      <c r="R190" s="299"/>
      <c r="S190" s="299"/>
      <c r="T190" s="299"/>
      <c r="U190" s="299"/>
      <c r="V190" s="299"/>
      <c r="W190" s="299"/>
      <c r="X190" s="299"/>
      <c r="Y190" s="299"/>
      <c r="Z190" s="299"/>
      <c r="AA190" s="299"/>
      <c r="AB190" s="299"/>
      <c r="AC190" s="300"/>
      <c r="AD190" s="300"/>
    </row>
    <row r="191" spans="1:30" ht="12.75" customHeight="1" x14ac:dyDescent="0.2">
      <c r="A191" s="296"/>
      <c r="B191" s="296"/>
      <c r="C191" s="296"/>
      <c r="D191" s="298"/>
      <c r="E191" s="298"/>
      <c r="F191" s="296"/>
      <c r="G191" s="296"/>
      <c r="H191" s="296"/>
      <c r="I191" s="296"/>
      <c r="J191" s="296"/>
      <c r="K191" s="296"/>
      <c r="L191" s="296"/>
      <c r="M191" s="299"/>
      <c r="N191" s="299"/>
      <c r="O191" s="299"/>
      <c r="P191" s="299"/>
      <c r="Q191" s="299"/>
      <c r="R191" s="299"/>
      <c r="S191" s="299"/>
      <c r="T191" s="299"/>
      <c r="U191" s="299"/>
      <c r="V191" s="299"/>
      <c r="W191" s="299"/>
      <c r="X191" s="299"/>
      <c r="Y191" s="299"/>
      <c r="Z191" s="299"/>
      <c r="AA191" s="299"/>
      <c r="AB191" s="299"/>
      <c r="AC191" s="300"/>
      <c r="AD191" s="300"/>
    </row>
    <row r="192" spans="1:30" ht="12.75" customHeight="1" x14ac:dyDescent="0.2">
      <c r="A192" s="296"/>
      <c r="B192" s="296"/>
      <c r="C192" s="296"/>
      <c r="D192" s="298"/>
      <c r="E192" s="298"/>
      <c r="F192" s="296"/>
      <c r="G192" s="296"/>
      <c r="H192" s="296"/>
      <c r="I192" s="296"/>
      <c r="J192" s="296"/>
      <c r="K192" s="296"/>
      <c r="L192" s="296"/>
      <c r="M192" s="299"/>
      <c r="N192" s="299"/>
      <c r="O192" s="299"/>
      <c r="P192" s="299"/>
      <c r="Q192" s="299"/>
      <c r="R192" s="299"/>
      <c r="S192" s="299"/>
      <c r="T192" s="299"/>
      <c r="U192" s="299"/>
      <c r="V192" s="299"/>
      <c r="W192" s="299"/>
      <c r="X192" s="299"/>
      <c r="Y192" s="299"/>
      <c r="Z192" s="299"/>
      <c r="AA192" s="299"/>
      <c r="AB192" s="299"/>
      <c r="AC192" s="300"/>
      <c r="AD192" s="300"/>
    </row>
    <row r="193" spans="1:30" ht="12.75" customHeight="1" x14ac:dyDescent="0.2">
      <c r="A193" s="296"/>
      <c r="B193" s="296"/>
      <c r="C193" s="296"/>
      <c r="D193" s="298"/>
      <c r="E193" s="298"/>
      <c r="F193" s="296"/>
      <c r="G193" s="296"/>
      <c r="H193" s="296"/>
      <c r="I193" s="296"/>
      <c r="J193" s="296"/>
      <c r="K193" s="296"/>
      <c r="L193" s="296"/>
      <c r="M193" s="299"/>
      <c r="N193" s="299"/>
      <c r="O193" s="299"/>
      <c r="P193" s="299"/>
      <c r="Q193" s="299"/>
      <c r="R193" s="299"/>
      <c r="S193" s="299"/>
      <c r="T193" s="299"/>
      <c r="U193" s="299"/>
      <c r="V193" s="299"/>
      <c r="W193" s="299"/>
      <c r="X193" s="299"/>
      <c r="Y193" s="299"/>
      <c r="Z193" s="299"/>
      <c r="AA193" s="299"/>
      <c r="AB193" s="299"/>
      <c r="AC193" s="300"/>
      <c r="AD193" s="300"/>
    </row>
    <row r="194" spans="1:30" ht="12.75" customHeight="1" x14ac:dyDescent="0.2">
      <c r="A194" s="296"/>
      <c r="B194" s="296"/>
      <c r="C194" s="296"/>
      <c r="D194" s="298"/>
      <c r="E194" s="298"/>
      <c r="F194" s="296"/>
      <c r="G194" s="296"/>
      <c r="H194" s="296"/>
      <c r="I194" s="296"/>
      <c r="J194" s="296"/>
      <c r="K194" s="296"/>
      <c r="L194" s="296"/>
      <c r="M194" s="299"/>
      <c r="N194" s="299"/>
      <c r="O194" s="299"/>
      <c r="P194" s="299"/>
      <c r="Q194" s="299"/>
      <c r="R194" s="299"/>
      <c r="S194" s="299"/>
      <c r="T194" s="299"/>
      <c r="U194" s="299"/>
      <c r="V194" s="299"/>
      <c r="W194" s="299"/>
      <c r="X194" s="299"/>
      <c r="Y194" s="299"/>
      <c r="Z194" s="299"/>
      <c r="AA194" s="299"/>
      <c r="AB194" s="299"/>
      <c r="AC194" s="300"/>
      <c r="AD194" s="300"/>
    </row>
    <row r="195" spans="1:30" ht="12.75" customHeight="1" x14ac:dyDescent="0.2">
      <c r="A195" s="296"/>
      <c r="B195" s="296"/>
      <c r="C195" s="296"/>
      <c r="D195" s="298"/>
      <c r="E195" s="298"/>
      <c r="F195" s="296"/>
      <c r="G195" s="296"/>
      <c r="H195" s="296"/>
      <c r="I195" s="296"/>
      <c r="J195" s="296"/>
      <c r="K195" s="296"/>
      <c r="L195" s="296"/>
      <c r="M195" s="299"/>
      <c r="N195" s="299"/>
      <c r="O195" s="299"/>
      <c r="P195" s="299"/>
      <c r="Q195" s="299"/>
      <c r="R195" s="299"/>
      <c r="S195" s="299"/>
      <c r="T195" s="299"/>
      <c r="U195" s="299"/>
      <c r="V195" s="299"/>
      <c r="W195" s="299"/>
      <c r="X195" s="299"/>
      <c r="Y195" s="299"/>
      <c r="Z195" s="299"/>
      <c r="AA195" s="299"/>
      <c r="AB195" s="299"/>
      <c r="AC195" s="300"/>
      <c r="AD195" s="300"/>
    </row>
    <row r="196" spans="1:30" ht="12.75" customHeight="1" x14ac:dyDescent="0.2">
      <c r="A196" s="296"/>
      <c r="B196" s="296"/>
      <c r="C196" s="296"/>
      <c r="D196" s="298"/>
      <c r="E196" s="298"/>
      <c r="F196" s="296"/>
      <c r="G196" s="296"/>
      <c r="H196" s="296"/>
      <c r="I196" s="296"/>
      <c r="J196" s="296"/>
      <c r="K196" s="296"/>
      <c r="L196" s="296"/>
      <c r="M196" s="299"/>
      <c r="N196" s="299"/>
      <c r="O196" s="299"/>
      <c r="P196" s="299"/>
      <c r="Q196" s="299"/>
      <c r="R196" s="299"/>
      <c r="S196" s="299"/>
      <c r="T196" s="299"/>
      <c r="U196" s="299"/>
      <c r="V196" s="299"/>
      <c r="W196" s="299"/>
      <c r="X196" s="299"/>
      <c r="Y196" s="299"/>
      <c r="Z196" s="299"/>
      <c r="AA196" s="299"/>
      <c r="AB196" s="299"/>
      <c r="AC196" s="300"/>
      <c r="AD196" s="300"/>
    </row>
    <row r="197" spans="1:30" ht="12.75" customHeight="1" x14ac:dyDescent="0.2">
      <c r="A197" s="296"/>
      <c r="B197" s="296"/>
      <c r="C197" s="296"/>
      <c r="D197" s="298"/>
      <c r="E197" s="298"/>
      <c r="F197" s="296"/>
      <c r="G197" s="296"/>
      <c r="H197" s="296"/>
      <c r="I197" s="296"/>
      <c r="J197" s="296"/>
      <c r="K197" s="296"/>
      <c r="L197" s="296"/>
      <c r="M197" s="299"/>
      <c r="N197" s="299"/>
      <c r="O197" s="299"/>
      <c r="P197" s="299"/>
      <c r="Q197" s="299"/>
      <c r="R197" s="299"/>
      <c r="S197" s="299"/>
      <c r="T197" s="299"/>
      <c r="U197" s="299"/>
      <c r="V197" s="299"/>
      <c r="W197" s="299"/>
      <c r="X197" s="299"/>
      <c r="Y197" s="299"/>
      <c r="Z197" s="299"/>
      <c r="AA197" s="299"/>
      <c r="AB197" s="299"/>
      <c r="AC197" s="300"/>
      <c r="AD197" s="300"/>
    </row>
    <row r="198" spans="1:30" ht="12.75" customHeight="1" x14ac:dyDescent="0.2">
      <c r="A198" s="296"/>
      <c r="B198" s="296"/>
      <c r="C198" s="296"/>
      <c r="D198" s="298"/>
      <c r="E198" s="298"/>
      <c r="F198" s="296"/>
      <c r="G198" s="296"/>
      <c r="H198" s="296"/>
      <c r="I198" s="296"/>
      <c r="J198" s="296"/>
      <c r="K198" s="296"/>
      <c r="L198" s="296"/>
      <c r="M198" s="299"/>
      <c r="N198" s="299"/>
      <c r="O198" s="299"/>
      <c r="P198" s="299"/>
      <c r="Q198" s="299"/>
      <c r="R198" s="299"/>
      <c r="S198" s="299"/>
      <c r="T198" s="299"/>
      <c r="U198" s="299"/>
      <c r="V198" s="299"/>
      <c r="W198" s="299"/>
      <c r="X198" s="299"/>
      <c r="Y198" s="299"/>
      <c r="Z198" s="299"/>
      <c r="AA198" s="299"/>
      <c r="AB198" s="299"/>
      <c r="AC198" s="300"/>
      <c r="AD198" s="300"/>
    </row>
    <row r="199" spans="1:30" ht="12.75" customHeight="1" x14ac:dyDescent="0.2">
      <c r="A199" s="296"/>
      <c r="B199" s="296"/>
      <c r="C199" s="296"/>
      <c r="D199" s="298"/>
      <c r="E199" s="298"/>
      <c r="F199" s="296"/>
      <c r="G199" s="296"/>
      <c r="H199" s="296"/>
      <c r="I199" s="296"/>
      <c r="J199" s="296"/>
      <c r="K199" s="296"/>
      <c r="L199" s="296"/>
      <c r="M199" s="299"/>
      <c r="N199" s="299"/>
      <c r="O199" s="299"/>
      <c r="P199" s="299"/>
      <c r="Q199" s="299"/>
      <c r="R199" s="299"/>
      <c r="S199" s="299"/>
      <c r="T199" s="299"/>
      <c r="U199" s="299"/>
      <c r="V199" s="299"/>
      <c r="W199" s="299"/>
      <c r="X199" s="299"/>
      <c r="Y199" s="299"/>
      <c r="Z199" s="299"/>
      <c r="AA199" s="299"/>
      <c r="AB199" s="299"/>
      <c r="AC199" s="300"/>
      <c r="AD199" s="300"/>
    </row>
    <row r="200" spans="1:30" ht="12.75" customHeight="1" x14ac:dyDescent="0.2">
      <c r="A200" s="296"/>
      <c r="B200" s="296"/>
      <c r="C200" s="296"/>
      <c r="D200" s="298"/>
      <c r="E200" s="298"/>
      <c r="F200" s="296"/>
      <c r="G200" s="296"/>
      <c r="H200" s="296"/>
      <c r="I200" s="296"/>
      <c r="J200" s="296"/>
      <c r="K200" s="296"/>
      <c r="L200" s="296"/>
      <c r="M200" s="299"/>
      <c r="N200" s="299"/>
      <c r="O200" s="299"/>
      <c r="P200" s="299"/>
      <c r="Q200" s="299"/>
      <c r="R200" s="299"/>
      <c r="S200" s="299"/>
      <c r="T200" s="299"/>
      <c r="U200" s="299"/>
      <c r="V200" s="299"/>
      <c r="W200" s="299"/>
      <c r="X200" s="299"/>
      <c r="Y200" s="299"/>
      <c r="Z200" s="299"/>
      <c r="AA200" s="299"/>
      <c r="AB200" s="299"/>
      <c r="AC200" s="300"/>
      <c r="AD200" s="300"/>
    </row>
    <row r="201" spans="1:30" ht="12.75" customHeight="1" x14ac:dyDescent="0.2">
      <c r="A201" s="296"/>
      <c r="B201" s="296"/>
      <c r="C201" s="296"/>
      <c r="D201" s="298"/>
      <c r="E201" s="298"/>
      <c r="F201" s="296"/>
      <c r="G201" s="296"/>
      <c r="H201" s="296"/>
      <c r="I201" s="296"/>
      <c r="J201" s="296"/>
      <c r="K201" s="296"/>
      <c r="L201" s="296"/>
      <c r="M201" s="299"/>
      <c r="N201" s="299"/>
      <c r="O201" s="299"/>
      <c r="P201" s="299"/>
      <c r="Q201" s="299"/>
      <c r="R201" s="299"/>
      <c r="S201" s="299"/>
      <c r="T201" s="299"/>
      <c r="U201" s="299"/>
      <c r="V201" s="299"/>
      <c r="W201" s="299"/>
      <c r="X201" s="299"/>
      <c r="Y201" s="299"/>
      <c r="Z201" s="299"/>
      <c r="AA201" s="299"/>
      <c r="AB201" s="299"/>
      <c r="AC201" s="300"/>
      <c r="AD201" s="300"/>
    </row>
    <row r="202" spans="1:30" ht="12.75" customHeight="1" x14ac:dyDescent="0.2">
      <c r="A202" s="296"/>
      <c r="B202" s="296"/>
      <c r="C202" s="296"/>
      <c r="D202" s="298"/>
      <c r="E202" s="298"/>
      <c r="F202" s="296"/>
      <c r="G202" s="296"/>
      <c r="H202" s="296"/>
      <c r="I202" s="296"/>
      <c r="J202" s="296"/>
      <c r="K202" s="296"/>
      <c r="L202" s="296"/>
      <c r="M202" s="299"/>
      <c r="N202" s="299"/>
      <c r="O202" s="299"/>
      <c r="P202" s="299"/>
      <c r="Q202" s="299"/>
      <c r="R202" s="299"/>
      <c r="S202" s="299"/>
      <c r="T202" s="299"/>
      <c r="U202" s="299"/>
      <c r="V202" s="299"/>
      <c r="W202" s="299"/>
      <c r="X202" s="299"/>
      <c r="Y202" s="299"/>
      <c r="Z202" s="299"/>
      <c r="AA202" s="299"/>
      <c r="AB202" s="299"/>
      <c r="AC202" s="300"/>
      <c r="AD202" s="300"/>
    </row>
    <row r="203" spans="1:30" ht="12.75" customHeight="1" x14ac:dyDescent="0.2">
      <c r="A203" s="296"/>
      <c r="B203" s="296"/>
      <c r="C203" s="296"/>
      <c r="D203" s="298"/>
      <c r="E203" s="298"/>
      <c r="F203" s="296"/>
      <c r="G203" s="296"/>
      <c r="H203" s="296"/>
      <c r="I203" s="296"/>
      <c r="J203" s="296"/>
      <c r="K203" s="296"/>
      <c r="L203" s="296"/>
      <c r="M203" s="299"/>
      <c r="N203" s="299"/>
      <c r="O203" s="299"/>
      <c r="P203" s="299"/>
      <c r="Q203" s="299"/>
      <c r="R203" s="299"/>
      <c r="S203" s="299"/>
      <c r="T203" s="299"/>
      <c r="U203" s="299"/>
      <c r="V203" s="299"/>
      <c r="W203" s="299"/>
      <c r="X203" s="299"/>
      <c r="Y203" s="299"/>
      <c r="Z203" s="299"/>
      <c r="AA203" s="299"/>
      <c r="AB203" s="299"/>
      <c r="AC203" s="300"/>
      <c r="AD203" s="300"/>
    </row>
    <row r="204" spans="1:30" ht="12.75" customHeight="1" x14ac:dyDescent="0.2">
      <c r="A204" s="296"/>
      <c r="B204" s="296"/>
      <c r="C204" s="296"/>
      <c r="D204" s="298"/>
      <c r="E204" s="298"/>
      <c r="F204" s="296"/>
      <c r="G204" s="296"/>
      <c r="H204" s="296"/>
      <c r="I204" s="296"/>
      <c r="J204" s="296"/>
      <c r="K204" s="296"/>
      <c r="L204" s="296"/>
      <c r="M204" s="299"/>
      <c r="N204" s="299"/>
      <c r="O204" s="299"/>
      <c r="P204" s="299"/>
      <c r="Q204" s="299"/>
      <c r="R204" s="299"/>
      <c r="S204" s="299"/>
      <c r="T204" s="299"/>
      <c r="U204" s="299"/>
      <c r="V204" s="299"/>
      <c r="W204" s="299"/>
      <c r="X204" s="299"/>
      <c r="Y204" s="299"/>
      <c r="Z204" s="299"/>
      <c r="AA204" s="299"/>
      <c r="AB204" s="299"/>
      <c r="AC204" s="300"/>
      <c r="AD204" s="300"/>
    </row>
    <row r="205" spans="1:30" ht="12.75" customHeight="1" x14ac:dyDescent="0.2">
      <c r="A205" s="296"/>
      <c r="B205" s="296"/>
      <c r="C205" s="296"/>
      <c r="D205" s="298"/>
      <c r="E205" s="298"/>
      <c r="F205" s="296"/>
      <c r="G205" s="296"/>
      <c r="H205" s="296"/>
      <c r="I205" s="296"/>
      <c r="J205" s="296"/>
      <c r="K205" s="296"/>
      <c r="L205" s="296"/>
      <c r="M205" s="299"/>
      <c r="N205" s="299"/>
      <c r="O205" s="299"/>
      <c r="P205" s="299"/>
      <c r="Q205" s="299"/>
      <c r="R205" s="299"/>
      <c r="S205" s="299"/>
      <c r="T205" s="299"/>
      <c r="U205" s="299"/>
      <c r="V205" s="299"/>
      <c r="W205" s="299"/>
      <c r="X205" s="299"/>
      <c r="Y205" s="299"/>
      <c r="Z205" s="299"/>
      <c r="AA205" s="299"/>
      <c r="AB205" s="299"/>
      <c r="AC205" s="300"/>
      <c r="AD205" s="300"/>
    </row>
    <row r="206" spans="1:30" ht="12.75" customHeight="1" x14ac:dyDescent="0.2">
      <c r="A206" s="296"/>
      <c r="B206" s="296"/>
      <c r="C206" s="296"/>
      <c r="D206" s="298"/>
      <c r="E206" s="298"/>
      <c r="F206" s="296"/>
      <c r="G206" s="296"/>
      <c r="H206" s="296"/>
      <c r="I206" s="296"/>
      <c r="J206" s="296"/>
      <c r="K206" s="296"/>
      <c r="L206" s="296"/>
      <c r="M206" s="299"/>
      <c r="N206" s="299"/>
      <c r="O206" s="299"/>
      <c r="P206" s="299"/>
      <c r="Q206" s="299"/>
      <c r="R206" s="299"/>
      <c r="S206" s="299"/>
      <c r="T206" s="299"/>
      <c r="U206" s="299"/>
      <c r="V206" s="299"/>
      <c r="W206" s="299"/>
      <c r="X206" s="299"/>
      <c r="Y206" s="299"/>
      <c r="Z206" s="299"/>
      <c r="AA206" s="299"/>
      <c r="AB206" s="299"/>
      <c r="AC206" s="300"/>
      <c r="AD206" s="300"/>
    </row>
    <row r="207" spans="1:30" ht="12.75" customHeight="1" x14ac:dyDescent="0.2">
      <c r="A207" s="296"/>
      <c r="B207" s="296"/>
      <c r="C207" s="296"/>
      <c r="D207" s="298"/>
      <c r="E207" s="298"/>
      <c r="F207" s="296"/>
      <c r="G207" s="296"/>
      <c r="H207" s="296"/>
      <c r="I207" s="296"/>
      <c r="J207" s="296"/>
      <c r="K207" s="296"/>
      <c r="L207" s="296"/>
      <c r="M207" s="299"/>
      <c r="N207" s="299"/>
      <c r="O207" s="299"/>
      <c r="P207" s="299"/>
      <c r="Q207" s="299"/>
      <c r="R207" s="299"/>
      <c r="S207" s="299"/>
      <c r="T207" s="299"/>
      <c r="U207" s="299"/>
      <c r="V207" s="299"/>
      <c r="W207" s="299"/>
      <c r="X207" s="299"/>
      <c r="Y207" s="299"/>
      <c r="Z207" s="299"/>
      <c r="AA207" s="299"/>
      <c r="AB207" s="299"/>
      <c r="AC207" s="300"/>
      <c r="AD207" s="300"/>
    </row>
    <row r="208" spans="1:30" ht="12.75" customHeight="1" x14ac:dyDescent="0.2">
      <c r="A208" s="296"/>
      <c r="B208" s="296"/>
      <c r="C208" s="296"/>
      <c r="D208" s="298"/>
      <c r="E208" s="298"/>
      <c r="F208" s="296"/>
      <c r="G208" s="296"/>
      <c r="H208" s="296"/>
      <c r="I208" s="296"/>
      <c r="J208" s="296"/>
      <c r="K208" s="296"/>
      <c r="L208" s="296"/>
      <c r="M208" s="299"/>
      <c r="N208" s="299"/>
      <c r="O208" s="299"/>
      <c r="P208" s="299"/>
      <c r="Q208" s="299"/>
      <c r="R208" s="299"/>
      <c r="S208" s="299"/>
      <c r="T208" s="299"/>
      <c r="U208" s="299"/>
      <c r="V208" s="299"/>
      <c r="W208" s="299"/>
      <c r="X208" s="299"/>
      <c r="Y208" s="299"/>
      <c r="Z208" s="299"/>
      <c r="AA208" s="299"/>
      <c r="AB208" s="299"/>
      <c r="AC208" s="300"/>
      <c r="AD208" s="300"/>
    </row>
    <row r="209" spans="1:30" ht="12.75" customHeight="1" x14ac:dyDescent="0.2">
      <c r="A209" s="296"/>
      <c r="B209" s="296"/>
      <c r="C209" s="296"/>
      <c r="D209" s="298"/>
      <c r="E209" s="298"/>
      <c r="F209" s="296"/>
      <c r="G209" s="296"/>
      <c r="H209" s="296"/>
      <c r="I209" s="296"/>
      <c r="J209" s="296"/>
      <c r="K209" s="296"/>
      <c r="L209" s="296"/>
      <c r="M209" s="299"/>
      <c r="N209" s="299"/>
      <c r="O209" s="299"/>
      <c r="P209" s="299"/>
      <c r="Q209" s="299"/>
      <c r="R209" s="299"/>
      <c r="S209" s="299"/>
      <c r="T209" s="299"/>
      <c r="U209" s="299"/>
      <c r="V209" s="299"/>
      <c r="W209" s="299"/>
      <c r="X209" s="299"/>
      <c r="Y209" s="299"/>
      <c r="Z209" s="299"/>
      <c r="AA209" s="299"/>
      <c r="AB209" s="299"/>
      <c r="AC209" s="300"/>
      <c r="AD209" s="300"/>
    </row>
    <row r="210" spans="1:30" ht="12.75" customHeight="1" x14ac:dyDescent="0.2">
      <c r="A210" s="296"/>
      <c r="B210" s="296"/>
      <c r="C210" s="296"/>
      <c r="D210" s="298"/>
      <c r="E210" s="298"/>
      <c r="F210" s="296"/>
      <c r="G210" s="296"/>
      <c r="H210" s="296"/>
      <c r="I210" s="296"/>
      <c r="J210" s="296"/>
      <c r="K210" s="296"/>
      <c r="L210" s="296"/>
      <c r="M210" s="299"/>
      <c r="N210" s="299"/>
      <c r="O210" s="299"/>
      <c r="P210" s="299"/>
      <c r="Q210" s="299"/>
      <c r="R210" s="299"/>
      <c r="S210" s="299"/>
      <c r="T210" s="299"/>
      <c r="U210" s="299"/>
      <c r="V210" s="299"/>
      <c r="W210" s="299"/>
      <c r="X210" s="299"/>
      <c r="Y210" s="299"/>
      <c r="Z210" s="299"/>
      <c r="AA210" s="299"/>
      <c r="AB210" s="299"/>
      <c r="AC210" s="300"/>
      <c r="AD210" s="300"/>
    </row>
    <row r="211" spans="1:30" ht="12.75" customHeight="1" x14ac:dyDescent="0.2">
      <c r="A211" s="296"/>
      <c r="B211" s="296"/>
      <c r="C211" s="296"/>
      <c r="D211" s="298"/>
      <c r="E211" s="298"/>
      <c r="F211" s="296"/>
      <c r="G211" s="296"/>
      <c r="H211" s="296"/>
      <c r="I211" s="296"/>
      <c r="J211" s="296"/>
      <c r="K211" s="296"/>
      <c r="L211" s="296"/>
      <c r="M211" s="299"/>
      <c r="N211" s="299"/>
      <c r="O211" s="299"/>
      <c r="P211" s="299"/>
      <c r="Q211" s="299"/>
      <c r="R211" s="299"/>
      <c r="S211" s="299"/>
      <c r="T211" s="299"/>
      <c r="U211" s="299"/>
      <c r="V211" s="299"/>
      <c r="W211" s="299"/>
      <c r="X211" s="299"/>
      <c r="Y211" s="299"/>
      <c r="Z211" s="299"/>
      <c r="AA211" s="299"/>
      <c r="AB211" s="299"/>
      <c r="AC211" s="300"/>
      <c r="AD211" s="300"/>
    </row>
    <row r="212" spans="1:30" ht="12.75" customHeight="1" x14ac:dyDescent="0.2">
      <c r="A212" s="296"/>
      <c r="B212" s="296"/>
      <c r="C212" s="296"/>
      <c r="D212" s="298"/>
      <c r="E212" s="298"/>
      <c r="F212" s="296"/>
      <c r="G212" s="296"/>
      <c r="H212" s="296"/>
      <c r="I212" s="296"/>
      <c r="J212" s="296"/>
      <c r="K212" s="296"/>
      <c r="L212" s="296"/>
      <c r="M212" s="299"/>
      <c r="N212" s="299"/>
      <c r="O212" s="299"/>
      <c r="P212" s="299"/>
      <c r="Q212" s="299"/>
      <c r="R212" s="299"/>
      <c r="S212" s="299"/>
      <c r="T212" s="299"/>
      <c r="U212" s="299"/>
      <c r="V212" s="299"/>
      <c r="W212" s="299"/>
      <c r="X212" s="299"/>
      <c r="Y212" s="299"/>
      <c r="Z212" s="299"/>
      <c r="AA212" s="299"/>
      <c r="AB212" s="299"/>
      <c r="AC212" s="300"/>
      <c r="AD212" s="300"/>
    </row>
    <row r="213" spans="1:30" ht="12.75" customHeight="1" x14ac:dyDescent="0.2">
      <c r="A213" s="296"/>
      <c r="B213" s="296"/>
      <c r="C213" s="296"/>
      <c r="D213" s="298"/>
      <c r="E213" s="298"/>
      <c r="F213" s="296"/>
      <c r="G213" s="296"/>
      <c r="H213" s="296"/>
      <c r="I213" s="296"/>
      <c r="J213" s="296"/>
      <c r="K213" s="296"/>
      <c r="L213" s="296"/>
      <c r="M213" s="299"/>
      <c r="N213" s="299"/>
      <c r="O213" s="299"/>
      <c r="P213" s="299"/>
      <c r="Q213" s="299"/>
      <c r="R213" s="299"/>
      <c r="S213" s="299"/>
      <c r="T213" s="299"/>
      <c r="U213" s="299"/>
      <c r="V213" s="299"/>
      <c r="W213" s="299"/>
      <c r="X213" s="299"/>
      <c r="Y213" s="299"/>
      <c r="Z213" s="299"/>
      <c r="AA213" s="299"/>
      <c r="AB213" s="299"/>
      <c r="AC213" s="300"/>
      <c r="AD213" s="300"/>
    </row>
    <row r="214" spans="1:30" ht="12.75" customHeight="1" x14ac:dyDescent="0.2">
      <c r="A214" s="296"/>
      <c r="B214" s="296"/>
      <c r="C214" s="296"/>
      <c r="D214" s="298"/>
      <c r="E214" s="298"/>
      <c r="F214" s="296"/>
      <c r="G214" s="296"/>
      <c r="H214" s="296"/>
      <c r="I214" s="296"/>
      <c r="J214" s="296"/>
      <c r="K214" s="296"/>
      <c r="L214" s="296"/>
      <c r="M214" s="299"/>
      <c r="N214" s="299"/>
      <c r="O214" s="299"/>
      <c r="P214" s="299"/>
      <c r="Q214" s="299"/>
      <c r="R214" s="299"/>
      <c r="S214" s="299"/>
      <c r="T214" s="299"/>
      <c r="U214" s="299"/>
      <c r="V214" s="299"/>
      <c r="W214" s="299"/>
      <c r="X214" s="299"/>
      <c r="Y214" s="299"/>
      <c r="Z214" s="299"/>
      <c r="AA214" s="299"/>
      <c r="AB214" s="299"/>
      <c r="AC214" s="300"/>
      <c r="AD214" s="300"/>
    </row>
    <row r="215" spans="1:30" ht="12.75" customHeight="1" x14ac:dyDescent="0.2">
      <c r="A215" s="296"/>
      <c r="B215" s="296"/>
      <c r="C215" s="296"/>
      <c r="D215" s="298"/>
      <c r="E215" s="298"/>
      <c r="F215" s="296"/>
      <c r="G215" s="296"/>
      <c r="H215" s="296"/>
      <c r="I215" s="296"/>
      <c r="J215" s="296"/>
      <c r="K215" s="296"/>
      <c r="L215" s="296"/>
      <c r="M215" s="299"/>
      <c r="N215" s="299"/>
      <c r="O215" s="299"/>
      <c r="P215" s="299"/>
      <c r="Q215" s="299"/>
      <c r="R215" s="299"/>
      <c r="S215" s="299"/>
      <c r="T215" s="299"/>
      <c r="U215" s="299"/>
      <c r="V215" s="299"/>
      <c r="W215" s="299"/>
      <c r="X215" s="299"/>
      <c r="Y215" s="299"/>
      <c r="Z215" s="299"/>
      <c r="AA215" s="299"/>
      <c r="AB215" s="299"/>
      <c r="AC215" s="300"/>
      <c r="AD215" s="300"/>
    </row>
    <row r="216" spans="1:30" ht="12.75" customHeight="1" x14ac:dyDescent="0.2">
      <c r="A216" s="296"/>
      <c r="B216" s="296"/>
      <c r="C216" s="296"/>
      <c r="D216" s="298"/>
      <c r="E216" s="298"/>
      <c r="F216" s="296"/>
      <c r="G216" s="296"/>
      <c r="H216" s="296"/>
      <c r="I216" s="296"/>
      <c r="J216" s="296"/>
      <c r="K216" s="296"/>
      <c r="L216" s="296"/>
      <c r="M216" s="299"/>
      <c r="N216" s="299"/>
      <c r="O216" s="299"/>
      <c r="P216" s="299"/>
      <c r="Q216" s="299"/>
      <c r="R216" s="299"/>
      <c r="S216" s="299"/>
      <c r="T216" s="299"/>
      <c r="U216" s="299"/>
      <c r="V216" s="299"/>
      <c r="W216" s="299"/>
      <c r="X216" s="299"/>
      <c r="Y216" s="299"/>
      <c r="Z216" s="299"/>
      <c r="AA216" s="299"/>
      <c r="AB216" s="299"/>
      <c r="AC216" s="300"/>
      <c r="AD216" s="300"/>
    </row>
    <row r="217" spans="1:30" ht="12.75" customHeight="1" x14ac:dyDescent="0.2">
      <c r="A217" s="296"/>
      <c r="B217" s="296"/>
      <c r="C217" s="296"/>
      <c r="D217" s="298"/>
      <c r="E217" s="298"/>
      <c r="F217" s="296"/>
      <c r="G217" s="296"/>
      <c r="H217" s="296"/>
      <c r="I217" s="296"/>
      <c r="J217" s="296"/>
      <c r="K217" s="296"/>
      <c r="L217" s="296"/>
      <c r="M217" s="299"/>
      <c r="N217" s="299"/>
      <c r="O217" s="299"/>
      <c r="P217" s="299"/>
      <c r="Q217" s="299"/>
      <c r="R217" s="299"/>
      <c r="S217" s="299"/>
      <c r="T217" s="299"/>
      <c r="U217" s="299"/>
      <c r="V217" s="299"/>
      <c r="W217" s="299"/>
      <c r="X217" s="299"/>
      <c r="Y217" s="299"/>
      <c r="Z217" s="299"/>
      <c r="AA217" s="299"/>
      <c r="AB217" s="299"/>
      <c r="AC217" s="300"/>
      <c r="AD217" s="300"/>
    </row>
    <row r="218" spans="1:30" ht="12.75" customHeight="1" x14ac:dyDescent="0.2">
      <c r="A218" s="296"/>
      <c r="B218" s="296"/>
      <c r="C218" s="296"/>
      <c r="D218" s="298"/>
      <c r="E218" s="298"/>
      <c r="F218" s="296"/>
      <c r="G218" s="296"/>
      <c r="H218" s="296"/>
      <c r="I218" s="296"/>
      <c r="J218" s="296"/>
      <c r="K218" s="296"/>
      <c r="L218" s="296"/>
      <c r="M218" s="299"/>
      <c r="N218" s="299"/>
      <c r="O218" s="299"/>
      <c r="P218" s="299"/>
      <c r="Q218" s="299"/>
      <c r="R218" s="299"/>
      <c r="S218" s="299"/>
      <c r="T218" s="299"/>
      <c r="U218" s="299"/>
      <c r="V218" s="299"/>
      <c r="W218" s="299"/>
      <c r="X218" s="299"/>
      <c r="Y218" s="299"/>
      <c r="Z218" s="299"/>
      <c r="AA218" s="299"/>
      <c r="AB218" s="299"/>
      <c r="AC218" s="300"/>
      <c r="AD218" s="300"/>
    </row>
    <row r="219" spans="1:30" ht="12.75" customHeight="1" x14ac:dyDescent="0.2">
      <c r="A219" s="296"/>
      <c r="B219" s="296"/>
      <c r="C219" s="296"/>
      <c r="D219" s="298"/>
      <c r="E219" s="298"/>
      <c r="F219" s="296"/>
      <c r="G219" s="296"/>
      <c r="H219" s="296"/>
      <c r="I219" s="296"/>
      <c r="J219" s="296"/>
      <c r="K219" s="296"/>
      <c r="L219" s="296"/>
      <c r="M219" s="299"/>
      <c r="N219" s="299"/>
      <c r="O219" s="299"/>
      <c r="P219" s="299"/>
      <c r="Q219" s="299"/>
      <c r="R219" s="299"/>
      <c r="S219" s="299"/>
      <c r="T219" s="299"/>
      <c r="U219" s="299"/>
      <c r="V219" s="299"/>
      <c r="W219" s="299"/>
      <c r="X219" s="299"/>
      <c r="Y219" s="299"/>
      <c r="Z219" s="299"/>
      <c r="AA219" s="299"/>
      <c r="AB219" s="299"/>
      <c r="AC219" s="300"/>
      <c r="AD219" s="300"/>
    </row>
    <row r="220" spans="1:30" ht="12.75" customHeight="1" x14ac:dyDescent="0.2">
      <c r="A220" s="296"/>
      <c r="B220" s="296"/>
      <c r="C220" s="296"/>
      <c r="D220" s="298"/>
      <c r="E220" s="298"/>
      <c r="F220" s="296"/>
      <c r="G220" s="296"/>
      <c r="H220" s="296"/>
      <c r="I220" s="296"/>
      <c r="J220" s="296"/>
      <c r="K220" s="296"/>
      <c r="L220" s="296"/>
      <c r="M220" s="299"/>
      <c r="N220" s="299"/>
      <c r="O220" s="299"/>
      <c r="P220" s="299"/>
      <c r="Q220" s="299"/>
      <c r="R220" s="299"/>
      <c r="S220" s="299"/>
      <c r="T220" s="299"/>
      <c r="U220" s="299"/>
      <c r="V220" s="299"/>
      <c r="W220" s="299"/>
      <c r="X220" s="299"/>
      <c r="Y220" s="299"/>
      <c r="Z220" s="299"/>
      <c r="AA220" s="299"/>
      <c r="AB220" s="299"/>
      <c r="AC220" s="300"/>
      <c r="AD220" s="300"/>
    </row>
    <row r="221" spans="1:30" ht="12.75" customHeight="1" x14ac:dyDescent="0.2">
      <c r="A221" s="296"/>
      <c r="B221" s="296"/>
      <c r="C221" s="296"/>
      <c r="D221" s="298"/>
      <c r="E221" s="298"/>
      <c r="F221" s="296"/>
      <c r="G221" s="296"/>
      <c r="H221" s="296"/>
      <c r="I221" s="296"/>
      <c r="J221" s="296"/>
      <c r="K221" s="296"/>
      <c r="L221" s="296"/>
      <c r="M221" s="299"/>
      <c r="N221" s="299"/>
      <c r="O221" s="299"/>
      <c r="P221" s="299"/>
      <c r="Q221" s="299"/>
      <c r="R221" s="299"/>
      <c r="S221" s="299"/>
      <c r="T221" s="299"/>
      <c r="U221" s="299"/>
      <c r="V221" s="299"/>
      <c r="W221" s="299"/>
      <c r="X221" s="299"/>
      <c r="Y221" s="299"/>
      <c r="Z221" s="299"/>
      <c r="AA221" s="299"/>
      <c r="AB221" s="299"/>
      <c r="AC221" s="300"/>
      <c r="AD221" s="300"/>
    </row>
    <row r="222" spans="1:30" ht="12.75" customHeight="1" x14ac:dyDescent="0.2">
      <c r="A222" s="296"/>
      <c r="B222" s="296"/>
      <c r="C222" s="296"/>
      <c r="D222" s="298"/>
      <c r="E222" s="298"/>
      <c r="F222" s="296"/>
      <c r="G222" s="296"/>
      <c r="H222" s="296"/>
      <c r="I222" s="296"/>
      <c r="J222" s="296"/>
      <c r="K222" s="296"/>
      <c r="L222" s="296"/>
      <c r="M222" s="299"/>
      <c r="N222" s="299"/>
      <c r="O222" s="299"/>
      <c r="P222" s="299"/>
      <c r="Q222" s="299"/>
      <c r="R222" s="299"/>
      <c r="S222" s="299"/>
      <c r="T222" s="299"/>
      <c r="U222" s="299"/>
      <c r="V222" s="299"/>
      <c r="W222" s="299"/>
      <c r="X222" s="299"/>
      <c r="Y222" s="299"/>
      <c r="Z222" s="299"/>
      <c r="AA222" s="299"/>
      <c r="AB222" s="299"/>
      <c r="AC222" s="300"/>
      <c r="AD222" s="300"/>
    </row>
    <row r="223" spans="1:30" ht="12.75" customHeight="1" x14ac:dyDescent="0.2">
      <c r="A223" s="296"/>
      <c r="B223" s="296"/>
      <c r="C223" s="296"/>
      <c r="D223" s="298"/>
      <c r="E223" s="298"/>
      <c r="F223" s="296"/>
      <c r="G223" s="296"/>
      <c r="H223" s="296"/>
      <c r="I223" s="296"/>
      <c r="J223" s="296"/>
      <c r="K223" s="296"/>
      <c r="L223" s="296"/>
      <c r="M223" s="299"/>
      <c r="N223" s="299"/>
      <c r="O223" s="299"/>
      <c r="P223" s="299"/>
      <c r="Q223" s="299"/>
      <c r="R223" s="299"/>
      <c r="S223" s="299"/>
      <c r="T223" s="299"/>
      <c r="U223" s="299"/>
      <c r="V223" s="299"/>
      <c r="W223" s="299"/>
      <c r="X223" s="299"/>
      <c r="Y223" s="299"/>
      <c r="Z223" s="299"/>
      <c r="AA223" s="299"/>
      <c r="AB223" s="299"/>
      <c r="AC223" s="300"/>
      <c r="AD223" s="300"/>
    </row>
    <row r="224" spans="1:30" ht="12.75" customHeight="1" x14ac:dyDescent="0.2">
      <c r="A224" s="296"/>
      <c r="B224" s="296"/>
      <c r="C224" s="296"/>
      <c r="D224" s="298"/>
      <c r="E224" s="298"/>
      <c r="F224" s="296"/>
      <c r="G224" s="296"/>
      <c r="H224" s="296"/>
      <c r="I224" s="296"/>
      <c r="J224" s="296"/>
      <c r="K224" s="296"/>
      <c r="L224" s="296"/>
      <c r="M224" s="299"/>
      <c r="N224" s="299"/>
      <c r="O224" s="299"/>
      <c r="P224" s="299"/>
      <c r="Q224" s="299"/>
      <c r="R224" s="299"/>
      <c r="S224" s="299"/>
      <c r="T224" s="299"/>
      <c r="U224" s="299"/>
      <c r="V224" s="299"/>
      <c r="W224" s="299"/>
      <c r="X224" s="299"/>
      <c r="Y224" s="299"/>
      <c r="Z224" s="299"/>
      <c r="AA224" s="299"/>
      <c r="AB224" s="299"/>
      <c r="AC224" s="300"/>
      <c r="AD224" s="300"/>
    </row>
    <row r="225" spans="1:30" ht="12.75" customHeight="1" x14ac:dyDescent="0.2">
      <c r="A225" s="296"/>
      <c r="B225" s="296"/>
      <c r="C225" s="296"/>
      <c r="D225" s="298"/>
      <c r="E225" s="298"/>
      <c r="F225" s="296"/>
      <c r="G225" s="296"/>
      <c r="H225" s="296"/>
      <c r="I225" s="296"/>
      <c r="J225" s="296"/>
      <c r="K225" s="296"/>
      <c r="L225" s="296"/>
      <c r="M225" s="299"/>
      <c r="N225" s="299"/>
      <c r="O225" s="299"/>
      <c r="P225" s="299"/>
      <c r="Q225" s="299"/>
      <c r="R225" s="299"/>
      <c r="S225" s="299"/>
      <c r="T225" s="299"/>
      <c r="U225" s="299"/>
      <c r="V225" s="299"/>
      <c r="W225" s="299"/>
      <c r="X225" s="299"/>
      <c r="Y225" s="299"/>
      <c r="Z225" s="299"/>
      <c r="AA225" s="299"/>
      <c r="AB225" s="299"/>
      <c r="AC225" s="300"/>
      <c r="AD225" s="300"/>
    </row>
    <row r="226" spans="1:30" ht="12.75" customHeight="1" x14ac:dyDescent="0.2">
      <c r="A226" s="296"/>
      <c r="B226" s="296"/>
      <c r="C226" s="296"/>
      <c r="D226" s="298"/>
      <c r="E226" s="298"/>
      <c r="F226" s="296"/>
      <c r="G226" s="296"/>
      <c r="H226" s="296"/>
      <c r="I226" s="296"/>
      <c r="J226" s="296"/>
      <c r="K226" s="296"/>
      <c r="L226" s="296"/>
      <c r="M226" s="299"/>
      <c r="N226" s="299"/>
      <c r="O226" s="299"/>
      <c r="P226" s="299"/>
      <c r="Q226" s="299"/>
      <c r="R226" s="299"/>
      <c r="S226" s="299"/>
      <c r="T226" s="299"/>
      <c r="U226" s="299"/>
      <c r="V226" s="299"/>
      <c r="W226" s="299"/>
      <c r="X226" s="299"/>
      <c r="Y226" s="299"/>
      <c r="Z226" s="299"/>
      <c r="AA226" s="299"/>
      <c r="AB226" s="299"/>
      <c r="AC226" s="300"/>
      <c r="AD226" s="300"/>
    </row>
    <row r="227" spans="1:30" ht="12.75" customHeight="1" x14ac:dyDescent="0.2">
      <c r="A227" s="296"/>
      <c r="B227" s="296"/>
      <c r="C227" s="296"/>
      <c r="D227" s="298"/>
      <c r="E227" s="298"/>
      <c r="F227" s="296"/>
      <c r="G227" s="296"/>
      <c r="H227" s="296"/>
      <c r="I227" s="296"/>
      <c r="J227" s="296"/>
      <c r="K227" s="296"/>
      <c r="L227" s="296"/>
      <c r="M227" s="299"/>
      <c r="N227" s="299"/>
      <c r="O227" s="299"/>
      <c r="P227" s="299"/>
      <c r="Q227" s="299"/>
      <c r="R227" s="299"/>
      <c r="S227" s="299"/>
      <c r="T227" s="299"/>
      <c r="U227" s="299"/>
      <c r="V227" s="299"/>
      <c r="W227" s="299"/>
      <c r="X227" s="299"/>
      <c r="Y227" s="299"/>
      <c r="Z227" s="299"/>
      <c r="AA227" s="299"/>
      <c r="AB227" s="299"/>
      <c r="AC227" s="300"/>
      <c r="AD227" s="300"/>
    </row>
    <row r="228" spans="1:30" ht="12.75" customHeight="1" x14ac:dyDescent="0.2">
      <c r="A228" s="296"/>
      <c r="B228" s="296"/>
      <c r="C228" s="296"/>
      <c r="D228" s="298"/>
      <c r="E228" s="298"/>
      <c r="F228" s="296"/>
      <c r="G228" s="296"/>
      <c r="H228" s="296"/>
      <c r="I228" s="296"/>
      <c r="J228" s="296"/>
      <c r="K228" s="296"/>
      <c r="L228" s="296"/>
      <c r="M228" s="299"/>
      <c r="N228" s="299"/>
      <c r="O228" s="299"/>
      <c r="P228" s="299"/>
      <c r="Q228" s="299"/>
      <c r="R228" s="299"/>
      <c r="S228" s="299"/>
      <c r="T228" s="299"/>
      <c r="U228" s="299"/>
      <c r="V228" s="299"/>
      <c r="W228" s="299"/>
      <c r="X228" s="299"/>
      <c r="Y228" s="299"/>
      <c r="Z228" s="299"/>
      <c r="AA228" s="299"/>
      <c r="AB228" s="299"/>
      <c r="AC228" s="300"/>
      <c r="AD228" s="300"/>
    </row>
    <row r="229" spans="1:30" ht="12.75" customHeight="1" x14ac:dyDescent="0.2">
      <c r="A229" s="296"/>
      <c r="B229" s="296"/>
      <c r="C229" s="296"/>
      <c r="D229" s="298"/>
      <c r="E229" s="298"/>
      <c r="F229" s="296"/>
      <c r="G229" s="296"/>
      <c r="H229" s="296"/>
      <c r="I229" s="296"/>
      <c r="J229" s="296"/>
      <c r="K229" s="296"/>
      <c r="L229" s="296"/>
      <c r="M229" s="299"/>
      <c r="N229" s="299"/>
      <c r="O229" s="299"/>
      <c r="P229" s="299"/>
      <c r="Q229" s="299"/>
      <c r="R229" s="299"/>
      <c r="S229" s="299"/>
      <c r="T229" s="299"/>
      <c r="U229" s="299"/>
      <c r="V229" s="299"/>
      <c r="W229" s="299"/>
      <c r="X229" s="299"/>
      <c r="Y229" s="299"/>
      <c r="Z229" s="299"/>
      <c r="AA229" s="299"/>
      <c r="AB229" s="299"/>
      <c r="AC229" s="300"/>
      <c r="AD229" s="300"/>
    </row>
    <row r="230" spans="1:30" ht="12.75" customHeight="1" x14ac:dyDescent="0.2">
      <c r="A230" s="296"/>
      <c r="B230" s="296"/>
      <c r="C230" s="296"/>
      <c r="D230" s="298"/>
      <c r="E230" s="298"/>
      <c r="F230" s="296"/>
      <c r="G230" s="296"/>
      <c r="H230" s="296"/>
      <c r="I230" s="296"/>
      <c r="J230" s="296"/>
      <c r="K230" s="296"/>
      <c r="L230" s="296"/>
      <c r="M230" s="299"/>
      <c r="N230" s="299"/>
      <c r="O230" s="299"/>
      <c r="P230" s="299"/>
      <c r="Q230" s="299"/>
      <c r="R230" s="299"/>
      <c r="S230" s="299"/>
      <c r="T230" s="299"/>
      <c r="U230" s="299"/>
      <c r="V230" s="299"/>
      <c r="W230" s="299"/>
      <c r="X230" s="299"/>
      <c r="Y230" s="299"/>
      <c r="Z230" s="299"/>
      <c r="AA230" s="299"/>
      <c r="AB230" s="299"/>
      <c r="AC230" s="300"/>
      <c r="AD230" s="300"/>
    </row>
    <row r="231" spans="1:30" ht="12.75" customHeight="1" x14ac:dyDescent="0.2">
      <c r="A231" s="296"/>
      <c r="B231" s="296"/>
      <c r="C231" s="296"/>
      <c r="D231" s="298"/>
      <c r="E231" s="298"/>
      <c r="F231" s="296"/>
      <c r="G231" s="296"/>
      <c r="H231" s="296"/>
      <c r="I231" s="296"/>
      <c r="J231" s="296"/>
      <c r="K231" s="296"/>
      <c r="L231" s="296"/>
      <c r="M231" s="299"/>
      <c r="N231" s="299"/>
      <c r="O231" s="299"/>
      <c r="P231" s="299"/>
      <c r="Q231" s="299"/>
      <c r="R231" s="299"/>
      <c r="S231" s="299"/>
      <c r="T231" s="299"/>
      <c r="U231" s="299"/>
      <c r="V231" s="299"/>
      <c r="W231" s="299"/>
      <c r="X231" s="299"/>
      <c r="Y231" s="299"/>
      <c r="Z231" s="299"/>
      <c r="AA231" s="299"/>
      <c r="AB231" s="299"/>
      <c r="AC231" s="300"/>
      <c r="AD231" s="300"/>
    </row>
    <row r="232" spans="1:30" ht="12.75" customHeight="1" x14ac:dyDescent="0.2">
      <c r="A232" s="296"/>
      <c r="B232" s="296"/>
      <c r="C232" s="296"/>
      <c r="D232" s="298"/>
      <c r="E232" s="298"/>
      <c r="F232" s="296"/>
      <c r="G232" s="296"/>
      <c r="H232" s="296"/>
      <c r="I232" s="296"/>
      <c r="J232" s="296"/>
      <c r="K232" s="296"/>
      <c r="L232" s="296"/>
      <c r="M232" s="299"/>
      <c r="N232" s="299"/>
      <c r="O232" s="299"/>
      <c r="P232" s="299"/>
      <c r="Q232" s="299"/>
      <c r="R232" s="299"/>
      <c r="S232" s="299"/>
      <c r="T232" s="299"/>
      <c r="U232" s="299"/>
      <c r="V232" s="299"/>
      <c r="W232" s="299"/>
      <c r="X232" s="299"/>
      <c r="Y232" s="299"/>
      <c r="Z232" s="299"/>
      <c r="AA232" s="299"/>
      <c r="AB232" s="299"/>
      <c r="AC232" s="300"/>
      <c r="AD232" s="300"/>
    </row>
    <row r="233" spans="1:30" ht="12.75" customHeight="1" x14ac:dyDescent="0.2">
      <c r="A233" s="296"/>
      <c r="B233" s="296"/>
      <c r="C233" s="296"/>
      <c r="D233" s="298"/>
      <c r="E233" s="298"/>
      <c r="F233" s="296"/>
      <c r="G233" s="296"/>
      <c r="H233" s="296"/>
      <c r="I233" s="296"/>
      <c r="J233" s="296"/>
      <c r="K233" s="296"/>
      <c r="L233" s="296"/>
      <c r="M233" s="299"/>
      <c r="N233" s="299"/>
      <c r="O233" s="299"/>
      <c r="P233" s="299"/>
      <c r="Q233" s="299"/>
      <c r="R233" s="299"/>
      <c r="S233" s="299"/>
      <c r="T233" s="299"/>
      <c r="U233" s="299"/>
      <c r="V233" s="299"/>
      <c r="W233" s="299"/>
      <c r="X233" s="299"/>
      <c r="Y233" s="299"/>
      <c r="Z233" s="299"/>
      <c r="AA233" s="299"/>
      <c r="AB233" s="299"/>
      <c r="AC233" s="300"/>
      <c r="AD233" s="300"/>
    </row>
    <row r="234" spans="1:30" ht="12.75" customHeight="1" x14ac:dyDescent="0.2">
      <c r="A234" s="296"/>
      <c r="B234" s="296"/>
      <c r="C234" s="296"/>
      <c r="D234" s="298"/>
      <c r="E234" s="298"/>
      <c r="F234" s="296"/>
      <c r="G234" s="296"/>
      <c r="H234" s="296"/>
      <c r="I234" s="296"/>
      <c r="J234" s="296"/>
      <c r="K234" s="296"/>
      <c r="L234" s="296"/>
      <c r="M234" s="299"/>
      <c r="N234" s="299"/>
      <c r="O234" s="299"/>
      <c r="P234" s="299"/>
      <c r="Q234" s="299"/>
      <c r="R234" s="299"/>
      <c r="S234" s="299"/>
      <c r="T234" s="299"/>
      <c r="U234" s="299"/>
      <c r="V234" s="299"/>
      <c r="W234" s="299"/>
      <c r="X234" s="299"/>
      <c r="Y234" s="299"/>
      <c r="Z234" s="299"/>
      <c r="AA234" s="299"/>
      <c r="AB234" s="299"/>
      <c r="AC234" s="300"/>
      <c r="AD234" s="300"/>
    </row>
    <row r="235" spans="1:30" ht="12.75" customHeight="1" x14ac:dyDescent="0.2">
      <c r="A235" s="296"/>
      <c r="B235" s="296"/>
      <c r="C235" s="296"/>
      <c r="D235" s="298"/>
      <c r="E235" s="298"/>
      <c r="F235" s="296"/>
      <c r="G235" s="296"/>
      <c r="H235" s="296"/>
      <c r="I235" s="296"/>
      <c r="J235" s="296"/>
      <c r="K235" s="296"/>
      <c r="L235" s="296"/>
      <c r="M235" s="299"/>
      <c r="N235" s="299"/>
      <c r="O235" s="299"/>
      <c r="P235" s="299"/>
      <c r="Q235" s="299"/>
      <c r="R235" s="299"/>
      <c r="S235" s="299"/>
      <c r="T235" s="299"/>
      <c r="U235" s="299"/>
      <c r="V235" s="299"/>
      <c r="W235" s="299"/>
      <c r="X235" s="299"/>
      <c r="Y235" s="299"/>
      <c r="Z235" s="299"/>
      <c r="AA235" s="299"/>
      <c r="AB235" s="299"/>
      <c r="AC235" s="300"/>
      <c r="AD235" s="300"/>
    </row>
    <row r="236" spans="1:30" ht="12.75" customHeight="1" x14ac:dyDescent="0.2">
      <c r="A236" s="296"/>
      <c r="B236" s="296"/>
      <c r="C236" s="296"/>
      <c r="D236" s="298"/>
      <c r="E236" s="298"/>
      <c r="F236" s="296"/>
      <c r="G236" s="296"/>
      <c r="H236" s="296"/>
      <c r="I236" s="296"/>
      <c r="J236" s="296"/>
      <c r="K236" s="296"/>
      <c r="L236" s="296"/>
      <c r="M236" s="299"/>
      <c r="N236" s="299"/>
      <c r="O236" s="299"/>
      <c r="P236" s="299"/>
      <c r="Q236" s="299"/>
      <c r="R236" s="299"/>
      <c r="S236" s="299"/>
      <c r="T236" s="299"/>
      <c r="U236" s="299"/>
      <c r="V236" s="299"/>
      <c r="W236" s="299"/>
      <c r="X236" s="299"/>
      <c r="Y236" s="299"/>
      <c r="Z236" s="299"/>
      <c r="AA236" s="299"/>
      <c r="AB236" s="299"/>
      <c r="AC236" s="300"/>
      <c r="AD236" s="300"/>
    </row>
    <row r="237" spans="1:30" ht="12.75" customHeight="1" x14ac:dyDescent="0.2">
      <c r="A237" s="296"/>
      <c r="B237" s="296"/>
      <c r="C237" s="296"/>
      <c r="D237" s="298"/>
      <c r="E237" s="298"/>
      <c r="F237" s="296"/>
      <c r="G237" s="296"/>
      <c r="H237" s="296"/>
      <c r="I237" s="296"/>
      <c r="J237" s="296"/>
      <c r="K237" s="296"/>
      <c r="L237" s="296"/>
      <c r="M237" s="299"/>
      <c r="N237" s="299"/>
      <c r="O237" s="299"/>
      <c r="P237" s="299"/>
      <c r="Q237" s="299"/>
      <c r="R237" s="299"/>
      <c r="S237" s="299"/>
      <c r="T237" s="299"/>
      <c r="U237" s="299"/>
      <c r="V237" s="299"/>
      <c r="W237" s="299"/>
      <c r="X237" s="299"/>
      <c r="Y237" s="299"/>
      <c r="Z237" s="299"/>
      <c r="AA237" s="299"/>
      <c r="AB237" s="299"/>
      <c r="AC237" s="300"/>
      <c r="AD237" s="300"/>
    </row>
    <row r="238" spans="1:30" ht="12.75" customHeight="1" x14ac:dyDescent="0.2">
      <c r="A238" s="296"/>
      <c r="B238" s="296"/>
      <c r="C238" s="296"/>
      <c r="D238" s="298"/>
      <c r="E238" s="298"/>
      <c r="F238" s="296"/>
      <c r="G238" s="296"/>
      <c r="H238" s="296"/>
      <c r="I238" s="296"/>
      <c r="J238" s="296"/>
      <c r="K238" s="296"/>
      <c r="L238" s="296"/>
      <c r="M238" s="299"/>
      <c r="N238" s="299"/>
      <c r="O238" s="299"/>
      <c r="P238" s="299"/>
      <c r="Q238" s="299"/>
      <c r="R238" s="299"/>
      <c r="S238" s="299"/>
      <c r="T238" s="299"/>
      <c r="U238" s="299"/>
      <c r="V238" s="299"/>
      <c r="W238" s="299"/>
      <c r="X238" s="299"/>
      <c r="Y238" s="299"/>
      <c r="Z238" s="299"/>
      <c r="AA238" s="299"/>
      <c r="AB238" s="299"/>
      <c r="AC238" s="300"/>
      <c r="AD238" s="300"/>
    </row>
    <row r="239" spans="1:30" ht="12.75" customHeight="1" x14ac:dyDescent="0.2">
      <c r="A239" s="296"/>
      <c r="B239" s="296"/>
      <c r="C239" s="296"/>
      <c r="D239" s="298"/>
      <c r="E239" s="298"/>
      <c r="F239" s="296"/>
      <c r="G239" s="296"/>
      <c r="H239" s="296"/>
      <c r="I239" s="296"/>
      <c r="J239" s="296"/>
      <c r="K239" s="296"/>
      <c r="L239" s="296"/>
      <c r="M239" s="299"/>
      <c r="N239" s="299"/>
      <c r="O239" s="299"/>
      <c r="P239" s="299"/>
      <c r="Q239" s="299"/>
      <c r="R239" s="299"/>
      <c r="S239" s="299"/>
      <c r="T239" s="299"/>
      <c r="U239" s="299"/>
      <c r="V239" s="299"/>
      <c r="W239" s="299"/>
      <c r="X239" s="299"/>
      <c r="Y239" s="299"/>
      <c r="Z239" s="299"/>
      <c r="AA239" s="299"/>
      <c r="AB239" s="299"/>
      <c r="AC239" s="300"/>
      <c r="AD239" s="300"/>
    </row>
    <row r="240" spans="1:30" ht="12.75" customHeight="1" x14ac:dyDescent="0.2">
      <c r="A240" s="296"/>
      <c r="B240" s="296"/>
      <c r="C240" s="296"/>
      <c r="D240" s="298"/>
      <c r="E240" s="298"/>
      <c r="F240" s="296"/>
      <c r="G240" s="296"/>
      <c r="H240" s="296"/>
      <c r="I240" s="296"/>
      <c r="J240" s="296"/>
      <c r="K240" s="296"/>
      <c r="L240" s="296"/>
      <c r="M240" s="299"/>
      <c r="N240" s="299"/>
      <c r="O240" s="299"/>
      <c r="P240" s="299"/>
      <c r="Q240" s="299"/>
      <c r="R240" s="299"/>
      <c r="S240" s="299"/>
      <c r="T240" s="299"/>
      <c r="U240" s="299"/>
      <c r="V240" s="299"/>
      <c r="W240" s="299"/>
      <c r="X240" s="299"/>
      <c r="Y240" s="299"/>
      <c r="Z240" s="299"/>
      <c r="AA240" s="299"/>
      <c r="AB240" s="299"/>
      <c r="AC240" s="300"/>
      <c r="AD240" s="300"/>
    </row>
    <row r="241" spans="1:30" ht="12.75" customHeight="1" x14ac:dyDescent="0.2">
      <c r="A241" s="296"/>
      <c r="B241" s="296"/>
      <c r="C241" s="296"/>
      <c r="D241" s="298"/>
      <c r="E241" s="298"/>
      <c r="F241" s="296"/>
      <c r="G241" s="296"/>
      <c r="H241" s="296"/>
      <c r="I241" s="296"/>
      <c r="J241" s="296"/>
      <c r="K241" s="296"/>
      <c r="L241" s="296"/>
      <c r="M241" s="299"/>
      <c r="N241" s="299"/>
      <c r="O241" s="299"/>
      <c r="P241" s="299"/>
      <c r="Q241" s="299"/>
      <c r="R241" s="299"/>
      <c r="S241" s="299"/>
      <c r="T241" s="299"/>
      <c r="U241" s="299"/>
      <c r="V241" s="299"/>
      <c r="W241" s="299"/>
      <c r="X241" s="299"/>
      <c r="Y241" s="299"/>
      <c r="Z241" s="299"/>
      <c r="AA241" s="299"/>
      <c r="AB241" s="299"/>
      <c r="AC241" s="300"/>
      <c r="AD241" s="300"/>
    </row>
    <row r="242" spans="1:30" ht="12.75" customHeight="1" x14ac:dyDescent="0.2">
      <c r="A242" s="296"/>
      <c r="B242" s="296"/>
      <c r="C242" s="296"/>
      <c r="D242" s="298"/>
      <c r="E242" s="298"/>
      <c r="F242" s="296"/>
      <c r="G242" s="296"/>
      <c r="H242" s="296"/>
      <c r="I242" s="296"/>
      <c r="J242" s="296"/>
      <c r="K242" s="296"/>
      <c r="L242" s="296"/>
      <c r="M242" s="299"/>
      <c r="N242" s="299"/>
      <c r="O242" s="299"/>
      <c r="P242" s="299"/>
      <c r="Q242" s="299"/>
      <c r="R242" s="299"/>
      <c r="S242" s="299"/>
      <c r="T242" s="299"/>
      <c r="U242" s="299"/>
      <c r="V242" s="299"/>
      <c r="W242" s="299"/>
      <c r="X242" s="299"/>
      <c r="Y242" s="299"/>
      <c r="Z242" s="299"/>
      <c r="AA242" s="299"/>
      <c r="AB242" s="299"/>
      <c r="AC242" s="300"/>
      <c r="AD242" s="300"/>
    </row>
    <row r="243" spans="1:30" ht="12.75" customHeight="1" x14ac:dyDescent="0.2">
      <c r="A243" s="296"/>
      <c r="B243" s="296"/>
      <c r="C243" s="296"/>
      <c r="D243" s="298"/>
      <c r="E243" s="298"/>
      <c r="F243" s="296"/>
      <c r="G243" s="296"/>
      <c r="H243" s="296"/>
      <c r="I243" s="296"/>
      <c r="J243" s="296"/>
      <c r="K243" s="296"/>
      <c r="L243" s="296"/>
      <c r="M243" s="299"/>
      <c r="N243" s="299"/>
      <c r="O243" s="299"/>
      <c r="P243" s="299"/>
      <c r="Q243" s="299"/>
      <c r="R243" s="299"/>
      <c r="S243" s="299"/>
      <c r="T243" s="299"/>
      <c r="U243" s="299"/>
      <c r="V243" s="299"/>
      <c r="W243" s="299"/>
      <c r="X243" s="299"/>
      <c r="Y243" s="299"/>
      <c r="Z243" s="299"/>
      <c r="AA243" s="299"/>
      <c r="AB243" s="299"/>
      <c r="AC243" s="300"/>
      <c r="AD243" s="300"/>
    </row>
    <row r="244" spans="1:30" ht="12.75" customHeight="1" x14ac:dyDescent="0.2">
      <c r="A244" s="296"/>
      <c r="B244" s="296"/>
      <c r="C244" s="296"/>
      <c r="D244" s="298"/>
      <c r="E244" s="298"/>
      <c r="F244" s="296"/>
      <c r="G244" s="296"/>
      <c r="H244" s="296"/>
      <c r="I244" s="296"/>
      <c r="J244" s="296"/>
      <c r="K244" s="296"/>
      <c r="L244" s="296"/>
      <c r="M244" s="299"/>
      <c r="N244" s="299"/>
      <c r="O244" s="299"/>
      <c r="P244" s="299"/>
      <c r="Q244" s="299"/>
      <c r="R244" s="299"/>
      <c r="S244" s="299"/>
      <c r="T244" s="299"/>
      <c r="U244" s="299"/>
      <c r="V244" s="299"/>
      <c r="W244" s="299"/>
      <c r="X244" s="299"/>
      <c r="Y244" s="299"/>
      <c r="Z244" s="299"/>
      <c r="AA244" s="299"/>
      <c r="AB244" s="299"/>
      <c r="AC244" s="300"/>
      <c r="AD244" s="300"/>
    </row>
    <row r="245" spans="1:30" ht="12.75" customHeight="1" x14ac:dyDescent="0.2">
      <c r="A245" s="296"/>
      <c r="B245" s="296"/>
      <c r="C245" s="296"/>
      <c r="D245" s="298"/>
      <c r="E245" s="298"/>
      <c r="F245" s="296"/>
      <c r="G245" s="296"/>
      <c r="H245" s="296"/>
      <c r="I245" s="296"/>
      <c r="J245" s="296"/>
      <c r="K245" s="296"/>
      <c r="L245" s="296"/>
      <c r="M245" s="299"/>
      <c r="N245" s="299"/>
      <c r="O245" s="299"/>
      <c r="P245" s="299"/>
      <c r="Q245" s="299"/>
      <c r="R245" s="299"/>
      <c r="S245" s="299"/>
      <c r="T245" s="299"/>
      <c r="U245" s="299"/>
      <c r="V245" s="299"/>
      <c r="W245" s="299"/>
      <c r="X245" s="299"/>
      <c r="Y245" s="299"/>
      <c r="Z245" s="299"/>
      <c r="AA245" s="299"/>
      <c r="AB245" s="299"/>
      <c r="AC245" s="300"/>
      <c r="AD245" s="300"/>
    </row>
    <row r="246" spans="1:30" ht="12.75" customHeight="1" x14ac:dyDescent="0.2">
      <c r="A246" s="296"/>
      <c r="B246" s="296"/>
      <c r="C246" s="296"/>
      <c r="D246" s="298"/>
      <c r="E246" s="298"/>
      <c r="F246" s="296"/>
      <c r="G246" s="296"/>
      <c r="H246" s="296"/>
      <c r="I246" s="296"/>
      <c r="J246" s="296"/>
      <c r="K246" s="296"/>
      <c r="L246" s="296"/>
      <c r="M246" s="299"/>
      <c r="N246" s="299"/>
      <c r="O246" s="299"/>
      <c r="P246" s="299"/>
      <c r="Q246" s="299"/>
      <c r="R246" s="299"/>
      <c r="S246" s="299"/>
      <c r="T246" s="299"/>
      <c r="U246" s="299"/>
      <c r="V246" s="299"/>
      <c r="W246" s="299"/>
      <c r="X246" s="299"/>
      <c r="Y246" s="299"/>
      <c r="Z246" s="299"/>
      <c r="AA246" s="299"/>
      <c r="AB246" s="299"/>
      <c r="AC246" s="300"/>
      <c r="AD246" s="300"/>
    </row>
    <row r="247" spans="1:30" ht="12.75" customHeight="1" x14ac:dyDescent="0.2">
      <c r="A247" s="296"/>
      <c r="B247" s="296"/>
      <c r="C247" s="296"/>
      <c r="D247" s="298"/>
      <c r="E247" s="298"/>
      <c r="F247" s="296"/>
      <c r="G247" s="296"/>
      <c r="H247" s="296"/>
      <c r="I247" s="296"/>
      <c r="J247" s="296"/>
      <c r="K247" s="296"/>
      <c r="L247" s="296"/>
      <c r="M247" s="299"/>
      <c r="N247" s="299"/>
      <c r="O247" s="299"/>
      <c r="P247" s="299"/>
      <c r="Q247" s="299"/>
      <c r="R247" s="299"/>
      <c r="S247" s="299"/>
      <c r="T247" s="299"/>
      <c r="U247" s="299"/>
      <c r="V247" s="299"/>
      <c r="W247" s="299"/>
      <c r="X247" s="299"/>
      <c r="Y247" s="299"/>
      <c r="Z247" s="299"/>
      <c r="AA247" s="299"/>
      <c r="AB247" s="299"/>
      <c r="AC247" s="300"/>
      <c r="AD247" s="300"/>
    </row>
    <row r="248" spans="1:30" ht="12.75" customHeight="1" x14ac:dyDescent="0.2">
      <c r="A248" s="296"/>
      <c r="B248" s="296"/>
      <c r="C248" s="296"/>
      <c r="D248" s="298"/>
      <c r="E248" s="298"/>
      <c r="F248" s="296"/>
      <c r="G248" s="296"/>
      <c r="H248" s="296"/>
      <c r="I248" s="296"/>
      <c r="J248" s="296"/>
      <c r="K248" s="296"/>
      <c r="L248" s="296"/>
      <c r="M248" s="299"/>
      <c r="N248" s="299"/>
      <c r="O248" s="299"/>
      <c r="P248" s="299"/>
      <c r="Q248" s="299"/>
      <c r="R248" s="299"/>
      <c r="S248" s="299"/>
      <c r="T248" s="299"/>
      <c r="U248" s="299"/>
      <c r="V248" s="299"/>
      <c r="W248" s="299"/>
      <c r="X248" s="299"/>
      <c r="Y248" s="299"/>
      <c r="Z248" s="299"/>
      <c r="AA248" s="299"/>
      <c r="AB248" s="299"/>
      <c r="AC248" s="300"/>
      <c r="AD248" s="300"/>
    </row>
    <row r="249" spans="1:30" ht="12.75" customHeight="1" x14ac:dyDescent="0.2">
      <c r="A249" s="296"/>
      <c r="B249" s="296"/>
      <c r="C249" s="296"/>
      <c r="D249" s="298"/>
      <c r="E249" s="298"/>
      <c r="F249" s="296"/>
      <c r="G249" s="296"/>
      <c r="H249" s="296"/>
      <c r="I249" s="296"/>
      <c r="J249" s="296"/>
      <c r="K249" s="296"/>
      <c r="L249" s="296"/>
      <c r="M249" s="299"/>
      <c r="N249" s="299"/>
      <c r="O249" s="299"/>
      <c r="P249" s="299"/>
      <c r="Q249" s="299"/>
      <c r="R249" s="299"/>
      <c r="S249" s="299"/>
      <c r="T249" s="299"/>
      <c r="U249" s="299"/>
      <c r="V249" s="299"/>
      <c r="W249" s="299"/>
      <c r="X249" s="299"/>
      <c r="Y249" s="299"/>
      <c r="Z249" s="299"/>
      <c r="AA249" s="299"/>
      <c r="AB249" s="299"/>
      <c r="AC249" s="300"/>
      <c r="AD249" s="300"/>
    </row>
    <row r="250" spans="1:30" ht="12.75" customHeight="1" x14ac:dyDescent="0.2">
      <c r="A250" s="296"/>
      <c r="B250" s="296"/>
      <c r="C250" s="296"/>
      <c r="D250" s="298"/>
      <c r="E250" s="298"/>
      <c r="F250" s="296"/>
      <c r="G250" s="296"/>
      <c r="H250" s="296"/>
      <c r="I250" s="296"/>
      <c r="J250" s="296"/>
      <c r="K250" s="296"/>
      <c r="L250" s="296"/>
      <c r="M250" s="299"/>
      <c r="N250" s="299"/>
      <c r="O250" s="299"/>
      <c r="P250" s="299"/>
      <c r="Q250" s="299"/>
      <c r="R250" s="299"/>
      <c r="S250" s="299"/>
      <c r="T250" s="299"/>
      <c r="U250" s="299"/>
      <c r="V250" s="299"/>
      <c r="W250" s="299"/>
      <c r="X250" s="299"/>
      <c r="Y250" s="299"/>
      <c r="Z250" s="299"/>
      <c r="AA250" s="299"/>
      <c r="AB250" s="299"/>
      <c r="AC250" s="300"/>
      <c r="AD250" s="300"/>
    </row>
    <row r="251" spans="1:30" ht="12.75" customHeight="1" x14ac:dyDescent="0.2">
      <c r="A251" s="296"/>
      <c r="B251" s="296"/>
      <c r="C251" s="296"/>
      <c r="D251" s="298"/>
      <c r="E251" s="298"/>
      <c r="F251" s="296"/>
      <c r="G251" s="296"/>
      <c r="H251" s="296"/>
      <c r="I251" s="296"/>
      <c r="J251" s="296"/>
      <c r="K251" s="296"/>
      <c r="L251" s="296"/>
      <c r="M251" s="299"/>
      <c r="N251" s="299"/>
      <c r="O251" s="299"/>
      <c r="P251" s="299"/>
      <c r="Q251" s="299"/>
      <c r="R251" s="299"/>
      <c r="S251" s="299"/>
      <c r="T251" s="299"/>
      <c r="U251" s="299"/>
      <c r="V251" s="299"/>
      <c r="W251" s="299"/>
      <c r="X251" s="299"/>
      <c r="Y251" s="299"/>
      <c r="Z251" s="299"/>
      <c r="AA251" s="299"/>
      <c r="AB251" s="299"/>
      <c r="AC251" s="300"/>
      <c r="AD251" s="300"/>
    </row>
    <row r="252" spans="1:30" ht="12.75" customHeight="1" x14ac:dyDescent="0.2">
      <c r="A252" s="296"/>
      <c r="B252" s="296"/>
      <c r="C252" s="296"/>
      <c r="D252" s="298"/>
      <c r="E252" s="298"/>
      <c r="F252" s="296"/>
      <c r="G252" s="296"/>
      <c r="H252" s="296"/>
      <c r="I252" s="296"/>
      <c r="J252" s="296"/>
      <c r="K252" s="296"/>
      <c r="L252" s="296"/>
      <c r="M252" s="299"/>
      <c r="N252" s="299"/>
      <c r="O252" s="299"/>
      <c r="P252" s="299"/>
      <c r="Q252" s="299"/>
      <c r="R252" s="299"/>
      <c r="S252" s="299"/>
      <c r="T252" s="299"/>
      <c r="U252" s="299"/>
      <c r="V252" s="299"/>
      <c r="W252" s="299"/>
      <c r="X252" s="299"/>
      <c r="Y252" s="299"/>
      <c r="Z252" s="299"/>
      <c r="AA252" s="299"/>
      <c r="AB252" s="299"/>
      <c r="AC252" s="300"/>
      <c r="AD252" s="300"/>
    </row>
    <row r="253" spans="1:30" ht="12.75" customHeight="1" x14ac:dyDescent="0.2">
      <c r="A253" s="296"/>
      <c r="B253" s="296"/>
      <c r="C253" s="296"/>
      <c r="D253" s="298"/>
      <c r="E253" s="298"/>
      <c r="F253" s="296"/>
      <c r="G253" s="296"/>
      <c r="H253" s="296"/>
      <c r="I253" s="296"/>
      <c r="J253" s="296"/>
      <c r="K253" s="296"/>
      <c r="L253" s="296"/>
      <c r="M253" s="299"/>
      <c r="N253" s="299"/>
      <c r="O253" s="299"/>
      <c r="P253" s="299"/>
      <c r="Q253" s="299"/>
      <c r="R253" s="299"/>
      <c r="S253" s="299"/>
      <c r="T253" s="299"/>
      <c r="U253" s="299"/>
      <c r="V253" s="299"/>
      <c r="W253" s="299"/>
      <c r="X253" s="299"/>
      <c r="Y253" s="299"/>
      <c r="Z253" s="299"/>
      <c r="AA253" s="299"/>
      <c r="AB253" s="299"/>
      <c r="AC253" s="300"/>
      <c r="AD253" s="300"/>
    </row>
    <row r="254" spans="1:30" ht="12.75" customHeight="1" x14ac:dyDescent="0.2">
      <c r="A254" s="296"/>
      <c r="B254" s="296"/>
      <c r="C254" s="296"/>
      <c r="D254" s="298"/>
      <c r="E254" s="298"/>
      <c r="F254" s="296"/>
      <c r="G254" s="296"/>
      <c r="H254" s="296"/>
      <c r="I254" s="296"/>
      <c r="J254" s="296"/>
      <c r="K254" s="296"/>
      <c r="L254" s="296"/>
      <c r="M254" s="299"/>
      <c r="N254" s="299"/>
      <c r="O254" s="299"/>
      <c r="P254" s="299"/>
      <c r="Q254" s="299"/>
      <c r="R254" s="299"/>
      <c r="S254" s="299"/>
      <c r="T254" s="299"/>
      <c r="U254" s="299"/>
      <c r="V254" s="299"/>
      <c r="W254" s="299"/>
      <c r="X254" s="299"/>
      <c r="Y254" s="299"/>
      <c r="Z254" s="299"/>
      <c r="AA254" s="299"/>
      <c r="AB254" s="299"/>
      <c r="AC254" s="300"/>
      <c r="AD254" s="300"/>
    </row>
    <row r="255" spans="1:30" ht="12.75" customHeight="1" x14ac:dyDescent="0.2">
      <c r="A255" s="296"/>
      <c r="B255" s="296"/>
      <c r="C255" s="296"/>
      <c r="D255" s="298"/>
      <c r="E255" s="298"/>
      <c r="F255" s="296"/>
      <c r="G255" s="296"/>
      <c r="H255" s="296"/>
      <c r="I255" s="296"/>
      <c r="J255" s="296"/>
      <c r="K255" s="296"/>
      <c r="L255" s="296"/>
      <c r="M255" s="299"/>
      <c r="N255" s="299"/>
      <c r="O255" s="299"/>
      <c r="P255" s="299"/>
      <c r="Q255" s="299"/>
      <c r="R255" s="299"/>
      <c r="S255" s="299"/>
      <c r="T255" s="299"/>
      <c r="U255" s="299"/>
      <c r="V255" s="299"/>
      <c r="W255" s="299"/>
      <c r="X255" s="299"/>
      <c r="Y255" s="299"/>
      <c r="Z255" s="299"/>
      <c r="AA255" s="299"/>
      <c r="AB255" s="299"/>
      <c r="AC255" s="300"/>
      <c r="AD255" s="300"/>
    </row>
    <row r="256" spans="1:30" ht="12.75" customHeight="1" x14ac:dyDescent="0.2">
      <c r="A256" s="296"/>
      <c r="B256" s="296"/>
      <c r="C256" s="296"/>
      <c r="D256" s="298"/>
      <c r="E256" s="298"/>
      <c r="F256" s="296"/>
      <c r="G256" s="296"/>
      <c r="H256" s="296"/>
      <c r="I256" s="296"/>
      <c r="J256" s="296"/>
      <c r="K256" s="296"/>
      <c r="L256" s="296"/>
      <c r="M256" s="299"/>
      <c r="N256" s="299"/>
      <c r="O256" s="299"/>
      <c r="P256" s="299"/>
      <c r="Q256" s="299"/>
      <c r="R256" s="299"/>
      <c r="S256" s="299"/>
      <c r="T256" s="299"/>
      <c r="U256" s="299"/>
      <c r="V256" s="299"/>
      <c r="W256" s="299"/>
      <c r="X256" s="299"/>
      <c r="Y256" s="299"/>
      <c r="Z256" s="299"/>
      <c r="AA256" s="299"/>
      <c r="AB256" s="299"/>
      <c r="AC256" s="300"/>
      <c r="AD256" s="300"/>
    </row>
    <row r="257" spans="1:30" ht="12.75" customHeight="1" x14ac:dyDescent="0.2">
      <c r="A257" s="296"/>
      <c r="B257" s="296"/>
      <c r="C257" s="296"/>
      <c r="D257" s="298"/>
      <c r="E257" s="298"/>
      <c r="F257" s="296"/>
      <c r="G257" s="296"/>
      <c r="H257" s="296"/>
      <c r="I257" s="296"/>
      <c r="J257" s="296"/>
      <c r="K257" s="296"/>
      <c r="L257" s="296"/>
      <c r="M257" s="299"/>
      <c r="N257" s="299"/>
      <c r="O257" s="299"/>
      <c r="P257" s="299"/>
      <c r="Q257" s="299"/>
      <c r="R257" s="299"/>
      <c r="S257" s="299"/>
      <c r="T257" s="299"/>
      <c r="U257" s="299"/>
      <c r="V257" s="299"/>
      <c r="W257" s="299"/>
      <c r="X257" s="299"/>
      <c r="Y257" s="299"/>
      <c r="Z257" s="299"/>
      <c r="AA257" s="299"/>
      <c r="AB257" s="299"/>
      <c r="AC257" s="300"/>
      <c r="AD257" s="300"/>
    </row>
    <row r="258" spans="1:30" ht="12.75" customHeight="1" x14ac:dyDescent="0.2">
      <c r="A258" s="296"/>
      <c r="B258" s="296"/>
      <c r="C258" s="296"/>
      <c r="D258" s="298"/>
      <c r="E258" s="298"/>
      <c r="F258" s="296"/>
      <c r="G258" s="296"/>
      <c r="H258" s="296"/>
      <c r="I258" s="296"/>
      <c r="J258" s="296"/>
      <c r="K258" s="296"/>
      <c r="L258" s="296"/>
      <c r="M258" s="299"/>
      <c r="N258" s="299"/>
      <c r="O258" s="299"/>
      <c r="P258" s="299"/>
      <c r="Q258" s="299"/>
      <c r="R258" s="299"/>
      <c r="S258" s="299"/>
      <c r="T258" s="299"/>
      <c r="U258" s="299"/>
      <c r="V258" s="299"/>
      <c r="W258" s="299"/>
      <c r="X258" s="299"/>
      <c r="Y258" s="299"/>
      <c r="Z258" s="299"/>
      <c r="AA258" s="299"/>
      <c r="AB258" s="299"/>
      <c r="AC258" s="300"/>
      <c r="AD258" s="300"/>
    </row>
    <row r="259" spans="1:30" ht="12.75" customHeight="1" x14ac:dyDescent="0.2">
      <c r="A259" s="296"/>
      <c r="B259" s="296"/>
      <c r="C259" s="296"/>
      <c r="D259" s="298"/>
      <c r="E259" s="298"/>
      <c r="F259" s="296"/>
      <c r="G259" s="296"/>
      <c r="H259" s="296"/>
      <c r="I259" s="296"/>
      <c r="J259" s="296"/>
      <c r="K259" s="296"/>
      <c r="L259" s="296"/>
      <c r="M259" s="299"/>
      <c r="N259" s="299"/>
      <c r="O259" s="299"/>
      <c r="P259" s="299"/>
      <c r="Q259" s="299"/>
      <c r="R259" s="299"/>
      <c r="S259" s="299"/>
      <c r="T259" s="299"/>
      <c r="U259" s="299"/>
      <c r="V259" s="299"/>
      <c r="W259" s="299"/>
      <c r="X259" s="299"/>
      <c r="Y259" s="299"/>
      <c r="Z259" s="299"/>
      <c r="AA259" s="299"/>
      <c r="AB259" s="299"/>
      <c r="AC259" s="300"/>
      <c r="AD259" s="300"/>
    </row>
    <row r="260" spans="1:30" ht="12.75" customHeight="1" x14ac:dyDescent="0.2">
      <c r="A260" s="296"/>
      <c r="B260" s="296"/>
      <c r="C260" s="296"/>
      <c r="D260" s="298"/>
      <c r="E260" s="298"/>
      <c r="F260" s="296"/>
      <c r="G260" s="296"/>
      <c r="H260" s="296"/>
      <c r="I260" s="296"/>
      <c r="J260" s="296"/>
      <c r="K260" s="296"/>
      <c r="L260" s="296"/>
      <c r="M260" s="299"/>
      <c r="N260" s="299"/>
      <c r="O260" s="299"/>
      <c r="P260" s="299"/>
      <c r="Q260" s="299"/>
      <c r="R260" s="299"/>
      <c r="S260" s="299"/>
      <c r="T260" s="299"/>
      <c r="U260" s="299"/>
      <c r="V260" s="299"/>
      <c r="W260" s="299"/>
      <c r="X260" s="299"/>
      <c r="Y260" s="299"/>
      <c r="Z260" s="299"/>
      <c r="AA260" s="299"/>
      <c r="AB260" s="299"/>
      <c r="AC260" s="300"/>
      <c r="AD260" s="300"/>
    </row>
    <row r="261" spans="1:30" ht="12.75" customHeight="1" x14ac:dyDescent="0.2">
      <c r="A261" s="296"/>
      <c r="B261" s="296"/>
      <c r="C261" s="296"/>
      <c r="D261" s="298"/>
      <c r="E261" s="298"/>
      <c r="F261" s="296"/>
      <c r="G261" s="296"/>
      <c r="H261" s="296"/>
      <c r="I261" s="296"/>
      <c r="J261" s="296"/>
      <c r="K261" s="296"/>
      <c r="L261" s="296"/>
      <c r="M261" s="299"/>
      <c r="N261" s="299"/>
      <c r="O261" s="299"/>
      <c r="P261" s="299"/>
      <c r="Q261" s="299"/>
      <c r="R261" s="299"/>
      <c r="S261" s="299"/>
      <c r="T261" s="299"/>
      <c r="U261" s="299"/>
      <c r="V261" s="299"/>
      <c r="W261" s="299"/>
      <c r="X261" s="299"/>
      <c r="Y261" s="299"/>
      <c r="Z261" s="299"/>
      <c r="AA261" s="299"/>
      <c r="AB261" s="299"/>
      <c r="AC261" s="300"/>
      <c r="AD261" s="300"/>
    </row>
    <row r="262" spans="1:30" ht="12.75" customHeight="1" x14ac:dyDescent="0.2">
      <c r="A262" s="296"/>
      <c r="B262" s="296"/>
      <c r="C262" s="296"/>
      <c r="D262" s="298"/>
      <c r="E262" s="298"/>
      <c r="F262" s="296"/>
      <c r="G262" s="296"/>
      <c r="H262" s="296"/>
      <c r="I262" s="296"/>
      <c r="J262" s="296"/>
      <c r="K262" s="296"/>
      <c r="L262" s="296"/>
      <c r="M262" s="299"/>
      <c r="N262" s="299"/>
      <c r="O262" s="299"/>
      <c r="P262" s="299"/>
      <c r="Q262" s="299"/>
      <c r="R262" s="299"/>
      <c r="S262" s="299"/>
      <c r="T262" s="299"/>
      <c r="U262" s="299"/>
      <c r="V262" s="299"/>
      <c r="W262" s="299"/>
      <c r="X262" s="299"/>
      <c r="Y262" s="299"/>
      <c r="Z262" s="299"/>
      <c r="AA262" s="299"/>
      <c r="AB262" s="299"/>
      <c r="AC262" s="300"/>
      <c r="AD262" s="300"/>
    </row>
    <row r="263" spans="1:30" ht="12.75" customHeight="1" x14ac:dyDescent="0.2">
      <c r="A263" s="296"/>
      <c r="B263" s="296"/>
      <c r="C263" s="296"/>
      <c r="D263" s="298"/>
      <c r="E263" s="298"/>
      <c r="F263" s="296"/>
      <c r="G263" s="296"/>
      <c r="H263" s="296"/>
      <c r="I263" s="296"/>
      <c r="J263" s="296"/>
      <c r="K263" s="296"/>
      <c r="L263" s="296"/>
      <c r="M263" s="299"/>
      <c r="N263" s="299"/>
      <c r="O263" s="299"/>
      <c r="P263" s="299"/>
      <c r="Q263" s="299"/>
      <c r="R263" s="299"/>
      <c r="S263" s="299"/>
      <c r="T263" s="299"/>
      <c r="U263" s="299"/>
      <c r="V263" s="299"/>
      <c r="W263" s="299"/>
      <c r="X263" s="299"/>
      <c r="Y263" s="299"/>
      <c r="Z263" s="299"/>
      <c r="AA263" s="299"/>
      <c r="AB263" s="299"/>
      <c r="AC263" s="300"/>
      <c r="AD263" s="300"/>
    </row>
    <row r="264" spans="1:30" ht="12.75" customHeight="1" x14ac:dyDescent="0.2">
      <c r="A264" s="296"/>
      <c r="B264" s="296"/>
      <c r="C264" s="296"/>
      <c r="D264" s="298"/>
      <c r="E264" s="298"/>
      <c r="F264" s="296"/>
      <c r="G264" s="296"/>
      <c r="H264" s="296"/>
      <c r="I264" s="296"/>
      <c r="J264" s="296"/>
      <c r="K264" s="296"/>
      <c r="L264" s="296"/>
      <c r="M264" s="299"/>
      <c r="N264" s="299"/>
      <c r="O264" s="299"/>
      <c r="P264" s="299"/>
      <c r="Q264" s="299"/>
      <c r="R264" s="299"/>
      <c r="S264" s="299"/>
      <c r="T264" s="299"/>
      <c r="U264" s="299"/>
      <c r="V264" s="299"/>
      <c r="W264" s="299"/>
      <c r="X264" s="299"/>
      <c r="Y264" s="299"/>
      <c r="Z264" s="299"/>
      <c r="AA264" s="299"/>
      <c r="AB264" s="299"/>
      <c r="AC264" s="300"/>
      <c r="AD264" s="300"/>
    </row>
    <row r="265" spans="1:30" ht="12.75" customHeight="1" x14ac:dyDescent="0.2">
      <c r="A265" s="296"/>
      <c r="B265" s="296"/>
      <c r="C265" s="296"/>
      <c r="D265" s="298"/>
      <c r="E265" s="298"/>
      <c r="F265" s="296"/>
      <c r="G265" s="296"/>
      <c r="H265" s="296"/>
      <c r="I265" s="296"/>
      <c r="J265" s="296"/>
      <c r="K265" s="296"/>
      <c r="L265" s="296"/>
      <c r="M265" s="299"/>
      <c r="N265" s="299"/>
      <c r="O265" s="299"/>
      <c r="P265" s="299"/>
      <c r="Q265" s="299"/>
      <c r="R265" s="299"/>
      <c r="S265" s="299"/>
      <c r="T265" s="299"/>
      <c r="U265" s="299"/>
      <c r="V265" s="299"/>
      <c r="W265" s="299"/>
      <c r="X265" s="299"/>
      <c r="Y265" s="299"/>
      <c r="Z265" s="299"/>
      <c r="AA265" s="299"/>
      <c r="AB265" s="299"/>
      <c r="AC265" s="300"/>
      <c r="AD265" s="300"/>
    </row>
    <row r="266" spans="1:30" ht="12.75" customHeight="1" x14ac:dyDescent="0.2">
      <c r="A266" s="296"/>
      <c r="B266" s="296"/>
      <c r="C266" s="296"/>
      <c r="D266" s="298"/>
      <c r="E266" s="298"/>
      <c r="F266" s="296"/>
      <c r="G266" s="296"/>
      <c r="H266" s="296"/>
      <c r="I266" s="296"/>
      <c r="J266" s="296"/>
      <c r="K266" s="296"/>
      <c r="L266" s="296"/>
      <c r="M266" s="299"/>
      <c r="N266" s="299"/>
      <c r="O266" s="299"/>
      <c r="P266" s="299"/>
      <c r="Q266" s="299"/>
      <c r="R266" s="299"/>
      <c r="S266" s="299"/>
      <c r="T266" s="299"/>
      <c r="U266" s="299"/>
      <c r="V266" s="299"/>
      <c r="W266" s="299"/>
      <c r="X266" s="299"/>
      <c r="Y266" s="299"/>
      <c r="Z266" s="299"/>
      <c r="AA266" s="299"/>
      <c r="AB266" s="299"/>
      <c r="AC266" s="300"/>
      <c r="AD266" s="300"/>
    </row>
    <row r="267" spans="1:30" ht="12.75" customHeight="1" x14ac:dyDescent="0.2">
      <c r="A267" s="296"/>
      <c r="B267" s="296"/>
      <c r="C267" s="296"/>
      <c r="D267" s="298"/>
      <c r="E267" s="298"/>
      <c r="F267" s="296"/>
      <c r="G267" s="296"/>
      <c r="H267" s="296"/>
      <c r="I267" s="296"/>
      <c r="J267" s="296"/>
      <c r="K267" s="296"/>
      <c r="L267" s="296"/>
      <c r="M267" s="299"/>
      <c r="N267" s="299"/>
      <c r="O267" s="299"/>
      <c r="P267" s="299"/>
      <c r="Q267" s="299"/>
      <c r="R267" s="299"/>
      <c r="S267" s="299"/>
      <c r="T267" s="299"/>
      <c r="U267" s="299"/>
      <c r="V267" s="299"/>
      <c r="W267" s="299"/>
      <c r="X267" s="299"/>
      <c r="Y267" s="299"/>
      <c r="Z267" s="299"/>
      <c r="AA267" s="299"/>
      <c r="AB267" s="299"/>
      <c r="AC267" s="300"/>
      <c r="AD267" s="300"/>
    </row>
    <row r="268" spans="1:30" ht="12.75" customHeight="1" x14ac:dyDescent="0.2">
      <c r="A268" s="296"/>
      <c r="B268" s="296"/>
      <c r="C268" s="296"/>
      <c r="D268" s="298"/>
      <c r="E268" s="298"/>
      <c r="F268" s="296"/>
      <c r="G268" s="296"/>
      <c r="H268" s="296"/>
      <c r="I268" s="296"/>
      <c r="J268" s="296"/>
      <c r="K268" s="296"/>
      <c r="L268" s="296"/>
      <c r="M268" s="299"/>
      <c r="N268" s="299"/>
      <c r="O268" s="299"/>
      <c r="P268" s="299"/>
      <c r="Q268" s="299"/>
      <c r="R268" s="299"/>
      <c r="S268" s="299"/>
      <c r="T268" s="299"/>
      <c r="U268" s="299"/>
      <c r="V268" s="299"/>
      <c r="W268" s="299"/>
      <c r="X268" s="299"/>
      <c r="Y268" s="299"/>
      <c r="Z268" s="299"/>
      <c r="AA268" s="299"/>
      <c r="AB268" s="299"/>
      <c r="AC268" s="300"/>
      <c r="AD268" s="300"/>
    </row>
    <row r="269" spans="1:30" ht="12.75" customHeight="1" x14ac:dyDescent="0.2">
      <c r="A269" s="296"/>
      <c r="B269" s="296"/>
      <c r="C269" s="296"/>
      <c r="D269" s="298"/>
      <c r="E269" s="298"/>
      <c r="F269" s="296"/>
      <c r="G269" s="296"/>
      <c r="H269" s="296"/>
      <c r="I269" s="296"/>
      <c r="J269" s="296"/>
      <c r="K269" s="296"/>
      <c r="L269" s="296"/>
      <c r="M269" s="299"/>
      <c r="N269" s="299"/>
      <c r="O269" s="299"/>
      <c r="P269" s="299"/>
      <c r="Q269" s="299"/>
      <c r="R269" s="299"/>
      <c r="S269" s="299"/>
      <c r="T269" s="299"/>
      <c r="U269" s="299"/>
      <c r="V269" s="299"/>
      <c r="W269" s="299"/>
      <c r="X269" s="299"/>
      <c r="Y269" s="299"/>
      <c r="Z269" s="299"/>
      <c r="AA269" s="299"/>
      <c r="AB269" s="299"/>
      <c r="AC269" s="300"/>
      <c r="AD269" s="300"/>
    </row>
    <row r="270" spans="1:30" ht="12.75" customHeight="1" x14ac:dyDescent="0.2">
      <c r="A270" s="296"/>
      <c r="B270" s="296"/>
      <c r="C270" s="296"/>
      <c r="D270" s="298"/>
      <c r="E270" s="298"/>
      <c r="F270" s="296"/>
      <c r="G270" s="296"/>
      <c r="H270" s="296"/>
      <c r="I270" s="296"/>
      <c r="J270" s="296"/>
      <c r="K270" s="296"/>
      <c r="L270" s="296"/>
      <c r="M270" s="299"/>
      <c r="N270" s="299"/>
      <c r="O270" s="299"/>
      <c r="P270" s="299"/>
      <c r="Q270" s="299"/>
      <c r="R270" s="299"/>
      <c r="S270" s="299"/>
      <c r="T270" s="299"/>
      <c r="U270" s="299"/>
      <c r="V270" s="299"/>
      <c r="W270" s="299"/>
      <c r="X270" s="299"/>
      <c r="Y270" s="299"/>
      <c r="Z270" s="299"/>
      <c r="AA270" s="299"/>
      <c r="AB270" s="299"/>
      <c r="AC270" s="300"/>
      <c r="AD270" s="300"/>
    </row>
    <row r="271" spans="1:30" ht="12.75" customHeight="1" x14ac:dyDescent="0.2">
      <c r="A271" s="296"/>
      <c r="B271" s="296"/>
      <c r="C271" s="296"/>
      <c r="D271" s="298"/>
      <c r="E271" s="298"/>
      <c r="F271" s="296"/>
      <c r="G271" s="296"/>
      <c r="H271" s="296"/>
      <c r="I271" s="296"/>
      <c r="J271" s="296"/>
      <c r="K271" s="296"/>
      <c r="L271" s="296"/>
      <c r="M271" s="299"/>
      <c r="N271" s="299"/>
      <c r="O271" s="299"/>
      <c r="P271" s="299"/>
      <c r="Q271" s="299"/>
      <c r="R271" s="299"/>
      <c r="S271" s="299"/>
      <c r="T271" s="299"/>
      <c r="U271" s="299"/>
      <c r="V271" s="299"/>
      <c r="W271" s="299"/>
      <c r="X271" s="299"/>
      <c r="Y271" s="299"/>
      <c r="Z271" s="299"/>
      <c r="AA271" s="299"/>
      <c r="AB271" s="299"/>
      <c r="AC271" s="300"/>
      <c r="AD271" s="300"/>
    </row>
    <row r="272" spans="1:30" ht="12.75" customHeight="1" x14ac:dyDescent="0.2">
      <c r="A272" s="296"/>
      <c r="B272" s="296"/>
      <c r="C272" s="296"/>
      <c r="D272" s="298"/>
      <c r="E272" s="298"/>
      <c r="F272" s="296"/>
      <c r="G272" s="296"/>
      <c r="H272" s="296"/>
      <c r="I272" s="296"/>
      <c r="J272" s="296"/>
      <c r="K272" s="296"/>
      <c r="L272" s="296"/>
      <c r="M272" s="299"/>
      <c r="N272" s="299"/>
      <c r="O272" s="299"/>
      <c r="P272" s="299"/>
      <c r="Q272" s="299"/>
      <c r="R272" s="299"/>
      <c r="S272" s="299"/>
      <c r="T272" s="299"/>
      <c r="U272" s="299"/>
      <c r="V272" s="299"/>
      <c r="W272" s="299"/>
      <c r="X272" s="299"/>
      <c r="Y272" s="299"/>
      <c r="Z272" s="299"/>
      <c r="AA272" s="299"/>
      <c r="AB272" s="299"/>
      <c r="AC272" s="300"/>
      <c r="AD272" s="300"/>
    </row>
    <row r="273" spans="1:30" ht="12.75" customHeight="1" x14ac:dyDescent="0.2">
      <c r="A273" s="296"/>
      <c r="B273" s="296"/>
      <c r="C273" s="296"/>
      <c r="D273" s="298"/>
      <c r="E273" s="298"/>
      <c r="F273" s="296"/>
      <c r="G273" s="296"/>
      <c r="H273" s="296"/>
      <c r="I273" s="296"/>
      <c r="J273" s="296"/>
      <c r="K273" s="296"/>
      <c r="L273" s="296"/>
      <c r="M273" s="299"/>
      <c r="N273" s="299"/>
      <c r="O273" s="299"/>
      <c r="P273" s="299"/>
      <c r="Q273" s="299"/>
      <c r="R273" s="299"/>
      <c r="S273" s="299"/>
      <c r="T273" s="299"/>
      <c r="U273" s="299"/>
      <c r="V273" s="299"/>
      <c r="W273" s="299"/>
      <c r="X273" s="299"/>
      <c r="Y273" s="299"/>
      <c r="Z273" s="299"/>
      <c r="AA273" s="299"/>
      <c r="AB273" s="299"/>
      <c r="AC273" s="300"/>
      <c r="AD273" s="300"/>
    </row>
    <row r="274" spans="1:30" ht="12.75" customHeight="1" x14ac:dyDescent="0.2">
      <c r="A274" s="296"/>
      <c r="B274" s="296"/>
      <c r="C274" s="296"/>
      <c r="D274" s="298"/>
      <c r="E274" s="298"/>
      <c r="F274" s="296"/>
      <c r="G274" s="296"/>
      <c r="H274" s="296"/>
      <c r="I274" s="296"/>
      <c r="J274" s="296"/>
      <c r="K274" s="296"/>
      <c r="L274" s="296"/>
      <c r="M274" s="299"/>
      <c r="N274" s="299"/>
      <c r="O274" s="299"/>
      <c r="P274" s="299"/>
      <c r="Q274" s="299"/>
      <c r="R274" s="299"/>
      <c r="S274" s="299"/>
      <c r="T274" s="299"/>
      <c r="U274" s="299"/>
      <c r="V274" s="299"/>
      <c r="W274" s="299"/>
      <c r="X274" s="299"/>
      <c r="Y274" s="299"/>
      <c r="Z274" s="299"/>
      <c r="AA274" s="299"/>
      <c r="AB274" s="299"/>
      <c r="AC274" s="300"/>
      <c r="AD274" s="300"/>
    </row>
    <row r="275" spans="1:30" ht="12.75" customHeight="1" x14ac:dyDescent="0.2">
      <c r="A275" s="296"/>
      <c r="B275" s="296"/>
      <c r="C275" s="296"/>
      <c r="D275" s="298"/>
      <c r="E275" s="298"/>
      <c r="F275" s="296"/>
      <c r="G275" s="296"/>
      <c r="H275" s="296"/>
      <c r="I275" s="296"/>
      <c r="J275" s="296"/>
      <c r="K275" s="296"/>
      <c r="L275" s="296"/>
      <c r="M275" s="299"/>
      <c r="N275" s="299"/>
      <c r="O275" s="299"/>
      <c r="P275" s="299"/>
      <c r="Q275" s="299"/>
      <c r="R275" s="299"/>
      <c r="S275" s="299"/>
      <c r="T275" s="299"/>
      <c r="U275" s="299"/>
      <c r="V275" s="299"/>
      <c r="W275" s="299"/>
      <c r="X275" s="299"/>
      <c r="Y275" s="299"/>
      <c r="Z275" s="299"/>
      <c r="AA275" s="299"/>
      <c r="AB275" s="299"/>
      <c r="AC275" s="300"/>
      <c r="AD275" s="300"/>
    </row>
    <row r="276" spans="1:30" ht="12.75" customHeight="1" x14ac:dyDescent="0.2">
      <c r="A276" s="296"/>
      <c r="B276" s="296"/>
      <c r="C276" s="296"/>
      <c r="D276" s="298"/>
      <c r="E276" s="298"/>
      <c r="F276" s="296"/>
      <c r="G276" s="296"/>
      <c r="H276" s="296"/>
      <c r="I276" s="296"/>
      <c r="J276" s="296"/>
      <c r="K276" s="296"/>
      <c r="L276" s="296"/>
      <c r="M276" s="299"/>
      <c r="N276" s="299"/>
      <c r="O276" s="299"/>
      <c r="P276" s="299"/>
      <c r="Q276" s="299"/>
      <c r="R276" s="299"/>
      <c r="S276" s="299"/>
      <c r="T276" s="299"/>
      <c r="U276" s="299"/>
      <c r="V276" s="299"/>
      <c r="W276" s="299"/>
      <c r="X276" s="299"/>
      <c r="Y276" s="299"/>
      <c r="Z276" s="299"/>
      <c r="AA276" s="299"/>
      <c r="AB276" s="299"/>
      <c r="AC276" s="300"/>
      <c r="AD276" s="300"/>
    </row>
    <row r="277" spans="1:30" ht="12.75" customHeight="1" x14ac:dyDescent="0.2">
      <c r="A277" s="296"/>
      <c r="B277" s="296"/>
      <c r="C277" s="296"/>
      <c r="D277" s="298"/>
      <c r="E277" s="298"/>
      <c r="F277" s="296"/>
      <c r="G277" s="296"/>
      <c r="H277" s="296"/>
      <c r="I277" s="296"/>
      <c r="J277" s="296"/>
      <c r="K277" s="296"/>
      <c r="L277" s="296"/>
      <c r="M277" s="299"/>
      <c r="N277" s="299"/>
      <c r="O277" s="299"/>
      <c r="P277" s="299"/>
      <c r="Q277" s="299"/>
      <c r="R277" s="299"/>
      <c r="S277" s="299"/>
      <c r="T277" s="299"/>
      <c r="U277" s="299"/>
      <c r="V277" s="299"/>
      <c r="W277" s="299"/>
      <c r="X277" s="299"/>
      <c r="Y277" s="299"/>
      <c r="Z277" s="299"/>
      <c r="AA277" s="299"/>
      <c r="AB277" s="299"/>
      <c r="AC277" s="300"/>
      <c r="AD277" s="300"/>
    </row>
    <row r="278" spans="1:30" ht="12.75" customHeight="1" x14ac:dyDescent="0.2">
      <c r="A278" s="296"/>
      <c r="B278" s="296"/>
      <c r="C278" s="296"/>
      <c r="D278" s="298"/>
      <c r="E278" s="298"/>
      <c r="F278" s="296"/>
      <c r="G278" s="296"/>
      <c r="H278" s="296"/>
      <c r="I278" s="296"/>
      <c r="J278" s="296"/>
      <c r="K278" s="296"/>
      <c r="L278" s="296"/>
      <c r="M278" s="299"/>
      <c r="N278" s="299"/>
      <c r="O278" s="299"/>
      <c r="P278" s="299"/>
      <c r="Q278" s="299"/>
      <c r="R278" s="299"/>
      <c r="S278" s="299"/>
      <c r="T278" s="299"/>
      <c r="U278" s="299"/>
      <c r="V278" s="299"/>
      <c r="W278" s="299"/>
      <c r="X278" s="299"/>
      <c r="Y278" s="299"/>
      <c r="Z278" s="299"/>
      <c r="AA278" s="299"/>
      <c r="AB278" s="299"/>
      <c r="AC278" s="300"/>
      <c r="AD278" s="300"/>
    </row>
    <row r="279" spans="1:30" ht="12.75" customHeight="1" x14ac:dyDescent="0.2">
      <c r="A279" s="296"/>
      <c r="B279" s="296"/>
      <c r="C279" s="296"/>
      <c r="D279" s="298"/>
      <c r="E279" s="298"/>
      <c r="F279" s="296"/>
      <c r="G279" s="296"/>
      <c r="H279" s="296"/>
      <c r="I279" s="296"/>
      <c r="J279" s="296"/>
      <c r="K279" s="296"/>
      <c r="L279" s="296"/>
      <c r="M279" s="299"/>
      <c r="N279" s="299"/>
      <c r="O279" s="299"/>
      <c r="P279" s="299"/>
      <c r="Q279" s="299"/>
      <c r="R279" s="299"/>
      <c r="S279" s="299"/>
      <c r="T279" s="299"/>
      <c r="U279" s="299"/>
      <c r="V279" s="299"/>
      <c r="W279" s="299"/>
      <c r="X279" s="299"/>
      <c r="Y279" s="299"/>
      <c r="Z279" s="299"/>
      <c r="AA279" s="299"/>
      <c r="AB279" s="299"/>
      <c r="AC279" s="300"/>
      <c r="AD279" s="300"/>
    </row>
    <row r="280" spans="1:30" ht="12.75" customHeight="1" x14ac:dyDescent="0.2">
      <c r="A280" s="296"/>
      <c r="B280" s="296"/>
      <c r="C280" s="296"/>
      <c r="D280" s="298"/>
      <c r="E280" s="298"/>
      <c r="F280" s="296"/>
      <c r="G280" s="296"/>
      <c r="H280" s="296"/>
      <c r="I280" s="296"/>
      <c r="J280" s="296"/>
      <c r="K280" s="296"/>
      <c r="L280" s="296"/>
      <c r="M280" s="299"/>
      <c r="N280" s="299"/>
      <c r="O280" s="299"/>
      <c r="P280" s="299"/>
      <c r="Q280" s="299"/>
      <c r="R280" s="299"/>
      <c r="S280" s="299"/>
      <c r="T280" s="299"/>
      <c r="U280" s="299"/>
      <c r="V280" s="299"/>
      <c r="W280" s="299"/>
      <c r="X280" s="299"/>
      <c r="Y280" s="299"/>
      <c r="Z280" s="299"/>
      <c r="AA280" s="299"/>
      <c r="AB280" s="299"/>
      <c r="AC280" s="300"/>
      <c r="AD280" s="300"/>
    </row>
    <row r="281" spans="1:30" ht="12.75" customHeight="1" x14ac:dyDescent="0.2">
      <c r="A281" s="296"/>
      <c r="B281" s="296"/>
      <c r="C281" s="296"/>
      <c r="D281" s="298"/>
      <c r="E281" s="298"/>
      <c r="F281" s="296"/>
      <c r="G281" s="296"/>
      <c r="H281" s="296"/>
      <c r="I281" s="296"/>
      <c r="J281" s="296"/>
      <c r="K281" s="296"/>
      <c r="L281" s="296"/>
      <c r="M281" s="299"/>
      <c r="N281" s="299"/>
      <c r="O281" s="299"/>
      <c r="P281" s="299"/>
      <c r="Q281" s="299"/>
      <c r="R281" s="299"/>
      <c r="S281" s="299"/>
      <c r="T281" s="299"/>
      <c r="U281" s="299"/>
      <c r="V281" s="299"/>
      <c r="W281" s="299"/>
      <c r="X281" s="299"/>
      <c r="Y281" s="299"/>
      <c r="Z281" s="299"/>
      <c r="AA281" s="299"/>
      <c r="AB281" s="299"/>
      <c r="AC281" s="300"/>
      <c r="AD281" s="300"/>
    </row>
    <row r="282" spans="1:30" ht="12.75" customHeight="1" x14ac:dyDescent="0.2">
      <c r="A282" s="296"/>
      <c r="B282" s="296"/>
      <c r="C282" s="296"/>
      <c r="D282" s="298"/>
      <c r="E282" s="298"/>
      <c r="F282" s="296"/>
      <c r="G282" s="296"/>
      <c r="H282" s="296"/>
      <c r="I282" s="296"/>
      <c r="J282" s="296"/>
      <c r="K282" s="296"/>
      <c r="L282" s="296"/>
      <c r="M282" s="299"/>
      <c r="N282" s="299"/>
      <c r="O282" s="299"/>
      <c r="P282" s="299"/>
      <c r="Q282" s="299"/>
      <c r="R282" s="299"/>
      <c r="S282" s="299"/>
      <c r="T282" s="299"/>
      <c r="U282" s="299"/>
      <c r="V282" s="299"/>
      <c r="W282" s="299"/>
      <c r="X282" s="299"/>
      <c r="Y282" s="299"/>
      <c r="Z282" s="299"/>
      <c r="AA282" s="299"/>
      <c r="AB282" s="299"/>
      <c r="AC282" s="300"/>
      <c r="AD282" s="300"/>
    </row>
    <row r="283" spans="1:30" ht="12.75" customHeight="1" x14ac:dyDescent="0.2">
      <c r="A283" s="296"/>
      <c r="B283" s="296"/>
      <c r="C283" s="296"/>
      <c r="D283" s="298"/>
      <c r="E283" s="298"/>
      <c r="F283" s="296"/>
      <c r="G283" s="296"/>
      <c r="H283" s="296"/>
      <c r="I283" s="296"/>
      <c r="J283" s="296"/>
      <c r="K283" s="296"/>
      <c r="L283" s="296"/>
      <c r="M283" s="299"/>
      <c r="N283" s="299"/>
      <c r="O283" s="299"/>
      <c r="P283" s="299"/>
      <c r="Q283" s="299"/>
      <c r="R283" s="299"/>
      <c r="S283" s="299"/>
      <c r="T283" s="299"/>
      <c r="U283" s="299"/>
      <c r="V283" s="299"/>
      <c r="W283" s="299"/>
      <c r="X283" s="299"/>
      <c r="Y283" s="299"/>
      <c r="Z283" s="299"/>
      <c r="AA283" s="299"/>
      <c r="AB283" s="299"/>
      <c r="AC283" s="300"/>
      <c r="AD283" s="300"/>
    </row>
    <row r="284" spans="1:30" ht="12.75" customHeight="1" x14ac:dyDescent="0.2">
      <c r="A284" s="296"/>
      <c r="B284" s="296"/>
      <c r="C284" s="296"/>
      <c r="D284" s="298"/>
      <c r="E284" s="298"/>
      <c r="F284" s="296"/>
      <c r="G284" s="296"/>
      <c r="H284" s="296"/>
      <c r="I284" s="296"/>
      <c r="J284" s="296"/>
      <c r="K284" s="296"/>
      <c r="L284" s="296"/>
      <c r="M284" s="299"/>
      <c r="N284" s="299"/>
      <c r="O284" s="299"/>
      <c r="P284" s="299"/>
      <c r="Q284" s="299"/>
      <c r="R284" s="299"/>
      <c r="S284" s="299"/>
      <c r="T284" s="299"/>
      <c r="U284" s="299"/>
      <c r="V284" s="299"/>
      <c r="W284" s="299"/>
      <c r="X284" s="299"/>
      <c r="Y284" s="299"/>
      <c r="Z284" s="299"/>
      <c r="AA284" s="299"/>
      <c r="AB284" s="299"/>
      <c r="AC284" s="300"/>
      <c r="AD284" s="300"/>
    </row>
    <row r="285" spans="1:30" ht="12.75" customHeight="1" x14ac:dyDescent="0.2">
      <c r="A285" s="296"/>
      <c r="B285" s="296"/>
      <c r="C285" s="296"/>
      <c r="D285" s="298"/>
      <c r="E285" s="298"/>
      <c r="F285" s="296"/>
      <c r="G285" s="296"/>
      <c r="H285" s="296"/>
      <c r="I285" s="296"/>
      <c r="J285" s="296"/>
      <c r="K285" s="296"/>
      <c r="L285" s="296"/>
      <c r="M285" s="299"/>
      <c r="N285" s="299"/>
      <c r="O285" s="299"/>
      <c r="P285" s="299"/>
      <c r="Q285" s="299"/>
      <c r="R285" s="299"/>
      <c r="S285" s="299"/>
      <c r="T285" s="299"/>
      <c r="U285" s="299"/>
      <c r="V285" s="299"/>
      <c r="W285" s="299"/>
      <c r="X285" s="299"/>
      <c r="Y285" s="299"/>
      <c r="Z285" s="299"/>
      <c r="AA285" s="299"/>
      <c r="AB285" s="299"/>
      <c r="AC285" s="300"/>
      <c r="AD285" s="300"/>
    </row>
    <row r="286" spans="1:30" ht="12.75" customHeight="1" x14ac:dyDescent="0.2">
      <c r="A286" s="296"/>
      <c r="B286" s="296"/>
      <c r="C286" s="296"/>
      <c r="D286" s="298"/>
      <c r="E286" s="298"/>
      <c r="F286" s="296"/>
      <c r="G286" s="296"/>
      <c r="H286" s="296"/>
      <c r="I286" s="296"/>
      <c r="J286" s="296"/>
      <c r="K286" s="296"/>
      <c r="L286" s="296"/>
      <c r="M286" s="299"/>
      <c r="N286" s="299"/>
      <c r="O286" s="299"/>
      <c r="P286" s="299"/>
      <c r="Q286" s="299"/>
      <c r="R286" s="299"/>
      <c r="S286" s="299"/>
      <c r="T286" s="299"/>
      <c r="U286" s="299"/>
      <c r="V286" s="299"/>
      <c r="W286" s="299"/>
      <c r="X286" s="299"/>
      <c r="Y286" s="299"/>
      <c r="Z286" s="299"/>
      <c r="AA286" s="299"/>
      <c r="AB286" s="299"/>
      <c r="AC286" s="300"/>
      <c r="AD286" s="300"/>
    </row>
    <row r="287" spans="1:30" ht="12.75" customHeight="1" x14ac:dyDescent="0.2">
      <c r="A287" s="296"/>
      <c r="B287" s="296"/>
      <c r="C287" s="296"/>
      <c r="D287" s="298"/>
      <c r="E287" s="298"/>
      <c r="F287" s="296"/>
      <c r="G287" s="296"/>
      <c r="H287" s="296"/>
      <c r="I287" s="296"/>
      <c r="J287" s="296"/>
      <c r="K287" s="296"/>
      <c r="L287" s="296"/>
      <c r="M287" s="299"/>
      <c r="N287" s="299"/>
      <c r="O287" s="299"/>
      <c r="P287" s="299"/>
      <c r="Q287" s="299"/>
      <c r="R287" s="299"/>
      <c r="S287" s="299"/>
      <c r="T287" s="299"/>
      <c r="U287" s="299"/>
      <c r="V287" s="299"/>
      <c r="W287" s="299"/>
      <c r="X287" s="299"/>
      <c r="Y287" s="299"/>
      <c r="Z287" s="299"/>
      <c r="AA287" s="299"/>
      <c r="AB287" s="299"/>
      <c r="AC287" s="300"/>
      <c r="AD287" s="300"/>
    </row>
    <row r="288" spans="1:30" ht="12.75" customHeight="1" x14ac:dyDescent="0.2">
      <c r="A288" s="296"/>
      <c r="B288" s="296"/>
      <c r="C288" s="296"/>
      <c r="D288" s="298"/>
      <c r="E288" s="298"/>
      <c r="F288" s="296"/>
      <c r="G288" s="296"/>
      <c r="H288" s="296"/>
      <c r="I288" s="296"/>
      <c r="J288" s="296"/>
      <c r="K288" s="296"/>
      <c r="L288" s="296"/>
      <c r="M288" s="299"/>
      <c r="N288" s="299"/>
      <c r="O288" s="299"/>
      <c r="P288" s="299"/>
      <c r="Q288" s="299"/>
      <c r="R288" s="299"/>
      <c r="S288" s="299"/>
      <c r="T288" s="299"/>
      <c r="U288" s="299"/>
      <c r="V288" s="299"/>
      <c r="W288" s="299"/>
      <c r="X288" s="299"/>
      <c r="Y288" s="299"/>
      <c r="Z288" s="299"/>
      <c r="AA288" s="299"/>
      <c r="AB288" s="299"/>
      <c r="AC288" s="300"/>
      <c r="AD288" s="300"/>
    </row>
    <row r="289" spans="1:30" ht="12.75" customHeight="1" x14ac:dyDescent="0.2">
      <c r="A289" s="296"/>
      <c r="B289" s="296"/>
      <c r="C289" s="296"/>
      <c r="D289" s="298"/>
      <c r="E289" s="298"/>
      <c r="F289" s="296"/>
      <c r="G289" s="296"/>
      <c r="H289" s="296"/>
      <c r="I289" s="296"/>
      <c r="J289" s="296"/>
      <c r="K289" s="296"/>
      <c r="L289" s="296"/>
      <c r="M289" s="299"/>
      <c r="N289" s="299"/>
      <c r="O289" s="299"/>
      <c r="P289" s="299"/>
      <c r="Q289" s="299"/>
      <c r="R289" s="299"/>
      <c r="S289" s="299"/>
      <c r="T289" s="299"/>
      <c r="U289" s="299"/>
      <c r="V289" s="299"/>
      <c r="W289" s="299"/>
      <c r="X289" s="299"/>
      <c r="Y289" s="299"/>
      <c r="Z289" s="299"/>
      <c r="AA289" s="299"/>
      <c r="AB289" s="299"/>
      <c r="AC289" s="300"/>
      <c r="AD289" s="300"/>
    </row>
    <row r="290" spans="1:30" ht="12.75" customHeight="1" x14ac:dyDescent="0.2">
      <c r="A290" s="296"/>
      <c r="B290" s="296"/>
      <c r="C290" s="296"/>
      <c r="D290" s="298"/>
      <c r="E290" s="298"/>
      <c r="F290" s="296"/>
      <c r="G290" s="296"/>
      <c r="H290" s="296"/>
      <c r="I290" s="296"/>
      <c r="J290" s="296"/>
      <c r="K290" s="296"/>
      <c r="L290" s="296"/>
      <c r="M290" s="299"/>
      <c r="N290" s="299"/>
      <c r="O290" s="299"/>
      <c r="P290" s="299"/>
      <c r="Q290" s="299"/>
      <c r="R290" s="299"/>
      <c r="S290" s="299"/>
      <c r="T290" s="299"/>
      <c r="U290" s="299"/>
      <c r="V290" s="299"/>
      <c r="W290" s="299"/>
      <c r="X290" s="299"/>
      <c r="Y290" s="299"/>
      <c r="Z290" s="299"/>
      <c r="AA290" s="299"/>
      <c r="AB290" s="299"/>
      <c r="AC290" s="300"/>
      <c r="AD290" s="300"/>
    </row>
    <row r="291" spans="1:30" ht="12.75" customHeight="1" x14ac:dyDescent="0.2">
      <c r="A291" s="296"/>
      <c r="B291" s="296"/>
      <c r="C291" s="296"/>
      <c r="D291" s="298"/>
      <c r="E291" s="298"/>
      <c r="F291" s="296"/>
      <c r="G291" s="296"/>
      <c r="H291" s="296"/>
      <c r="I291" s="296"/>
      <c r="J291" s="296"/>
      <c r="K291" s="296"/>
      <c r="L291" s="296"/>
      <c r="M291" s="299"/>
      <c r="N291" s="299"/>
      <c r="O291" s="299"/>
      <c r="P291" s="299"/>
      <c r="Q291" s="299"/>
      <c r="R291" s="299"/>
      <c r="S291" s="299"/>
      <c r="T291" s="299"/>
      <c r="U291" s="299"/>
      <c r="V291" s="299"/>
      <c r="W291" s="299"/>
      <c r="X291" s="299"/>
      <c r="Y291" s="299"/>
      <c r="Z291" s="299"/>
      <c r="AA291" s="299"/>
      <c r="AB291" s="299"/>
      <c r="AC291" s="300"/>
      <c r="AD291" s="300"/>
    </row>
    <row r="292" spans="1:30" ht="12.75" customHeight="1" x14ac:dyDescent="0.2">
      <c r="A292" s="296"/>
      <c r="B292" s="296"/>
      <c r="C292" s="296"/>
      <c r="D292" s="298"/>
      <c r="E292" s="298"/>
      <c r="F292" s="296"/>
      <c r="G292" s="296"/>
      <c r="H292" s="296"/>
      <c r="I292" s="296"/>
      <c r="J292" s="296"/>
      <c r="K292" s="296"/>
      <c r="L292" s="296"/>
      <c r="M292" s="299"/>
      <c r="N292" s="299"/>
      <c r="O292" s="299"/>
      <c r="P292" s="299"/>
      <c r="Q292" s="299"/>
      <c r="R292" s="299"/>
      <c r="S292" s="299"/>
      <c r="T292" s="299"/>
      <c r="U292" s="299"/>
      <c r="V292" s="299"/>
      <c r="W292" s="299"/>
      <c r="X292" s="299"/>
      <c r="Y292" s="299"/>
      <c r="Z292" s="299"/>
      <c r="AA292" s="299"/>
      <c r="AB292" s="299"/>
      <c r="AC292" s="300"/>
      <c r="AD292" s="300"/>
    </row>
    <row r="293" spans="1:30" ht="12.75" customHeight="1" x14ac:dyDescent="0.2">
      <c r="A293" s="296"/>
      <c r="B293" s="296"/>
      <c r="C293" s="296"/>
      <c r="D293" s="298"/>
      <c r="E293" s="298"/>
      <c r="F293" s="296"/>
      <c r="G293" s="296"/>
      <c r="H293" s="296"/>
      <c r="I293" s="296"/>
      <c r="J293" s="296"/>
      <c r="K293" s="296"/>
      <c r="L293" s="296"/>
      <c r="M293" s="299"/>
      <c r="N293" s="299"/>
      <c r="O293" s="299"/>
      <c r="P293" s="299"/>
      <c r="Q293" s="299"/>
      <c r="R293" s="299"/>
      <c r="S293" s="299"/>
      <c r="T293" s="299"/>
      <c r="U293" s="299"/>
      <c r="V293" s="299"/>
      <c r="W293" s="299"/>
      <c r="X293" s="299"/>
      <c r="Y293" s="299"/>
      <c r="Z293" s="299"/>
      <c r="AA293" s="299"/>
      <c r="AB293" s="299"/>
      <c r="AC293" s="300"/>
      <c r="AD293" s="300"/>
    </row>
    <row r="294" spans="1:30" ht="12.75" customHeight="1" x14ac:dyDescent="0.2">
      <c r="A294" s="296"/>
      <c r="B294" s="296"/>
      <c r="C294" s="296"/>
      <c r="D294" s="298"/>
      <c r="E294" s="298"/>
      <c r="F294" s="296"/>
      <c r="G294" s="296"/>
      <c r="H294" s="296"/>
      <c r="I294" s="296"/>
      <c r="J294" s="296"/>
      <c r="K294" s="296"/>
      <c r="L294" s="296"/>
      <c r="M294" s="299"/>
      <c r="N294" s="299"/>
      <c r="O294" s="299"/>
      <c r="P294" s="299"/>
      <c r="Q294" s="299"/>
      <c r="R294" s="299"/>
      <c r="S294" s="299"/>
      <c r="T294" s="299"/>
      <c r="U294" s="299"/>
      <c r="V294" s="299"/>
      <c r="W294" s="299"/>
      <c r="X294" s="299"/>
      <c r="Y294" s="299"/>
      <c r="Z294" s="299"/>
      <c r="AA294" s="299"/>
      <c r="AB294" s="299"/>
      <c r="AC294" s="300"/>
      <c r="AD294" s="300"/>
    </row>
    <row r="295" spans="1:30" ht="12.75" customHeight="1" x14ac:dyDescent="0.2">
      <c r="A295" s="296"/>
      <c r="B295" s="296"/>
      <c r="C295" s="296"/>
      <c r="D295" s="298"/>
      <c r="E295" s="298"/>
      <c r="F295" s="296"/>
      <c r="G295" s="296"/>
      <c r="H295" s="296"/>
      <c r="I295" s="296"/>
      <c r="J295" s="296"/>
      <c r="K295" s="296"/>
      <c r="L295" s="296"/>
      <c r="M295" s="299"/>
      <c r="N295" s="299"/>
      <c r="O295" s="299"/>
      <c r="P295" s="299"/>
      <c r="Q295" s="299"/>
      <c r="R295" s="299"/>
      <c r="S295" s="299"/>
      <c r="T295" s="299"/>
      <c r="U295" s="299"/>
      <c r="V295" s="299"/>
      <c r="W295" s="299"/>
      <c r="X295" s="299"/>
      <c r="Y295" s="299"/>
      <c r="Z295" s="299"/>
      <c r="AA295" s="299"/>
      <c r="AB295" s="299"/>
      <c r="AC295" s="300"/>
      <c r="AD295" s="300"/>
    </row>
    <row r="296" spans="1:30" ht="12.75" customHeight="1" x14ac:dyDescent="0.2">
      <c r="A296" s="296"/>
      <c r="B296" s="296"/>
      <c r="C296" s="296"/>
      <c r="D296" s="298"/>
      <c r="E296" s="298"/>
      <c r="F296" s="296"/>
      <c r="G296" s="296"/>
      <c r="H296" s="296"/>
      <c r="I296" s="296"/>
      <c r="J296" s="296"/>
      <c r="K296" s="296"/>
      <c r="L296" s="296"/>
      <c r="M296" s="299"/>
      <c r="N296" s="299"/>
      <c r="O296" s="299"/>
      <c r="P296" s="299"/>
      <c r="Q296" s="299"/>
      <c r="R296" s="299"/>
      <c r="S296" s="299"/>
      <c r="T296" s="299"/>
      <c r="U296" s="299"/>
      <c r="V296" s="299"/>
      <c r="W296" s="299"/>
      <c r="X296" s="299"/>
      <c r="Y296" s="299"/>
      <c r="Z296" s="299"/>
      <c r="AA296" s="299"/>
      <c r="AB296" s="299"/>
      <c r="AC296" s="300"/>
      <c r="AD296" s="300"/>
    </row>
    <row r="297" spans="1:30" ht="12.75" customHeight="1" x14ac:dyDescent="0.2">
      <c r="A297" s="296"/>
      <c r="B297" s="296"/>
      <c r="C297" s="296"/>
      <c r="D297" s="298"/>
      <c r="E297" s="298"/>
      <c r="F297" s="296"/>
      <c r="G297" s="296"/>
      <c r="H297" s="296"/>
      <c r="I297" s="296"/>
      <c r="J297" s="296"/>
      <c r="K297" s="296"/>
      <c r="L297" s="296"/>
      <c r="M297" s="299"/>
      <c r="N297" s="299"/>
      <c r="O297" s="299"/>
      <c r="P297" s="299"/>
      <c r="Q297" s="299"/>
      <c r="R297" s="299"/>
      <c r="S297" s="299"/>
      <c r="T297" s="299"/>
      <c r="U297" s="299"/>
      <c r="V297" s="299"/>
      <c r="W297" s="299"/>
      <c r="X297" s="299"/>
      <c r="Y297" s="299"/>
      <c r="Z297" s="299"/>
      <c r="AA297" s="299"/>
      <c r="AB297" s="299"/>
      <c r="AC297" s="300"/>
      <c r="AD297" s="300"/>
    </row>
    <row r="298" spans="1:30" ht="12.75" customHeight="1" x14ac:dyDescent="0.2">
      <c r="A298" s="296"/>
      <c r="B298" s="296"/>
      <c r="C298" s="296"/>
      <c r="D298" s="298"/>
      <c r="E298" s="298"/>
      <c r="F298" s="296"/>
      <c r="G298" s="296"/>
      <c r="H298" s="296"/>
      <c r="I298" s="296"/>
      <c r="J298" s="296"/>
      <c r="K298" s="296"/>
      <c r="L298" s="296"/>
      <c r="M298" s="299"/>
      <c r="N298" s="299"/>
      <c r="O298" s="299"/>
      <c r="P298" s="299"/>
      <c r="Q298" s="299"/>
      <c r="R298" s="299"/>
      <c r="S298" s="299"/>
      <c r="T298" s="299"/>
      <c r="U298" s="299"/>
      <c r="V298" s="299"/>
      <c r="W298" s="299"/>
      <c r="X298" s="299"/>
      <c r="Y298" s="299"/>
      <c r="Z298" s="299"/>
      <c r="AA298" s="299"/>
      <c r="AB298" s="299"/>
      <c r="AC298" s="300"/>
      <c r="AD298" s="300"/>
    </row>
    <row r="299" spans="1:30" ht="12.75" customHeight="1" x14ac:dyDescent="0.2">
      <c r="A299" s="296"/>
      <c r="B299" s="296"/>
      <c r="C299" s="296"/>
      <c r="D299" s="298"/>
      <c r="E299" s="298"/>
      <c r="F299" s="296"/>
      <c r="G299" s="296"/>
      <c r="H299" s="296"/>
      <c r="I299" s="296"/>
      <c r="J299" s="296"/>
      <c r="K299" s="296"/>
      <c r="L299" s="296"/>
      <c r="M299" s="299"/>
      <c r="N299" s="299"/>
      <c r="O299" s="299"/>
      <c r="P299" s="299"/>
      <c r="Q299" s="299"/>
      <c r="R299" s="299"/>
      <c r="S299" s="299"/>
      <c r="T299" s="299"/>
      <c r="U299" s="299"/>
      <c r="V299" s="299"/>
      <c r="W299" s="299"/>
      <c r="X299" s="299"/>
      <c r="Y299" s="299"/>
      <c r="Z299" s="299"/>
      <c r="AA299" s="299"/>
      <c r="AB299" s="299"/>
      <c r="AC299" s="300"/>
      <c r="AD299" s="300"/>
    </row>
    <row r="300" spans="1:30" ht="12.75" customHeight="1" x14ac:dyDescent="0.2">
      <c r="A300" s="296"/>
      <c r="B300" s="296"/>
      <c r="C300" s="296"/>
      <c r="D300" s="298"/>
      <c r="E300" s="298"/>
      <c r="F300" s="296"/>
      <c r="G300" s="296"/>
      <c r="H300" s="296"/>
      <c r="I300" s="296"/>
      <c r="J300" s="296"/>
      <c r="K300" s="296"/>
      <c r="L300" s="296"/>
      <c r="M300" s="299"/>
      <c r="N300" s="299"/>
      <c r="O300" s="299"/>
      <c r="P300" s="299"/>
      <c r="Q300" s="299"/>
      <c r="R300" s="299"/>
      <c r="S300" s="299"/>
      <c r="T300" s="299"/>
      <c r="U300" s="299"/>
      <c r="V300" s="299"/>
      <c r="W300" s="299"/>
      <c r="X300" s="299"/>
      <c r="Y300" s="299"/>
      <c r="Z300" s="299"/>
      <c r="AA300" s="299"/>
      <c r="AB300" s="299"/>
      <c r="AC300" s="300"/>
      <c r="AD300" s="300"/>
    </row>
    <row r="301" spans="1:30" ht="12.75" customHeight="1" x14ac:dyDescent="0.2">
      <c r="A301" s="296"/>
      <c r="B301" s="296"/>
      <c r="C301" s="296"/>
      <c r="D301" s="298"/>
      <c r="E301" s="298"/>
      <c r="F301" s="296"/>
      <c r="G301" s="296"/>
      <c r="H301" s="296"/>
      <c r="I301" s="296"/>
      <c r="J301" s="296"/>
      <c r="K301" s="296"/>
      <c r="L301" s="296"/>
      <c r="M301" s="299"/>
      <c r="N301" s="299"/>
      <c r="O301" s="299"/>
      <c r="P301" s="299"/>
      <c r="Q301" s="299"/>
      <c r="R301" s="299"/>
      <c r="S301" s="299"/>
      <c r="T301" s="299"/>
      <c r="U301" s="299"/>
      <c r="V301" s="299"/>
      <c r="W301" s="299"/>
      <c r="X301" s="299"/>
      <c r="Y301" s="299"/>
      <c r="Z301" s="299"/>
      <c r="AA301" s="299"/>
      <c r="AB301" s="299"/>
      <c r="AC301" s="300"/>
      <c r="AD301" s="300"/>
    </row>
    <row r="302" spans="1:30" ht="12.75" customHeight="1" x14ac:dyDescent="0.2">
      <c r="A302" s="296"/>
      <c r="B302" s="296"/>
      <c r="C302" s="296"/>
      <c r="D302" s="298"/>
      <c r="E302" s="298"/>
      <c r="F302" s="296"/>
      <c r="G302" s="296"/>
      <c r="H302" s="296"/>
      <c r="I302" s="296"/>
      <c r="J302" s="296"/>
      <c r="K302" s="296"/>
      <c r="L302" s="296"/>
      <c r="M302" s="299"/>
      <c r="N302" s="299"/>
      <c r="O302" s="299"/>
      <c r="P302" s="299"/>
      <c r="Q302" s="299"/>
      <c r="R302" s="299"/>
      <c r="S302" s="299"/>
      <c r="T302" s="299"/>
      <c r="U302" s="299"/>
      <c r="V302" s="299"/>
      <c r="W302" s="299"/>
      <c r="X302" s="299"/>
      <c r="Y302" s="299"/>
      <c r="Z302" s="299"/>
      <c r="AA302" s="299"/>
      <c r="AB302" s="299"/>
      <c r="AC302" s="300"/>
      <c r="AD302" s="300"/>
    </row>
    <row r="303" spans="1:30" ht="12.75" customHeight="1" x14ac:dyDescent="0.2">
      <c r="A303" s="296"/>
      <c r="B303" s="296"/>
      <c r="C303" s="296"/>
      <c r="D303" s="298"/>
      <c r="E303" s="298"/>
      <c r="F303" s="296"/>
      <c r="G303" s="296"/>
      <c r="H303" s="296"/>
      <c r="I303" s="296"/>
      <c r="J303" s="296"/>
      <c r="K303" s="296"/>
      <c r="L303" s="296"/>
      <c r="M303" s="299"/>
      <c r="N303" s="299"/>
      <c r="O303" s="299"/>
      <c r="P303" s="299"/>
      <c r="Q303" s="299"/>
      <c r="R303" s="299"/>
      <c r="S303" s="299"/>
      <c r="T303" s="299"/>
      <c r="U303" s="299"/>
      <c r="V303" s="299"/>
      <c r="W303" s="299"/>
      <c r="X303" s="299"/>
      <c r="Y303" s="299"/>
      <c r="Z303" s="299"/>
      <c r="AA303" s="299"/>
      <c r="AB303" s="299"/>
      <c r="AC303" s="300"/>
      <c r="AD303" s="300"/>
    </row>
    <row r="304" spans="1:30" ht="12.75" customHeight="1" x14ac:dyDescent="0.2">
      <c r="A304" s="296"/>
      <c r="B304" s="296"/>
      <c r="C304" s="296"/>
      <c r="D304" s="298"/>
      <c r="E304" s="298"/>
      <c r="F304" s="296"/>
      <c r="G304" s="296"/>
      <c r="H304" s="296"/>
      <c r="I304" s="296"/>
      <c r="J304" s="296"/>
      <c r="K304" s="296"/>
      <c r="L304" s="296"/>
      <c r="M304" s="299"/>
      <c r="N304" s="299"/>
      <c r="O304" s="299"/>
      <c r="P304" s="299"/>
      <c r="Q304" s="299"/>
      <c r="R304" s="299"/>
      <c r="S304" s="299"/>
      <c r="T304" s="299"/>
      <c r="U304" s="299"/>
      <c r="V304" s="299"/>
      <c r="W304" s="299"/>
      <c r="X304" s="299"/>
      <c r="Y304" s="299"/>
      <c r="Z304" s="299"/>
      <c r="AA304" s="299"/>
      <c r="AB304" s="299"/>
      <c r="AC304" s="300"/>
      <c r="AD304" s="300"/>
    </row>
    <row r="305" spans="1:30" ht="12.75" customHeight="1" x14ac:dyDescent="0.2">
      <c r="A305" s="296"/>
      <c r="B305" s="296"/>
      <c r="C305" s="296"/>
      <c r="D305" s="298"/>
      <c r="E305" s="298"/>
      <c r="F305" s="296"/>
      <c r="G305" s="296"/>
      <c r="H305" s="296"/>
      <c r="I305" s="296"/>
      <c r="J305" s="296"/>
      <c r="K305" s="296"/>
      <c r="L305" s="296"/>
      <c r="M305" s="299"/>
      <c r="N305" s="299"/>
      <c r="O305" s="299"/>
      <c r="P305" s="299"/>
      <c r="Q305" s="299"/>
      <c r="R305" s="299"/>
      <c r="S305" s="299"/>
      <c r="T305" s="299"/>
      <c r="U305" s="299"/>
      <c r="V305" s="299"/>
      <c r="W305" s="299"/>
      <c r="X305" s="299"/>
      <c r="Y305" s="299"/>
      <c r="Z305" s="299"/>
      <c r="AA305" s="299"/>
      <c r="AB305" s="299"/>
      <c r="AC305" s="300"/>
      <c r="AD305" s="300"/>
    </row>
    <row r="306" spans="1:30" ht="12.75" customHeight="1" x14ac:dyDescent="0.2">
      <c r="A306" s="296"/>
      <c r="B306" s="296"/>
      <c r="C306" s="296"/>
      <c r="D306" s="298"/>
      <c r="E306" s="298"/>
      <c r="F306" s="296"/>
      <c r="G306" s="296"/>
      <c r="H306" s="296"/>
      <c r="I306" s="296"/>
      <c r="J306" s="296"/>
      <c r="K306" s="296"/>
      <c r="L306" s="296"/>
      <c r="M306" s="299"/>
      <c r="N306" s="299"/>
      <c r="O306" s="299"/>
      <c r="P306" s="299"/>
      <c r="Q306" s="299"/>
      <c r="R306" s="299"/>
      <c r="S306" s="299"/>
      <c r="T306" s="299"/>
      <c r="U306" s="299"/>
      <c r="V306" s="299"/>
      <c r="W306" s="299"/>
      <c r="X306" s="299"/>
      <c r="Y306" s="299"/>
      <c r="Z306" s="299"/>
      <c r="AA306" s="299"/>
      <c r="AB306" s="299"/>
      <c r="AC306" s="300"/>
      <c r="AD306" s="300"/>
    </row>
    <row r="307" spans="1:30" ht="12.75" customHeight="1" x14ac:dyDescent="0.2">
      <c r="A307" s="296"/>
      <c r="B307" s="296"/>
      <c r="C307" s="296"/>
      <c r="D307" s="298"/>
      <c r="E307" s="298"/>
      <c r="F307" s="296"/>
      <c r="G307" s="296"/>
      <c r="H307" s="296"/>
      <c r="I307" s="296"/>
      <c r="J307" s="296"/>
      <c r="K307" s="296"/>
      <c r="L307" s="296"/>
      <c r="M307" s="299"/>
      <c r="N307" s="299"/>
      <c r="O307" s="299"/>
      <c r="P307" s="299"/>
      <c r="Q307" s="299"/>
      <c r="R307" s="299"/>
      <c r="S307" s="299"/>
      <c r="T307" s="299"/>
      <c r="U307" s="299"/>
      <c r="V307" s="299"/>
      <c r="W307" s="299"/>
      <c r="X307" s="299"/>
      <c r="Y307" s="299"/>
      <c r="Z307" s="299"/>
      <c r="AA307" s="299"/>
      <c r="AB307" s="299"/>
      <c r="AC307" s="300"/>
      <c r="AD307" s="300"/>
    </row>
    <row r="308" spans="1:30" ht="12.75" customHeight="1" x14ac:dyDescent="0.2">
      <c r="A308" s="296"/>
      <c r="B308" s="296"/>
      <c r="C308" s="296"/>
      <c r="D308" s="298"/>
      <c r="E308" s="298"/>
      <c r="F308" s="296"/>
      <c r="G308" s="296"/>
      <c r="H308" s="296"/>
      <c r="I308" s="296"/>
      <c r="J308" s="296"/>
      <c r="K308" s="296"/>
      <c r="L308" s="296"/>
      <c r="M308" s="299"/>
      <c r="N308" s="299"/>
      <c r="O308" s="299"/>
      <c r="P308" s="299"/>
      <c r="Q308" s="299"/>
      <c r="R308" s="299"/>
      <c r="S308" s="299"/>
      <c r="T308" s="299"/>
      <c r="U308" s="299"/>
      <c r="V308" s="299"/>
      <c r="W308" s="299"/>
      <c r="X308" s="299"/>
      <c r="Y308" s="299"/>
      <c r="Z308" s="299"/>
      <c r="AA308" s="299"/>
      <c r="AB308" s="299"/>
      <c r="AC308" s="300"/>
      <c r="AD308" s="300"/>
    </row>
    <row r="309" spans="1:30" ht="12.75" customHeight="1" x14ac:dyDescent="0.2">
      <c r="A309" s="296"/>
      <c r="B309" s="296"/>
      <c r="C309" s="296"/>
      <c r="D309" s="298"/>
      <c r="E309" s="298"/>
      <c r="F309" s="296"/>
      <c r="G309" s="296"/>
      <c r="H309" s="296"/>
      <c r="I309" s="296"/>
      <c r="J309" s="296"/>
      <c r="K309" s="296"/>
      <c r="L309" s="296"/>
      <c r="M309" s="299"/>
      <c r="N309" s="299"/>
      <c r="O309" s="299"/>
      <c r="P309" s="299"/>
      <c r="Q309" s="299"/>
      <c r="R309" s="299"/>
      <c r="S309" s="299"/>
      <c r="T309" s="299"/>
      <c r="U309" s="299"/>
      <c r="V309" s="299"/>
      <c r="W309" s="299"/>
      <c r="X309" s="299"/>
      <c r="Y309" s="299"/>
      <c r="Z309" s="299"/>
      <c r="AA309" s="299"/>
      <c r="AB309" s="299"/>
      <c r="AC309" s="300"/>
      <c r="AD309" s="300"/>
    </row>
    <row r="310" spans="1:30" ht="12.75" customHeight="1" x14ac:dyDescent="0.2">
      <c r="A310" s="296"/>
      <c r="B310" s="296"/>
      <c r="C310" s="296"/>
      <c r="D310" s="298"/>
      <c r="E310" s="298"/>
      <c r="F310" s="296"/>
      <c r="G310" s="296"/>
      <c r="H310" s="296"/>
      <c r="I310" s="296"/>
      <c r="J310" s="296"/>
      <c r="K310" s="296"/>
      <c r="L310" s="296"/>
      <c r="M310" s="299"/>
      <c r="N310" s="299"/>
      <c r="O310" s="299"/>
      <c r="P310" s="299"/>
      <c r="Q310" s="299"/>
      <c r="R310" s="299"/>
      <c r="S310" s="299"/>
      <c r="T310" s="299"/>
      <c r="U310" s="299"/>
      <c r="V310" s="299"/>
      <c r="W310" s="299"/>
      <c r="X310" s="299"/>
      <c r="Y310" s="299"/>
      <c r="Z310" s="299"/>
      <c r="AA310" s="299"/>
      <c r="AB310" s="299"/>
      <c r="AC310" s="300"/>
      <c r="AD310" s="300"/>
    </row>
    <row r="311" spans="1:30" ht="12.75" customHeight="1" x14ac:dyDescent="0.2">
      <c r="A311" s="296"/>
      <c r="B311" s="296"/>
      <c r="C311" s="296"/>
      <c r="D311" s="298"/>
      <c r="E311" s="298"/>
      <c r="F311" s="296"/>
      <c r="G311" s="296"/>
      <c r="H311" s="296"/>
      <c r="I311" s="296"/>
      <c r="J311" s="296"/>
      <c r="K311" s="296"/>
      <c r="L311" s="296"/>
      <c r="M311" s="299"/>
      <c r="N311" s="299"/>
      <c r="O311" s="299"/>
      <c r="P311" s="299"/>
      <c r="Q311" s="299"/>
      <c r="R311" s="299"/>
      <c r="S311" s="299"/>
      <c r="T311" s="299"/>
      <c r="U311" s="299"/>
      <c r="V311" s="299"/>
      <c r="W311" s="299"/>
      <c r="X311" s="299"/>
      <c r="Y311" s="299"/>
      <c r="Z311" s="299"/>
      <c r="AA311" s="299"/>
      <c r="AB311" s="299"/>
      <c r="AC311" s="300"/>
      <c r="AD311" s="300"/>
    </row>
    <row r="312" spans="1:30" ht="12.75" customHeight="1" x14ac:dyDescent="0.2">
      <c r="A312" s="296"/>
      <c r="B312" s="296"/>
      <c r="C312" s="296"/>
      <c r="D312" s="298"/>
      <c r="E312" s="298"/>
      <c r="F312" s="296"/>
      <c r="G312" s="296"/>
      <c r="H312" s="296"/>
      <c r="I312" s="296"/>
      <c r="J312" s="296"/>
      <c r="K312" s="296"/>
      <c r="L312" s="296"/>
      <c r="M312" s="299"/>
      <c r="N312" s="299"/>
      <c r="O312" s="299"/>
      <c r="P312" s="299"/>
      <c r="Q312" s="299"/>
      <c r="R312" s="299"/>
      <c r="S312" s="299"/>
      <c r="T312" s="299"/>
      <c r="U312" s="299"/>
      <c r="V312" s="299"/>
      <c r="W312" s="299"/>
      <c r="X312" s="299"/>
      <c r="Y312" s="299"/>
      <c r="Z312" s="299"/>
      <c r="AA312" s="299"/>
      <c r="AB312" s="299"/>
      <c r="AC312" s="300"/>
      <c r="AD312" s="300"/>
    </row>
    <row r="313" spans="1:30" ht="12.75" customHeight="1" x14ac:dyDescent="0.2">
      <c r="A313" s="296"/>
      <c r="B313" s="296"/>
      <c r="C313" s="296"/>
      <c r="D313" s="298"/>
      <c r="E313" s="298"/>
      <c r="F313" s="296"/>
      <c r="G313" s="296"/>
      <c r="H313" s="296"/>
      <c r="I313" s="296"/>
      <c r="J313" s="296"/>
      <c r="K313" s="296"/>
      <c r="L313" s="296"/>
      <c r="M313" s="299"/>
      <c r="N313" s="299"/>
      <c r="O313" s="299"/>
      <c r="P313" s="299"/>
      <c r="Q313" s="299"/>
      <c r="R313" s="299"/>
      <c r="S313" s="299"/>
      <c r="T313" s="299"/>
      <c r="U313" s="299"/>
      <c r="V313" s="299"/>
      <c r="W313" s="299"/>
      <c r="X313" s="299"/>
      <c r="Y313" s="299"/>
      <c r="Z313" s="299"/>
      <c r="AA313" s="299"/>
      <c r="AB313" s="299"/>
      <c r="AC313" s="300"/>
      <c r="AD313" s="300"/>
    </row>
    <row r="314" spans="1:30" ht="12.75" customHeight="1" x14ac:dyDescent="0.2">
      <c r="A314" s="296"/>
      <c r="B314" s="296"/>
      <c r="C314" s="296"/>
      <c r="D314" s="298"/>
      <c r="E314" s="298"/>
      <c r="F314" s="296"/>
      <c r="G314" s="296"/>
      <c r="H314" s="296"/>
      <c r="I314" s="296"/>
      <c r="J314" s="296"/>
      <c r="K314" s="296"/>
      <c r="L314" s="296"/>
      <c r="M314" s="299"/>
      <c r="N314" s="299"/>
      <c r="O314" s="299"/>
      <c r="P314" s="299"/>
      <c r="Q314" s="299"/>
      <c r="R314" s="299"/>
      <c r="S314" s="299"/>
      <c r="T314" s="299"/>
      <c r="U314" s="299"/>
      <c r="V314" s="299"/>
      <c r="W314" s="299"/>
      <c r="X314" s="299"/>
      <c r="Y314" s="299"/>
      <c r="Z314" s="299"/>
      <c r="AA314" s="299"/>
      <c r="AB314" s="299"/>
      <c r="AC314" s="300"/>
      <c r="AD314" s="300"/>
    </row>
    <row r="315" spans="1:30" ht="12.75" customHeight="1" x14ac:dyDescent="0.2">
      <c r="A315" s="296"/>
      <c r="B315" s="296"/>
      <c r="C315" s="296"/>
      <c r="D315" s="298"/>
      <c r="E315" s="298"/>
      <c r="F315" s="296"/>
      <c r="G315" s="296"/>
      <c r="H315" s="296"/>
      <c r="I315" s="296"/>
      <c r="J315" s="296"/>
      <c r="K315" s="296"/>
      <c r="L315" s="296"/>
      <c r="M315" s="299"/>
      <c r="N315" s="299"/>
      <c r="O315" s="299"/>
      <c r="P315" s="299"/>
      <c r="Q315" s="299"/>
      <c r="R315" s="299"/>
      <c r="S315" s="299"/>
      <c r="T315" s="299"/>
      <c r="U315" s="299"/>
      <c r="V315" s="299"/>
      <c r="W315" s="299"/>
      <c r="X315" s="299"/>
      <c r="Y315" s="299"/>
      <c r="Z315" s="299"/>
      <c r="AA315" s="299"/>
      <c r="AB315" s="299"/>
      <c r="AC315" s="300"/>
      <c r="AD315" s="300"/>
    </row>
    <row r="316" spans="1:30" ht="12.75" customHeight="1" x14ac:dyDescent="0.2">
      <c r="A316" s="296"/>
      <c r="B316" s="296"/>
      <c r="C316" s="296"/>
      <c r="D316" s="298"/>
      <c r="E316" s="298"/>
      <c r="F316" s="296"/>
      <c r="G316" s="296"/>
      <c r="H316" s="296"/>
      <c r="I316" s="296"/>
      <c r="J316" s="296"/>
      <c r="K316" s="296"/>
      <c r="L316" s="296"/>
      <c r="M316" s="299"/>
      <c r="N316" s="299"/>
      <c r="O316" s="299"/>
      <c r="P316" s="299"/>
      <c r="Q316" s="299"/>
      <c r="R316" s="299"/>
      <c r="S316" s="299"/>
      <c r="T316" s="299"/>
      <c r="U316" s="299"/>
      <c r="V316" s="299"/>
      <c r="W316" s="299"/>
      <c r="X316" s="299"/>
      <c r="Y316" s="299"/>
      <c r="Z316" s="299"/>
      <c r="AA316" s="299"/>
      <c r="AB316" s="299"/>
      <c r="AC316" s="300"/>
      <c r="AD316" s="300"/>
    </row>
    <row r="317" spans="1:30" ht="12.75" customHeight="1" x14ac:dyDescent="0.2">
      <c r="A317" s="296"/>
      <c r="B317" s="296"/>
      <c r="C317" s="296"/>
      <c r="D317" s="298"/>
      <c r="E317" s="298"/>
      <c r="F317" s="296"/>
      <c r="G317" s="296"/>
      <c r="H317" s="296"/>
      <c r="I317" s="296"/>
      <c r="J317" s="296"/>
      <c r="K317" s="296"/>
      <c r="L317" s="296"/>
      <c r="M317" s="299"/>
      <c r="N317" s="299"/>
      <c r="O317" s="299"/>
      <c r="P317" s="299"/>
      <c r="Q317" s="299"/>
      <c r="R317" s="299"/>
      <c r="S317" s="299"/>
      <c r="T317" s="299"/>
      <c r="U317" s="299"/>
      <c r="V317" s="299"/>
      <c r="W317" s="299"/>
      <c r="X317" s="299"/>
      <c r="Y317" s="299"/>
      <c r="Z317" s="299"/>
      <c r="AA317" s="299"/>
      <c r="AB317" s="299"/>
      <c r="AC317" s="300"/>
      <c r="AD317" s="300"/>
    </row>
    <row r="318" spans="1:30" ht="12.75" customHeight="1" x14ac:dyDescent="0.2">
      <c r="A318" s="296"/>
      <c r="B318" s="296"/>
      <c r="C318" s="296"/>
      <c r="D318" s="298"/>
      <c r="E318" s="298"/>
      <c r="F318" s="296"/>
      <c r="G318" s="296"/>
      <c r="H318" s="296"/>
      <c r="I318" s="296"/>
      <c r="J318" s="296"/>
      <c r="K318" s="296"/>
      <c r="L318" s="296"/>
      <c r="M318" s="299"/>
      <c r="N318" s="299"/>
      <c r="O318" s="299"/>
      <c r="P318" s="299"/>
      <c r="Q318" s="299"/>
      <c r="R318" s="299"/>
      <c r="S318" s="299"/>
      <c r="T318" s="299"/>
      <c r="U318" s="299"/>
      <c r="V318" s="299"/>
      <c r="W318" s="299"/>
      <c r="X318" s="299"/>
      <c r="Y318" s="299"/>
      <c r="Z318" s="299"/>
      <c r="AA318" s="299"/>
      <c r="AB318" s="299"/>
      <c r="AC318" s="300"/>
      <c r="AD318" s="300"/>
    </row>
    <row r="319" spans="1:30" ht="12.75" customHeight="1" x14ac:dyDescent="0.2">
      <c r="A319" s="296"/>
      <c r="B319" s="296"/>
      <c r="C319" s="296"/>
      <c r="D319" s="298"/>
      <c r="E319" s="298"/>
      <c r="F319" s="296"/>
      <c r="G319" s="296"/>
      <c r="H319" s="296"/>
      <c r="I319" s="296"/>
      <c r="J319" s="296"/>
      <c r="K319" s="296"/>
      <c r="L319" s="296"/>
      <c r="M319" s="299"/>
      <c r="N319" s="299"/>
      <c r="O319" s="299"/>
      <c r="P319" s="299"/>
      <c r="Q319" s="299"/>
      <c r="R319" s="299"/>
      <c r="S319" s="299"/>
      <c r="T319" s="299"/>
      <c r="U319" s="299"/>
      <c r="V319" s="299"/>
      <c r="W319" s="299"/>
      <c r="X319" s="299"/>
      <c r="Y319" s="299"/>
      <c r="Z319" s="299"/>
      <c r="AA319" s="299"/>
      <c r="AB319" s="299"/>
      <c r="AC319" s="300"/>
      <c r="AD319" s="300"/>
    </row>
    <row r="320" spans="1:30" ht="12.75" customHeight="1" x14ac:dyDescent="0.2">
      <c r="A320" s="296"/>
      <c r="B320" s="296"/>
      <c r="C320" s="296"/>
      <c r="D320" s="298"/>
      <c r="E320" s="298"/>
      <c r="F320" s="296"/>
      <c r="G320" s="296"/>
      <c r="H320" s="296"/>
      <c r="I320" s="296"/>
      <c r="J320" s="296"/>
      <c r="K320" s="296"/>
      <c r="L320" s="296"/>
      <c r="M320" s="299"/>
      <c r="N320" s="299"/>
      <c r="O320" s="299"/>
      <c r="P320" s="299"/>
      <c r="Q320" s="299"/>
      <c r="R320" s="299"/>
      <c r="S320" s="299"/>
      <c r="T320" s="299"/>
      <c r="U320" s="299"/>
      <c r="V320" s="299"/>
      <c r="W320" s="299"/>
      <c r="X320" s="299"/>
      <c r="Y320" s="299"/>
      <c r="Z320" s="299"/>
      <c r="AA320" s="299"/>
      <c r="AB320" s="299"/>
      <c r="AC320" s="300"/>
      <c r="AD320" s="300"/>
    </row>
    <row r="321" spans="1:30" ht="12.75" customHeight="1" x14ac:dyDescent="0.2">
      <c r="A321" s="296"/>
      <c r="B321" s="296"/>
      <c r="C321" s="296"/>
      <c r="D321" s="298"/>
      <c r="E321" s="298"/>
      <c r="F321" s="296"/>
      <c r="G321" s="296"/>
      <c r="H321" s="296"/>
      <c r="I321" s="296"/>
      <c r="J321" s="296"/>
      <c r="K321" s="296"/>
      <c r="L321" s="296"/>
      <c r="M321" s="299"/>
      <c r="N321" s="299"/>
      <c r="O321" s="299"/>
      <c r="P321" s="299"/>
      <c r="Q321" s="299"/>
      <c r="R321" s="299"/>
      <c r="S321" s="299"/>
      <c r="T321" s="299"/>
      <c r="U321" s="299"/>
      <c r="V321" s="299"/>
      <c r="W321" s="299"/>
      <c r="X321" s="299"/>
      <c r="Y321" s="299"/>
      <c r="Z321" s="299"/>
      <c r="AA321" s="299"/>
      <c r="AB321" s="299"/>
      <c r="AC321" s="300"/>
      <c r="AD321" s="300"/>
    </row>
    <row r="322" spans="1:30" ht="12.75" customHeight="1" x14ac:dyDescent="0.2">
      <c r="A322" s="296"/>
      <c r="B322" s="296"/>
      <c r="C322" s="296"/>
      <c r="D322" s="298"/>
      <c r="E322" s="298"/>
      <c r="F322" s="296"/>
      <c r="G322" s="296"/>
      <c r="H322" s="296"/>
      <c r="I322" s="296"/>
      <c r="J322" s="296"/>
      <c r="K322" s="296"/>
      <c r="L322" s="296"/>
      <c r="M322" s="299"/>
      <c r="N322" s="299"/>
      <c r="O322" s="299"/>
      <c r="P322" s="299"/>
      <c r="Q322" s="299"/>
      <c r="R322" s="299"/>
      <c r="S322" s="299"/>
      <c r="T322" s="299"/>
      <c r="U322" s="299"/>
      <c r="V322" s="299"/>
      <c r="W322" s="299"/>
      <c r="X322" s="299"/>
      <c r="Y322" s="299"/>
      <c r="Z322" s="299"/>
      <c r="AA322" s="299"/>
      <c r="AB322" s="299"/>
      <c r="AC322" s="300"/>
      <c r="AD322" s="300"/>
    </row>
    <row r="323" spans="1:30" ht="12.75" customHeight="1" x14ac:dyDescent="0.2">
      <c r="A323" s="296"/>
      <c r="B323" s="296"/>
      <c r="C323" s="296"/>
      <c r="D323" s="298"/>
      <c r="E323" s="298"/>
      <c r="F323" s="296"/>
      <c r="G323" s="296"/>
      <c r="H323" s="296"/>
      <c r="I323" s="296"/>
      <c r="J323" s="296"/>
      <c r="K323" s="296"/>
      <c r="L323" s="296"/>
      <c r="M323" s="299"/>
      <c r="N323" s="299"/>
      <c r="O323" s="299"/>
      <c r="P323" s="299"/>
      <c r="Q323" s="299"/>
      <c r="R323" s="299"/>
      <c r="S323" s="299"/>
      <c r="T323" s="299"/>
      <c r="U323" s="299"/>
      <c r="V323" s="299"/>
      <c r="W323" s="299"/>
      <c r="X323" s="299"/>
      <c r="Y323" s="299"/>
      <c r="Z323" s="299"/>
      <c r="AA323" s="299"/>
      <c r="AB323" s="299"/>
      <c r="AC323" s="300"/>
      <c r="AD323" s="300"/>
    </row>
    <row r="324" spans="1:30" ht="12.75" customHeight="1" x14ac:dyDescent="0.2">
      <c r="A324" s="296"/>
      <c r="B324" s="296"/>
      <c r="C324" s="296"/>
      <c r="D324" s="298"/>
      <c r="E324" s="298"/>
      <c r="F324" s="296"/>
      <c r="G324" s="296"/>
      <c r="H324" s="296"/>
      <c r="I324" s="296"/>
      <c r="J324" s="296"/>
      <c r="K324" s="296"/>
      <c r="L324" s="296"/>
      <c r="M324" s="299"/>
      <c r="N324" s="299"/>
      <c r="O324" s="299"/>
      <c r="P324" s="299"/>
      <c r="Q324" s="299"/>
      <c r="R324" s="299"/>
      <c r="S324" s="299"/>
      <c r="T324" s="299"/>
      <c r="U324" s="299"/>
      <c r="V324" s="299"/>
      <c r="W324" s="299"/>
      <c r="X324" s="299"/>
      <c r="Y324" s="299"/>
      <c r="Z324" s="299"/>
      <c r="AA324" s="299"/>
      <c r="AB324" s="299"/>
      <c r="AC324" s="300"/>
      <c r="AD324" s="300"/>
    </row>
    <row r="325" spans="1:30" ht="12.75" customHeight="1" x14ac:dyDescent="0.2">
      <c r="A325" s="296"/>
      <c r="B325" s="296"/>
      <c r="C325" s="296"/>
      <c r="D325" s="298"/>
      <c r="E325" s="298"/>
      <c r="F325" s="296"/>
      <c r="G325" s="296"/>
      <c r="H325" s="296"/>
      <c r="I325" s="296"/>
      <c r="J325" s="296"/>
      <c r="K325" s="296"/>
      <c r="L325" s="296"/>
      <c r="M325" s="299"/>
      <c r="N325" s="299"/>
      <c r="O325" s="299"/>
      <c r="P325" s="299"/>
      <c r="Q325" s="299"/>
      <c r="R325" s="299"/>
      <c r="S325" s="299"/>
      <c r="T325" s="299"/>
      <c r="U325" s="299"/>
      <c r="V325" s="299"/>
      <c r="W325" s="299"/>
      <c r="X325" s="299"/>
      <c r="Y325" s="299"/>
      <c r="Z325" s="299"/>
      <c r="AA325" s="299"/>
      <c r="AB325" s="299"/>
      <c r="AC325" s="300"/>
      <c r="AD325" s="300"/>
    </row>
    <row r="326" spans="1:30" ht="12.75" customHeight="1" x14ac:dyDescent="0.2">
      <c r="A326" s="296"/>
      <c r="B326" s="296"/>
      <c r="C326" s="296"/>
      <c r="D326" s="298"/>
      <c r="E326" s="298"/>
      <c r="F326" s="296"/>
      <c r="G326" s="296"/>
      <c r="H326" s="296"/>
      <c r="I326" s="296"/>
      <c r="J326" s="296"/>
      <c r="K326" s="296"/>
      <c r="L326" s="296"/>
      <c r="M326" s="299"/>
      <c r="N326" s="299"/>
      <c r="O326" s="299"/>
      <c r="P326" s="299"/>
      <c r="Q326" s="299"/>
      <c r="R326" s="299"/>
      <c r="S326" s="299"/>
      <c r="T326" s="299"/>
      <c r="U326" s="299"/>
      <c r="V326" s="299"/>
      <c r="W326" s="299"/>
      <c r="X326" s="299"/>
      <c r="Y326" s="299"/>
      <c r="Z326" s="299"/>
      <c r="AA326" s="299"/>
      <c r="AB326" s="299"/>
      <c r="AC326" s="300"/>
      <c r="AD326" s="300"/>
    </row>
    <row r="327" spans="1:30" ht="12.75" customHeight="1" x14ac:dyDescent="0.2">
      <c r="A327" s="296"/>
      <c r="B327" s="296"/>
      <c r="C327" s="296"/>
      <c r="D327" s="298"/>
      <c r="E327" s="298"/>
      <c r="F327" s="296"/>
      <c r="G327" s="296"/>
      <c r="H327" s="296"/>
      <c r="I327" s="296"/>
      <c r="J327" s="296"/>
      <c r="K327" s="296"/>
      <c r="L327" s="296"/>
      <c r="M327" s="299"/>
      <c r="N327" s="299"/>
      <c r="O327" s="299"/>
      <c r="P327" s="299"/>
      <c r="Q327" s="299"/>
      <c r="R327" s="299"/>
      <c r="S327" s="299"/>
      <c r="T327" s="299"/>
      <c r="U327" s="299"/>
      <c r="V327" s="299"/>
      <c r="W327" s="299"/>
      <c r="X327" s="299"/>
      <c r="Y327" s="299"/>
      <c r="Z327" s="299"/>
      <c r="AA327" s="299"/>
      <c r="AB327" s="299"/>
      <c r="AC327" s="300"/>
      <c r="AD327" s="300"/>
    </row>
    <row r="328" spans="1:30" ht="12.75" customHeight="1" x14ac:dyDescent="0.2">
      <c r="A328" s="296"/>
      <c r="B328" s="296"/>
      <c r="C328" s="296"/>
      <c r="D328" s="298"/>
      <c r="E328" s="298"/>
      <c r="F328" s="296"/>
      <c r="G328" s="296"/>
      <c r="H328" s="296"/>
      <c r="I328" s="296"/>
      <c r="J328" s="296"/>
      <c r="K328" s="296"/>
      <c r="L328" s="296"/>
      <c r="M328" s="299"/>
      <c r="N328" s="299"/>
      <c r="O328" s="299"/>
      <c r="P328" s="299"/>
      <c r="Q328" s="299"/>
      <c r="R328" s="299"/>
      <c r="S328" s="299"/>
      <c r="T328" s="299"/>
      <c r="U328" s="299"/>
      <c r="V328" s="299"/>
      <c r="W328" s="299"/>
      <c r="X328" s="299"/>
      <c r="Y328" s="299"/>
      <c r="Z328" s="299"/>
      <c r="AA328" s="299"/>
      <c r="AB328" s="299"/>
      <c r="AC328" s="300"/>
      <c r="AD328" s="300"/>
    </row>
    <row r="329" spans="1:30" ht="12.75" customHeight="1" x14ac:dyDescent="0.2">
      <c r="A329" s="296"/>
      <c r="B329" s="296"/>
      <c r="C329" s="296"/>
      <c r="D329" s="298"/>
      <c r="E329" s="298"/>
      <c r="F329" s="296"/>
      <c r="G329" s="296"/>
      <c r="H329" s="296"/>
      <c r="I329" s="296"/>
      <c r="J329" s="296"/>
      <c r="K329" s="296"/>
      <c r="L329" s="296"/>
      <c r="M329" s="299"/>
      <c r="N329" s="299"/>
      <c r="O329" s="299"/>
      <c r="P329" s="299"/>
      <c r="Q329" s="299"/>
      <c r="R329" s="299"/>
      <c r="S329" s="299"/>
      <c r="T329" s="299"/>
      <c r="U329" s="299"/>
      <c r="V329" s="299"/>
      <c r="W329" s="299"/>
      <c r="X329" s="299"/>
      <c r="Y329" s="299"/>
      <c r="Z329" s="299"/>
      <c r="AA329" s="299"/>
      <c r="AB329" s="299"/>
      <c r="AC329" s="300"/>
      <c r="AD329" s="300"/>
    </row>
    <row r="330" spans="1:30" ht="12.75" customHeight="1" x14ac:dyDescent="0.2">
      <c r="A330" s="296"/>
      <c r="B330" s="296"/>
      <c r="C330" s="296"/>
      <c r="D330" s="298"/>
      <c r="E330" s="298"/>
      <c r="F330" s="296"/>
      <c r="G330" s="296"/>
      <c r="H330" s="296"/>
      <c r="I330" s="296"/>
      <c r="J330" s="296"/>
      <c r="K330" s="296"/>
      <c r="L330" s="296"/>
      <c r="M330" s="299"/>
      <c r="N330" s="299"/>
      <c r="O330" s="299"/>
      <c r="P330" s="299"/>
      <c r="Q330" s="299"/>
      <c r="R330" s="299"/>
      <c r="S330" s="299"/>
      <c r="T330" s="299"/>
      <c r="U330" s="299"/>
      <c r="V330" s="299"/>
      <c r="W330" s="299"/>
      <c r="X330" s="299"/>
      <c r="Y330" s="299"/>
      <c r="Z330" s="299"/>
      <c r="AA330" s="299"/>
      <c r="AB330" s="299"/>
      <c r="AC330" s="300"/>
      <c r="AD330" s="300"/>
    </row>
    <row r="331" spans="1:30" ht="12.75" customHeight="1" x14ac:dyDescent="0.2">
      <c r="A331" s="296"/>
      <c r="B331" s="296"/>
      <c r="C331" s="296"/>
      <c r="D331" s="298"/>
      <c r="E331" s="298"/>
      <c r="F331" s="296"/>
      <c r="G331" s="296"/>
      <c r="H331" s="296"/>
      <c r="I331" s="296"/>
      <c r="J331" s="296"/>
      <c r="K331" s="296"/>
      <c r="L331" s="296"/>
      <c r="M331" s="299"/>
      <c r="N331" s="299"/>
      <c r="O331" s="299"/>
      <c r="P331" s="299"/>
      <c r="Q331" s="299"/>
      <c r="R331" s="299"/>
      <c r="S331" s="299"/>
      <c r="T331" s="299"/>
      <c r="U331" s="299"/>
      <c r="V331" s="299"/>
      <c r="W331" s="299"/>
      <c r="X331" s="299"/>
      <c r="Y331" s="299"/>
      <c r="Z331" s="299"/>
      <c r="AA331" s="299"/>
      <c r="AB331" s="299"/>
      <c r="AC331" s="300"/>
      <c r="AD331" s="300"/>
    </row>
    <row r="332" spans="1:30" ht="12.75" customHeight="1" x14ac:dyDescent="0.2">
      <c r="A332" s="296"/>
      <c r="B332" s="296"/>
      <c r="C332" s="296"/>
      <c r="D332" s="298"/>
      <c r="E332" s="298"/>
      <c r="F332" s="296"/>
      <c r="G332" s="296"/>
      <c r="H332" s="296"/>
      <c r="I332" s="296"/>
      <c r="J332" s="296"/>
      <c r="K332" s="296"/>
      <c r="L332" s="296"/>
      <c r="M332" s="299"/>
      <c r="N332" s="299"/>
      <c r="O332" s="299"/>
      <c r="P332" s="299"/>
      <c r="Q332" s="299"/>
      <c r="R332" s="299"/>
      <c r="S332" s="299"/>
      <c r="T332" s="299"/>
      <c r="U332" s="299"/>
      <c r="V332" s="299"/>
      <c r="W332" s="299"/>
      <c r="X332" s="299"/>
      <c r="Y332" s="299"/>
      <c r="Z332" s="299"/>
      <c r="AA332" s="299"/>
      <c r="AB332" s="299"/>
      <c r="AC332" s="300"/>
      <c r="AD332" s="300"/>
    </row>
    <row r="333" spans="1:30" ht="12.75" customHeight="1" x14ac:dyDescent="0.2">
      <c r="A333" s="296"/>
      <c r="B333" s="296"/>
      <c r="C333" s="296"/>
      <c r="D333" s="298"/>
      <c r="E333" s="298"/>
      <c r="F333" s="296"/>
      <c r="G333" s="296"/>
      <c r="H333" s="296"/>
      <c r="I333" s="296"/>
      <c r="J333" s="296"/>
      <c r="K333" s="296"/>
      <c r="L333" s="296"/>
      <c r="M333" s="299"/>
      <c r="N333" s="299"/>
      <c r="O333" s="299"/>
      <c r="P333" s="299"/>
      <c r="Q333" s="299"/>
      <c r="R333" s="299"/>
      <c r="S333" s="299"/>
      <c r="T333" s="299"/>
      <c r="U333" s="299"/>
      <c r="V333" s="299"/>
      <c r="W333" s="299"/>
      <c r="X333" s="299"/>
      <c r="Y333" s="299"/>
      <c r="Z333" s="299"/>
      <c r="AA333" s="299"/>
      <c r="AB333" s="299"/>
      <c r="AC333" s="300"/>
      <c r="AD333" s="300"/>
    </row>
    <row r="334" spans="1:30" ht="12.75" customHeight="1" x14ac:dyDescent="0.2">
      <c r="A334" s="296"/>
      <c r="B334" s="296"/>
      <c r="C334" s="296"/>
      <c r="D334" s="298"/>
      <c r="E334" s="298"/>
      <c r="F334" s="296"/>
      <c r="G334" s="296"/>
      <c r="H334" s="296"/>
      <c r="I334" s="296"/>
      <c r="J334" s="296"/>
      <c r="K334" s="296"/>
      <c r="L334" s="296"/>
      <c r="M334" s="299"/>
      <c r="N334" s="299"/>
      <c r="O334" s="299"/>
      <c r="P334" s="299"/>
      <c r="Q334" s="299"/>
      <c r="R334" s="299"/>
      <c r="S334" s="299"/>
      <c r="T334" s="299"/>
      <c r="U334" s="299"/>
      <c r="V334" s="299"/>
      <c r="W334" s="299"/>
      <c r="X334" s="299"/>
      <c r="Y334" s="299"/>
      <c r="Z334" s="299"/>
      <c r="AA334" s="299"/>
      <c r="AB334" s="299"/>
      <c r="AC334" s="300"/>
      <c r="AD334" s="300"/>
    </row>
    <row r="335" spans="1:30" ht="12.75" customHeight="1" x14ac:dyDescent="0.2">
      <c r="A335" s="296"/>
      <c r="B335" s="296"/>
      <c r="C335" s="296"/>
      <c r="D335" s="298"/>
      <c r="E335" s="298"/>
      <c r="F335" s="296"/>
      <c r="G335" s="296"/>
      <c r="H335" s="296"/>
      <c r="I335" s="296"/>
      <c r="J335" s="296"/>
      <c r="K335" s="296"/>
      <c r="L335" s="296"/>
      <c r="M335" s="299"/>
      <c r="N335" s="299"/>
      <c r="O335" s="299"/>
      <c r="P335" s="299"/>
      <c r="Q335" s="299"/>
      <c r="R335" s="299"/>
      <c r="S335" s="299"/>
      <c r="T335" s="299"/>
      <c r="U335" s="299"/>
      <c r="V335" s="299"/>
      <c r="W335" s="299"/>
      <c r="X335" s="299"/>
      <c r="Y335" s="299"/>
      <c r="Z335" s="299"/>
      <c r="AA335" s="299"/>
      <c r="AB335" s="299"/>
      <c r="AC335" s="300"/>
      <c r="AD335" s="300"/>
    </row>
    <row r="336" spans="1:30" ht="12.75" customHeight="1" x14ac:dyDescent="0.2">
      <c r="A336" s="296"/>
      <c r="B336" s="296"/>
      <c r="C336" s="296"/>
      <c r="D336" s="298"/>
      <c r="E336" s="298"/>
      <c r="F336" s="296"/>
      <c r="G336" s="296"/>
      <c r="H336" s="296"/>
      <c r="I336" s="296"/>
      <c r="J336" s="296"/>
      <c r="K336" s="296"/>
      <c r="L336" s="296"/>
      <c r="M336" s="299"/>
      <c r="N336" s="299"/>
      <c r="O336" s="299"/>
      <c r="P336" s="299"/>
      <c r="Q336" s="299"/>
      <c r="R336" s="299"/>
      <c r="S336" s="299"/>
      <c r="T336" s="299"/>
      <c r="U336" s="299"/>
      <c r="V336" s="299"/>
      <c r="W336" s="299"/>
      <c r="X336" s="299"/>
      <c r="Y336" s="299"/>
      <c r="Z336" s="299"/>
      <c r="AA336" s="299"/>
      <c r="AB336" s="299"/>
      <c r="AC336" s="300"/>
      <c r="AD336" s="300"/>
    </row>
    <row r="337" spans="1:30" ht="12.75" customHeight="1" x14ac:dyDescent="0.2">
      <c r="A337" s="296"/>
      <c r="B337" s="296"/>
      <c r="C337" s="296"/>
      <c r="D337" s="298"/>
      <c r="E337" s="298"/>
      <c r="F337" s="296"/>
      <c r="G337" s="296"/>
      <c r="H337" s="296"/>
      <c r="I337" s="296"/>
      <c r="J337" s="296"/>
      <c r="K337" s="296"/>
      <c r="L337" s="296"/>
      <c r="M337" s="299"/>
      <c r="N337" s="299"/>
      <c r="O337" s="299"/>
      <c r="P337" s="299"/>
      <c r="Q337" s="299"/>
      <c r="R337" s="299"/>
      <c r="S337" s="299"/>
      <c r="T337" s="299"/>
      <c r="U337" s="299"/>
      <c r="V337" s="299"/>
      <c r="W337" s="299"/>
      <c r="X337" s="299"/>
      <c r="Y337" s="299"/>
      <c r="Z337" s="299"/>
      <c r="AA337" s="299"/>
      <c r="AB337" s="299"/>
      <c r="AC337" s="300"/>
      <c r="AD337" s="300"/>
    </row>
    <row r="338" spans="1:30" ht="12.75" customHeight="1" x14ac:dyDescent="0.2">
      <c r="A338" s="296"/>
      <c r="B338" s="296"/>
      <c r="C338" s="296"/>
      <c r="D338" s="298"/>
      <c r="E338" s="298"/>
      <c r="F338" s="296"/>
      <c r="G338" s="296"/>
      <c r="H338" s="296"/>
      <c r="I338" s="296"/>
      <c r="J338" s="296"/>
      <c r="K338" s="296"/>
      <c r="L338" s="296"/>
      <c r="M338" s="299"/>
      <c r="N338" s="299"/>
      <c r="O338" s="299"/>
      <c r="P338" s="299"/>
      <c r="Q338" s="299"/>
      <c r="R338" s="299"/>
      <c r="S338" s="299"/>
      <c r="T338" s="299"/>
      <c r="U338" s="299"/>
      <c r="V338" s="299"/>
      <c r="W338" s="299"/>
      <c r="X338" s="299"/>
      <c r="Y338" s="299"/>
      <c r="Z338" s="299"/>
      <c r="AA338" s="299"/>
      <c r="AB338" s="299"/>
      <c r="AC338" s="300"/>
      <c r="AD338" s="300"/>
    </row>
    <row r="339" spans="1:30" ht="12.75" customHeight="1" x14ac:dyDescent="0.2">
      <c r="A339" s="296"/>
      <c r="B339" s="296"/>
      <c r="C339" s="296"/>
      <c r="D339" s="298"/>
      <c r="E339" s="298"/>
      <c r="F339" s="296"/>
      <c r="G339" s="296"/>
      <c r="H339" s="296"/>
      <c r="I339" s="296"/>
      <c r="J339" s="296"/>
      <c r="K339" s="296"/>
      <c r="L339" s="296"/>
      <c r="M339" s="299"/>
      <c r="N339" s="299"/>
      <c r="O339" s="299"/>
      <c r="P339" s="299"/>
      <c r="Q339" s="299"/>
      <c r="R339" s="299"/>
      <c r="S339" s="299"/>
      <c r="T339" s="299"/>
      <c r="U339" s="299"/>
      <c r="V339" s="299"/>
      <c r="W339" s="299"/>
      <c r="X339" s="299"/>
      <c r="Y339" s="299"/>
      <c r="Z339" s="299"/>
      <c r="AA339" s="299"/>
      <c r="AB339" s="299"/>
      <c r="AC339" s="300"/>
      <c r="AD339" s="300"/>
    </row>
    <row r="340" spans="1:30" ht="12.75" customHeight="1" x14ac:dyDescent="0.2">
      <c r="A340" s="296"/>
      <c r="B340" s="296"/>
      <c r="C340" s="296"/>
      <c r="D340" s="298"/>
      <c r="E340" s="298"/>
      <c r="F340" s="296"/>
      <c r="G340" s="296"/>
      <c r="H340" s="296"/>
      <c r="I340" s="296"/>
      <c r="J340" s="296"/>
      <c r="K340" s="296"/>
      <c r="L340" s="296"/>
      <c r="M340" s="299"/>
      <c r="N340" s="299"/>
      <c r="O340" s="299"/>
      <c r="P340" s="299"/>
      <c r="Q340" s="299"/>
      <c r="R340" s="299"/>
      <c r="S340" s="299"/>
      <c r="T340" s="299"/>
      <c r="U340" s="299"/>
      <c r="V340" s="299"/>
      <c r="W340" s="299"/>
      <c r="X340" s="299"/>
      <c r="Y340" s="299"/>
      <c r="Z340" s="299"/>
      <c r="AA340" s="299"/>
      <c r="AB340" s="299"/>
      <c r="AC340" s="300"/>
      <c r="AD340" s="300"/>
    </row>
    <row r="341" spans="1:30" ht="12.75" customHeight="1" x14ac:dyDescent="0.2">
      <c r="A341" s="296"/>
      <c r="B341" s="296"/>
      <c r="C341" s="296"/>
      <c r="D341" s="298"/>
      <c r="E341" s="298"/>
      <c r="F341" s="296"/>
      <c r="G341" s="296"/>
      <c r="H341" s="296"/>
      <c r="I341" s="296"/>
      <c r="J341" s="296"/>
      <c r="K341" s="296"/>
      <c r="L341" s="296"/>
      <c r="M341" s="299"/>
      <c r="N341" s="299"/>
      <c r="O341" s="299"/>
      <c r="P341" s="299"/>
      <c r="Q341" s="299"/>
      <c r="R341" s="299"/>
      <c r="S341" s="299"/>
      <c r="T341" s="299"/>
      <c r="U341" s="299"/>
      <c r="V341" s="299"/>
      <c r="W341" s="299"/>
      <c r="X341" s="299"/>
      <c r="Y341" s="299"/>
      <c r="Z341" s="299"/>
      <c r="AA341" s="299"/>
      <c r="AB341" s="299"/>
      <c r="AC341" s="300"/>
      <c r="AD341" s="300"/>
    </row>
    <row r="342" spans="1:30" ht="12.75" customHeight="1" x14ac:dyDescent="0.2">
      <c r="A342" s="296"/>
      <c r="B342" s="296"/>
      <c r="C342" s="296"/>
      <c r="D342" s="298"/>
      <c r="E342" s="298"/>
      <c r="F342" s="296"/>
      <c r="G342" s="296"/>
      <c r="H342" s="296"/>
      <c r="I342" s="296"/>
      <c r="J342" s="296"/>
      <c r="K342" s="296"/>
      <c r="L342" s="296"/>
      <c r="M342" s="299"/>
      <c r="N342" s="299"/>
      <c r="O342" s="299"/>
      <c r="P342" s="299"/>
      <c r="Q342" s="299"/>
      <c r="R342" s="299"/>
      <c r="S342" s="299"/>
      <c r="T342" s="299"/>
      <c r="U342" s="299"/>
      <c r="V342" s="299"/>
      <c r="W342" s="299"/>
      <c r="X342" s="299"/>
      <c r="Y342" s="299"/>
      <c r="Z342" s="299"/>
      <c r="AA342" s="299"/>
      <c r="AB342" s="299"/>
      <c r="AC342" s="300"/>
      <c r="AD342" s="300"/>
    </row>
    <row r="343" spans="1:30" ht="12.75" customHeight="1" x14ac:dyDescent="0.2">
      <c r="A343" s="296"/>
      <c r="B343" s="296"/>
      <c r="C343" s="296"/>
      <c r="D343" s="298"/>
      <c r="E343" s="298"/>
      <c r="F343" s="296"/>
      <c r="G343" s="296"/>
      <c r="H343" s="296"/>
      <c r="I343" s="296"/>
      <c r="J343" s="296"/>
      <c r="K343" s="296"/>
      <c r="L343" s="296"/>
      <c r="M343" s="299"/>
      <c r="N343" s="299"/>
      <c r="O343" s="299"/>
      <c r="P343" s="299"/>
      <c r="Q343" s="299"/>
      <c r="R343" s="299"/>
      <c r="S343" s="299"/>
      <c r="T343" s="299"/>
      <c r="U343" s="299"/>
      <c r="V343" s="299"/>
      <c r="W343" s="299"/>
      <c r="X343" s="299"/>
      <c r="Y343" s="299"/>
      <c r="Z343" s="299"/>
      <c r="AA343" s="299"/>
      <c r="AB343" s="299"/>
      <c r="AC343" s="300"/>
      <c r="AD343" s="300"/>
    </row>
    <row r="344" spans="1:30" ht="12.75" customHeight="1" x14ac:dyDescent="0.2">
      <c r="A344" s="296"/>
      <c r="B344" s="296"/>
      <c r="C344" s="296"/>
      <c r="D344" s="298"/>
      <c r="E344" s="298"/>
      <c r="F344" s="296"/>
      <c r="G344" s="296"/>
      <c r="H344" s="296"/>
      <c r="I344" s="296"/>
      <c r="J344" s="296"/>
      <c r="K344" s="296"/>
      <c r="L344" s="296"/>
      <c r="M344" s="299"/>
      <c r="N344" s="299"/>
      <c r="O344" s="299"/>
      <c r="P344" s="299"/>
      <c r="Q344" s="299"/>
      <c r="R344" s="299"/>
      <c r="S344" s="299"/>
      <c r="T344" s="299"/>
      <c r="U344" s="299"/>
      <c r="V344" s="299"/>
      <c r="W344" s="299"/>
      <c r="X344" s="299"/>
      <c r="Y344" s="299"/>
      <c r="Z344" s="299"/>
      <c r="AA344" s="299"/>
      <c r="AB344" s="299"/>
      <c r="AC344" s="300"/>
      <c r="AD344" s="300"/>
    </row>
    <row r="345" spans="1:30" ht="12.75" customHeight="1" x14ac:dyDescent="0.2">
      <c r="A345" s="296"/>
      <c r="B345" s="296"/>
      <c r="C345" s="296"/>
      <c r="D345" s="298"/>
      <c r="E345" s="298"/>
      <c r="F345" s="296"/>
      <c r="G345" s="296"/>
      <c r="H345" s="296"/>
      <c r="I345" s="296"/>
      <c r="J345" s="296"/>
      <c r="K345" s="296"/>
      <c r="L345" s="296"/>
      <c r="M345" s="299"/>
      <c r="N345" s="299"/>
      <c r="O345" s="299"/>
      <c r="P345" s="299"/>
      <c r="Q345" s="299"/>
      <c r="R345" s="299"/>
      <c r="S345" s="299"/>
      <c r="T345" s="299"/>
      <c r="U345" s="299"/>
      <c r="V345" s="299"/>
      <c r="W345" s="299"/>
      <c r="X345" s="299"/>
      <c r="Y345" s="299"/>
      <c r="Z345" s="299"/>
      <c r="AA345" s="299"/>
      <c r="AB345" s="299"/>
      <c r="AC345" s="300"/>
      <c r="AD345" s="300"/>
    </row>
    <row r="346" spans="1:30" ht="12.75" customHeight="1" x14ac:dyDescent="0.2">
      <c r="A346" s="296"/>
      <c r="B346" s="296"/>
      <c r="C346" s="296"/>
      <c r="D346" s="298"/>
      <c r="E346" s="298"/>
      <c r="F346" s="296"/>
      <c r="G346" s="296"/>
      <c r="H346" s="296"/>
      <c r="I346" s="296"/>
      <c r="J346" s="296"/>
      <c r="K346" s="296"/>
      <c r="L346" s="296"/>
      <c r="M346" s="299"/>
      <c r="N346" s="299"/>
      <c r="O346" s="299"/>
      <c r="P346" s="299"/>
      <c r="Q346" s="299"/>
      <c r="R346" s="299"/>
      <c r="S346" s="299"/>
      <c r="T346" s="299"/>
      <c r="U346" s="299"/>
      <c r="V346" s="299"/>
      <c r="W346" s="299"/>
      <c r="X346" s="299"/>
      <c r="Y346" s="299"/>
      <c r="Z346" s="299"/>
      <c r="AA346" s="299"/>
      <c r="AB346" s="299"/>
      <c r="AC346" s="300"/>
      <c r="AD346" s="300"/>
    </row>
    <row r="347" spans="1:30" ht="12.75" customHeight="1" x14ac:dyDescent="0.2">
      <c r="A347" s="296"/>
      <c r="B347" s="296"/>
      <c r="C347" s="296"/>
      <c r="D347" s="298"/>
      <c r="E347" s="298"/>
      <c r="F347" s="296"/>
      <c r="G347" s="296"/>
      <c r="H347" s="296"/>
      <c r="I347" s="296"/>
      <c r="J347" s="296"/>
      <c r="K347" s="296"/>
      <c r="L347" s="296"/>
      <c r="M347" s="299"/>
      <c r="N347" s="299"/>
      <c r="O347" s="299"/>
      <c r="P347" s="299"/>
      <c r="Q347" s="299"/>
      <c r="R347" s="299"/>
      <c r="S347" s="299"/>
      <c r="T347" s="299"/>
      <c r="U347" s="299"/>
      <c r="V347" s="299"/>
      <c r="W347" s="299"/>
      <c r="X347" s="299"/>
      <c r="Y347" s="299"/>
      <c r="Z347" s="299"/>
      <c r="AA347" s="299"/>
      <c r="AB347" s="299"/>
      <c r="AC347" s="300"/>
      <c r="AD347" s="300"/>
    </row>
    <row r="348" spans="1:30" ht="12.75" customHeight="1" x14ac:dyDescent="0.2">
      <c r="A348" s="296"/>
      <c r="B348" s="296"/>
      <c r="C348" s="296"/>
      <c r="D348" s="298"/>
      <c r="E348" s="298"/>
      <c r="F348" s="296"/>
      <c r="G348" s="296"/>
      <c r="H348" s="296"/>
      <c r="I348" s="296"/>
      <c r="J348" s="296"/>
      <c r="K348" s="296"/>
      <c r="L348" s="296"/>
      <c r="M348" s="299"/>
      <c r="N348" s="299"/>
      <c r="O348" s="299"/>
      <c r="P348" s="299"/>
      <c r="Q348" s="299"/>
      <c r="R348" s="299"/>
      <c r="S348" s="299"/>
      <c r="T348" s="299"/>
      <c r="U348" s="299"/>
      <c r="V348" s="299"/>
      <c r="W348" s="299"/>
      <c r="X348" s="299"/>
      <c r="Y348" s="299"/>
      <c r="Z348" s="299"/>
      <c r="AA348" s="299"/>
      <c r="AB348" s="299"/>
      <c r="AC348" s="300"/>
      <c r="AD348" s="300"/>
    </row>
    <row r="349" spans="1:30" ht="12.75" customHeight="1" x14ac:dyDescent="0.2">
      <c r="A349" s="296"/>
      <c r="B349" s="296"/>
      <c r="C349" s="296"/>
      <c r="D349" s="298"/>
      <c r="E349" s="298"/>
      <c r="F349" s="296"/>
      <c r="G349" s="296"/>
      <c r="H349" s="296"/>
      <c r="I349" s="296"/>
      <c r="J349" s="296"/>
      <c r="K349" s="296"/>
      <c r="L349" s="296"/>
      <c r="M349" s="299"/>
      <c r="N349" s="299"/>
      <c r="O349" s="299"/>
      <c r="P349" s="299"/>
      <c r="Q349" s="299"/>
      <c r="R349" s="299"/>
      <c r="S349" s="299"/>
      <c r="T349" s="299"/>
      <c r="U349" s="299"/>
      <c r="V349" s="299"/>
      <c r="W349" s="299"/>
      <c r="X349" s="299"/>
      <c r="Y349" s="299"/>
      <c r="Z349" s="299"/>
      <c r="AA349" s="299"/>
      <c r="AB349" s="299"/>
      <c r="AC349" s="300"/>
      <c r="AD349" s="300"/>
    </row>
    <row r="350" spans="1:30" ht="12.75" customHeight="1" x14ac:dyDescent="0.2">
      <c r="A350" s="296"/>
      <c r="B350" s="296"/>
      <c r="C350" s="296"/>
      <c r="D350" s="298"/>
      <c r="E350" s="298"/>
      <c r="F350" s="296"/>
      <c r="G350" s="296"/>
      <c r="H350" s="296"/>
      <c r="I350" s="296"/>
      <c r="J350" s="296"/>
      <c r="K350" s="296"/>
      <c r="L350" s="296"/>
      <c r="M350" s="299"/>
      <c r="N350" s="299"/>
      <c r="O350" s="299"/>
      <c r="P350" s="299"/>
      <c r="Q350" s="299"/>
      <c r="R350" s="299"/>
      <c r="S350" s="299"/>
      <c r="T350" s="299"/>
      <c r="U350" s="299"/>
      <c r="V350" s="299"/>
      <c r="W350" s="299"/>
      <c r="X350" s="299"/>
      <c r="Y350" s="299"/>
      <c r="Z350" s="299"/>
      <c r="AA350" s="299"/>
      <c r="AB350" s="299"/>
      <c r="AC350" s="300"/>
      <c r="AD350" s="300"/>
    </row>
    <row r="351" spans="1:30" ht="12.75" customHeight="1" x14ac:dyDescent="0.2">
      <c r="A351" s="296"/>
      <c r="B351" s="296"/>
      <c r="C351" s="296"/>
      <c r="D351" s="298"/>
      <c r="E351" s="298"/>
      <c r="F351" s="296"/>
      <c r="G351" s="296"/>
      <c r="H351" s="296"/>
      <c r="I351" s="296"/>
      <c r="J351" s="296"/>
      <c r="K351" s="296"/>
      <c r="L351" s="296"/>
      <c r="M351" s="299"/>
      <c r="N351" s="299"/>
      <c r="O351" s="299"/>
      <c r="P351" s="299"/>
      <c r="Q351" s="299"/>
      <c r="R351" s="299"/>
      <c r="S351" s="299"/>
      <c r="T351" s="299"/>
      <c r="U351" s="299"/>
      <c r="V351" s="299"/>
      <c r="W351" s="299"/>
      <c r="X351" s="299"/>
      <c r="Y351" s="299"/>
      <c r="Z351" s="299"/>
      <c r="AA351" s="299"/>
      <c r="AB351" s="299"/>
      <c r="AC351" s="300"/>
      <c r="AD351" s="300"/>
    </row>
    <row r="352" spans="1:30" ht="12.75" customHeight="1" x14ac:dyDescent="0.2">
      <c r="A352" s="296"/>
      <c r="B352" s="296"/>
      <c r="C352" s="296"/>
      <c r="D352" s="298"/>
      <c r="E352" s="298"/>
      <c r="F352" s="296"/>
      <c r="G352" s="296"/>
      <c r="H352" s="296"/>
      <c r="I352" s="296"/>
      <c r="J352" s="296"/>
      <c r="K352" s="296"/>
      <c r="L352" s="296"/>
      <c r="M352" s="299"/>
      <c r="N352" s="299"/>
      <c r="O352" s="299"/>
      <c r="P352" s="299"/>
      <c r="Q352" s="299"/>
      <c r="R352" s="299"/>
      <c r="S352" s="299"/>
      <c r="T352" s="299"/>
      <c r="U352" s="299"/>
      <c r="V352" s="299"/>
      <c r="W352" s="299"/>
      <c r="X352" s="299"/>
      <c r="Y352" s="299"/>
      <c r="Z352" s="299"/>
      <c r="AA352" s="299"/>
      <c r="AB352" s="299"/>
      <c r="AC352" s="300"/>
      <c r="AD352" s="300"/>
    </row>
    <row r="353" spans="1:30" ht="12.75" customHeight="1" x14ac:dyDescent="0.2">
      <c r="A353" s="296"/>
      <c r="B353" s="296"/>
      <c r="C353" s="296"/>
      <c r="D353" s="298"/>
      <c r="E353" s="298"/>
      <c r="F353" s="296"/>
      <c r="G353" s="296"/>
      <c r="H353" s="296"/>
      <c r="I353" s="296"/>
      <c r="J353" s="296"/>
      <c r="K353" s="296"/>
      <c r="L353" s="296"/>
      <c r="M353" s="299"/>
      <c r="N353" s="299"/>
      <c r="O353" s="299"/>
      <c r="P353" s="299"/>
      <c r="Q353" s="299"/>
      <c r="R353" s="299"/>
      <c r="S353" s="299"/>
      <c r="T353" s="299"/>
      <c r="U353" s="299"/>
      <c r="V353" s="299"/>
      <c r="W353" s="299"/>
      <c r="X353" s="299"/>
      <c r="Y353" s="299"/>
      <c r="Z353" s="299"/>
      <c r="AA353" s="299"/>
      <c r="AB353" s="299"/>
      <c r="AC353" s="300"/>
      <c r="AD353" s="300"/>
    </row>
    <row r="354" spans="1:30" ht="12.75" customHeight="1" x14ac:dyDescent="0.2">
      <c r="A354" s="296"/>
      <c r="B354" s="296"/>
      <c r="C354" s="296"/>
      <c r="D354" s="298"/>
      <c r="E354" s="298"/>
      <c r="F354" s="296"/>
      <c r="G354" s="296"/>
      <c r="H354" s="296"/>
      <c r="I354" s="296"/>
      <c r="J354" s="296"/>
      <c r="K354" s="296"/>
      <c r="L354" s="296"/>
      <c r="M354" s="299"/>
      <c r="N354" s="299"/>
      <c r="O354" s="299"/>
      <c r="P354" s="299"/>
      <c r="Q354" s="299"/>
      <c r="R354" s="299"/>
      <c r="S354" s="299"/>
      <c r="T354" s="299"/>
      <c r="U354" s="299"/>
      <c r="V354" s="299"/>
      <c r="W354" s="299"/>
      <c r="X354" s="299"/>
      <c r="Y354" s="299"/>
      <c r="Z354" s="299"/>
      <c r="AA354" s="299"/>
      <c r="AB354" s="299"/>
      <c r="AC354" s="300"/>
      <c r="AD354" s="300"/>
    </row>
    <row r="355" spans="1:30" ht="12.75" customHeight="1" x14ac:dyDescent="0.2">
      <c r="A355" s="296"/>
      <c r="B355" s="296"/>
      <c r="C355" s="296"/>
      <c r="D355" s="298"/>
      <c r="E355" s="298"/>
      <c r="F355" s="296"/>
      <c r="G355" s="296"/>
      <c r="H355" s="296"/>
      <c r="I355" s="296"/>
      <c r="J355" s="296"/>
      <c r="K355" s="296"/>
      <c r="L355" s="296"/>
      <c r="M355" s="299"/>
      <c r="N355" s="299"/>
      <c r="O355" s="299"/>
      <c r="P355" s="299"/>
      <c r="Q355" s="299"/>
      <c r="R355" s="299"/>
      <c r="S355" s="299"/>
      <c r="T355" s="299"/>
      <c r="U355" s="299"/>
      <c r="V355" s="299"/>
      <c r="W355" s="299"/>
      <c r="X355" s="299"/>
      <c r="Y355" s="299"/>
      <c r="Z355" s="299"/>
      <c r="AA355" s="299"/>
      <c r="AB355" s="299"/>
      <c r="AC355" s="300"/>
      <c r="AD355" s="300"/>
    </row>
    <row r="356" spans="1:30" ht="12.75" customHeight="1" x14ac:dyDescent="0.2">
      <c r="A356" s="296"/>
      <c r="B356" s="296"/>
      <c r="C356" s="296"/>
      <c r="D356" s="298"/>
      <c r="E356" s="298"/>
      <c r="F356" s="296"/>
      <c r="G356" s="296"/>
      <c r="H356" s="296"/>
      <c r="I356" s="296"/>
      <c r="J356" s="296"/>
      <c r="K356" s="296"/>
      <c r="L356" s="296"/>
      <c r="M356" s="299"/>
      <c r="N356" s="299"/>
      <c r="O356" s="299"/>
      <c r="P356" s="299"/>
      <c r="Q356" s="299"/>
      <c r="R356" s="299"/>
      <c r="S356" s="299"/>
      <c r="T356" s="299"/>
      <c r="U356" s="299"/>
      <c r="V356" s="299"/>
      <c r="W356" s="299"/>
      <c r="X356" s="299"/>
      <c r="Y356" s="299"/>
      <c r="Z356" s="299"/>
      <c r="AA356" s="299"/>
      <c r="AB356" s="299"/>
      <c r="AC356" s="300"/>
      <c r="AD356" s="300"/>
    </row>
    <row r="357" spans="1:30" ht="12.75" customHeight="1" x14ac:dyDescent="0.2">
      <c r="A357" s="296"/>
      <c r="B357" s="296"/>
      <c r="C357" s="296"/>
      <c r="D357" s="298"/>
      <c r="E357" s="298"/>
      <c r="F357" s="296"/>
      <c r="G357" s="296"/>
      <c r="H357" s="296"/>
      <c r="I357" s="296"/>
      <c r="J357" s="296"/>
      <c r="K357" s="296"/>
      <c r="L357" s="296"/>
      <c r="M357" s="299"/>
      <c r="N357" s="299"/>
      <c r="O357" s="299"/>
      <c r="P357" s="299"/>
      <c r="Q357" s="299"/>
      <c r="R357" s="299"/>
      <c r="S357" s="299"/>
      <c r="T357" s="299"/>
      <c r="U357" s="299"/>
      <c r="V357" s="299"/>
      <c r="W357" s="299"/>
      <c r="X357" s="299"/>
      <c r="Y357" s="299"/>
      <c r="Z357" s="299"/>
      <c r="AA357" s="299"/>
      <c r="AB357" s="299"/>
      <c r="AC357" s="300"/>
      <c r="AD357" s="300"/>
    </row>
    <row r="358" spans="1:30" ht="12.75" customHeight="1" x14ac:dyDescent="0.2">
      <c r="A358" s="296"/>
      <c r="B358" s="296"/>
      <c r="C358" s="296"/>
      <c r="D358" s="298"/>
      <c r="E358" s="298"/>
      <c r="F358" s="296"/>
      <c r="G358" s="296"/>
      <c r="H358" s="296"/>
      <c r="I358" s="296"/>
      <c r="J358" s="296"/>
      <c r="K358" s="296"/>
      <c r="L358" s="296"/>
      <c r="M358" s="299"/>
      <c r="N358" s="299"/>
      <c r="O358" s="299"/>
      <c r="P358" s="299"/>
      <c r="Q358" s="299"/>
      <c r="R358" s="299"/>
      <c r="S358" s="299"/>
      <c r="T358" s="299"/>
      <c r="U358" s="299"/>
      <c r="V358" s="299"/>
      <c r="W358" s="299"/>
      <c r="X358" s="299"/>
      <c r="Y358" s="299"/>
      <c r="Z358" s="299"/>
      <c r="AA358" s="299"/>
      <c r="AB358" s="299"/>
      <c r="AC358" s="300"/>
      <c r="AD358" s="300"/>
    </row>
    <row r="359" spans="1:30" ht="12.75" customHeight="1" x14ac:dyDescent="0.2">
      <c r="A359" s="296"/>
      <c r="B359" s="296"/>
      <c r="C359" s="296"/>
      <c r="D359" s="298"/>
      <c r="E359" s="298"/>
      <c r="F359" s="296"/>
      <c r="G359" s="296"/>
      <c r="H359" s="296"/>
      <c r="I359" s="296"/>
      <c r="J359" s="296"/>
      <c r="K359" s="296"/>
      <c r="L359" s="296"/>
      <c r="M359" s="299"/>
      <c r="N359" s="299"/>
      <c r="O359" s="299"/>
      <c r="P359" s="299"/>
      <c r="Q359" s="299"/>
      <c r="R359" s="299"/>
      <c r="S359" s="299"/>
      <c r="T359" s="299"/>
      <c r="U359" s="299"/>
      <c r="V359" s="299"/>
      <c r="W359" s="299"/>
      <c r="X359" s="299"/>
      <c r="Y359" s="299"/>
      <c r="Z359" s="299"/>
      <c r="AA359" s="299"/>
      <c r="AB359" s="299"/>
      <c r="AC359" s="300"/>
      <c r="AD359" s="300"/>
    </row>
    <row r="360" spans="1:30" ht="12.75" customHeight="1" x14ac:dyDescent="0.2">
      <c r="A360" s="296"/>
      <c r="B360" s="296"/>
      <c r="C360" s="296"/>
      <c r="D360" s="298"/>
      <c r="E360" s="298"/>
      <c r="F360" s="296"/>
      <c r="G360" s="296"/>
      <c r="H360" s="296"/>
      <c r="I360" s="296"/>
      <c r="J360" s="296"/>
      <c r="K360" s="296"/>
      <c r="L360" s="296"/>
      <c r="M360" s="299"/>
      <c r="N360" s="299"/>
      <c r="O360" s="299"/>
      <c r="P360" s="299"/>
      <c r="Q360" s="299"/>
      <c r="R360" s="299"/>
      <c r="S360" s="299"/>
      <c r="T360" s="299"/>
      <c r="U360" s="299"/>
      <c r="V360" s="299"/>
      <c r="W360" s="299"/>
      <c r="X360" s="299"/>
      <c r="Y360" s="299"/>
      <c r="Z360" s="299"/>
      <c r="AA360" s="299"/>
      <c r="AB360" s="299"/>
      <c r="AC360" s="300"/>
      <c r="AD360" s="300"/>
    </row>
    <row r="361" spans="1:30" ht="12.75" customHeight="1" x14ac:dyDescent="0.2">
      <c r="A361" s="296"/>
      <c r="B361" s="296"/>
      <c r="C361" s="296"/>
      <c r="D361" s="298"/>
      <c r="E361" s="298"/>
      <c r="F361" s="296"/>
      <c r="G361" s="296"/>
      <c r="H361" s="296"/>
      <c r="I361" s="296"/>
      <c r="J361" s="296"/>
      <c r="K361" s="296"/>
      <c r="L361" s="296"/>
      <c r="M361" s="299"/>
      <c r="N361" s="299"/>
      <c r="O361" s="299"/>
      <c r="P361" s="299"/>
      <c r="Q361" s="299"/>
      <c r="R361" s="299"/>
      <c r="S361" s="299"/>
      <c r="T361" s="299"/>
      <c r="U361" s="299"/>
      <c r="V361" s="299"/>
      <c r="W361" s="299"/>
      <c r="X361" s="299"/>
      <c r="Y361" s="299"/>
      <c r="Z361" s="299"/>
      <c r="AA361" s="299"/>
      <c r="AB361" s="299"/>
      <c r="AC361" s="300"/>
      <c r="AD361" s="300"/>
    </row>
    <row r="362" spans="1:30" ht="12.75" customHeight="1" x14ac:dyDescent="0.2">
      <c r="A362" s="296"/>
      <c r="B362" s="296"/>
      <c r="C362" s="296"/>
      <c r="D362" s="298"/>
      <c r="E362" s="298"/>
      <c r="F362" s="296"/>
      <c r="G362" s="296"/>
      <c r="H362" s="296"/>
      <c r="I362" s="296"/>
      <c r="J362" s="296"/>
      <c r="K362" s="296"/>
      <c r="L362" s="296"/>
      <c r="M362" s="299"/>
      <c r="N362" s="299"/>
      <c r="O362" s="299"/>
      <c r="P362" s="299"/>
      <c r="Q362" s="299"/>
      <c r="R362" s="299"/>
      <c r="S362" s="299"/>
      <c r="T362" s="299"/>
      <c r="U362" s="299"/>
      <c r="V362" s="299"/>
      <c r="W362" s="299"/>
      <c r="X362" s="299"/>
      <c r="Y362" s="299"/>
      <c r="Z362" s="299"/>
      <c r="AA362" s="299"/>
      <c r="AB362" s="299"/>
      <c r="AC362" s="300"/>
      <c r="AD362" s="300"/>
    </row>
    <row r="363" spans="1:30" ht="12.75" customHeight="1" x14ac:dyDescent="0.2">
      <c r="A363" s="296"/>
      <c r="B363" s="296"/>
      <c r="C363" s="296"/>
      <c r="D363" s="298"/>
      <c r="E363" s="298"/>
      <c r="F363" s="296"/>
      <c r="G363" s="296"/>
      <c r="H363" s="296"/>
      <c r="I363" s="296"/>
      <c r="J363" s="296"/>
      <c r="K363" s="296"/>
      <c r="L363" s="296"/>
      <c r="M363" s="299"/>
      <c r="N363" s="299"/>
      <c r="O363" s="299"/>
      <c r="P363" s="299"/>
      <c r="Q363" s="299"/>
      <c r="R363" s="299"/>
      <c r="S363" s="299"/>
      <c r="T363" s="299"/>
      <c r="U363" s="299"/>
      <c r="V363" s="299"/>
      <c r="W363" s="299"/>
      <c r="X363" s="299"/>
      <c r="Y363" s="299"/>
      <c r="Z363" s="299"/>
      <c r="AA363" s="299"/>
      <c r="AB363" s="299"/>
      <c r="AC363" s="300"/>
      <c r="AD363" s="300"/>
    </row>
    <row r="364" spans="1:30" ht="12.75" customHeight="1" x14ac:dyDescent="0.2">
      <c r="A364" s="296"/>
      <c r="B364" s="296"/>
      <c r="C364" s="296"/>
      <c r="D364" s="298"/>
      <c r="E364" s="298"/>
      <c r="F364" s="296"/>
      <c r="G364" s="296"/>
      <c r="H364" s="296"/>
      <c r="I364" s="296"/>
      <c r="J364" s="296"/>
      <c r="K364" s="296"/>
      <c r="L364" s="296"/>
      <c r="M364" s="299"/>
      <c r="N364" s="299"/>
      <c r="O364" s="299"/>
      <c r="P364" s="299"/>
      <c r="Q364" s="299"/>
      <c r="R364" s="299"/>
      <c r="S364" s="299"/>
      <c r="T364" s="299"/>
      <c r="U364" s="299"/>
      <c r="V364" s="299"/>
      <c r="W364" s="299"/>
      <c r="X364" s="299"/>
      <c r="Y364" s="299"/>
      <c r="Z364" s="299"/>
      <c r="AA364" s="299"/>
      <c r="AB364" s="299"/>
      <c r="AC364" s="300"/>
      <c r="AD364" s="300"/>
    </row>
    <row r="365" spans="1:30" ht="12.75" customHeight="1" x14ac:dyDescent="0.2">
      <c r="A365" s="296"/>
      <c r="B365" s="296"/>
      <c r="C365" s="296"/>
      <c r="D365" s="298"/>
      <c r="E365" s="298"/>
      <c r="F365" s="296"/>
      <c r="G365" s="296"/>
      <c r="H365" s="296"/>
      <c r="I365" s="296"/>
      <c r="J365" s="296"/>
      <c r="K365" s="296"/>
      <c r="L365" s="296"/>
      <c r="M365" s="299"/>
      <c r="N365" s="299"/>
      <c r="O365" s="299"/>
      <c r="P365" s="299"/>
      <c r="Q365" s="299"/>
      <c r="R365" s="299"/>
      <c r="S365" s="299"/>
      <c r="T365" s="299"/>
      <c r="U365" s="299"/>
      <c r="V365" s="299"/>
      <c r="W365" s="299"/>
      <c r="X365" s="299"/>
      <c r="Y365" s="299"/>
      <c r="Z365" s="299"/>
      <c r="AA365" s="299"/>
      <c r="AB365" s="299"/>
      <c r="AC365" s="300"/>
      <c r="AD365" s="300"/>
    </row>
    <row r="366" spans="1:30" ht="12.75" customHeight="1" x14ac:dyDescent="0.2">
      <c r="A366" s="296"/>
      <c r="B366" s="296"/>
      <c r="C366" s="296"/>
      <c r="D366" s="298"/>
      <c r="E366" s="298"/>
      <c r="F366" s="296"/>
      <c r="G366" s="296"/>
      <c r="H366" s="296"/>
      <c r="I366" s="296"/>
      <c r="J366" s="296"/>
      <c r="K366" s="296"/>
      <c r="L366" s="296"/>
      <c r="M366" s="299"/>
      <c r="N366" s="299"/>
      <c r="O366" s="299"/>
      <c r="P366" s="299"/>
      <c r="Q366" s="299"/>
      <c r="R366" s="299"/>
      <c r="S366" s="299"/>
      <c r="T366" s="299"/>
      <c r="U366" s="299"/>
      <c r="V366" s="299"/>
      <c r="W366" s="299"/>
      <c r="X366" s="299"/>
      <c r="Y366" s="299"/>
      <c r="Z366" s="299"/>
      <c r="AA366" s="299"/>
      <c r="AB366" s="299"/>
      <c r="AC366" s="300"/>
      <c r="AD366" s="300"/>
    </row>
    <row r="367" spans="1:30" ht="12.75" customHeight="1" x14ac:dyDescent="0.2">
      <c r="A367" s="296"/>
      <c r="B367" s="296"/>
      <c r="C367" s="296"/>
      <c r="D367" s="298"/>
      <c r="E367" s="298"/>
      <c r="F367" s="296"/>
      <c r="G367" s="296"/>
      <c r="H367" s="296"/>
      <c r="I367" s="296"/>
      <c r="J367" s="296"/>
      <c r="K367" s="296"/>
      <c r="L367" s="296"/>
      <c r="M367" s="299"/>
      <c r="N367" s="299"/>
      <c r="O367" s="299"/>
      <c r="P367" s="299"/>
      <c r="Q367" s="299"/>
      <c r="R367" s="299"/>
      <c r="S367" s="299"/>
      <c r="T367" s="299"/>
      <c r="U367" s="299"/>
      <c r="V367" s="299"/>
      <c r="W367" s="299"/>
      <c r="X367" s="299"/>
      <c r="Y367" s="299"/>
      <c r="Z367" s="299"/>
      <c r="AA367" s="299"/>
      <c r="AB367" s="299"/>
      <c r="AC367" s="300"/>
      <c r="AD367" s="300"/>
    </row>
    <row r="368" spans="1:30" ht="12.75" customHeight="1" x14ac:dyDescent="0.2">
      <c r="A368" s="296"/>
      <c r="B368" s="296"/>
      <c r="C368" s="296"/>
      <c r="D368" s="298"/>
      <c r="E368" s="298"/>
      <c r="F368" s="296"/>
      <c r="G368" s="296"/>
      <c r="H368" s="296"/>
      <c r="I368" s="296"/>
      <c r="J368" s="296"/>
      <c r="K368" s="296"/>
      <c r="L368" s="296"/>
      <c r="M368" s="299"/>
      <c r="N368" s="299"/>
      <c r="O368" s="299"/>
      <c r="P368" s="299"/>
      <c r="Q368" s="299"/>
      <c r="R368" s="299"/>
      <c r="S368" s="299"/>
      <c r="T368" s="299"/>
      <c r="U368" s="299"/>
      <c r="V368" s="299"/>
      <c r="W368" s="299"/>
      <c r="X368" s="299"/>
      <c r="Y368" s="299"/>
      <c r="Z368" s="299"/>
      <c r="AA368" s="299"/>
      <c r="AB368" s="299"/>
      <c r="AC368" s="300"/>
      <c r="AD368" s="300"/>
    </row>
    <row r="369" spans="1:30" ht="12.75" customHeight="1" x14ac:dyDescent="0.2">
      <c r="A369" s="296"/>
      <c r="B369" s="296"/>
      <c r="C369" s="296"/>
      <c r="D369" s="298"/>
      <c r="E369" s="298"/>
      <c r="F369" s="296"/>
      <c r="G369" s="296"/>
      <c r="H369" s="296"/>
      <c r="I369" s="296"/>
      <c r="J369" s="296"/>
      <c r="K369" s="296"/>
      <c r="L369" s="296"/>
      <c r="M369" s="299"/>
      <c r="N369" s="299"/>
      <c r="O369" s="299"/>
      <c r="P369" s="299"/>
      <c r="Q369" s="299"/>
      <c r="R369" s="299"/>
      <c r="S369" s="299"/>
      <c r="T369" s="299"/>
      <c r="U369" s="299"/>
      <c r="V369" s="299"/>
      <c r="W369" s="299"/>
      <c r="X369" s="299"/>
      <c r="Y369" s="299"/>
      <c r="Z369" s="299"/>
      <c r="AA369" s="299"/>
      <c r="AB369" s="299"/>
      <c r="AC369" s="300"/>
      <c r="AD369" s="300"/>
    </row>
    <row r="370" spans="1:30" ht="12.75" customHeight="1" x14ac:dyDescent="0.2">
      <c r="A370" s="296"/>
      <c r="B370" s="296"/>
      <c r="C370" s="296"/>
      <c r="D370" s="298"/>
      <c r="E370" s="298"/>
      <c r="F370" s="296"/>
      <c r="G370" s="296"/>
      <c r="H370" s="296"/>
      <c r="I370" s="296"/>
      <c r="J370" s="296"/>
      <c r="K370" s="296"/>
      <c r="L370" s="296"/>
      <c r="M370" s="299"/>
      <c r="N370" s="299"/>
      <c r="O370" s="299"/>
      <c r="P370" s="299"/>
      <c r="Q370" s="299"/>
      <c r="R370" s="299"/>
      <c r="S370" s="299"/>
      <c r="T370" s="299"/>
      <c r="U370" s="299"/>
      <c r="V370" s="299"/>
      <c r="W370" s="299"/>
      <c r="X370" s="299"/>
      <c r="Y370" s="299"/>
      <c r="Z370" s="299"/>
      <c r="AA370" s="299"/>
      <c r="AB370" s="299"/>
      <c r="AC370" s="300"/>
      <c r="AD370" s="300"/>
    </row>
    <row r="371" spans="1:30" ht="12.75" customHeight="1" x14ac:dyDescent="0.2">
      <c r="A371" s="296"/>
      <c r="B371" s="296"/>
      <c r="C371" s="296"/>
      <c r="D371" s="298"/>
      <c r="E371" s="298"/>
      <c r="F371" s="296"/>
      <c r="G371" s="296"/>
      <c r="H371" s="296"/>
      <c r="I371" s="296"/>
      <c r="J371" s="296"/>
      <c r="K371" s="296"/>
      <c r="L371" s="296"/>
      <c r="M371" s="299"/>
      <c r="N371" s="299"/>
      <c r="O371" s="299"/>
      <c r="P371" s="299"/>
      <c r="Q371" s="299"/>
      <c r="R371" s="299"/>
      <c r="S371" s="299"/>
      <c r="T371" s="299"/>
      <c r="U371" s="299"/>
      <c r="V371" s="299"/>
      <c r="W371" s="299"/>
      <c r="X371" s="299"/>
      <c r="Y371" s="299"/>
      <c r="Z371" s="299"/>
      <c r="AA371" s="299"/>
      <c r="AB371" s="299"/>
      <c r="AC371" s="300"/>
      <c r="AD371" s="300"/>
    </row>
    <row r="372" spans="1:30" ht="12.75" customHeight="1" x14ac:dyDescent="0.2">
      <c r="A372" s="296"/>
      <c r="B372" s="296"/>
      <c r="C372" s="296"/>
      <c r="D372" s="298"/>
      <c r="E372" s="298"/>
      <c r="F372" s="296"/>
      <c r="G372" s="296"/>
      <c r="H372" s="296"/>
      <c r="I372" s="296"/>
      <c r="J372" s="296"/>
      <c r="K372" s="296"/>
      <c r="L372" s="296"/>
      <c r="M372" s="299"/>
      <c r="N372" s="299"/>
      <c r="O372" s="299"/>
      <c r="P372" s="299"/>
      <c r="Q372" s="299"/>
      <c r="R372" s="299"/>
      <c r="S372" s="299"/>
      <c r="T372" s="299"/>
      <c r="U372" s="299"/>
      <c r="V372" s="299"/>
      <c r="W372" s="299"/>
      <c r="X372" s="299"/>
      <c r="Y372" s="299"/>
      <c r="Z372" s="299"/>
      <c r="AA372" s="299"/>
      <c r="AB372" s="299"/>
      <c r="AC372" s="300"/>
      <c r="AD372" s="300"/>
    </row>
    <row r="373" spans="1:30" ht="12.75" customHeight="1" x14ac:dyDescent="0.2">
      <c r="A373" s="296"/>
      <c r="B373" s="296"/>
      <c r="C373" s="296"/>
      <c r="D373" s="298"/>
      <c r="E373" s="298"/>
      <c r="F373" s="296"/>
      <c r="G373" s="296"/>
      <c r="H373" s="296"/>
      <c r="I373" s="296"/>
      <c r="J373" s="296"/>
      <c r="K373" s="296"/>
      <c r="L373" s="296"/>
      <c r="M373" s="299"/>
      <c r="N373" s="299"/>
      <c r="O373" s="299"/>
      <c r="P373" s="299"/>
      <c r="Q373" s="299"/>
      <c r="R373" s="299"/>
      <c r="S373" s="299"/>
      <c r="T373" s="299"/>
      <c r="U373" s="299"/>
      <c r="V373" s="299"/>
      <c r="W373" s="299"/>
      <c r="X373" s="299"/>
      <c r="Y373" s="299"/>
      <c r="Z373" s="299"/>
      <c r="AA373" s="299"/>
      <c r="AB373" s="299"/>
      <c r="AC373" s="300"/>
      <c r="AD373" s="300"/>
    </row>
    <row r="374" spans="1:30" ht="12.75" customHeight="1" x14ac:dyDescent="0.2">
      <c r="A374" s="296"/>
      <c r="B374" s="296"/>
      <c r="C374" s="296"/>
      <c r="D374" s="298"/>
      <c r="E374" s="298"/>
      <c r="F374" s="296"/>
      <c r="G374" s="296"/>
      <c r="H374" s="296"/>
      <c r="I374" s="296"/>
      <c r="J374" s="296"/>
      <c r="K374" s="296"/>
      <c r="L374" s="296"/>
      <c r="M374" s="299"/>
      <c r="N374" s="299"/>
      <c r="O374" s="299"/>
      <c r="P374" s="299"/>
      <c r="Q374" s="299"/>
      <c r="R374" s="299"/>
      <c r="S374" s="299"/>
      <c r="T374" s="299"/>
      <c r="U374" s="299"/>
      <c r="V374" s="299"/>
      <c r="W374" s="299"/>
      <c r="X374" s="299"/>
      <c r="Y374" s="299"/>
      <c r="Z374" s="299"/>
      <c r="AA374" s="299"/>
      <c r="AB374" s="299"/>
      <c r="AC374" s="300"/>
      <c r="AD374" s="300"/>
    </row>
    <row r="375" spans="1:30" ht="12.75" customHeight="1" x14ac:dyDescent="0.2">
      <c r="A375" s="296"/>
      <c r="B375" s="296"/>
      <c r="C375" s="296"/>
      <c r="D375" s="298"/>
      <c r="E375" s="298"/>
      <c r="F375" s="296"/>
      <c r="G375" s="296"/>
      <c r="H375" s="296"/>
      <c r="I375" s="296"/>
      <c r="J375" s="296"/>
      <c r="K375" s="296"/>
      <c r="L375" s="296"/>
      <c r="M375" s="299"/>
      <c r="N375" s="299"/>
      <c r="O375" s="299"/>
      <c r="P375" s="299"/>
      <c r="Q375" s="299"/>
      <c r="R375" s="299"/>
      <c r="S375" s="299"/>
      <c r="T375" s="299"/>
      <c r="U375" s="299"/>
      <c r="V375" s="299"/>
      <c r="W375" s="299"/>
      <c r="X375" s="299"/>
      <c r="Y375" s="299"/>
      <c r="Z375" s="299"/>
      <c r="AA375" s="299"/>
      <c r="AB375" s="299"/>
      <c r="AC375" s="300"/>
      <c r="AD375" s="300"/>
    </row>
    <row r="376" spans="1:30" ht="12.75" customHeight="1" x14ac:dyDescent="0.2">
      <c r="A376" s="296"/>
      <c r="B376" s="296"/>
      <c r="C376" s="296"/>
      <c r="D376" s="298"/>
      <c r="E376" s="298"/>
      <c r="F376" s="296"/>
      <c r="G376" s="296"/>
      <c r="H376" s="296"/>
      <c r="I376" s="296"/>
      <c r="J376" s="296"/>
      <c r="K376" s="296"/>
      <c r="L376" s="296"/>
      <c r="M376" s="299"/>
      <c r="N376" s="299"/>
      <c r="O376" s="299"/>
      <c r="P376" s="299"/>
      <c r="Q376" s="299"/>
      <c r="R376" s="299"/>
      <c r="S376" s="299"/>
      <c r="T376" s="299"/>
      <c r="U376" s="299"/>
      <c r="V376" s="299"/>
      <c r="W376" s="299"/>
      <c r="X376" s="299"/>
      <c r="Y376" s="299"/>
      <c r="Z376" s="299"/>
      <c r="AA376" s="299"/>
      <c r="AB376" s="299"/>
      <c r="AC376" s="300"/>
      <c r="AD376" s="300"/>
    </row>
    <row r="377" spans="1:30" ht="12.75" customHeight="1" x14ac:dyDescent="0.2">
      <c r="A377" s="296"/>
      <c r="B377" s="296"/>
      <c r="C377" s="296"/>
      <c r="D377" s="298"/>
      <c r="E377" s="298"/>
      <c r="F377" s="296"/>
      <c r="G377" s="296"/>
      <c r="H377" s="296"/>
      <c r="I377" s="296"/>
      <c r="J377" s="296"/>
      <c r="K377" s="296"/>
      <c r="L377" s="296"/>
      <c r="M377" s="299"/>
      <c r="N377" s="299"/>
      <c r="O377" s="299"/>
      <c r="P377" s="299"/>
      <c r="Q377" s="299"/>
      <c r="R377" s="299"/>
      <c r="S377" s="299"/>
      <c r="T377" s="299"/>
      <c r="U377" s="299"/>
      <c r="V377" s="299"/>
      <c r="W377" s="299"/>
      <c r="X377" s="299"/>
      <c r="Y377" s="299"/>
      <c r="Z377" s="299"/>
      <c r="AA377" s="299"/>
      <c r="AB377" s="299"/>
      <c r="AC377" s="300"/>
      <c r="AD377" s="300"/>
    </row>
    <row r="378" spans="1:30" ht="12.75" customHeight="1" x14ac:dyDescent="0.2">
      <c r="A378" s="296"/>
      <c r="B378" s="296"/>
      <c r="C378" s="296"/>
      <c r="D378" s="298"/>
      <c r="E378" s="298"/>
      <c r="F378" s="296"/>
      <c r="G378" s="296"/>
      <c r="H378" s="296"/>
      <c r="I378" s="296"/>
      <c r="J378" s="296"/>
      <c r="K378" s="296"/>
      <c r="L378" s="296"/>
      <c r="M378" s="299"/>
      <c r="N378" s="299"/>
      <c r="O378" s="299"/>
      <c r="P378" s="299"/>
      <c r="Q378" s="299"/>
      <c r="R378" s="299"/>
      <c r="S378" s="299"/>
      <c r="T378" s="299"/>
      <c r="U378" s="299"/>
      <c r="V378" s="299"/>
      <c r="W378" s="299"/>
      <c r="X378" s="299"/>
      <c r="Y378" s="299"/>
      <c r="Z378" s="299"/>
      <c r="AA378" s="299"/>
      <c r="AB378" s="299"/>
      <c r="AC378" s="300"/>
      <c r="AD378" s="300"/>
    </row>
    <row r="379" spans="1:30" ht="12.75" customHeight="1" x14ac:dyDescent="0.2">
      <c r="A379" s="296"/>
      <c r="B379" s="296"/>
      <c r="C379" s="296"/>
      <c r="D379" s="298"/>
      <c r="E379" s="298"/>
      <c r="F379" s="296"/>
      <c r="G379" s="296"/>
      <c r="H379" s="296"/>
      <c r="I379" s="296"/>
      <c r="J379" s="296"/>
      <c r="K379" s="296"/>
      <c r="L379" s="296"/>
      <c r="M379" s="299"/>
      <c r="N379" s="299"/>
      <c r="O379" s="299"/>
      <c r="P379" s="299"/>
      <c r="Q379" s="299"/>
      <c r="R379" s="299"/>
      <c r="S379" s="299"/>
      <c r="T379" s="299"/>
      <c r="U379" s="299"/>
      <c r="V379" s="299"/>
      <c r="W379" s="299"/>
      <c r="X379" s="299"/>
      <c r="Y379" s="299"/>
      <c r="Z379" s="299"/>
      <c r="AA379" s="299"/>
      <c r="AB379" s="299"/>
      <c r="AC379" s="300"/>
      <c r="AD379" s="300"/>
    </row>
    <row r="380" spans="1:30" ht="12.75" customHeight="1" x14ac:dyDescent="0.2">
      <c r="A380" s="296"/>
      <c r="B380" s="296"/>
      <c r="C380" s="296"/>
      <c r="D380" s="298"/>
      <c r="E380" s="298"/>
      <c r="F380" s="296"/>
      <c r="G380" s="296"/>
      <c r="H380" s="296"/>
      <c r="I380" s="296"/>
      <c r="J380" s="296"/>
      <c r="K380" s="296"/>
      <c r="L380" s="296"/>
      <c r="M380" s="299"/>
      <c r="N380" s="299"/>
      <c r="O380" s="299"/>
      <c r="P380" s="299"/>
      <c r="Q380" s="299"/>
      <c r="R380" s="299"/>
      <c r="S380" s="299"/>
      <c r="T380" s="299"/>
      <c r="U380" s="299"/>
      <c r="V380" s="299"/>
      <c r="W380" s="299"/>
      <c r="X380" s="299"/>
      <c r="Y380" s="299"/>
      <c r="Z380" s="299"/>
      <c r="AA380" s="299"/>
      <c r="AB380" s="299"/>
      <c r="AC380" s="300"/>
      <c r="AD380" s="300"/>
    </row>
    <row r="381" spans="1:30" ht="12.75" customHeight="1" x14ac:dyDescent="0.2">
      <c r="A381" s="296"/>
      <c r="B381" s="296"/>
      <c r="C381" s="296"/>
      <c r="D381" s="298"/>
      <c r="E381" s="298"/>
      <c r="F381" s="296"/>
      <c r="G381" s="296"/>
      <c r="H381" s="296"/>
      <c r="I381" s="296"/>
      <c r="J381" s="296"/>
      <c r="K381" s="296"/>
      <c r="L381" s="296"/>
      <c r="M381" s="299"/>
      <c r="N381" s="299"/>
      <c r="O381" s="299"/>
      <c r="P381" s="299"/>
      <c r="Q381" s="299"/>
      <c r="R381" s="299"/>
      <c r="S381" s="299"/>
      <c r="T381" s="299"/>
      <c r="U381" s="299"/>
      <c r="V381" s="299"/>
      <c r="W381" s="299"/>
      <c r="X381" s="299"/>
      <c r="Y381" s="299"/>
      <c r="Z381" s="299"/>
      <c r="AA381" s="299"/>
      <c r="AB381" s="299"/>
      <c r="AC381" s="300"/>
      <c r="AD381" s="300"/>
    </row>
    <row r="382" spans="1:30" ht="12.75" customHeight="1" x14ac:dyDescent="0.2">
      <c r="A382" s="296"/>
      <c r="B382" s="296"/>
      <c r="C382" s="296"/>
      <c r="D382" s="298"/>
      <c r="E382" s="298"/>
      <c r="F382" s="296"/>
      <c r="G382" s="296"/>
      <c r="H382" s="296"/>
      <c r="I382" s="296"/>
      <c r="J382" s="296"/>
      <c r="K382" s="296"/>
      <c r="L382" s="296"/>
      <c r="M382" s="299"/>
      <c r="N382" s="299"/>
      <c r="O382" s="299"/>
      <c r="P382" s="299"/>
      <c r="Q382" s="299"/>
      <c r="R382" s="299"/>
      <c r="S382" s="299"/>
      <c r="T382" s="299"/>
      <c r="U382" s="299"/>
      <c r="V382" s="299"/>
      <c r="W382" s="299"/>
      <c r="X382" s="299"/>
      <c r="Y382" s="299"/>
      <c r="Z382" s="299"/>
      <c r="AA382" s="299"/>
      <c r="AB382" s="299"/>
      <c r="AC382" s="300"/>
      <c r="AD382" s="300"/>
    </row>
    <row r="383" spans="1:30" ht="12.75" customHeight="1" x14ac:dyDescent="0.2">
      <c r="A383" s="296"/>
      <c r="B383" s="296"/>
      <c r="C383" s="296"/>
      <c r="D383" s="298"/>
      <c r="E383" s="298"/>
      <c r="F383" s="296"/>
      <c r="G383" s="296"/>
      <c r="H383" s="296"/>
      <c r="I383" s="296"/>
      <c r="J383" s="296"/>
      <c r="K383" s="296"/>
      <c r="L383" s="296"/>
      <c r="M383" s="299"/>
      <c r="N383" s="299"/>
      <c r="O383" s="299"/>
      <c r="P383" s="299"/>
      <c r="Q383" s="299"/>
      <c r="R383" s="299"/>
      <c r="S383" s="299"/>
      <c r="T383" s="299"/>
      <c r="U383" s="299"/>
      <c r="V383" s="299"/>
      <c r="W383" s="299"/>
      <c r="X383" s="299"/>
      <c r="Y383" s="299"/>
      <c r="Z383" s="299"/>
      <c r="AA383" s="299"/>
      <c r="AB383" s="299"/>
      <c r="AC383" s="300"/>
      <c r="AD383" s="300"/>
    </row>
    <row r="384" spans="1:30" ht="12.75" customHeight="1" x14ac:dyDescent="0.2">
      <c r="A384" s="296"/>
      <c r="B384" s="296"/>
      <c r="C384" s="296"/>
      <c r="D384" s="298"/>
      <c r="E384" s="298"/>
      <c r="F384" s="296"/>
      <c r="G384" s="296"/>
      <c r="H384" s="296"/>
      <c r="I384" s="296"/>
      <c r="J384" s="296"/>
      <c r="K384" s="296"/>
      <c r="L384" s="296"/>
      <c r="M384" s="299"/>
      <c r="N384" s="299"/>
      <c r="O384" s="299"/>
      <c r="P384" s="299"/>
      <c r="Q384" s="299"/>
      <c r="R384" s="299"/>
      <c r="S384" s="299"/>
      <c r="T384" s="299"/>
      <c r="U384" s="299"/>
      <c r="V384" s="299"/>
      <c r="W384" s="299"/>
      <c r="X384" s="299"/>
      <c r="Y384" s="299"/>
      <c r="Z384" s="299"/>
      <c r="AA384" s="299"/>
      <c r="AB384" s="299"/>
      <c r="AC384" s="300"/>
      <c r="AD384" s="300"/>
    </row>
    <row r="385" spans="1:30" ht="12.75" customHeight="1" x14ac:dyDescent="0.2">
      <c r="A385" s="296"/>
      <c r="B385" s="296"/>
      <c r="C385" s="296"/>
      <c r="D385" s="298"/>
      <c r="E385" s="298"/>
      <c r="F385" s="296"/>
      <c r="G385" s="296"/>
      <c r="H385" s="296"/>
      <c r="I385" s="296"/>
      <c r="J385" s="296"/>
      <c r="K385" s="296"/>
      <c r="L385" s="296"/>
      <c r="M385" s="299"/>
      <c r="N385" s="299"/>
      <c r="O385" s="299"/>
      <c r="P385" s="299"/>
      <c r="Q385" s="299"/>
      <c r="R385" s="299"/>
      <c r="S385" s="299"/>
      <c r="T385" s="299"/>
      <c r="U385" s="299"/>
      <c r="V385" s="299"/>
      <c r="W385" s="299"/>
      <c r="X385" s="299"/>
      <c r="Y385" s="299"/>
      <c r="Z385" s="299"/>
      <c r="AA385" s="299"/>
      <c r="AB385" s="299"/>
      <c r="AC385" s="300"/>
      <c r="AD385" s="300"/>
    </row>
    <row r="386" spans="1:30" ht="12.75" customHeight="1" x14ac:dyDescent="0.2">
      <c r="A386" s="296"/>
      <c r="B386" s="296"/>
      <c r="C386" s="296"/>
      <c r="D386" s="298"/>
      <c r="E386" s="298"/>
      <c r="F386" s="296"/>
      <c r="G386" s="296"/>
      <c r="H386" s="296"/>
      <c r="I386" s="296"/>
      <c r="J386" s="296"/>
      <c r="K386" s="296"/>
      <c r="L386" s="296"/>
      <c r="M386" s="299"/>
      <c r="N386" s="299"/>
      <c r="O386" s="299"/>
      <c r="P386" s="299"/>
      <c r="Q386" s="299"/>
      <c r="R386" s="299"/>
      <c r="S386" s="299"/>
      <c r="T386" s="299"/>
      <c r="U386" s="299"/>
      <c r="V386" s="299"/>
      <c r="W386" s="299"/>
      <c r="X386" s="299"/>
      <c r="Y386" s="299"/>
      <c r="Z386" s="299"/>
      <c r="AA386" s="299"/>
      <c r="AB386" s="299"/>
      <c r="AC386" s="300"/>
      <c r="AD386" s="300"/>
    </row>
    <row r="387" spans="1:30" ht="12.75" customHeight="1" x14ac:dyDescent="0.2">
      <c r="A387" s="296"/>
      <c r="B387" s="296"/>
      <c r="C387" s="296"/>
      <c r="D387" s="298"/>
      <c r="E387" s="298"/>
      <c r="F387" s="296"/>
      <c r="G387" s="296"/>
      <c r="H387" s="296"/>
      <c r="I387" s="296"/>
      <c r="J387" s="296"/>
      <c r="K387" s="296"/>
      <c r="L387" s="296"/>
      <c r="M387" s="299"/>
      <c r="N387" s="299"/>
      <c r="O387" s="299"/>
      <c r="P387" s="299"/>
      <c r="Q387" s="299"/>
      <c r="R387" s="299"/>
      <c r="S387" s="299"/>
      <c r="T387" s="299"/>
      <c r="U387" s="299"/>
      <c r="V387" s="299"/>
      <c r="W387" s="299"/>
      <c r="X387" s="299"/>
      <c r="Y387" s="299"/>
      <c r="Z387" s="299"/>
      <c r="AA387" s="299"/>
      <c r="AB387" s="299"/>
      <c r="AC387" s="300"/>
      <c r="AD387" s="300"/>
    </row>
    <row r="388" spans="1:30" ht="12.75" customHeight="1" x14ac:dyDescent="0.2">
      <c r="A388" s="296"/>
      <c r="B388" s="296"/>
      <c r="C388" s="296"/>
      <c r="D388" s="298"/>
      <c r="E388" s="298"/>
      <c r="F388" s="296"/>
      <c r="G388" s="296"/>
      <c r="H388" s="296"/>
      <c r="I388" s="296"/>
      <c r="J388" s="296"/>
      <c r="K388" s="296"/>
      <c r="L388" s="296"/>
      <c r="M388" s="299"/>
      <c r="N388" s="299"/>
      <c r="O388" s="299"/>
      <c r="P388" s="299"/>
      <c r="Q388" s="299"/>
      <c r="R388" s="299"/>
      <c r="S388" s="299"/>
      <c r="T388" s="299"/>
      <c r="U388" s="299"/>
      <c r="V388" s="299"/>
      <c r="W388" s="299"/>
      <c r="X388" s="299"/>
      <c r="Y388" s="299"/>
      <c r="Z388" s="299"/>
      <c r="AA388" s="299"/>
      <c r="AB388" s="299"/>
      <c r="AC388" s="300"/>
      <c r="AD388" s="300"/>
    </row>
    <row r="389" spans="1:30" ht="12.75" customHeight="1" x14ac:dyDescent="0.2">
      <c r="A389" s="296"/>
      <c r="B389" s="296"/>
      <c r="C389" s="296"/>
      <c r="D389" s="298"/>
      <c r="E389" s="298"/>
      <c r="F389" s="296"/>
      <c r="G389" s="296"/>
      <c r="H389" s="296"/>
      <c r="I389" s="296"/>
      <c r="J389" s="296"/>
      <c r="K389" s="296"/>
      <c r="L389" s="296"/>
      <c r="M389" s="299"/>
      <c r="N389" s="299"/>
      <c r="O389" s="299"/>
      <c r="P389" s="299"/>
      <c r="Q389" s="299"/>
      <c r="R389" s="299"/>
      <c r="S389" s="299"/>
      <c r="T389" s="299"/>
      <c r="U389" s="299"/>
      <c r="V389" s="299"/>
      <c r="W389" s="299"/>
      <c r="X389" s="299"/>
      <c r="Y389" s="299"/>
      <c r="Z389" s="299"/>
      <c r="AA389" s="299"/>
      <c r="AB389" s="299"/>
      <c r="AC389" s="300"/>
      <c r="AD389" s="300"/>
    </row>
    <row r="390" spans="1:30" ht="12.75" customHeight="1" x14ac:dyDescent="0.2">
      <c r="A390" s="296"/>
      <c r="B390" s="296"/>
      <c r="C390" s="296"/>
      <c r="D390" s="298"/>
      <c r="E390" s="298"/>
      <c r="F390" s="296"/>
      <c r="G390" s="296"/>
      <c r="H390" s="296"/>
      <c r="I390" s="296"/>
      <c r="J390" s="296"/>
      <c r="K390" s="296"/>
      <c r="L390" s="296"/>
      <c r="M390" s="299"/>
      <c r="N390" s="299"/>
      <c r="O390" s="299"/>
      <c r="P390" s="299"/>
      <c r="Q390" s="299"/>
      <c r="R390" s="299"/>
      <c r="S390" s="299"/>
      <c r="T390" s="299"/>
      <c r="U390" s="299"/>
      <c r="V390" s="299"/>
      <c r="W390" s="299"/>
      <c r="X390" s="299"/>
      <c r="Y390" s="299"/>
      <c r="Z390" s="299"/>
      <c r="AA390" s="299"/>
      <c r="AB390" s="299"/>
      <c r="AC390" s="300"/>
      <c r="AD390" s="300"/>
    </row>
    <row r="391" spans="1:30" ht="12.75" customHeight="1" x14ac:dyDescent="0.2">
      <c r="A391" s="296"/>
      <c r="B391" s="296"/>
      <c r="C391" s="296"/>
      <c r="D391" s="298"/>
      <c r="E391" s="298"/>
      <c r="F391" s="296"/>
      <c r="G391" s="296"/>
      <c r="H391" s="296"/>
      <c r="I391" s="296"/>
      <c r="J391" s="296"/>
      <c r="K391" s="296"/>
      <c r="L391" s="296"/>
      <c r="M391" s="299"/>
      <c r="N391" s="299"/>
      <c r="O391" s="299"/>
      <c r="P391" s="299"/>
      <c r="Q391" s="299"/>
      <c r="R391" s="299"/>
      <c r="S391" s="299"/>
      <c r="T391" s="299"/>
      <c r="U391" s="299"/>
      <c r="V391" s="299"/>
      <c r="W391" s="299"/>
      <c r="X391" s="299"/>
      <c r="Y391" s="299"/>
      <c r="Z391" s="299"/>
      <c r="AA391" s="299"/>
      <c r="AB391" s="299"/>
      <c r="AC391" s="300"/>
      <c r="AD391" s="300"/>
    </row>
    <row r="392" spans="1:30" ht="12.75" customHeight="1" x14ac:dyDescent="0.2">
      <c r="A392" s="296"/>
      <c r="B392" s="296"/>
      <c r="C392" s="296"/>
      <c r="D392" s="298"/>
      <c r="E392" s="298"/>
      <c r="F392" s="296"/>
      <c r="G392" s="296"/>
      <c r="H392" s="296"/>
      <c r="I392" s="296"/>
      <c r="J392" s="296"/>
      <c r="K392" s="296"/>
      <c r="L392" s="296"/>
      <c r="M392" s="299"/>
      <c r="N392" s="299"/>
      <c r="O392" s="299"/>
      <c r="P392" s="299"/>
      <c r="Q392" s="299"/>
      <c r="R392" s="299"/>
      <c r="S392" s="299"/>
      <c r="T392" s="299"/>
      <c r="U392" s="299"/>
      <c r="V392" s="299"/>
      <c r="W392" s="299"/>
      <c r="X392" s="299"/>
      <c r="Y392" s="299"/>
      <c r="Z392" s="299"/>
      <c r="AA392" s="299"/>
      <c r="AB392" s="299"/>
      <c r="AC392" s="300"/>
      <c r="AD392" s="300"/>
    </row>
    <row r="393" spans="1:30" ht="12.75" customHeight="1" x14ac:dyDescent="0.2">
      <c r="A393" s="296"/>
      <c r="B393" s="296"/>
      <c r="C393" s="296"/>
      <c r="D393" s="298"/>
      <c r="E393" s="298"/>
      <c r="F393" s="296"/>
      <c r="G393" s="296"/>
      <c r="H393" s="296"/>
      <c r="I393" s="296"/>
      <c r="J393" s="296"/>
      <c r="K393" s="296"/>
      <c r="L393" s="296"/>
      <c r="M393" s="299"/>
      <c r="N393" s="299"/>
      <c r="O393" s="299"/>
      <c r="P393" s="299"/>
      <c r="Q393" s="299"/>
      <c r="R393" s="299"/>
      <c r="S393" s="299"/>
      <c r="T393" s="299"/>
      <c r="U393" s="299"/>
      <c r="V393" s="299"/>
      <c r="W393" s="299"/>
      <c r="X393" s="299"/>
      <c r="Y393" s="299"/>
      <c r="Z393" s="299"/>
      <c r="AA393" s="299"/>
      <c r="AB393" s="299"/>
      <c r="AC393" s="300"/>
      <c r="AD393" s="300"/>
    </row>
    <row r="394" spans="1:30" ht="12.75" customHeight="1" x14ac:dyDescent="0.2">
      <c r="A394" s="296"/>
      <c r="B394" s="296"/>
      <c r="C394" s="296"/>
      <c r="D394" s="298"/>
      <c r="E394" s="298"/>
      <c r="F394" s="296"/>
      <c r="G394" s="296"/>
      <c r="H394" s="296"/>
      <c r="I394" s="296"/>
      <c r="J394" s="296"/>
      <c r="K394" s="296"/>
      <c r="L394" s="296"/>
      <c r="M394" s="299"/>
      <c r="N394" s="299"/>
      <c r="O394" s="299"/>
      <c r="P394" s="299"/>
      <c r="Q394" s="299"/>
      <c r="R394" s="299"/>
      <c r="S394" s="299"/>
      <c r="T394" s="299"/>
      <c r="U394" s="299"/>
      <c r="V394" s="299"/>
      <c r="W394" s="299"/>
      <c r="X394" s="299"/>
      <c r="Y394" s="299"/>
      <c r="Z394" s="299"/>
      <c r="AA394" s="299"/>
      <c r="AB394" s="299"/>
      <c r="AC394" s="300"/>
      <c r="AD394" s="300"/>
    </row>
    <row r="395" spans="1:30" ht="12.75" customHeight="1" x14ac:dyDescent="0.2">
      <c r="A395" s="296"/>
      <c r="B395" s="296"/>
      <c r="C395" s="296"/>
      <c r="D395" s="298"/>
      <c r="E395" s="298"/>
      <c r="F395" s="296"/>
      <c r="G395" s="296"/>
      <c r="H395" s="296"/>
      <c r="I395" s="296"/>
      <c r="J395" s="296"/>
      <c r="K395" s="296"/>
      <c r="L395" s="296"/>
      <c r="M395" s="299"/>
      <c r="N395" s="299"/>
      <c r="O395" s="299"/>
      <c r="P395" s="299"/>
      <c r="Q395" s="299"/>
      <c r="R395" s="299"/>
      <c r="S395" s="299"/>
      <c r="T395" s="299"/>
      <c r="U395" s="299"/>
      <c r="V395" s="299"/>
      <c r="W395" s="299"/>
      <c r="X395" s="299"/>
      <c r="Y395" s="299"/>
      <c r="Z395" s="299"/>
      <c r="AA395" s="299"/>
      <c r="AB395" s="299"/>
      <c r="AC395" s="300"/>
      <c r="AD395" s="300"/>
    </row>
    <row r="396" spans="1:30" ht="12.75" customHeight="1" x14ac:dyDescent="0.2">
      <c r="A396" s="296"/>
      <c r="B396" s="296"/>
      <c r="C396" s="296"/>
      <c r="D396" s="298"/>
      <c r="E396" s="298"/>
      <c r="F396" s="296"/>
      <c r="G396" s="296"/>
      <c r="H396" s="296"/>
      <c r="I396" s="296"/>
      <c r="J396" s="296"/>
      <c r="K396" s="296"/>
      <c r="L396" s="296"/>
      <c r="M396" s="299"/>
      <c r="N396" s="299"/>
      <c r="O396" s="299"/>
      <c r="P396" s="299"/>
      <c r="Q396" s="299"/>
      <c r="R396" s="299"/>
      <c r="S396" s="299"/>
      <c r="T396" s="299"/>
      <c r="U396" s="299"/>
      <c r="V396" s="299"/>
      <c r="W396" s="299"/>
      <c r="X396" s="299"/>
      <c r="Y396" s="299"/>
      <c r="Z396" s="299"/>
      <c r="AA396" s="299"/>
      <c r="AB396" s="299"/>
      <c r="AC396" s="300"/>
      <c r="AD396" s="300"/>
    </row>
    <row r="397" spans="1:30" ht="12.75" customHeight="1" x14ac:dyDescent="0.2">
      <c r="A397" s="296"/>
      <c r="B397" s="296"/>
      <c r="C397" s="296"/>
      <c r="D397" s="298"/>
      <c r="E397" s="298"/>
      <c r="F397" s="296"/>
      <c r="G397" s="296"/>
      <c r="H397" s="296"/>
      <c r="I397" s="296"/>
      <c r="J397" s="296"/>
      <c r="K397" s="296"/>
      <c r="L397" s="296"/>
      <c r="M397" s="299"/>
      <c r="N397" s="299"/>
      <c r="O397" s="299"/>
      <c r="P397" s="299"/>
      <c r="Q397" s="299"/>
      <c r="R397" s="299"/>
      <c r="S397" s="299"/>
      <c r="T397" s="299"/>
      <c r="U397" s="299"/>
      <c r="V397" s="299"/>
      <c r="W397" s="299"/>
      <c r="X397" s="299"/>
      <c r="Y397" s="299"/>
      <c r="Z397" s="299"/>
      <c r="AA397" s="299"/>
      <c r="AB397" s="299"/>
      <c r="AC397" s="300"/>
      <c r="AD397" s="300"/>
    </row>
    <row r="398" spans="1:30" ht="12.75" customHeight="1" x14ac:dyDescent="0.2">
      <c r="A398" s="296"/>
      <c r="B398" s="296"/>
      <c r="C398" s="296"/>
      <c r="D398" s="298"/>
      <c r="E398" s="298"/>
      <c r="F398" s="296"/>
      <c r="G398" s="296"/>
      <c r="H398" s="296"/>
      <c r="I398" s="296"/>
      <c r="J398" s="296"/>
      <c r="K398" s="296"/>
      <c r="L398" s="296"/>
      <c r="M398" s="299"/>
      <c r="N398" s="299"/>
      <c r="O398" s="299"/>
      <c r="P398" s="299"/>
      <c r="Q398" s="299"/>
      <c r="R398" s="299"/>
      <c r="S398" s="299"/>
      <c r="T398" s="299"/>
      <c r="U398" s="299"/>
      <c r="V398" s="299"/>
      <c r="W398" s="299"/>
      <c r="X398" s="299"/>
      <c r="Y398" s="299"/>
      <c r="Z398" s="299"/>
      <c r="AA398" s="299"/>
      <c r="AB398" s="299"/>
      <c r="AC398" s="300"/>
      <c r="AD398" s="300"/>
    </row>
    <row r="399" spans="1:30" ht="12.75" customHeight="1" x14ac:dyDescent="0.2">
      <c r="A399" s="296"/>
      <c r="B399" s="296"/>
      <c r="C399" s="296"/>
      <c r="D399" s="298"/>
      <c r="E399" s="298"/>
      <c r="F399" s="296"/>
      <c r="G399" s="296"/>
      <c r="H399" s="296"/>
      <c r="I399" s="296"/>
      <c r="J399" s="296"/>
      <c r="K399" s="296"/>
      <c r="L399" s="296"/>
      <c r="M399" s="299"/>
      <c r="N399" s="299"/>
      <c r="O399" s="299"/>
      <c r="P399" s="299"/>
      <c r="Q399" s="299"/>
      <c r="R399" s="299"/>
      <c r="S399" s="299"/>
      <c r="T399" s="299"/>
      <c r="U399" s="299"/>
      <c r="V399" s="299"/>
      <c r="W399" s="299"/>
      <c r="X399" s="299"/>
      <c r="Y399" s="299"/>
      <c r="Z399" s="299"/>
      <c r="AA399" s="299"/>
      <c r="AB399" s="299"/>
      <c r="AC399" s="300"/>
      <c r="AD399" s="300"/>
    </row>
    <row r="400" spans="1:30" ht="12.75" customHeight="1" x14ac:dyDescent="0.2">
      <c r="A400" s="296"/>
      <c r="B400" s="296"/>
      <c r="C400" s="296"/>
      <c r="D400" s="298"/>
      <c r="E400" s="298"/>
      <c r="F400" s="296"/>
      <c r="G400" s="296"/>
      <c r="H400" s="296"/>
      <c r="I400" s="296"/>
      <c r="J400" s="296"/>
      <c r="K400" s="296"/>
      <c r="L400" s="296"/>
      <c r="M400" s="299"/>
      <c r="N400" s="299"/>
      <c r="O400" s="299"/>
      <c r="P400" s="299"/>
      <c r="Q400" s="299"/>
      <c r="R400" s="299"/>
      <c r="S400" s="299"/>
      <c r="T400" s="299"/>
      <c r="U400" s="299"/>
      <c r="V400" s="299"/>
      <c r="W400" s="299"/>
      <c r="X400" s="299"/>
      <c r="Y400" s="299"/>
      <c r="Z400" s="299"/>
      <c r="AA400" s="299"/>
      <c r="AB400" s="299"/>
      <c r="AC400" s="300"/>
      <c r="AD400" s="300"/>
    </row>
    <row r="401" spans="1:30" ht="12.75" customHeight="1" x14ac:dyDescent="0.2">
      <c r="A401" s="296"/>
      <c r="B401" s="296"/>
      <c r="C401" s="296"/>
      <c r="D401" s="298"/>
      <c r="E401" s="298"/>
      <c r="F401" s="296"/>
      <c r="G401" s="296"/>
      <c r="H401" s="296"/>
      <c r="I401" s="296"/>
      <c r="J401" s="296"/>
      <c r="K401" s="296"/>
      <c r="L401" s="296"/>
      <c r="M401" s="299"/>
      <c r="N401" s="299"/>
      <c r="O401" s="299"/>
      <c r="P401" s="299"/>
      <c r="Q401" s="299"/>
      <c r="R401" s="299"/>
      <c r="S401" s="299"/>
      <c r="T401" s="299"/>
      <c r="U401" s="299"/>
      <c r="V401" s="299"/>
      <c r="W401" s="299"/>
      <c r="X401" s="299"/>
      <c r="Y401" s="299"/>
      <c r="Z401" s="299"/>
      <c r="AA401" s="299"/>
      <c r="AB401" s="299"/>
      <c r="AC401" s="300"/>
      <c r="AD401" s="300"/>
    </row>
    <row r="402" spans="1:30" ht="12.75" customHeight="1" x14ac:dyDescent="0.2">
      <c r="A402" s="296"/>
      <c r="B402" s="296"/>
      <c r="C402" s="296"/>
      <c r="D402" s="298"/>
      <c r="E402" s="298"/>
      <c r="F402" s="296"/>
      <c r="G402" s="296"/>
      <c r="H402" s="296"/>
      <c r="I402" s="296"/>
      <c r="J402" s="296"/>
      <c r="K402" s="296"/>
      <c r="L402" s="296"/>
      <c r="M402" s="299"/>
      <c r="N402" s="299"/>
      <c r="O402" s="299"/>
      <c r="P402" s="299"/>
      <c r="Q402" s="299"/>
      <c r="R402" s="299"/>
      <c r="S402" s="299"/>
      <c r="T402" s="299"/>
      <c r="U402" s="299"/>
      <c r="V402" s="299"/>
      <c r="W402" s="299"/>
      <c r="X402" s="299"/>
      <c r="Y402" s="299"/>
      <c r="Z402" s="299"/>
      <c r="AA402" s="299"/>
      <c r="AB402" s="299"/>
      <c r="AC402" s="300"/>
      <c r="AD402" s="300"/>
    </row>
    <row r="403" spans="1:30" ht="12.75" customHeight="1" x14ac:dyDescent="0.2">
      <c r="A403" s="296"/>
      <c r="B403" s="296"/>
      <c r="C403" s="296"/>
      <c r="D403" s="298"/>
      <c r="E403" s="298"/>
      <c r="F403" s="296"/>
      <c r="G403" s="296"/>
      <c r="H403" s="296"/>
      <c r="I403" s="296"/>
      <c r="J403" s="296"/>
      <c r="K403" s="296"/>
      <c r="L403" s="296"/>
      <c r="M403" s="299"/>
      <c r="N403" s="299"/>
      <c r="O403" s="299"/>
      <c r="P403" s="299"/>
      <c r="Q403" s="299"/>
      <c r="R403" s="299"/>
      <c r="S403" s="299"/>
      <c r="T403" s="299"/>
      <c r="U403" s="299"/>
      <c r="V403" s="299"/>
      <c r="W403" s="299"/>
      <c r="X403" s="299"/>
      <c r="Y403" s="299"/>
      <c r="Z403" s="299"/>
      <c r="AA403" s="299"/>
      <c r="AB403" s="299"/>
      <c r="AC403" s="300"/>
      <c r="AD403" s="300"/>
    </row>
    <row r="404" spans="1:30" ht="12.75" customHeight="1" x14ac:dyDescent="0.2">
      <c r="A404" s="296"/>
      <c r="B404" s="296"/>
      <c r="C404" s="296"/>
      <c r="D404" s="298"/>
      <c r="E404" s="298"/>
      <c r="F404" s="296"/>
      <c r="G404" s="296"/>
      <c r="H404" s="296"/>
      <c r="I404" s="296"/>
      <c r="J404" s="296"/>
      <c r="K404" s="296"/>
      <c r="L404" s="296"/>
      <c r="M404" s="299"/>
      <c r="N404" s="299"/>
      <c r="O404" s="299"/>
      <c r="P404" s="299"/>
      <c r="Q404" s="299"/>
      <c r="R404" s="299"/>
      <c r="S404" s="299"/>
      <c r="T404" s="299"/>
      <c r="U404" s="299"/>
      <c r="V404" s="299"/>
      <c r="W404" s="299"/>
      <c r="X404" s="299"/>
      <c r="Y404" s="299"/>
      <c r="Z404" s="299"/>
      <c r="AA404" s="299"/>
      <c r="AB404" s="299"/>
      <c r="AC404" s="300"/>
      <c r="AD404" s="300"/>
    </row>
    <row r="405" spans="1:30" ht="12.75" customHeight="1" x14ac:dyDescent="0.2">
      <c r="A405" s="296"/>
      <c r="B405" s="296"/>
      <c r="C405" s="296"/>
      <c r="D405" s="298"/>
      <c r="E405" s="298"/>
      <c r="F405" s="296"/>
      <c r="G405" s="296"/>
      <c r="H405" s="296"/>
      <c r="I405" s="296"/>
      <c r="J405" s="296"/>
      <c r="K405" s="296"/>
      <c r="L405" s="296"/>
      <c r="M405" s="299"/>
      <c r="N405" s="299"/>
      <c r="O405" s="299"/>
      <c r="P405" s="299"/>
      <c r="Q405" s="299"/>
      <c r="R405" s="299"/>
      <c r="S405" s="299"/>
      <c r="T405" s="299"/>
      <c r="U405" s="299"/>
      <c r="V405" s="299"/>
      <c r="W405" s="299"/>
      <c r="X405" s="299"/>
      <c r="Y405" s="299"/>
      <c r="Z405" s="299"/>
      <c r="AA405" s="299"/>
      <c r="AB405" s="299"/>
      <c r="AC405" s="300"/>
      <c r="AD405" s="300"/>
    </row>
    <row r="406" spans="1:30" ht="12.75" customHeight="1" x14ac:dyDescent="0.2">
      <c r="A406" s="296"/>
      <c r="B406" s="296"/>
      <c r="C406" s="296"/>
      <c r="D406" s="298"/>
      <c r="E406" s="298"/>
      <c r="F406" s="296"/>
      <c r="G406" s="296"/>
      <c r="H406" s="296"/>
      <c r="I406" s="296"/>
      <c r="J406" s="296"/>
      <c r="K406" s="296"/>
      <c r="L406" s="296"/>
      <c r="M406" s="299"/>
      <c r="N406" s="299"/>
      <c r="O406" s="299"/>
      <c r="P406" s="299"/>
      <c r="Q406" s="299"/>
      <c r="R406" s="299"/>
      <c r="S406" s="299"/>
      <c r="T406" s="299"/>
      <c r="U406" s="299"/>
      <c r="V406" s="299"/>
      <c r="W406" s="299"/>
      <c r="X406" s="299"/>
      <c r="Y406" s="299"/>
      <c r="Z406" s="299"/>
      <c r="AA406" s="299"/>
      <c r="AB406" s="299"/>
      <c r="AC406" s="300"/>
      <c r="AD406" s="300"/>
    </row>
    <row r="407" spans="1:30" ht="12.75" customHeight="1" x14ac:dyDescent="0.2">
      <c r="A407" s="296"/>
      <c r="B407" s="296"/>
      <c r="C407" s="296"/>
      <c r="D407" s="298"/>
      <c r="E407" s="298"/>
      <c r="F407" s="296"/>
      <c r="G407" s="296"/>
      <c r="H407" s="296"/>
      <c r="I407" s="296"/>
      <c r="J407" s="296"/>
      <c r="K407" s="296"/>
      <c r="L407" s="296"/>
      <c r="M407" s="299"/>
      <c r="N407" s="299"/>
      <c r="O407" s="299"/>
      <c r="P407" s="299"/>
      <c r="Q407" s="299"/>
      <c r="R407" s="299"/>
      <c r="S407" s="299"/>
      <c r="T407" s="299"/>
      <c r="U407" s="299"/>
      <c r="V407" s="299"/>
      <c r="W407" s="299"/>
      <c r="X407" s="299"/>
      <c r="Y407" s="299"/>
      <c r="Z407" s="299"/>
      <c r="AA407" s="299"/>
      <c r="AB407" s="299"/>
      <c r="AC407" s="300"/>
      <c r="AD407" s="300"/>
    </row>
    <row r="408" spans="1:30" ht="12.75" customHeight="1" x14ac:dyDescent="0.2">
      <c r="A408" s="296"/>
      <c r="B408" s="296"/>
      <c r="C408" s="296"/>
      <c r="D408" s="298"/>
      <c r="E408" s="298"/>
      <c r="F408" s="296"/>
      <c r="G408" s="296"/>
      <c r="H408" s="296"/>
      <c r="I408" s="296"/>
      <c r="J408" s="296"/>
      <c r="K408" s="296"/>
      <c r="L408" s="296"/>
      <c r="M408" s="299"/>
      <c r="N408" s="299"/>
      <c r="O408" s="299"/>
      <c r="P408" s="299"/>
      <c r="Q408" s="299"/>
      <c r="R408" s="299"/>
      <c r="S408" s="299"/>
      <c r="T408" s="299"/>
      <c r="U408" s="299"/>
      <c r="V408" s="299"/>
      <c r="W408" s="299"/>
      <c r="X408" s="299"/>
      <c r="Y408" s="299"/>
      <c r="Z408" s="299"/>
      <c r="AA408" s="299"/>
      <c r="AB408" s="299"/>
      <c r="AC408" s="300"/>
      <c r="AD408" s="300"/>
    </row>
    <row r="409" spans="1:30" ht="12.75" customHeight="1" x14ac:dyDescent="0.2">
      <c r="A409" s="296"/>
      <c r="B409" s="296"/>
      <c r="C409" s="296"/>
      <c r="D409" s="298"/>
      <c r="E409" s="298"/>
      <c r="F409" s="296"/>
      <c r="G409" s="296"/>
      <c r="H409" s="296"/>
      <c r="I409" s="296"/>
      <c r="J409" s="296"/>
      <c r="K409" s="296"/>
      <c r="L409" s="296"/>
      <c r="M409" s="299"/>
      <c r="N409" s="299"/>
      <c r="O409" s="299"/>
      <c r="P409" s="299"/>
      <c r="Q409" s="299"/>
      <c r="R409" s="299"/>
      <c r="S409" s="299"/>
      <c r="T409" s="299"/>
      <c r="U409" s="299"/>
      <c r="V409" s="299"/>
      <c r="W409" s="299"/>
      <c r="X409" s="299"/>
      <c r="Y409" s="299"/>
      <c r="Z409" s="299"/>
      <c r="AA409" s="299"/>
      <c r="AB409" s="299"/>
      <c r="AC409" s="300"/>
      <c r="AD409" s="300"/>
    </row>
    <row r="410" spans="1:30" ht="12.75" customHeight="1" x14ac:dyDescent="0.2">
      <c r="A410" s="296"/>
      <c r="B410" s="296"/>
      <c r="C410" s="296"/>
      <c r="D410" s="298"/>
      <c r="E410" s="298"/>
      <c r="F410" s="296"/>
      <c r="G410" s="296"/>
      <c r="H410" s="296"/>
      <c r="I410" s="296"/>
      <c r="J410" s="296"/>
      <c r="K410" s="296"/>
      <c r="L410" s="296"/>
      <c r="M410" s="299"/>
      <c r="N410" s="299"/>
      <c r="O410" s="299"/>
      <c r="P410" s="299"/>
      <c r="Q410" s="299"/>
      <c r="R410" s="299"/>
      <c r="S410" s="299"/>
      <c r="T410" s="299"/>
      <c r="U410" s="299"/>
      <c r="V410" s="299"/>
      <c r="W410" s="299"/>
      <c r="X410" s="299"/>
      <c r="Y410" s="299"/>
      <c r="Z410" s="299"/>
      <c r="AA410" s="299"/>
      <c r="AB410" s="299"/>
      <c r="AC410" s="300"/>
      <c r="AD410" s="300"/>
    </row>
    <row r="411" spans="1:30" ht="12.75" customHeight="1" x14ac:dyDescent="0.2">
      <c r="A411" s="296"/>
      <c r="B411" s="296"/>
      <c r="C411" s="296"/>
      <c r="D411" s="298"/>
      <c r="E411" s="298"/>
      <c r="F411" s="296"/>
      <c r="G411" s="296"/>
      <c r="H411" s="296"/>
      <c r="I411" s="296"/>
      <c r="J411" s="296"/>
      <c r="K411" s="296"/>
      <c r="L411" s="296"/>
      <c r="M411" s="299"/>
      <c r="N411" s="299"/>
      <c r="O411" s="299"/>
      <c r="P411" s="299"/>
      <c r="Q411" s="299"/>
      <c r="R411" s="299"/>
      <c r="S411" s="299"/>
      <c r="T411" s="299"/>
      <c r="U411" s="299"/>
      <c r="V411" s="299"/>
      <c r="W411" s="299"/>
      <c r="X411" s="299"/>
      <c r="Y411" s="299"/>
      <c r="Z411" s="299"/>
      <c r="AA411" s="299"/>
      <c r="AB411" s="299"/>
      <c r="AC411" s="300"/>
      <c r="AD411" s="300"/>
    </row>
    <row r="412" spans="1:30" ht="12.75" customHeight="1" x14ac:dyDescent="0.2">
      <c r="A412" s="296"/>
      <c r="B412" s="296"/>
      <c r="C412" s="296"/>
      <c r="D412" s="298"/>
      <c r="E412" s="298"/>
      <c r="F412" s="296"/>
      <c r="G412" s="296"/>
      <c r="H412" s="296"/>
      <c r="I412" s="296"/>
      <c r="J412" s="296"/>
      <c r="K412" s="296"/>
      <c r="L412" s="296"/>
      <c r="M412" s="299"/>
      <c r="N412" s="299"/>
      <c r="O412" s="299"/>
      <c r="P412" s="299"/>
      <c r="Q412" s="299"/>
      <c r="R412" s="299"/>
      <c r="S412" s="299"/>
      <c r="T412" s="299"/>
      <c r="U412" s="299"/>
      <c r="V412" s="299"/>
      <c r="W412" s="299"/>
      <c r="X412" s="299"/>
      <c r="Y412" s="299"/>
      <c r="Z412" s="299"/>
      <c r="AA412" s="299"/>
      <c r="AB412" s="299"/>
      <c r="AC412" s="300"/>
      <c r="AD412" s="300"/>
    </row>
    <row r="413" spans="1:30" ht="12.75" customHeight="1" x14ac:dyDescent="0.2">
      <c r="A413" s="296"/>
      <c r="B413" s="296"/>
      <c r="C413" s="296"/>
      <c r="D413" s="298"/>
      <c r="E413" s="298"/>
      <c r="F413" s="296"/>
      <c r="G413" s="296"/>
      <c r="H413" s="296"/>
      <c r="I413" s="296"/>
      <c r="J413" s="296"/>
      <c r="K413" s="296"/>
      <c r="L413" s="296"/>
      <c r="M413" s="299"/>
      <c r="N413" s="299"/>
      <c r="O413" s="299"/>
      <c r="P413" s="299"/>
      <c r="Q413" s="299"/>
      <c r="R413" s="299"/>
      <c r="S413" s="299"/>
      <c r="T413" s="299"/>
      <c r="U413" s="299"/>
      <c r="V413" s="299"/>
      <c r="W413" s="299"/>
      <c r="X413" s="299"/>
      <c r="Y413" s="299"/>
      <c r="Z413" s="299"/>
      <c r="AA413" s="299"/>
      <c r="AB413" s="299"/>
      <c r="AC413" s="300"/>
      <c r="AD413" s="300"/>
    </row>
    <row r="414" spans="1:30" ht="12.75" customHeight="1" x14ac:dyDescent="0.2">
      <c r="A414" s="296"/>
      <c r="B414" s="296"/>
      <c r="C414" s="296"/>
      <c r="D414" s="298"/>
      <c r="E414" s="298"/>
      <c r="F414" s="296"/>
      <c r="G414" s="296"/>
      <c r="H414" s="296"/>
      <c r="I414" s="296"/>
      <c r="J414" s="296"/>
      <c r="K414" s="296"/>
      <c r="L414" s="296"/>
      <c r="M414" s="299"/>
      <c r="N414" s="299"/>
      <c r="O414" s="299"/>
      <c r="P414" s="299"/>
      <c r="Q414" s="299"/>
      <c r="R414" s="299"/>
      <c r="S414" s="299"/>
      <c r="T414" s="299"/>
      <c r="U414" s="299"/>
      <c r="V414" s="299"/>
      <c r="W414" s="299"/>
      <c r="X414" s="299"/>
      <c r="Y414" s="299"/>
      <c r="Z414" s="299"/>
      <c r="AA414" s="299"/>
      <c r="AB414" s="299"/>
      <c r="AC414" s="300"/>
      <c r="AD414" s="300"/>
    </row>
    <row r="415" spans="1:30" ht="12.75" customHeight="1" x14ac:dyDescent="0.2">
      <c r="A415" s="296"/>
      <c r="B415" s="296"/>
      <c r="C415" s="296"/>
      <c r="D415" s="298"/>
      <c r="E415" s="298"/>
      <c r="F415" s="296"/>
      <c r="G415" s="296"/>
      <c r="H415" s="296"/>
      <c r="I415" s="296"/>
      <c r="J415" s="296"/>
      <c r="K415" s="296"/>
      <c r="L415" s="296"/>
      <c r="M415" s="299"/>
      <c r="N415" s="299"/>
      <c r="O415" s="299"/>
      <c r="P415" s="299"/>
      <c r="Q415" s="299"/>
      <c r="R415" s="299"/>
      <c r="S415" s="299"/>
      <c r="T415" s="299"/>
      <c r="U415" s="299"/>
      <c r="V415" s="299"/>
      <c r="W415" s="299"/>
      <c r="X415" s="299"/>
      <c r="Y415" s="299"/>
      <c r="Z415" s="299"/>
      <c r="AA415" s="299"/>
      <c r="AB415" s="299"/>
      <c r="AC415" s="300"/>
      <c r="AD415" s="300"/>
    </row>
    <row r="416" spans="1:30" ht="12.75" customHeight="1" x14ac:dyDescent="0.2">
      <c r="A416" s="296"/>
      <c r="B416" s="296"/>
      <c r="C416" s="296"/>
      <c r="D416" s="298"/>
      <c r="E416" s="298"/>
      <c r="F416" s="296"/>
      <c r="G416" s="296"/>
      <c r="H416" s="296"/>
      <c r="I416" s="296"/>
      <c r="J416" s="296"/>
      <c r="K416" s="296"/>
      <c r="L416" s="296"/>
      <c r="M416" s="299"/>
      <c r="N416" s="299"/>
      <c r="O416" s="299"/>
      <c r="P416" s="299"/>
      <c r="Q416" s="299"/>
      <c r="R416" s="299"/>
      <c r="S416" s="299"/>
      <c r="T416" s="299"/>
      <c r="U416" s="299"/>
      <c r="V416" s="299"/>
      <c r="W416" s="299"/>
      <c r="X416" s="299"/>
      <c r="Y416" s="299"/>
      <c r="Z416" s="299"/>
      <c r="AA416" s="299"/>
      <c r="AB416" s="299"/>
      <c r="AC416" s="300"/>
      <c r="AD416" s="300"/>
    </row>
    <row r="417" spans="1:30" ht="12.75" customHeight="1" x14ac:dyDescent="0.2">
      <c r="A417" s="296"/>
      <c r="B417" s="296"/>
      <c r="C417" s="296"/>
      <c r="D417" s="298"/>
      <c r="E417" s="298"/>
      <c r="F417" s="296"/>
      <c r="G417" s="296"/>
      <c r="H417" s="296"/>
      <c r="I417" s="296"/>
      <c r="J417" s="296"/>
      <c r="K417" s="296"/>
      <c r="L417" s="296"/>
      <c r="M417" s="299"/>
      <c r="N417" s="299"/>
      <c r="O417" s="299"/>
      <c r="P417" s="299"/>
      <c r="Q417" s="299"/>
      <c r="R417" s="299"/>
      <c r="S417" s="299"/>
      <c r="T417" s="299"/>
      <c r="U417" s="299"/>
      <c r="V417" s="299"/>
      <c r="W417" s="299"/>
      <c r="X417" s="299"/>
      <c r="Y417" s="299"/>
      <c r="Z417" s="299"/>
      <c r="AA417" s="299"/>
      <c r="AB417" s="299"/>
      <c r="AC417" s="300"/>
      <c r="AD417" s="300"/>
    </row>
    <row r="418" spans="1:30" ht="12.75" customHeight="1" x14ac:dyDescent="0.2">
      <c r="A418" s="296"/>
      <c r="B418" s="296"/>
      <c r="C418" s="296"/>
      <c r="D418" s="298"/>
      <c r="E418" s="298"/>
      <c r="F418" s="296"/>
      <c r="G418" s="296"/>
      <c r="H418" s="296"/>
      <c r="I418" s="296"/>
      <c r="J418" s="296"/>
      <c r="K418" s="296"/>
      <c r="L418" s="296"/>
      <c r="M418" s="299"/>
      <c r="N418" s="299"/>
      <c r="O418" s="299"/>
      <c r="P418" s="299"/>
      <c r="Q418" s="299"/>
      <c r="R418" s="299"/>
      <c r="S418" s="299"/>
      <c r="T418" s="299"/>
      <c r="U418" s="299"/>
      <c r="V418" s="299"/>
      <c r="W418" s="299"/>
      <c r="X418" s="299"/>
      <c r="Y418" s="299"/>
      <c r="Z418" s="299"/>
      <c r="AA418" s="299"/>
      <c r="AB418" s="299"/>
      <c r="AC418" s="300"/>
      <c r="AD418" s="300"/>
    </row>
    <row r="419" spans="1:30" ht="12.75" customHeight="1" x14ac:dyDescent="0.2">
      <c r="A419" s="296"/>
      <c r="B419" s="296"/>
      <c r="C419" s="296"/>
      <c r="D419" s="298"/>
      <c r="E419" s="298"/>
      <c r="F419" s="296"/>
      <c r="G419" s="296"/>
      <c r="H419" s="296"/>
      <c r="I419" s="296"/>
      <c r="J419" s="296"/>
      <c r="K419" s="296"/>
      <c r="L419" s="296"/>
      <c r="M419" s="299"/>
      <c r="N419" s="299"/>
      <c r="O419" s="299"/>
      <c r="P419" s="299"/>
      <c r="Q419" s="299"/>
      <c r="R419" s="299"/>
      <c r="S419" s="299"/>
      <c r="T419" s="299"/>
      <c r="U419" s="299"/>
      <c r="V419" s="299"/>
      <c r="W419" s="299"/>
      <c r="X419" s="299"/>
      <c r="Y419" s="299"/>
      <c r="Z419" s="299"/>
      <c r="AA419" s="299"/>
      <c r="AB419" s="299"/>
      <c r="AC419" s="300"/>
      <c r="AD419" s="300"/>
    </row>
    <row r="420" spans="1:30" ht="12.75" customHeight="1" x14ac:dyDescent="0.2">
      <c r="A420" s="296"/>
      <c r="B420" s="296"/>
      <c r="C420" s="296"/>
      <c r="D420" s="298"/>
      <c r="E420" s="298"/>
      <c r="F420" s="296"/>
      <c r="G420" s="296"/>
      <c r="H420" s="296"/>
      <c r="I420" s="296"/>
      <c r="J420" s="296"/>
      <c r="K420" s="296"/>
      <c r="L420" s="296"/>
      <c r="M420" s="299"/>
      <c r="N420" s="299"/>
      <c r="O420" s="299"/>
      <c r="P420" s="299"/>
      <c r="Q420" s="299"/>
      <c r="R420" s="299"/>
      <c r="S420" s="299"/>
      <c r="T420" s="299"/>
      <c r="U420" s="299"/>
      <c r="V420" s="299"/>
      <c r="W420" s="299"/>
      <c r="X420" s="299"/>
      <c r="Y420" s="299"/>
      <c r="Z420" s="299"/>
      <c r="AA420" s="299"/>
      <c r="AB420" s="299"/>
      <c r="AC420" s="300"/>
      <c r="AD420" s="300"/>
    </row>
    <row r="421" spans="1:30" ht="12.75" customHeight="1" x14ac:dyDescent="0.2">
      <c r="A421" s="296"/>
      <c r="B421" s="296"/>
      <c r="C421" s="296"/>
      <c r="D421" s="298"/>
      <c r="E421" s="298"/>
      <c r="F421" s="296"/>
      <c r="G421" s="296"/>
      <c r="H421" s="296"/>
      <c r="I421" s="296"/>
      <c r="J421" s="296"/>
      <c r="K421" s="296"/>
      <c r="L421" s="296"/>
      <c r="M421" s="299"/>
      <c r="N421" s="299"/>
      <c r="O421" s="299"/>
      <c r="P421" s="299"/>
      <c r="Q421" s="299"/>
      <c r="R421" s="299"/>
      <c r="S421" s="299"/>
      <c r="T421" s="299"/>
      <c r="U421" s="299"/>
      <c r="V421" s="299"/>
      <c r="W421" s="299"/>
      <c r="X421" s="299"/>
      <c r="Y421" s="299"/>
      <c r="Z421" s="299"/>
      <c r="AA421" s="299"/>
      <c r="AB421" s="299"/>
      <c r="AC421" s="300"/>
      <c r="AD421" s="300"/>
    </row>
    <row r="422" spans="1:30" ht="12.75" customHeight="1" x14ac:dyDescent="0.2">
      <c r="A422" s="296"/>
      <c r="B422" s="296"/>
      <c r="C422" s="296"/>
      <c r="D422" s="298"/>
      <c r="E422" s="298"/>
      <c r="F422" s="296"/>
      <c r="G422" s="296"/>
      <c r="H422" s="296"/>
      <c r="I422" s="296"/>
      <c r="J422" s="296"/>
      <c r="K422" s="296"/>
      <c r="L422" s="296"/>
      <c r="M422" s="299"/>
      <c r="N422" s="299"/>
      <c r="O422" s="299"/>
      <c r="P422" s="299"/>
      <c r="Q422" s="299"/>
      <c r="R422" s="299"/>
      <c r="S422" s="299"/>
      <c r="T422" s="299"/>
      <c r="U422" s="299"/>
      <c r="V422" s="299"/>
      <c r="W422" s="299"/>
      <c r="X422" s="299"/>
      <c r="Y422" s="299"/>
      <c r="Z422" s="299"/>
      <c r="AA422" s="299"/>
      <c r="AB422" s="299"/>
      <c r="AC422" s="300"/>
      <c r="AD422" s="300"/>
    </row>
    <row r="423" spans="1:30" ht="12.75" customHeight="1" x14ac:dyDescent="0.2">
      <c r="A423" s="296"/>
      <c r="B423" s="296"/>
      <c r="C423" s="296"/>
      <c r="D423" s="298"/>
      <c r="E423" s="298"/>
      <c r="F423" s="296"/>
      <c r="G423" s="296"/>
      <c r="H423" s="296"/>
      <c r="I423" s="296"/>
      <c r="J423" s="296"/>
      <c r="K423" s="296"/>
      <c r="L423" s="296"/>
      <c r="M423" s="299"/>
      <c r="N423" s="299"/>
      <c r="O423" s="299"/>
      <c r="P423" s="299"/>
      <c r="Q423" s="299"/>
      <c r="R423" s="299"/>
      <c r="S423" s="299"/>
      <c r="T423" s="299"/>
      <c r="U423" s="299"/>
      <c r="V423" s="299"/>
      <c r="W423" s="299"/>
      <c r="X423" s="299"/>
      <c r="Y423" s="299"/>
      <c r="Z423" s="299"/>
      <c r="AA423" s="299"/>
      <c r="AB423" s="299"/>
      <c r="AC423" s="300"/>
      <c r="AD423" s="300"/>
    </row>
    <row r="424" spans="1:30" ht="12.75" customHeight="1" x14ac:dyDescent="0.2">
      <c r="A424" s="296"/>
      <c r="B424" s="296"/>
      <c r="C424" s="296"/>
      <c r="D424" s="298"/>
      <c r="E424" s="298"/>
      <c r="F424" s="296"/>
      <c r="G424" s="296"/>
      <c r="H424" s="296"/>
      <c r="I424" s="296"/>
      <c r="J424" s="296"/>
      <c r="K424" s="296"/>
      <c r="L424" s="296"/>
      <c r="M424" s="299"/>
      <c r="N424" s="299"/>
      <c r="O424" s="299"/>
      <c r="P424" s="299"/>
      <c r="Q424" s="299"/>
      <c r="R424" s="299"/>
      <c r="S424" s="299"/>
      <c r="T424" s="299"/>
      <c r="U424" s="299"/>
      <c r="V424" s="299"/>
      <c r="W424" s="299"/>
      <c r="X424" s="299"/>
      <c r="Y424" s="299"/>
      <c r="Z424" s="299"/>
      <c r="AA424" s="299"/>
      <c r="AB424" s="299"/>
      <c r="AC424" s="300"/>
      <c r="AD424" s="300"/>
    </row>
    <row r="425" spans="1:30" ht="12.75" customHeight="1" x14ac:dyDescent="0.2">
      <c r="A425" s="296"/>
      <c r="B425" s="296"/>
      <c r="C425" s="296"/>
      <c r="D425" s="298"/>
      <c r="E425" s="298"/>
      <c r="F425" s="296"/>
      <c r="G425" s="296"/>
      <c r="H425" s="296"/>
      <c r="I425" s="296"/>
      <c r="J425" s="296"/>
      <c r="K425" s="296"/>
      <c r="L425" s="296"/>
      <c r="M425" s="299"/>
      <c r="N425" s="299"/>
      <c r="O425" s="299"/>
      <c r="P425" s="299"/>
      <c r="Q425" s="299"/>
      <c r="R425" s="299"/>
      <c r="S425" s="299"/>
      <c r="T425" s="299"/>
      <c r="U425" s="299"/>
      <c r="V425" s="299"/>
      <c r="W425" s="299"/>
      <c r="X425" s="299"/>
      <c r="Y425" s="299"/>
      <c r="Z425" s="299"/>
      <c r="AA425" s="299"/>
      <c r="AB425" s="299"/>
      <c r="AC425" s="300"/>
      <c r="AD425" s="300"/>
    </row>
    <row r="426" spans="1:30" ht="12.75" customHeight="1" x14ac:dyDescent="0.2">
      <c r="A426" s="296"/>
      <c r="B426" s="296"/>
      <c r="C426" s="296"/>
      <c r="D426" s="298"/>
      <c r="E426" s="298"/>
      <c r="F426" s="296"/>
      <c r="G426" s="296"/>
      <c r="H426" s="296"/>
      <c r="I426" s="296"/>
      <c r="J426" s="296"/>
      <c r="K426" s="296"/>
      <c r="L426" s="296"/>
      <c r="M426" s="299"/>
      <c r="N426" s="299"/>
      <c r="O426" s="299"/>
      <c r="P426" s="299"/>
      <c r="Q426" s="299"/>
      <c r="R426" s="299"/>
      <c r="S426" s="299"/>
      <c r="T426" s="299"/>
      <c r="U426" s="299"/>
      <c r="V426" s="299"/>
      <c r="W426" s="299"/>
      <c r="X426" s="299"/>
      <c r="Y426" s="299"/>
      <c r="Z426" s="299"/>
      <c r="AA426" s="299"/>
      <c r="AB426" s="299"/>
      <c r="AC426" s="300"/>
      <c r="AD426" s="300"/>
    </row>
    <row r="427" spans="1:30" ht="12.75" customHeight="1" x14ac:dyDescent="0.2">
      <c r="A427" s="296"/>
      <c r="B427" s="296"/>
      <c r="C427" s="296"/>
      <c r="D427" s="298"/>
      <c r="E427" s="298"/>
      <c r="F427" s="296"/>
      <c r="G427" s="296"/>
      <c r="H427" s="296"/>
      <c r="I427" s="296"/>
      <c r="J427" s="296"/>
      <c r="K427" s="296"/>
      <c r="L427" s="296"/>
      <c r="M427" s="299"/>
      <c r="N427" s="299"/>
      <c r="O427" s="299"/>
      <c r="P427" s="299"/>
      <c r="Q427" s="299"/>
      <c r="R427" s="299"/>
      <c r="S427" s="299"/>
      <c r="T427" s="299"/>
      <c r="U427" s="299"/>
      <c r="V427" s="299"/>
      <c r="W427" s="299"/>
      <c r="X427" s="299"/>
      <c r="Y427" s="299"/>
      <c r="Z427" s="299"/>
      <c r="AA427" s="299"/>
      <c r="AB427" s="299"/>
      <c r="AC427" s="300"/>
      <c r="AD427" s="300"/>
    </row>
    <row r="428" spans="1:30" ht="12.75" customHeight="1" x14ac:dyDescent="0.2">
      <c r="A428" s="296"/>
      <c r="B428" s="296"/>
      <c r="C428" s="296"/>
      <c r="D428" s="298"/>
      <c r="E428" s="298"/>
      <c r="F428" s="296"/>
      <c r="G428" s="296"/>
      <c r="H428" s="296"/>
      <c r="I428" s="296"/>
      <c r="J428" s="296"/>
      <c r="K428" s="296"/>
      <c r="L428" s="296"/>
      <c r="M428" s="299"/>
      <c r="N428" s="299"/>
      <c r="O428" s="299"/>
      <c r="P428" s="299"/>
      <c r="Q428" s="299"/>
      <c r="R428" s="299"/>
      <c r="S428" s="299"/>
      <c r="T428" s="299"/>
      <c r="U428" s="299"/>
      <c r="V428" s="299"/>
      <c r="W428" s="299"/>
      <c r="X428" s="299"/>
      <c r="Y428" s="299"/>
      <c r="Z428" s="299"/>
      <c r="AA428" s="299"/>
      <c r="AB428" s="299"/>
      <c r="AC428" s="300"/>
      <c r="AD428" s="300"/>
    </row>
    <row r="429" spans="1:30" ht="12.75" customHeight="1" x14ac:dyDescent="0.2">
      <c r="A429" s="296"/>
      <c r="B429" s="296"/>
      <c r="C429" s="296"/>
      <c r="D429" s="298"/>
      <c r="E429" s="298"/>
      <c r="F429" s="296"/>
      <c r="G429" s="296"/>
      <c r="H429" s="296"/>
      <c r="I429" s="296"/>
      <c r="J429" s="296"/>
      <c r="K429" s="296"/>
      <c r="L429" s="296"/>
      <c r="M429" s="299"/>
      <c r="N429" s="299"/>
      <c r="O429" s="299"/>
      <c r="P429" s="299"/>
      <c r="Q429" s="299"/>
      <c r="R429" s="299"/>
      <c r="S429" s="299"/>
      <c r="T429" s="299"/>
      <c r="U429" s="299"/>
      <c r="V429" s="299"/>
      <c r="W429" s="299"/>
      <c r="X429" s="299"/>
      <c r="Y429" s="299"/>
      <c r="Z429" s="299"/>
      <c r="AA429" s="299"/>
      <c r="AB429" s="299"/>
      <c r="AC429" s="300"/>
      <c r="AD429" s="300"/>
    </row>
    <row r="430" spans="1:30" ht="12.75" customHeight="1" x14ac:dyDescent="0.2">
      <c r="A430" s="296"/>
      <c r="B430" s="296"/>
      <c r="C430" s="296"/>
      <c r="D430" s="298"/>
      <c r="E430" s="298"/>
      <c r="F430" s="296"/>
      <c r="G430" s="296"/>
      <c r="H430" s="296"/>
      <c r="I430" s="296"/>
      <c r="J430" s="296"/>
      <c r="K430" s="296"/>
      <c r="L430" s="296"/>
      <c r="M430" s="299"/>
      <c r="N430" s="299"/>
      <c r="O430" s="299"/>
      <c r="P430" s="299"/>
      <c r="Q430" s="299"/>
      <c r="R430" s="299"/>
      <c r="S430" s="299"/>
      <c r="T430" s="299"/>
      <c r="U430" s="299"/>
      <c r="V430" s="299"/>
      <c r="W430" s="299"/>
      <c r="X430" s="299"/>
      <c r="Y430" s="299"/>
      <c r="Z430" s="299"/>
      <c r="AA430" s="299"/>
      <c r="AB430" s="299"/>
      <c r="AC430" s="300"/>
      <c r="AD430" s="300"/>
    </row>
    <row r="431" spans="1:30" ht="12.75" customHeight="1" x14ac:dyDescent="0.2">
      <c r="A431" s="296"/>
      <c r="B431" s="296"/>
      <c r="C431" s="296"/>
      <c r="D431" s="298"/>
      <c r="E431" s="298"/>
      <c r="F431" s="296"/>
      <c r="G431" s="296"/>
      <c r="H431" s="296"/>
      <c r="I431" s="296"/>
      <c r="J431" s="296"/>
      <c r="K431" s="296"/>
      <c r="L431" s="296"/>
      <c r="M431" s="299"/>
      <c r="N431" s="299"/>
      <c r="O431" s="299"/>
      <c r="P431" s="299"/>
      <c r="Q431" s="299"/>
      <c r="R431" s="299"/>
      <c r="S431" s="299"/>
      <c r="T431" s="299"/>
      <c r="U431" s="299"/>
      <c r="V431" s="299"/>
      <c r="W431" s="299"/>
      <c r="X431" s="299"/>
      <c r="Y431" s="299"/>
      <c r="Z431" s="299"/>
      <c r="AA431" s="299"/>
      <c r="AB431" s="299"/>
      <c r="AC431" s="300"/>
      <c r="AD431" s="300"/>
    </row>
    <row r="432" spans="1:30" ht="12.75" customHeight="1" x14ac:dyDescent="0.2">
      <c r="A432" s="296"/>
      <c r="B432" s="296"/>
      <c r="C432" s="296"/>
      <c r="D432" s="298"/>
      <c r="E432" s="298"/>
      <c r="F432" s="296"/>
      <c r="G432" s="296"/>
      <c r="H432" s="296"/>
      <c r="I432" s="296"/>
      <c r="J432" s="296"/>
      <c r="K432" s="296"/>
      <c r="L432" s="296"/>
      <c r="M432" s="299"/>
      <c r="N432" s="299"/>
      <c r="O432" s="299"/>
      <c r="P432" s="299"/>
      <c r="Q432" s="299"/>
      <c r="R432" s="299"/>
      <c r="S432" s="299"/>
      <c r="T432" s="299"/>
      <c r="U432" s="299"/>
      <c r="V432" s="299"/>
      <c r="W432" s="299"/>
      <c r="X432" s="299"/>
      <c r="Y432" s="299"/>
      <c r="Z432" s="299"/>
      <c r="AA432" s="299"/>
      <c r="AB432" s="299"/>
      <c r="AC432" s="300"/>
      <c r="AD432" s="300"/>
    </row>
    <row r="433" spans="1:30" ht="12.75" customHeight="1" x14ac:dyDescent="0.2">
      <c r="A433" s="296"/>
      <c r="B433" s="296"/>
      <c r="C433" s="296"/>
      <c r="D433" s="298"/>
      <c r="E433" s="298"/>
      <c r="F433" s="296"/>
      <c r="G433" s="296"/>
      <c r="H433" s="296"/>
      <c r="I433" s="296"/>
      <c r="J433" s="296"/>
      <c r="K433" s="296"/>
      <c r="L433" s="296"/>
      <c r="M433" s="299"/>
      <c r="N433" s="299"/>
      <c r="O433" s="299"/>
      <c r="P433" s="299"/>
      <c r="Q433" s="299"/>
      <c r="R433" s="299"/>
      <c r="S433" s="299"/>
      <c r="T433" s="299"/>
      <c r="U433" s="299"/>
      <c r="V433" s="299"/>
      <c r="W433" s="299"/>
      <c r="X433" s="299"/>
      <c r="Y433" s="299"/>
      <c r="Z433" s="299"/>
      <c r="AA433" s="299"/>
      <c r="AB433" s="299"/>
      <c r="AC433" s="300"/>
      <c r="AD433" s="300"/>
    </row>
    <row r="434" spans="1:30" ht="12.75" customHeight="1" x14ac:dyDescent="0.2">
      <c r="A434" s="296"/>
      <c r="B434" s="296"/>
      <c r="C434" s="296"/>
      <c r="D434" s="298"/>
      <c r="E434" s="298"/>
      <c r="F434" s="296"/>
      <c r="G434" s="296"/>
      <c r="H434" s="296"/>
      <c r="I434" s="296"/>
      <c r="J434" s="296"/>
      <c r="K434" s="296"/>
      <c r="L434" s="296"/>
      <c r="M434" s="299"/>
      <c r="N434" s="299"/>
      <c r="O434" s="299"/>
      <c r="P434" s="299"/>
      <c r="Q434" s="299"/>
      <c r="R434" s="299"/>
      <c r="S434" s="299"/>
      <c r="T434" s="299"/>
      <c r="U434" s="299"/>
      <c r="V434" s="299"/>
      <c r="W434" s="299"/>
      <c r="X434" s="299"/>
      <c r="Y434" s="299"/>
      <c r="Z434" s="299"/>
      <c r="AA434" s="299"/>
      <c r="AB434" s="299"/>
      <c r="AC434" s="300"/>
      <c r="AD434" s="300"/>
    </row>
    <row r="435" spans="1:30" ht="12.75" customHeight="1" x14ac:dyDescent="0.2">
      <c r="A435" s="296"/>
      <c r="B435" s="296"/>
      <c r="C435" s="296"/>
      <c r="D435" s="298"/>
      <c r="E435" s="298"/>
      <c r="F435" s="296"/>
      <c r="G435" s="296"/>
      <c r="H435" s="296"/>
      <c r="I435" s="296"/>
      <c r="J435" s="296"/>
      <c r="K435" s="296"/>
      <c r="L435" s="296"/>
      <c r="M435" s="299"/>
      <c r="N435" s="299"/>
      <c r="O435" s="299"/>
      <c r="P435" s="299"/>
      <c r="Q435" s="299"/>
      <c r="R435" s="299"/>
      <c r="S435" s="299"/>
      <c r="T435" s="299"/>
      <c r="U435" s="299"/>
      <c r="V435" s="299"/>
      <c r="W435" s="299"/>
      <c r="X435" s="299"/>
      <c r="Y435" s="299"/>
      <c r="Z435" s="299"/>
      <c r="AA435" s="299"/>
      <c r="AB435" s="299"/>
      <c r="AC435" s="300"/>
      <c r="AD435" s="300"/>
    </row>
    <row r="436" spans="1:30" ht="12.75" customHeight="1" x14ac:dyDescent="0.2">
      <c r="A436" s="296"/>
      <c r="B436" s="296"/>
      <c r="C436" s="296"/>
      <c r="D436" s="298"/>
      <c r="E436" s="298"/>
      <c r="F436" s="296"/>
      <c r="G436" s="296"/>
      <c r="H436" s="296"/>
      <c r="I436" s="296"/>
      <c r="J436" s="296"/>
      <c r="K436" s="296"/>
      <c r="L436" s="296"/>
      <c r="M436" s="299"/>
      <c r="N436" s="299"/>
      <c r="O436" s="299"/>
      <c r="P436" s="299"/>
      <c r="Q436" s="299"/>
      <c r="R436" s="299"/>
      <c r="S436" s="299"/>
      <c r="T436" s="299"/>
      <c r="U436" s="299"/>
      <c r="V436" s="299"/>
      <c r="W436" s="299"/>
      <c r="X436" s="299"/>
      <c r="Y436" s="299"/>
      <c r="Z436" s="299"/>
      <c r="AA436" s="299"/>
      <c r="AB436" s="299"/>
      <c r="AC436" s="300"/>
      <c r="AD436" s="300"/>
    </row>
    <row r="437" spans="1:30" ht="12.75" customHeight="1" x14ac:dyDescent="0.2">
      <c r="A437" s="296"/>
      <c r="B437" s="296"/>
      <c r="C437" s="296"/>
      <c r="D437" s="298"/>
      <c r="E437" s="298"/>
      <c r="F437" s="296"/>
      <c r="G437" s="296"/>
      <c r="H437" s="296"/>
      <c r="I437" s="296"/>
      <c r="J437" s="296"/>
      <c r="K437" s="296"/>
      <c r="L437" s="296"/>
      <c r="M437" s="299"/>
      <c r="N437" s="299"/>
      <c r="O437" s="299"/>
      <c r="P437" s="299"/>
      <c r="Q437" s="299"/>
      <c r="R437" s="299"/>
      <c r="S437" s="299"/>
      <c r="T437" s="299"/>
      <c r="U437" s="299"/>
      <c r="V437" s="299"/>
      <c r="W437" s="299"/>
      <c r="X437" s="299"/>
      <c r="Y437" s="299"/>
      <c r="Z437" s="299"/>
      <c r="AA437" s="299"/>
      <c r="AB437" s="299"/>
      <c r="AC437" s="300"/>
      <c r="AD437" s="300"/>
    </row>
    <row r="438" spans="1:30" ht="12.75" customHeight="1" x14ac:dyDescent="0.2">
      <c r="A438" s="296"/>
      <c r="B438" s="296"/>
      <c r="C438" s="296"/>
      <c r="D438" s="298"/>
      <c r="E438" s="298"/>
      <c r="F438" s="296"/>
      <c r="G438" s="296"/>
      <c r="H438" s="296"/>
      <c r="I438" s="296"/>
      <c r="J438" s="296"/>
      <c r="K438" s="296"/>
      <c r="L438" s="296"/>
      <c r="M438" s="299"/>
      <c r="N438" s="299"/>
      <c r="O438" s="299"/>
      <c r="P438" s="299"/>
      <c r="Q438" s="299"/>
      <c r="R438" s="299"/>
      <c r="S438" s="299"/>
      <c r="T438" s="299"/>
      <c r="U438" s="299"/>
      <c r="V438" s="299"/>
      <c r="W438" s="299"/>
      <c r="X438" s="299"/>
      <c r="Y438" s="299"/>
      <c r="Z438" s="299"/>
      <c r="AA438" s="299"/>
      <c r="AB438" s="299"/>
      <c r="AC438" s="300"/>
      <c r="AD438" s="300"/>
    </row>
    <row r="439" spans="1:30" ht="12.75" customHeight="1" x14ac:dyDescent="0.2">
      <c r="A439" s="296"/>
      <c r="B439" s="296"/>
      <c r="C439" s="296"/>
      <c r="D439" s="298"/>
      <c r="E439" s="298"/>
      <c r="F439" s="296"/>
      <c r="G439" s="296"/>
      <c r="H439" s="296"/>
      <c r="I439" s="296"/>
      <c r="J439" s="296"/>
      <c r="K439" s="296"/>
      <c r="L439" s="296"/>
      <c r="M439" s="299"/>
      <c r="N439" s="299"/>
      <c r="O439" s="299"/>
      <c r="P439" s="299"/>
      <c r="Q439" s="299"/>
      <c r="R439" s="299"/>
      <c r="S439" s="299"/>
      <c r="T439" s="299"/>
      <c r="U439" s="299"/>
      <c r="V439" s="299"/>
      <c r="W439" s="299"/>
      <c r="X439" s="299"/>
      <c r="Y439" s="299"/>
      <c r="Z439" s="299"/>
      <c r="AA439" s="299"/>
      <c r="AB439" s="299"/>
      <c r="AC439" s="300"/>
      <c r="AD439" s="300"/>
    </row>
    <row r="440" spans="1:30" ht="12.75" customHeight="1" x14ac:dyDescent="0.2">
      <c r="A440" s="296"/>
      <c r="B440" s="296"/>
      <c r="C440" s="296"/>
      <c r="D440" s="298"/>
      <c r="E440" s="298"/>
      <c r="F440" s="296"/>
      <c r="G440" s="296"/>
      <c r="H440" s="296"/>
      <c r="I440" s="296"/>
      <c r="J440" s="296"/>
      <c r="K440" s="296"/>
      <c r="L440" s="296"/>
      <c r="M440" s="299"/>
      <c r="N440" s="299"/>
      <c r="O440" s="299"/>
      <c r="P440" s="299"/>
      <c r="Q440" s="299"/>
      <c r="R440" s="299"/>
      <c r="S440" s="299"/>
      <c r="T440" s="299"/>
      <c r="U440" s="299"/>
      <c r="V440" s="299"/>
      <c r="W440" s="299"/>
      <c r="X440" s="299"/>
      <c r="Y440" s="299"/>
      <c r="Z440" s="299"/>
      <c r="AA440" s="299"/>
      <c r="AB440" s="299"/>
      <c r="AC440" s="300"/>
      <c r="AD440" s="300"/>
    </row>
    <row r="441" spans="1:30" ht="12.75" customHeight="1" x14ac:dyDescent="0.2">
      <c r="A441" s="296"/>
      <c r="B441" s="296"/>
      <c r="C441" s="296"/>
      <c r="D441" s="298"/>
      <c r="E441" s="298"/>
      <c r="F441" s="296"/>
      <c r="G441" s="296"/>
      <c r="H441" s="296"/>
      <c r="I441" s="296"/>
      <c r="J441" s="296"/>
      <c r="K441" s="296"/>
      <c r="L441" s="296"/>
      <c r="M441" s="299"/>
      <c r="N441" s="299"/>
      <c r="O441" s="299"/>
      <c r="P441" s="299"/>
      <c r="Q441" s="299"/>
      <c r="R441" s="299"/>
      <c r="S441" s="299"/>
      <c r="T441" s="299"/>
      <c r="U441" s="299"/>
      <c r="V441" s="299"/>
      <c r="W441" s="299"/>
      <c r="X441" s="299"/>
      <c r="Y441" s="299"/>
      <c r="Z441" s="299"/>
      <c r="AA441" s="299"/>
      <c r="AB441" s="299"/>
      <c r="AC441" s="300"/>
      <c r="AD441" s="300"/>
    </row>
    <row r="442" spans="1:30" ht="12.75" customHeight="1" x14ac:dyDescent="0.2">
      <c r="A442" s="296"/>
      <c r="B442" s="296"/>
      <c r="C442" s="296"/>
      <c r="D442" s="298"/>
      <c r="E442" s="298"/>
      <c r="F442" s="296"/>
      <c r="G442" s="296"/>
      <c r="H442" s="296"/>
      <c r="I442" s="296"/>
      <c r="J442" s="296"/>
      <c r="K442" s="296"/>
      <c r="L442" s="296"/>
      <c r="M442" s="299"/>
      <c r="N442" s="299"/>
      <c r="O442" s="299"/>
      <c r="P442" s="299"/>
      <c r="Q442" s="299"/>
      <c r="R442" s="299"/>
      <c r="S442" s="299"/>
      <c r="T442" s="299"/>
      <c r="U442" s="299"/>
      <c r="V442" s="299"/>
      <c r="W442" s="299"/>
      <c r="X442" s="299"/>
      <c r="Y442" s="299"/>
      <c r="Z442" s="299"/>
      <c r="AA442" s="299"/>
      <c r="AB442" s="299"/>
      <c r="AC442" s="300"/>
      <c r="AD442" s="300"/>
    </row>
    <row r="443" spans="1:30" ht="12.75" customHeight="1" x14ac:dyDescent="0.2">
      <c r="A443" s="296"/>
      <c r="B443" s="296"/>
      <c r="C443" s="296"/>
      <c r="D443" s="298"/>
      <c r="E443" s="298"/>
      <c r="F443" s="296"/>
      <c r="G443" s="296"/>
      <c r="H443" s="296"/>
      <c r="I443" s="296"/>
      <c r="J443" s="296"/>
      <c r="K443" s="296"/>
      <c r="L443" s="296"/>
      <c r="M443" s="299"/>
      <c r="N443" s="299"/>
      <c r="O443" s="299"/>
      <c r="P443" s="299"/>
      <c r="Q443" s="299"/>
      <c r="R443" s="299"/>
      <c r="S443" s="299"/>
      <c r="T443" s="299"/>
      <c r="U443" s="299"/>
      <c r="V443" s="299"/>
      <c r="W443" s="299"/>
      <c r="X443" s="299"/>
      <c r="Y443" s="299"/>
      <c r="Z443" s="299"/>
      <c r="AA443" s="299"/>
      <c r="AB443" s="299"/>
      <c r="AC443" s="300"/>
      <c r="AD443" s="300"/>
    </row>
    <row r="444" spans="1:30" ht="12.75" customHeight="1" x14ac:dyDescent="0.2">
      <c r="A444" s="296"/>
      <c r="B444" s="296"/>
      <c r="C444" s="296"/>
      <c r="D444" s="298"/>
      <c r="E444" s="298"/>
      <c r="F444" s="296"/>
      <c r="G444" s="296"/>
      <c r="H444" s="296"/>
      <c r="I444" s="296"/>
      <c r="J444" s="296"/>
      <c r="K444" s="296"/>
      <c r="L444" s="296"/>
      <c r="M444" s="299"/>
      <c r="N444" s="299"/>
      <c r="O444" s="299"/>
      <c r="P444" s="299"/>
      <c r="Q444" s="299"/>
      <c r="R444" s="299"/>
      <c r="S444" s="299"/>
      <c r="T444" s="299"/>
      <c r="U444" s="299"/>
      <c r="V444" s="299"/>
      <c r="W444" s="299"/>
      <c r="X444" s="299"/>
      <c r="Y444" s="299"/>
      <c r="Z444" s="299"/>
      <c r="AA444" s="299"/>
      <c r="AB444" s="299"/>
      <c r="AC444" s="300"/>
      <c r="AD444" s="300"/>
    </row>
    <row r="445" spans="1:30" ht="12.75" customHeight="1" x14ac:dyDescent="0.2">
      <c r="A445" s="296"/>
      <c r="B445" s="296"/>
      <c r="C445" s="296"/>
      <c r="D445" s="298"/>
      <c r="E445" s="298"/>
      <c r="F445" s="296"/>
      <c r="G445" s="296"/>
      <c r="H445" s="296"/>
      <c r="I445" s="296"/>
      <c r="J445" s="296"/>
      <c r="K445" s="296"/>
      <c r="L445" s="296"/>
      <c r="M445" s="299"/>
      <c r="N445" s="299"/>
      <c r="O445" s="299"/>
      <c r="P445" s="299"/>
      <c r="Q445" s="299"/>
      <c r="R445" s="299"/>
      <c r="S445" s="299"/>
      <c r="T445" s="299"/>
      <c r="U445" s="299"/>
      <c r="V445" s="299"/>
      <c r="W445" s="299"/>
      <c r="X445" s="299"/>
      <c r="Y445" s="299"/>
      <c r="Z445" s="299"/>
      <c r="AA445" s="299"/>
      <c r="AB445" s="299"/>
      <c r="AC445" s="300"/>
      <c r="AD445" s="300"/>
    </row>
    <row r="446" spans="1:30" ht="12.75" customHeight="1" x14ac:dyDescent="0.2">
      <c r="A446" s="296"/>
      <c r="B446" s="296"/>
      <c r="C446" s="296"/>
      <c r="D446" s="298"/>
      <c r="E446" s="298"/>
      <c r="F446" s="296"/>
      <c r="G446" s="296"/>
      <c r="H446" s="296"/>
      <c r="I446" s="296"/>
      <c r="J446" s="296"/>
      <c r="K446" s="296"/>
      <c r="L446" s="296"/>
      <c r="M446" s="299"/>
      <c r="N446" s="299"/>
      <c r="O446" s="299"/>
      <c r="P446" s="299"/>
      <c r="Q446" s="299"/>
      <c r="R446" s="299"/>
      <c r="S446" s="299"/>
      <c r="T446" s="299"/>
      <c r="U446" s="299"/>
      <c r="V446" s="299"/>
      <c r="W446" s="299"/>
      <c r="X446" s="299"/>
      <c r="Y446" s="299"/>
      <c r="Z446" s="299"/>
      <c r="AA446" s="299"/>
      <c r="AB446" s="299"/>
      <c r="AC446" s="300"/>
      <c r="AD446" s="300"/>
    </row>
    <row r="447" spans="1:30" ht="12.75" customHeight="1" x14ac:dyDescent="0.2">
      <c r="A447" s="296"/>
      <c r="B447" s="296"/>
      <c r="C447" s="296"/>
      <c r="D447" s="298"/>
      <c r="E447" s="298"/>
      <c r="F447" s="296"/>
      <c r="G447" s="296"/>
      <c r="H447" s="296"/>
      <c r="I447" s="296"/>
      <c r="J447" s="296"/>
      <c r="K447" s="296"/>
      <c r="L447" s="296"/>
      <c r="M447" s="299"/>
      <c r="N447" s="299"/>
      <c r="O447" s="299"/>
      <c r="P447" s="299"/>
      <c r="Q447" s="299"/>
      <c r="R447" s="299"/>
      <c r="S447" s="299"/>
      <c r="T447" s="299"/>
      <c r="U447" s="299"/>
      <c r="V447" s="299"/>
      <c r="W447" s="299"/>
      <c r="X447" s="299"/>
      <c r="Y447" s="299"/>
      <c r="Z447" s="299"/>
      <c r="AA447" s="299"/>
      <c r="AB447" s="299"/>
      <c r="AC447" s="300"/>
      <c r="AD447" s="300"/>
    </row>
    <row r="448" spans="1:30" ht="12.75" customHeight="1" x14ac:dyDescent="0.2">
      <c r="A448" s="296"/>
      <c r="B448" s="296"/>
      <c r="C448" s="296"/>
      <c r="D448" s="298"/>
      <c r="E448" s="298"/>
      <c r="F448" s="296"/>
      <c r="G448" s="296"/>
      <c r="H448" s="296"/>
      <c r="I448" s="296"/>
      <c r="J448" s="296"/>
      <c r="K448" s="296"/>
      <c r="L448" s="296"/>
      <c r="M448" s="299"/>
      <c r="N448" s="299"/>
      <c r="O448" s="299"/>
      <c r="P448" s="299"/>
      <c r="Q448" s="299"/>
      <c r="R448" s="299"/>
      <c r="S448" s="299"/>
      <c r="T448" s="299"/>
      <c r="U448" s="299"/>
      <c r="V448" s="299"/>
      <c r="W448" s="299"/>
      <c r="X448" s="299"/>
      <c r="Y448" s="299"/>
      <c r="Z448" s="299"/>
      <c r="AA448" s="299"/>
      <c r="AB448" s="299"/>
      <c r="AC448" s="300"/>
      <c r="AD448" s="300"/>
    </row>
    <row r="449" spans="1:30" ht="12.75" customHeight="1" x14ac:dyDescent="0.2">
      <c r="A449" s="296"/>
      <c r="B449" s="296"/>
      <c r="C449" s="296"/>
      <c r="D449" s="298"/>
      <c r="E449" s="298"/>
      <c r="F449" s="296"/>
      <c r="G449" s="296"/>
      <c r="H449" s="296"/>
      <c r="I449" s="296"/>
      <c r="J449" s="296"/>
      <c r="K449" s="296"/>
      <c r="L449" s="296"/>
      <c r="M449" s="299"/>
      <c r="N449" s="299"/>
      <c r="O449" s="299"/>
      <c r="P449" s="299"/>
      <c r="Q449" s="299"/>
      <c r="R449" s="299"/>
      <c r="S449" s="299"/>
      <c r="T449" s="299"/>
      <c r="U449" s="299"/>
      <c r="V449" s="299"/>
      <c r="W449" s="299"/>
      <c r="X449" s="299"/>
      <c r="Y449" s="299"/>
      <c r="Z449" s="299"/>
      <c r="AA449" s="299"/>
      <c r="AB449" s="299"/>
      <c r="AC449" s="300"/>
      <c r="AD449" s="300"/>
    </row>
    <row r="450" spans="1:30" ht="12.75" customHeight="1" x14ac:dyDescent="0.2">
      <c r="A450" s="296"/>
      <c r="B450" s="296"/>
      <c r="C450" s="296"/>
      <c r="D450" s="298"/>
      <c r="E450" s="298"/>
      <c r="F450" s="296"/>
      <c r="G450" s="296"/>
      <c r="H450" s="296"/>
      <c r="I450" s="296"/>
      <c r="J450" s="296"/>
      <c r="K450" s="296"/>
      <c r="L450" s="296"/>
      <c r="M450" s="299"/>
      <c r="N450" s="299"/>
      <c r="O450" s="299"/>
      <c r="P450" s="299"/>
      <c r="Q450" s="299"/>
      <c r="R450" s="299"/>
      <c r="S450" s="299"/>
      <c r="T450" s="299"/>
      <c r="U450" s="299"/>
      <c r="V450" s="299"/>
      <c r="W450" s="299"/>
      <c r="X450" s="299"/>
      <c r="Y450" s="299"/>
      <c r="Z450" s="299"/>
      <c r="AA450" s="299"/>
      <c r="AB450" s="299"/>
      <c r="AC450" s="300"/>
      <c r="AD450" s="300"/>
    </row>
    <row r="451" spans="1:30" ht="12.75" customHeight="1" x14ac:dyDescent="0.2">
      <c r="A451" s="296"/>
      <c r="B451" s="296"/>
      <c r="C451" s="296"/>
      <c r="D451" s="298"/>
      <c r="E451" s="298"/>
      <c r="F451" s="296"/>
      <c r="G451" s="296"/>
      <c r="H451" s="296"/>
      <c r="I451" s="296"/>
      <c r="J451" s="296"/>
      <c r="K451" s="296"/>
      <c r="L451" s="296"/>
      <c r="M451" s="299"/>
      <c r="N451" s="299"/>
      <c r="O451" s="299"/>
      <c r="P451" s="299"/>
      <c r="Q451" s="299"/>
      <c r="R451" s="299"/>
      <c r="S451" s="299"/>
      <c r="T451" s="299"/>
      <c r="U451" s="299"/>
      <c r="V451" s="299"/>
      <c r="W451" s="299"/>
      <c r="X451" s="299"/>
      <c r="Y451" s="299"/>
      <c r="Z451" s="299"/>
      <c r="AA451" s="299"/>
      <c r="AB451" s="299"/>
      <c r="AC451" s="300"/>
      <c r="AD451" s="300"/>
    </row>
    <row r="452" spans="1:30" ht="12.75" customHeight="1" x14ac:dyDescent="0.2">
      <c r="A452" s="296"/>
      <c r="B452" s="296"/>
      <c r="C452" s="296"/>
      <c r="D452" s="298"/>
      <c r="E452" s="298"/>
      <c r="F452" s="296"/>
      <c r="G452" s="296"/>
      <c r="H452" s="296"/>
      <c r="I452" s="296"/>
      <c r="J452" s="296"/>
      <c r="K452" s="296"/>
      <c r="L452" s="296"/>
      <c r="M452" s="299"/>
      <c r="N452" s="299"/>
      <c r="O452" s="299"/>
      <c r="P452" s="299"/>
      <c r="Q452" s="299"/>
      <c r="R452" s="299"/>
      <c r="S452" s="299"/>
      <c r="T452" s="299"/>
      <c r="U452" s="299"/>
      <c r="V452" s="299"/>
      <c r="W452" s="299"/>
      <c r="X452" s="299"/>
      <c r="Y452" s="299"/>
      <c r="Z452" s="299"/>
      <c r="AA452" s="299"/>
      <c r="AB452" s="299"/>
      <c r="AC452" s="300"/>
      <c r="AD452" s="300"/>
    </row>
    <row r="453" spans="1:30" ht="12.75" customHeight="1" x14ac:dyDescent="0.2">
      <c r="A453" s="296"/>
      <c r="B453" s="296"/>
      <c r="C453" s="296"/>
      <c r="D453" s="298"/>
      <c r="E453" s="298"/>
      <c r="F453" s="296"/>
      <c r="G453" s="296"/>
      <c r="H453" s="296"/>
      <c r="I453" s="296"/>
      <c r="J453" s="296"/>
      <c r="K453" s="296"/>
      <c r="L453" s="296"/>
      <c r="M453" s="299"/>
      <c r="N453" s="299"/>
      <c r="O453" s="299"/>
      <c r="P453" s="299"/>
      <c r="Q453" s="299"/>
      <c r="R453" s="299"/>
      <c r="S453" s="299"/>
      <c r="T453" s="299"/>
      <c r="U453" s="299"/>
      <c r="V453" s="299"/>
      <c r="W453" s="299"/>
      <c r="X453" s="299"/>
      <c r="Y453" s="299"/>
      <c r="Z453" s="299"/>
      <c r="AA453" s="299"/>
      <c r="AB453" s="299"/>
      <c r="AC453" s="300"/>
      <c r="AD453" s="300"/>
    </row>
    <row r="454" spans="1:30" ht="12.75" customHeight="1" x14ac:dyDescent="0.2">
      <c r="A454" s="296"/>
      <c r="B454" s="296"/>
      <c r="C454" s="296"/>
      <c r="D454" s="298"/>
      <c r="E454" s="298"/>
      <c r="F454" s="296"/>
      <c r="G454" s="296"/>
      <c r="H454" s="296"/>
      <c r="I454" s="296"/>
      <c r="J454" s="296"/>
      <c r="K454" s="296"/>
      <c r="L454" s="296"/>
      <c r="M454" s="299"/>
      <c r="N454" s="299"/>
      <c r="O454" s="299"/>
      <c r="P454" s="299"/>
      <c r="Q454" s="299"/>
      <c r="R454" s="299"/>
      <c r="S454" s="299"/>
      <c r="T454" s="299"/>
      <c r="U454" s="299"/>
      <c r="V454" s="299"/>
      <c r="W454" s="299"/>
      <c r="X454" s="299"/>
      <c r="Y454" s="299"/>
      <c r="Z454" s="299"/>
      <c r="AA454" s="299"/>
      <c r="AB454" s="299"/>
      <c r="AC454" s="300"/>
      <c r="AD454" s="300"/>
    </row>
    <row r="455" spans="1:30" ht="12.75" customHeight="1" x14ac:dyDescent="0.2">
      <c r="A455" s="296"/>
      <c r="B455" s="296"/>
      <c r="C455" s="296"/>
      <c r="D455" s="298"/>
      <c r="E455" s="298"/>
      <c r="F455" s="296"/>
      <c r="G455" s="296"/>
      <c r="H455" s="296"/>
      <c r="I455" s="296"/>
      <c r="J455" s="296"/>
      <c r="K455" s="296"/>
      <c r="L455" s="296"/>
      <c r="M455" s="299"/>
      <c r="N455" s="299"/>
      <c r="O455" s="299"/>
      <c r="P455" s="299"/>
      <c r="Q455" s="299"/>
      <c r="R455" s="299"/>
      <c r="S455" s="299"/>
      <c r="T455" s="299"/>
      <c r="U455" s="299"/>
      <c r="V455" s="299"/>
      <c r="W455" s="299"/>
      <c r="X455" s="299"/>
      <c r="Y455" s="299"/>
      <c r="Z455" s="299"/>
      <c r="AA455" s="299"/>
      <c r="AB455" s="299"/>
      <c r="AC455" s="300"/>
      <c r="AD455" s="300"/>
    </row>
    <row r="456" spans="1:30" ht="12.75" customHeight="1" x14ac:dyDescent="0.2">
      <c r="A456" s="296"/>
      <c r="B456" s="296"/>
      <c r="C456" s="296"/>
      <c r="D456" s="298"/>
      <c r="E456" s="298"/>
      <c r="F456" s="296"/>
      <c r="G456" s="296"/>
      <c r="H456" s="296"/>
      <c r="I456" s="296"/>
      <c r="J456" s="296"/>
      <c r="K456" s="296"/>
      <c r="L456" s="296"/>
      <c r="M456" s="299"/>
      <c r="N456" s="299"/>
      <c r="O456" s="299"/>
      <c r="P456" s="299"/>
      <c r="Q456" s="299"/>
      <c r="R456" s="299"/>
      <c r="S456" s="299"/>
      <c r="T456" s="299"/>
      <c r="U456" s="299"/>
      <c r="V456" s="299"/>
      <c r="W456" s="299"/>
      <c r="X456" s="299"/>
      <c r="Y456" s="299"/>
      <c r="Z456" s="299"/>
      <c r="AA456" s="299"/>
      <c r="AB456" s="299"/>
      <c r="AC456" s="300"/>
      <c r="AD456" s="300"/>
    </row>
    <row r="457" spans="1:30" ht="12.75" customHeight="1" x14ac:dyDescent="0.2">
      <c r="A457" s="296"/>
      <c r="B457" s="296"/>
      <c r="C457" s="296"/>
      <c r="D457" s="298"/>
      <c r="E457" s="298"/>
      <c r="F457" s="296"/>
      <c r="G457" s="296"/>
      <c r="H457" s="296"/>
      <c r="I457" s="296"/>
      <c r="J457" s="296"/>
      <c r="K457" s="296"/>
      <c r="L457" s="296"/>
      <c r="M457" s="299"/>
      <c r="N457" s="299"/>
      <c r="O457" s="299"/>
      <c r="P457" s="299"/>
      <c r="Q457" s="299"/>
      <c r="R457" s="299"/>
      <c r="S457" s="299"/>
      <c r="T457" s="299"/>
      <c r="U457" s="299"/>
      <c r="V457" s="299"/>
      <c r="W457" s="299"/>
      <c r="X457" s="299"/>
      <c r="Y457" s="299"/>
      <c r="Z457" s="299"/>
      <c r="AA457" s="299"/>
      <c r="AB457" s="299"/>
      <c r="AC457" s="300"/>
      <c r="AD457" s="300"/>
    </row>
    <row r="458" spans="1:30" ht="12.75" customHeight="1" x14ac:dyDescent="0.2">
      <c r="A458" s="296"/>
      <c r="B458" s="296"/>
      <c r="C458" s="296"/>
      <c r="D458" s="298"/>
      <c r="E458" s="298"/>
      <c r="F458" s="296"/>
      <c r="G458" s="296"/>
      <c r="H458" s="296"/>
      <c r="I458" s="296"/>
      <c r="J458" s="296"/>
      <c r="K458" s="296"/>
      <c r="L458" s="296"/>
      <c r="M458" s="299"/>
      <c r="N458" s="299"/>
      <c r="O458" s="299"/>
      <c r="P458" s="299"/>
      <c r="Q458" s="299"/>
      <c r="R458" s="299"/>
      <c r="S458" s="299"/>
      <c r="T458" s="299"/>
      <c r="U458" s="299"/>
      <c r="V458" s="299"/>
      <c r="W458" s="299"/>
      <c r="X458" s="299"/>
      <c r="Y458" s="299"/>
      <c r="Z458" s="299"/>
      <c r="AA458" s="299"/>
      <c r="AB458" s="299"/>
      <c r="AC458" s="300"/>
      <c r="AD458" s="300"/>
    </row>
    <row r="459" spans="1:30" ht="12.75" customHeight="1" x14ac:dyDescent="0.2">
      <c r="A459" s="296"/>
      <c r="B459" s="296"/>
      <c r="C459" s="296"/>
      <c r="D459" s="298"/>
      <c r="E459" s="298"/>
      <c r="F459" s="296"/>
      <c r="G459" s="296"/>
      <c r="H459" s="296"/>
      <c r="I459" s="296"/>
      <c r="J459" s="296"/>
      <c r="K459" s="296"/>
      <c r="L459" s="296"/>
      <c r="M459" s="299"/>
      <c r="N459" s="299"/>
      <c r="O459" s="299"/>
      <c r="P459" s="299"/>
      <c r="Q459" s="299"/>
      <c r="R459" s="299"/>
      <c r="S459" s="299"/>
      <c r="T459" s="299"/>
      <c r="U459" s="299"/>
      <c r="V459" s="299"/>
      <c r="W459" s="299"/>
      <c r="X459" s="299"/>
      <c r="Y459" s="299"/>
      <c r="Z459" s="299"/>
      <c r="AA459" s="299"/>
      <c r="AB459" s="299"/>
      <c r="AC459" s="300"/>
      <c r="AD459" s="300"/>
    </row>
    <row r="460" spans="1:30" ht="12.75" customHeight="1" x14ac:dyDescent="0.2">
      <c r="A460" s="296"/>
      <c r="B460" s="296"/>
      <c r="C460" s="296"/>
      <c r="D460" s="298"/>
      <c r="E460" s="298"/>
      <c r="F460" s="296"/>
      <c r="G460" s="296"/>
      <c r="H460" s="296"/>
      <c r="I460" s="296"/>
      <c r="J460" s="296"/>
      <c r="K460" s="296"/>
      <c r="L460" s="296"/>
      <c r="M460" s="299"/>
      <c r="N460" s="299"/>
      <c r="O460" s="299"/>
      <c r="P460" s="299"/>
      <c r="Q460" s="299"/>
      <c r="R460" s="299"/>
      <c r="S460" s="299"/>
      <c r="T460" s="299"/>
      <c r="U460" s="299"/>
      <c r="V460" s="299"/>
      <c r="W460" s="299"/>
      <c r="X460" s="299"/>
      <c r="Y460" s="299"/>
      <c r="Z460" s="299"/>
      <c r="AA460" s="299"/>
      <c r="AB460" s="299"/>
      <c r="AC460" s="300"/>
      <c r="AD460" s="300"/>
    </row>
    <row r="461" spans="1:30" ht="12.75" customHeight="1" x14ac:dyDescent="0.2">
      <c r="A461" s="296"/>
      <c r="B461" s="296"/>
      <c r="C461" s="296"/>
      <c r="D461" s="298"/>
      <c r="E461" s="298"/>
      <c r="F461" s="296"/>
      <c r="G461" s="296"/>
      <c r="H461" s="296"/>
      <c r="I461" s="296"/>
      <c r="J461" s="296"/>
      <c r="K461" s="296"/>
      <c r="L461" s="296"/>
      <c r="M461" s="299"/>
      <c r="N461" s="299"/>
      <c r="O461" s="299"/>
      <c r="P461" s="299"/>
      <c r="Q461" s="299"/>
      <c r="R461" s="299"/>
      <c r="S461" s="299"/>
      <c r="T461" s="299"/>
      <c r="U461" s="299"/>
      <c r="V461" s="299"/>
      <c r="W461" s="299"/>
      <c r="X461" s="299"/>
      <c r="Y461" s="299"/>
      <c r="Z461" s="299"/>
      <c r="AA461" s="299"/>
      <c r="AB461" s="299"/>
      <c r="AC461" s="300"/>
      <c r="AD461" s="300"/>
    </row>
    <row r="462" spans="1:30" ht="12.75" customHeight="1" x14ac:dyDescent="0.2">
      <c r="A462" s="296"/>
      <c r="B462" s="296"/>
      <c r="C462" s="296"/>
      <c r="D462" s="298"/>
      <c r="E462" s="298"/>
      <c r="F462" s="296"/>
      <c r="G462" s="296"/>
      <c r="H462" s="296"/>
      <c r="I462" s="296"/>
      <c r="J462" s="296"/>
      <c r="K462" s="296"/>
      <c r="L462" s="296"/>
      <c r="M462" s="299"/>
      <c r="N462" s="299"/>
      <c r="O462" s="299"/>
      <c r="P462" s="299"/>
      <c r="Q462" s="299"/>
      <c r="R462" s="299"/>
      <c r="S462" s="299"/>
      <c r="T462" s="299"/>
      <c r="U462" s="299"/>
      <c r="V462" s="299"/>
      <c r="W462" s="299"/>
      <c r="X462" s="299"/>
      <c r="Y462" s="299"/>
      <c r="Z462" s="299"/>
      <c r="AA462" s="299"/>
      <c r="AB462" s="299"/>
      <c r="AC462" s="300"/>
      <c r="AD462" s="300"/>
    </row>
    <row r="463" spans="1:30" ht="12.75" customHeight="1" x14ac:dyDescent="0.2">
      <c r="A463" s="296"/>
      <c r="B463" s="296"/>
      <c r="C463" s="296"/>
      <c r="D463" s="298"/>
      <c r="E463" s="298"/>
      <c r="F463" s="296"/>
      <c r="G463" s="296"/>
      <c r="H463" s="296"/>
      <c r="I463" s="296"/>
      <c r="J463" s="296"/>
      <c r="K463" s="296"/>
      <c r="L463" s="296"/>
      <c r="M463" s="299"/>
      <c r="N463" s="299"/>
      <c r="O463" s="299"/>
      <c r="P463" s="299"/>
      <c r="Q463" s="299"/>
      <c r="R463" s="299"/>
      <c r="S463" s="299"/>
      <c r="T463" s="299"/>
      <c r="U463" s="299"/>
      <c r="V463" s="299"/>
      <c r="W463" s="299"/>
      <c r="X463" s="299"/>
      <c r="Y463" s="299"/>
      <c r="Z463" s="299"/>
      <c r="AA463" s="299"/>
      <c r="AB463" s="299"/>
      <c r="AC463" s="300"/>
      <c r="AD463" s="300"/>
    </row>
    <row r="464" spans="1:30" ht="12.75" customHeight="1" x14ac:dyDescent="0.2">
      <c r="A464" s="296"/>
      <c r="B464" s="296"/>
      <c r="C464" s="296"/>
      <c r="D464" s="298"/>
      <c r="E464" s="298"/>
      <c r="F464" s="296"/>
      <c r="G464" s="296"/>
      <c r="H464" s="296"/>
      <c r="I464" s="296"/>
      <c r="J464" s="296"/>
      <c r="K464" s="296"/>
      <c r="L464" s="296"/>
      <c r="M464" s="299"/>
      <c r="N464" s="299"/>
      <c r="O464" s="299"/>
      <c r="P464" s="299"/>
      <c r="Q464" s="299"/>
      <c r="R464" s="299"/>
      <c r="S464" s="299"/>
      <c r="T464" s="299"/>
      <c r="U464" s="299"/>
      <c r="V464" s="299"/>
      <c r="W464" s="299"/>
      <c r="X464" s="299"/>
      <c r="Y464" s="299"/>
      <c r="Z464" s="299"/>
      <c r="AA464" s="299"/>
      <c r="AB464" s="299"/>
      <c r="AC464" s="300"/>
      <c r="AD464" s="300"/>
    </row>
    <row r="465" spans="1:30" ht="12.75" customHeight="1" x14ac:dyDescent="0.2">
      <c r="A465" s="296"/>
      <c r="B465" s="296"/>
      <c r="C465" s="296"/>
      <c r="D465" s="298"/>
      <c r="E465" s="298"/>
      <c r="F465" s="296"/>
      <c r="G465" s="296"/>
      <c r="H465" s="296"/>
      <c r="I465" s="296"/>
      <c r="J465" s="296"/>
      <c r="K465" s="296"/>
      <c r="L465" s="296"/>
      <c r="M465" s="299"/>
      <c r="N465" s="299"/>
      <c r="O465" s="299"/>
      <c r="P465" s="299"/>
      <c r="Q465" s="299"/>
      <c r="R465" s="299"/>
      <c r="S465" s="299"/>
      <c r="T465" s="299"/>
      <c r="U465" s="299"/>
      <c r="V465" s="299"/>
      <c r="W465" s="299"/>
      <c r="X465" s="299"/>
      <c r="Y465" s="299"/>
      <c r="Z465" s="299"/>
      <c r="AA465" s="299"/>
      <c r="AB465" s="299"/>
      <c r="AC465" s="300"/>
      <c r="AD465" s="300"/>
    </row>
    <row r="466" spans="1:30" ht="12.75" customHeight="1" x14ac:dyDescent="0.2">
      <c r="A466" s="296"/>
      <c r="B466" s="296"/>
      <c r="C466" s="296"/>
      <c r="D466" s="298"/>
      <c r="E466" s="298"/>
      <c r="F466" s="296"/>
      <c r="G466" s="296"/>
      <c r="H466" s="296"/>
      <c r="I466" s="296"/>
      <c r="J466" s="296"/>
      <c r="K466" s="296"/>
      <c r="L466" s="296"/>
      <c r="M466" s="299"/>
      <c r="N466" s="299"/>
      <c r="O466" s="299"/>
      <c r="P466" s="299"/>
      <c r="Q466" s="299"/>
      <c r="R466" s="299"/>
      <c r="S466" s="299"/>
      <c r="T466" s="299"/>
      <c r="U466" s="299"/>
      <c r="V466" s="299"/>
      <c r="W466" s="299"/>
      <c r="X466" s="299"/>
      <c r="Y466" s="299"/>
      <c r="Z466" s="299"/>
      <c r="AA466" s="299"/>
      <c r="AB466" s="299"/>
      <c r="AC466" s="300"/>
      <c r="AD466" s="300"/>
    </row>
    <row r="467" spans="1:30" ht="12.75" customHeight="1" x14ac:dyDescent="0.2">
      <c r="A467" s="296"/>
      <c r="B467" s="296"/>
      <c r="C467" s="296"/>
      <c r="D467" s="298"/>
      <c r="E467" s="298"/>
      <c r="F467" s="296"/>
      <c r="G467" s="296"/>
      <c r="H467" s="296"/>
      <c r="I467" s="296"/>
      <c r="J467" s="296"/>
      <c r="K467" s="296"/>
      <c r="L467" s="296"/>
      <c r="M467" s="299"/>
      <c r="N467" s="299"/>
      <c r="O467" s="299"/>
      <c r="P467" s="299"/>
      <c r="Q467" s="299"/>
      <c r="R467" s="299"/>
      <c r="S467" s="299"/>
      <c r="T467" s="299"/>
      <c r="U467" s="299"/>
      <c r="V467" s="299"/>
      <c r="W467" s="299"/>
      <c r="X467" s="299"/>
      <c r="Y467" s="299"/>
      <c r="Z467" s="299"/>
      <c r="AA467" s="299"/>
      <c r="AB467" s="299"/>
      <c r="AC467" s="300"/>
      <c r="AD467" s="300"/>
    </row>
    <row r="468" spans="1:30" ht="12.75" customHeight="1" x14ac:dyDescent="0.2">
      <c r="A468" s="296"/>
      <c r="B468" s="296"/>
      <c r="C468" s="296"/>
      <c r="D468" s="298"/>
      <c r="E468" s="298"/>
      <c r="F468" s="296"/>
      <c r="G468" s="296"/>
      <c r="H468" s="296"/>
      <c r="I468" s="296"/>
      <c r="J468" s="296"/>
      <c r="K468" s="296"/>
      <c r="L468" s="296"/>
      <c r="M468" s="299"/>
      <c r="N468" s="299"/>
      <c r="O468" s="299"/>
      <c r="P468" s="299"/>
      <c r="Q468" s="299"/>
      <c r="R468" s="299"/>
      <c r="S468" s="299"/>
      <c r="T468" s="299"/>
      <c r="U468" s="299"/>
      <c r="V468" s="299"/>
      <c r="W468" s="299"/>
      <c r="X468" s="299"/>
      <c r="Y468" s="299"/>
      <c r="Z468" s="299"/>
      <c r="AA468" s="299"/>
      <c r="AB468" s="299"/>
      <c r="AC468" s="300"/>
      <c r="AD468" s="300"/>
    </row>
    <row r="469" spans="1:30" ht="12.75" customHeight="1" x14ac:dyDescent="0.2">
      <c r="A469" s="296"/>
      <c r="B469" s="296"/>
      <c r="C469" s="296"/>
      <c r="D469" s="298"/>
      <c r="E469" s="298"/>
      <c r="F469" s="296"/>
      <c r="G469" s="296"/>
      <c r="H469" s="296"/>
      <c r="I469" s="296"/>
      <c r="J469" s="296"/>
      <c r="K469" s="296"/>
      <c r="L469" s="296"/>
      <c r="M469" s="299"/>
      <c r="N469" s="299"/>
      <c r="O469" s="299"/>
      <c r="P469" s="299"/>
      <c r="Q469" s="299"/>
      <c r="R469" s="299"/>
      <c r="S469" s="299"/>
      <c r="T469" s="299"/>
      <c r="U469" s="299"/>
      <c r="V469" s="299"/>
      <c r="W469" s="299"/>
      <c r="X469" s="299"/>
      <c r="Y469" s="299"/>
      <c r="Z469" s="299"/>
      <c r="AA469" s="299"/>
      <c r="AB469" s="299"/>
      <c r="AC469" s="300"/>
      <c r="AD469" s="300"/>
    </row>
    <row r="470" spans="1:30" ht="12.75" customHeight="1" x14ac:dyDescent="0.2">
      <c r="A470" s="296"/>
      <c r="B470" s="296"/>
      <c r="C470" s="296"/>
      <c r="D470" s="298"/>
      <c r="E470" s="298"/>
      <c r="F470" s="296"/>
      <c r="G470" s="296"/>
      <c r="H470" s="296"/>
      <c r="I470" s="296"/>
      <c r="J470" s="296"/>
      <c r="K470" s="296"/>
      <c r="L470" s="296"/>
      <c r="M470" s="299"/>
      <c r="N470" s="299"/>
      <c r="O470" s="299"/>
      <c r="P470" s="299"/>
      <c r="Q470" s="299"/>
      <c r="R470" s="299"/>
      <c r="S470" s="299"/>
      <c r="T470" s="299"/>
      <c r="U470" s="299"/>
      <c r="V470" s="299"/>
      <c r="W470" s="299"/>
      <c r="X470" s="299"/>
      <c r="Y470" s="299"/>
      <c r="Z470" s="299"/>
      <c r="AA470" s="299"/>
      <c r="AB470" s="299"/>
      <c r="AC470" s="300"/>
      <c r="AD470" s="300"/>
    </row>
    <row r="471" spans="1:30" ht="12.75" customHeight="1" x14ac:dyDescent="0.2">
      <c r="A471" s="296"/>
      <c r="B471" s="296"/>
      <c r="C471" s="296"/>
      <c r="D471" s="298"/>
      <c r="E471" s="298"/>
      <c r="F471" s="296"/>
      <c r="G471" s="296"/>
      <c r="H471" s="296"/>
      <c r="I471" s="296"/>
      <c r="J471" s="296"/>
      <c r="K471" s="296"/>
      <c r="L471" s="296"/>
      <c r="M471" s="299"/>
      <c r="N471" s="299"/>
      <c r="O471" s="299"/>
      <c r="P471" s="299"/>
      <c r="Q471" s="299"/>
      <c r="R471" s="299"/>
      <c r="S471" s="299"/>
      <c r="T471" s="299"/>
      <c r="U471" s="299"/>
      <c r="V471" s="299"/>
      <c r="W471" s="299"/>
      <c r="X471" s="299"/>
      <c r="Y471" s="299"/>
      <c r="Z471" s="299"/>
      <c r="AA471" s="299"/>
      <c r="AB471" s="299"/>
      <c r="AC471" s="300"/>
      <c r="AD471" s="300"/>
    </row>
    <row r="472" spans="1:30" ht="12.75" customHeight="1" x14ac:dyDescent="0.2">
      <c r="A472" s="296"/>
      <c r="B472" s="296"/>
      <c r="C472" s="296"/>
      <c r="D472" s="298"/>
      <c r="E472" s="298"/>
      <c r="F472" s="296"/>
      <c r="G472" s="296"/>
      <c r="H472" s="296"/>
      <c r="I472" s="296"/>
      <c r="J472" s="296"/>
      <c r="K472" s="296"/>
      <c r="L472" s="296"/>
      <c r="M472" s="299"/>
      <c r="N472" s="299"/>
      <c r="O472" s="299"/>
      <c r="P472" s="299"/>
      <c r="Q472" s="299"/>
      <c r="R472" s="299"/>
      <c r="S472" s="299"/>
      <c r="T472" s="299"/>
      <c r="U472" s="299"/>
      <c r="V472" s="299"/>
      <c r="W472" s="299"/>
      <c r="X472" s="299"/>
      <c r="Y472" s="299"/>
      <c r="Z472" s="299"/>
      <c r="AA472" s="299"/>
      <c r="AB472" s="299"/>
      <c r="AC472" s="300"/>
      <c r="AD472" s="300"/>
    </row>
    <row r="473" spans="1:30" ht="12.75" customHeight="1" x14ac:dyDescent="0.2">
      <c r="A473" s="296"/>
      <c r="B473" s="296"/>
      <c r="C473" s="296"/>
      <c r="D473" s="298"/>
      <c r="E473" s="298"/>
      <c r="F473" s="296"/>
      <c r="G473" s="296"/>
      <c r="H473" s="296"/>
      <c r="I473" s="296"/>
      <c r="J473" s="296"/>
      <c r="K473" s="296"/>
      <c r="L473" s="296"/>
      <c r="M473" s="299"/>
      <c r="N473" s="299"/>
      <c r="O473" s="299"/>
      <c r="P473" s="299"/>
      <c r="Q473" s="299"/>
      <c r="R473" s="299"/>
      <c r="S473" s="299"/>
      <c r="T473" s="299"/>
      <c r="U473" s="299"/>
      <c r="V473" s="299"/>
      <c r="W473" s="299"/>
      <c r="X473" s="299"/>
      <c r="Y473" s="299"/>
      <c r="Z473" s="299"/>
      <c r="AA473" s="299"/>
      <c r="AB473" s="299"/>
      <c r="AC473" s="300"/>
      <c r="AD473" s="300"/>
    </row>
    <row r="474" spans="1:30" ht="12.75" customHeight="1" x14ac:dyDescent="0.2">
      <c r="A474" s="296"/>
      <c r="B474" s="296"/>
      <c r="C474" s="296"/>
      <c r="D474" s="298"/>
      <c r="E474" s="298"/>
      <c r="F474" s="296"/>
      <c r="G474" s="296"/>
      <c r="H474" s="296"/>
      <c r="I474" s="296"/>
      <c r="J474" s="296"/>
      <c r="K474" s="296"/>
      <c r="L474" s="296"/>
      <c r="M474" s="299"/>
      <c r="N474" s="299"/>
      <c r="O474" s="299"/>
      <c r="P474" s="299"/>
      <c r="Q474" s="299"/>
      <c r="R474" s="299"/>
      <c r="S474" s="299"/>
      <c r="T474" s="299"/>
      <c r="U474" s="299"/>
      <c r="V474" s="299"/>
      <c r="W474" s="299"/>
      <c r="X474" s="299"/>
      <c r="Y474" s="299"/>
      <c r="Z474" s="299"/>
      <c r="AA474" s="299"/>
      <c r="AB474" s="299"/>
      <c r="AC474" s="300"/>
      <c r="AD474" s="300"/>
    </row>
    <row r="475" spans="1:30" ht="12.75" customHeight="1" x14ac:dyDescent="0.2">
      <c r="A475" s="296"/>
      <c r="B475" s="296"/>
      <c r="C475" s="296"/>
      <c r="D475" s="298"/>
      <c r="E475" s="298"/>
      <c r="F475" s="296"/>
      <c r="G475" s="296"/>
      <c r="H475" s="296"/>
      <c r="I475" s="296"/>
      <c r="J475" s="296"/>
      <c r="K475" s="296"/>
      <c r="L475" s="296"/>
      <c r="M475" s="299"/>
      <c r="N475" s="299"/>
      <c r="O475" s="299"/>
      <c r="P475" s="299"/>
      <c r="Q475" s="299"/>
      <c r="R475" s="299"/>
      <c r="S475" s="299"/>
      <c r="T475" s="299"/>
      <c r="U475" s="299"/>
      <c r="V475" s="299"/>
      <c r="W475" s="299"/>
      <c r="X475" s="299"/>
      <c r="Y475" s="299"/>
      <c r="Z475" s="299"/>
      <c r="AA475" s="299"/>
      <c r="AB475" s="299"/>
      <c r="AC475" s="300"/>
      <c r="AD475" s="300"/>
    </row>
    <row r="476" spans="1:30" ht="12.75" customHeight="1" x14ac:dyDescent="0.2">
      <c r="A476" s="296"/>
      <c r="B476" s="296"/>
      <c r="C476" s="296"/>
      <c r="D476" s="298"/>
      <c r="E476" s="298"/>
      <c r="F476" s="296"/>
      <c r="G476" s="296"/>
      <c r="H476" s="296"/>
      <c r="I476" s="296"/>
      <c r="J476" s="296"/>
      <c r="K476" s="296"/>
      <c r="L476" s="296"/>
      <c r="M476" s="299"/>
      <c r="N476" s="299"/>
      <c r="O476" s="299"/>
      <c r="P476" s="299"/>
      <c r="Q476" s="299"/>
      <c r="R476" s="299"/>
      <c r="S476" s="299"/>
      <c r="T476" s="299"/>
      <c r="U476" s="299"/>
      <c r="V476" s="299"/>
      <c r="W476" s="299"/>
      <c r="X476" s="299"/>
      <c r="Y476" s="299"/>
      <c r="Z476" s="299"/>
      <c r="AA476" s="299"/>
      <c r="AB476" s="299"/>
      <c r="AC476" s="300"/>
      <c r="AD476" s="300"/>
    </row>
    <row r="477" spans="1:30" ht="12.75" customHeight="1" x14ac:dyDescent="0.2">
      <c r="A477" s="296"/>
      <c r="B477" s="296"/>
      <c r="C477" s="296"/>
      <c r="D477" s="298"/>
      <c r="E477" s="298"/>
      <c r="F477" s="296"/>
      <c r="G477" s="296"/>
      <c r="H477" s="296"/>
      <c r="I477" s="296"/>
      <c r="J477" s="296"/>
      <c r="K477" s="296"/>
      <c r="L477" s="296"/>
      <c r="M477" s="299"/>
      <c r="N477" s="299"/>
      <c r="O477" s="299"/>
      <c r="P477" s="299"/>
      <c r="Q477" s="299"/>
      <c r="R477" s="299"/>
      <c r="S477" s="299"/>
      <c r="T477" s="299"/>
      <c r="U477" s="299"/>
      <c r="V477" s="299"/>
      <c r="W477" s="299"/>
      <c r="X477" s="299"/>
      <c r="Y477" s="299"/>
      <c r="Z477" s="299"/>
      <c r="AA477" s="299"/>
      <c r="AB477" s="299"/>
      <c r="AC477" s="300"/>
      <c r="AD477" s="300"/>
    </row>
    <row r="478" spans="1:30" ht="12.75" customHeight="1" x14ac:dyDescent="0.2">
      <c r="A478" s="296"/>
      <c r="B478" s="296"/>
      <c r="C478" s="296"/>
      <c r="D478" s="298"/>
      <c r="E478" s="298"/>
      <c r="F478" s="296"/>
      <c r="G478" s="296"/>
      <c r="H478" s="296"/>
      <c r="I478" s="296"/>
      <c r="J478" s="296"/>
      <c r="K478" s="296"/>
      <c r="L478" s="296"/>
      <c r="M478" s="299"/>
      <c r="N478" s="299"/>
      <c r="O478" s="299"/>
      <c r="P478" s="299"/>
      <c r="Q478" s="299"/>
      <c r="R478" s="299"/>
      <c r="S478" s="299"/>
      <c r="T478" s="299"/>
      <c r="U478" s="299"/>
      <c r="V478" s="299"/>
      <c r="W478" s="299"/>
      <c r="X478" s="299"/>
      <c r="Y478" s="299"/>
      <c r="Z478" s="299"/>
      <c r="AA478" s="299"/>
      <c r="AB478" s="299"/>
      <c r="AC478" s="300"/>
      <c r="AD478" s="300"/>
    </row>
    <row r="479" spans="1:30" ht="12.75" customHeight="1" x14ac:dyDescent="0.2">
      <c r="A479" s="296"/>
      <c r="B479" s="296"/>
      <c r="C479" s="296"/>
      <c r="D479" s="298"/>
      <c r="E479" s="298"/>
      <c r="F479" s="296"/>
      <c r="G479" s="296"/>
      <c r="H479" s="296"/>
      <c r="I479" s="296"/>
      <c r="J479" s="296"/>
      <c r="K479" s="296"/>
      <c r="L479" s="296"/>
      <c r="M479" s="299"/>
      <c r="N479" s="299"/>
      <c r="O479" s="299"/>
      <c r="P479" s="299"/>
      <c r="Q479" s="299"/>
      <c r="R479" s="299"/>
      <c r="S479" s="299"/>
      <c r="T479" s="299"/>
      <c r="U479" s="299"/>
      <c r="V479" s="299"/>
      <c r="W479" s="299"/>
      <c r="X479" s="299"/>
      <c r="Y479" s="299"/>
      <c r="Z479" s="299"/>
      <c r="AA479" s="299"/>
      <c r="AB479" s="299"/>
      <c r="AC479" s="300"/>
      <c r="AD479" s="300"/>
    </row>
    <row r="480" spans="1:30" ht="12.75" customHeight="1" x14ac:dyDescent="0.2">
      <c r="A480" s="296"/>
      <c r="B480" s="296"/>
      <c r="C480" s="296"/>
      <c r="D480" s="298"/>
      <c r="E480" s="298"/>
      <c r="F480" s="296"/>
      <c r="G480" s="296"/>
      <c r="H480" s="296"/>
      <c r="I480" s="296"/>
      <c r="J480" s="296"/>
      <c r="K480" s="296"/>
      <c r="L480" s="296"/>
      <c r="M480" s="299"/>
      <c r="N480" s="299"/>
      <c r="O480" s="299"/>
      <c r="P480" s="299"/>
      <c r="Q480" s="299"/>
      <c r="R480" s="299"/>
      <c r="S480" s="299"/>
      <c r="T480" s="299"/>
      <c r="U480" s="299"/>
      <c r="V480" s="299"/>
      <c r="W480" s="299"/>
      <c r="X480" s="299"/>
      <c r="Y480" s="299"/>
      <c r="Z480" s="299"/>
      <c r="AA480" s="299"/>
      <c r="AB480" s="299"/>
      <c r="AC480" s="300"/>
      <c r="AD480" s="300"/>
    </row>
    <row r="481" spans="1:30" ht="12.75" customHeight="1" x14ac:dyDescent="0.2">
      <c r="A481" s="296"/>
      <c r="B481" s="296"/>
      <c r="C481" s="296"/>
      <c r="D481" s="298"/>
      <c r="E481" s="298"/>
      <c r="F481" s="296"/>
      <c r="G481" s="296"/>
      <c r="H481" s="296"/>
      <c r="I481" s="296"/>
      <c r="J481" s="296"/>
      <c r="K481" s="296"/>
      <c r="L481" s="296"/>
      <c r="M481" s="299"/>
      <c r="N481" s="299"/>
      <c r="O481" s="299"/>
      <c r="P481" s="299"/>
      <c r="Q481" s="299"/>
      <c r="R481" s="299"/>
      <c r="S481" s="299"/>
      <c r="T481" s="299"/>
      <c r="U481" s="299"/>
      <c r="V481" s="299"/>
      <c r="W481" s="299"/>
      <c r="X481" s="299"/>
      <c r="Y481" s="299"/>
      <c r="Z481" s="299"/>
      <c r="AA481" s="299"/>
      <c r="AB481" s="299"/>
      <c r="AC481" s="300"/>
      <c r="AD481" s="300"/>
    </row>
    <row r="482" spans="1:30" ht="12.75" customHeight="1" x14ac:dyDescent="0.2">
      <c r="A482" s="296"/>
      <c r="B482" s="296"/>
      <c r="C482" s="296"/>
      <c r="D482" s="298"/>
      <c r="E482" s="298"/>
      <c r="F482" s="296"/>
      <c r="G482" s="296"/>
      <c r="H482" s="296"/>
      <c r="I482" s="296"/>
      <c r="J482" s="296"/>
      <c r="K482" s="296"/>
      <c r="L482" s="296"/>
      <c r="M482" s="299"/>
      <c r="N482" s="299"/>
      <c r="O482" s="299"/>
      <c r="P482" s="299"/>
      <c r="Q482" s="299"/>
      <c r="R482" s="299"/>
      <c r="S482" s="299"/>
      <c r="T482" s="299"/>
      <c r="U482" s="299"/>
      <c r="V482" s="299"/>
      <c r="W482" s="299"/>
      <c r="X482" s="299"/>
      <c r="Y482" s="299"/>
      <c r="Z482" s="299"/>
      <c r="AA482" s="299"/>
      <c r="AB482" s="299"/>
      <c r="AC482" s="300"/>
      <c r="AD482" s="300"/>
    </row>
    <row r="483" spans="1:30" ht="12.75" customHeight="1" x14ac:dyDescent="0.2">
      <c r="A483" s="296"/>
      <c r="B483" s="296"/>
      <c r="C483" s="296"/>
      <c r="D483" s="298"/>
      <c r="E483" s="298"/>
      <c r="F483" s="296"/>
      <c r="G483" s="296"/>
      <c r="H483" s="296"/>
      <c r="I483" s="296"/>
      <c r="J483" s="296"/>
      <c r="K483" s="296"/>
      <c r="L483" s="296"/>
      <c r="M483" s="299"/>
      <c r="N483" s="299"/>
      <c r="O483" s="299"/>
      <c r="P483" s="299"/>
      <c r="Q483" s="299"/>
      <c r="R483" s="299"/>
      <c r="S483" s="299"/>
      <c r="T483" s="299"/>
      <c r="U483" s="299"/>
      <c r="V483" s="299"/>
      <c r="W483" s="299"/>
      <c r="X483" s="299"/>
      <c r="Y483" s="299"/>
      <c r="Z483" s="299"/>
      <c r="AA483" s="299"/>
      <c r="AB483" s="299"/>
      <c r="AC483" s="300"/>
      <c r="AD483" s="300"/>
    </row>
    <row r="484" spans="1:30" ht="12.75" customHeight="1" x14ac:dyDescent="0.2">
      <c r="A484" s="296"/>
      <c r="B484" s="296"/>
      <c r="C484" s="296"/>
      <c r="D484" s="298"/>
      <c r="E484" s="298"/>
      <c r="F484" s="296"/>
      <c r="G484" s="296"/>
      <c r="H484" s="296"/>
      <c r="I484" s="296"/>
      <c r="J484" s="296"/>
      <c r="K484" s="296"/>
      <c r="L484" s="296"/>
      <c r="M484" s="299"/>
      <c r="N484" s="299"/>
      <c r="O484" s="299"/>
      <c r="P484" s="299"/>
      <c r="Q484" s="299"/>
      <c r="R484" s="299"/>
      <c r="S484" s="299"/>
      <c r="T484" s="299"/>
      <c r="U484" s="299"/>
      <c r="V484" s="299"/>
      <c r="W484" s="299"/>
      <c r="X484" s="299"/>
      <c r="Y484" s="299"/>
      <c r="Z484" s="299"/>
      <c r="AA484" s="299"/>
      <c r="AB484" s="299"/>
      <c r="AC484" s="300"/>
      <c r="AD484" s="300"/>
    </row>
    <row r="485" spans="1:30" ht="12.75" customHeight="1" x14ac:dyDescent="0.2">
      <c r="A485" s="296"/>
      <c r="B485" s="296"/>
      <c r="C485" s="296"/>
      <c r="D485" s="298"/>
      <c r="E485" s="298"/>
      <c r="F485" s="296"/>
      <c r="G485" s="296"/>
      <c r="H485" s="296"/>
      <c r="I485" s="296"/>
      <c r="J485" s="296"/>
      <c r="K485" s="296"/>
      <c r="L485" s="296"/>
      <c r="M485" s="299"/>
      <c r="N485" s="299"/>
      <c r="O485" s="299"/>
      <c r="P485" s="299"/>
      <c r="Q485" s="299"/>
      <c r="R485" s="299"/>
      <c r="S485" s="299"/>
      <c r="T485" s="299"/>
      <c r="U485" s="299"/>
      <c r="V485" s="299"/>
      <c r="W485" s="299"/>
      <c r="X485" s="299"/>
      <c r="Y485" s="299"/>
      <c r="Z485" s="299"/>
      <c r="AA485" s="299"/>
      <c r="AB485" s="299"/>
      <c r="AC485" s="300"/>
      <c r="AD485" s="300"/>
    </row>
    <row r="486" spans="1:30" ht="12.75" customHeight="1" x14ac:dyDescent="0.2">
      <c r="A486" s="296"/>
      <c r="B486" s="296"/>
      <c r="C486" s="296"/>
      <c r="D486" s="298"/>
      <c r="E486" s="298"/>
      <c r="F486" s="296"/>
      <c r="G486" s="296"/>
      <c r="H486" s="296"/>
      <c r="I486" s="296"/>
      <c r="J486" s="296"/>
      <c r="K486" s="296"/>
      <c r="L486" s="296"/>
      <c r="M486" s="299"/>
      <c r="N486" s="299"/>
      <c r="O486" s="299"/>
      <c r="P486" s="299"/>
      <c r="Q486" s="299"/>
      <c r="R486" s="299"/>
      <c r="S486" s="299"/>
      <c r="T486" s="299"/>
      <c r="U486" s="299"/>
      <c r="V486" s="299"/>
      <c r="W486" s="299"/>
      <c r="X486" s="299"/>
      <c r="Y486" s="299"/>
      <c r="Z486" s="299"/>
      <c r="AA486" s="299"/>
      <c r="AB486" s="299"/>
      <c r="AC486" s="300"/>
      <c r="AD486" s="300"/>
    </row>
    <row r="487" spans="1:30" ht="12.75" customHeight="1" x14ac:dyDescent="0.2">
      <c r="A487" s="296"/>
      <c r="B487" s="296"/>
      <c r="C487" s="296"/>
      <c r="D487" s="298"/>
      <c r="E487" s="298"/>
      <c r="F487" s="296"/>
      <c r="G487" s="296"/>
      <c r="H487" s="296"/>
      <c r="I487" s="296"/>
      <c r="J487" s="296"/>
      <c r="K487" s="296"/>
      <c r="L487" s="296"/>
      <c r="M487" s="299"/>
      <c r="N487" s="299"/>
      <c r="O487" s="299"/>
      <c r="P487" s="299"/>
      <c r="Q487" s="299"/>
      <c r="R487" s="299"/>
      <c r="S487" s="299"/>
      <c r="T487" s="299"/>
      <c r="U487" s="299"/>
      <c r="V487" s="299"/>
      <c r="W487" s="299"/>
      <c r="X487" s="299"/>
      <c r="Y487" s="299"/>
      <c r="Z487" s="299"/>
      <c r="AA487" s="299"/>
      <c r="AB487" s="299"/>
      <c r="AC487" s="300"/>
      <c r="AD487" s="300"/>
    </row>
    <row r="488" spans="1:30" ht="12.75" customHeight="1" x14ac:dyDescent="0.2">
      <c r="A488" s="296"/>
      <c r="B488" s="296"/>
      <c r="C488" s="296"/>
      <c r="D488" s="298"/>
      <c r="E488" s="298"/>
      <c r="F488" s="296"/>
      <c r="G488" s="296"/>
      <c r="H488" s="296"/>
      <c r="I488" s="296"/>
      <c r="J488" s="296"/>
      <c r="K488" s="296"/>
      <c r="L488" s="296"/>
      <c r="M488" s="299"/>
      <c r="N488" s="299"/>
      <c r="O488" s="299"/>
      <c r="P488" s="299"/>
      <c r="Q488" s="299"/>
      <c r="R488" s="299"/>
      <c r="S488" s="299"/>
      <c r="T488" s="299"/>
      <c r="U488" s="299"/>
      <c r="V488" s="299"/>
      <c r="W488" s="299"/>
      <c r="X488" s="299"/>
      <c r="Y488" s="299"/>
      <c r="Z488" s="299"/>
      <c r="AA488" s="299"/>
      <c r="AB488" s="299"/>
      <c r="AC488" s="300"/>
      <c r="AD488" s="300"/>
    </row>
    <row r="489" spans="1:30" ht="12.75" customHeight="1" x14ac:dyDescent="0.2">
      <c r="A489" s="296"/>
      <c r="B489" s="296"/>
      <c r="C489" s="296"/>
      <c r="D489" s="298"/>
      <c r="E489" s="298"/>
      <c r="F489" s="296"/>
      <c r="G489" s="296"/>
      <c r="H489" s="296"/>
      <c r="I489" s="296"/>
      <c r="J489" s="296"/>
      <c r="K489" s="296"/>
      <c r="L489" s="296"/>
      <c r="M489" s="299"/>
      <c r="N489" s="299"/>
      <c r="O489" s="299"/>
      <c r="P489" s="299"/>
      <c r="Q489" s="299"/>
      <c r="R489" s="299"/>
      <c r="S489" s="299"/>
      <c r="T489" s="299"/>
      <c r="U489" s="299"/>
      <c r="V489" s="299"/>
      <c r="W489" s="299"/>
      <c r="X489" s="299"/>
      <c r="Y489" s="299"/>
      <c r="Z489" s="299"/>
      <c r="AA489" s="299"/>
      <c r="AB489" s="299"/>
      <c r="AC489" s="300"/>
      <c r="AD489" s="300"/>
    </row>
    <row r="490" spans="1:30" ht="12.75" customHeight="1" x14ac:dyDescent="0.2">
      <c r="A490" s="296"/>
      <c r="B490" s="296"/>
      <c r="C490" s="296"/>
      <c r="D490" s="298"/>
      <c r="E490" s="298"/>
      <c r="F490" s="296"/>
      <c r="G490" s="296"/>
      <c r="H490" s="296"/>
      <c r="I490" s="296"/>
      <c r="J490" s="296"/>
      <c r="K490" s="296"/>
      <c r="L490" s="296"/>
      <c r="M490" s="299"/>
      <c r="N490" s="299"/>
      <c r="O490" s="299"/>
      <c r="P490" s="299"/>
      <c r="Q490" s="299"/>
      <c r="R490" s="299"/>
      <c r="S490" s="299"/>
      <c r="T490" s="299"/>
      <c r="U490" s="299"/>
      <c r="V490" s="299"/>
      <c r="W490" s="299"/>
      <c r="X490" s="299"/>
      <c r="Y490" s="299"/>
      <c r="Z490" s="299"/>
      <c r="AA490" s="299"/>
      <c r="AB490" s="299"/>
      <c r="AC490" s="300"/>
      <c r="AD490" s="300"/>
    </row>
    <row r="491" spans="1:30" ht="12.75" customHeight="1" x14ac:dyDescent="0.2">
      <c r="A491" s="296"/>
      <c r="B491" s="296"/>
      <c r="C491" s="296"/>
      <c r="D491" s="298"/>
      <c r="E491" s="298"/>
      <c r="F491" s="296"/>
      <c r="G491" s="296"/>
      <c r="H491" s="296"/>
      <c r="I491" s="296"/>
      <c r="J491" s="296"/>
      <c r="K491" s="296"/>
      <c r="L491" s="296"/>
      <c r="M491" s="299"/>
      <c r="N491" s="299"/>
      <c r="O491" s="299"/>
      <c r="P491" s="299"/>
      <c r="Q491" s="299"/>
      <c r="R491" s="299"/>
      <c r="S491" s="299"/>
      <c r="T491" s="299"/>
      <c r="U491" s="299"/>
      <c r="V491" s="299"/>
      <c r="W491" s="299"/>
      <c r="X491" s="299"/>
      <c r="Y491" s="299"/>
      <c r="Z491" s="299"/>
      <c r="AA491" s="299"/>
      <c r="AB491" s="299"/>
      <c r="AC491" s="300"/>
      <c r="AD491" s="300"/>
    </row>
    <row r="492" spans="1:30" ht="12.75" customHeight="1" x14ac:dyDescent="0.2">
      <c r="A492" s="296"/>
      <c r="B492" s="296"/>
      <c r="C492" s="296"/>
      <c r="D492" s="298"/>
      <c r="E492" s="298"/>
      <c r="F492" s="296"/>
      <c r="G492" s="296"/>
      <c r="H492" s="296"/>
      <c r="I492" s="296"/>
      <c r="J492" s="296"/>
      <c r="K492" s="296"/>
      <c r="L492" s="296"/>
      <c r="M492" s="299"/>
      <c r="N492" s="299"/>
      <c r="O492" s="299"/>
      <c r="P492" s="299"/>
      <c r="Q492" s="299"/>
      <c r="R492" s="299"/>
      <c r="S492" s="299"/>
      <c r="T492" s="299"/>
      <c r="U492" s="299"/>
      <c r="V492" s="299"/>
      <c r="W492" s="299"/>
      <c r="X492" s="299"/>
      <c r="Y492" s="299"/>
      <c r="Z492" s="299"/>
      <c r="AA492" s="299"/>
      <c r="AB492" s="299"/>
      <c r="AC492" s="300"/>
      <c r="AD492" s="300"/>
    </row>
    <row r="493" spans="1:30" ht="12.75" customHeight="1" x14ac:dyDescent="0.2">
      <c r="A493" s="296"/>
      <c r="B493" s="296"/>
      <c r="C493" s="296"/>
      <c r="D493" s="298"/>
      <c r="E493" s="298"/>
      <c r="F493" s="296"/>
      <c r="G493" s="296"/>
      <c r="H493" s="296"/>
      <c r="I493" s="296"/>
      <c r="J493" s="296"/>
      <c r="K493" s="296"/>
      <c r="L493" s="296"/>
      <c r="M493" s="299"/>
      <c r="N493" s="299"/>
      <c r="O493" s="299"/>
      <c r="P493" s="299"/>
      <c r="Q493" s="299"/>
      <c r="R493" s="299"/>
      <c r="S493" s="299"/>
      <c r="T493" s="299"/>
      <c r="U493" s="299"/>
      <c r="V493" s="299"/>
      <c r="W493" s="299"/>
      <c r="X493" s="299"/>
      <c r="Y493" s="299"/>
      <c r="Z493" s="299"/>
      <c r="AA493" s="299"/>
      <c r="AB493" s="299"/>
      <c r="AC493" s="300"/>
      <c r="AD493" s="300"/>
    </row>
    <row r="494" spans="1:30" ht="12.75" customHeight="1" x14ac:dyDescent="0.2">
      <c r="A494" s="296"/>
      <c r="B494" s="296"/>
      <c r="C494" s="296"/>
      <c r="D494" s="298"/>
      <c r="E494" s="298"/>
      <c r="F494" s="296"/>
      <c r="G494" s="296"/>
      <c r="H494" s="296"/>
      <c r="I494" s="296"/>
      <c r="J494" s="296"/>
      <c r="K494" s="296"/>
      <c r="L494" s="296"/>
      <c r="M494" s="299"/>
      <c r="N494" s="299"/>
      <c r="O494" s="299"/>
      <c r="P494" s="299"/>
      <c r="Q494" s="299"/>
      <c r="R494" s="299"/>
      <c r="S494" s="299"/>
      <c r="T494" s="299"/>
      <c r="U494" s="299"/>
      <c r="V494" s="299"/>
      <c r="W494" s="299"/>
      <c r="X494" s="299"/>
      <c r="Y494" s="299"/>
      <c r="Z494" s="299"/>
      <c r="AA494" s="299"/>
      <c r="AB494" s="299"/>
      <c r="AC494" s="300"/>
      <c r="AD494" s="300"/>
    </row>
    <row r="495" spans="1:30" ht="12.75" customHeight="1" x14ac:dyDescent="0.2">
      <c r="A495" s="296"/>
      <c r="B495" s="296"/>
      <c r="C495" s="296"/>
      <c r="D495" s="298"/>
      <c r="E495" s="298"/>
      <c r="F495" s="296"/>
      <c r="G495" s="296"/>
      <c r="H495" s="296"/>
      <c r="I495" s="296"/>
      <c r="J495" s="296"/>
      <c r="K495" s="296"/>
      <c r="L495" s="296"/>
      <c r="M495" s="299"/>
      <c r="N495" s="299"/>
      <c r="O495" s="299"/>
      <c r="P495" s="299"/>
      <c r="Q495" s="299"/>
      <c r="R495" s="299"/>
      <c r="S495" s="299"/>
      <c r="T495" s="299"/>
      <c r="U495" s="299"/>
      <c r="V495" s="299"/>
      <c r="W495" s="299"/>
      <c r="X495" s="299"/>
      <c r="Y495" s="299"/>
      <c r="Z495" s="299"/>
      <c r="AA495" s="299"/>
      <c r="AB495" s="299"/>
      <c r="AC495" s="300"/>
      <c r="AD495" s="300"/>
    </row>
    <row r="496" spans="1:30" ht="12.75" customHeight="1" x14ac:dyDescent="0.2">
      <c r="A496" s="296"/>
      <c r="B496" s="296"/>
      <c r="C496" s="296"/>
      <c r="D496" s="298"/>
      <c r="E496" s="298"/>
      <c r="F496" s="296"/>
      <c r="G496" s="296"/>
      <c r="H496" s="296"/>
      <c r="I496" s="296"/>
      <c r="J496" s="296"/>
      <c r="K496" s="296"/>
      <c r="L496" s="296"/>
      <c r="M496" s="299"/>
      <c r="N496" s="299"/>
      <c r="O496" s="299"/>
      <c r="P496" s="299"/>
      <c r="Q496" s="299"/>
      <c r="R496" s="299"/>
      <c r="S496" s="299"/>
      <c r="T496" s="299"/>
      <c r="U496" s="299"/>
      <c r="V496" s="299"/>
      <c r="W496" s="299"/>
      <c r="X496" s="299"/>
      <c r="Y496" s="299"/>
      <c r="Z496" s="299"/>
      <c r="AA496" s="299"/>
      <c r="AB496" s="299"/>
      <c r="AC496" s="300"/>
      <c r="AD496" s="300"/>
    </row>
    <row r="497" spans="1:30" ht="12.75" customHeight="1" x14ac:dyDescent="0.2">
      <c r="A497" s="296"/>
      <c r="B497" s="296"/>
      <c r="C497" s="296"/>
      <c r="D497" s="298"/>
      <c r="E497" s="298"/>
      <c r="F497" s="296"/>
      <c r="G497" s="296"/>
      <c r="H497" s="296"/>
      <c r="I497" s="296"/>
      <c r="J497" s="296"/>
      <c r="K497" s="296"/>
      <c r="L497" s="296"/>
      <c r="M497" s="299"/>
      <c r="N497" s="299"/>
      <c r="O497" s="299"/>
      <c r="P497" s="299"/>
      <c r="Q497" s="299"/>
      <c r="R497" s="299"/>
      <c r="S497" s="299"/>
      <c r="T497" s="299"/>
      <c r="U497" s="299"/>
      <c r="V497" s="299"/>
      <c r="W497" s="299"/>
      <c r="X497" s="299"/>
      <c r="Y497" s="299"/>
      <c r="Z497" s="299"/>
      <c r="AA497" s="299"/>
      <c r="AB497" s="299"/>
      <c r="AC497" s="300"/>
      <c r="AD497" s="300"/>
    </row>
    <row r="498" spans="1:30" ht="12.75" customHeight="1" x14ac:dyDescent="0.2">
      <c r="A498" s="296"/>
      <c r="B498" s="296"/>
      <c r="C498" s="296"/>
      <c r="D498" s="298"/>
      <c r="E498" s="298"/>
      <c r="F498" s="296"/>
      <c r="G498" s="296"/>
      <c r="H498" s="296"/>
      <c r="I498" s="296"/>
      <c r="J498" s="296"/>
      <c r="K498" s="296"/>
      <c r="L498" s="296"/>
      <c r="M498" s="299"/>
      <c r="N498" s="299"/>
      <c r="O498" s="299"/>
      <c r="P498" s="299"/>
      <c r="Q498" s="299"/>
      <c r="R498" s="299"/>
      <c r="S498" s="299"/>
      <c r="T498" s="299"/>
      <c r="U498" s="299"/>
      <c r="V498" s="299"/>
      <c r="W498" s="299"/>
      <c r="X498" s="299"/>
      <c r="Y498" s="299"/>
      <c r="Z498" s="299"/>
      <c r="AA498" s="299"/>
      <c r="AB498" s="299"/>
      <c r="AC498" s="300"/>
      <c r="AD498" s="300"/>
    </row>
    <row r="499" spans="1:30" ht="12.75" customHeight="1" x14ac:dyDescent="0.2">
      <c r="A499" s="296"/>
      <c r="B499" s="296"/>
      <c r="C499" s="296"/>
      <c r="D499" s="298"/>
      <c r="E499" s="298"/>
      <c r="F499" s="296"/>
      <c r="G499" s="296"/>
      <c r="H499" s="296"/>
      <c r="I499" s="296"/>
      <c r="J499" s="296"/>
      <c r="K499" s="296"/>
      <c r="L499" s="296"/>
      <c r="M499" s="299"/>
      <c r="N499" s="299"/>
      <c r="O499" s="299"/>
      <c r="P499" s="299"/>
      <c r="Q499" s="299"/>
      <c r="R499" s="299"/>
      <c r="S499" s="299"/>
      <c r="T499" s="299"/>
      <c r="U499" s="299"/>
      <c r="V499" s="299"/>
      <c r="W499" s="299"/>
      <c r="X499" s="299"/>
      <c r="Y499" s="299"/>
      <c r="Z499" s="299"/>
      <c r="AA499" s="299"/>
      <c r="AB499" s="299"/>
      <c r="AC499" s="300"/>
      <c r="AD499" s="300"/>
    </row>
    <row r="500" spans="1:30" ht="12.75" customHeight="1" x14ac:dyDescent="0.2">
      <c r="A500" s="296"/>
      <c r="B500" s="296"/>
      <c r="C500" s="296"/>
      <c r="D500" s="298"/>
      <c r="E500" s="298"/>
      <c r="F500" s="296"/>
      <c r="G500" s="296"/>
      <c r="H500" s="296"/>
      <c r="I500" s="296"/>
      <c r="J500" s="296"/>
      <c r="K500" s="296"/>
      <c r="L500" s="296"/>
      <c r="M500" s="299"/>
      <c r="N500" s="299"/>
      <c r="O500" s="299"/>
      <c r="P500" s="299"/>
      <c r="Q500" s="299"/>
      <c r="R500" s="299"/>
      <c r="S500" s="299"/>
      <c r="T500" s="299"/>
      <c r="U500" s="299"/>
      <c r="V500" s="299"/>
      <c r="W500" s="299"/>
      <c r="X500" s="299"/>
      <c r="Y500" s="299"/>
      <c r="Z500" s="299"/>
      <c r="AA500" s="299"/>
      <c r="AB500" s="299"/>
      <c r="AC500" s="300"/>
      <c r="AD500" s="300"/>
    </row>
    <row r="501" spans="1:30" ht="12.75" customHeight="1" x14ac:dyDescent="0.2">
      <c r="A501" s="296"/>
      <c r="B501" s="296"/>
      <c r="C501" s="296"/>
      <c r="D501" s="298"/>
      <c r="E501" s="298"/>
      <c r="F501" s="296"/>
      <c r="G501" s="296"/>
      <c r="H501" s="296"/>
      <c r="I501" s="296"/>
      <c r="J501" s="296"/>
      <c r="K501" s="296"/>
      <c r="L501" s="296"/>
      <c r="M501" s="299"/>
      <c r="N501" s="299"/>
      <c r="O501" s="299"/>
      <c r="P501" s="299"/>
      <c r="Q501" s="299"/>
      <c r="R501" s="299"/>
      <c r="S501" s="299"/>
      <c r="T501" s="299"/>
      <c r="U501" s="299"/>
      <c r="V501" s="299"/>
      <c r="W501" s="299"/>
      <c r="X501" s="299"/>
      <c r="Y501" s="299"/>
      <c r="Z501" s="299"/>
      <c r="AA501" s="299"/>
      <c r="AB501" s="299"/>
      <c r="AC501" s="300"/>
      <c r="AD501" s="300"/>
    </row>
    <row r="502" spans="1:30" ht="12.75" customHeight="1" x14ac:dyDescent="0.2">
      <c r="A502" s="296"/>
      <c r="B502" s="296"/>
      <c r="C502" s="296"/>
      <c r="D502" s="298"/>
      <c r="E502" s="298"/>
      <c r="F502" s="296"/>
      <c r="G502" s="296"/>
      <c r="H502" s="296"/>
      <c r="I502" s="296"/>
      <c r="J502" s="296"/>
      <c r="K502" s="296"/>
      <c r="L502" s="296"/>
      <c r="M502" s="299"/>
      <c r="N502" s="299"/>
      <c r="O502" s="299"/>
      <c r="P502" s="299"/>
      <c r="Q502" s="299"/>
      <c r="R502" s="299"/>
      <c r="S502" s="299"/>
      <c r="T502" s="299"/>
      <c r="U502" s="299"/>
      <c r="V502" s="299"/>
      <c r="W502" s="299"/>
      <c r="X502" s="299"/>
      <c r="Y502" s="299"/>
      <c r="Z502" s="299"/>
      <c r="AA502" s="299"/>
      <c r="AB502" s="299"/>
      <c r="AC502" s="300"/>
      <c r="AD502" s="300"/>
    </row>
    <row r="503" spans="1:30" ht="12.75" customHeight="1" x14ac:dyDescent="0.2">
      <c r="A503" s="296"/>
      <c r="B503" s="296"/>
      <c r="C503" s="296"/>
      <c r="D503" s="298"/>
      <c r="E503" s="298"/>
      <c r="F503" s="296"/>
      <c r="G503" s="296"/>
      <c r="H503" s="296"/>
      <c r="I503" s="296"/>
      <c r="J503" s="296"/>
      <c r="K503" s="296"/>
      <c r="L503" s="296"/>
      <c r="M503" s="299"/>
      <c r="N503" s="299"/>
      <c r="O503" s="299"/>
      <c r="P503" s="299"/>
      <c r="Q503" s="299"/>
      <c r="R503" s="299"/>
      <c r="S503" s="299"/>
      <c r="T503" s="299"/>
      <c r="U503" s="299"/>
      <c r="V503" s="299"/>
      <c r="W503" s="299"/>
      <c r="X503" s="299"/>
      <c r="Y503" s="299"/>
      <c r="Z503" s="299"/>
      <c r="AA503" s="299"/>
      <c r="AB503" s="299"/>
      <c r="AC503" s="300"/>
      <c r="AD503" s="300"/>
    </row>
    <row r="504" spans="1:30" ht="12.75" customHeight="1" x14ac:dyDescent="0.2">
      <c r="A504" s="296"/>
      <c r="B504" s="296"/>
      <c r="C504" s="296"/>
      <c r="D504" s="298"/>
      <c r="E504" s="298"/>
      <c r="F504" s="296"/>
      <c r="G504" s="296"/>
      <c r="H504" s="296"/>
      <c r="I504" s="296"/>
      <c r="J504" s="296"/>
      <c r="K504" s="296"/>
      <c r="L504" s="296"/>
      <c r="M504" s="299"/>
      <c r="N504" s="299"/>
      <c r="O504" s="299"/>
      <c r="P504" s="299"/>
      <c r="Q504" s="299"/>
      <c r="R504" s="299"/>
      <c r="S504" s="299"/>
      <c r="T504" s="299"/>
      <c r="U504" s="299"/>
      <c r="V504" s="299"/>
      <c r="W504" s="299"/>
      <c r="X504" s="299"/>
      <c r="Y504" s="299"/>
      <c r="Z504" s="299"/>
      <c r="AA504" s="299"/>
      <c r="AB504" s="299"/>
      <c r="AC504" s="300"/>
      <c r="AD504" s="300"/>
    </row>
    <row r="505" spans="1:30" ht="12.75" customHeight="1" x14ac:dyDescent="0.2">
      <c r="A505" s="296"/>
      <c r="B505" s="296"/>
      <c r="C505" s="296"/>
      <c r="D505" s="298"/>
      <c r="E505" s="298"/>
      <c r="F505" s="296"/>
      <c r="G505" s="296"/>
      <c r="H505" s="296"/>
      <c r="I505" s="296"/>
      <c r="J505" s="296"/>
      <c r="K505" s="296"/>
      <c r="L505" s="296"/>
      <c r="M505" s="299"/>
      <c r="N505" s="299"/>
      <c r="O505" s="299"/>
      <c r="P505" s="299"/>
      <c r="Q505" s="299"/>
      <c r="R505" s="299"/>
      <c r="S505" s="299"/>
      <c r="T505" s="299"/>
      <c r="U505" s="299"/>
      <c r="V505" s="299"/>
      <c r="W505" s="299"/>
      <c r="X505" s="299"/>
      <c r="Y505" s="299"/>
      <c r="Z505" s="299"/>
      <c r="AA505" s="299"/>
      <c r="AB505" s="299"/>
      <c r="AC505" s="300"/>
      <c r="AD505" s="300"/>
    </row>
    <row r="506" spans="1:30" ht="12.75" customHeight="1" x14ac:dyDescent="0.2">
      <c r="A506" s="296"/>
      <c r="B506" s="296"/>
      <c r="C506" s="296"/>
      <c r="D506" s="298"/>
      <c r="E506" s="298"/>
      <c r="F506" s="296"/>
      <c r="G506" s="296"/>
      <c r="H506" s="296"/>
      <c r="I506" s="296"/>
      <c r="J506" s="296"/>
      <c r="K506" s="296"/>
      <c r="L506" s="296"/>
      <c r="M506" s="299"/>
      <c r="N506" s="299"/>
      <c r="O506" s="299"/>
      <c r="P506" s="299"/>
      <c r="Q506" s="299"/>
      <c r="R506" s="299"/>
      <c r="S506" s="299"/>
      <c r="T506" s="299"/>
      <c r="U506" s="299"/>
      <c r="V506" s="299"/>
      <c r="W506" s="299"/>
      <c r="X506" s="299"/>
      <c r="Y506" s="299"/>
      <c r="Z506" s="299"/>
      <c r="AA506" s="299"/>
      <c r="AB506" s="299"/>
      <c r="AC506" s="300"/>
      <c r="AD506" s="300"/>
    </row>
    <row r="507" spans="1:30" ht="12.75" customHeight="1" x14ac:dyDescent="0.2">
      <c r="A507" s="296"/>
      <c r="B507" s="296"/>
      <c r="C507" s="296"/>
      <c r="D507" s="298"/>
      <c r="E507" s="298"/>
      <c r="F507" s="296"/>
      <c r="G507" s="296"/>
      <c r="H507" s="296"/>
      <c r="I507" s="296"/>
      <c r="J507" s="296"/>
      <c r="K507" s="296"/>
      <c r="L507" s="296"/>
      <c r="M507" s="299"/>
      <c r="N507" s="299"/>
      <c r="O507" s="299"/>
      <c r="P507" s="299"/>
      <c r="Q507" s="299"/>
      <c r="R507" s="299"/>
      <c r="S507" s="299"/>
      <c r="T507" s="299"/>
      <c r="U507" s="299"/>
      <c r="V507" s="299"/>
      <c r="W507" s="299"/>
      <c r="X507" s="299"/>
      <c r="Y507" s="299"/>
      <c r="Z507" s="299"/>
      <c r="AA507" s="299"/>
      <c r="AB507" s="299"/>
      <c r="AC507" s="300"/>
      <c r="AD507" s="300"/>
    </row>
    <row r="508" spans="1:30" ht="12.75" customHeight="1" x14ac:dyDescent="0.2">
      <c r="A508" s="296"/>
      <c r="B508" s="296"/>
      <c r="C508" s="296"/>
      <c r="D508" s="298"/>
      <c r="E508" s="298"/>
      <c r="F508" s="296"/>
      <c r="G508" s="296"/>
      <c r="H508" s="296"/>
      <c r="I508" s="296"/>
      <c r="J508" s="296"/>
      <c r="K508" s="296"/>
      <c r="L508" s="296"/>
      <c r="M508" s="299"/>
      <c r="N508" s="299"/>
      <c r="O508" s="299"/>
      <c r="P508" s="299"/>
      <c r="Q508" s="299"/>
      <c r="R508" s="299"/>
      <c r="S508" s="299"/>
      <c r="T508" s="299"/>
      <c r="U508" s="299"/>
      <c r="V508" s="299"/>
      <c r="W508" s="299"/>
      <c r="X508" s="299"/>
      <c r="Y508" s="299"/>
      <c r="Z508" s="299"/>
      <c r="AA508" s="299"/>
      <c r="AB508" s="299"/>
      <c r="AC508" s="300"/>
      <c r="AD508" s="300"/>
    </row>
    <row r="509" spans="1:30" ht="12.75" customHeight="1" x14ac:dyDescent="0.2">
      <c r="A509" s="296"/>
      <c r="B509" s="296"/>
      <c r="C509" s="296"/>
      <c r="D509" s="298"/>
      <c r="E509" s="298"/>
      <c r="F509" s="296"/>
      <c r="G509" s="296"/>
      <c r="H509" s="296"/>
      <c r="I509" s="296"/>
      <c r="J509" s="296"/>
      <c r="K509" s="296"/>
      <c r="L509" s="296"/>
      <c r="M509" s="299"/>
      <c r="N509" s="299"/>
      <c r="O509" s="299"/>
      <c r="P509" s="299"/>
      <c r="Q509" s="299"/>
      <c r="R509" s="299"/>
      <c r="S509" s="299"/>
      <c r="T509" s="299"/>
      <c r="U509" s="299"/>
      <c r="V509" s="299"/>
      <c r="W509" s="299"/>
      <c r="X509" s="299"/>
      <c r="Y509" s="299"/>
      <c r="Z509" s="299"/>
      <c r="AA509" s="299"/>
      <c r="AB509" s="299"/>
      <c r="AC509" s="300"/>
      <c r="AD509" s="300"/>
    </row>
    <row r="510" spans="1:30" ht="12.75" customHeight="1" x14ac:dyDescent="0.2">
      <c r="A510" s="296"/>
      <c r="B510" s="296"/>
      <c r="C510" s="296"/>
      <c r="D510" s="298"/>
      <c r="E510" s="298"/>
      <c r="F510" s="296"/>
      <c r="G510" s="296"/>
      <c r="H510" s="296"/>
      <c r="I510" s="296"/>
      <c r="J510" s="296"/>
      <c r="K510" s="296"/>
      <c r="L510" s="296"/>
      <c r="M510" s="299"/>
      <c r="N510" s="299"/>
      <c r="O510" s="299"/>
      <c r="P510" s="299"/>
      <c r="Q510" s="299"/>
      <c r="R510" s="299"/>
      <c r="S510" s="299"/>
      <c r="T510" s="299"/>
      <c r="U510" s="299"/>
      <c r="V510" s="299"/>
      <c r="W510" s="299"/>
      <c r="X510" s="299"/>
      <c r="Y510" s="299"/>
      <c r="Z510" s="299"/>
      <c r="AA510" s="299"/>
      <c r="AB510" s="299"/>
      <c r="AC510" s="300"/>
      <c r="AD510" s="300"/>
    </row>
    <row r="511" spans="1:30" ht="12.75" customHeight="1" x14ac:dyDescent="0.2">
      <c r="A511" s="296"/>
      <c r="B511" s="296"/>
      <c r="C511" s="296"/>
      <c r="D511" s="298"/>
      <c r="E511" s="298"/>
      <c r="F511" s="296"/>
      <c r="G511" s="296"/>
      <c r="H511" s="296"/>
      <c r="I511" s="296"/>
      <c r="J511" s="296"/>
      <c r="K511" s="296"/>
      <c r="L511" s="296"/>
      <c r="M511" s="299"/>
      <c r="N511" s="299"/>
      <c r="O511" s="299"/>
      <c r="P511" s="299"/>
      <c r="Q511" s="299"/>
      <c r="R511" s="299"/>
      <c r="S511" s="299"/>
      <c r="T511" s="299"/>
      <c r="U511" s="299"/>
      <c r="V511" s="299"/>
      <c r="W511" s="299"/>
      <c r="X511" s="299"/>
      <c r="Y511" s="299"/>
      <c r="Z511" s="299"/>
      <c r="AA511" s="299"/>
      <c r="AB511" s="299"/>
      <c r="AC511" s="300"/>
      <c r="AD511" s="300"/>
    </row>
    <row r="512" spans="1:30" ht="12.75" customHeight="1" x14ac:dyDescent="0.2">
      <c r="A512" s="296"/>
      <c r="B512" s="296"/>
      <c r="C512" s="296"/>
      <c r="D512" s="298"/>
      <c r="E512" s="298"/>
      <c r="F512" s="296"/>
      <c r="G512" s="296"/>
      <c r="H512" s="296"/>
      <c r="I512" s="296"/>
      <c r="J512" s="296"/>
      <c r="K512" s="296"/>
      <c r="L512" s="296"/>
      <c r="M512" s="299"/>
      <c r="N512" s="299"/>
      <c r="O512" s="299"/>
      <c r="P512" s="299"/>
      <c r="Q512" s="299"/>
      <c r="R512" s="299"/>
      <c r="S512" s="299"/>
      <c r="T512" s="299"/>
      <c r="U512" s="299"/>
      <c r="V512" s="299"/>
      <c r="W512" s="299"/>
      <c r="X512" s="299"/>
      <c r="Y512" s="299"/>
      <c r="Z512" s="299"/>
      <c r="AA512" s="299"/>
      <c r="AB512" s="299"/>
      <c r="AC512" s="300"/>
      <c r="AD512" s="300"/>
    </row>
    <row r="513" spans="1:30" ht="12.75" customHeight="1" x14ac:dyDescent="0.2">
      <c r="A513" s="296"/>
      <c r="B513" s="296"/>
      <c r="C513" s="296"/>
      <c r="D513" s="298"/>
      <c r="E513" s="298"/>
      <c r="F513" s="296"/>
      <c r="G513" s="296"/>
      <c r="H513" s="296"/>
      <c r="I513" s="296"/>
      <c r="J513" s="296"/>
      <c r="K513" s="296"/>
      <c r="L513" s="296"/>
      <c r="M513" s="299"/>
      <c r="N513" s="299"/>
      <c r="O513" s="299"/>
      <c r="P513" s="299"/>
      <c r="Q513" s="299"/>
      <c r="R513" s="299"/>
      <c r="S513" s="299"/>
      <c r="T513" s="299"/>
      <c r="U513" s="299"/>
      <c r="V513" s="299"/>
      <c r="W513" s="299"/>
      <c r="X513" s="299"/>
      <c r="Y513" s="299"/>
      <c r="Z513" s="299"/>
      <c r="AA513" s="299"/>
      <c r="AB513" s="299"/>
      <c r="AC513" s="300"/>
      <c r="AD513" s="300"/>
    </row>
    <row r="514" spans="1:30" ht="12.75" customHeight="1" x14ac:dyDescent="0.2">
      <c r="A514" s="296"/>
      <c r="B514" s="296"/>
      <c r="C514" s="296"/>
      <c r="D514" s="298"/>
      <c r="E514" s="298"/>
      <c r="F514" s="296"/>
      <c r="G514" s="296"/>
      <c r="H514" s="296"/>
      <c r="I514" s="296"/>
      <c r="J514" s="296"/>
      <c r="K514" s="296"/>
      <c r="L514" s="296"/>
      <c r="M514" s="299"/>
      <c r="N514" s="299"/>
      <c r="O514" s="299"/>
      <c r="P514" s="299"/>
      <c r="Q514" s="299"/>
      <c r="R514" s="299"/>
      <c r="S514" s="299"/>
      <c r="T514" s="299"/>
      <c r="U514" s="299"/>
      <c r="V514" s="299"/>
      <c r="W514" s="299"/>
      <c r="X514" s="299"/>
      <c r="Y514" s="299"/>
      <c r="Z514" s="299"/>
      <c r="AA514" s="299"/>
      <c r="AB514" s="299"/>
      <c r="AC514" s="300"/>
      <c r="AD514" s="300"/>
    </row>
    <row r="515" spans="1:30" ht="12.75" customHeight="1" x14ac:dyDescent="0.2">
      <c r="A515" s="296"/>
      <c r="B515" s="296"/>
      <c r="C515" s="296"/>
      <c r="D515" s="298"/>
      <c r="E515" s="298"/>
      <c r="F515" s="296"/>
      <c r="G515" s="296"/>
      <c r="H515" s="296"/>
      <c r="I515" s="296"/>
      <c r="J515" s="296"/>
      <c r="K515" s="296"/>
      <c r="L515" s="296"/>
      <c r="M515" s="299"/>
      <c r="N515" s="299"/>
      <c r="O515" s="299"/>
      <c r="P515" s="299"/>
      <c r="Q515" s="299"/>
      <c r="R515" s="299"/>
      <c r="S515" s="299"/>
      <c r="T515" s="299"/>
      <c r="U515" s="299"/>
      <c r="V515" s="299"/>
      <c r="W515" s="299"/>
      <c r="X515" s="299"/>
      <c r="Y515" s="299"/>
      <c r="Z515" s="299"/>
      <c r="AA515" s="299"/>
      <c r="AB515" s="299"/>
      <c r="AC515" s="300"/>
      <c r="AD515" s="300"/>
    </row>
    <row r="516" spans="1:30" ht="12.75" customHeight="1" x14ac:dyDescent="0.2">
      <c r="A516" s="296"/>
      <c r="B516" s="296"/>
      <c r="C516" s="296"/>
      <c r="D516" s="298"/>
      <c r="E516" s="298"/>
      <c r="F516" s="296"/>
      <c r="G516" s="296"/>
      <c r="H516" s="296"/>
      <c r="I516" s="296"/>
      <c r="J516" s="296"/>
      <c r="K516" s="296"/>
      <c r="L516" s="296"/>
      <c r="M516" s="299"/>
      <c r="N516" s="299"/>
      <c r="O516" s="299"/>
      <c r="P516" s="299"/>
      <c r="Q516" s="299"/>
      <c r="R516" s="299"/>
      <c r="S516" s="299"/>
      <c r="T516" s="299"/>
      <c r="U516" s="299"/>
      <c r="V516" s="299"/>
      <c r="W516" s="299"/>
      <c r="X516" s="299"/>
      <c r="Y516" s="299"/>
      <c r="Z516" s="299"/>
      <c r="AA516" s="299"/>
      <c r="AB516" s="299"/>
      <c r="AC516" s="300"/>
      <c r="AD516" s="300"/>
    </row>
    <row r="517" spans="1:30" ht="12.75" customHeight="1" x14ac:dyDescent="0.2">
      <c r="A517" s="296"/>
      <c r="B517" s="296"/>
      <c r="C517" s="296"/>
      <c r="D517" s="298"/>
      <c r="E517" s="298"/>
      <c r="F517" s="296"/>
      <c r="G517" s="296"/>
      <c r="H517" s="296"/>
      <c r="I517" s="296"/>
      <c r="J517" s="296"/>
      <c r="K517" s="296"/>
      <c r="L517" s="296"/>
      <c r="M517" s="299"/>
      <c r="N517" s="299"/>
      <c r="O517" s="299"/>
      <c r="P517" s="299"/>
      <c r="Q517" s="299"/>
      <c r="R517" s="299"/>
      <c r="S517" s="299"/>
      <c r="T517" s="299"/>
      <c r="U517" s="299"/>
      <c r="V517" s="299"/>
      <c r="W517" s="299"/>
      <c r="X517" s="299"/>
      <c r="Y517" s="299"/>
      <c r="Z517" s="299"/>
      <c r="AA517" s="299"/>
      <c r="AB517" s="299"/>
      <c r="AC517" s="300"/>
      <c r="AD517" s="300"/>
    </row>
    <row r="518" spans="1:30" ht="12.75" customHeight="1" x14ac:dyDescent="0.2">
      <c r="A518" s="296"/>
      <c r="B518" s="296"/>
      <c r="C518" s="296"/>
      <c r="D518" s="298"/>
      <c r="E518" s="298"/>
      <c r="F518" s="296"/>
      <c r="G518" s="296"/>
      <c r="H518" s="296"/>
      <c r="I518" s="296"/>
      <c r="J518" s="296"/>
      <c r="K518" s="296"/>
      <c r="L518" s="296"/>
      <c r="M518" s="299"/>
      <c r="N518" s="299"/>
      <c r="O518" s="299"/>
      <c r="P518" s="299"/>
      <c r="Q518" s="299"/>
      <c r="R518" s="299"/>
      <c r="S518" s="299"/>
      <c r="T518" s="299"/>
      <c r="U518" s="299"/>
      <c r="V518" s="299"/>
      <c r="W518" s="299"/>
      <c r="X518" s="299"/>
      <c r="Y518" s="299"/>
      <c r="Z518" s="299"/>
      <c r="AA518" s="299"/>
      <c r="AB518" s="299"/>
      <c r="AC518" s="300"/>
      <c r="AD518" s="300"/>
    </row>
    <row r="519" spans="1:30" ht="12.75" customHeight="1" x14ac:dyDescent="0.2">
      <c r="A519" s="296"/>
      <c r="B519" s="296"/>
      <c r="C519" s="296"/>
      <c r="D519" s="298"/>
      <c r="E519" s="298"/>
      <c r="F519" s="296"/>
      <c r="G519" s="296"/>
      <c r="H519" s="296"/>
      <c r="I519" s="296"/>
      <c r="J519" s="296"/>
      <c r="K519" s="296"/>
      <c r="L519" s="296"/>
      <c r="M519" s="299"/>
      <c r="N519" s="299"/>
      <c r="O519" s="299"/>
      <c r="P519" s="299"/>
      <c r="Q519" s="299"/>
      <c r="R519" s="299"/>
      <c r="S519" s="299"/>
      <c r="T519" s="299"/>
      <c r="U519" s="299"/>
      <c r="V519" s="299"/>
      <c r="W519" s="299"/>
      <c r="X519" s="299"/>
      <c r="Y519" s="299"/>
      <c r="Z519" s="299"/>
      <c r="AA519" s="299"/>
      <c r="AB519" s="299"/>
      <c r="AC519" s="300"/>
      <c r="AD519" s="300"/>
    </row>
    <row r="520" spans="1:30" ht="12.75" customHeight="1" x14ac:dyDescent="0.2">
      <c r="A520" s="296"/>
      <c r="B520" s="296"/>
      <c r="C520" s="296"/>
      <c r="D520" s="298"/>
      <c r="E520" s="298"/>
      <c r="F520" s="296"/>
      <c r="G520" s="296"/>
      <c r="H520" s="296"/>
      <c r="I520" s="296"/>
      <c r="J520" s="296"/>
      <c r="K520" s="296"/>
      <c r="L520" s="296"/>
      <c r="M520" s="299"/>
      <c r="N520" s="299"/>
      <c r="O520" s="299"/>
      <c r="P520" s="299"/>
      <c r="Q520" s="299"/>
      <c r="R520" s="299"/>
      <c r="S520" s="299"/>
      <c r="T520" s="299"/>
      <c r="U520" s="299"/>
      <c r="V520" s="299"/>
      <c r="W520" s="299"/>
      <c r="X520" s="299"/>
      <c r="Y520" s="299"/>
      <c r="Z520" s="299"/>
      <c r="AA520" s="299"/>
      <c r="AB520" s="299"/>
      <c r="AC520" s="300"/>
      <c r="AD520" s="300"/>
    </row>
    <row r="521" spans="1:30" ht="12.75" customHeight="1" x14ac:dyDescent="0.2">
      <c r="A521" s="296"/>
      <c r="B521" s="296"/>
      <c r="C521" s="296"/>
      <c r="D521" s="298"/>
      <c r="E521" s="298"/>
      <c r="F521" s="296"/>
      <c r="G521" s="296"/>
      <c r="H521" s="296"/>
      <c r="I521" s="296"/>
      <c r="J521" s="296"/>
      <c r="K521" s="296"/>
      <c r="L521" s="296"/>
      <c r="M521" s="299"/>
      <c r="N521" s="299"/>
      <c r="O521" s="299"/>
      <c r="P521" s="299"/>
      <c r="Q521" s="299"/>
      <c r="R521" s="299"/>
      <c r="S521" s="299"/>
      <c r="T521" s="299"/>
      <c r="U521" s="299"/>
      <c r="V521" s="299"/>
      <c r="W521" s="299"/>
      <c r="X521" s="299"/>
      <c r="Y521" s="299"/>
      <c r="Z521" s="299"/>
      <c r="AA521" s="299"/>
      <c r="AB521" s="299"/>
      <c r="AC521" s="300"/>
      <c r="AD521" s="300"/>
    </row>
    <row r="522" spans="1:30" ht="12.75" customHeight="1" x14ac:dyDescent="0.2">
      <c r="A522" s="296"/>
      <c r="B522" s="296"/>
      <c r="C522" s="296"/>
      <c r="D522" s="298"/>
      <c r="E522" s="298"/>
      <c r="F522" s="296"/>
      <c r="G522" s="296"/>
      <c r="H522" s="296"/>
      <c r="I522" s="296"/>
      <c r="J522" s="296"/>
      <c r="K522" s="296"/>
      <c r="L522" s="296"/>
      <c r="M522" s="299"/>
      <c r="N522" s="299"/>
      <c r="O522" s="299"/>
      <c r="P522" s="299"/>
      <c r="Q522" s="299"/>
      <c r="R522" s="299"/>
      <c r="S522" s="299"/>
      <c r="T522" s="299"/>
      <c r="U522" s="299"/>
      <c r="V522" s="299"/>
      <c r="W522" s="299"/>
      <c r="X522" s="299"/>
      <c r="Y522" s="299"/>
      <c r="Z522" s="299"/>
      <c r="AA522" s="299"/>
      <c r="AB522" s="299"/>
      <c r="AC522" s="300"/>
      <c r="AD522" s="300"/>
    </row>
    <row r="523" spans="1:30" ht="12.75" customHeight="1" x14ac:dyDescent="0.2">
      <c r="A523" s="296"/>
      <c r="B523" s="296"/>
      <c r="C523" s="296"/>
      <c r="D523" s="298"/>
      <c r="E523" s="298"/>
      <c r="F523" s="296"/>
      <c r="G523" s="296"/>
      <c r="H523" s="296"/>
      <c r="I523" s="296"/>
      <c r="J523" s="296"/>
      <c r="K523" s="296"/>
      <c r="L523" s="296"/>
      <c r="M523" s="299"/>
      <c r="N523" s="299"/>
      <c r="O523" s="299"/>
      <c r="P523" s="299"/>
      <c r="Q523" s="299"/>
      <c r="R523" s="299"/>
      <c r="S523" s="299"/>
      <c r="T523" s="299"/>
      <c r="U523" s="299"/>
      <c r="V523" s="299"/>
      <c r="W523" s="299"/>
      <c r="X523" s="299"/>
      <c r="Y523" s="299"/>
      <c r="Z523" s="299"/>
      <c r="AA523" s="299"/>
      <c r="AB523" s="299"/>
      <c r="AC523" s="300"/>
      <c r="AD523" s="300"/>
    </row>
    <row r="524" spans="1:30" ht="12.75" customHeight="1" x14ac:dyDescent="0.2">
      <c r="A524" s="296"/>
      <c r="B524" s="296"/>
      <c r="C524" s="296"/>
      <c r="D524" s="298"/>
      <c r="E524" s="298"/>
      <c r="F524" s="296"/>
      <c r="G524" s="296"/>
      <c r="H524" s="296"/>
      <c r="I524" s="296"/>
      <c r="J524" s="296"/>
      <c r="K524" s="296"/>
      <c r="L524" s="296"/>
      <c r="M524" s="299"/>
      <c r="N524" s="299"/>
      <c r="O524" s="299"/>
      <c r="P524" s="299"/>
      <c r="Q524" s="299"/>
      <c r="R524" s="299"/>
      <c r="S524" s="299"/>
      <c r="T524" s="299"/>
      <c r="U524" s="299"/>
      <c r="V524" s="299"/>
      <c r="W524" s="299"/>
      <c r="X524" s="299"/>
      <c r="Y524" s="299"/>
      <c r="Z524" s="299"/>
      <c r="AA524" s="299"/>
      <c r="AB524" s="299"/>
      <c r="AC524" s="300"/>
      <c r="AD524" s="300"/>
    </row>
    <row r="525" spans="1:30" ht="12.75" customHeight="1" x14ac:dyDescent="0.2">
      <c r="A525" s="296"/>
      <c r="B525" s="296"/>
      <c r="C525" s="296"/>
      <c r="D525" s="298"/>
      <c r="E525" s="298"/>
      <c r="F525" s="296"/>
      <c r="G525" s="296"/>
      <c r="H525" s="296"/>
      <c r="I525" s="296"/>
      <c r="J525" s="296"/>
      <c r="K525" s="296"/>
      <c r="L525" s="296"/>
      <c r="M525" s="299"/>
      <c r="N525" s="299"/>
      <c r="O525" s="299"/>
      <c r="P525" s="299"/>
      <c r="Q525" s="299"/>
      <c r="R525" s="299"/>
      <c r="S525" s="299"/>
      <c r="T525" s="299"/>
      <c r="U525" s="299"/>
      <c r="V525" s="299"/>
      <c r="W525" s="299"/>
      <c r="X525" s="299"/>
      <c r="Y525" s="299"/>
      <c r="Z525" s="299"/>
      <c r="AA525" s="299"/>
      <c r="AB525" s="299"/>
      <c r="AC525" s="300"/>
      <c r="AD525" s="300"/>
    </row>
    <row r="526" spans="1:30" ht="12.75" customHeight="1" x14ac:dyDescent="0.2">
      <c r="A526" s="296"/>
      <c r="B526" s="296"/>
      <c r="C526" s="296"/>
      <c r="D526" s="298"/>
      <c r="E526" s="298"/>
      <c r="F526" s="296"/>
      <c r="G526" s="296"/>
      <c r="H526" s="296"/>
      <c r="I526" s="296"/>
      <c r="J526" s="296"/>
      <c r="K526" s="296"/>
      <c r="L526" s="296"/>
      <c r="M526" s="299"/>
      <c r="N526" s="299"/>
      <c r="O526" s="299"/>
      <c r="P526" s="299"/>
      <c r="Q526" s="299"/>
      <c r="R526" s="299"/>
      <c r="S526" s="299"/>
      <c r="T526" s="299"/>
      <c r="U526" s="299"/>
      <c r="V526" s="299"/>
      <c r="W526" s="299"/>
      <c r="X526" s="299"/>
      <c r="Y526" s="299"/>
      <c r="Z526" s="299"/>
      <c r="AA526" s="299"/>
      <c r="AB526" s="299"/>
      <c r="AC526" s="300"/>
      <c r="AD526" s="300"/>
    </row>
    <row r="527" spans="1:30" ht="12.75" customHeight="1" x14ac:dyDescent="0.2">
      <c r="A527" s="296"/>
      <c r="B527" s="296"/>
      <c r="C527" s="296"/>
      <c r="D527" s="298"/>
      <c r="E527" s="298"/>
      <c r="F527" s="296"/>
      <c r="G527" s="296"/>
      <c r="H527" s="296"/>
      <c r="I527" s="296"/>
      <c r="J527" s="296"/>
      <c r="K527" s="296"/>
      <c r="L527" s="296"/>
      <c r="M527" s="299"/>
      <c r="N527" s="299"/>
      <c r="O527" s="299"/>
      <c r="P527" s="299"/>
      <c r="Q527" s="299"/>
      <c r="R527" s="299"/>
      <c r="S527" s="299"/>
      <c r="T527" s="299"/>
      <c r="U527" s="299"/>
      <c r="V527" s="299"/>
      <c r="W527" s="299"/>
      <c r="X527" s="299"/>
      <c r="Y527" s="299"/>
      <c r="Z527" s="299"/>
      <c r="AA527" s="299"/>
      <c r="AB527" s="299"/>
      <c r="AC527" s="300"/>
      <c r="AD527" s="300"/>
    </row>
    <row r="528" spans="1:30" ht="12.75" customHeight="1" x14ac:dyDescent="0.2">
      <c r="A528" s="296"/>
      <c r="B528" s="296"/>
      <c r="C528" s="296"/>
      <c r="D528" s="298"/>
      <c r="E528" s="298"/>
      <c r="F528" s="296"/>
      <c r="G528" s="296"/>
      <c r="H528" s="296"/>
      <c r="I528" s="296"/>
      <c r="J528" s="296"/>
      <c r="K528" s="296"/>
      <c r="L528" s="296"/>
      <c r="M528" s="299"/>
      <c r="N528" s="299"/>
      <c r="O528" s="299"/>
      <c r="P528" s="299"/>
      <c r="Q528" s="299"/>
      <c r="R528" s="299"/>
      <c r="S528" s="299"/>
      <c r="T528" s="299"/>
      <c r="U528" s="299"/>
      <c r="V528" s="299"/>
      <c r="W528" s="299"/>
      <c r="X528" s="299"/>
      <c r="Y528" s="299"/>
      <c r="Z528" s="299"/>
      <c r="AA528" s="299"/>
      <c r="AB528" s="299"/>
      <c r="AC528" s="300"/>
      <c r="AD528" s="300"/>
    </row>
    <row r="529" spans="1:30" ht="12.75" customHeight="1" x14ac:dyDescent="0.2">
      <c r="A529" s="296"/>
      <c r="B529" s="296"/>
      <c r="C529" s="296"/>
      <c r="D529" s="298"/>
      <c r="E529" s="298"/>
      <c r="F529" s="296"/>
      <c r="G529" s="296"/>
      <c r="H529" s="296"/>
      <c r="I529" s="296"/>
      <c r="J529" s="296"/>
      <c r="K529" s="296"/>
      <c r="L529" s="296"/>
      <c r="M529" s="299"/>
      <c r="N529" s="299"/>
      <c r="O529" s="299"/>
      <c r="P529" s="299"/>
      <c r="Q529" s="299"/>
      <c r="R529" s="299"/>
      <c r="S529" s="299"/>
      <c r="T529" s="299"/>
      <c r="U529" s="299"/>
      <c r="V529" s="299"/>
      <c r="W529" s="299"/>
      <c r="X529" s="299"/>
      <c r="Y529" s="299"/>
      <c r="Z529" s="299"/>
      <c r="AA529" s="299"/>
      <c r="AB529" s="299"/>
      <c r="AC529" s="300"/>
      <c r="AD529" s="300"/>
    </row>
    <row r="530" spans="1:30" ht="12.75" customHeight="1" x14ac:dyDescent="0.2">
      <c r="A530" s="296"/>
      <c r="B530" s="296"/>
      <c r="C530" s="296"/>
      <c r="D530" s="298"/>
      <c r="E530" s="298"/>
      <c r="F530" s="296"/>
      <c r="G530" s="296"/>
      <c r="H530" s="296"/>
      <c r="I530" s="296"/>
      <c r="J530" s="296"/>
      <c r="K530" s="296"/>
      <c r="L530" s="296"/>
      <c r="M530" s="299"/>
      <c r="N530" s="299"/>
      <c r="O530" s="299"/>
      <c r="P530" s="299"/>
      <c r="Q530" s="299"/>
      <c r="R530" s="299"/>
      <c r="S530" s="299"/>
      <c r="T530" s="299"/>
      <c r="U530" s="299"/>
      <c r="V530" s="299"/>
      <c r="W530" s="299"/>
      <c r="X530" s="299"/>
      <c r="Y530" s="299"/>
      <c r="Z530" s="299"/>
      <c r="AA530" s="299"/>
      <c r="AB530" s="299"/>
      <c r="AC530" s="300"/>
      <c r="AD530" s="300"/>
    </row>
    <row r="531" spans="1:30" ht="12.75" customHeight="1" x14ac:dyDescent="0.2">
      <c r="A531" s="296"/>
      <c r="B531" s="296"/>
      <c r="C531" s="296"/>
      <c r="D531" s="298"/>
      <c r="E531" s="298"/>
      <c r="F531" s="296"/>
      <c r="G531" s="296"/>
      <c r="H531" s="296"/>
      <c r="I531" s="296"/>
      <c r="J531" s="296"/>
      <c r="K531" s="296"/>
      <c r="L531" s="296"/>
      <c r="M531" s="299"/>
      <c r="N531" s="299"/>
      <c r="O531" s="299"/>
      <c r="P531" s="299"/>
      <c r="Q531" s="299"/>
      <c r="R531" s="299"/>
      <c r="S531" s="299"/>
      <c r="T531" s="299"/>
      <c r="U531" s="299"/>
      <c r="V531" s="299"/>
      <c r="W531" s="299"/>
      <c r="X531" s="299"/>
      <c r="Y531" s="299"/>
      <c r="Z531" s="299"/>
      <c r="AA531" s="299"/>
      <c r="AB531" s="299"/>
      <c r="AC531" s="300"/>
      <c r="AD531" s="300"/>
    </row>
    <row r="532" spans="1:30" ht="12.75" customHeight="1" x14ac:dyDescent="0.2">
      <c r="A532" s="296"/>
      <c r="B532" s="296"/>
      <c r="C532" s="296"/>
      <c r="D532" s="298"/>
      <c r="E532" s="298"/>
      <c r="F532" s="296"/>
      <c r="G532" s="296"/>
      <c r="H532" s="296"/>
      <c r="I532" s="296"/>
      <c r="J532" s="296"/>
      <c r="K532" s="296"/>
      <c r="L532" s="296"/>
      <c r="M532" s="299"/>
      <c r="N532" s="299"/>
      <c r="O532" s="299"/>
      <c r="P532" s="299"/>
      <c r="Q532" s="299"/>
      <c r="R532" s="299"/>
      <c r="S532" s="299"/>
      <c r="T532" s="299"/>
      <c r="U532" s="299"/>
      <c r="V532" s="299"/>
      <c r="W532" s="299"/>
      <c r="X532" s="299"/>
      <c r="Y532" s="299"/>
      <c r="Z532" s="299"/>
      <c r="AA532" s="299"/>
      <c r="AB532" s="299"/>
      <c r="AC532" s="300"/>
      <c r="AD532" s="300"/>
    </row>
    <row r="533" spans="1:30" ht="12.75" customHeight="1" x14ac:dyDescent="0.2">
      <c r="A533" s="296"/>
      <c r="B533" s="296"/>
      <c r="C533" s="296"/>
      <c r="D533" s="298"/>
      <c r="E533" s="298"/>
      <c r="F533" s="296"/>
      <c r="G533" s="296"/>
      <c r="H533" s="296"/>
      <c r="I533" s="296"/>
      <c r="J533" s="296"/>
      <c r="K533" s="296"/>
      <c r="L533" s="296"/>
      <c r="M533" s="299"/>
      <c r="N533" s="299"/>
      <c r="O533" s="299"/>
      <c r="P533" s="299"/>
      <c r="Q533" s="299"/>
      <c r="R533" s="299"/>
      <c r="S533" s="299"/>
      <c r="T533" s="299"/>
      <c r="U533" s="299"/>
      <c r="V533" s="299"/>
      <c r="W533" s="299"/>
      <c r="X533" s="299"/>
      <c r="Y533" s="299"/>
      <c r="Z533" s="299"/>
      <c r="AA533" s="299"/>
      <c r="AB533" s="299"/>
      <c r="AC533" s="300"/>
      <c r="AD533" s="300"/>
    </row>
    <row r="534" spans="1:30" ht="12.75" customHeight="1" x14ac:dyDescent="0.2">
      <c r="A534" s="296"/>
      <c r="B534" s="296"/>
      <c r="C534" s="296"/>
      <c r="D534" s="298"/>
      <c r="E534" s="298"/>
      <c r="F534" s="296"/>
      <c r="G534" s="296"/>
      <c r="H534" s="296"/>
      <c r="I534" s="296"/>
      <c r="J534" s="296"/>
      <c r="K534" s="296"/>
      <c r="L534" s="296"/>
      <c r="M534" s="299"/>
      <c r="N534" s="299"/>
      <c r="O534" s="299"/>
      <c r="P534" s="299"/>
      <c r="Q534" s="299"/>
      <c r="R534" s="299"/>
      <c r="S534" s="299"/>
      <c r="T534" s="299"/>
      <c r="U534" s="299"/>
      <c r="V534" s="299"/>
      <c r="W534" s="299"/>
      <c r="X534" s="299"/>
      <c r="Y534" s="299"/>
      <c r="Z534" s="299"/>
      <c r="AA534" s="299"/>
      <c r="AB534" s="299"/>
      <c r="AC534" s="300"/>
      <c r="AD534" s="300"/>
    </row>
    <row r="535" spans="1:30" ht="12.75" customHeight="1" x14ac:dyDescent="0.2">
      <c r="A535" s="296"/>
      <c r="B535" s="296"/>
      <c r="C535" s="296"/>
      <c r="D535" s="298"/>
      <c r="E535" s="298"/>
      <c r="F535" s="296"/>
      <c r="G535" s="296"/>
      <c r="H535" s="296"/>
      <c r="I535" s="296"/>
      <c r="J535" s="296"/>
      <c r="K535" s="296"/>
      <c r="L535" s="296"/>
      <c r="M535" s="299"/>
      <c r="N535" s="299"/>
      <c r="O535" s="299"/>
      <c r="P535" s="299"/>
      <c r="Q535" s="299"/>
      <c r="R535" s="299"/>
      <c r="S535" s="299"/>
      <c r="T535" s="299"/>
      <c r="U535" s="299"/>
      <c r="V535" s="299"/>
      <c r="W535" s="299"/>
      <c r="X535" s="299"/>
      <c r="Y535" s="299"/>
      <c r="Z535" s="299"/>
      <c r="AA535" s="299"/>
      <c r="AB535" s="299"/>
      <c r="AC535" s="300"/>
      <c r="AD535" s="300"/>
    </row>
    <row r="536" spans="1:30" ht="12.75" customHeight="1" x14ac:dyDescent="0.2">
      <c r="A536" s="296"/>
      <c r="B536" s="296"/>
      <c r="C536" s="296"/>
      <c r="D536" s="298"/>
      <c r="E536" s="298"/>
      <c r="F536" s="296"/>
      <c r="G536" s="296"/>
      <c r="H536" s="296"/>
      <c r="I536" s="296"/>
      <c r="J536" s="296"/>
      <c r="K536" s="296"/>
      <c r="L536" s="296"/>
      <c r="M536" s="299"/>
      <c r="N536" s="299"/>
      <c r="O536" s="299"/>
      <c r="P536" s="299"/>
      <c r="Q536" s="299"/>
      <c r="R536" s="299"/>
      <c r="S536" s="299"/>
      <c r="T536" s="299"/>
      <c r="U536" s="299"/>
      <c r="V536" s="299"/>
      <c r="W536" s="299"/>
      <c r="X536" s="299"/>
      <c r="Y536" s="299"/>
      <c r="Z536" s="299"/>
      <c r="AA536" s="299"/>
      <c r="AB536" s="299"/>
      <c r="AC536" s="300"/>
      <c r="AD536" s="300"/>
    </row>
    <row r="537" spans="1:30" ht="12.75" customHeight="1" x14ac:dyDescent="0.2">
      <c r="A537" s="296"/>
      <c r="B537" s="296"/>
      <c r="C537" s="296"/>
      <c r="D537" s="298"/>
      <c r="E537" s="298"/>
      <c r="F537" s="296"/>
      <c r="G537" s="296"/>
      <c r="H537" s="296"/>
      <c r="I537" s="296"/>
      <c r="J537" s="296"/>
      <c r="K537" s="296"/>
      <c r="L537" s="296"/>
      <c r="M537" s="299"/>
      <c r="N537" s="299"/>
      <c r="O537" s="299"/>
      <c r="P537" s="299"/>
      <c r="Q537" s="299"/>
      <c r="R537" s="299"/>
      <c r="S537" s="299"/>
      <c r="T537" s="299"/>
      <c r="U537" s="299"/>
      <c r="V537" s="299"/>
      <c r="W537" s="299"/>
      <c r="X537" s="299"/>
      <c r="Y537" s="299"/>
      <c r="Z537" s="299"/>
      <c r="AA537" s="299"/>
      <c r="AB537" s="299"/>
      <c r="AC537" s="300"/>
      <c r="AD537" s="300"/>
    </row>
    <row r="538" spans="1:30" ht="12.75" customHeight="1" x14ac:dyDescent="0.2">
      <c r="A538" s="296"/>
      <c r="B538" s="296"/>
      <c r="C538" s="296"/>
      <c r="D538" s="298"/>
      <c r="E538" s="298"/>
      <c r="F538" s="296"/>
      <c r="G538" s="296"/>
      <c r="H538" s="296"/>
      <c r="I538" s="296"/>
      <c r="J538" s="296"/>
      <c r="K538" s="296"/>
      <c r="L538" s="296"/>
      <c r="M538" s="299"/>
      <c r="N538" s="299"/>
      <c r="O538" s="299"/>
      <c r="P538" s="299"/>
      <c r="Q538" s="299"/>
      <c r="R538" s="299"/>
      <c r="S538" s="299"/>
      <c r="T538" s="299"/>
      <c r="U538" s="299"/>
      <c r="V538" s="299"/>
      <c r="W538" s="299"/>
      <c r="X538" s="299"/>
      <c r="Y538" s="299"/>
      <c r="Z538" s="299"/>
      <c r="AA538" s="299"/>
      <c r="AB538" s="299"/>
      <c r="AC538" s="300"/>
      <c r="AD538" s="300"/>
    </row>
    <row r="539" spans="1:30" ht="12.75" customHeight="1" x14ac:dyDescent="0.2">
      <c r="A539" s="296"/>
      <c r="B539" s="296"/>
      <c r="C539" s="296"/>
      <c r="D539" s="298"/>
      <c r="E539" s="298"/>
      <c r="F539" s="296"/>
      <c r="G539" s="296"/>
      <c r="H539" s="296"/>
      <c r="I539" s="296"/>
      <c r="J539" s="296"/>
      <c r="K539" s="296"/>
      <c r="L539" s="296"/>
      <c r="M539" s="299"/>
      <c r="N539" s="299"/>
      <c r="O539" s="299"/>
      <c r="P539" s="299"/>
      <c r="Q539" s="299"/>
      <c r="R539" s="299"/>
      <c r="S539" s="299"/>
      <c r="T539" s="299"/>
      <c r="U539" s="299"/>
      <c r="V539" s="299"/>
      <c r="W539" s="299"/>
      <c r="X539" s="299"/>
      <c r="Y539" s="299"/>
      <c r="Z539" s="299"/>
      <c r="AA539" s="299"/>
      <c r="AB539" s="299"/>
      <c r="AC539" s="300"/>
      <c r="AD539" s="300"/>
    </row>
    <row r="540" spans="1:30" ht="12.75" customHeight="1" x14ac:dyDescent="0.2">
      <c r="A540" s="296"/>
      <c r="B540" s="296"/>
      <c r="C540" s="296"/>
      <c r="D540" s="298"/>
      <c r="E540" s="298"/>
      <c r="F540" s="296"/>
      <c r="G540" s="296"/>
      <c r="H540" s="296"/>
      <c r="I540" s="296"/>
      <c r="J540" s="296"/>
      <c r="K540" s="296"/>
      <c r="L540" s="296"/>
      <c r="M540" s="299"/>
      <c r="N540" s="299"/>
      <c r="O540" s="299"/>
      <c r="P540" s="299"/>
      <c r="Q540" s="299"/>
      <c r="R540" s="299"/>
      <c r="S540" s="299"/>
      <c r="T540" s="299"/>
      <c r="U540" s="299"/>
      <c r="V540" s="299"/>
      <c r="W540" s="299"/>
      <c r="X540" s="299"/>
      <c r="Y540" s="299"/>
      <c r="Z540" s="299"/>
      <c r="AA540" s="299"/>
      <c r="AB540" s="299"/>
      <c r="AC540" s="300"/>
      <c r="AD540" s="300"/>
    </row>
    <row r="541" spans="1:30" ht="12.75" customHeight="1" x14ac:dyDescent="0.2">
      <c r="A541" s="296"/>
      <c r="B541" s="296"/>
      <c r="C541" s="296"/>
      <c r="D541" s="298"/>
      <c r="E541" s="298"/>
      <c r="F541" s="296"/>
      <c r="G541" s="296"/>
      <c r="H541" s="296"/>
      <c r="I541" s="296"/>
      <c r="J541" s="296"/>
      <c r="K541" s="296"/>
      <c r="L541" s="296"/>
      <c r="M541" s="299"/>
      <c r="N541" s="299"/>
      <c r="O541" s="299"/>
      <c r="P541" s="299"/>
      <c r="Q541" s="299"/>
      <c r="R541" s="299"/>
      <c r="S541" s="299"/>
      <c r="T541" s="299"/>
      <c r="U541" s="299"/>
      <c r="V541" s="299"/>
      <c r="W541" s="299"/>
      <c r="X541" s="299"/>
      <c r="Y541" s="299"/>
      <c r="Z541" s="299"/>
      <c r="AA541" s="299"/>
      <c r="AB541" s="299"/>
      <c r="AC541" s="300"/>
      <c r="AD541" s="300"/>
    </row>
    <row r="542" spans="1:30" ht="12.75" customHeight="1" x14ac:dyDescent="0.2">
      <c r="A542" s="296"/>
      <c r="B542" s="296"/>
      <c r="C542" s="296"/>
      <c r="D542" s="298"/>
      <c r="E542" s="298"/>
      <c r="F542" s="296"/>
      <c r="G542" s="296"/>
      <c r="H542" s="296"/>
      <c r="I542" s="296"/>
      <c r="J542" s="296"/>
      <c r="K542" s="296"/>
      <c r="L542" s="296"/>
      <c r="M542" s="299"/>
      <c r="N542" s="299"/>
      <c r="O542" s="299"/>
      <c r="P542" s="299"/>
      <c r="Q542" s="299"/>
      <c r="R542" s="299"/>
      <c r="S542" s="299"/>
      <c r="T542" s="299"/>
      <c r="U542" s="299"/>
      <c r="V542" s="299"/>
      <c r="W542" s="299"/>
      <c r="X542" s="299"/>
      <c r="Y542" s="299"/>
      <c r="Z542" s="299"/>
      <c r="AA542" s="299"/>
      <c r="AB542" s="299"/>
      <c r="AC542" s="300"/>
      <c r="AD542" s="300"/>
    </row>
    <row r="543" spans="1:30" ht="12.75" customHeight="1" x14ac:dyDescent="0.2">
      <c r="A543" s="296"/>
      <c r="B543" s="296"/>
      <c r="C543" s="296"/>
      <c r="D543" s="298"/>
      <c r="E543" s="298"/>
      <c r="F543" s="296"/>
      <c r="G543" s="296"/>
      <c r="H543" s="296"/>
      <c r="I543" s="296"/>
      <c r="J543" s="296"/>
      <c r="K543" s="296"/>
      <c r="L543" s="296"/>
      <c r="M543" s="299"/>
      <c r="N543" s="299"/>
      <c r="O543" s="299"/>
      <c r="P543" s="299"/>
      <c r="Q543" s="299"/>
      <c r="R543" s="299"/>
      <c r="S543" s="299"/>
      <c r="T543" s="299"/>
      <c r="U543" s="299"/>
      <c r="V543" s="299"/>
      <c r="W543" s="299"/>
      <c r="X543" s="299"/>
      <c r="Y543" s="299"/>
      <c r="Z543" s="299"/>
      <c r="AA543" s="299"/>
      <c r="AB543" s="299"/>
      <c r="AC543" s="300"/>
      <c r="AD543" s="300"/>
    </row>
    <row r="544" spans="1:30" ht="12.75" customHeight="1" x14ac:dyDescent="0.2">
      <c r="A544" s="296"/>
      <c r="B544" s="296"/>
      <c r="C544" s="296"/>
      <c r="D544" s="298"/>
      <c r="E544" s="298"/>
      <c r="F544" s="296"/>
      <c r="G544" s="296"/>
      <c r="H544" s="296"/>
      <c r="I544" s="296"/>
      <c r="J544" s="296"/>
      <c r="K544" s="296"/>
      <c r="L544" s="296"/>
      <c r="M544" s="299"/>
      <c r="N544" s="299"/>
      <c r="O544" s="299"/>
      <c r="P544" s="299"/>
      <c r="Q544" s="299"/>
      <c r="R544" s="299"/>
      <c r="S544" s="299"/>
      <c r="T544" s="299"/>
      <c r="U544" s="299"/>
      <c r="V544" s="299"/>
      <c r="W544" s="299"/>
      <c r="X544" s="299"/>
      <c r="Y544" s="299"/>
      <c r="Z544" s="299"/>
      <c r="AA544" s="299"/>
      <c r="AB544" s="299"/>
      <c r="AC544" s="300"/>
      <c r="AD544" s="300"/>
    </row>
    <row r="545" spans="1:30" ht="12.75" customHeight="1" x14ac:dyDescent="0.2">
      <c r="A545" s="296"/>
      <c r="B545" s="296"/>
      <c r="C545" s="296"/>
      <c r="D545" s="298"/>
      <c r="E545" s="298"/>
      <c r="F545" s="296"/>
      <c r="G545" s="296"/>
      <c r="H545" s="296"/>
      <c r="I545" s="296"/>
      <c r="J545" s="296"/>
      <c r="K545" s="296"/>
      <c r="L545" s="296"/>
      <c r="M545" s="299"/>
      <c r="N545" s="299"/>
      <c r="O545" s="299"/>
      <c r="P545" s="299"/>
      <c r="Q545" s="299"/>
      <c r="R545" s="299"/>
      <c r="S545" s="299"/>
      <c r="T545" s="299"/>
      <c r="U545" s="299"/>
      <c r="V545" s="299"/>
      <c r="W545" s="299"/>
      <c r="X545" s="299"/>
      <c r="Y545" s="299"/>
      <c r="Z545" s="299"/>
      <c r="AA545" s="299"/>
      <c r="AB545" s="299"/>
      <c r="AC545" s="300"/>
      <c r="AD545" s="300"/>
    </row>
    <row r="546" spans="1:30" ht="12.75" customHeight="1" x14ac:dyDescent="0.2">
      <c r="A546" s="296"/>
      <c r="B546" s="296"/>
      <c r="C546" s="296"/>
      <c r="D546" s="298"/>
      <c r="E546" s="298"/>
      <c r="F546" s="296"/>
      <c r="G546" s="296"/>
      <c r="H546" s="296"/>
      <c r="I546" s="296"/>
      <c r="J546" s="296"/>
      <c r="K546" s="296"/>
      <c r="L546" s="296"/>
      <c r="M546" s="299"/>
      <c r="N546" s="299"/>
      <c r="O546" s="299"/>
      <c r="P546" s="299"/>
      <c r="Q546" s="299"/>
      <c r="R546" s="299"/>
      <c r="S546" s="299"/>
      <c r="T546" s="299"/>
      <c r="U546" s="299"/>
      <c r="V546" s="299"/>
      <c r="W546" s="299"/>
      <c r="X546" s="299"/>
      <c r="Y546" s="299"/>
      <c r="Z546" s="299"/>
      <c r="AA546" s="299"/>
      <c r="AB546" s="299"/>
      <c r="AC546" s="300"/>
      <c r="AD546" s="300"/>
    </row>
    <row r="547" spans="1:30" ht="12.75" customHeight="1" x14ac:dyDescent="0.2">
      <c r="A547" s="296"/>
      <c r="B547" s="296"/>
      <c r="C547" s="296"/>
      <c r="D547" s="298"/>
      <c r="E547" s="298"/>
      <c r="F547" s="296"/>
      <c r="G547" s="296"/>
      <c r="H547" s="296"/>
      <c r="I547" s="296"/>
      <c r="J547" s="296"/>
      <c r="K547" s="296"/>
      <c r="L547" s="296"/>
      <c r="M547" s="299"/>
      <c r="N547" s="299"/>
      <c r="O547" s="299"/>
      <c r="P547" s="299"/>
      <c r="Q547" s="299"/>
      <c r="R547" s="299"/>
      <c r="S547" s="299"/>
      <c r="T547" s="299"/>
      <c r="U547" s="299"/>
      <c r="V547" s="299"/>
      <c r="W547" s="299"/>
      <c r="X547" s="299"/>
      <c r="Y547" s="299"/>
      <c r="Z547" s="299"/>
      <c r="AA547" s="299"/>
      <c r="AB547" s="299"/>
      <c r="AC547" s="300"/>
      <c r="AD547" s="300"/>
    </row>
    <row r="548" spans="1:30" ht="12.75" customHeight="1" x14ac:dyDescent="0.2">
      <c r="A548" s="296"/>
      <c r="B548" s="296"/>
      <c r="C548" s="296"/>
      <c r="D548" s="298"/>
      <c r="E548" s="298"/>
      <c r="F548" s="296"/>
      <c r="G548" s="296"/>
      <c r="H548" s="296"/>
      <c r="I548" s="296"/>
      <c r="J548" s="296"/>
      <c r="K548" s="296"/>
      <c r="L548" s="296"/>
      <c r="M548" s="299"/>
      <c r="N548" s="299"/>
      <c r="O548" s="299"/>
      <c r="P548" s="299"/>
      <c r="Q548" s="299"/>
      <c r="R548" s="299"/>
      <c r="S548" s="299"/>
      <c r="T548" s="299"/>
      <c r="U548" s="299"/>
      <c r="V548" s="299"/>
      <c r="W548" s="299"/>
      <c r="X548" s="299"/>
      <c r="Y548" s="299"/>
      <c r="Z548" s="299"/>
      <c r="AA548" s="299"/>
      <c r="AB548" s="299"/>
      <c r="AC548" s="300"/>
      <c r="AD548" s="300"/>
    </row>
    <row r="549" spans="1:30" ht="12.75" customHeight="1" x14ac:dyDescent="0.2">
      <c r="A549" s="296"/>
      <c r="B549" s="296"/>
      <c r="C549" s="296"/>
      <c r="D549" s="298"/>
      <c r="E549" s="298"/>
      <c r="F549" s="296"/>
      <c r="G549" s="296"/>
      <c r="H549" s="296"/>
      <c r="I549" s="296"/>
      <c r="J549" s="296"/>
      <c r="K549" s="296"/>
      <c r="L549" s="296"/>
      <c r="M549" s="299"/>
      <c r="N549" s="299"/>
      <c r="O549" s="299"/>
      <c r="P549" s="299"/>
      <c r="Q549" s="299"/>
      <c r="R549" s="299"/>
      <c r="S549" s="299"/>
      <c r="T549" s="299"/>
      <c r="U549" s="299"/>
      <c r="V549" s="299"/>
      <c r="W549" s="299"/>
      <c r="X549" s="299"/>
      <c r="Y549" s="299"/>
      <c r="Z549" s="299"/>
      <c r="AA549" s="299"/>
      <c r="AB549" s="299"/>
      <c r="AC549" s="300"/>
      <c r="AD549" s="300"/>
    </row>
    <row r="550" spans="1:30" ht="12.75" customHeight="1" x14ac:dyDescent="0.2">
      <c r="A550" s="296"/>
      <c r="B550" s="296"/>
      <c r="C550" s="296"/>
      <c r="D550" s="298"/>
      <c r="E550" s="298"/>
      <c r="F550" s="296"/>
      <c r="G550" s="296"/>
      <c r="H550" s="296"/>
      <c r="I550" s="296"/>
      <c r="J550" s="296"/>
      <c r="K550" s="296"/>
      <c r="L550" s="296"/>
      <c r="M550" s="299"/>
      <c r="N550" s="299"/>
      <c r="O550" s="299"/>
      <c r="P550" s="299"/>
      <c r="Q550" s="299"/>
      <c r="R550" s="299"/>
      <c r="S550" s="299"/>
      <c r="T550" s="299"/>
      <c r="U550" s="299"/>
      <c r="V550" s="299"/>
      <c r="W550" s="299"/>
      <c r="X550" s="299"/>
      <c r="Y550" s="299"/>
      <c r="Z550" s="299"/>
      <c r="AA550" s="299"/>
      <c r="AB550" s="299"/>
      <c r="AC550" s="300"/>
      <c r="AD550" s="300"/>
    </row>
    <row r="551" spans="1:30" ht="12.75" customHeight="1" x14ac:dyDescent="0.2">
      <c r="A551" s="296"/>
      <c r="B551" s="296"/>
      <c r="C551" s="296"/>
      <c r="D551" s="298"/>
      <c r="E551" s="298"/>
      <c r="F551" s="296"/>
      <c r="G551" s="296"/>
      <c r="H551" s="296"/>
      <c r="I551" s="296"/>
      <c r="J551" s="296"/>
      <c r="K551" s="296"/>
      <c r="L551" s="296"/>
      <c r="M551" s="299"/>
      <c r="N551" s="299"/>
      <c r="O551" s="299"/>
      <c r="P551" s="299"/>
      <c r="Q551" s="299"/>
      <c r="R551" s="299"/>
      <c r="S551" s="299"/>
      <c r="T551" s="299"/>
      <c r="U551" s="299"/>
      <c r="V551" s="299"/>
      <c r="W551" s="299"/>
      <c r="X551" s="299"/>
      <c r="Y551" s="299"/>
      <c r="Z551" s="299"/>
      <c r="AA551" s="299"/>
      <c r="AB551" s="299"/>
      <c r="AC551" s="300"/>
      <c r="AD551" s="300"/>
    </row>
    <row r="552" spans="1:30" ht="12.75" customHeight="1" x14ac:dyDescent="0.2">
      <c r="A552" s="296"/>
      <c r="B552" s="296"/>
      <c r="C552" s="296"/>
      <c r="D552" s="298"/>
      <c r="E552" s="298"/>
      <c r="F552" s="296"/>
      <c r="G552" s="296"/>
      <c r="H552" s="296"/>
      <c r="I552" s="296"/>
      <c r="J552" s="296"/>
      <c r="K552" s="296"/>
      <c r="L552" s="296"/>
      <c r="M552" s="299"/>
      <c r="N552" s="299"/>
      <c r="O552" s="299"/>
      <c r="P552" s="299"/>
      <c r="Q552" s="299"/>
      <c r="R552" s="299"/>
      <c r="S552" s="299"/>
      <c r="T552" s="299"/>
      <c r="U552" s="299"/>
      <c r="V552" s="299"/>
      <c r="W552" s="299"/>
      <c r="X552" s="299"/>
      <c r="Y552" s="299"/>
      <c r="Z552" s="299"/>
      <c r="AA552" s="299"/>
      <c r="AB552" s="299"/>
      <c r="AC552" s="300"/>
      <c r="AD552" s="300"/>
    </row>
    <row r="553" spans="1:30" ht="12.75" customHeight="1" x14ac:dyDescent="0.2">
      <c r="A553" s="296"/>
      <c r="B553" s="296"/>
      <c r="C553" s="296"/>
      <c r="D553" s="298"/>
      <c r="E553" s="298"/>
      <c r="F553" s="296"/>
      <c r="G553" s="296"/>
      <c r="H553" s="296"/>
      <c r="I553" s="296"/>
      <c r="J553" s="296"/>
      <c r="K553" s="296"/>
      <c r="L553" s="296"/>
      <c r="M553" s="299"/>
      <c r="N553" s="299"/>
      <c r="O553" s="299"/>
      <c r="P553" s="299"/>
      <c r="Q553" s="299"/>
      <c r="R553" s="299"/>
      <c r="S553" s="299"/>
      <c r="T553" s="299"/>
      <c r="U553" s="299"/>
      <c r="V553" s="299"/>
      <c r="W553" s="299"/>
      <c r="X553" s="299"/>
      <c r="Y553" s="299"/>
      <c r="Z553" s="299"/>
      <c r="AA553" s="299"/>
      <c r="AB553" s="299"/>
      <c r="AC553" s="300"/>
      <c r="AD553" s="300"/>
    </row>
    <row r="554" spans="1:30" ht="12.75" customHeight="1" x14ac:dyDescent="0.2">
      <c r="A554" s="296"/>
      <c r="B554" s="296"/>
      <c r="C554" s="296"/>
      <c r="D554" s="298"/>
      <c r="E554" s="298"/>
      <c r="F554" s="296"/>
      <c r="G554" s="296"/>
      <c r="H554" s="296"/>
      <c r="I554" s="296"/>
      <c r="J554" s="296"/>
      <c r="K554" s="296"/>
      <c r="L554" s="296"/>
      <c r="M554" s="299"/>
      <c r="N554" s="299"/>
      <c r="O554" s="299"/>
      <c r="P554" s="299"/>
      <c r="Q554" s="299"/>
      <c r="R554" s="299"/>
      <c r="S554" s="299"/>
      <c r="T554" s="299"/>
      <c r="U554" s="299"/>
      <c r="V554" s="299"/>
      <c r="W554" s="299"/>
      <c r="X554" s="299"/>
      <c r="Y554" s="299"/>
      <c r="Z554" s="299"/>
      <c r="AA554" s="299"/>
      <c r="AB554" s="299"/>
      <c r="AC554" s="300"/>
      <c r="AD554" s="300"/>
    </row>
    <row r="555" spans="1:30" ht="12.75" customHeight="1" x14ac:dyDescent="0.2">
      <c r="A555" s="296"/>
      <c r="B555" s="296"/>
      <c r="C555" s="296"/>
      <c r="D555" s="298"/>
      <c r="E555" s="298"/>
      <c r="F555" s="296"/>
      <c r="G555" s="296"/>
      <c r="H555" s="296"/>
      <c r="I555" s="296"/>
      <c r="J555" s="296"/>
      <c r="K555" s="296"/>
      <c r="L555" s="296"/>
      <c r="M555" s="299"/>
      <c r="N555" s="299"/>
      <c r="O555" s="299"/>
      <c r="P555" s="299"/>
      <c r="Q555" s="299"/>
      <c r="R555" s="299"/>
      <c r="S555" s="299"/>
      <c r="T555" s="299"/>
      <c r="U555" s="299"/>
      <c r="V555" s="299"/>
      <c r="W555" s="299"/>
      <c r="X555" s="299"/>
      <c r="Y555" s="299"/>
      <c r="Z555" s="299"/>
      <c r="AA555" s="299"/>
      <c r="AB555" s="299"/>
      <c r="AC555" s="300"/>
      <c r="AD555" s="300"/>
    </row>
    <row r="556" spans="1:30" ht="12.75" customHeight="1" x14ac:dyDescent="0.2">
      <c r="A556" s="296"/>
      <c r="B556" s="296"/>
      <c r="C556" s="296"/>
      <c r="D556" s="298"/>
      <c r="E556" s="298"/>
      <c r="F556" s="296"/>
      <c r="G556" s="296"/>
      <c r="H556" s="296"/>
      <c r="I556" s="296"/>
      <c r="J556" s="296"/>
      <c r="K556" s="296"/>
      <c r="L556" s="296"/>
      <c r="M556" s="299"/>
      <c r="N556" s="299"/>
      <c r="O556" s="299"/>
      <c r="P556" s="299"/>
      <c r="Q556" s="299"/>
      <c r="R556" s="299"/>
      <c r="S556" s="299"/>
      <c r="T556" s="299"/>
      <c r="U556" s="299"/>
      <c r="V556" s="299"/>
      <c r="W556" s="299"/>
      <c r="X556" s="299"/>
      <c r="Y556" s="299"/>
      <c r="Z556" s="299"/>
      <c r="AA556" s="299"/>
      <c r="AB556" s="299"/>
      <c r="AC556" s="300"/>
      <c r="AD556" s="300"/>
    </row>
    <row r="557" spans="1:30" ht="12.75" customHeight="1" x14ac:dyDescent="0.2">
      <c r="A557" s="296"/>
      <c r="B557" s="296"/>
      <c r="C557" s="296"/>
      <c r="D557" s="298"/>
      <c r="E557" s="298"/>
      <c r="F557" s="296"/>
      <c r="G557" s="296"/>
      <c r="H557" s="296"/>
      <c r="I557" s="296"/>
      <c r="J557" s="296"/>
      <c r="K557" s="296"/>
      <c r="L557" s="296"/>
      <c r="M557" s="299"/>
      <c r="N557" s="299"/>
      <c r="O557" s="299"/>
      <c r="P557" s="299"/>
      <c r="Q557" s="299"/>
      <c r="R557" s="299"/>
      <c r="S557" s="299"/>
      <c r="T557" s="299"/>
      <c r="U557" s="299"/>
      <c r="V557" s="299"/>
      <c r="W557" s="299"/>
      <c r="X557" s="299"/>
      <c r="Y557" s="299"/>
      <c r="Z557" s="299"/>
      <c r="AA557" s="299"/>
      <c r="AB557" s="299"/>
      <c r="AC557" s="300"/>
      <c r="AD557" s="300"/>
    </row>
    <row r="558" spans="1:30" ht="12.75" customHeight="1" x14ac:dyDescent="0.2">
      <c r="A558" s="296"/>
      <c r="B558" s="296"/>
      <c r="C558" s="296"/>
      <c r="D558" s="298"/>
      <c r="E558" s="298"/>
      <c r="F558" s="296"/>
      <c r="G558" s="296"/>
      <c r="H558" s="296"/>
      <c r="I558" s="296"/>
      <c r="J558" s="296"/>
      <c r="K558" s="296"/>
      <c r="L558" s="296"/>
      <c r="M558" s="299"/>
      <c r="N558" s="299"/>
      <c r="O558" s="299"/>
      <c r="P558" s="299"/>
      <c r="Q558" s="299"/>
      <c r="R558" s="299"/>
      <c r="S558" s="299"/>
      <c r="T558" s="299"/>
      <c r="U558" s="299"/>
      <c r="V558" s="299"/>
      <c r="W558" s="299"/>
      <c r="X558" s="299"/>
      <c r="Y558" s="299"/>
      <c r="Z558" s="299"/>
      <c r="AA558" s="299"/>
      <c r="AB558" s="299"/>
      <c r="AC558" s="300"/>
      <c r="AD558" s="300"/>
    </row>
    <row r="559" spans="1:30" ht="12.75" customHeight="1" x14ac:dyDescent="0.2">
      <c r="A559" s="296"/>
      <c r="B559" s="296"/>
      <c r="C559" s="296"/>
      <c r="D559" s="298"/>
      <c r="E559" s="298"/>
      <c r="F559" s="296"/>
      <c r="G559" s="296"/>
      <c r="H559" s="296"/>
      <c r="I559" s="296"/>
      <c r="J559" s="296"/>
      <c r="K559" s="296"/>
      <c r="L559" s="296"/>
      <c r="M559" s="299"/>
      <c r="N559" s="299"/>
      <c r="O559" s="299"/>
      <c r="P559" s="299"/>
      <c r="Q559" s="299"/>
      <c r="R559" s="299"/>
      <c r="S559" s="299"/>
      <c r="T559" s="299"/>
      <c r="U559" s="299"/>
      <c r="V559" s="299"/>
      <c r="W559" s="299"/>
      <c r="X559" s="299"/>
      <c r="Y559" s="299"/>
      <c r="Z559" s="299"/>
      <c r="AA559" s="299"/>
      <c r="AB559" s="299"/>
      <c r="AC559" s="300"/>
      <c r="AD559" s="300"/>
    </row>
    <row r="560" spans="1:30" ht="12.75" customHeight="1" x14ac:dyDescent="0.2">
      <c r="A560" s="296"/>
      <c r="B560" s="296"/>
      <c r="C560" s="296"/>
      <c r="D560" s="298"/>
      <c r="E560" s="298"/>
      <c r="F560" s="296"/>
      <c r="G560" s="296"/>
      <c r="H560" s="296"/>
      <c r="I560" s="296"/>
      <c r="J560" s="296"/>
      <c r="K560" s="296"/>
      <c r="L560" s="296"/>
      <c r="M560" s="299"/>
      <c r="N560" s="299"/>
      <c r="O560" s="299"/>
      <c r="P560" s="299"/>
      <c r="Q560" s="299"/>
      <c r="R560" s="299"/>
      <c r="S560" s="299"/>
      <c r="T560" s="299"/>
      <c r="U560" s="299"/>
      <c r="V560" s="299"/>
      <c r="W560" s="299"/>
      <c r="X560" s="299"/>
      <c r="Y560" s="299"/>
      <c r="Z560" s="299"/>
      <c r="AA560" s="299"/>
      <c r="AB560" s="299"/>
      <c r="AC560" s="300"/>
      <c r="AD560" s="300"/>
    </row>
    <row r="561" spans="1:30" ht="12.75" customHeight="1" x14ac:dyDescent="0.2">
      <c r="A561" s="296"/>
      <c r="B561" s="296"/>
      <c r="C561" s="296"/>
      <c r="D561" s="298"/>
      <c r="E561" s="298"/>
      <c r="F561" s="296"/>
      <c r="G561" s="296"/>
      <c r="H561" s="296"/>
      <c r="I561" s="296"/>
      <c r="J561" s="296"/>
      <c r="K561" s="296"/>
      <c r="L561" s="296"/>
      <c r="M561" s="299"/>
      <c r="N561" s="299"/>
      <c r="O561" s="299"/>
      <c r="P561" s="299"/>
      <c r="Q561" s="299"/>
      <c r="R561" s="299"/>
      <c r="S561" s="299"/>
      <c r="T561" s="299"/>
      <c r="U561" s="299"/>
      <c r="V561" s="299"/>
      <c r="W561" s="299"/>
      <c r="X561" s="299"/>
      <c r="Y561" s="299"/>
      <c r="Z561" s="299"/>
      <c r="AA561" s="299"/>
      <c r="AB561" s="299"/>
      <c r="AC561" s="300"/>
      <c r="AD561" s="300"/>
    </row>
    <row r="562" spans="1:30" ht="12.75" customHeight="1" x14ac:dyDescent="0.2">
      <c r="A562" s="296"/>
      <c r="B562" s="296"/>
      <c r="C562" s="296"/>
      <c r="D562" s="298"/>
      <c r="E562" s="298"/>
      <c r="F562" s="296"/>
      <c r="G562" s="296"/>
      <c r="H562" s="296"/>
      <c r="I562" s="296"/>
      <c r="J562" s="296"/>
      <c r="K562" s="296"/>
      <c r="L562" s="296"/>
      <c r="M562" s="299"/>
      <c r="N562" s="299"/>
      <c r="O562" s="299"/>
      <c r="P562" s="299"/>
      <c r="Q562" s="299"/>
      <c r="R562" s="299"/>
      <c r="S562" s="299"/>
      <c r="T562" s="299"/>
      <c r="U562" s="299"/>
      <c r="V562" s="299"/>
      <c r="W562" s="299"/>
      <c r="X562" s="299"/>
      <c r="Y562" s="299"/>
      <c r="Z562" s="299"/>
      <c r="AA562" s="299"/>
      <c r="AB562" s="299"/>
      <c r="AC562" s="300"/>
      <c r="AD562" s="300"/>
    </row>
    <row r="563" spans="1:30" ht="12.75" customHeight="1" x14ac:dyDescent="0.2">
      <c r="A563" s="296"/>
      <c r="B563" s="296"/>
      <c r="C563" s="296"/>
      <c r="D563" s="298"/>
      <c r="E563" s="298"/>
      <c r="F563" s="296"/>
      <c r="G563" s="296"/>
      <c r="H563" s="296"/>
      <c r="I563" s="296"/>
      <c r="J563" s="296"/>
      <c r="K563" s="296"/>
      <c r="L563" s="296"/>
      <c r="M563" s="299"/>
      <c r="N563" s="299"/>
      <c r="O563" s="299"/>
      <c r="P563" s="299"/>
      <c r="Q563" s="299"/>
      <c r="R563" s="299"/>
      <c r="S563" s="299"/>
      <c r="T563" s="299"/>
      <c r="U563" s="299"/>
      <c r="V563" s="299"/>
      <c r="W563" s="299"/>
      <c r="X563" s="299"/>
      <c r="Y563" s="299"/>
      <c r="Z563" s="299"/>
      <c r="AA563" s="299"/>
      <c r="AB563" s="299"/>
      <c r="AC563" s="300"/>
      <c r="AD563" s="300"/>
    </row>
    <row r="564" spans="1:30" ht="12.75" customHeight="1" x14ac:dyDescent="0.2">
      <c r="A564" s="296"/>
      <c r="B564" s="296"/>
      <c r="C564" s="296"/>
      <c r="D564" s="298"/>
      <c r="E564" s="298"/>
      <c r="F564" s="296"/>
      <c r="G564" s="296"/>
      <c r="H564" s="296"/>
      <c r="I564" s="296"/>
      <c r="J564" s="296"/>
      <c r="K564" s="296"/>
      <c r="L564" s="296"/>
      <c r="M564" s="299"/>
      <c r="N564" s="299"/>
      <c r="O564" s="299"/>
      <c r="P564" s="299"/>
      <c r="Q564" s="299"/>
      <c r="R564" s="299"/>
      <c r="S564" s="299"/>
      <c r="T564" s="299"/>
      <c r="U564" s="299"/>
      <c r="V564" s="299"/>
      <c r="W564" s="299"/>
      <c r="X564" s="299"/>
      <c r="Y564" s="299"/>
      <c r="Z564" s="299"/>
      <c r="AA564" s="299"/>
      <c r="AB564" s="299"/>
      <c r="AC564" s="300"/>
      <c r="AD564" s="300"/>
    </row>
    <row r="565" spans="1:30" ht="12.75" customHeight="1" x14ac:dyDescent="0.2">
      <c r="A565" s="296"/>
      <c r="B565" s="296"/>
      <c r="C565" s="296"/>
      <c r="D565" s="298"/>
      <c r="E565" s="298"/>
      <c r="F565" s="296"/>
      <c r="G565" s="296"/>
      <c r="H565" s="296"/>
      <c r="I565" s="296"/>
      <c r="J565" s="296"/>
      <c r="K565" s="296"/>
      <c r="L565" s="296"/>
      <c r="M565" s="299"/>
      <c r="N565" s="299"/>
      <c r="O565" s="299"/>
      <c r="P565" s="299"/>
      <c r="Q565" s="299"/>
      <c r="R565" s="299"/>
      <c r="S565" s="299"/>
      <c r="T565" s="299"/>
      <c r="U565" s="299"/>
      <c r="V565" s="299"/>
      <c r="W565" s="299"/>
      <c r="X565" s="299"/>
      <c r="Y565" s="299"/>
      <c r="Z565" s="299"/>
      <c r="AA565" s="299"/>
      <c r="AB565" s="299"/>
      <c r="AC565" s="300"/>
      <c r="AD565" s="300"/>
    </row>
    <row r="566" spans="1:30" ht="12.75" customHeight="1" x14ac:dyDescent="0.2">
      <c r="A566" s="296"/>
      <c r="B566" s="296"/>
      <c r="C566" s="296"/>
      <c r="D566" s="298"/>
      <c r="E566" s="298"/>
      <c r="F566" s="296"/>
      <c r="G566" s="296"/>
      <c r="H566" s="296"/>
      <c r="I566" s="296"/>
      <c r="J566" s="296"/>
      <c r="K566" s="296"/>
      <c r="L566" s="296"/>
      <c r="M566" s="299"/>
      <c r="N566" s="299"/>
      <c r="O566" s="299"/>
      <c r="P566" s="299"/>
      <c r="Q566" s="299"/>
      <c r="R566" s="299"/>
      <c r="S566" s="299"/>
      <c r="T566" s="299"/>
      <c r="U566" s="299"/>
      <c r="V566" s="299"/>
      <c r="W566" s="299"/>
      <c r="X566" s="299"/>
      <c r="Y566" s="299"/>
      <c r="Z566" s="299"/>
      <c r="AA566" s="299"/>
      <c r="AB566" s="299"/>
      <c r="AC566" s="300"/>
      <c r="AD566" s="300"/>
    </row>
    <row r="567" spans="1:30" ht="12.75" customHeight="1" x14ac:dyDescent="0.2">
      <c r="A567" s="296"/>
      <c r="B567" s="296"/>
      <c r="C567" s="296"/>
      <c r="D567" s="298"/>
      <c r="E567" s="298"/>
      <c r="F567" s="296"/>
      <c r="G567" s="296"/>
      <c r="H567" s="296"/>
      <c r="I567" s="296"/>
      <c r="J567" s="296"/>
      <c r="K567" s="296"/>
      <c r="L567" s="296"/>
      <c r="M567" s="299"/>
      <c r="N567" s="299"/>
      <c r="O567" s="299"/>
      <c r="P567" s="299"/>
      <c r="Q567" s="299"/>
      <c r="R567" s="299"/>
      <c r="S567" s="299"/>
      <c r="T567" s="299"/>
      <c r="U567" s="299"/>
      <c r="V567" s="299"/>
      <c r="W567" s="299"/>
      <c r="X567" s="299"/>
      <c r="Y567" s="299"/>
      <c r="Z567" s="299"/>
      <c r="AA567" s="299"/>
      <c r="AB567" s="299"/>
      <c r="AC567" s="300"/>
      <c r="AD567" s="300"/>
    </row>
    <row r="568" spans="1:30" ht="12.75" customHeight="1" x14ac:dyDescent="0.2">
      <c r="A568" s="296"/>
      <c r="B568" s="296"/>
      <c r="C568" s="296"/>
      <c r="D568" s="298"/>
      <c r="E568" s="298"/>
      <c r="F568" s="296"/>
      <c r="G568" s="296"/>
      <c r="H568" s="296"/>
      <c r="I568" s="296"/>
      <c r="J568" s="296"/>
      <c r="K568" s="296"/>
      <c r="L568" s="296"/>
      <c r="M568" s="299"/>
      <c r="N568" s="299"/>
      <c r="O568" s="299"/>
      <c r="P568" s="299"/>
      <c r="Q568" s="299"/>
      <c r="R568" s="299"/>
      <c r="S568" s="299"/>
      <c r="T568" s="299"/>
      <c r="U568" s="299"/>
      <c r="V568" s="299"/>
      <c r="W568" s="299"/>
      <c r="X568" s="299"/>
      <c r="Y568" s="299"/>
      <c r="Z568" s="299"/>
      <c r="AA568" s="299"/>
      <c r="AB568" s="299"/>
      <c r="AC568" s="300"/>
      <c r="AD568" s="300"/>
    </row>
    <row r="569" spans="1:30" ht="12.75" customHeight="1" x14ac:dyDescent="0.2">
      <c r="A569" s="296"/>
      <c r="B569" s="296"/>
      <c r="C569" s="296"/>
      <c r="D569" s="298"/>
      <c r="E569" s="298"/>
      <c r="F569" s="296"/>
      <c r="G569" s="296"/>
      <c r="H569" s="296"/>
      <c r="I569" s="296"/>
      <c r="J569" s="296"/>
      <c r="K569" s="296"/>
      <c r="L569" s="296"/>
      <c r="M569" s="299"/>
      <c r="N569" s="299"/>
      <c r="O569" s="299"/>
      <c r="P569" s="299"/>
      <c r="Q569" s="299"/>
      <c r="R569" s="299"/>
      <c r="S569" s="299"/>
      <c r="T569" s="299"/>
      <c r="U569" s="299"/>
      <c r="V569" s="299"/>
      <c r="W569" s="299"/>
      <c r="X569" s="299"/>
      <c r="Y569" s="299"/>
      <c r="Z569" s="299"/>
      <c r="AA569" s="299"/>
      <c r="AB569" s="299"/>
      <c r="AC569" s="300"/>
      <c r="AD569" s="300"/>
    </row>
    <row r="570" spans="1:30" ht="12.75" customHeight="1" x14ac:dyDescent="0.2">
      <c r="A570" s="296"/>
      <c r="B570" s="296"/>
      <c r="C570" s="296"/>
      <c r="D570" s="298"/>
      <c r="E570" s="298"/>
      <c r="F570" s="296"/>
      <c r="G570" s="296"/>
      <c r="H570" s="296"/>
      <c r="I570" s="296"/>
      <c r="J570" s="296"/>
      <c r="K570" s="296"/>
      <c r="L570" s="296"/>
      <c r="M570" s="299"/>
      <c r="N570" s="299"/>
      <c r="O570" s="299"/>
      <c r="P570" s="299"/>
      <c r="Q570" s="299"/>
      <c r="R570" s="299"/>
      <c r="S570" s="299"/>
      <c r="T570" s="299"/>
      <c r="U570" s="299"/>
      <c r="V570" s="299"/>
      <c r="W570" s="299"/>
      <c r="X570" s="299"/>
      <c r="Y570" s="299"/>
      <c r="Z570" s="299"/>
      <c r="AA570" s="299"/>
      <c r="AB570" s="299"/>
      <c r="AC570" s="300"/>
      <c r="AD570" s="300"/>
    </row>
    <row r="571" spans="1:30" ht="12.75" customHeight="1" x14ac:dyDescent="0.2">
      <c r="A571" s="296"/>
      <c r="B571" s="296"/>
      <c r="C571" s="296"/>
      <c r="D571" s="298"/>
      <c r="E571" s="298"/>
      <c r="F571" s="296"/>
      <c r="G571" s="296"/>
      <c r="H571" s="296"/>
      <c r="I571" s="296"/>
      <c r="J571" s="296"/>
      <c r="K571" s="296"/>
      <c r="L571" s="296"/>
      <c r="M571" s="299"/>
      <c r="N571" s="299"/>
      <c r="O571" s="299"/>
      <c r="P571" s="299"/>
      <c r="Q571" s="299"/>
      <c r="R571" s="299"/>
      <c r="S571" s="299"/>
      <c r="T571" s="299"/>
      <c r="U571" s="299"/>
      <c r="V571" s="299"/>
      <c r="W571" s="299"/>
      <c r="X571" s="299"/>
      <c r="Y571" s="299"/>
      <c r="Z571" s="299"/>
      <c r="AA571" s="299"/>
      <c r="AB571" s="299"/>
      <c r="AC571" s="300"/>
      <c r="AD571" s="300"/>
    </row>
    <row r="572" spans="1:30" ht="12.75" customHeight="1" x14ac:dyDescent="0.2">
      <c r="A572" s="296"/>
      <c r="B572" s="296"/>
      <c r="C572" s="296"/>
      <c r="D572" s="298"/>
      <c r="E572" s="298"/>
      <c r="F572" s="296"/>
      <c r="G572" s="296"/>
      <c r="H572" s="296"/>
      <c r="I572" s="296"/>
      <c r="J572" s="296"/>
      <c r="K572" s="296"/>
      <c r="L572" s="296"/>
      <c r="M572" s="299"/>
      <c r="N572" s="299"/>
      <c r="O572" s="299"/>
      <c r="P572" s="299"/>
      <c r="Q572" s="299"/>
      <c r="R572" s="299"/>
      <c r="S572" s="299"/>
      <c r="T572" s="299"/>
      <c r="U572" s="299"/>
      <c r="V572" s="299"/>
      <c r="W572" s="299"/>
      <c r="X572" s="299"/>
      <c r="Y572" s="299"/>
      <c r="Z572" s="299"/>
      <c r="AA572" s="299"/>
      <c r="AB572" s="299"/>
      <c r="AC572" s="300"/>
      <c r="AD572" s="300"/>
    </row>
    <row r="573" spans="1:30" ht="12.75" customHeight="1" x14ac:dyDescent="0.2">
      <c r="A573" s="296"/>
      <c r="B573" s="296"/>
      <c r="C573" s="296"/>
      <c r="D573" s="298"/>
      <c r="E573" s="298"/>
      <c r="F573" s="296"/>
      <c r="G573" s="296"/>
      <c r="H573" s="296"/>
      <c r="I573" s="296"/>
      <c r="J573" s="296"/>
      <c r="K573" s="296"/>
      <c r="L573" s="296"/>
      <c r="M573" s="299"/>
      <c r="N573" s="299"/>
      <c r="O573" s="299"/>
      <c r="P573" s="299"/>
      <c r="Q573" s="299"/>
      <c r="R573" s="299"/>
      <c r="S573" s="299"/>
      <c r="T573" s="299"/>
      <c r="U573" s="299"/>
      <c r="V573" s="299"/>
      <c r="W573" s="299"/>
      <c r="X573" s="299"/>
      <c r="Y573" s="299"/>
      <c r="Z573" s="299"/>
      <c r="AA573" s="299"/>
      <c r="AB573" s="299"/>
      <c r="AC573" s="300"/>
      <c r="AD573" s="300"/>
    </row>
    <row r="574" spans="1:30" ht="12.75" customHeight="1" x14ac:dyDescent="0.2">
      <c r="A574" s="296"/>
      <c r="B574" s="296"/>
      <c r="C574" s="296"/>
      <c r="D574" s="298"/>
      <c r="E574" s="298"/>
      <c r="F574" s="296"/>
      <c r="G574" s="296"/>
      <c r="H574" s="296"/>
      <c r="I574" s="296"/>
      <c r="J574" s="296"/>
      <c r="K574" s="296"/>
      <c r="L574" s="296"/>
      <c r="M574" s="299"/>
      <c r="N574" s="299"/>
      <c r="O574" s="299"/>
      <c r="P574" s="299"/>
      <c r="Q574" s="299"/>
      <c r="R574" s="299"/>
      <c r="S574" s="299"/>
      <c r="T574" s="299"/>
      <c r="U574" s="299"/>
      <c r="V574" s="299"/>
      <c r="W574" s="299"/>
      <c r="X574" s="299"/>
      <c r="Y574" s="299"/>
      <c r="Z574" s="299"/>
      <c r="AA574" s="299"/>
      <c r="AB574" s="299"/>
      <c r="AC574" s="300"/>
      <c r="AD574" s="300"/>
    </row>
    <row r="575" spans="1:30" ht="12.75" customHeight="1" x14ac:dyDescent="0.2">
      <c r="A575" s="296"/>
      <c r="B575" s="296"/>
      <c r="C575" s="296"/>
      <c r="D575" s="298"/>
      <c r="E575" s="298"/>
      <c r="F575" s="296"/>
      <c r="G575" s="296"/>
      <c r="H575" s="296"/>
      <c r="I575" s="296"/>
      <c r="J575" s="296"/>
      <c r="K575" s="296"/>
      <c r="L575" s="296"/>
      <c r="M575" s="299"/>
      <c r="N575" s="299"/>
      <c r="O575" s="299"/>
      <c r="P575" s="299"/>
      <c r="Q575" s="299"/>
      <c r="R575" s="299"/>
      <c r="S575" s="299"/>
      <c r="T575" s="299"/>
      <c r="U575" s="299"/>
      <c r="V575" s="299"/>
      <c r="W575" s="299"/>
      <c r="X575" s="299"/>
      <c r="Y575" s="299"/>
      <c r="Z575" s="299"/>
      <c r="AA575" s="299"/>
      <c r="AB575" s="299"/>
      <c r="AC575" s="300"/>
      <c r="AD575" s="300"/>
    </row>
    <row r="576" spans="1:30" ht="12.75" customHeight="1" x14ac:dyDescent="0.2">
      <c r="A576" s="296"/>
      <c r="B576" s="296"/>
      <c r="C576" s="296"/>
      <c r="D576" s="298"/>
      <c r="E576" s="298"/>
      <c r="F576" s="296"/>
      <c r="G576" s="296"/>
      <c r="H576" s="296"/>
      <c r="I576" s="296"/>
      <c r="J576" s="296"/>
      <c r="K576" s="296"/>
      <c r="L576" s="296"/>
      <c r="M576" s="299"/>
      <c r="N576" s="299"/>
      <c r="O576" s="299"/>
      <c r="P576" s="299"/>
      <c r="Q576" s="299"/>
      <c r="R576" s="299"/>
      <c r="S576" s="299"/>
      <c r="T576" s="299"/>
      <c r="U576" s="299"/>
      <c r="V576" s="299"/>
      <c r="W576" s="299"/>
      <c r="X576" s="299"/>
      <c r="Y576" s="299"/>
      <c r="Z576" s="299"/>
      <c r="AA576" s="299"/>
      <c r="AB576" s="299"/>
      <c r="AC576" s="300"/>
      <c r="AD576" s="300"/>
    </row>
    <row r="577" spans="1:30" ht="12.75" customHeight="1" x14ac:dyDescent="0.2">
      <c r="A577" s="296"/>
      <c r="B577" s="296"/>
      <c r="C577" s="296"/>
      <c r="D577" s="298"/>
      <c r="E577" s="298"/>
      <c r="F577" s="296"/>
      <c r="G577" s="296"/>
      <c r="H577" s="296"/>
      <c r="I577" s="296"/>
      <c r="J577" s="296"/>
      <c r="K577" s="296"/>
      <c r="L577" s="296"/>
      <c r="M577" s="299"/>
      <c r="N577" s="299"/>
      <c r="O577" s="299"/>
      <c r="P577" s="299"/>
      <c r="Q577" s="299"/>
      <c r="R577" s="299"/>
      <c r="S577" s="299"/>
      <c r="T577" s="299"/>
      <c r="U577" s="299"/>
      <c r="V577" s="299"/>
      <c r="W577" s="299"/>
      <c r="X577" s="299"/>
      <c r="Y577" s="299"/>
      <c r="Z577" s="299"/>
      <c r="AA577" s="299"/>
      <c r="AB577" s="299"/>
      <c r="AC577" s="300"/>
      <c r="AD577" s="300"/>
    </row>
    <row r="578" spans="1:30" ht="12.75" customHeight="1" x14ac:dyDescent="0.2">
      <c r="A578" s="296"/>
      <c r="B578" s="296"/>
      <c r="C578" s="296"/>
      <c r="D578" s="298"/>
      <c r="E578" s="298"/>
      <c r="F578" s="296"/>
      <c r="G578" s="296"/>
      <c r="H578" s="296"/>
      <c r="I578" s="296"/>
      <c r="J578" s="296"/>
      <c r="K578" s="296"/>
      <c r="L578" s="296"/>
      <c r="M578" s="299"/>
      <c r="N578" s="299"/>
      <c r="O578" s="299"/>
      <c r="P578" s="299"/>
      <c r="Q578" s="299"/>
      <c r="R578" s="299"/>
      <c r="S578" s="299"/>
      <c r="T578" s="299"/>
      <c r="U578" s="299"/>
      <c r="V578" s="299"/>
      <c r="W578" s="299"/>
      <c r="X578" s="299"/>
      <c r="Y578" s="299"/>
      <c r="Z578" s="299"/>
      <c r="AA578" s="299"/>
      <c r="AB578" s="299"/>
      <c r="AC578" s="300"/>
      <c r="AD578" s="300"/>
    </row>
    <row r="579" spans="1:30" ht="12.75" customHeight="1" x14ac:dyDescent="0.2">
      <c r="A579" s="296"/>
      <c r="B579" s="296"/>
      <c r="C579" s="296"/>
      <c r="D579" s="298"/>
      <c r="E579" s="298"/>
      <c r="F579" s="296"/>
      <c r="G579" s="296"/>
      <c r="H579" s="296"/>
      <c r="I579" s="296"/>
      <c r="J579" s="296"/>
      <c r="K579" s="296"/>
      <c r="L579" s="296"/>
      <c r="M579" s="299"/>
      <c r="N579" s="299"/>
      <c r="O579" s="299"/>
      <c r="P579" s="299"/>
      <c r="Q579" s="299"/>
      <c r="R579" s="299"/>
      <c r="S579" s="299"/>
      <c r="T579" s="299"/>
      <c r="U579" s="299"/>
      <c r="V579" s="299"/>
      <c r="W579" s="299"/>
      <c r="X579" s="299"/>
      <c r="Y579" s="299"/>
      <c r="Z579" s="299"/>
      <c r="AA579" s="299"/>
      <c r="AB579" s="299"/>
      <c r="AC579" s="300"/>
      <c r="AD579" s="300"/>
    </row>
    <row r="580" spans="1:30" ht="12.75" customHeight="1" x14ac:dyDescent="0.2">
      <c r="A580" s="296"/>
      <c r="B580" s="296"/>
      <c r="C580" s="296"/>
      <c r="D580" s="298"/>
      <c r="E580" s="298"/>
      <c r="F580" s="296"/>
      <c r="G580" s="296"/>
      <c r="H580" s="296"/>
      <c r="I580" s="296"/>
      <c r="J580" s="296"/>
      <c r="K580" s="296"/>
      <c r="L580" s="296"/>
      <c r="M580" s="299"/>
      <c r="N580" s="299"/>
      <c r="O580" s="299"/>
      <c r="P580" s="299"/>
      <c r="Q580" s="299"/>
      <c r="R580" s="299"/>
      <c r="S580" s="299"/>
      <c r="T580" s="299"/>
      <c r="U580" s="299"/>
      <c r="V580" s="299"/>
      <c r="W580" s="299"/>
      <c r="X580" s="299"/>
      <c r="Y580" s="299"/>
      <c r="Z580" s="299"/>
      <c r="AA580" s="299"/>
      <c r="AB580" s="299"/>
      <c r="AC580" s="300"/>
      <c r="AD580" s="300"/>
    </row>
    <row r="581" spans="1:30" ht="12.75" customHeight="1" x14ac:dyDescent="0.2">
      <c r="A581" s="296"/>
      <c r="B581" s="296"/>
      <c r="C581" s="296"/>
      <c r="D581" s="298"/>
      <c r="E581" s="298"/>
      <c r="F581" s="296"/>
      <c r="G581" s="296"/>
      <c r="H581" s="296"/>
      <c r="I581" s="296"/>
      <c r="J581" s="296"/>
      <c r="K581" s="296"/>
      <c r="L581" s="296"/>
      <c r="M581" s="299"/>
      <c r="N581" s="299"/>
      <c r="O581" s="299"/>
      <c r="P581" s="299"/>
      <c r="Q581" s="299"/>
      <c r="R581" s="299"/>
      <c r="S581" s="299"/>
      <c r="T581" s="299"/>
      <c r="U581" s="299"/>
      <c r="V581" s="299"/>
      <c r="W581" s="299"/>
      <c r="X581" s="299"/>
      <c r="Y581" s="299"/>
      <c r="Z581" s="299"/>
      <c r="AA581" s="299"/>
      <c r="AB581" s="299"/>
      <c r="AC581" s="300"/>
      <c r="AD581" s="300"/>
    </row>
    <row r="582" spans="1:30" ht="12.75" customHeight="1" x14ac:dyDescent="0.2">
      <c r="A582" s="296"/>
      <c r="B582" s="296"/>
      <c r="C582" s="296"/>
      <c r="D582" s="298"/>
      <c r="E582" s="298"/>
      <c r="F582" s="296"/>
      <c r="G582" s="296"/>
      <c r="H582" s="296"/>
      <c r="I582" s="296"/>
      <c r="J582" s="296"/>
      <c r="K582" s="296"/>
      <c r="L582" s="296"/>
      <c r="M582" s="299"/>
      <c r="N582" s="299"/>
      <c r="O582" s="299"/>
      <c r="P582" s="299"/>
      <c r="Q582" s="299"/>
      <c r="R582" s="299"/>
      <c r="S582" s="299"/>
      <c r="T582" s="299"/>
      <c r="U582" s="299"/>
      <c r="V582" s="299"/>
      <c r="W582" s="299"/>
      <c r="X582" s="299"/>
      <c r="Y582" s="299"/>
      <c r="Z582" s="299"/>
      <c r="AA582" s="299"/>
      <c r="AB582" s="299"/>
      <c r="AC582" s="300"/>
      <c r="AD582" s="300"/>
    </row>
    <row r="583" spans="1:30" ht="12.75" customHeight="1" x14ac:dyDescent="0.2">
      <c r="A583" s="296"/>
      <c r="B583" s="296"/>
      <c r="C583" s="296"/>
      <c r="D583" s="298"/>
      <c r="E583" s="298"/>
      <c r="F583" s="296"/>
      <c r="G583" s="296"/>
      <c r="H583" s="296"/>
      <c r="I583" s="296"/>
      <c r="J583" s="296"/>
      <c r="K583" s="296"/>
      <c r="L583" s="296"/>
      <c r="M583" s="299"/>
      <c r="N583" s="299"/>
      <c r="O583" s="299"/>
      <c r="P583" s="299"/>
      <c r="Q583" s="299"/>
      <c r="R583" s="299"/>
      <c r="S583" s="299"/>
      <c r="T583" s="299"/>
      <c r="U583" s="299"/>
      <c r="V583" s="299"/>
      <c r="W583" s="299"/>
      <c r="X583" s="299"/>
      <c r="Y583" s="299"/>
      <c r="Z583" s="299"/>
      <c r="AA583" s="299"/>
      <c r="AB583" s="299"/>
      <c r="AC583" s="300"/>
      <c r="AD583" s="300"/>
    </row>
    <row r="584" spans="1:30" ht="12.75" customHeight="1" x14ac:dyDescent="0.2">
      <c r="A584" s="296"/>
      <c r="B584" s="296"/>
      <c r="C584" s="296"/>
      <c r="D584" s="298"/>
      <c r="E584" s="298"/>
      <c r="F584" s="296"/>
      <c r="G584" s="296"/>
      <c r="H584" s="296"/>
      <c r="I584" s="296"/>
      <c r="J584" s="296"/>
      <c r="K584" s="296"/>
      <c r="L584" s="296"/>
      <c r="M584" s="299"/>
      <c r="N584" s="299"/>
      <c r="O584" s="299"/>
      <c r="P584" s="299"/>
      <c r="Q584" s="299"/>
      <c r="R584" s="299"/>
      <c r="S584" s="299"/>
      <c r="T584" s="299"/>
      <c r="U584" s="299"/>
      <c r="V584" s="299"/>
      <c r="W584" s="299"/>
      <c r="X584" s="299"/>
      <c r="Y584" s="299"/>
      <c r="Z584" s="299"/>
      <c r="AA584" s="299"/>
      <c r="AB584" s="299"/>
      <c r="AC584" s="300"/>
      <c r="AD584" s="300"/>
    </row>
    <row r="585" spans="1:30" ht="12.75" customHeight="1" x14ac:dyDescent="0.2">
      <c r="A585" s="296"/>
      <c r="B585" s="296"/>
      <c r="C585" s="296"/>
      <c r="D585" s="298"/>
      <c r="E585" s="298"/>
      <c r="F585" s="296"/>
      <c r="G585" s="296"/>
      <c r="H585" s="296"/>
      <c r="I585" s="296"/>
      <c r="J585" s="296"/>
      <c r="K585" s="296"/>
      <c r="L585" s="296"/>
      <c r="M585" s="299"/>
      <c r="N585" s="299"/>
      <c r="O585" s="299"/>
      <c r="P585" s="299"/>
      <c r="Q585" s="299"/>
      <c r="R585" s="299"/>
      <c r="S585" s="299"/>
      <c r="T585" s="299"/>
      <c r="U585" s="299"/>
      <c r="V585" s="299"/>
      <c r="W585" s="299"/>
      <c r="X585" s="299"/>
      <c r="Y585" s="299"/>
      <c r="Z585" s="299"/>
      <c r="AA585" s="299"/>
      <c r="AB585" s="299"/>
      <c r="AC585" s="300"/>
      <c r="AD585" s="300"/>
    </row>
    <row r="586" spans="1:30" ht="12.75" customHeight="1" x14ac:dyDescent="0.2">
      <c r="A586" s="296"/>
      <c r="B586" s="296"/>
      <c r="C586" s="296"/>
      <c r="D586" s="298"/>
      <c r="E586" s="298"/>
      <c r="F586" s="296"/>
      <c r="G586" s="296"/>
      <c r="H586" s="296"/>
      <c r="I586" s="296"/>
      <c r="J586" s="296"/>
      <c r="K586" s="296"/>
      <c r="L586" s="296"/>
      <c r="M586" s="299"/>
      <c r="N586" s="299"/>
      <c r="O586" s="299"/>
      <c r="P586" s="299"/>
      <c r="Q586" s="299"/>
      <c r="R586" s="299"/>
      <c r="S586" s="299"/>
      <c r="T586" s="299"/>
      <c r="U586" s="299"/>
      <c r="V586" s="299"/>
      <c r="W586" s="299"/>
      <c r="X586" s="299"/>
      <c r="Y586" s="299"/>
      <c r="Z586" s="299"/>
      <c r="AA586" s="299"/>
      <c r="AB586" s="299"/>
      <c r="AC586" s="300"/>
      <c r="AD586" s="300"/>
    </row>
    <row r="587" spans="1:30" ht="12.75" customHeight="1" x14ac:dyDescent="0.2">
      <c r="A587" s="296"/>
      <c r="B587" s="296"/>
      <c r="C587" s="296"/>
      <c r="D587" s="298"/>
      <c r="E587" s="298"/>
      <c r="F587" s="296"/>
      <c r="G587" s="296"/>
      <c r="H587" s="296"/>
      <c r="I587" s="296"/>
      <c r="J587" s="296"/>
      <c r="K587" s="296"/>
      <c r="L587" s="296"/>
      <c r="M587" s="299"/>
      <c r="N587" s="299"/>
      <c r="O587" s="299"/>
      <c r="P587" s="299"/>
      <c r="Q587" s="299"/>
      <c r="R587" s="299"/>
      <c r="S587" s="299"/>
      <c r="T587" s="299"/>
      <c r="U587" s="299"/>
      <c r="V587" s="299"/>
      <c r="W587" s="299"/>
      <c r="X587" s="299"/>
      <c r="Y587" s="299"/>
      <c r="Z587" s="299"/>
      <c r="AA587" s="299"/>
      <c r="AB587" s="299"/>
      <c r="AC587" s="300"/>
      <c r="AD587" s="300"/>
    </row>
    <row r="588" spans="1:30" ht="12.75" customHeight="1" x14ac:dyDescent="0.2">
      <c r="A588" s="296"/>
      <c r="B588" s="296"/>
      <c r="C588" s="296"/>
      <c r="D588" s="298"/>
      <c r="E588" s="298"/>
      <c r="F588" s="296"/>
      <c r="G588" s="296"/>
      <c r="H588" s="296"/>
      <c r="I588" s="296"/>
      <c r="J588" s="296"/>
      <c r="K588" s="296"/>
      <c r="L588" s="296"/>
      <c r="M588" s="299"/>
      <c r="N588" s="299"/>
      <c r="O588" s="299"/>
      <c r="P588" s="299"/>
      <c r="Q588" s="299"/>
      <c r="R588" s="299"/>
      <c r="S588" s="299"/>
      <c r="T588" s="299"/>
      <c r="U588" s="299"/>
      <c r="V588" s="299"/>
      <c r="W588" s="299"/>
      <c r="X588" s="299"/>
      <c r="Y588" s="299"/>
      <c r="Z588" s="299"/>
      <c r="AA588" s="299"/>
      <c r="AB588" s="299"/>
      <c r="AC588" s="300"/>
      <c r="AD588" s="300"/>
    </row>
    <row r="589" spans="1:30" ht="12.75" customHeight="1" x14ac:dyDescent="0.2">
      <c r="A589" s="296"/>
      <c r="B589" s="296"/>
      <c r="C589" s="296"/>
      <c r="D589" s="298"/>
      <c r="E589" s="298"/>
      <c r="F589" s="296"/>
      <c r="G589" s="296"/>
      <c r="H589" s="296"/>
      <c r="I589" s="296"/>
      <c r="J589" s="296"/>
      <c r="K589" s="296"/>
      <c r="L589" s="296"/>
      <c r="M589" s="299"/>
      <c r="N589" s="299"/>
      <c r="O589" s="299"/>
      <c r="P589" s="299"/>
      <c r="Q589" s="299"/>
      <c r="R589" s="299"/>
      <c r="S589" s="299"/>
      <c r="T589" s="299"/>
      <c r="U589" s="299"/>
      <c r="V589" s="299"/>
      <c r="W589" s="299"/>
      <c r="X589" s="299"/>
      <c r="Y589" s="299"/>
      <c r="Z589" s="299"/>
      <c r="AA589" s="299"/>
      <c r="AB589" s="299"/>
      <c r="AC589" s="300"/>
      <c r="AD589" s="300"/>
    </row>
    <row r="590" spans="1:30" ht="12.75" customHeight="1" x14ac:dyDescent="0.2">
      <c r="A590" s="296"/>
      <c r="B590" s="296"/>
      <c r="C590" s="296"/>
      <c r="D590" s="298"/>
      <c r="E590" s="298"/>
      <c r="F590" s="296"/>
      <c r="G590" s="296"/>
      <c r="H590" s="296"/>
      <c r="I590" s="296"/>
      <c r="J590" s="296"/>
      <c r="K590" s="296"/>
      <c r="L590" s="296"/>
      <c r="M590" s="299"/>
      <c r="N590" s="299"/>
      <c r="O590" s="299"/>
      <c r="P590" s="299"/>
      <c r="Q590" s="299"/>
      <c r="R590" s="299"/>
      <c r="S590" s="299"/>
      <c r="T590" s="299"/>
      <c r="U590" s="299"/>
      <c r="V590" s="299"/>
      <c r="W590" s="299"/>
      <c r="X590" s="299"/>
      <c r="Y590" s="299"/>
      <c r="Z590" s="299"/>
      <c r="AA590" s="299"/>
      <c r="AB590" s="299"/>
      <c r="AC590" s="300"/>
      <c r="AD590" s="300"/>
    </row>
    <row r="591" spans="1:30" ht="12.75" customHeight="1" x14ac:dyDescent="0.2">
      <c r="A591" s="296"/>
      <c r="B591" s="296"/>
      <c r="C591" s="296"/>
      <c r="D591" s="298"/>
      <c r="E591" s="298"/>
      <c r="F591" s="296"/>
      <c r="G591" s="296"/>
      <c r="H591" s="296"/>
      <c r="I591" s="296"/>
      <c r="J591" s="296"/>
      <c r="K591" s="296"/>
      <c r="L591" s="296"/>
      <c r="M591" s="299"/>
      <c r="N591" s="299"/>
      <c r="O591" s="299"/>
      <c r="P591" s="299"/>
      <c r="Q591" s="299"/>
      <c r="R591" s="299"/>
      <c r="S591" s="299"/>
      <c r="T591" s="299"/>
      <c r="U591" s="299"/>
      <c r="V591" s="299"/>
      <c r="W591" s="299"/>
      <c r="X591" s="299"/>
      <c r="Y591" s="299"/>
      <c r="Z591" s="299"/>
      <c r="AA591" s="299"/>
      <c r="AB591" s="299"/>
      <c r="AC591" s="300"/>
      <c r="AD591" s="300"/>
    </row>
    <row r="592" spans="1:30" ht="12.75" customHeight="1" x14ac:dyDescent="0.2">
      <c r="A592" s="296"/>
      <c r="B592" s="296"/>
      <c r="C592" s="296"/>
      <c r="D592" s="298"/>
      <c r="E592" s="298"/>
      <c r="F592" s="296"/>
      <c r="G592" s="296"/>
      <c r="H592" s="296"/>
      <c r="I592" s="296"/>
      <c r="J592" s="296"/>
      <c r="K592" s="296"/>
      <c r="L592" s="296"/>
      <c r="M592" s="299"/>
      <c r="N592" s="299"/>
      <c r="O592" s="299"/>
      <c r="P592" s="299"/>
      <c r="Q592" s="299"/>
      <c r="R592" s="299"/>
      <c r="S592" s="299"/>
      <c r="T592" s="299"/>
      <c r="U592" s="299"/>
      <c r="V592" s="299"/>
      <c r="W592" s="299"/>
      <c r="X592" s="299"/>
      <c r="Y592" s="299"/>
      <c r="Z592" s="299"/>
      <c r="AA592" s="299"/>
      <c r="AB592" s="299"/>
      <c r="AC592" s="300"/>
      <c r="AD592" s="300"/>
    </row>
    <row r="593" spans="1:30" ht="12.75" customHeight="1" x14ac:dyDescent="0.2">
      <c r="A593" s="296"/>
      <c r="B593" s="296"/>
      <c r="C593" s="296"/>
      <c r="D593" s="298"/>
      <c r="E593" s="298"/>
      <c r="F593" s="296"/>
      <c r="G593" s="296"/>
      <c r="H593" s="296"/>
      <c r="I593" s="296"/>
      <c r="J593" s="296"/>
      <c r="K593" s="296"/>
      <c r="L593" s="296"/>
      <c r="M593" s="299"/>
      <c r="N593" s="299"/>
      <c r="O593" s="299"/>
      <c r="P593" s="299"/>
      <c r="Q593" s="299"/>
      <c r="R593" s="299"/>
      <c r="S593" s="299"/>
      <c r="T593" s="299"/>
      <c r="U593" s="299"/>
      <c r="V593" s="299"/>
      <c r="W593" s="299"/>
      <c r="X593" s="299"/>
      <c r="Y593" s="299"/>
      <c r="Z593" s="299"/>
      <c r="AA593" s="299"/>
      <c r="AB593" s="299"/>
      <c r="AC593" s="300"/>
      <c r="AD593" s="300"/>
    </row>
    <row r="594" spans="1:30" ht="12.75" customHeight="1" x14ac:dyDescent="0.2">
      <c r="A594" s="296"/>
      <c r="B594" s="296"/>
      <c r="C594" s="296"/>
      <c r="D594" s="298"/>
      <c r="E594" s="298"/>
      <c r="F594" s="296"/>
      <c r="G594" s="296"/>
      <c r="H594" s="296"/>
      <c r="I594" s="296"/>
      <c r="J594" s="296"/>
      <c r="K594" s="296"/>
      <c r="L594" s="296"/>
      <c r="M594" s="299"/>
      <c r="N594" s="299"/>
      <c r="O594" s="299"/>
      <c r="P594" s="299"/>
      <c r="Q594" s="299"/>
      <c r="R594" s="299"/>
      <c r="S594" s="299"/>
      <c r="T594" s="299"/>
      <c r="U594" s="299"/>
      <c r="V594" s="299"/>
      <c r="W594" s="299"/>
      <c r="X594" s="299"/>
      <c r="Y594" s="299"/>
      <c r="Z594" s="299"/>
      <c r="AA594" s="299"/>
      <c r="AB594" s="299"/>
      <c r="AC594" s="300"/>
      <c r="AD594" s="300"/>
    </row>
    <row r="595" spans="1:30" ht="12.75" customHeight="1" x14ac:dyDescent="0.2">
      <c r="A595" s="296"/>
      <c r="B595" s="296"/>
      <c r="C595" s="296"/>
      <c r="D595" s="298"/>
      <c r="E595" s="298"/>
      <c r="F595" s="296"/>
      <c r="G595" s="296"/>
      <c r="H595" s="296"/>
      <c r="I595" s="296"/>
      <c r="J595" s="296"/>
      <c r="K595" s="296"/>
      <c r="L595" s="296"/>
      <c r="M595" s="299"/>
      <c r="N595" s="299"/>
      <c r="O595" s="299"/>
      <c r="P595" s="299"/>
      <c r="Q595" s="299"/>
      <c r="R595" s="299"/>
      <c r="S595" s="299"/>
      <c r="T595" s="299"/>
      <c r="U595" s="299"/>
      <c r="V595" s="299"/>
      <c r="W595" s="299"/>
      <c r="X595" s="299"/>
      <c r="Y595" s="299"/>
      <c r="Z595" s="299"/>
      <c r="AA595" s="299"/>
      <c r="AB595" s="299"/>
      <c r="AC595" s="300"/>
      <c r="AD595" s="300"/>
    </row>
    <row r="596" spans="1:30" ht="12.75" customHeight="1" x14ac:dyDescent="0.2">
      <c r="A596" s="296"/>
      <c r="B596" s="296"/>
      <c r="C596" s="296"/>
      <c r="D596" s="298"/>
      <c r="E596" s="298"/>
      <c r="F596" s="296"/>
      <c r="G596" s="296"/>
      <c r="H596" s="296"/>
      <c r="I596" s="296"/>
      <c r="J596" s="296"/>
      <c r="K596" s="296"/>
      <c r="L596" s="296"/>
      <c r="M596" s="299"/>
      <c r="N596" s="299"/>
      <c r="O596" s="299"/>
      <c r="P596" s="299"/>
      <c r="Q596" s="299"/>
      <c r="R596" s="299"/>
      <c r="S596" s="299"/>
      <c r="T596" s="299"/>
      <c r="U596" s="299"/>
      <c r="V596" s="299"/>
      <c r="W596" s="299"/>
      <c r="X596" s="299"/>
      <c r="Y596" s="299"/>
      <c r="Z596" s="299"/>
      <c r="AA596" s="299"/>
      <c r="AB596" s="299"/>
      <c r="AC596" s="300"/>
      <c r="AD596" s="300"/>
    </row>
    <row r="597" spans="1:30" ht="12.75" customHeight="1" x14ac:dyDescent="0.2">
      <c r="A597" s="296"/>
      <c r="B597" s="296"/>
      <c r="C597" s="296"/>
      <c r="D597" s="298"/>
      <c r="E597" s="298"/>
      <c r="F597" s="296"/>
      <c r="G597" s="296"/>
      <c r="H597" s="296"/>
      <c r="I597" s="296"/>
      <c r="J597" s="296"/>
      <c r="K597" s="296"/>
      <c r="L597" s="296"/>
      <c r="M597" s="299"/>
      <c r="N597" s="299"/>
      <c r="O597" s="299"/>
      <c r="P597" s="299"/>
      <c r="Q597" s="299"/>
      <c r="R597" s="299"/>
      <c r="S597" s="299"/>
      <c r="T597" s="299"/>
      <c r="U597" s="299"/>
      <c r="V597" s="299"/>
      <c r="W597" s="299"/>
      <c r="X597" s="299"/>
      <c r="Y597" s="299"/>
      <c r="Z597" s="299"/>
      <c r="AA597" s="299"/>
      <c r="AB597" s="299"/>
      <c r="AC597" s="300"/>
      <c r="AD597" s="300"/>
    </row>
    <row r="598" spans="1:30" ht="12.75" customHeight="1" x14ac:dyDescent="0.2">
      <c r="A598" s="296"/>
      <c r="B598" s="296"/>
      <c r="C598" s="296"/>
      <c r="D598" s="298"/>
      <c r="E598" s="298"/>
      <c r="F598" s="296"/>
      <c r="G598" s="296"/>
      <c r="H598" s="296"/>
      <c r="I598" s="296"/>
      <c r="J598" s="296"/>
      <c r="K598" s="296"/>
      <c r="L598" s="296"/>
      <c r="M598" s="299"/>
      <c r="N598" s="299"/>
      <c r="O598" s="299"/>
      <c r="P598" s="299"/>
      <c r="Q598" s="299"/>
      <c r="R598" s="299"/>
      <c r="S598" s="299"/>
      <c r="T598" s="299"/>
      <c r="U598" s="299"/>
      <c r="V598" s="299"/>
      <c r="W598" s="299"/>
      <c r="X598" s="299"/>
      <c r="Y598" s="299"/>
      <c r="Z598" s="299"/>
      <c r="AA598" s="299"/>
      <c r="AB598" s="299"/>
      <c r="AC598" s="300"/>
      <c r="AD598" s="300"/>
    </row>
    <row r="599" spans="1:30" ht="12.75" customHeight="1" x14ac:dyDescent="0.2">
      <c r="A599" s="296"/>
      <c r="B599" s="296"/>
      <c r="C599" s="296"/>
      <c r="D599" s="298"/>
      <c r="E599" s="298"/>
      <c r="F599" s="296"/>
      <c r="G599" s="296"/>
      <c r="H599" s="296"/>
      <c r="I599" s="296"/>
      <c r="J599" s="296"/>
      <c r="K599" s="296"/>
      <c r="L599" s="296"/>
      <c r="M599" s="299"/>
      <c r="N599" s="299"/>
      <c r="O599" s="299"/>
      <c r="P599" s="299"/>
      <c r="Q599" s="299"/>
      <c r="R599" s="299"/>
      <c r="S599" s="299"/>
      <c r="T599" s="299"/>
      <c r="U599" s="299"/>
      <c r="V599" s="299"/>
      <c r="W599" s="299"/>
      <c r="X599" s="299"/>
      <c r="Y599" s="299"/>
      <c r="Z599" s="299"/>
      <c r="AA599" s="299"/>
      <c r="AB599" s="299"/>
      <c r="AC599" s="300"/>
      <c r="AD599" s="300"/>
    </row>
    <row r="600" spans="1:30" ht="12.75" customHeight="1" x14ac:dyDescent="0.2">
      <c r="A600" s="296"/>
      <c r="B600" s="296"/>
      <c r="C600" s="296"/>
      <c r="D600" s="298"/>
      <c r="E600" s="298"/>
      <c r="F600" s="296"/>
      <c r="G600" s="296"/>
      <c r="H600" s="296"/>
      <c r="I600" s="296"/>
      <c r="J600" s="296"/>
      <c r="K600" s="296"/>
      <c r="L600" s="296"/>
      <c r="M600" s="299"/>
      <c r="N600" s="299"/>
      <c r="O600" s="299"/>
      <c r="P600" s="299"/>
      <c r="Q600" s="299"/>
      <c r="R600" s="299"/>
      <c r="S600" s="299"/>
      <c r="T600" s="299"/>
      <c r="U600" s="299"/>
      <c r="V600" s="299"/>
      <c r="W600" s="299"/>
      <c r="X600" s="299"/>
      <c r="Y600" s="299"/>
      <c r="Z600" s="299"/>
      <c r="AA600" s="299"/>
      <c r="AB600" s="299"/>
      <c r="AC600" s="300"/>
      <c r="AD600" s="300"/>
    </row>
    <row r="601" spans="1:30" ht="12.75" customHeight="1" x14ac:dyDescent="0.2">
      <c r="A601" s="296"/>
      <c r="B601" s="296"/>
      <c r="C601" s="296"/>
      <c r="D601" s="298"/>
      <c r="E601" s="298"/>
      <c r="F601" s="296"/>
      <c r="G601" s="296"/>
      <c r="H601" s="296"/>
      <c r="I601" s="296"/>
      <c r="J601" s="296"/>
      <c r="K601" s="296"/>
      <c r="L601" s="296"/>
      <c r="M601" s="299"/>
      <c r="N601" s="299"/>
      <c r="O601" s="299"/>
      <c r="P601" s="299"/>
      <c r="Q601" s="299"/>
      <c r="R601" s="299"/>
      <c r="S601" s="299"/>
      <c r="T601" s="299"/>
      <c r="U601" s="299"/>
      <c r="V601" s="299"/>
      <c r="W601" s="299"/>
      <c r="X601" s="299"/>
      <c r="Y601" s="299"/>
      <c r="Z601" s="299"/>
      <c r="AA601" s="299"/>
      <c r="AB601" s="299"/>
      <c r="AC601" s="300"/>
      <c r="AD601" s="300"/>
    </row>
    <row r="602" spans="1:30" ht="12.75" customHeight="1" x14ac:dyDescent="0.2">
      <c r="A602" s="296"/>
      <c r="B602" s="296"/>
      <c r="C602" s="296"/>
      <c r="D602" s="298"/>
      <c r="E602" s="298"/>
      <c r="F602" s="296"/>
      <c r="G602" s="296"/>
      <c r="H602" s="296"/>
      <c r="I602" s="296"/>
      <c r="J602" s="296"/>
      <c r="K602" s="296"/>
      <c r="L602" s="296"/>
      <c r="M602" s="299"/>
      <c r="N602" s="299"/>
      <c r="O602" s="299"/>
      <c r="P602" s="299"/>
      <c r="Q602" s="299"/>
      <c r="R602" s="299"/>
      <c r="S602" s="299"/>
      <c r="T602" s="299"/>
      <c r="U602" s="299"/>
      <c r="V602" s="299"/>
      <c r="W602" s="299"/>
      <c r="X602" s="299"/>
      <c r="Y602" s="299"/>
      <c r="Z602" s="299"/>
      <c r="AA602" s="299"/>
      <c r="AB602" s="299"/>
      <c r="AC602" s="300"/>
      <c r="AD602" s="300"/>
    </row>
    <row r="603" spans="1:30" ht="12.75" customHeight="1" x14ac:dyDescent="0.2">
      <c r="A603" s="296"/>
      <c r="B603" s="296"/>
      <c r="C603" s="296"/>
      <c r="D603" s="298"/>
      <c r="E603" s="298"/>
      <c r="F603" s="296"/>
      <c r="G603" s="296"/>
      <c r="H603" s="296"/>
      <c r="I603" s="296"/>
      <c r="J603" s="296"/>
      <c r="K603" s="296"/>
      <c r="L603" s="296"/>
      <c r="M603" s="299"/>
      <c r="N603" s="299"/>
      <c r="O603" s="299"/>
      <c r="P603" s="299"/>
      <c r="Q603" s="299"/>
      <c r="R603" s="299"/>
      <c r="S603" s="299"/>
      <c r="T603" s="299"/>
      <c r="U603" s="299"/>
      <c r="V603" s="299"/>
      <c r="W603" s="299"/>
      <c r="X603" s="299"/>
      <c r="Y603" s="299"/>
      <c r="Z603" s="299"/>
      <c r="AA603" s="299"/>
      <c r="AB603" s="299"/>
      <c r="AC603" s="300"/>
      <c r="AD603" s="300"/>
    </row>
    <row r="604" spans="1:30" ht="12.75" customHeight="1" x14ac:dyDescent="0.2">
      <c r="A604" s="296"/>
      <c r="B604" s="296"/>
      <c r="C604" s="296"/>
      <c r="D604" s="298"/>
      <c r="E604" s="298"/>
      <c r="F604" s="296"/>
      <c r="G604" s="296"/>
      <c r="H604" s="296"/>
      <c r="I604" s="296"/>
      <c r="J604" s="296"/>
      <c r="K604" s="296"/>
      <c r="L604" s="296"/>
      <c r="M604" s="299"/>
      <c r="N604" s="299"/>
      <c r="O604" s="299"/>
      <c r="P604" s="299"/>
      <c r="Q604" s="299"/>
      <c r="R604" s="299"/>
      <c r="S604" s="299"/>
      <c r="T604" s="299"/>
      <c r="U604" s="299"/>
      <c r="V604" s="299"/>
      <c r="W604" s="299"/>
      <c r="X604" s="299"/>
      <c r="Y604" s="299"/>
      <c r="Z604" s="299"/>
      <c r="AA604" s="299"/>
      <c r="AB604" s="299"/>
      <c r="AC604" s="300"/>
      <c r="AD604" s="300"/>
    </row>
    <row r="605" spans="1:30" ht="12.75" customHeight="1" x14ac:dyDescent="0.2">
      <c r="A605" s="296"/>
      <c r="B605" s="296"/>
      <c r="C605" s="296"/>
      <c r="D605" s="298"/>
      <c r="E605" s="298"/>
      <c r="F605" s="296"/>
      <c r="G605" s="296"/>
      <c r="H605" s="296"/>
      <c r="I605" s="296"/>
      <c r="J605" s="296"/>
      <c r="K605" s="296"/>
      <c r="L605" s="296"/>
      <c r="M605" s="299"/>
      <c r="N605" s="299"/>
      <c r="O605" s="299"/>
      <c r="P605" s="299"/>
      <c r="Q605" s="299"/>
      <c r="R605" s="299"/>
      <c r="S605" s="299"/>
      <c r="T605" s="299"/>
      <c r="U605" s="299"/>
      <c r="V605" s="299"/>
      <c r="W605" s="299"/>
      <c r="X605" s="299"/>
      <c r="Y605" s="299"/>
      <c r="Z605" s="299"/>
      <c r="AA605" s="299"/>
      <c r="AB605" s="299"/>
      <c r="AC605" s="300"/>
      <c r="AD605" s="300"/>
    </row>
    <row r="606" spans="1:30" ht="12.75" customHeight="1" x14ac:dyDescent="0.2">
      <c r="A606" s="296"/>
      <c r="B606" s="296"/>
      <c r="C606" s="296"/>
      <c r="D606" s="298"/>
      <c r="E606" s="298"/>
      <c r="F606" s="296"/>
      <c r="G606" s="296"/>
      <c r="H606" s="296"/>
      <c r="I606" s="296"/>
      <c r="J606" s="296"/>
      <c r="K606" s="296"/>
      <c r="L606" s="296"/>
      <c r="M606" s="299"/>
      <c r="N606" s="299"/>
      <c r="O606" s="299"/>
      <c r="P606" s="299"/>
      <c r="Q606" s="299"/>
      <c r="R606" s="299"/>
      <c r="S606" s="299"/>
      <c r="T606" s="299"/>
      <c r="U606" s="299"/>
      <c r="V606" s="299"/>
      <c r="W606" s="299"/>
      <c r="X606" s="299"/>
      <c r="Y606" s="299"/>
      <c r="Z606" s="299"/>
      <c r="AA606" s="299"/>
      <c r="AB606" s="299"/>
      <c r="AC606" s="300"/>
      <c r="AD606" s="300"/>
    </row>
    <row r="607" spans="1:30" ht="12.75" customHeight="1" x14ac:dyDescent="0.2">
      <c r="A607" s="296"/>
      <c r="B607" s="296"/>
      <c r="C607" s="296"/>
      <c r="D607" s="298"/>
      <c r="E607" s="298"/>
      <c r="F607" s="296"/>
      <c r="G607" s="296"/>
      <c r="H607" s="296"/>
      <c r="I607" s="296"/>
      <c r="J607" s="296"/>
      <c r="K607" s="296"/>
      <c r="L607" s="296"/>
      <c r="M607" s="299"/>
      <c r="N607" s="299"/>
      <c r="O607" s="299"/>
      <c r="P607" s="299"/>
      <c r="Q607" s="299"/>
      <c r="R607" s="299"/>
      <c r="S607" s="299"/>
      <c r="T607" s="299"/>
      <c r="U607" s="299"/>
      <c r="V607" s="299"/>
      <c r="W607" s="299"/>
      <c r="X607" s="299"/>
      <c r="Y607" s="299"/>
      <c r="Z607" s="299"/>
      <c r="AA607" s="299"/>
      <c r="AB607" s="299"/>
      <c r="AC607" s="300"/>
      <c r="AD607" s="300"/>
    </row>
    <row r="608" spans="1:30" ht="12.75" customHeight="1" x14ac:dyDescent="0.2">
      <c r="A608" s="296"/>
      <c r="B608" s="296"/>
      <c r="C608" s="296"/>
      <c r="D608" s="298"/>
      <c r="E608" s="298"/>
      <c r="F608" s="296"/>
      <c r="G608" s="296"/>
      <c r="H608" s="296"/>
      <c r="I608" s="296"/>
      <c r="J608" s="296"/>
      <c r="K608" s="296"/>
      <c r="L608" s="296"/>
      <c r="M608" s="299"/>
      <c r="N608" s="299"/>
      <c r="O608" s="299"/>
      <c r="P608" s="299"/>
      <c r="Q608" s="299"/>
      <c r="R608" s="299"/>
      <c r="S608" s="299"/>
      <c r="T608" s="299"/>
      <c r="U608" s="299"/>
      <c r="V608" s="299"/>
      <c r="W608" s="299"/>
      <c r="X608" s="299"/>
      <c r="Y608" s="299"/>
      <c r="Z608" s="299"/>
      <c r="AA608" s="299"/>
      <c r="AB608" s="299"/>
      <c r="AC608" s="300"/>
      <c r="AD608" s="300"/>
    </row>
    <row r="609" spans="1:30" ht="12.75" customHeight="1" x14ac:dyDescent="0.2">
      <c r="A609" s="296"/>
      <c r="B609" s="296"/>
      <c r="C609" s="296"/>
      <c r="D609" s="298"/>
      <c r="E609" s="298"/>
      <c r="F609" s="296"/>
      <c r="G609" s="296"/>
      <c r="H609" s="296"/>
      <c r="I609" s="296"/>
      <c r="J609" s="296"/>
      <c r="K609" s="296"/>
      <c r="L609" s="296"/>
      <c r="M609" s="299"/>
      <c r="N609" s="299"/>
      <c r="O609" s="299"/>
      <c r="P609" s="299"/>
      <c r="Q609" s="299"/>
      <c r="R609" s="299"/>
      <c r="S609" s="299"/>
      <c r="T609" s="299"/>
      <c r="U609" s="299"/>
      <c r="V609" s="299"/>
      <c r="W609" s="299"/>
      <c r="X609" s="299"/>
      <c r="Y609" s="299"/>
      <c r="Z609" s="299"/>
      <c r="AA609" s="299"/>
      <c r="AB609" s="299"/>
      <c r="AC609" s="300"/>
      <c r="AD609" s="300"/>
    </row>
    <row r="610" spans="1:30" ht="12.75" customHeight="1" x14ac:dyDescent="0.2">
      <c r="A610" s="296"/>
      <c r="B610" s="296"/>
      <c r="C610" s="296"/>
      <c r="D610" s="298"/>
      <c r="E610" s="298"/>
      <c r="F610" s="296"/>
      <c r="G610" s="296"/>
      <c r="H610" s="296"/>
      <c r="I610" s="296"/>
      <c r="J610" s="296"/>
      <c r="K610" s="296"/>
      <c r="L610" s="296"/>
      <c r="M610" s="299"/>
      <c r="N610" s="299"/>
      <c r="O610" s="299"/>
      <c r="P610" s="299"/>
      <c r="Q610" s="299"/>
      <c r="R610" s="299"/>
      <c r="S610" s="299"/>
      <c r="T610" s="299"/>
      <c r="U610" s="299"/>
      <c r="V610" s="299"/>
      <c r="W610" s="299"/>
      <c r="X610" s="299"/>
      <c r="Y610" s="299"/>
      <c r="Z610" s="299"/>
      <c r="AA610" s="299"/>
      <c r="AB610" s="299"/>
      <c r="AC610" s="300"/>
      <c r="AD610" s="300"/>
    </row>
    <row r="611" spans="1:30" ht="12.75" customHeight="1" x14ac:dyDescent="0.2">
      <c r="A611" s="296"/>
      <c r="B611" s="296"/>
      <c r="C611" s="296"/>
      <c r="D611" s="298"/>
      <c r="E611" s="298"/>
      <c r="F611" s="296"/>
      <c r="G611" s="296"/>
      <c r="H611" s="296"/>
      <c r="I611" s="296"/>
      <c r="J611" s="296"/>
      <c r="K611" s="296"/>
      <c r="L611" s="296"/>
      <c r="M611" s="299"/>
      <c r="N611" s="299"/>
      <c r="O611" s="299"/>
      <c r="P611" s="299"/>
      <c r="Q611" s="299"/>
      <c r="R611" s="299"/>
      <c r="S611" s="299"/>
      <c r="T611" s="299"/>
      <c r="U611" s="299"/>
      <c r="V611" s="299"/>
      <c r="W611" s="299"/>
      <c r="X611" s="299"/>
      <c r="Y611" s="299"/>
      <c r="Z611" s="299"/>
      <c r="AA611" s="299"/>
      <c r="AB611" s="299"/>
      <c r="AC611" s="300"/>
      <c r="AD611" s="300"/>
    </row>
    <row r="612" spans="1:30" ht="12.75" customHeight="1" x14ac:dyDescent="0.2">
      <c r="A612" s="296"/>
      <c r="B612" s="296"/>
      <c r="C612" s="296"/>
      <c r="D612" s="298"/>
      <c r="E612" s="298"/>
      <c r="F612" s="296"/>
      <c r="G612" s="296"/>
      <c r="H612" s="296"/>
      <c r="I612" s="296"/>
      <c r="J612" s="296"/>
      <c r="K612" s="296"/>
      <c r="L612" s="296"/>
      <c r="M612" s="299"/>
      <c r="N612" s="299"/>
      <c r="O612" s="299"/>
      <c r="P612" s="299"/>
      <c r="Q612" s="299"/>
      <c r="R612" s="299"/>
      <c r="S612" s="299"/>
      <c r="T612" s="299"/>
      <c r="U612" s="299"/>
      <c r="V612" s="299"/>
      <c r="W612" s="299"/>
      <c r="X612" s="299"/>
      <c r="Y612" s="299"/>
      <c r="Z612" s="299"/>
      <c r="AA612" s="299"/>
      <c r="AB612" s="299"/>
      <c r="AC612" s="300"/>
      <c r="AD612" s="300"/>
    </row>
    <row r="613" spans="1:30" ht="12.75" customHeight="1" x14ac:dyDescent="0.2">
      <c r="A613" s="296"/>
      <c r="B613" s="296"/>
      <c r="C613" s="296"/>
      <c r="D613" s="298"/>
      <c r="E613" s="298"/>
      <c r="F613" s="296"/>
      <c r="G613" s="296"/>
      <c r="H613" s="296"/>
      <c r="I613" s="296"/>
      <c r="J613" s="296"/>
      <c r="K613" s="296"/>
      <c r="L613" s="296"/>
      <c r="M613" s="299"/>
      <c r="N613" s="299"/>
      <c r="O613" s="299"/>
      <c r="P613" s="299"/>
      <c r="Q613" s="299"/>
      <c r="R613" s="299"/>
      <c r="S613" s="299"/>
      <c r="T613" s="299"/>
      <c r="U613" s="299"/>
      <c r="V613" s="299"/>
      <c r="W613" s="299"/>
      <c r="X613" s="299"/>
      <c r="Y613" s="299"/>
      <c r="Z613" s="299"/>
      <c r="AA613" s="299"/>
      <c r="AB613" s="299"/>
      <c r="AC613" s="300"/>
      <c r="AD613" s="300"/>
    </row>
    <row r="614" spans="1:30" ht="12.75" customHeight="1" x14ac:dyDescent="0.2">
      <c r="A614" s="296"/>
      <c r="B614" s="296"/>
      <c r="C614" s="296"/>
      <c r="D614" s="298"/>
      <c r="E614" s="298"/>
      <c r="F614" s="296"/>
      <c r="G614" s="296"/>
      <c r="H614" s="296"/>
      <c r="I614" s="296"/>
      <c r="J614" s="296"/>
      <c r="K614" s="296"/>
      <c r="L614" s="296"/>
      <c r="M614" s="299"/>
      <c r="N614" s="299"/>
      <c r="O614" s="299"/>
      <c r="P614" s="299"/>
      <c r="Q614" s="299"/>
      <c r="R614" s="299"/>
      <c r="S614" s="299"/>
      <c r="T614" s="299"/>
      <c r="U614" s="299"/>
      <c r="V614" s="299"/>
      <c r="W614" s="299"/>
      <c r="X614" s="299"/>
      <c r="Y614" s="299"/>
      <c r="Z614" s="299"/>
      <c r="AA614" s="299"/>
      <c r="AB614" s="299"/>
      <c r="AC614" s="300"/>
      <c r="AD614" s="300"/>
    </row>
    <row r="615" spans="1:30" ht="12.75" customHeight="1" x14ac:dyDescent="0.2">
      <c r="A615" s="296"/>
      <c r="B615" s="296"/>
      <c r="C615" s="296"/>
      <c r="D615" s="298"/>
      <c r="E615" s="298"/>
      <c r="F615" s="296"/>
      <c r="G615" s="296"/>
      <c r="H615" s="296"/>
      <c r="I615" s="296"/>
      <c r="J615" s="296"/>
      <c r="K615" s="296"/>
      <c r="L615" s="296"/>
      <c r="M615" s="299"/>
      <c r="N615" s="299"/>
      <c r="O615" s="299"/>
      <c r="P615" s="299"/>
      <c r="Q615" s="299"/>
      <c r="R615" s="299"/>
      <c r="S615" s="299"/>
      <c r="T615" s="299"/>
      <c r="U615" s="299"/>
      <c r="V615" s="299"/>
      <c r="W615" s="299"/>
      <c r="X615" s="299"/>
      <c r="Y615" s="299"/>
      <c r="Z615" s="299"/>
      <c r="AA615" s="299"/>
      <c r="AB615" s="299"/>
      <c r="AC615" s="300"/>
      <c r="AD615" s="300"/>
    </row>
    <row r="616" spans="1:30" ht="12.75" customHeight="1" x14ac:dyDescent="0.2">
      <c r="A616" s="296"/>
      <c r="B616" s="296"/>
      <c r="C616" s="296"/>
      <c r="D616" s="298"/>
      <c r="E616" s="298"/>
      <c r="F616" s="296"/>
      <c r="G616" s="296"/>
      <c r="H616" s="296"/>
      <c r="I616" s="296"/>
      <c r="J616" s="296"/>
      <c r="K616" s="296"/>
      <c r="L616" s="296"/>
      <c r="M616" s="299"/>
      <c r="N616" s="299"/>
      <c r="O616" s="299"/>
      <c r="P616" s="299"/>
      <c r="Q616" s="299"/>
      <c r="R616" s="299"/>
      <c r="S616" s="299"/>
      <c r="T616" s="299"/>
      <c r="U616" s="299"/>
      <c r="V616" s="299"/>
      <c r="W616" s="299"/>
      <c r="X616" s="299"/>
      <c r="Y616" s="299"/>
      <c r="Z616" s="299"/>
      <c r="AA616" s="299"/>
      <c r="AB616" s="299"/>
      <c r="AC616" s="300"/>
      <c r="AD616" s="300"/>
    </row>
    <row r="617" spans="1:30" ht="12.75" customHeight="1" x14ac:dyDescent="0.2">
      <c r="A617" s="296"/>
      <c r="B617" s="296"/>
      <c r="C617" s="296"/>
      <c r="D617" s="298"/>
      <c r="E617" s="298"/>
      <c r="F617" s="296"/>
      <c r="G617" s="296"/>
      <c r="H617" s="296"/>
      <c r="I617" s="296"/>
      <c r="J617" s="296"/>
      <c r="K617" s="296"/>
      <c r="L617" s="296"/>
      <c r="M617" s="299"/>
      <c r="N617" s="299"/>
      <c r="O617" s="299"/>
      <c r="P617" s="299"/>
      <c r="Q617" s="299"/>
      <c r="R617" s="299"/>
      <c r="S617" s="299"/>
      <c r="T617" s="299"/>
      <c r="U617" s="299"/>
      <c r="V617" s="299"/>
      <c r="W617" s="299"/>
      <c r="X617" s="299"/>
      <c r="Y617" s="299"/>
      <c r="Z617" s="299"/>
      <c r="AA617" s="299"/>
      <c r="AB617" s="299"/>
      <c r="AC617" s="300"/>
      <c r="AD617" s="300"/>
    </row>
    <row r="618" spans="1:30" ht="12.75" customHeight="1" x14ac:dyDescent="0.2">
      <c r="A618" s="296"/>
      <c r="B618" s="296"/>
      <c r="C618" s="296"/>
      <c r="D618" s="298"/>
      <c r="E618" s="298"/>
      <c r="F618" s="296"/>
      <c r="G618" s="296"/>
      <c r="H618" s="296"/>
      <c r="I618" s="296"/>
      <c r="J618" s="296"/>
      <c r="K618" s="296"/>
      <c r="L618" s="296"/>
      <c r="M618" s="299"/>
      <c r="N618" s="299"/>
      <c r="O618" s="299"/>
      <c r="P618" s="299"/>
      <c r="Q618" s="299"/>
      <c r="R618" s="299"/>
      <c r="S618" s="299"/>
      <c r="T618" s="299"/>
      <c r="U618" s="299"/>
      <c r="V618" s="299"/>
      <c r="W618" s="299"/>
      <c r="X618" s="299"/>
      <c r="Y618" s="299"/>
      <c r="Z618" s="299"/>
      <c r="AA618" s="299"/>
      <c r="AB618" s="299"/>
      <c r="AC618" s="300"/>
      <c r="AD618" s="300"/>
    </row>
    <row r="619" spans="1:30" ht="12.75" customHeight="1" x14ac:dyDescent="0.2">
      <c r="A619" s="296"/>
      <c r="B619" s="296"/>
      <c r="C619" s="296"/>
      <c r="D619" s="298"/>
      <c r="E619" s="298"/>
      <c r="F619" s="296"/>
      <c r="G619" s="296"/>
      <c r="H619" s="296"/>
      <c r="I619" s="296"/>
      <c r="J619" s="296"/>
      <c r="K619" s="296"/>
      <c r="L619" s="296"/>
      <c r="M619" s="299"/>
      <c r="N619" s="299"/>
      <c r="O619" s="299"/>
      <c r="P619" s="299"/>
      <c r="Q619" s="299"/>
      <c r="R619" s="299"/>
      <c r="S619" s="299"/>
      <c r="T619" s="299"/>
      <c r="U619" s="299"/>
      <c r="V619" s="299"/>
      <c r="W619" s="299"/>
      <c r="X619" s="299"/>
      <c r="Y619" s="299"/>
      <c r="Z619" s="299"/>
      <c r="AA619" s="299"/>
      <c r="AB619" s="299"/>
      <c r="AC619" s="300"/>
      <c r="AD619" s="300"/>
    </row>
    <row r="620" spans="1:30" ht="12.75" customHeight="1" x14ac:dyDescent="0.2">
      <c r="A620" s="296"/>
      <c r="B620" s="296"/>
      <c r="C620" s="296"/>
      <c r="D620" s="298"/>
      <c r="E620" s="298"/>
      <c r="F620" s="296"/>
      <c r="G620" s="296"/>
      <c r="H620" s="296"/>
      <c r="I620" s="296"/>
      <c r="J620" s="296"/>
      <c r="K620" s="296"/>
      <c r="L620" s="296"/>
      <c r="M620" s="299"/>
      <c r="N620" s="299"/>
      <c r="O620" s="299"/>
      <c r="P620" s="299"/>
      <c r="Q620" s="299"/>
      <c r="R620" s="299"/>
      <c r="S620" s="299"/>
      <c r="T620" s="299"/>
      <c r="U620" s="299"/>
      <c r="V620" s="299"/>
      <c r="W620" s="299"/>
      <c r="X620" s="299"/>
      <c r="Y620" s="299"/>
      <c r="Z620" s="299"/>
      <c r="AA620" s="299"/>
      <c r="AB620" s="299"/>
      <c r="AC620" s="300"/>
      <c r="AD620" s="300"/>
    </row>
    <row r="621" spans="1:30" ht="12.75" customHeight="1" x14ac:dyDescent="0.2">
      <c r="A621" s="296"/>
      <c r="B621" s="296"/>
      <c r="C621" s="296"/>
      <c r="D621" s="298"/>
      <c r="E621" s="298"/>
      <c r="F621" s="296"/>
      <c r="G621" s="296"/>
      <c r="H621" s="296"/>
      <c r="I621" s="296"/>
      <c r="J621" s="296"/>
      <c r="K621" s="296"/>
      <c r="L621" s="296"/>
      <c r="M621" s="299"/>
      <c r="N621" s="299"/>
      <c r="O621" s="299"/>
      <c r="P621" s="299"/>
      <c r="Q621" s="299"/>
      <c r="R621" s="299"/>
      <c r="S621" s="299"/>
      <c r="T621" s="299"/>
      <c r="U621" s="299"/>
      <c r="V621" s="299"/>
      <c r="W621" s="299"/>
      <c r="X621" s="299"/>
      <c r="Y621" s="299"/>
      <c r="Z621" s="299"/>
      <c r="AA621" s="299"/>
      <c r="AB621" s="299"/>
      <c r="AC621" s="300"/>
      <c r="AD621" s="300"/>
    </row>
    <row r="622" spans="1:30" ht="12.75" customHeight="1" x14ac:dyDescent="0.2">
      <c r="A622" s="296"/>
      <c r="B622" s="296"/>
      <c r="C622" s="296"/>
      <c r="D622" s="298"/>
      <c r="E622" s="298"/>
      <c r="F622" s="296"/>
      <c r="G622" s="296"/>
      <c r="H622" s="296"/>
      <c r="I622" s="296"/>
      <c r="J622" s="296"/>
      <c r="K622" s="296"/>
      <c r="L622" s="296"/>
      <c r="M622" s="299"/>
      <c r="N622" s="299"/>
      <c r="O622" s="299"/>
      <c r="P622" s="299"/>
      <c r="Q622" s="299"/>
      <c r="R622" s="299"/>
      <c r="S622" s="299"/>
      <c r="T622" s="299"/>
      <c r="U622" s="299"/>
      <c r="V622" s="299"/>
      <c r="W622" s="299"/>
      <c r="X622" s="299"/>
      <c r="Y622" s="299"/>
      <c r="Z622" s="299"/>
      <c r="AA622" s="299"/>
      <c r="AB622" s="299"/>
      <c r="AC622" s="300"/>
      <c r="AD622" s="300"/>
    </row>
    <row r="623" spans="1:30" ht="12.75" customHeight="1" x14ac:dyDescent="0.2">
      <c r="A623" s="296"/>
      <c r="B623" s="296"/>
      <c r="C623" s="296"/>
      <c r="D623" s="298"/>
      <c r="E623" s="298"/>
      <c r="F623" s="296"/>
      <c r="G623" s="296"/>
      <c r="H623" s="296"/>
      <c r="I623" s="296"/>
      <c r="J623" s="296"/>
      <c r="K623" s="296"/>
      <c r="L623" s="296"/>
      <c r="M623" s="299"/>
      <c r="N623" s="299"/>
      <c r="O623" s="299"/>
      <c r="P623" s="299"/>
      <c r="Q623" s="299"/>
      <c r="R623" s="299"/>
      <c r="S623" s="299"/>
      <c r="T623" s="299"/>
      <c r="U623" s="299"/>
      <c r="V623" s="299"/>
      <c r="W623" s="299"/>
      <c r="X623" s="299"/>
      <c r="Y623" s="299"/>
      <c r="Z623" s="299"/>
      <c r="AA623" s="299"/>
      <c r="AB623" s="299"/>
      <c r="AC623" s="300"/>
      <c r="AD623" s="300"/>
    </row>
    <row r="624" spans="1:30" ht="12.75" customHeight="1" x14ac:dyDescent="0.2">
      <c r="A624" s="296"/>
      <c r="B624" s="296"/>
      <c r="C624" s="296"/>
      <c r="D624" s="298"/>
      <c r="E624" s="298"/>
      <c r="F624" s="296"/>
      <c r="G624" s="296"/>
      <c r="H624" s="296"/>
      <c r="I624" s="296"/>
      <c r="J624" s="296"/>
      <c r="K624" s="296"/>
      <c r="L624" s="296"/>
      <c r="M624" s="299"/>
      <c r="N624" s="299"/>
      <c r="O624" s="299"/>
      <c r="P624" s="299"/>
      <c r="Q624" s="299"/>
      <c r="R624" s="299"/>
      <c r="S624" s="299"/>
      <c r="T624" s="299"/>
      <c r="U624" s="299"/>
      <c r="V624" s="299"/>
      <c r="W624" s="299"/>
      <c r="X624" s="299"/>
      <c r="Y624" s="299"/>
      <c r="Z624" s="299"/>
      <c r="AA624" s="299"/>
      <c r="AB624" s="299"/>
      <c r="AC624" s="300"/>
      <c r="AD624" s="300"/>
    </row>
    <row r="625" spans="1:30" ht="12.75" customHeight="1" x14ac:dyDescent="0.2">
      <c r="A625" s="296"/>
      <c r="B625" s="296"/>
      <c r="C625" s="296"/>
      <c r="D625" s="298"/>
      <c r="E625" s="298"/>
      <c r="F625" s="296"/>
      <c r="G625" s="296"/>
      <c r="H625" s="296"/>
      <c r="I625" s="296"/>
      <c r="J625" s="296"/>
      <c r="K625" s="296"/>
      <c r="L625" s="296"/>
      <c r="M625" s="299"/>
      <c r="N625" s="299"/>
      <c r="O625" s="299"/>
      <c r="P625" s="299"/>
      <c r="Q625" s="299"/>
      <c r="R625" s="299"/>
      <c r="S625" s="299"/>
      <c r="T625" s="299"/>
      <c r="U625" s="299"/>
      <c r="V625" s="299"/>
      <c r="W625" s="299"/>
      <c r="X625" s="299"/>
      <c r="Y625" s="299"/>
      <c r="Z625" s="299"/>
      <c r="AA625" s="299"/>
      <c r="AB625" s="299"/>
      <c r="AC625" s="300"/>
      <c r="AD625" s="300"/>
    </row>
    <row r="626" spans="1:30" ht="12.75" customHeight="1" x14ac:dyDescent="0.2">
      <c r="A626" s="296"/>
      <c r="B626" s="296"/>
      <c r="C626" s="296"/>
      <c r="D626" s="298"/>
      <c r="E626" s="298"/>
      <c r="F626" s="296"/>
      <c r="G626" s="296"/>
      <c r="H626" s="296"/>
      <c r="I626" s="296"/>
      <c r="J626" s="296"/>
      <c r="K626" s="296"/>
      <c r="L626" s="296"/>
      <c r="M626" s="299"/>
      <c r="N626" s="299"/>
      <c r="O626" s="299"/>
      <c r="P626" s="299"/>
      <c r="Q626" s="299"/>
      <c r="R626" s="299"/>
      <c r="S626" s="299"/>
      <c r="T626" s="299"/>
      <c r="U626" s="299"/>
      <c r="V626" s="299"/>
      <c r="W626" s="299"/>
      <c r="X626" s="299"/>
      <c r="Y626" s="299"/>
      <c r="Z626" s="299"/>
      <c r="AA626" s="299"/>
      <c r="AB626" s="299"/>
      <c r="AC626" s="300"/>
      <c r="AD626" s="300"/>
    </row>
    <row r="627" spans="1:30" ht="12.75" customHeight="1" x14ac:dyDescent="0.2">
      <c r="A627" s="296"/>
      <c r="B627" s="296"/>
      <c r="C627" s="296"/>
      <c r="D627" s="298"/>
      <c r="E627" s="298"/>
      <c r="F627" s="296"/>
      <c r="G627" s="296"/>
      <c r="H627" s="296"/>
      <c r="I627" s="296"/>
      <c r="J627" s="296"/>
      <c r="K627" s="296"/>
      <c r="L627" s="296"/>
      <c r="M627" s="299"/>
      <c r="N627" s="299"/>
      <c r="O627" s="299"/>
      <c r="P627" s="299"/>
      <c r="Q627" s="299"/>
      <c r="R627" s="299"/>
      <c r="S627" s="299"/>
      <c r="T627" s="299"/>
      <c r="U627" s="299"/>
      <c r="V627" s="299"/>
      <c r="W627" s="299"/>
      <c r="X627" s="299"/>
      <c r="Y627" s="299"/>
      <c r="Z627" s="299"/>
      <c r="AA627" s="299"/>
      <c r="AB627" s="299"/>
      <c r="AC627" s="300"/>
      <c r="AD627" s="300"/>
    </row>
    <row r="628" spans="1:30" ht="12.75" customHeight="1" x14ac:dyDescent="0.2">
      <c r="A628" s="296"/>
      <c r="B628" s="296"/>
      <c r="C628" s="296"/>
      <c r="D628" s="298"/>
      <c r="E628" s="298"/>
      <c r="F628" s="296"/>
      <c r="G628" s="296"/>
      <c r="H628" s="296"/>
      <c r="I628" s="296"/>
      <c r="J628" s="296"/>
      <c r="K628" s="296"/>
      <c r="L628" s="296"/>
      <c r="M628" s="299"/>
      <c r="N628" s="299"/>
      <c r="O628" s="299"/>
      <c r="P628" s="299"/>
      <c r="Q628" s="299"/>
      <c r="R628" s="299"/>
      <c r="S628" s="299"/>
      <c r="T628" s="299"/>
      <c r="U628" s="299"/>
      <c r="V628" s="299"/>
      <c r="W628" s="299"/>
      <c r="X628" s="299"/>
      <c r="Y628" s="299"/>
      <c r="Z628" s="299"/>
      <c r="AA628" s="299"/>
      <c r="AB628" s="299"/>
      <c r="AC628" s="300"/>
      <c r="AD628" s="300"/>
    </row>
    <row r="629" spans="1:30" ht="12.75" customHeight="1" x14ac:dyDescent="0.2">
      <c r="A629" s="296"/>
      <c r="B629" s="296"/>
      <c r="C629" s="296"/>
      <c r="D629" s="298"/>
      <c r="E629" s="298"/>
      <c r="F629" s="296"/>
      <c r="G629" s="296"/>
      <c r="H629" s="296"/>
      <c r="I629" s="296"/>
      <c r="J629" s="296"/>
      <c r="K629" s="296"/>
      <c r="L629" s="296"/>
      <c r="M629" s="299"/>
      <c r="N629" s="299"/>
      <c r="O629" s="299"/>
      <c r="P629" s="299"/>
      <c r="Q629" s="299"/>
      <c r="R629" s="299"/>
      <c r="S629" s="299"/>
      <c r="T629" s="299"/>
      <c r="U629" s="299"/>
      <c r="V629" s="299"/>
      <c r="W629" s="299"/>
      <c r="X629" s="299"/>
      <c r="Y629" s="299"/>
      <c r="Z629" s="299"/>
      <c r="AA629" s="299"/>
      <c r="AB629" s="299"/>
      <c r="AC629" s="300"/>
      <c r="AD629" s="300"/>
    </row>
    <row r="630" spans="1:30" ht="12.75" customHeight="1" x14ac:dyDescent="0.2">
      <c r="A630" s="296"/>
      <c r="B630" s="296"/>
      <c r="C630" s="296"/>
      <c r="D630" s="298"/>
      <c r="E630" s="298"/>
      <c r="F630" s="296"/>
      <c r="G630" s="296"/>
      <c r="H630" s="296"/>
      <c r="I630" s="296"/>
      <c r="J630" s="296"/>
      <c r="K630" s="296"/>
      <c r="L630" s="296"/>
      <c r="M630" s="299"/>
      <c r="N630" s="299"/>
      <c r="O630" s="299"/>
      <c r="P630" s="299"/>
      <c r="Q630" s="299"/>
      <c r="R630" s="299"/>
      <c r="S630" s="299"/>
      <c r="T630" s="299"/>
      <c r="U630" s="299"/>
      <c r="V630" s="299"/>
      <c r="W630" s="299"/>
      <c r="X630" s="299"/>
      <c r="Y630" s="299"/>
      <c r="Z630" s="299"/>
      <c r="AA630" s="299"/>
      <c r="AB630" s="299"/>
      <c r="AC630" s="300"/>
      <c r="AD630" s="300"/>
    </row>
    <row r="631" spans="1:30" ht="12.75" customHeight="1" x14ac:dyDescent="0.2">
      <c r="A631" s="296"/>
      <c r="B631" s="296"/>
      <c r="C631" s="296"/>
      <c r="D631" s="298"/>
      <c r="E631" s="298"/>
      <c r="F631" s="296"/>
      <c r="G631" s="296"/>
      <c r="H631" s="296"/>
      <c r="I631" s="296"/>
      <c r="J631" s="296"/>
      <c r="K631" s="296"/>
      <c r="L631" s="296"/>
      <c r="M631" s="299"/>
      <c r="N631" s="299"/>
      <c r="O631" s="299"/>
      <c r="P631" s="299"/>
      <c r="Q631" s="299"/>
      <c r="R631" s="299"/>
      <c r="S631" s="299"/>
      <c r="T631" s="299"/>
      <c r="U631" s="299"/>
      <c r="V631" s="299"/>
      <c r="W631" s="299"/>
      <c r="X631" s="299"/>
      <c r="Y631" s="299"/>
      <c r="Z631" s="299"/>
      <c r="AA631" s="299"/>
      <c r="AB631" s="299"/>
      <c r="AC631" s="300"/>
      <c r="AD631" s="300"/>
    </row>
    <row r="632" spans="1:30" ht="12.75" customHeight="1" x14ac:dyDescent="0.2">
      <c r="A632" s="296"/>
      <c r="B632" s="296"/>
      <c r="C632" s="296"/>
      <c r="D632" s="298"/>
      <c r="E632" s="298"/>
      <c r="F632" s="296"/>
      <c r="G632" s="296"/>
      <c r="H632" s="296"/>
      <c r="I632" s="296"/>
      <c r="J632" s="296"/>
      <c r="K632" s="296"/>
      <c r="L632" s="296"/>
      <c r="M632" s="299"/>
      <c r="N632" s="299"/>
      <c r="O632" s="299"/>
      <c r="P632" s="299"/>
      <c r="Q632" s="299"/>
      <c r="R632" s="299"/>
      <c r="S632" s="299"/>
      <c r="T632" s="299"/>
      <c r="U632" s="299"/>
      <c r="V632" s="299"/>
      <c r="W632" s="299"/>
      <c r="X632" s="299"/>
      <c r="Y632" s="299"/>
      <c r="Z632" s="299"/>
      <c r="AA632" s="299"/>
      <c r="AB632" s="299"/>
      <c r="AC632" s="300"/>
      <c r="AD632" s="300"/>
    </row>
    <row r="633" spans="1:30" ht="12.75" customHeight="1" x14ac:dyDescent="0.2">
      <c r="A633" s="296"/>
      <c r="B633" s="296"/>
      <c r="C633" s="296"/>
      <c r="D633" s="298"/>
      <c r="E633" s="298"/>
      <c r="F633" s="296"/>
      <c r="G633" s="296"/>
      <c r="H633" s="296"/>
      <c r="I633" s="296"/>
      <c r="J633" s="296"/>
      <c r="K633" s="296"/>
      <c r="L633" s="296"/>
      <c r="M633" s="299"/>
      <c r="N633" s="299"/>
      <c r="O633" s="299"/>
      <c r="P633" s="299"/>
      <c r="Q633" s="299"/>
      <c r="R633" s="299"/>
      <c r="S633" s="299"/>
      <c r="T633" s="299"/>
      <c r="U633" s="299"/>
      <c r="V633" s="299"/>
      <c r="W633" s="299"/>
      <c r="X633" s="299"/>
      <c r="Y633" s="299"/>
      <c r="Z633" s="299"/>
      <c r="AA633" s="299"/>
      <c r="AB633" s="299"/>
      <c r="AC633" s="300"/>
      <c r="AD633" s="300"/>
    </row>
    <row r="634" spans="1:30" ht="12.75" customHeight="1" x14ac:dyDescent="0.2">
      <c r="A634" s="296"/>
      <c r="B634" s="296"/>
      <c r="C634" s="296"/>
      <c r="D634" s="298"/>
      <c r="E634" s="298"/>
      <c r="F634" s="296"/>
      <c r="G634" s="296"/>
      <c r="H634" s="296"/>
      <c r="I634" s="296"/>
      <c r="J634" s="296"/>
      <c r="K634" s="296"/>
      <c r="L634" s="296"/>
      <c r="M634" s="299"/>
      <c r="N634" s="299"/>
      <c r="O634" s="299"/>
      <c r="P634" s="299"/>
      <c r="Q634" s="299"/>
      <c r="R634" s="299"/>
      <c r="S634" s="299"/>
      <c r="T634" s="299"/>
      <c r="U634" s="299"/>
      <c r="V634" s="299"/>
      <c r="W634" s="299"/>
      <c r="X634" s="299"/>
      <c r="Y634" s="299"/>
      <c r="Z634" s="299"/>
      <c r="AA634" s="299"/>
      <c r="AB634" s="299"/>
      <c r="AC634" s="300"/>
      <c r="AD634" s="300"/>
    </row>
    <row r="635" spans="1:30" ht="12.75" customHeight="1" x14ac:dyDescent="0.2">
      <c r="A635" s="296"/>
      <c r="B635" s="296"/>
      <c r="C635" s="296"/>
      <c r="D635" s="298"/>
      <c r="E635" s="298"/>
      <c r="F635" s="296"/>
      <c r="G635" s="296"/>
      <c r="H635" s="296"/>
      <c r="I635" s="296"/>
      <c r="J635" s="296"/>
      <c r="K635" s="296"/>
      <c r="L635" s="296"/>
      <c r="M635" s="299"/>
      <c r="N635" s="299"/>
      <c r="O635" s="299"/>
      <c r="P635" s="299"/>
      <c r="Q635" s="299"/>
      <c r="R635" s="299"/>
      <c r="S635" s="299"/>
      <c r="T635" s="299"/>
      <c r="U635" s="299"/>
      <c r="V635" s="299"/>
      <c r="W635" s="299"/>
      <c r="X635" s="299"/>
      <c r="Y635" s="299"/>
      <c r="Z635" s="299"/>
      <c r="AA635" s="299"/>
      <c r="AB635" s="299"/>
      <c r="AC635" s="300"/>
      <c r="AD635" s="300"/>
    </row>
    <row r="636" spans="1:30" ht="12.75" customHeight="1" x14ac:dyDescent="0.2">
      <c r="A636" s="296"/>
      <c r="B636" s="296"/>
      <c r="C636" s="296"/>
      <c r="D636" s="298"/>
      <c r="E636" s="298"/>
      <c r="F636" s="296"/>
      <c r="G636" s="296"/>
      <c r="H636" s="296"/>
      <c r="I636" s="296"/>
      <c r="J636" s="296"/>
      <c r="K636" s="296"/>
      <c r="L636" s="296"/>
      <c r="M636" s="299"/>
      <c r="N636" s="299"/>
      <c r="O636" s="299"/>
      <c r="P636" s="299"/>
      <c r="Q636" s="299"/>
      <c r="R636" s="299"/>
      <c r="S636" s="299"/>
      <c r="T636" s="299"/>
      <c r="U636" s="299"/>
      <c r="V636" s="299"/>
      <c r="W636" s="299"/>
      <c r="X636" s="299"/>
      <c r="Y636" s="299"/>
      <c r="Z636" s="299"/>
      <c r="AA636" s="299"/>
      <c r="AB636" s="299"/>
      <c r="AC636" s="300"/>
      <c r="AD636" s="300"/>
    </row>
    <row r="637" spans="1:30" ht="12.75" customHeight="1" x14ac:dyDescent="0.2">
      <c r="A637" s="296"/>
      <c r="B637" s="296"/>
      <c r="C637" s="296"/>
      <c r="D637" s="298"/>
      <c r="E637" s="298"/>
      <c r="F637" s="296"/>
      <c r="G637" s="296"/>
      <c r="H637" s="296"/>
      <c r="I637" s="296"/>
      <c r="J637" s="296"/>
      <c r="K637" s="296"/>
      <c r="L637" s="296"/>
      <c r="M637" s="299"/>
      <c r="N637" s="299"/>
      <c r="O637" s="299"/>
      <c r="P637" s="299"/>
      <c r="Q637" s="299"/>
      <c r="R637" s="299"/>
      <c r="S637" s="299"/>
      <c r="T637" s="299"/>
      <c r="U637" s="299"/>
      <c r="V637" s="299"/>
      <c r="W637" s="299"/>
      <c r="X637" s="299"/>
      <c r="Y637" s="299"/>
      <c r="Z637" s="299"/>
      <c r="AA637" s="299"/>
      <c r="AB637" s="299"/>
      <c r="AC637" s="300"/>
      <c r="AD637" s="300"/>
    </row>
    <row r="638" spans="1:30" ht="12.75" customHeight="1" x14ac:dyDescent="0.2">
      <c r="A638" s="296"/>
      <c r="B638" s="296"/>
      <c r="C638" s="296"/>
      <c r="D638" s="298"/>
      <c r="E638" s="298"/>
      <c r="F638" s="296"/>
      <c r="G638" s="296"/>
      <c r="H638" s="296"/>
      <c r="I638" s="296"/>
      <c r="J638" s="296"/>
      <c r="K638" s="296"/>
      <c r="L638" s="296"/>
      <c r="M638" s="299"/>
      <c r="N638" s="299"/>
      <c r="O638" s="299"/>
      <c r="P638" s="299"/>
      <c r="Q638" s="299"/>
      <c r="R638" s="299"/>
      <c r="S638" s="299"/>
      <c r="T638" s="299"/>
      <c r="U638" s="299"/>
      <c r="V638" s="299"/>
      <c r="W638" s="299"/>
      <c r="X638" s="299"/>
      <c r="Y638" s="299"/>
      <c r="Z638" s="299"/>
      <c r="AA638" s="299"/>
      <c r="AB638" s="299"/>
      <c r="AC638" s="300"/>
      <c r="AD638" s="300"/>
    </row>
    <row r="639" spans="1:30" ht="12.75" customHeight="1" x14ac:dyDescent="0.2">
      <c r="A639" s="296"/>
      <c r="B639" s="296"/>
      <c r="C639" s="296"/>
      <c r="D639" s="298"/>
      <c r="E639" s="298"/>
      <c r="F639" s="296"/>
      <c r="G639" s="296"/>
      <c r="H639" s="296"/>
      <c r="I639" s="296"/>
      <c r="J639" s="296"/>
      <c r="K639" s="296"/>
      <c r="L639" s="296"/>
      <c r="M639" s="299"/>
      <c r="N639" s="299"/>
      <c r="O639" s="299"/>
      <c r="P639" s="299"/>
      <c r="Q639" s="299"/>
      <c r="R639" s="299"/>
      <c r="S639" s="299"/>
      <c r="T639" s="299"/>
      <c r="U639" s="299"/>
      <c r="V639" s="299"/>
      <c r="W639" s="299"/>
      <c r="X639" s="299"/>
      <c r="Y639" s="299"/>
      <c r="Z639" s="299"/>
      <c r="AA639" s="299"/>
      <c r="AB639" s="299"/>
      <c r="AC639" s="300"/>
      <c r="AD639" s="300"/>
    </row>
    <row r="640" spans="1:30" ht="12.75" customHeight="1" x14ac:dyDescent="0.2">
      <c r="A640" s="296"/>
      <c r="B640" s="296"/>
      <c r="C640" s="296"/>
      <c r="D640" s="298"/>
      <c r="E640" s="298"/>
      <c r="F640" s="296"/>
      <c r="G640" s="296"/>
      <c r="H640" s="296"/>
      <c r="I640" s="296"/>
      <c r="J640" s="296"/>
      <c r="K640" s="296"/>
      <c r="L640" s="296"/>
      <c r="M640" s="299"/>
      <c r="N640" s="299"/>
      <c r="O640" s="299"/>
      <c r="P640" s="299"/>
      <c r="Q640" s="299"/>
      <c r="R640" s="299"/>
      <c r="S640" s="299"/>
      <c r="T640" s="299"/>
      <c r="U640" s="299"/>
      <c r="V640" s="299"/>
      <c r="W640" s="299"/>
      <c r="X640" s="299"/>
      <c r="Y640" s="299"/>
      <c r="Z640" s="299"/>
      <c r="AA640" s="299"/>
      <c r="AB640" s="299"/>
      <c r="AC640" s="300"/>
      <c r="AD640" s="300"/>
    </row>
    <row r="641" spans="1:30" ht="12.75" customHeight="1" x14ac:dyDescent="0.2">
      <c r="A641" s="296"/>
      <c r="B641" s="296"/>
      <c r="C641" s="296"/>
      <c r="D641" s="298"/>
      <c r="E641" s="298"/>
      <c r="F641" s="296"/>
      <c r="G641" s="296"/>
      <c r="H641" s="296"/>
      <c r="I641" s="296"/>
      <c r="J641" s="296"/>
      <c r="K641" s="296"/>
      <c r="L641" s="296"/>
      <c r="M641" s="299"/>
      <c r="N641" s="299"/>
      <c r="O641" s="299"/>
      <c r="P641" s="299"/>
      <c r="Q641" s="299"/>
      <c r="R641" s="299"/>
      <c r="S641" s="299"/>
      <c r="T641" s="299"/>
      <c r="U641" s="299"/>
      <c r="V641" s="299"/>
      <c r="W641" s="299"/>
      <c r="X641" s="299"/>
      <c r="Y641" s="299"/>
      <c r="Z641" s="299"/>
      <c r="AA641" s="299"/>
      <c r="AB641" s="299"/>
      <c r="AC641" s="300"/>
      <c r="AD641" s="300"/>
    </row>
    <row r="642" spans="1:30" ht="12.75" customHeight="1" x14ac:dyDescent="0.2">
      <c r="A642" s="296"/>
      <c r="B642" s="296"/>
      <c r="C642" s="296"/>
      <c r="D642" s="298"/>
      <c r="E642" s="298"/>
      <c r="F642" s="296"/>
      <c r="G642" s="296"/>
      <c r="H642" s="296"/>
      <c r="I642" s="296"/>
      <c r="J642" s="296"/>
      <c r="K642" s="296"/>
      <c r="L642" s="296"/>
      <c r="M642" s="299"/>
      <c r="N642" s="299"/>
      <c r="O642" s="299"/>
      <c r="P642" s="299"/>
      <c r="Q642" s="299"/>
      <c r="R642" s="299"/>
      <c r="S642" s="299"/>
      <c r="T642" s="299"/>
      <c r="U642" s="299"/>
      <c r="V642" s="299"/>
      <c r="W642" s="299"/>
      <c r="X642" s="299"/>
      <c r="Y642" s="299"/>
      <c r="Z642" s="299"/>
      <c r="AA642" s="299"/>
      <c r="AB642" s="299"/>
      <c r="AC642" s="300"/>
      <c r="AD642" s="300"/>
    </row>
    <row r="643" spans="1:30" ht="12.75" customHeight="1" x14ac:dyDescent="0.2">
      <c r="A643" s="296"/>
      <c r="B643" s="296"/>
      <c r="C643" s="296"/>
      <c r="D643" s="298"/>
      <c r="E643" s="298"/>
      <c r="F643" s="296"/>
      <c r="G643" s="296"/>
      <c r="H643" s="296"/>
      <c r="I643" s="296"/>
      <c r="J643" s="296"/>
      <c r="K643" s="296"/>
      <c r="L643" s="296"/>
      <c r="M643" s="299"/>
      <c r="N643" s="299"/>
      <c r="O643" s="299"/>
      <c r="P643" s="299"/>
      <c r="Q643" s="299"/>
      <c r="R643" s="299"/>
      <c r="S643" s="299"/>
      <c r="T643" s="299"/>
      <c r="U643" s="299"/>
      <c r="V643" s="299"/>
      <c r="W643" s="299"/>
      <c r="X643" s="299"/>
      <c r="Y643" s="299"/>
      <c r="Z643" s="299"/>
      <c r="AA643" s="299"/>
      <c r="AB643" s="299"/>
      <c r="AC643" s="300"/>
      <c r="AD643" s="300"/>
    </row>
    <row r="644" spans="1:30" ht="12.75" customHeight="1" x14ac:dyDescent="0.2">
      <c r="A644" s="296"/>
      <c r="B644" s="296"/>
      <c r="C644" s="296"/>
      <c r="D644" s="298"/>
      <c r="E644" s="298"/>
      <c r="F644" s="296"/>
      <c r="G644" s="296"/>
      <c r="H644" s="296"/>
      <c r="I644" s="296"/>
      <c r="J644" s="296"/>
      <c r="K644" s="296"/>
      <c r="L644" s="296"/>
      <c r="M644" s="299"/>
      <c r="N644" s="299"/>
      <c r="O644" s="299"/>
      <c r="P644" s="299"/>
      <c r="Q644" s="299"/>
      <c r="R644" s="299"/>
      <c r="S644" s="299"/>
      <c r="T644" s="299"/>
      <c r="U644" s="299"/>
      <c r="V644" s="299"/>
      <c r="W644" s="299"/>
      <c r="X644" s="299"/>
      <c r="Y644" s="299"/>
      <c r="Z644" s="299"/>
      <c r="AA644" s="299"/>
      <c r="AB644" s="299"/>
      <c r="AC644" s="300"/>
      <c r="AD644" s="300"/>
    </row>
    <row r="645" spans="1:30" ht="12.75" customHeight="1" x14ac:dyDescent="0.2">
      <c r="A645" s="296"/>
      <c r="B645" s="296"/>
      <c r="C645" s="296"/>
      <c r="D645" s="298"/>
      <c r="E645" s="298"/>
      <c r="F645" s="296"/>
      <c r="G645" s="296"/>
      <c r="H645" s="296"/>
      <c r="I645" s="296"/>
      <c r="J645" s="296"/>
      <c r="K645" s="296"/>
      <c r="L645" s="296"/>
      <c r="M645" s="299"/>
      <c r="N645" s="299"/>
      <c r="O645" s="299"/>
      <c r="P645" s="299"/>
      <c r="Q645" s="299"/>
      <c r="R645" s="299"/>
      <c r="S645" s="299"/>
      <c r="T645" s="299"/>
      <c r="U645" s="299"/>
      <c r="V645" s="299"/>
      <c r="W645" s="299"/>
      <c r="X645" s="299"/>
      <c r="Y645" s="299"/>
      <c r="Z645" s="299"/>
      <c r="AA645" s="299"/>
      <c r="AB645" s="299"/>
      <c r="AC645" s="300"/>
      <c r="AD645" s="300"/>
    </row>
    <row r="646" spans="1:30" ht="12.75" customHeight="1" x14ac:dyDescent="0.2">
      <c r="A646" s="296"/>
      <c r="B646" s="296"/>
      <c r="C646" s="296"/>
      <c r="D646" s="298"/>
      <c r="E646" s="298"/>
      <c r="F646" s="296"/>
      <c r="G646" s="296"/>
      <c r="H646" s="296"/>
      <c r="I646" s="296"/>
      <c r="J646" s="296"/>
      <c r="K646" s="296"/>
      <c r="L646" s="296"/>
      <c r="M646" s="299"/>
      <c r="N646" s="299"/>
      <c r="O646" s="299"/>
      <c r="P646" s="299"/>
      <c r="Q646" s="299"/>
      <c r="R646" s="299"/>
      <c r="S646" s="299"/>
      <c r="T646" s="299"/>
      <c r="U646" s="299"/>
      <c r="V646" s="299"/>
      <c r="W646" s="299"/>
      <c r="X646" s="299"/>
      <c r="Y646" s="299"/>
      <c r="Z646" s="299"/>
      <c r="AA646" s="299"/>
      <c r="AB646" s="299"/>
      <c r="AC646" s="300"/>
      <c r="AD646" s="300"/>
    </row>
    <row r="647" spans="1:30" ht="12.75" customHeight="1" x14ac:dyDescent="0.2">
      <c r="A647" s="296"/>
      <c r="B647" s="296"/>
      <c r="C647" s="296"/>
      <c r="D647" s="298"/>
      <c r="E647" s="298"/>
      <c r="F647" s="296"/>
      <c r="G647" s="296"/>
      <c r="H647" s="296"/>
      <c r="I647" s="296"/>
      <c r="J647" s="296"/>
      <c r="K647" s="296"/>
      <c r="L647" s="296"/>
      <c r="M647" s="299"/>
      <c r="N647" s="299"/>
      <c r="O647" s="299"/>
      <c r="P647" s="299"/>
      <c r="Q647" s="299"/>
      <c r="R647" s="299"/>
      <c r="S647" s="299"/>
      <c r="T647" s="299"/>
      <c r="U647" s="299"/>
      <c r="V647" s="299"/>
      <c r="W647" s="299"/>
      <c r="X647" s="299"/>
      <c r="Y647" s="299"/>
      <c r="Z647" s="299"/>
      <c r="AA647" s="299"/>
      <c r="AB647" s="299"/>
      <c r="AC647" s="300"/>
      <c r="AD647" s="300"/>
    </row>
    <row r="648" spans="1:30" ht="12.75" customHeight="1" x14ac:dyDescent="0.2">
      <c r="A648" s="296"/>
      <c r="B648" s="296"/>
      <c r="C648" s="296"/>
      <c r="D648" s="298"/>
      <c r="E648" s="298"/>
      <c r="F648" s="296"/>
      <c r="G648" s="296"/>
      <c r="H648" s="296"/>
      <c r="I648" s="296"/>
      <c r="J648" s="296"/>
      <c r="K648" s="296"/>
      <c r="L648" s="296"/>
      <c r="M648" s="299"/>
      <c r="N648" s="299"/>
      <c r="O648" s="299"/>
      <c r="P648" s="299"/>
      <c r="Q648" s="299"/>
      <c r="R648" s="299"/>
      <c r="S648" s="299"/>
      <c r="T648" s="299"/>
      <c r="U648" s="299"/>
      <c r="V648" s="299"/>
      <c r="W648" s="299"/>
      <c r="X648" s="299"/>
      <c r="Y648" s="299"/>
      <c r="Z648" s="299"/>
      <c r="AA648" s="299"/>
      <c r="AB648" s="299"/>
      <c r="AC648" s="300"/>
      <c r="AD648" s="300"/>
    </row>
    <row r="649" spans="1:30" ht="12.75" customHeight="1" x14ac:dyDescent="0.2">
      <c r="A649" s="296"/>
      <c r="B649" s="296"/>
      <c r="C649" s="296"/>
      <c r="D649" s="298"/>
      <c r="E649" s="298"/>
      <c r="F649" s="296"/>
      <c r="G649" s="296"/>
      <c r="H649" s="296"/>
      <c r="I649" s="296"/>
      <c r="J649" s="296"/>
      <c r="K649" s="296"/>
      <c r="L649" s="296"/>
      <c r="M649" s="299"/>
      <c r="N649" s="299"/>
      <c r="O649" s="299"/>
      <c r="P649" s="299"/>
      <c r="Q649" s="299"/>
      <c r="R649" s="299"/>
      <c r="S649" s="299"/>
      <c r="T649" s="299"/>
      <c r="U649" s="299"/>
      <c r="V649" s="299"/>
      <c r="W649" s="299"/>
      <c r="X649" s="299"/>
      <c r="Y649" s="299"/>
      <c r="Z649" s="299"/>
      <c r="AA649" s="299"/>
      <c r="AB649" s="299"/>
      <c r="AC649" s="300"/>
      <c r="AD649" s="300"/>
    </row>
    <row r="650" spans="1:30" ht="12.75" customHeight="1" x14ac:dyDescent="0.2">
      <c r="A650" s="296"/>
      <c r="B650" s="296"/>
      <c r="C650" s="296"/>
      <c r="D650" s="298"/>
      <c r="E650" s="298"/>
      <c r="F650" s="296"/>
      <c r="G650" s="296"/>
      <c r="H650" s="296"/>
      <c r="I650" s="296"/>
      <c r="J650" s="296"/>
      <c r="K650" s="296"/>
      <c r="L650" s="296"/>
      <c r="M650" s="299"/>
      <c r="N650" s="299"/>
      <c r="O650" s="299"/>
      <c r="P650" s="299"/>
      <c r="Q650" s="299"/>
      <c r="R650" s="299"/>
      <c r="S650" s="299"/>
      <c r="T650" s="299"/>
      <c r="U650" s="299"/>
      <c r="V650" s="299"/>
      <c r="W650" s="299"/>
      <c r="X650" s="299"/>
      <c r="Y650" s="299"/>
      <c r="Z650" s="299"/>
      <c r="AA650" s="299"/>
      <c r="AB650" s="299"/>
      <c r="AC650" s="300"/>
      <c r="AD650" s="300"/>
    </row>
    <row r="651" spans="1:30" ht="12.75" customHeight="1" x14ac:dyDescent="0.2">
      <c r="A651" s="296"/>
      <c r="B651" s="296"/>
      <c r="C651" s="296"/>
      <c r="D651" s="298"/>
      <c r="E651" s="298"/>
      <c r="F651" s="296"/>
      <c r="G651" s="296"/>
      <c r="H651" s="296"/>
      <c r="I651" s="296"/>
      <c r="J651" s="296"/>
      <c r="K651" s="296"/>
      <c r="L651" s="296"/>
      <c r="M651" s="299"/>
      <c r="N651" s="299"/>
      <c r="O651" s="299"/>
      <c r="P651" s="299"/>
      <c r="Q651" s="299"/>
      <c r="R651" s="299"/>
      <c r="S651" s="299"/>
      <c r="T651" s="299"/>
      <c r="U651" s="299"/>
      <c r="V651" s="299"/>
      <c r="W651" s="299"/>
      <c r="X651" s="299"/>
      <c r="Y651" s="299"/>
      <c r="Z651" s="299"/>
      <c r="AA651" s="299"/>
      <c r="AB651" s="299"/>
      <c r="AC651" s="300"/>
      <c r="AD651" s="300"/>
    </row>
    <row r="652" spans="1:30" ht="12.75" customHeight="1" x14ac:dyDescent="0.2">
      <c r="A652" s="296"/>
      <c r="B652" s="296"/>
      <c r="C652" s="296"/>
      <c r="D652" s="298"/>
      <c r="E652" s="298"/>
      <c r="F652" s="296"/>
      <c r="G652" s="296"/>
      <c r="H652" s="296"/>
      <c r="I652" s="296"/>
      <c r="J652" s="296"/>
      <c r="K652" s="296"/>
      <c r="L652" s="296"/>
      <c r="M652" s="299"/>
      <c r="N652" s="299"/>
      <c r="O652" s="299"/>
      <c r="P652" s="299"/>
      <c r="Q652" s="299"/>
      <c r="R652" s="299"/>
      <c r="S652" s="299"/>
      <c r="T652" s="299"/>
      <c r="U652" s="299"/>
      <c r="V652" s="299"/>
      <c r="W652" s="299"/>
      <c r="X652" s="299"/>
      <c r="Y652" s="299"/>
      <c r="Z652" s="299"/>
      <c r="AA652" s="299"/>
      <c r="AB652" s="299"/>
      <c r="AC652" s="300"/>
      <c r="AD652" s="300"/>
    </row>
    <row r="653" spans="1:30" ht="12.75" customHeight="1" x14ac:dyDescent="0.2">
      <c r="A653" s="296"/>
      <c r="B653" s="296"/>
      <c r="C653" s="296"/>
      <c r="D653" s="298"/>
      <c r="E653" s="298"/>
      <c r="F653" s="296"/>
      <c r="G653" s="296"/>
      <c r="H653" s="296"/>
      <c r="I653" s="296"/>
      <c r="J653" s="296"/>
      <c r="K653" s="296"/>
      <c r="L653" s="296"/>
      <c r="M653" s="299"/>
      <c r="N653" s="299"/>
      <c r="O653" s="299"/>
      <c r="P653" s="299"/>
      <c r="Q653" s="299"/>
      <c r="R653" s="299"/>
      <c r="S653" s="299"/>
      <c r="T653" s="299"/>
      <c r="U653" s="299"/>
      <c r="V653" s="299"/>
      <c r="W653" s="299"/>
      <c r="X653" s="299"/>
      <c r="Y653" s="299"/>
      <c r="Z653" s="299"/>
      <c r="AA653" s="299"/>
      <c r="AB653" s="299"/>
      <c r="AC653" s="300"/>
      <c r="AD653" s="300"/>
    </row>
    <row r="654" spans="1:30" ht="12.75" customHeight="1" x14ac:dyDescent="0.2">
      <c r="A654" s="296"/>
      <c r="B654" s="296"/>
      <c r="C654" s="296"/>
      <c r="D654" s="298"/>
      <c r="E654" s="298"/>
      <c r="F654" s="296"/>
      <c r="G654" s="296"/>
      <c r="H654" s="296"/>
      <c r="I654" s="296"/>
      <c r="J654" s="296"/>
      <c r="K654" s="296"/>
      <c r="L654" s="296"/>
      <c r="M654" s="299"/>
      <c r="N654" s="299"/>
      <c r="O654" s="299"/>
      <c r="P654" s="299"/>
      <c r="Q654" s="299"/>
      <c r="R654" s="299"/>
      <c r="S654" s="299"/>
      <c r="T654" s="299"/>
      <c r="U654" s="299"/>
      <c r="V654" s="299"/>
      <c r="W654" s="299"/>
      <c r="X654" s="299"/>
      <c r="Y654" s="299"/>
      <c r="Z654" s="299"/>
      <c r="AA654" s="299"/>
      <c r="AB654" s="299"/>
      <c r="AC654" s="300"/>
      <c r="AD654" s="300"/>
    </row>
    <row r="655" spans="1:30" ht="12.75" customHeight="1" x14ac:dyDescent="0.2">
      <c r="A655" s="296"/>
      <c r="B655" s="296"/>
      <c r="C655" s="296"/>
      <c r="D655" s="298"/>
      <c r="E655" s="298"/>
      <c r="F655" s="296"/>
      <c r="G655" s="296"/>
      <c r="H655" s="296"/>
      <c r="I655" s="296"/>
      <c r="J655" s="296"/>
      <c r="K655" s="296"/>
      <c r="L655" s="296"/>
      <c r="M655" s="299"/>
      <c r="N655" s="299"/>
      <c r="O655" s="299"/>
      <c r="P655" s="299"/>
      <c r="Q655" s="299"/>
      <c r="R655" s="299"/>
      <c r="S655" s="299"/>
      <c r="T655" s="299"/>
      <c r="U655" s="299"/>
      <c r="V655" s="299"/>
      <c r="W655" s="299"/>
      <c r="X655" s="299"/>
      <c r="Y655" s="299"/>
      <c r="Z655" s="299"/>
      <c r="AA655" s="299"/>
      <c r="AB655" s="299"/>
      <c r="AC655" s="300"/>
      <c r="AD655" s="300"/>
    </row>
    <row r="656" spans="1:30" ht="12.75" customHeight="1" x14ac:dyDescent="0.2">
      <c r="A656" s="296"/>
      <c r="B656" s="296"/>
      <c r="C656" s="296"/>
      <c r="D656" s="298"/>
      <c r="E656" s="298"/>
      <c r="F656" s="296"/>
      <c r="G656" s="296"/>
      <c r="H656" s="296"/>
      <c r="I656" s="296"/>
      <c r="J656" s="296"/>
      <c r="K656" s="296"/>
      <c r="L656" s="296"/>
      <c r="M656" s="299"/>
      <c r="N656" s="299"/>
      <c r="O656" s="299"/>
      <c r="P656" s="299"/>
      <c r="Q656" s="299"/>
      <c r="R656" s="299"/>
      <c r="S656" s="299"/>
      <c r="T656" s="299"/>
      <c r="U656" s="299"/>
      <c r="V656" s="299"/>
      <c r="W656" s="299"/>
      <c r="X656" s="299"/>
      <c r="Y656" s="299"/>
      <c r="Z656" s="299"/>
      <c r="AA656" s="299"/>
      <c r="AB656" s="299"/>
      <c r="AC656" s="300"/>
      <c r="AD656" s="300"/>
    </row>
    <row r="657" spans="1:30" ht="12.75" customHeight="1" x14ac:dyDescent="0.2">
      <c r="A657" s="296"/>
      <c r="B657" s="296"/>
      <c r="C657" s="296"/>
      <c r="D657" s="298"/>
      <c r="E657" s="298"/>
      <c r="F657" s="296"/>
      <c r="G657" s="296"/>
      <c r="H657" s="296"/>
      <c r="I657" s="296"/>
      <c r="J657" s="296"/>
      <c r="K657" s="296"/>
      <c r="L657" s="296"/>
      <c r="M657" s="299"/>
      <c r="N657" s="299"/>
      <c r="O657" s="299"/>
      <c r="P657" s="299"/>
      <c r="Q657" s="299"/>
      <c r="R657" s="299"/>
      <c r="S657" s="299"/>
      <c r="T657" s="299"/>
      <c r="U657" s="299"/>
      <c r="V657" s="299"/>
      <c r="W657" s="299"/>
      <c r="X657" s="299"/>
      <c r="Y657" s="299"/>
      <c r="Z657" s="299"/>
      <c r="AA657" s="299"/>
      <c r="AB657" s="299"/>
      <c r="AC657" s="300"/>
      <c r="AD657" s="300"/>
    </row>
    <row r="658" spans="1:30" ht="12.75" customHeight="1" x14ac:dyDescent="0.2">
      <c r="A658" s="296"/>
      <c r="B658" s="296"/>
      <c r="C658" s="296"/>
      <c r="D658" s="298"/>
      <c r="E658" s="298"/>
      <c r="F658" s="296"/>
      <c r="G658" s="296"/>
      <c r="H658" s="296"/>
      <c r="I658" s="296"/>
      <c r="J658" s="296"/>
      <c r="K658" s="296"/>
      <c r="L658" s="296"/>
      <c r="M658" s="299"/>
      <c r="N658" s="299"/>
      <c r="O658" s="299"/>
      <c r="P658" s="299"/>
      <c r="Q658" s="299"/>
      <c r="R658" s="299"/>
      <c r="S658" s="299"/>
      <c r="T658" s="299"/>
      <c r="U658" s="299"/>
      <c r="V658" s="299"/>
      <c r="W658" s="299"/>
      <c r="X658" s="299"/>
      <c r="Y658" s="299"/>
      <c r="Z658" s="299"/>
      <c r="AA658" s="299"/>
      <c r="AB658" s="299"/>
      <c r="AC658" s="300"/>
      <c r="AD658" s="300"/>
    </row>
    <row r="659" spans="1:30" ht="12.75" customHeight="1" x14ac:dyDescent="0.2">
      <c r="A659" s="296"/>
      <c r="B659" s="296"/>
      <c r="C659" s="296"/>
      <c r="D659" s="298"/>
      <c r="E659" s="298"/>
      <c r="F659" s="296"/>
      <c r="G659" s="296"/>
      <c r="H659" s="296"/>
      <c r="I659" s="296"/>
      <c r="J659" s="296"/>
      <c r="K659" s="296"/>
      <c r="L659" s="296"/>
      <c r="M659" s="299"/>
      <c r="N659" s="299"/>
      <c r="O659" s="299"/>
      <c r="P659" s="299"/>
      <c r="Q659" s="299"/>
      <c r="R659" s="299"/>
      <c r="S659" s="299"/>
      <c r="T659" s="299"/>
      <c r="U659" s="299"/>
      <c r="V659" s="299"/>
      <c r="W659" s="299"/>
      <c r="X659" s="299"/>
      <c r="Y659" s="299"/>
      <c r="Z659" s="299"/>
      <c r="AA659" s="299"/>
      <c r="AB659" s="299"/>
      <c r="AC659" s="300"/>
      <c r="AD659" s="300"/>
    </row>
    <row r="660" spans="1:30" ht="12.75" customHeight="1" x14ac:dyDescent="0.2">
      <c r="A660" s="296"/>
      <c r="B660" s="296"/>
      <c r="C660" s="296"/>
      <c r="D660" s="298"/>
      <c r="E660" s="298"/>
      <c r="F660" s="296"/>
      <c r="G660" s="296"/>
      <c r="H660" s="296"/>
      <c r="I660" s="296"/>
      <c r="J660" s="296"/>
      <c r="K660" s="296"/>
      <c r="L660" s="296"/>
      <c r="M660" s="299"/>
      <c r="N660" s="299"/>
      <c r="O660" s="299"/>
      <c r="P660" s="299"/>
      <c r="Q660" s="299"/>
      <c r="R660" s="299"/>
      <c r="S660" s="299"/>
      <c r="T660" s="299"/>
      <c r="U660" s="299"/>
      <c r="V660" s="299"/>
      <c r="W660" s="299"/>
      <c r="X660" s="299"/>
      <c r="Y660" s="299"/>
      <c r="Z660" s="299"/>
      <c r="AA660" s="299"/>
      <c r="AB660" s="299"/>
      <c r="AC660" s="300"/>
      <c r="AD660" s="300"/>
    </row>
    <row r="661" spans="1:30" ht="12.75" customHeight="1" x14ac:dyDescent="0.2">
      <c r="A661" s="296"/>
      <c r="B661" s="296"/>
      <c r="C661" s="296"/>
      <c r="D661" s="298"/>
      <c r="E661" s="298"/>
      <c r="F661" s="296"/>
      <c r="G661" s="296"/>
      <c r="H661" s="296"/>
      <c r="I661" s="296"/>
      <c r="J661" s="296"/>
      <c r="K661" s="296"/>
      <c r="L661" s="296"/>
      <c r="M661" s="299"/>
      <c r="N661" s="299"/>
      <c r="O661" s="299"/>
      <c r="P661" s="299"/>
      <c r="Q661" s="299"/>
      <c r="R661" s="299"/>
      <c r="S661" s="299"/>
      <c r="T661" s="299"/>
      <c r="U661" s="299"/>
      <c r="V661" s="299"/>
      <c r="W661" s="299"/>
      <c r="X661" s="299"/>
      <c r="Y661" s="299"/>
      <c r="Z661" s="299"/>
      <c r="AA661" s="299"/>
      <c r="AB661" s="299"/>
      <c r="AC661" s="300"/>
      <c r="AD661" s="300"/>
    </row>
    <row r="662" spans="1:30" ht="12.75" customHeight="1" x14ac:dyDescent="0.2">
      <c r="A662" s="296"/>
      <c r="B662" s="296"/>
      <c r="C662" s="296"/>
      <c r="D662" s="298"/>
      <c r="E662" s="298"/>
      <c r="F662" s="296"/>
      <c r="G662" s="296"/>
      <c r="H662" s="296"/>
      <c r="I662" s="296"/>
      <c r="J662" s="296"/>
      <c r="K662" s="296"/>
      <c r="L662" s="296"/>
      <c r="M662" s="299"/>
      <c r="N662" s="299"/>
      <c r="O662" s="299"/>
      <c r="P662" s="299"/>
      <c r="Q662" s="299"/>
      <c r="R662" s="299"/>
      <c r="S662" s="299"/>
      <c r="T662" s="299"/>
      <c r="U662" s="299"/>
      <c r="V662" s="299"/>
      <c r="W662" s="299"/>
      <c r="X662" s="299"/>
      <c r="Y662" s="299"/>
      <c r="Z662" s="299"/>
      <c r="AA662" s="299"/>
      <c r="AB662" s="299"/>
      <c r="AC662" s="300"/>
      <c r="AD662" s="300"/>
    </row>
    <row r="663" spans="1:30" ht="12.75" customHeight="1" x14ac:dyDescent="0.2">
      <c r="A663" s="296"/>
      <c r="B663" s="296"/>
      <c r="C663" s="296"/>
      <c r="D663" s="298"/>
      <c r="E663" s="298"/>
      <c r="F663" s="296"/>
      <c r="G663" s="296"/>
      <c r="H663" s="296"/>
      <c r="I663" s="296"/>
      <c r="J663" s="296"/>
      <c r="K663" s="296"/>
      <c r="L663" s="296"/>
      <c r="M663" s="299"/>
      <c r="N663" s="299"/>
      <c r="O663" s="299"/>
      <c r="P663" s="299"/>
      <c r="Q663" s="299"/>
      <c r="R663" s="299"/>
      <c r="S663" s="299"/>
      <c r="T663" s="299"/>
      <c r="U663" s="299"/>
      <c r="V663" s="299"/>
      <c r="W663" s="299"/>
      <c r="X663" s="299"/>
      <c r="Y663" s="299"/>
      <c r="Z663" s="299"/>
      <c r="AA663" s="299"/>
      <c r="AB663" s="299"/>
      <c r="AC663" s="300"/>
      <c r="AD663" s="300"/>
    </row>
    <row r="664" spans="1:30" ht="12.75" customHeight="1" x14ac:dyDescent="0.2">
      <c r="A664" s="296"/>
      <c r="B664" s="296"/>
      <c r="C664" s="296"/>
      <c r="D664" s="298"/>
      <c r="E664" s="298"/>
      <c r="F664" s="296"/>
      <c r="G664" s="296"/>
      <c r="H664" s="296"/>
      <c r="I664" s="296"/>
      <c r="J664" s="296"/>
      <c r="K664" s="296"/>
      <c r="L664" s="296"/>
      <c r="M664" s="299"/>
      <c r="N664" s="299"/>
      <c r="O664" s="299"/>
      <c r="P664" s="299"/>
      <c r="Q664" s="299"/>
      <c r="R664" s="299"/>
      <c r="S664" s="299"/>
      <c r="T664" s="299"/>
      <c r="U664" s="299"/>
      <c r="V664" s="299"/>
      <c r="W664" s="299"/>
      <c r="X664" s="299"/>
      <c r="Y664" s="299"/>
      <c r="Z664" s="299"/>
      <c r="AA664" s="299"/>
      <c r="AB664" s="299"/>
      <c r="AC664" s="300"/>
      <c r="AD664" s="300"/>
    </row>
    <row r="665" spans="1:30" ht="12.75" customHeight="1" x14ac:dyDescent="0.2">
      <c r="A665" s="296"/>
      <c r="B665" s="296"/>
      <c r="C665" s="296"/>
      <c r="D665" s="298"/>
      <c r="E665" s="298"/>
      <c r="F665" s="296"/>
      <c r="G665" s="296"/>
      <c r="H665" s="296"/>
      <c r="I665" s="296"/>
      <c r="J665" s="296"/>
      <c r="K665" s="296"/>
      <c r="L665" s="296"/>
      <c r="M665" s="299"/>
      <c r="N665" s="299"/>
      <c r="O665" s="299"/>
      <c r="P665" s="299"/>
      <c r="Q665" s="299"/>
      <c r="R665" s="299"/>
      <c r="S665" s="299"/>
      <c r="T665" s="299"/>
      <c r="U665" s="299"/>
      <c r="V665" s="299"/>
      <c r="W665" s="299"/>
      <c r="X665" s="299"/>
      <c r="Y665" s="299"/>
      <c r="Z665" s="299"/>
      <c r="AA665" s="299"/>
      <c r="AB665" s="299"/>
      <c r="AC665" s="300"/>
      <c r="AD665" s="300"/>
    </row>
    <row r="666" spans="1:30" ht="12.75" customHeight="1" x14ac:dyDescent="0.2">
      <c r="A666" s="296"/>
      <c r="B666" s="296"/>
      <c r="C666" s="296"/>
      <c r="D666" s="298"/>
      <c r="E666" s="298"/>
      <c r="F666" s="296"/>
      <c r="G666" s="296"/>
      <c r="H666" s="296"/>
      <c r="I666" s="296"/>
      <c r="J666" s="296"/>
      <c r="K666" s="296"/>
      <c r="L666" s="296"/>
      <c r="M666" s="299"/>
      <c r="N666" s="299"/>
      <c r="O666" s="299"/>
      <c r="P666" s="299"/>
      <c r="Q666" s="299"/>
      <c r="R666" s="299"/>
      <c r="S666" s="299"/>
      <c r="T666" s="299"/>
      <c r="U666" s="299"/>
      <c r="V666" s="299"/>
      <c r="W666" s="299"/>
      <c r="X666" s="299"/>
      <c r="Y666" s="299"/>
      <c r="Z666" s="299"/>
      <c r="AA666" s="299"/>
      <c r="AB666" s="299"/>
      <c r="AC666" s="300"/>
      <c r="AD666" s="300"/>
    </row>
    <row r="667" spans="1:30" ht="12.75" customHeight="1" x14ac:dyDescent="0.2">
      <c r="A667" s="296"/>
      <c r="B667" s="296"/>
      <c r="C667" s="296"/>
      <c r="D667" s="298"/>
      <c r="E667" s="298"/>
      <c r="F667" s="296"/>
      <c r="G667" s="296"/>
      <c r="H667" s="296"/>
      <c r="I667" s="296"/>
      <c r="J667" s="296"/>
      <c r="K667" s="296"/>
      <c r="L667" s="296"/>
      <c r="M667" s="299"/>
      <c r="N667" s="299"/>
      <c r="O667" s="299"/>
      <c r="P667" s="299"/>
      <c r="Q667" s="299"/>
      <c r="R667" s="299"/>
      <c r="S667" s="299"/>
      <c r="T667" s="299"/>
      <c r="U667" s="299"/>
      <c r="V667" s="299"/>
      <c r="W667" s="299"/>
      <c r="X667" s="299"/>
      <c r="Y667" s="299"/>
      <c r="Z667" s="299"/>
      <c r="AA667" s="299"/>
      <c r="AB667" s="299"/>
      <c r="AC667" s="300"/>
      <c r="AD667" s="300"/>
    </row>
    <row r="668" spans="1:30" ht="12.75" customHeight="1" x14ac:dyDescent="0.2">
      <c r="A668" s="296"/>
      <c r="B668" s="296"/>
      <c r="C668" s="296"/>
      <c r="D668" s="298"/>
      <c r="E668" s="298"/>
      <c r="F668" s="296"/>
      <c r="G668" s="296"/>
      <c r="H668" s="296"/>
      <c r="I668" s="296"/>
      <c r="J668" s="296"/>
      <c r="K668" s="296"/>
      <c r="L668" s="296"/>
      <c r="M668" s="299"/>
      <c r="N668" s="299"/>
      <c r="O668" s="299"/>
      <c r="P668" s="299"/>
      <c r="Q668" s="299"/>
      <c r="R668" s="299"/>
      <c r="S668" s="299"/>
      <c r="T668" s="299"/>
      <c r="U668" s="299"/>
      <c r="V668" s="299"/>
      <c r="W668" s="299"/>
      <c r="X668" s="299"/>
      <c r="Y668" s="299"/>
      <c r="Z668" s="299"/>
      <c r="AA668" s="299"/>
      <c r="AB668" s="299"/>
      <c r="AC668" s="300"/>
      <c r="AD668" s="300"/>
    </row>
    <row r="669" spans="1:30" ht="12.75" customHeight="1" x14ac:dyDescent="0.2">
      <c r="A669" s="296"/>
      <c r="B669" s="296"/>
      <c r="C669" s="296"/>
      <c r="D669" s="298"/>
      <c r="E669" s="298"/>
      <c r="F669" s="296"/>
      <c r="G669" s="296"/>
      <c r="H669" s="296"/>
      <c r="I669" s="296"/>
      <c r="J669" s="296"/>
      <c r="K669" s="296"/>
      <c r="L669" s="296"/>
      <c r="M669" s="299"/>
      <c r="N669" s="299"/>
      <c r="O669" s="299"/>
      <c r="P669" s="299"/>
      <c r="Q669" s="299"/>
      <c r="R669" s="299"/>
      <c r="S669" s="299"/>
      <c r="T669" s="299"/>
      <c r="U669" s="299"/>
      <c r="V669" s="299"/>
      <c r="W669" s="299"/>
      <c r="X669" s="299"/>
      <c r="Y669" s="299"/>
      <c r="Z669" s="299"/>
      <c r="AA669" s="299"/>
      <c r="AB669" s="299"/>
      <c r="AC669" s="300"/>
      <c r="AD669" s="300"/>
    </row>
    <row r="670" spans="1:30" ht="12.75" customHeight="1" x14ac:dyDescent="0.2">
      <c r="A670" s="296"/>
      <c r="B670" s="296"/>
      <c r="C670" s="296"/>
      <c r="D670" s="298"/>
      <c r="E670" s="298"/>
      <c r="F670" s="296"/>
      <c r="G670" s="296"/>
      <c r="H670" s="296"/>
      <c r="I670" s="296"/>
      <c r="J670" s="296"/>
      <c r="K670" s="296"/>
      <c r="L670" s="296"/>
      <c r="M670" s="299"/>
      <c r="N670" s="299"/>
      <c r="O670" s="299"/>
      <c r="P670" s="299"/>
      <c r="Q670" s="299"/>
      <c r="R670" s="299"/>
      <c r="S670" s="299"/>
      <c r="T670" s="299"/>
      <c r="U670" s="299"/>
      <c r="V670" s="299"/>
      <c r="W670" s="299"/>
      <c r="X670" s="299"/>
      <c r="Y670" s="299"/>
      <c r="Z670" s="299"/>
      <c r="AA670" s="299"/>
      <c r="AB670" s="299"/>
      <c r="AC670" s="300"/>
      <c r="AD670" s="300"/>
    </row>
    <row r="671" spans="1:30" ht="12.75" customHeight="1" x14ac:dyDescent="0.2">
      <c r="A671" s="296"/>
      <c r="B671" s="296"/>
      <c r="C671" s="296"/>
      <c r="D671" s="298"/>
      <c r="E671" s="298"/>
      <c r="F671" s="296"/>
      <c r="G671" s="296"/>
      <c r="H671" s="296"/>
      <c r="I671" s="296"/>
      <c r="J671" s="296"/>
      <c r="K671" s="296"/>
      <c r="L671" s="296"/>
      <c r="M671" s="299"/>
      <c r="N671" s="299"/>
      <c r="O671" s="299"/>
      <c r="P671" s="299"/>
      <c r="Q671" s="299"/>
      <c r="R671" s="299"/>
      <c r="S671" s="299"/>
      <c r="T671" s="299"/>
      <c r="U671" s="299"/>
      <c r="V671" s="299"/>
      <c r="W671" s="299"/>
      <c r="X671" s="299"/>
      <c r="Y671" s="299"/>
      <c r="Z671" s="299"/>
      <c r="AA671" s="299"/>
      <c r="AB671" s="299"/>
      <c r="AC671" s="300"/>
      <c r="AD671" s="300"/>
    </row>
    <row r="672" spans="1:30" ht="12.75" customHeight="1" x14ac:dyDescent="0.2">
      <c r="A672" s="296"/>
      <c r="B672" s="296"/>
      <c r="C672" s="296"/>
      <c r="D672" s="298"/>
      <c r="E672" s="298"/>
      <c r="F672" s="296"/>
      <c r="G672" s="296"/>
      <c r="H672" s="296"/>
      <c r="I672" s="296"/>
      <c r="J672" s="296"/>
      <c r="K672" s="296"/>
      <c r="L672" s="296"/>
      <c r="M672" s="299"/>
      <c r="N672" s="299"/>
      <c r="O672" s="299"/>
      <c r="P672" s="299"/>
      <c r="Q672" s="299"/>
      <c r="R672" s="299"/>
      <c r="S672" s="299"/>
      <c r="T672" s="299"/>
      <c r="U672" s="299"/>
      <c r="V672" s="299"/>
      <c r="W672" s="299"/>
      <c r="X672" s="299"/>
      <c r="Y672" s="299"/>
      <c r="Z672" s="299"/>
      <c r="AA672" s="299"/>
      <c r="AB672" s="299"/>
      <c r="AC672" s="300"/>
      <c r="AD672" s="300"/>
    </row>
    <row r="673" spans="1:30" ht="12.75" customHeight="1" x14ac:dyDescent="0.2">
      <c r="A673" s="296"/>
      <c r="B673" s="296"/>
      <c r="C673" s="296"/>
      <c r="D673" s="298"/>
      <c r="E673" s="298"/>
      <c r="F673" s="296"/>
      <c r="G673" s="296"/>
      <c r="H673" s="296"/>
      <c r="I673" s="296"/>
      <c r="J673" s="296"/>
      <c r="K673" s="296"/>
      <c r="L673" s="296"/>
      <c r="M673" s="299"/>
      <c r="N673" s="299"/>
      <c r="O673" s="299"/>
      <c r="P673" s="299"/>
      <c r="Q673" s="299"/>
      <c r="R673" s="299"/>
      <c r="S673" s="299"/>
      <c r="T673" s="299"/>
      <c r="U673" s="299"/>
      <c r="V673" s="299"/>
      <c r="W673" s="299"/>
      <c r="X673" s="299"/>
      <c r="Y673" s="299"/>
      <c r="Z673" s="299"/>
      <c r="AA673" s="299"/>
      <c r="AB673" s="299"/>
      <c r="AC673" s="300"/>
      <c r="AD673" s="300"/>
    </row>
    <row r="674" spans="1:30" ht="12.75" customHeight="1" x14ac:dyDescent="0.2">
      <c r="A674" s="296"/>
      <c r="B674" s="296"/>
      <c r="C674" s="296"/>
      <c r="D674" s="298"/>
      <c r="E674" s="298"/>
      <c r="F674" s="296"/>
      <c r="G674" s="296"/>
      <c r="H674" s="296"/>
      <c r="I674" s="296"/>
      <c r="J674" s="296"/>
      <c r="K674" s="296"/>
      <c r="L674" s="296"/>
      <c r="M674" s="299"/>
      <c r="N674" s="299"/>
      <c r="O674" s="299"/>
      <c r="P674" s="299"/>
      <c r="Q674" s="299"/>
      <c r="R674" s="299"/>
      <c r="S674" s="299"/>
      <c r="T674" s="299"/>
      <c r="U674" s="299"/>
      <c r="V674" s="299"/>
      <c r="W674" s="299"/>
      <c r="X674" s="299"/>
      <c r="Y674" s="299"/>
      <c r="Z674" s="299"/>
      <c r="AA674" s="299"/>
      <c r="AB674" s="299"/>
      <c r="AC674" s="300"/>
      <c r="AD674" s="300"/>
    </row>
    <row r="675" spans="1:30" ht="12.75" customHeight="1" x14ac:dyDescent="0.2">
      <c r="A675" s="296"/>
      <c r="B675" s="296"/>
      <c r="C675" s="296"/>
      <c r="D675" s="298"/>
      <c r="E675" s="298"/>
      <c r="F675" s="296"/>
      <c r="G675" s="296"/>
      <c r="H675" s="296"/>
      <c r="I675" s="296"/>
      <c r="J675" s="296"/>
      <c r="K675" s="296"/>
      <c r="L675" s="296"/>
      <c r="M675" s="299"/>
      <c r="N675" s="299"/>
      <c r="O675" s="299"/>
      <c r="P675" s="299"/>
      <c r="Q675" s="299"/>
      <c r="R675" s="299"/>
      <c r="S675" s="299"/>
      <c r="T675" s="299"/>
      <c r="U675" s="299"/>
      <c r="V675" s="299"/>
      <c r="W675" s="299"/>
      <c r="X675" s="299"/>
      <c r="Y675" s="299"/>
      <c r="Z675" s="299"/>
      <c r="AA675" s="299"/>
      <c r="AB675" s="299"/>
      <c r="AC675" s="300"/>
      <c r="AD675" s="300"/>
    </row>
    <row r="676" spans="1:30" ht="12.75" customHeight="1" x14ac:dyDescent="0.2">
      <c r="A676" s="296"/>
      <c r="B676" s="296"/>
      <c r="C676" s="296"/>
      <c r="D676" s="298"/>
      <c r="E676" s="298"/>
      <c r="F676" s="296"/>
      <c r="G676" s="296"/>
      <c r="H676" s="296"/>
      <c r="I676" s="296"/>
      <c r="J676" s="296"/>
      <c r="K676" s="296"/>
      <c r="L676" s="296"/>
      <c r="M676" s="299"/>
      <c r="N676" s="299"/>
      <c r="O676" s="299"/>
      <c r="P676" s="299"/>
      <c r="Q676" s="299"/>
      <c r="R676" s="299"/>
      <c r="S676" s="299"/>
      <c r="T676" s="299"/>
      <c r="U676" s="299"/>
      <c r="V676" s="299"/>
      <c r="W676" s="299"/>
      <c r="X676" s="299"/>
      <c r="Y676" s="299"/>
      <c r="Z676" s="299"/>
      <c r="AA676" s="299"/>
      <c r="AB676" s="299"/>
      <c r="AC676" s="300"/>
      <c r="AD676" s="300"/>
    </row>
    <row r="677" spans="1:30" ht="12.75" customHeight="1" x14ac:dyDescent="0.2">
      <c r="A677" s="296"/>
      <c r="B677" s="296"/>
      <c r="C677" s="296"/>
      <c r="D677" s="298"/>
      <c r="E677" s="298"/>
      <c r="F677" s="296"/>
      <c r="G677" s="296"/>
      <c r="H677" s="296"/>
      <c r="I677" s="296"/>
      <c r="J677" s="296"/>
      <c r="K677" s="296"/>
      <c r="L677" s="296"/>
      <c r="M677" s="299"/>
      <c r="N677" s="299"/>
      <c r="O677" s="299"/>
      <c r="P677" s="299"/>
      <c r="Q677" s="299"/>
      <c r="R677" s="299"/>
      <c r="S677" s="299"/>
      <c r="T677" s="299"/>
      <c r="U677" s="299"/>
      <c r="V677" s="299"/>
      <c r="W677" s="299"/>
      <c r="X677" s="299"/>
      <c r="Y677" s="299"/>
      <c r="Z677" s="299"/>
      <c r="AA677" s="299"/>
      <c r="AB677" s="299"/>
      <c r="AC677" s="300"/>
      <c r="AD677" s="300"/>
    </row>
    <row r="678" spans="1:30" ht="12.75" customHeight="1" x14ac:dyDescent="0.2">
      <c r="A678" s="296"/>
      <c r="B678" s="296"/>
      <c r="C678" s="296"/>
      <c r="D678" s="298"/>
      <c r="E678" s="298"/>
      <c r="F678" s="296"/>
      <c r="G678" s="296"/>
      <c r="H678" s="296"/>
      <c r="I678" s="296"/>
      <c r="J678" s="296"/>
      <c r="K678" s="296"/>
      <c r="L678" s="296"/>
      <c r="M678" s="299"/>
      <c r="N678" s="299"/>
      <c r="O678" s="299"/>
      <c r="P678" s="299"/>
      <c r="Q678" s="299"/>
      <c r="R678" s="299"/>
      <c r="S678" s="299"/>
      <c r="T678" s="299"/>
      <c r="U678" s="299"/>
      <c r="V678" s="299"/>
      <c r="W678" s="299"/>
      <c r="X678" s="299"/>
      <c r="Y678" s="299"/>
      <c r="Z678" s="299"/>
      <c r="AA678" s="299"/>
      <c r="AB678" s="299"/>
      <c r="AC678" s="300"/>
      <c r="AD678" s="300"/>
    </row>
    <row r="679" spans="1:30" ht="12.75" customHeight="1" x14ac:dyDescent="0.2">
      <c r="A679" s="296"/>
      <c r="B679" s="296"/>
      <c r="C679" s="296"/>
      <c r="D679" s="298"/>
      <c r="E679" s="298"/>
      <c r="F679" s="296"/>
      <c r="G679" s="296"/>
      <c r="H679" s="296"/>
      <c r="I679" s="296"/>
      <c r="J679" s="296"/>
      <c r="K679" s="296"/>
      <c r="L679" s="296"/>
      <c r="M679" s="299"/>
      <c r="N679" s="299"/>
      <c r="O679" s="299"/>
      <c r="P679" s="299"/>
      <c r="Q679" s="299"/>
      <c r="R679" s="299"/>
      <c r="S679" s="299"/>
      <c r="T679" s="299"/>
      <c r="U679" s="299"/>
      <c r="V679" s="299"/>
      <c r="W679" s="299"/>
      <c r="X679" s="299"/>
      <c r="Y679" s="299"/>
      <c r="Z679" s="299"/>
      <c r="AA679" s="299"/>
      <c r="AB679" s="299"/>
      <c r="AC679" s="300"/>
      <c r="AD679" s="300"/>
    </row>
    <row r="680" spans="1:30" ht="12.75" customHeight="1" x14ac:dyDescent="0.2">
      <c r="A680" s="296"/>
      <c r="B680" s="296"/>
      <c r="C680" s="296"/>
      <c r="D680" s="298"/>
      <c r="E680" s="298"/>
      <c r="F680" s="296"/>
      <c r="G680" s="296"/>
      <c r="H680" s="296"/>
      <c r="I680" s="296"/>
      <c r="J680" s="296"/>
      <c r="K680" s="296"/>
      <c r="L680" s="296"/>
      <c r="M680" s="299"/>
      <c r="N680" s="299"/>
      <c r="O680" s="299"/>
      <c r="P680" s="299"/>
      <c r="Q680" s="299"/>
      <c r="R680" s="299"/>
      <c r="S680" s="299"/>
      <c r="T680" s="299"/>
      <c r="U680" s="299"/>
      <c r="V680" s="299"/>
      <c r="W680" s="299"/>
      <c r="X680" s="299"/>
      <c r="Y680" s="299"/>
      <c r="Z680" s="299"/>
      <c r="AA680" s="299"/>
      <c r="AB680" s="299"/>
      <c r="AC680" s="300"/>
      <c r="AD680" s="300"/>
    </row>
    <row r="681" spans="1:30" ht="12.75" customHeight="1" x14ac:dyDescent="0.2">
      <c r="A681" s="296"/>
      <c r="B681" s="296"/>
      <c r="C681" s="296"/>
      <c r="D681" s="298"/>
      <c r="E681" s="298"/>
      <c r="F681" s="296"/>
      <c r="G681" s="296"/>
      <c r="H681" s="296"/>
      <c r="I681" s="296"/>
      <c r="J681" s="296"/>
      <c r="K681" s="296"/>
      <c r="L681" s="296"/>
      <c r="M681" s="299"/>
      <c r="N681" s="299"/>
      <c r="O681" s="299"/>
      <c r="P681" s="299"/>
      <c r="Q681" s="299"/>
      <c r="R681" s="299"/>
      <c r="S681" s="299"/>
      <c r="T681" s="299"/>
      <c r="U681" s="299"/>
      <c r="V681" s="299"/>
      <c r="W681" s="299"/>
      <c r="X681" s="299"/>
      <c r="Y681" s="299"/>
      <c r="Z681" s="299"/>
      <c r="AA681" s="299"/>
      <c r="AB681" s="299"/>
      <c r="AC681" s="300"/>
      <c r="AD681" s="300"/>
    </row>
    <row r="682" spans="1:30" ht="12.75" customHeight="1" x14ac:dyDescent="0.2">
      <c r="A682" s="296"/>
      <c r="B682" s="296"/>
      <c r="C682" s="296"/>
      <c r="D682" s="298"/>
      <c r="E682" s="298"/>
      <c r="F682" s="296"/>
      <c r="G682" s="296"/>
      <c r="H682" s="296"/>
      <c r="I682" s="296"/>
      <c r="J682" s="296"/>
      <c r="K682" s="296"/>
      <c r="L682" s="296"/>
      <c r="M682" s="299"/>
      <c r="N682" s="299"/>
      <c r="O682" s="299"/>
      <c r="P682" s="299"/>
      <c r="Q682" s="299"/>
      <c r="R682" s="299"/>
      <c r="S682" s="299"/>
      <c r="T682" s="299"/>
      <c r="U682" s="299"/>
      <c r="V682" s="299"/>
      <c r="W682" s="299"/>
      <c r="X682" s="299"/>
      <c r="Y682" s="299"/>
      <c r="Z682" s="299"/>
      <c r="AA682" s="299"/>
      <c r="AB682" s="299"/>
      <c r="AC682" s="300"/>
      <c r="AD682" s="300"/>
    </row>
    <row r="683" spans="1:30" ht="12.75" customHeight="1" x14ac:dyDescent="0.2">
      <c r="A683" s="296"/>
      <c r="B683" s="296"/>
      <c r="C683" s="296"/>
      <c r="D683" s="298"/>
      <c r="E683" s="298"/>
      <c r="F683" s="296"/>
      <c r="G683" s="296"/>
      <c r="H683" s="296"/>
      <c r="I683" s="296"/>
      <c r="J683" s="296"/>
      <c r="K683" s="296"/>
      <c r="L683" s="296"/>
      <c r="M683" s="299"/>
      <c r="N683" s="299"/>
      <c r="O683" s="299"/>
      <c r="P683" s="299"/>
      <c r="Q683" s="299"/>
      <c r="R683" s="299"/>
      <c r="S683" s="299"/>
      <c r="T683" s="299"/>
      <c r="U683" s="299"/>
      <c r="V683" s="299"/>
      <c r="W683" s="299"/>
      <c r="X683" s="299"/>
      <c r="Y683" s="299"/>
      <c r="Z683" s="299"/>
      <c r="AA683" s="299"/>
      <c r="AB683" s="299"/>
      <c r="AC683" s="300"/>
      <c r="AD683" s="300"/>
    </row>
    <row r="684" spans="1:30" ht="12.75" customHeight="1" x14ac:dyDescent="0.2">
      <c r="A684" s="296"/>
      <c r="B684" s="296"/>
      <c r="C684" s="296"/>
      <c r="D684" s="298"/>
      <c r="E684" s="298"/>
      <c r="F684" s="296"/>
      <c r="G684" s="296"/>
      <c r="H684" s="296"/>
      <c r="I684" s="296"/>
      <c r="J684" s="296"/>
      <c r="K684" s="296"/>
      <c r="L684" s="296"/>
      <c r="M684" s="299"/>
      <c r="N684" s="299"/>
      <c r="O684" s="299"/>
      <c r="P684" s="299"/>
      <c r="Q684" s="299"/>
      <c r="R684" s="299"/>
      <c r="S684" s="299"/>
      <c r="T684" s="299"/>
      <c r="U684" s="299"/>
      <c r="V684" s="299"/>
      <c r="W684" s="299"/>
      <c r="X684" s="299"/>
      <c r="Y684" s="299"/>
      <c r="Z684" s="299"/>
      <c r="AA684" s="299"/>
      <c r="AB684" s="299"/>
      <c r="AC684" s="300"/>
      <c r="AD684" s="300"/>
    </row>
    <row r="685" spans="1:30" ht="12.75" customHeight="1" x14ac:dyDescent="0.2">
      <c r="A685" s="296"/>
      <c r="B685" s="296"/>
      <c r="C685" s="296"/>
      <c r="D685" s="298"/>
      <c r="E685" s="298"/>
      <c r="F685" s="296"/>
      <c r="G685" s="296"/>
      <c r="H685" s="296"/>
      <c r="I685" s="296"/>
      <c r="J685" s="296"/>
      <c r="K685" s="296"/>
      <c r="L685" s="296"/>
      <c r="M685" s="299"/>
      <c r="N685" s="299"/>
      <c r="O685" s="299"/>
      <c r="P685" s="299"/>
      <c r="Q685" s="299"/>
      <c r="R685" s="299"/>
      <c r="S685" s="299"/>
      <c r="T685" s="299"/>
      <c r="U685" s="299"/>
      <c r="V685" s="299"/>
      <c r="W685" s="299"/>
      <c r="X685" s="299"/>
      <c r="Y685" s="299"/>
      <c r="Z685" s="299"/>
      <c r="AA685" s="299"/>
      <c r="AB685" s="299"/>
      <c r="AC685" s="300"/>
      <c r="AD685" s="300"/>
    </row>
    <row r="686" spans="1:30" ht="12.75" customHeight="1" x14ac:dyDescent="0.2">
      <c r="A686" s="296"/>
      <c r="B686" s="296"/>
      <c r="C686" s="296"/>
      <c r="D686" s="298"/>
      <c r="E686" s="298"/>
      <c r="F686" s="296"/>
      <c r="G686" s="296"/>
      <c r="H686" s="296"/>
      <c r="I686" s="296"/>
      <c r="J686" s="296"/>
      <c r="K686" s="296"/>
      <c r="L686" s="296"/>
      <c r="M686" s="299"/>
      <c r="N686" s="299"/>
      <c r="O686" s="299"/>
      <c r="P686" s="299"/>
      <c r="Q686" s="299"/>
      <c r="R686" s="299"/>
      <c r="S686" s="299"/>
      <c r="T686" s="299"/>
      <c r="U686" s="299"/>
      <c r="V686" s="299"/>
      <c r="W686" s="299"/>
      <c r="X686" s="299"/>
      <c r="Y686" s="299"/>
      <c r="Z686" s="299"/>
      <c r="AA686" s="299"/>
      <c r="AB686" s="299"/>
      <c r="AC686" s="300"/>
      <c r="AD686" s="300"/>
    </row>
    <row r="687" spans="1:30" ht="12.75" customHeight="1" x14ac:dyDescent="0.2">
      <c r="A687" s="296"/>
      <c r="B687" s="296"/>
      <c r="C687" s="296"/>
      <c r="D687" s="298"/>
      <c r="E687" s="298"/>
      <c r="F687" s="296"/>
      <c r="G687" s="296"/>
      <c r="H687" s="296"/>
      <c r="I687" s="296"/>
      <c r="J687" s="296"/>
      <c r="K687" s="296"/>
      <c r="L687" s="296"/>
      <c r="M687" s="299"/>
      <c r="N687" s="299"/>
      <c r="O687" s="299"/>
      <c r="P687" s="299"/>
      <c r="Q687" s="299"/>
      <c r="R687" s="299"/>
      <c r="S687" s="299"/>
      <c r="T687" s="299"/>
      <c r="U687" s="299"/>
      <c r="V687" s="299"/>
      <c r="W687" s="299"/>
      <c r="X687" s="299"/>
      <c r="Y687" s="299"/>
      <c r="Z687" s="299"/>
      <c r="AA687" s="299"/>
      <c r="AB687" s="299"/>
      <c r="AC687" s="300"/>
      <c r="AD687" s="300"/>
    </row>
    <row r="688" spans="1:30" ht="12.75" customHeight="1" x14ac:dyDescent="0.2">
      <c r="A688" s="296"/>
      <c r="B688" s="296"/>
      <c r="C688" s="296"/>
      <c r="D688" s="298"/>
      <c r="E688" s="298"/>
      <c r="F688" s="296"/>
      <c r="G688" s="296"/>
      <c r="H688" s="296"/>
      <c r="I688" s="296"/>
      <c r="J688" s="296"/>
      <c r="K688" s="296"/>
      <c r="L688" s="296"/>
      <c r="M688" s="299"/>
      <c r="N688" s="299"/>
      <c r="O688" s="299"/>
      <c r="P688" s="299"/>
      <c r="Q688" s="299"/>
      <c r="R688" s="299"/>
      <c r="S688" s="299"/>
      <c r="T688" s="299"/>
      <c r="U688" s="299"/>
      <c r="V688" s="299"/>
      <c r="W688" s="299"/>
      <c r="X688" s="299"/>
      <c r="Y688" s="299"/>
      <c r="Z688" s="299"/>
      <c r="AA688" s="299"/>
      <c r="AB688" s="299"/>
      <c r="AC688" s="300"/>
      <c r="AD688" s="300"/>
    </row>
    <row r="689" spans="1:30" ht="12.75" customHeight="1" x14ac:dyDescent="0.2">
      <c r="A689" s="296"/>
      <c r="B689" s="296"/>
      <c r="C689" s="296"/>
      <c r="D689" s="298"/>
      <c r="E689" s="298"/>
      <c r="F689" s="296"/>
      <c r="G689" s="296"/>
      <c r="H689" s="296"/>
      <c r="I689" s="296"/>
      <c r="J689" s="296"/>
      <c r="K689" s="296"/>
      <c r="L689" s="296"/>
      <c r="M689" s="299"/>
      <c r="N689" s="299"/>
      <c r="O689" s="299"/>
      <c r="P689" s="299"/>
      <c r="Q689" s="299"/>
      <c r="R689" s="299"/>
      <c r="S689" s="299"/>
      <c r="T689" s="299"/>
      <c r="U689" s="299"/>
      <c r="V689" s="299"/>
      <c r="W689" s="299"/>
      <c r="X689" s="299"/>
      <c r="Y689" s="299"/>
      <c r="Z689" s="299"/>
      <c r="AA689" s="299"/>
      <c r="AB689" s="299"/>
      <c r="AC689" s="300"/>
      <c r="AD689" s="300"/>
    </row>
    <row r="690" spans="1:30" ht="12.75" customHeight="1" x14ac:dyDescent="0.2">
      <c r="A690" s="296"/>
      <c r="B690" s="296"/>
      <c r="C690" s="296"/>
      <c r="D690" s="298"/>
      <c r="E690" s="298"/>
      <c r="F690" s="296"/>
      <c r="G690" s="296"/>
      <c r="H690" s="296"/>
      <c r="I690" s="296"/>
      <c r="J690" s="296"/>
      <c r="K690" s="296"/>
      <c r="L690" s="296"/>
      <c r="M690" s="299"/>
      <c r="N690" s="299"/>
      <c r="O690" s="299"/>
      <c r="P690" s="299"/>
      <c r="Q690" s="299"/>
      <c r="R690" s="299"/>
      <c r="S690" s="299"/>
      <c r="T690" s="299"/>
      <c r="U690" s="299"/>
      <c r="V690" s="299"/>
      <c r="W690" s="299"/>
      <c r="X690" s="299"/>
      <c r="Y690" s="299"/>
      <c r="Z690" s="299"/>
      <c r="AA690" s="299"/>
      <c r="AB690" s="299"/>
      <c r="AC690" s="300"/>
      <c r="AD690" s="300"/>
    </row>
    <row r="691" spans="1:30" ht="12.75" customHeight="1" x14ac:dyDescent="0.2">
      <c r="A691" s="296"/>
      <c r="B691" s="296"/>
      <c r="C691" s="296"/>
      <c r="D691" s="298"/>
      <c r="E691" s="298"/>
      <c r="F691" s="296"/>
      <c r="G691" s="296"/>
      <c r="H691" s="296"/>
      <c r="I691" s="296"/>
      <c r="J691" s="296"/>
      <c r="K691" s="296"/>
      <c r="L691" s="296"/>
      <c r="M691" s="299"/>
      <c r="N691" s="299"/>
      <c r="O691" s="299"/>
      <c r="P691" s="299"/>
      <c r="Q691" s="299"/>
      <c r="R691" s="299"/>
      <c r="S691" s="299"/>
      <c r="T691" s="299"/>
      <c r="U691" s="299"/>
      <c r="V691" s="299"/>
      <c r="W691" s="299"/>
      <c r="X691" s="299"/>
      <c r="Y691" s="299"/>
      <c r="Z691" s="299"/>
      <c r="AA691" s="299"/>
      <c r="AB691" s="299"/>
      <c r="AC691" s="300"/>
      <c r="AD691" s="300"/>
    </row>
    <row r="692" spans="1:30" ht="12.75" customHeight="1" x14ac:dyDescent="0.2">
      <c r="A692" s="296"/>
      <c r="B692" s="296"/>
      <c r="C692" s="296"/>
      <c r="D692" s="298"/>
      <c r="E692" s="298"/>
      <c r="F692" s="296"/>
      <c r="G692" s="296"/>
      <c r="H692" s="296"/>
      <c r="I692" s="296"/>
      <c r="J692" s="296"/>
      <c r="K692" s="296"/>
      <c r="L692" s="296"/>
      <c r="M692" s="299"/>
      <c r="N692" s="299"/>
      <c r="O692" s="299"/>
      <c r="P692" s="299"/>
      <c r="Q692" s="299"/>
      <c r="R692" s="299"/>
      <c r="S692" s="299"/>
      <c r="T692" s="299"/>
      <c r="U692" s="299"/>
      <c r="V692" s="299"/>
      <c r="W692" s="299"/>
      <c r="X692" s="299"/>
      <c r="Y692" s="299"/>
      <c r="Z692" s="299"/>
      <c r="AA692" s="299"/>
      <c r="AB692" s="299"/>
      <c r="AC692" s="300"/>
      <c r="AD692" s="300"/>
    </row>
    <row r="693" spans="1:30" ht="12.75" customHeight="1" x14ac:dyDescent="0.2">
      <c r="A693" s="296"/>
      <c r="B693" s="296"/>
      <c r="C693" s="296"/>
      <c r="D693" s="298"/>
      <c r="E693" s="298"/>
      <c r="F693" s="296"/>
      <c r="G693" s="296"/>
      <c r="H693" s="296"/>
      <c r="I693" s="296"/>
      <c r="J693" s="296"/>
      <c r="K693" s="296"/>
      <c r="L693" s="296"/>
      <c r="M693" s="299"/>
      <c r="N693" s="299"/>
      <c r="O693" s="299"/>
      <c r="P693" s="299"/>
      <c r="Q693" s="299"/>
      <c r="R693" s="299"/>
      <c r="S693" s="299"/>
      <c r="T693" s="299"/>
      <c r="U693" s="299"/>
      <c r="V693" s="299"/>
      <c r="W693" s="299"/>
      <c r="X693" s="299"/>
      <c r="Y693" s="299"/>
      <c r="Z693" s="299"/>
      <c r="AA693" s="299"/>
      <c r="AB693" s="299"/>
      <c r="AC693" s="300"/>
      <c r="AD693" s="300"/>
    </row>
    <row r="694" spans="1:30" ht="12.75" customHeight="1" x14ac:dyDescent="0.2">
      <c r="A694" s="296"/>
      <c r="B694" s="296"/>
      <c r="C694" s="296"/>
      <c r="D694" s="298"/>
      <c r="E694" s="298"/>
      <c r="F694" s="296"/>
      <c r="G694" s="296"/>
      <c r="H694" s="296"/>
      <c r="I694" s="296"/>
      <c r="J694" s="296"/>
      <c r="K694" s="296"/>
      <c r="L694" s="296"/>
      <c r="M694" s="299"/>
      <c r="N694" s="299"/>
      <c r="O694" s="299"/>
      <c r="P694" s="299"/>
      <c r="Q694" s="299"/>
      <c r="R694" s="299"/>
      <c r="S694" s="299"/>
      <c r="T694" s="299"/>
      <c r="U694" s="299"/>
      <c r="V694" s="299"/>
      <c r="W694" s="299"/>
      <c r="X694" s="299"/>
      <c r="Y694" s="299"/>
      <c r="Z694" s="299"/>
      <c r="AA694" s="299"/>
      <c r="AB694" s="299"/>
      <c r="AC694" s="300"/>
      <c r="AD694" s="300"/>
    </row>
    <row r="695" spans="1:30" ht="12.75" customHeight="1" x14ac:dyDescent="0.2">
      <c r="A695" s="296"/>
      <c r="B695" s="296"/>
      <c r="C695" s="296"/>
      <c r="D695" s="298"/>
      <c r="E695" s="298"/>
      <c r="F695" s="296"/>
      <c r="G695" s="296"/>
      <c r="H695" s="296"/>
      <c r="I695" s="296"/>
      <c r="J695" s="296"/>
      <c r="K695" s="296"/>
      <c r="L695" s="296"/>
      <c r="M695" s="299"/>
      <c r="N695" s="299"/>
      <c r="O695" s="299"/>
      <c r="P695" s="299"/>
      <c r="Q695" s="299"/>
      <c r="R695" s="299"/>
      <c r="S695" s="299"/>
      <c r="T695" s="299"/>
      <c r="U695" s="299"/>
      <c r="V695" s="299"/>
      <c r="W695" s="299"/>
      <c r="X695" s="299"/>
      <c r="Y695" s="299"/>
      <c r="Z695" s="299"/>
      <c r="AA695" s="299"/>
      <c r="AB695" s="299"/>
      <c r="AC695" s="300"/>
      <c r="AD695" s="300"/>
    </row>
    <row r="696" spans="1:30" ht="12.75" customHeight="1" x14ac:dyDescent="0.2">
      <c r="A696" s="296"/>
      <c r="B696" s="296"/>
      <c r="C696" s="296"/>
      <c r="D696" s="298"/>
      <c r="E696" s="298"/>
      <c r="F696" s="296"/>
      <c r="G696" s="296"/>
      <c r="H696" s="296"/>
      <c r="I696" s="296"/>
      <c r="J696" s="296"/>
      <c r="K696" s="296"/>
      <c r="L696" s="296"/>
      <c r="M696" s="299"/>
      <c r="N696" s="299"/>
      <c r="O696" s="299"/>
      <c r="P696" s="299"/>
      <c r="Q696" s="299"/>
      <c r="R696" s="299"/>
      <c r="S696" s="299"/>
      <c r="T696" s="299"/>
      <c r="U696" s="299"/>
      <c r="V696" s="299"/>
      <c r="W696" s="299"/>
      <c r="X696" s="299"/>
      <c r="Y696" s="299"/>
      <c r="Z696" s="299"/>
      <c r="AA696" s="299"/>
      <c r="AB696" s="299"/>
      <c r="AC696" s="300"/>
      <c r="AD696" s="300"/>
    </row>
    <row r="697" spans="1:30" ht="12.75" customHeight="1" x14ac:dyDescent="0.2">
      <c r="A697" s="296"/>
      <c r="B697" s="296"/>
      <c r="C697" s="296"/>
      <c r="D697" s="298"/>
      <c r="E697" s="298"/>
      <c r="F697" s="296"/>
      <c r="G697" s="296"/>
      <c r="H697" s="296"/>
      <c r="I697" s="296"/>
      <c r="J697" s="296"/>
      <c r="K697" s="296"/>
      <c r="L697" s="296"/>
      <c r="M697" s="299"/>
      <c r="N697" s="299"/>
      <c r="O697" s="299"/>
      <c r="P697" s="299"/>
      <c r="Q697" s="299"/>
      <c r="R697" s="299"/>
      <c r="S697" s="299"/>
      <c r="T697" s="299"/>
      <c r="U697" s="299"/>
      <c r="V697" s="299"/>
      <c r="W697" s="299"/>
      <c r="X697" s="299"/>
      <c r="Y697" s="299"/>
      <c r="Z697" s="299"/>
      <c r="AA697" s="299"/>
      <c r="AB697" s="299"/>
      <c r="AC697" s="300"/>
      <c r="AD697" s="300"/>
    </row>
    <row r="698" spans="1:30" ht="12.75" customHeight="1" x14ac:dyDescent="0.2">
      <c r="A698" s="296"/>
      <c r="B698" s="296"/>
      <c r="C698" s="296"/>
      <c r="D698" s="298"/>
      <c r="E698" s="298"/>
      <c r="F698" s="296"/>
      <c r="G698" s="296"/>
      <c r="H698" s="296"/>
      <c r="I698" s="296"/>
      <c r="J698" s="296"/>
      <c r="K698" s="296"/>
      <c r="L698" s="296"/>
      <c r="M698" s="299"/>
      <c r="N698" s="299"/>
      <c r="O698" s="299"/>
      <c r="P698" s="299"/>
      <c r="Q698" s="299"/>
      <c r="R698" s="299"/>
      <c r="S698" s="299"/>
      <c r="T698" s="299"/>
      <c r="U698" s="299"/>
      <c r="V698" s="299"/>
      <c r="W698" s="299"/>
      <c r="X698" s="299"/>
      <c r="Y698" s="299"/>
      <c r="Z698" s="299"/>
      <c r="AA698" s="299"/>
      <c r="AB698" s="299"/>
      <c r="AC698" s="300"/>
      <c r="AD698" s="300"/>
    </row>
    <row r="699" spans="1:30" ht="12.75" customHeight="1" x14ac:dyDescent="0.2">
      <c r="A699" s="296"/>
      <c r="B699" s="296"/>
      <c r="C699" s="296"/>
      <c r="D699" s="298"/>
      <c r="E699" s="298"/>
      <c r="F699" s="296"/>
      <c r="G699" s="296"/>
      <c r="H699" s="296"/>
      <c r="I699" s="296"/>
      <c r="J699" s="296"/>
      <c r="K699" s="296"/>
      <c r="L699" s="296"/>
      <c r="M699" s="299"/>
      <c r="N699" s="299"/>
      <c r="O699" s="299"/>
      <c r="P699" s="299"/>
      <c r="Q699" s="299"/>
      <c r="R699" s="299"/>
      <c r="S699" s="299"/>
      <c r="T699" s="299"/>
      <c r="U699" s="299"/>
      <c r="V699" s="299"/>
      <c r="W699" s="299"/>
      <c r="X699" s="299"/>
      <c r="Y699" s="299"/>
      <c r="Z699" s="299"/>
      <c r="AA699" s="299"/>
      <c r="AB699" s="299"/>
      <c r="AC699" s="300"/>
      <c r="AD699" s="300"/>
    </row>
    <row r="700" spans="1:30" ht="12.75" customHeight="1" x14ac:dyDescent="0.2">
      <c r="A700" s="296"/>
      <c r="B700" s="296"/>
      <c r="C700" s="296"/>
      <c r="D700" s="298"/>
      <c r="E700" s="298"/>
      <c r="F700" s="296"/>
      <c r="G700" s="296"/>
      <c r="H700" s="296"/>
      <c r="I700" s="296"/>
      <c r="J700" s="296"/>
      <c r="K700" s="296"/>
      <c r="L700" s="296"/>
      <c r="M700" s="299"/>
      <c r="N700" s="299"/>
      <c r="O700" s="299"/>
      <c r="P700" s="299"/>
      <c r="Q700" s="299"/>
      <c r="R700" s="299"/>
      <c r="S700" s="299"/>
      <c r="T700" s="299"/>
      <c r="U700" s="299"/>
      <c r="V700" s="299"/>
      <c r="W700" s="299"/>
      <c r="X700" s="299"/>
      <c r="Y700" s="299"/>
      <c r="Z700" s="299"/>
      <c r="AA700" s="299"/>
      <c r="AB700" s="299"/>
      <c r="AC700" s="300"/>
      <c r="AD700" s="300"/>
    </row>
    <row r="701" spans="1:30" ht="12.75" customHeight="1" x14ac:dyDescent="0.2">
      <c r="A701" s="296"/>
      <c r="B701" s="296"/>
      <c r="C701" s="296"/>
      <c r="D701" s="298"/>
      <c r="E701" s="298"/>
      <c r="F701" s="296"/>
      <c r="G701" s="296"/>
      <c r="H701" s="296"/>
      <c r="I701" s="296"/>
      <c r="J701" s="296"/>
      <c r="K701" s="296"/>
      <c r="L701" s="296"/>
      <c r="M701" s="299"/>
      <c r="N701" s="299"/>
      <c r="O701" s="299"/>
      <c r="P701" s="299"/>
      <c r="Q701" s="299"/>
      <c r="R701" s="299"/>
      <c r="S701" s="299"/>
      <c r="T701" s="299"/>
      <c r="U701" s="299"/>
      <c r="V701" s="299"/>
      <c r="W701" s="299"/>
      <c r="X701" s="299"/>
      <c r="Y701" s="299"/>
      <c r="Z701" s="299"/>
      <c r="AA701" s="299"/>
      <c r="AB701" s="299"/>
      <c r="AC701" s="300"/>
      <c r="AD701" s="300"/>
    </row>
    <row r="702" spans="1:30" ht="12.75" customHeight="1" x14ac:dyDescent="0.2">
      <c r="A702" s="296"/>
      <c r="B702" s="296"/>
      <c r="C702" s="296"/>
      <c r="D702" s="298"/>
      <c r="E702" s="298"/>
      <c r="F702" s="296"/>
      <c r="G702" s="296"/>
      <c r="H702" s="296"/>
      <c r="I702" s="296"/>
      <c r="J702" s="296"/>
      <c r="K702" s="296"/>
      <c r="L702" s="296"/>
      <c r="M702" s="299"/>
      <c r="N702" s="299"/>
      <c r="O702" s="299"/>
      <c r="P702" s="299"/>
      <c r="Q702" s="299"/>
      <c r="R702" s="299"/>
      <c r="S702" s="299"/>
      <c r="T702" s="299"/>
      <c r="U702" s="299"/>
      <c r="V702" s="299"/>
      <c r="W702" s="299"/>
      <c r="X702" s="299"/>
      <c r="Y702" s="299"/>
      <c r="Z702" s="299"/>
      <c r="AA702" s="299"/>
      <c r="AB702" s="299"/>
      <c r="AC702" s="300"/>
      <c r="AD702" s="300"/>
    </row>
    <row r="703" spans="1:30" ht="12.75" customHeight="1" x14ac:dyDescent="0.2">
      <c r="A703" s="296"/>
      <c r="B703" s="296"/>
      <c r="C703" s="296"/>
      <c r="D703" s="298"/>
      <c r="E703" s="298"/>
      <c r="F703" s="296"/>
      <c r="G703" s="296"/>
      <c r="H703" s="296"/>
      <c r="I703" s="296"/>
      <c r="J703" s="296"/>
      <c r="K703" s="296"/>
      <c r="L703" s="296"/>
      <c r="M703" s="299"/>
      <c r="N703" s="299"/>
      <c r="O703" s="299"/>
      <c r="P703" s="299"/>
      <c r="Q703" s="299"/>
      <c r="R703" s="299"/>
      <c r="S703" s="299"/>
      <c r="T703" s="299"/>
      <c r="U703" s="299"/>
      <c r="V703" s="299"/>
      <c r="W703" s="299"/>
      <c r="X703" s="299"/>
      <c r="Y703" s="299"/>
      <c r="Z703" s="299"/>
      <c r="AA703" s="299"/>
      <c r="AB703" s="299"/>
      <c r="AC703" s="300"/>
      <c r="AD703" s="300"/>
    </row>
    <row r="704" spans="1:30" ht="12.75" customHeight="1" x14ac:dyDescent="0.2">
      <c r="A704" s="296"/>
      <c r="B704" s="296"/>
      <c r="C704" s="296"/>
      <c r="D704" s="298"/>
      <c r="E704" s="298"/>
      <c r="F704" s="296"/>
      <c r="G704" s="296"/>
      <c r="H704" s="296"/>
      <c r="I704" s="296"/>
      <c r="J704" s="296"/>
      <c r="K704" s="296"/>
      <c r="L704" s="296"/>
      <c r="M704" s="299"/>
      <c r="N704" s="299"/>
      <c r="O704" s="299"/>
      <c r="P704" s="299"/>
      <c r="Q704" s="299"/>
      <c r="R704" s="299"/>
      <c r="S704" s="299"/>
      <c r="T704" s="299"/>
      <c r="U704" s="299"/>
      <c r="V704" s="299"/>
      <c r="W704" s="299"/>
      <c r="X704" s="299"/>
      <c r="Y704" s="299"/>
      <c r="Z704" s="299"/>
      <c r="AA704" s="299"/>
      <c r="AB704" s="299"/>
      <c r="AC704" s="300"/>
      <c r="AD704" s="300"/>
    </row>
    <row r="705" spans="1:30" ht="12.75" customHeight="1" x14ac:dyDescent="0.2">
      <c r="A705" s="296"/>
      <c r="B705" s="296"/>
      <c r="C705" s="296"/>
      <c r="D705" s="298"/>
      <c r="E705" s="298"/>
      <c r="F705" s="296"/>
      <c r="G705" s="296"/>
      <c r="H705" s="296"/>
      <c r="I705" s="296"/>
      <c r="J705" s="296"/>
      <c r="K705" s="296"/>
      <c r="L705" s="296"/>
      <c r="M705" s="299"/>
      <c r="N705" s="299"/>
      <c r="O705" s="299"/>
      <c r="P705" s="299"/>
      <c r="Q705" s="299"/>
      <c r="R705" s="299"/>
      <c r="S705" s="299"/>
      <c r="T705" s="299"/>
      <c r="U705" s="299"/>
      <c r="V705" s="299"/>
      <c r="W705" s="299"/>
      <c r="X705" s="299"/>
      <c r="Y705" s="299"/>
      <c r="Z705" s="299"/>
      <c r="AA705" s="299"/>
      <c r="AB705" s="299"/>
      <c r="AC705" s="300"/>
      <c r="AD705" s="300"/>
    </row>
    <row r="706" spans="1:30" ht="12.75" customHeight="1" x14ac:dyDescent="0.2">
      <c r="A706" s="296"/>
      <c r="B706" s="296"/>
      <c r="C706" s="296"/>
      <c r="D706" s="298"/>
      <c r="E706" s="298"/>
      <c r="F706" s="296"/>
      <c r="G706" s="296"/>
      <c r="H706" s="296"/>
      <c r="I706" s="296"/>
      <c r="J706" s="296"/>
      <c r="K706" s="296"/>
      <c r="L706" s="296"/>
      <c r="M706" s="299"/>
      <c r="N706" s="299"/>
      <c r="O706" s="299"/>
      <c r="P706" s="299"/>
      <c r="Q706" s="299"/>
      <c r="R706" s="299"/>
      <c r="S706" s="299"/>
      <c r="T706" s="299"/>
      <c r="U706" s="299"/>
      <c r="V706" s="299"/>
      <c r="W706" s="299"/>
      <c r="X706" s="299"/>
      <c r="Y706" s="299"/>
      <c r="Z706" s="299"/>
      <c r="AA706" s="299"/>
      <c r="AB706" s="299"/>
      <c r="AC706" s="300"/>
      <c r="AD706" s="300"/>
    </row>
    <row r="707" spans="1:30" ht="12.75" customHeight="1" x14ac:dyDescent="0.2">
      <c r="A707" s="296"/>
      <c r="B707" s="296"/>
      <c r="C707" s="296"/>
      <c r="D707" s="298"/>
      <c r="E707" s="298"/>
      <c r="F707" s="296"/>
      <c r="G707" s="296"/>
      <c r="H707" s="296"/>
      <c r="I707" s="296"/>
      <c r="J707" s="296"/>
      <c r="K707" s="296"/>
      <c r="L707" s="296"/>
      <c r="M707" s="299"/>
      <c r="N707" s="299"/>
      <c r="O707" s="299"/>
      <c r="P707" s="299"/>
      <c r="Q707" s="299"/>
      <c r="R707" s="299"/>
      <c r="S707" s="299"/>
      <c r="T707" s="299"/>
      <c r="U707" s="299"/>
      <c r="V707" s="299"/>
      <c r="W707" s="299"/>
      <c r="X707" s="299"/>
      <c r="Y707" s="299"/>
      <c r="Z707" s="299"/>
      <c r="AA707" s="299"/>
      <c r="AB707" s="299"/>
      <c r="AC707" s="300"/>
      <c r="AD707" s="300"/>
    </row>
    <row r="708" spans="1:30" ht="12.75" customHeight="1" x14ac:dyDescent="0.2">
      <c r="A708" s="296"/>
      <c r="B708" s="296"/>
      <c r="C708" s="296"/>
      <c r="D708" s="298"/>
      <c r="E708" s="298"/>
      <c r="F708" s="296"/>
      <c r="G708" s="296"/>
      <c r="H708" s="296"/>
      <c r="I708" s="296"/>
      <c r="J708" s="296"/>
      <c r="K708" s="296"/>
      <c r="L708" s="296"/>
      <c r="M708" s="299"/>
      <c r="N708" s="299"/>
      <c r="O708" s="299"/>
      <c r="P708" s="299"/>
      <c r="Q708" s="299"/>
      <c r="R708" s="299"/>
      <c r="S708" s="299"/>
      <c r="T708" s="299"/>
      <c r="U708" s="299"/>
      <c r="V708" s="299"/>
      <c r="W708" s="299"/>
      <c r="X708" s="299"/>
      <c r="Y708" s="299"/>
      <c r="Z708" s="299"/>
      <c r="AA708" s="299"/>
      <c r="AB708" s="299"/>
      <c r="AC708" s="300"/>
      <c r="AD708" s="300"/>
    </row>
    <row r="709" spans="1:30" ht="12.75" customHeight="1" x14ac:dyDescent="0.2">
      <c r="A709" s="296"/>
      <c r="B709" s="296"/>
      <c r="C709" s="296"/>
      <c r="D709" s="298"/>
      <c r="E709" s="298"/>
      <c r="F709" s="296"/>
      <c r="G709" s="296"/>
      <c r="H709" s="296"/>
      <c r="I709" s="296"/>
      <c r="J709" s="296"/>
      <c r="K709" s="296"/>
      <c r="L709" s="296"/>
      <c r="M709" s="299"/>
      <c r="N709" s="299"/>
      <c r="O709" s="299"/>
      <c r="P709" s="299"/>
      <c r="Q709" s="299"/>
      <c r="R709" s="299"/>
      <c r="S709" s="299"/>
      <c r="T709" s="299"/>
      <c r="U709" s="299"/>
      <c r="V709" s="299"/>
      <c r="W709" s="299"/>
      <c r="X709" s="299"/>
      <c r="Y709" s="299"/>
      <c r="Z709" s="299"/>
      <c r="AA709" s="299"/>
      <c r="AB709" s="299"/>
      <c r="AC709" s="300"/>
      <c r="AD709" s="300"/>
    </row>
    <row r="710" spans="1:30" ht="12.75" customHeight="1" x14ac:dyDescent="0.2">
      <c r="A710" s="296"/>
      <c r="B710" s="296"/>
      <c r="C710" s="296"/>
      <c r="D710" s="298"/>
      <c r="E710" s="298"/>
      <c r="F710" s="296"/>
      <c r="G710" s="296"/>
      <c r="H710" s="296"/>
      <c r="I710" s="296"/>
      <c r="J710" s="296"/>
      <c r="K710" s="296"/>
      <c r="L710" s="296"/>
      <c r="M710" s="299"/>
      <c r="N710" s="299"/>
      <c r="O710" s="299"/>
      <c r="P710" s="299"/>
      <c r="Q710" s="299"/>
      <c r="R710" s="299"/>
      <c r="S710" s="299"/>
      <c r="T710" s="299"/>
      <c r="U710" s="299"/>
      <c r="V710" s="299"/>
      <c r="W710" s="299"/>
      <c r="X710" s="299"/>
      <c r="Y710" s="299"/>
      <c r="Z710" s="299"/>
      <c r="AA710" s="299"/>
      <c r="AB710" s="299"/>
      <c r="AC710" s="300"/>
      <c r="AD710" s="300"/>
    </row>
    <row r="711" spans="1:30" ht="12.75" customHeight="1" x14ac:dyDescent="0.2">
      <c r="A711" s="296"/>
      <c r="B711" s="296"/>
      <c r="C711" s="296"/>
      <c r="D711" s="298"/>
      <c r="E711" s="298"/>
      <c r="F711" s="296"/>
      <c r="G711" s="296"/>
      <c r="H711" s="296"/>
      <c r="I711" s="296"/>
      <c r="J711" s="296"/>
      <c r="K711" s="296"/>
      <c r="L711" s="296"/>
      <c r="M711" s="299"/>
      <c r="N711" s="299"/>
      <c r="O711" s="299"/>
      <c r="P711" s="299"/>
      <c r="Q711" s="299"/>
      <c r="R711" s="299"/>
      <c r="S711" s="299"/>
      <c r="T711" s="299"/>
      <c r="U711" s="299"/>
      <c r="V711" s="299"/>
      <c r="W711" s="299"/>
      <c r="X711" s="299"/>
      <c r="Y711" s="299"/>
      <c r="Z711" s="299"/>
      <c r="AA711" s="299"/>
      <c r="AB711" s="299"/>
      <c r="AC711" s="300"/>
      <c r="AD711" s="300"/>
    </row>
    <row r="712" spans="1:30" ht="12.75" customHeight="1" x14ac:dyDescent="0.2">
      <c r="A712" s="296"/>
      <c r="B712" s="296"/>
      <c r="C712" s="296"/>
      <c r="D712" s="298"/>
      <c r="E712" s="298"/>
      <c r="F712" s="296"/>
      <c r="G712" s="296"/>
      <c r="H712" s="296"/>
      <c r="I712" s="296"/>
      <c r="J712" s="296"/>
      <c r="K712" s="296"/>
      <c r="L712" s="296"/>
      <c r="M712" s="299"/>
      <c r="N712" s="299"/>
      <c r="O712" s="299"/>
      <c r="P712" s="299"/>
      <c r="Q712" s="299"/>
      <c r="R712" s="299"/>
      <c r="S712" s="299"/>
      <c r="T712" s="299"/>
      <c r="U712" s="299"/>
      <c r="V712" s="299"/>
      <c r="W712" s="299"/>
      <c r="X712" s="299"/>
      <c r="Y712" s="299"/>
      <c r="Z712" s="299"/>
      <c r="AA712" s="299"/>
      <c r="AB712" s="299"/>
      <c r="AC712" s="300"/>
      <c r="AD712" s="300"/>
    </row>
    <row r="713" spans="1:30" ht="12.75" customHeight="1" x14ac:dyDescent="0.2">
      <c r="A713" s="296"/>
      <c r="B713" s="296"/>
      <c r="C713" s="296"/>
      <c r="D713" s="298"/>
      <c r="E713" s="298"/>
      <c r="F713" s="296"/>
      <c r="G713" s="296"/>
      <c r="H713" s="296"/>
      <c r="I713" s="296"/>
      <c r="J713" s="296"/>
      <c r="K713" s="296"/>
      <c r="L713" s="296"/>
      <c r="M713" s="299"/>
      <c r="N713" s="299"/>
      <c r="O713" s="299"/>
      <c r="P713" s="299"/>
      <c r="Q713" s="299"/>
      <c r="R713" s="299"/>
      <c r="S713" s="299"/>
      <c r="T713" s="299"/>
      <c r="U713" s="299"/>
      <c r="V713" s="299"/>
      <c r="W713" s="299"/>
      <c r="X713" s="299"/>
      <c r="Y713" s="299"/>
      <c r="Z713" s="299"/>
      <c r="AA713" s="299"/>
      <c r="AB713" s="299"/>
      <c r="AC713" s="300"/>
      <c r="AD713" s="300"/>
    </row>
    <row r="714" spans="1:30" ht="12.75" customHeight="1" x14ac:dyDescent="0.2">
      <c r="A714" s="296"/>
      <c r="B714" s="296"/>
      <c r="C714" s="296"/>
      <c r="D714" s="298"/>
      <c r="E714" s="298"/>
      <c r="F714" s="296"/>
      <c r="G714" s="296"/>
      <c r="H714" s="296"/>
      <c r="I714" s="296"/>
      <c r="J714" s="296"/>
      <c r="K714" s="296"/>
      <c r="L714" s="296"/>
      <c r="M714" s="299"/>
      <c r="N714" s="299"/>
      <c r="O714" s="299"/>
      <c r="P714" s="299"/>
      <c r="Q714" s="299"/>
      <c r="R714" s="299"/>
      <c r="S714" s="299"/>
      <c r="T714" s="299"/>
      <c r="U714" s="299"/>
      <c r="V714" s="299"/>
      <c r="W714" s="299"/>
      <c r="X714" s="299"/>
      <c r="Y714" s="299"/>
      <c r="Z714" s="299"/>
      <c r="AA714" s="299"/>
      <c r="AB714" s="299"/>
      <c r="AC714" s="300"/>
      <c r="AD714" s="300"/>
    </row>
    <row r="715" spans="1:30" ht="12.75" customHeight="1" x14ac:dyDescent="0.2">
      <c r="A715" s="296"/>
      <c r="B715" s="296"/>
      <c r="C715" s="296"/>
      <c r="D715" s="298"/>
      <c r="E715" s="298"/>
      <c r="F715" s="296"/>
      <c r="G715" s="296"/>
      <c r="H715" s="296"/>
      <c r="I715" s="296"/>
      <c r="J715" s="296"/>
      <c r="K715" s="296"/>
      <c r="L715" s="296"/>
      <c r="M715" s="299"/>
      <c r="N715" s="299"/>
      <c r="O715" s="299"/>
      <c r="P715" s="299"/>
      <c r="Q715" s="299"/>
      <c r="R715" s="299"/>
      <c r="S715" s="299"/>
      <c r="T715" s="299"/>
      <c r="U715" s="299"/>
      <c r="V715" s="299"/>
      <c r="W715" s="299"/>
      <c r="X715" s="299"/>
      <c r="Y715" s="299"/>
      <c r="Z715" s="299"/>
      <c r="AA715" s="299"/>
      <c r="AB715" s="299"/>
      <c r="AC715" s="300"/>
      <c r="AD715" s="300"/>
    </row>
    <row r="716" spans="1:30" ht="12.75" customHeight="1" x14ac:dyDescent="0.2">
      <c r="A716" s="296"/>
      <c r="B716" s="296"/>
      <c r="C716" s="296"/>
      <c r="D716" s="298"/>
      <c r="E716" s="298"/>
      <c r="F716" s="296"/>
      <c r="G716" s="296"/>
      <c r="H716" s="296"/>
      <c r="I716" s="296"/>
      <c r="J716" s="296"/>
      <c r="K716" s="296"/>
      <c r="L716" s="296"/>
      <c r="M716" s="299"/>
      <c r="N716" s="299"/>
      <c r="O716" s="299"/>
      <c r="P716" s="299"/>
      <c r="Q716" s="299"/>
      <c r="R716" s="299"/>
      <c r="S716" s="299"/>
      <c r="T716" s="299"/>
      <c r="U716" s="299"/>
      <c r="V716" s="299"/>
      <c r="W716" s="299"/>
      <c r="X716" s="299"/>
      <c r="Y716" s="299"/>
      <c r="Z716" s="299"/>
      <c r="AA716" s="299"/>
      <c r="AB716" s="299"/>
      <c r="AC716" s="300"/>
      <c r="AD716" s="300"/>
    </row>
    <row r="717" spans="1:30" ht="12.75" customHeight="1" x14ac:dyDescent="0.2">
      <c r="A717" s="296"/>
      <c r="B717" s="296"/>
      <c r="C717" s="296"/>
      <c r="D717" s="298"/>
      <c r="E717" s="298"/>
      <c r="F717" s="296"/>
      <c r="G717" s="296"/>
      <c r="H717" s="296"/>
      <c r="I717" s="296"/>
      <c r="J717" s="296"/>
      <c r="K717" s="296"/>
      <c r="L717" s="296"/>
      <c r="M717" s="299"/>
      <c r="N717" s="299"/>
      <c r="O717" s="299"/>
      <c r="P717" s="299"/>
      <c r="Q717" s="299"/>
      <c r="R717" s="299"/>
      <c r="S717" s="299"/>
      <c r="T717" s="299"/>
      <c r="U717" s="299"/>
      <c r="V717" s="299"/>
      <c r="W717" s="299"/>
      <c r="X717" s="299"/>
      <c r="Y717" s="299"/>
      <c r="Z717" s="299"/>
      <c r="AA717" s="299"/>
      <c r="AB717" s="299"/>
      <c r="AC717" s="300"/>
      <c r="AD717" s="300"/>
    </row>
    <row r="718" spans="1:30" ht="12.75" customHeight="1" x14ac:dyDescent="0.2">
      <c r="A718" s="296"/>
      <c r="B718" s="296"/>
      <c r="C718" s="296"/>
      <c r="D718" s="298"/>
      <c r="E718" s="298"/>
      <c r="F718" s="296"/>
      <c r="G718" s="296"/>
      <c r="H718" s="296"/>
      <c r="I718" s="296"/>
      <c r="J718" s="296"/>
      <c r="K718" s="296"/>
      <c r="L718" s="296"/>
      <c r="M718" s="299"/>
      <c r="N718" s="299"/>
      <c r="O718" s="299"/>
      <c r="P718" s="299"/>
      <c r="Q718" s="299"/>
      <c r="R718" s="299"/>
      <c r="S718" s="299"/>
      <c r="T718" s="299"/>
      <c r="U718" s="299"/>
      <c r="V718" s="299"/>
      <c r="W718" s="299"/>
      <c r="X718" s="299"/>
      <c r="Y718" s="299"/>
      <c r="Z718" s="299"/>
      <c r="AA718" s="299"/>
      <c r="AB718" s="299"/>
      <c r="AC718" s="300"/>
      <c r="AD718" s="300"/>
    </row>
    <row r="719" spans="1:30" ht="12.75" customHeight="1" x14ac:dyDescent="0.2">
      <c r="A719" s="296"/>
      <c r="B719" s="296"/>
      <c r="C719" s="296"/>
      <c r="D719" s="298"/>
      <c r="E719" s="298"/>
      <c r="F719" s="296"/>
      <c r="G719" s="296"/>
      <c r="H719" s="296"/>
      <c r="I719" s="296"/>
      <c r="J719" s="296"/>
      <c r="K719" s="296"/>
      <c r="L719" s="296"/>
      <c r="M719" s="299"/>
      <c r="N719" s="299"/>
      <c r="O719" s="299"/>
      <c r="P719" s="299"/>
      <c r="Q719" s="299"/>
      <c r="R719" s="299"/>
      <c r="S719" s="299"/>
      <c r="T719" s="299"/>
      <c r="U719" s="299"/>
      <c r="V719" s="299"/>
      <c r="W719" s="299"/>
      <c r="X719" s="299"/>
      <c r="Y719" s="299"/>
      <c r="Z719" s="299"/>
      <c r="AA719" s="299"/>
      <c r="AB719" s="299"/>
      <c r="AC719" s="300"/>
      <c r="AD719" s="300"/>
    </row>
    <row r="720" spans="1:30" ht="12.75" customHeight="1" x14ac:dyDescent="0.2">
      <c r="A720" s="296"/>
      <c r="B720" s="296"/>
      <c r="C720" s="296"/>
      <c r="D720" s="298"/>
      <c r="E720" s="298"/>
      <c r="F720" s="296"/>
      <c r="G720" s="296"/>
      <c r="H720" s="296"/>
      <c r="I720" s="296"/>
      <c r="J720" s="296"/>
      <c r="K720" s="296"/>
      <c r="L720" s="296"/>
      <c r="M720" s="299"/>
      <c r="N720" s="299"/>
      <c r="O720" s="299"/>
      <c r="P720" s="299"/>
      <c r="Q720" s="299"/>
      <c r="R720" s="299"/>
      <c r="S720" s="299"/>
      <c r="T720" s="299"/>
      <c r="U720" s="299"/>
      <c r="V720" s="299"/>
      <c r="W720" s="299"/>
      <c r="X720" s="299"/>
      <c r="Y720" s="299"/>
      <c r="Z720" s="299"/>
      <c r="AA720" s="299"/>
      <c r="AB720" s="299"/>
      <c r="AC720" s="300"/>
      <c r="AD720" s="300"/>
    </row>
    <row r="721" spans="1:30" ht="12.75" customHeight="1" x14ac:dyDescent="0.2">
      <c r="A721" s="296"/>
      <c r="B721" s="296"/>
      <c r="C721" s="296"/>
      <c r="D721" s="298"/>
      <c r="E721" s="298"/>
      <c r="F721" s="296"/>
      <c r="G721" s="296"/>
      <c r="H721" s="296"/>
      <c r="I721" s="296"/>
      <c r="J721" s="296"/>
      <c r="K721" s="296"/>
      <c r="L721" s="296"/>
      <c r="M721" s="299"/>
      <c r="N721" s="299"/>
      <c r="O721" s="299"/>
      <c r="P721" s="299"/>
      <c r="Q721" s="299"/>
      <c r="R721" s="299"/>
      <c r="S721" s="299"/>
      <c r="T721" s="299"/>
      <c r="U721" s="299"/>
      <c r="V721" s="299"/>
      <c r="W721" s="299"/>
      <c r="X721" s="299"/>
      <c r="Y721" s="299"/>
      <c r="Z721" s="299"/>
      <c r="AA721" s="299"/>
      <c r="AB721" s="299"/>
      <c r="AC721" s="300"/>
      <c r="AD721" s="300"/>
    </row>
    <row r="722" spans="1:30" ht="12.75" customHeight="1" x14ac:dyDescent="0.2">
      <c r="A722" s="296"/>
      <c r="B722" s="296"/>
      <c r="C722" s="296"/>
      <c r="D722" s="298"/>
      <c r="E722" s="298"/>
      <c r="F722" s="296"/>
      <c r="G722" s="296"/>
      <c r="H722" s="296"/>
      <c r="I722" s="296"/>
      <c r="J722" s="296"/>
      <c r="K722" s="296"/>
      <c r="L722" s="296"/>
      <c r="M722" s="299"/>
      <c r="N722" s="299"/>
      <c r="O722" s="299"/>
      <c r="P722" s="299"/>
      <c r="Q722" s="299"/>
      <c r="R722" s="299"/>
      <c r="S722" s="299"/>
      <c r="T722" s="299"/>
      <c r="U722" s="299"/>
      <c r="V722" s="299"/>
      <c r="W722" s="299"/>
      <c r="X722" s="299"/>
      <c r="Y722" s="299"/>
      <c r="Z722" s="299"/>
      <c r="AA722" s="299"/>
      <c r="AB722" s="299"/>
      <c r="AC722" s="300"/>
      <c r="AD722" s="300"/>
    </row>
    <row r="723" spans="1:30" ht="12.75" customHeight="1" x14ac:dyDescent="0.2">
      <c r="A723" s="296"/>
      <c r="B723" s="296"/>
      <c r="C723" s="296"/>
      <c r="D723" s="298"/>
      <c r="E723" s="298"/>
      <c r="F723" s="296"/>
      <c r="G723" s="296"/>
      <c r="H723" s="296"/>
      <c r="I723" s="296"/>
      <c r="J723" s="296"/>
      <c r="K723" s="296"/>
      <c r="L723" s="296"/>
      <c r="M723" s="299"/>
      <c r="N723" s="299"/>
      <c r="O723" s="299"/>
      <c r="P723" s="299"/>
      <c r="Q723" s="299"/>
      <c r="R723" s="299"/>
      <c r="S723" s="299"/>
      <c r="T723" s="299"/>
      <c r="U723" s="299"/>
      <c r="V723" s="299"/>
      <c r="W723" s="299"/>
      <c r="X723" s="299"/>
      <c r="Y723" s="299"/>
      <c r="Z723" s="299"/>
      <c r="AA723" s="299"/>
      <c r="AB723" s="299"/>
      <c r="AC723" s="300"/>
      <c r="AD723" s="300"/>
    </row>
    <row r="724" spans="1:30" ht="12.75" customHeight="1" x14ac:dyDescent="0.2">
      <c r="A724" s="296"/>
      <c r="B724" s="296"/>
      <c r="C724" s="296"/>
      <c r="D724" s="298"/>
      <c r="E724" s="298"/>
      <c r="F724" s="296"/>
      <c r="G724" s="296"/>
      <c r="H724" s="296"/>
      <c r="I724" s="296"/>
      <c r="J724" s="296"/>
      <c r="K724" s="296"/>
      <c r="L724" s="296"/>
      <c r="M724" s="299"/>
      <c r="N724" s="299"/>
      <c r="O724" s="299"/>
      <c r="P724" s="299"/>
      <c r="Q724" s="299"/>
      <c r="R724" s="299"/>
      <c r="S724" s="299"/>
      <c r="T724" s="299"/>
      <c r="U724" s="299"/>
      <c r="V724" s="299"/>
      <c r="W724" s="299"/>
      <c r="X724" s="299"/>
      <c r="Y724" s="299"/>
      <c r="Z724" s="299"/>
      <c r="AA724" s="299"/>
      <c r="AB724" s="299"/>
      <c r="AC724" s="300"/>
      <c r="AD724" s="300"/>
    </row>
    <row r="725" spans="1:30" ht="12.75" customHeight="1" x14ac:dyDescent="0.2">
      <c r="A725" s="296"/>
      <c r="B725" s="296"/>
      <c r="C725" s="296"/>
      <c r="D725" s="298"/>
      <c r="E725" s="298"/>
      <c r="F725" s="296"/>
      <c r="G725" s="296"/>
      <c r="H725" s="296"/>
      <c r="I725" s="296"/>
      <c r="J725" s="296"/>
      <c r="K725" s="296"/>
      <c r="L725" s="296"/>
      <c r="M725" s="299"/>
      <c r="N725" s="299"/>
      <c r="O725" s="299"/>
      <c r="P725" s="299"/>
      <c r="Q725" s="299"/>
      <c r="R725" s="299"/>
      <c r="S725" s="299"/>
      <c r="T725" s="299"/>
      <c r="U725" s="299"/>
      <c r="V725" s="299"/>
      <c r="W725" s="299"/>
      <c r="X725" s="299"/>
      <c r="Y725" s="299"/>
      <c r="Z725" s="299"/>
      <c r="AA725" s="299"/>
      <c r="AB725" s="299"/>
      <c r="AC725" s="300"/>
      <c r="AD725" s="300"/>
    </row>
    <row r="726" spans="1:30" ht="12.75" customHeight="1" x14ac:dyDescent="0.2">
      <c r="A726" s="296"/>
      <c r="B726" s="296"/>
      <c r="C726" s="296"/>
      <c r="D726" s="298"/>
      <c r="E726" s="298"/>
      <c r="F726" s="296"/>
      <c r="G726" s="296"/>
      <c r="H726" s="296"/>
      <c r="I726" s="296"/>
      <c r="J726" s="296"/>
      <c r="K726" s="296"/>
      <c r="L726" s="296"/>
      <c r="M726" s="299"/>
      <c r="N726" s="299"/>
      <c r="O726" s="299"/>
      <c r="P726" s="299"/>
      <c r="Q726" s="299"/>
      <c r="R726" s="299"/>
      <c r="S726" s="299"/>
      <c r="T726" s="299"/>
      <c r="U726" s="299"/>
      <c r="V726" s="299"/>
      <c r="W726" s="299"/>
      <c r="X726" s="299"/>
      <c r="Y726" s="299"/>
      <c r="Z726" s="299"/>
      <c r="AA726" s="299"/>
      <c r="AB726" s="299"/>
      <c r="AC726" s="300"/>
      <c r="AD726" s="300"/>
    </row>
    <row r="727" spans="1:30" ht="12.75" customHeight="1" x14ac:dyDescent="0.2">
      <c r="A727" s="296"/>
      <c r="B727" s="296"/>
      <c r="C727" s="296"/>
      <c r="D727" s="298"/>
      <c r="E727" s="298"/>
      <c r="F727" s="296"/>
      <c r="G727" s="296"/>
      <c r="H727" s="296"/>
      <c r="I727" s="296"/>
      <c r="J727" s="296"/>
      <c r="K727" s="296"/>
      <c r="L727" s="296"/>
      <c r="M727" s="299"/>
      <c r="N727" s="299"/>
      <c r="O727" s="299"/>
      <c r="P727" s="299"/>
      <c r="Q727" s="299"/>
      <c r="R727" s="299"/>
      <c r="S727" s="299"/>
      <c r="T727" s="299"/>
      <c r="U727" s="299"/>
      <c r="V727" s="299"/>
      <c r="W727" s="299"/>
      <c r="X727" s="299"/>
      <c r="Y727" s="299"/>
      <c r="Z727" s="299"/>
      <c r="AA727" s="299"/>
      <c r="AB727" s="299"/>
      <c r="AC727" s="300"/>
      <c r="AD727" s="300"/>
    </row>
    <row r="728" spans="1:30" ht="12.75" customHeight="1" x14ac:dyDescent="0.2">
      <c r="A728" s="296"/>
      <c r="B728" s="296"/>
      <c r="C728" s="296"/>
      <c r="D728" s="298"/>
      <c r="E728" s="298"/>
      <c r="F728" s="296"/>
      <c r="G728" s="296"/>
      <c r="H728" s="296"/>
      <c r="I728" s="296"/>
      <c r="J728" s="296"/>
      <c r="K728" s="296"/>
      <c r="L728" s="296"/>
      <c r="M728" s="299"/>
      <c r="N728" s="299"/>
      <c r="O728" s="299"/>
      <c r="P728" s="299"/>
      <c r="Q728" s="299"/>
      <c r="R728" s="299"/>
      <c r="S728" s="299"/>
      <c r="T728" s="299"/>
      <c r="U728" s="299"/>
      <c r="V728" s="299"/>
      <c r="W728" s="299"/>
      <c r="X728" s="299"/>
      <c r="Y728" s="299"/>
      <c r="Z728" s="299"/>
      <c r="AA728" s="299"/>
      <c r="AB728" s="299"/>
      <c r="AC728" s="300"/>
      <c r="AD728" s="300"/>
    </row>
    <row r="729" spans="1:30" ht="12.75" customHeight="1" x14ac:dyDescent="0.2">
      <c r="A729" s="296"/>
      <c r="B729" s="296"/>
      <c r="C729" s="296"/>
      <c r="D729" s="298"/>
      <c r="E729" s="298"/>
      <c r="F729" s="296"/>
      <c r="G729" s="296"/>
      <c r="H729" s="296"/>
      <c r="I729" s="296"/>
      <c r="J729" s="296"/>
      <c r="K729" s="296"/>
      <c r="L729" s="296"/>
      <c r="M729" s="299"/>
      <c r="N729" s="299"/>
      <c r="O729" s="299"/>
      <c r="P729" s="299"/>
      <c r="Q729" s="299"/>
      <c r="R729" s="299"/>
      <c r="S729" s="299"/>
      <c r="T729" s="299"/>
      <c r="U729" s="299"/>
      <c r="V729" s="299"/>
      <c r="W729" s="299"/>
      <c r="X729" s="299"/>
      <c r="Y729" s="299"/>
      <c r="Z729" s="299"/>
      <c r="AA729" s="299"/>
      <c r="AB729" s="299"/>
      <c r="AC729" s="300"/>
      <c r="AD729" s="300"/>
    </row>
    <row r="730" spans="1:30" ht="12.75" customHeight="1" x14ac:dyDescent="0.2">
      <c r="A730" s="296"/>
      <c r="B730" s="296"/>
      <c r="C730" s="296"/>
      <c r="D730" s="298"/>
      <c r="E730" s="298"/>
      <c r="F730" s="296"/>
      <c r="G730" s="296"/>
      <c r="H730" s="296"/>
      <c r="I730" s="296"/>
      <c r="J730" s="296"/>
      <c r="K730" s="296"/>
      <c r="L730" s="296"/>
      <c r="M730" s="299"/>
      <c r="N730" s="299"/>
      <c r="O730" s="299"/>
      <c r="P730" s="299"/>
      <c r="Q730" s="299"/>
      <c r="R730" s="299"/>
      <c r="S730" s="299"/>
      <c r="T730" s="299"/>
      <c r="U730" s="299"/>
      <c r="V730" s="299"/>
      <c r="W730" s="299"/>
      <c r="X730" s="299"/>
      <c r="Y730" s="299"/>
      <c r="Z730" s="299"/>
      <c r="AA730" s="299"/>
      <c r="AB730" s="299"/>
      <c r="AC730" s="300"/>
      <c r="AD730" s="300"/>
    </row>
    <row r="731" spans="1:30" ht="12.75" customHeight="1" x14ac:dyDescent="0.2">
      <c r="A731" s="296"/>
      <c r="B731" s="296"/>
      <c r="C731" s="296"/>
      <c r="D731" s="298"/>
      <c r="E731" s="298"/>
      <c r="F731" s="296"/>
      <c r="G731" s="296"/>
      <c r="H731" s="296"/>
      <c r="I731" s="296"/>
      <c r="J731" s="296"/>
      <c r="K731" s="296"/>
      <c r="L731" s="296"/>
      <c r="M731" s="299"/>
      <c r="N731" s="299"/>
      <c r="O731" s="299"/>
      <c r="P731" s="299"/>
      <c r="Q731" s="299"/>
      <c r="R731" s="299"/>
      <c r="S731" s="299"/>
      <c r="T731" s="299"/>
      <c r="U731" s="299"/>
      <c r="V731" s="299"/>
      <c r="W731" s="299"/>
      <c r="X731" s="299"/>
      <c r="Y731" s="299"/>
      <c r="Z731" s="299"/>
      <c r="AA731" s="299"/>
      <c r="AB731" s="299"/>
      <c r="AC731" s="300"/>
      <c r="AD731" s="300"/>
    </row>
    <row r="732" spans="1:30" ht="12.75" customHeight="1" x14ac:dyDescent="0.2">
      <c r="A732" s="296"/>
      <c r="B732" s="296"/>
      <c r="C732" s="296"/>
      <c r="D732" s="298"/>
      <c r="E732" s="298"/>
      <c r="F732" s="296"/>
      <c r="G732" s="296"/>
      <c r="H732" s="296"/>
      <c r="I732" s="296"/>
      <c r="J732" s="296"/>
      <c r="K732" s="296"/>
      <c r="L732" s="296"/>
      <c r="M732" s="299"/>
      <c r="N732" s="299"/>
      <c r="O732" s="299"/>
      <c r="P732" s="299"/>
      <c r="Q732" s="299"/>
      <c r="R732" s="299"/>
      <c r="S732" s="299"/>
      <c r="T732" s="299"/>
      <c r="U732" s="299"/>
      <c r="V732" s="299"/>
      <c r="W732" s="299"/>
      <c r="X732" s="299"/>
      <c r="Y732" s="299"/>
      <c r="Z732" s="299"/>
      <c r="AA732" s="299"/>
      <c r="AB732" s="299"/>
      <c r="AC732" s="300"/>
      <c r="AD732" s="300"/>
    </row>
    <row r="733" spans="1:30" ht="12.75" customHeight="1" x14ac:dyDescent="0.2">
      <c r="A733" s="296"/>
      <c r="B733" s="296"/>
      <c r="C733" s="296"/>
      <c r="D733" s="298"/>
      <c r="E733" s="298"/>
      <c r="F733" s="296"/>
      <c r="G733" s="296"/>
      <c r="H733" s="296"/>
      <c r="I733" s="296"/>
      <c r="J733" s="296"/>
      <c r="K733" s="296"/>
      <c r="L733" s="296"/>
      <c r="M733" s="299"/>
      <c r="N733" s="299"/>
      <c r="O733" s="299"/>
      <c r="P733" s="299"/>
      <c r="Q733" s="299"/>
      <c r="R733" s="299"/>
      <c r="S733" s="299"/>
      <c r="T733" s="299"/>
      <c r="U733" s="299"/>
      <c r="V733" s="299"/>
      <c r="W733" s="299"/>
      <c r="X733" s="299"/>
      <c r="Y733" s="299"/>
      <c r="Z733" s="299"/>
      <c r="AA733" s="299"/>
      <c r="AB733" s="299"/>
      <c r="AC733" s="300"/>
      <c r="AD733" s="300"/>
    </row>
    <row r="734" spans="1:30" ht="12.75" customHeight="1" x14ac:dyDescent="0.2">
      <c r="A734" s="296"/>
      <c r="B734" s="296"/>
      <c r="C734" s="296"/>
      <c r="D734" s="298"/>
      <c r="E734" s="298"/>
      <c r="F734" s="296"/>
      <c r="G734" s="296"/>
      <c r="H734" s="296"/>
      <c r="I734" s="296"/>
      <c r="J734" s="296"/>
      <c r="K734" s="296"/>
      <c r="L734" s="296"/>
      <c r="M734" s="299"/>
      <c r="N734" s="299"/>
      <c r="O734" s="299"/>
      <c r="P734" s="299"/>
      <c r="Q734" s="299"/>
      <c r="R734" s="299"/>
      <c r="S734" s="299"/>
      <c r="T734" s="299"/>
      <c r="U734" s="299"/>
      <c r="V734" s="299"/>
      <c r="W734" s="299"/>
      <c r="X734" s="299"/>
      <c r="Y734" s="299"/>
      <c r="Z734" s="299"/>
      <c r="AA734" s="299"/>
      <c r="AB734" s="299"/>
      <c r="AC734" s="300"/>
      <c r="AD734" s="300"/>
    </row>
    <row r="735" spans="1:30" ht="12.75" customHeight="1" x14ac:dyDescent="0.2">
      <c r="A735" s="296"/>
      <c r="B735" s="296"/>
      <c r="C735" s="296"/>
      <c r="D735" s="298"/>
      <c r="E735" s="298"/>
      <c r="F735" s="296"/>
      <c r="G735" s="296"/>
      <c r="H735" s="296"/>
      <c r="I735" s="296"/>
      <c r="J735" s="296"/>
      <c r="K735" s="296"/>
      <c r="L735" s="296"/>
      <c r="M735" s="299"/>
      <c r="N735" s="299"/>
      <c r="O735" s="299"/>
      <c r="P735" s="299"/>
      <c r="Q735" s="299"/>
      <c r="R735" s="299"/>
      <c r="S735" s="299"/>
      <c r="T735" s="299"/>
      <c r="U735" s="299"/>
      <c r="V735" s="299"/>
      <c r="W735" s="299"/>
      <c r="X735" s="299"/>
      <c r="Y735" s="299"/>
      <c r="Z735" s="299"/>
      <c r="AA735" s="299"/>
      <c r="AB735" s="299"/>
      <c r="AC735" s="300"/>
      <c r="AD735" s="300"/>
    </row>
    <row r="736" spans="1:30" ht="12.75" customHeight="1" x14ac:dyDescent="0.2">
      <c r="A736" s="296"/>
      <c r="B736" s="296"/>
      <c r="C736" s="296"/>
      <c r="D736" s="298"/>
      <c r="E736" s="298"/>
      <c r="F736" s="296"/>
      <c r="G736" s="296"/>
      <c r="H736" s="296"/>
      <c r="I736" s="296"/>
      <c r="J736" s="296"/>
      <c r="K736" s="296"/>
      <c r="L736" s="296"/>
      <c r="M736" s="299"/>
      <c r="N736" s="299"/>
      <c r="O736" s="299"/>
      <c r="P736" s="299"/>
      <c r="Q736" s="299"/>
      <c r="R736" s="299"/>
      <c r="S736" s="299"/>
      <c r="T736" s="299"/>
      <c r="U736" s="299"/>
      <c r="V736" s="299"/>
      <c r="W736" s="299"/>
      <c r="X736" s="299"/>
      <c r="Y736" s="299"/>
      <c r="Z736" s="299"/>
      <c r="AA736" s="299"/>
      <c r="AB736" s="299"/>
      <c r="AC736" s="300"/>
      <c r="AD736" s="300"/>
    </row>
    <row r="737" spans="1:30" ht="12.75" customHeight="1" x14ac:dyDescent="0.2">
      <c r="A737" s="296"/>
      <c r="B737" s="296"/>
      <c r="C737" s="296"/>
      <c r="D737" s="298"/>
      <c r="E737" s="298"/>
      <c r="F737" s="296"/>
      <c r="G737" s="296"/>
      <c r="H737" s="296"/>
      <c r="I737" s="296"/>
      <c r="J737" s="296"/>
      <c r="K737" s="296"/>
      <c r="L737" s="296"/>
      <c r="M737" s="299"/>
      <c r="N737" s="299"/>
      <c r="O737" s="299"/>
      <c r="P737" s="299"/>
      <c r="Q737" s="299"/>
      <c r="R737" s="299"/>
      <c r="S737" s="299"/>
      <c r="T737" s="299"/>
      <c r="U737" s="299"/>
      <c r="V737" s="299"/>
      <c r="W737" s="299"/>
      <c r="X737" s="299"/>
      <c r="Y737" s="299"/>
      <c r="Z737" s="299"/>
      <c r="AA737" s="299"/>
      <c r="AB737" s="299"/>
      <c r="AC737" s="300"/>
      <c r="AD737" s="300"/>
    </row>
    <row r="738" spans="1:30" ht="12.75" customHeight="1" x14ac:dyDescent="0.2">
      <c r="A738" s="296"/>
      <c r="B738" s="296"/>
      <c r="C738" s="296"/>
      <c r="D738" s="298"/>
      <c r="E738" s="298"/>
      <c r="F738" s="296"/>
      <c r="G738" s="296"/>
      <c r="H738" s="296"/>
      <c r="I738" s="296"/>
      <c r="J738" s="296"/>
      <c r="K738" s="296"/>
      <c r="L738" s="296"/>
      <c r="M738" s="299"/>
      <c r="N738" s="299"/>
      <c r="O738" s="299"/>
      <c r="P738" s="299"/>
      <c r="Q738" s="299"/>
      <c r="R738" s="299"/>
      <c r="S738" s="299"/>
      <c r="T738" s="299"/>
      <c r="U738" s="299"/>
      <c r="V738" s="299"/>
      <c r="W738" s="299"/>
      <c r="X738" s="299"/>
      <c r="Y738" s="299"/>
      <c r="Z738" s="299"/>
      <c r="AA738" s="299"/>
      <c r="AB738" s="299"/>
      <c r="AC738" s="300"/>
      <c r="AD738" s="300"/>
    </row>
    <row r="739" spans="1:30" ht="12.75" customHeight="1" x14ac:dyDescent="0.2">
      <c r="A739" s="296"/>
      <c r="B739" s="296"/>
      <c r="C739" s="296"/>
      <c r="D739" s="298"/>
      <c r="E739" s="298"/>
      <c r="F739" s="296"/>
      <c r="G739" s="296"/>
      <c r="H739" s="296"/>
      <c r="I739" s="296"/>
      <c r="J739" s="296"/>
      <c r="K739" s="296"/>
      <c r="L739" s="296"/>
      <c r="M739" s="299"/>
      <c r="N739" s="299"/>
      <c r="O739" s="299"/>
      <c r="P739" s="299"/>
      <c r="Q739" s="299"/>
      <c r="R739" s="299"/>
      <c r="S739" s="299"/>
      <c r="T739" s="299"/>
      <c r="U739" s="299"/>
      <c r="V739" s="299"/>
      <c r="W739" s="299"/>
      <c r="X739" s="299"/>
      <c r="Y739" s="299"/>
      <c r="Z739" s="299"/>
      <c r="AA739" s="299"/>
      <c r="AB739" s="299"/>
      <c r="AC739" s="300"/>
      <c r="AD739" s="300"/>
    </row>
    <row r="740" spans="1:30" ht="12.75" customHeight="1" x14ac:dyDescent="0.2">
      <c r="A740" s="296"/>
      <c r="B740" s="296"/>
      <c r="C740" s="296"/>
      <c r="D740" s="298"/>
      <c r="E740" s="298"/>
      <c r="F740" s="296"/>
      <c r="G740" s="296"/>
      <c r="H740" s="296"/>
      <c r="I740" s="296"/>
      <c r="J740" s="296"/>
      <c r="K740" s="296"/>
      <c r="L740" s="296"/>
      <c r="M740" s="299"/>
      <c r="N740" s="299"/>
      <c r="O740" s="299"/>
      <c r="P740" s="299"/>
      <c r="Q740" s="299"/>
      <c r="R740" s="299"/>
      <c r="S740" s="299"/>
      <c r="T740" s="299"/>
      <c r="U740" s="299"/>
      <c r="V740" s="299"/>
      <c r="W740" s="299"/>
      <c r="X740" s="299"/>
      <c r="Y740" s="299"/>
      <c r="Z740" s="299"/>
      <c r="AA740" s="299"/>
      <c r="AB740" s="299"/>
      <c r="AC740" s="300"/>
      <c r="AD740" s="300"/>
    </row>
    <row r="741" spans="1:30" ht="12.75" customHeight="1" x14ac:dyDescent="0.2">
      <c r="A741" s="296"/>
      <c r="B741" s="296"/>
      <c r="C741" s="296"/>
      <c r="D741" s="298"/>
      <c r="E741" s="298"/>
      <c r="F741" s="296"/>
      <c r="G741" s="296"/>
      <c r="H741" s="296"/>
      <c r="I741" s="296"/>
      <c r="J741" s="296"/>
      <c r="K741" s="296"/>
      <c r="L741" s="296"/>
      <c r="M741" s="299"/>
      <c r="N741" s="299"/>
      <c r="O741" s="299"/>
      <c r="P741" s="299"/>
      <c r="Q741" s="299"/>
      <c r="R741" s="299"/>
      <c r="S741" s="299"/>
      <c r="T741" s="299"/>
      <c r="U741" s="299"/>
      <c r="V741" s="299"/>
      <c r="W741" s="299"/>
      <c r="X741" s="299"/>
      <c r="Y741" s="299"/>
      <c r="Z741" s="299"/>
      <c r="AA741" s="299"/>
      <c r="AB741" s="299"/>
      <c r="AC741" s="300"/>
      <c r="AD741" s="300"/>
    </row>
    <row r="742" spans="1:30" ht="12.75" customHeight="1" x14ac:dyDescent="0.2">
      <c r="A742" s="296"/>
      <c r="B742" s="296"/>
      <c r="C742" s="296"/>
      <c r="D742" s="298"/>
      <c r="E742" s="298"/>
      <c r="F742" s="296"/>
      <c r="G742" s="296"/>
      <c r="H742" s="296"/>
      <c r="I742" s="296"/>
      <c r="J742" s="296"/>
      <c r="K742" s="296"/>
      <c r="L742" s="296"/>
      <c r="M742" s="299"/>
      <c r="N742" s="299"/>
      <c r="O742" s="299"/>
      <c r="P742" s="299"/>
      <c r="Q742" s="299"/>
      <c r="R742" s="299"/>
      <c r="S742" s="299"/>
      <c r="T742" s="299"/>
      <c r="U742" s="299"/>
      <c r="V742" s="299"/>
      <c r="W742" s="299"/>
      <c r="X742" s="299"/>
      <c r="Y742" s="299"/>
      <c r="Z742" s="299"/>
      <c r="AA742" s="299"/>
      <c r="AB742" s="299"/>
      <c r="AC742" s="300"/>
      <c r="AD742" s="300"/>
    </row>
    <row r="743" spans="1:30" ht="12.75" customHeight="1" x14ac:dyDescent="0.2">
      <c r="A743" s="296"/>
      <c r="B743" s="296"/>
      <c r="C743" s="296"/>
      <c r="D743" s="298"/>
      <c r="E743" s="298"/>
      <c r="F743" s="296"/>
      <c r="G743" s="296"/>
      <c r="H743" s="296"/>
      <c r="I743" s="296"/>
      <c r="J743" s="296"/>
      <c r="K743" s="296"/>
      <c r="L743" s="296"/>
      <c r="M743" s="299"/>
      <c r="N743" s="299"/>
      <c r="O743" s="299"/>
      <c r="P743" s="299"/>
      <c r="Q743" s="299"/>
      <c r="R743" s="299"/>
      <c r="S743" s="299"/>
      <c r="T743" s="299"/>
      <c r="U743" s="299"/>
      <c r="V743" s="299"/>
      <c r="W743" s="299"/>
      <c r="X743" s="299"/>
      <c r="Y743" s="299"/>
      <c r="Z743" s="299"/>
      <c r="AA743" s="299"/>
      <c r="AB743" s="299"/>
      <c r="AC743" s="300"/>
      <c r="AD743" s="300"/>
    </row>
    <row r="744" spans="1:30" ht="12.75" customHeight="1" x14ac:dyDescent="0.2">
      <c r="A744" s="296"/>
      <c r="B744" s="296"/>
      <c r="C744" s="296"/>
      <c r="D744" s="298"/>
      <c r="E744" s="298"/>
      <c r="F744" s="296"/>
      <c r="G744" s="296"/>
      <c r="H744" s="296"/>
      <c r="I744" s="296"/>
      <c r="J744" s="296"/>
      <c r="K744" s="296"/>
      <c r="L744" s="296"/>
      <c r="M744" s="299"/>
      <c r="N744" s="299"/>
      <c r="O744" s="299"/>
      <c r="P744" s="299"/>
      <c r="Q744" s="299"/>
      <c r="R744" s="299"/>
      <c r="S744" s="299"/>
      <c r="T744" s="299"/>
      <c r="U744" s="299"/>
      <c r="V744" s="299"/>
      <c r="W744" s="299"/>
      <c r="X744" s="299"/>
      <c r="Y744" s="299"/>
      <c r="Z744" s="299"/>
      <c r="AA744" s="299"/>
      <c r="AB744" s="299"/>
      <c r="AC744" s="300"/>
      <c r="AD744" s="300"/>
    </row>
    <row r="745" spans="1:30" ht="12.75" customHeight="1" x14ac:dyDescent="0.2">
      <c r="A745" s="296"/>
      <c r="B745" s="296"/>
      <c r="C745" s="296"/>
      <c r="D745" s="298"/>
      <c r="E745" s="298"/>
      <c r="F745" s="296"/>
      <c r="G745" s="296"/>
      <c r="H745" s="296"/>
      <c r="I745" s="296"/>
      <c r="J745" s="296"/>
      <c r="K745" s="296"/>
      <c r="L745" s="296"/>
      <c r="M745" s="299"/>
      <c r="N745" s="299"/>
      <c r="O745" s="299"/>
      <c r="P745" s="299"/>
      <c r="Q745" s="299"/>
      <c r="R745" s="299"/>
      <c r="S745" s="299"/>
      <c r="T745" s="299"/>
      <c r="U745" s="299"/>
      <c r="V745" s="299"/>
      <c r="W745" s="299"/>
      <c r="X745" s="299"/>
      <c r="Y745" s="299"/>
      <c r="Z745" s="299"/>
      <c r="AA745" s="299"/>
      <c r="AB745" s="299"/>
      <c r="AC745" s="300"/>
      <c r="AD745" s="300"/>
    </row>
    <row r="746" spans="1:30" ht="12.75" customHeight="1" x14ac:dyDescent="0.2">
      <c r="A746" s="296"/>
      <c r="B746" s="296"/>
      <c r="C746" s="296"/>
      <c r="D746" s="298"/>
      <c r="E746" s="298"/>
      <c r="F746" s="296"/>
      <c r="G746" s="296"/>
      <c r="H746" s="296"/>
      <c r="I746" s="296"/>
      <c r="J746" s="296"/>
      <c r="K746" s="296"/>
      <c r="L746" s="296"/>
      <c r="M746" s="299"/>
      <c r="N746" s="299"/>
      <c r="O746" s="299"/>
      <c r="P746" s="299"/>
      <c r="Q746" s="299"/>
      <c r="R746" s="299"/>
      <c r="S746" s="299"/>
      <c r="T746" s="299"/>
      <c r="U746" s="299"/>
      <c r="V746" s="299"/>
      <c r="W746" s="299"/>
      <c r="X746" s="299"/>
      <c r="Y746" s="299"/>
      <c r="Z746" s="299"/>
      <c r="AA746" s="299"/>
      <c r="AB746" s="299"/>
      <c r="AC746" s="300"/>
      <c r="AD746" s="300"/>
    </row>
    <row r="747" spans="1:30" ht="12.75" customHeight="1" x14ac:dyDescent="0.2">
      <c r="A747" s="296"/>
      <c r="B747" s="296"/>
      <c r="C747" s="296"/>
      <c r="D747" s="298"/>
      <c r="E747" s="298"/>
      <c r="F747" s="296"/>
      <c r="G747" s="296"/>
      <c r="H747" s="296"/>
      <c r="I747" s="296"/>
      <c r="J747" s="296"/>
      <c r="K747" s="296"/>
      <c r="L747" s="296"/>
      <c r="M747" s="299"/>
      <c r="N747" s="299"/>
      <c r="O747" s="299"/>
      <c r="P747" s="299"/>
      <c r="Q747" s="299"/>
      <c r="R747" s="299"/>
      <c r="S747" s="299"/>
      <c r="T747" s="299"/>
      <c r="U747" s="299"/>
      <c r="V747" s="299"/>
      <c r="W747" s="299"/>
      <c r="X747" s="299"/>
      <c r="Y747" s="299"/>
      <c r="Z747" s="299"/>
      <c r="AA747" s="299"/>
      <c r="AB747" s="299"/>
      <c r="AC747" s="300"/>
      <c r="AD747" s="300"/>
    </row>
    <row r="748" spans="1:30" ht="12.75" customHeight="1" x14ac:dyDescent="0.2">
      <c r="A748" s="296"/>
      <c r="B748" s="296"/>
      <c r="C748" s="296"/>
      <c r="D748" s="298"/>
      <c r="E748" s="298"/>
      <c r="F748" s="296"/>
      <c r="G748" s="296"/>
      <c r="H748" s="296"/>
      <c r="I748" s="296"/>
      <c r="J748" s="296"/>
      <c r="K748" s="296"/>
      <c r="L748" s="296"/>
      <c r="M748" s="299"/>
      <c r="N748" s="299"/>
      <c r="O748" s="299"/>
      <c r="P748" s="299"/>
      <c r="Q748" s="299"/>
      <c r="R748" s="299"/>
      <c r="S748" s="299"/>
      <c r="T748" s="299"/>
      <c r="U748" s="299"/>
      <c r="V748" s="299"/>
      <c r="W748" s="299"/>
      <c r="X748" s="299"/>
      <c r="Y748" s="299"/>
      <c r="Z748" s="299"/>
      <c r="AA748" s="299"/>
      <c r="AB748" s="299"/>
      <c r="AC748" s="300"/>
      <c r="AD748" s="300"/>
    </row>
    <row r="749" spans="1:30" ht="12.75" customHeight="1" x14ac:dyDescent="0.2">
      <c r="A749" s="296"/>
      <c r="B749" s="296"/>
      <c r="C749" s="296"/>
      <c r="D749" s="298"/>
      <c r="E749" s="298"/>
      <c r="F749" s="296"/>
      <c r="G749" s="296"/>
      <c r="H749" s="296"/>
      <c r="I749" s="296"/>
      <c r="J749" s="296"/>
      <c r="K749" s="296"/>
      <c r="L749" s="296"/>
      <c r="M749" s="299"/>
      <c r="N749" s="299"/>
      <c r="O749" s="299"/>
      <c r="P749" s="299"/>
      <c r="Q749" s="299"/>
      <c r="R749" s="299"/>
      <c r="S749" s="299"/>
      <c r="T749" s="299"/>
      <c r="U749" s="299"/>
      <c r="V749" s="299"/>
      <c r="W749" s="299"/>
      <c r="X749" s="299"/>
      <c r="Y749" s="299"/>
      <c r="Z749" s="299"/>
      <c r="AA749" s="299"/>
      <c r="AB749" s="299"/>
      <c r="AC749" s="300"/>
      <c r="AD749" s="300"/>
    </row>
    <row r="750" spans="1:30" ht="12.75" customHeight="1" x14ac:dyDescent="0.2">
      <c r="A750" s="296"/>
      <c r="B750" s="296"/>
      <c r="C750" s="296"/>
      <c r="D750" s="298"/>
      <c r="E750" s="298"/>
      <c r="F750" s="296"/>
      <c r="G750" s="296"/>
      <c r="H750" s="296"/>
      <c r="I750" s="296"/>
      <c r="J750" s="296"/>
      <c r="K750" s="296"/>
      <c r="L750" s="296"/>
      <c r="M750" s="299"/>
      <c r="N750" s="299"/>
      <c r="O750" s="299"/>
      <c r="P750" s="299"/>
      <c r="Q750" s="299"/>
      <c r="R750" s="299"/>
      <c r="S750" s="299"/>
      <c r="T750" s="299"/>
      <c r="U750" s="299"/>
      <c r="V750" s="299"/>
      <c r="W750" s="299"/>
      <c r="X750" s="299"/>
      <c r="Y750" s="299"/>
      <c r="Z750" s="299"/>
      <c r="AA750" s="299"/>
      <c r="AB750" s="299"/>
      <c r="AC750" s="300"/>
      <c r="AD750" s="300"/>
    </row>
    <row r="751" spans="1:30" ht="12.75" customHeight="1" x14ac:dyDescent="0.2">
      <c r="A751" s="296"/>
      <c r="B751" s="296"/>
      <c r="C751" s="296"/>
      <c r="D751" s="298"/>
      <c r="E751" s="298"/>
      <c r="F751" s="296"/>
      <c r="G751" s="296"/>
      <c r="H751" s="296"/>
      <c r="I751" s="296"/>
      <c r="J751" s="296"/>
      <c r="K751" s="296"/>
      <c r="L751" s="296"/>
      <c r="M751" s="299"/>
      <c r="N751" s="299"/>
      <c r="O751" s="299"/>
      <c r="P751" s="299"/>
      <c r="Q751" s="299"/>
      <c r="R751" s="299"/>
      <c r="S751" s="299"/>
      <c r="T751" s="299"/>
      <c r="U751" s="299"/>
      <c r="V751" s="299"/>
      <c r="W751" s="299"/>
      <c r="X751" s="299"/>
      <c r="Y751" s="299"/>
      <c r="Z751" s="299"/>
      <c r="AA751" s="299"/>
      <c r="AB751" s="299"/>
      <c r="AC751" s="300"/>
      <c r="AD751" s="300"/>
    </row>
    <row r="752" spans="1:30" ht="12.75" customHeight="1" x14ac:dyDescent="0.2">
      <c r="A752" s="296"/>
      <c r="B752" s="296"/>
      <c r="C752" s="296"/>
      <c r="D752" s="298"/>
      <c r="E752" s="298"/>
      <c r="F752" s="296"/>
      <c r="G752" s="296"/>
      <c r="H752" s="296"/>
      <c r="I752" s="296"/>
      <c r="J752" s="296"/>
      <c r="K752" s="296"/>
      <c r="L752" s="296"/>
      <c r="M752" s="299"/>
      <c r="N752" s="299"/>
      <c r="O752" s="299"/>
      <c r="P752" s="299"/>
      <c r="Q752" s="299"/>
      <c r="R752" s="299"/>
      <c r="S752" s="299"/>
      <c r="T752" s="299"/>
      <c r="U752" s="299"/>
      <c r="V752" s="299"/>
      <c r="W752" s="299"/>
      <c r="X752" s="299"/>
      <c r="Y752" s="299"/>
      <c r="Z752" s="299"/>
      <c r="AA752" s="299"/>
      <c r="AB752" s="299"/>
      <c r="AC752" s="300"/>
      <c r="AD752" s="300"/>
    </row>
    <row r="753" spans="1:30" ht="12.75" customHeight="1" x14ac:dyDescent="0.2">
      <c r="A753" s="296"/>
      <c r="B753" s="296"/>
      <c r="C753" s="296"/>
      <c r="D753" s="298"/>
      <c r="E753" s="298"/>
      <c r="F753" s="296"/>
      <c r="G753" s="296"/>
      <c r="H753" s="296"/>
      <c r="I753" s="296"/>
      <c r="J753" s="296"/>
      <c r="K753" s="296"/>
      <c r="L753" s="296"/>
      <c r="M753" s="299"/>
      <c r="N753" s="299"/>
      <c r="O753" s="299"/>
      <c r="P753" s="299"/>
      <c r="Q753" s="299"/>
      <c r="R753" s="299"/>
      <c r="S753" s="299"/>
      <c r="T753" s="299"/>
      <c r="U753" s="299"/>
      <c r="V753" s="299"/>
      <c r="W753" s="299"/>
      <c r="X753" s="299"/>
      <c r="Y753" s="299"/>
      <c r="Z753" s="299"/>
      <c r="AA753" s="299"/>
      <c r="AB753" s="299"/>
      <c r="AC753" s="300"/>
      <c r="AD753" s="300"/>
    </row>
    <row r="754" spans="1:30" ht="12.75" customHeight="1" x14ac:dyDescent="0.2">
      <c r="A754" s="296"/>
      <c r="B754" s="296"/>
      <c r="C754" s="296"/>
      <c r="D754" s="298"/>
      <c r="E754" s="298"/>
      <c r="F754" s="296"/>
      <c r="G754" s="296"/>
      <c r="H754" s="296"/>
      <c r="I754" s="296"/>
      <c r="J754" s="296"/>
      <c r="K754" s="296"/>
      <c r="L754" s="296"/>
      <c r="M754" s="299"/>
      <c r="N754" s="299"/>
      <c r="O754" s="299"/>
      <c r="P754" s="299"/>
      <c r="Q754" s="299"/>
      <c r="R754" s="299"/>
      <c r="S754" s="299"/>
      <c r="T754" s="299"/>
      <c r="U754" s="299"/>
      <c r="V754" s="299"/>
      <c r="W754" s="299"/>
      <c r="X754" s="299"/>
      <c r="Y754" s="299"/>
      <c r="Z754" s="299"/>
      <c r="AA754" s="299"/>
      <c r="AB754" s="299"/>
      <c r="AC754" s="300"/>
      <c r="AD754" s="300"/>
    </row>
    <row r="755" spans="1:30" ht="12.75" customHeight="1" x14ac:dyDescent="0.2">
      <c r="A755" s="296"/>
      <c r="B755" s="296"/>
      <c r="C755" s="296"/>
      <c r="D755" s="298"/>
      <c r="E755" s="298"/>
      <c r="F755" s="296"/>
      <c r="G755" s="296"/>
      <c r="H755" s="296"/>
      <c r="I755" s="296"/>
      <c r="J755" s="296"/>
      <c r="K755" s="296"/>
      <c r="L755" s="296"/>
      <c r="M755" s="299"/>
      <c r="N755" s="299"/>
      <c r="O755" s="299"/>
      <c r="P755" s="299"/>
      <c r="Q755" s="299"/>
      <c r="R755" s="299"/>
      <c r="S755" s="299"/>
      <c r="T755" s="299"/>
      <c r="U755" s="299"/>
      <c r="V755" s="299"/>
      <c r="W755" s="299"/>
      <c r="X755" s="299"/>
      <c r="Y755" s="299"/>
      <c r="Z755" s="299"/>
      <c r="AA755" s="299"/>
      <c r="AB755" s="299"/>
      <c r="AC755" s="300"/>
      <c r="AD755" s="300"/>
    </row>
    <row r="756" spans="1:30" ht="12.75" customHeight="1" x14ac:dyDescent="0.2">
      <c r="A756" s="296"/>
      <c r="B756" s="296"/>
      <c r="C756" s="296"/>
      <c r="D756" s="298"/>
      <c r="E756" s="298"/>
      <c r="F756" s="296"/>
      <c r="G756" s="296"/>
      <c r="H756" s="296"/>
      <c r="I756" s="296"/>
      <c r="J756" s="296"/>
      <c r="K756" s="296"/>
      <c r="L756" s="296"/>
      <c r="M756" s="299"/>
      <c r="N756" s="299"/>
      <c r="O756" s="299"/>
      <c r="P756" s="299"/>
      <c r="Q756" s="299"/>
      <c r="R756" s="299"/>
      <c r="S756" s="299"/>
      <c r="T756" s="299"/>
      <c r="U756" s="299"/>
      <c r="V756" s="299"/>
      <c r="W756" s="299"/>
      <c r="X756" s="299"/>
      <c r="Y756" s="299"/>
      <c r="Z756" s="299"/>
      <c r="AA756" s="299"/>
      <c r="AB756" s="299"/>
      <c r="AC756" s="300"/>
      <c r="AD756" s="300"/>
    </row>
    <row r="757" spans="1:30" ht="12.75" customHeight="1" x14ac:dyDescent="0.2">
      <c r="A757" s="296"/>
      <c r="B757" s="296"/>
      <c r="C757" s="296"/>
      <c r="D757" s="298"/>
      <c r="E757" s="298"/>
      <c r="F757" s="296"/>
      <c r="G757" s="296"/>
      <c r="H757" s="296"/>
      <c r="I757" s="296"/>
      <c r="J757" s="296"/>
      <c r="K757" s="296"/>
      <c r="L757" s="296"/>
      <c r="M757" s="299"/>
      <c r="N757" s="299"/>
      <c r="O757" s="299"/>
      <c r="P757" s="299"/>
      <c r="Q757" s="299"/>
      <c r="R757" s="299"/>
      <c r="S757" s="299"/>
      <c r="T757" s="299"/>
      <c r="U757" s="299"/>
      <c r="V757" s="299"/>
      <c r="W757" s="299"/>
      <c r="X757" s="299"/>
      <c r="Y757" s="299"/>
      <c r="Z757" s="299"/>
      <c r="AA757" s="299"/>
      <c r="AB757" s="299"/>
      <c r="AC757" s="300"/>
      <c r="AD757" s="300"/>
    </row>
    <row r="758" spans="1:30" ht="12.75" customHeight="1" x14ac:dyDescent="0.2">
      <c r="A758" s="296"/>
      <c r="B758" s="296"/>
      <c r="C758" s="296"/>
      <c r="D758" s="298"/>
      <c r="E758" s="298"/>
      <c r="F758" s="296"/>
      <c r="G758" s="296"/>
      <c r="H758" s="296"/>
      <c r="I758" s="296"/>
      <c r="J758" s="296"/>
      <c r="K758" s="296"/>
      <c r="L758" s="296"/>
      <c r="M758" s="299"/>
      <c r="N758" s="299"/>
      <c r="O758" s="299"/>
      <c r="P758" s="299"/>
      <c r="Q758" s="299"/>
      <c r="R758" s="299"/>
      <c r="S758" s="299"/>
      <c r="T758" s="299"/>
      <c r="U758" s="299"/>
      <c r="V758" s="299"/>
      <c r="W758" s="299"/>
      <c r="X758" s="299"/>
      <c r="Y758" s="299"/>
      <c r="Z758" s="299"/>
      <c r="AA758" s="299"/>
      <c r="AB758" s="299"/>
      <c r="AC758" s="300"/>
      <c r="AD758" s="300"/>
    </row>
    <row r="759" spans="1:30" ht="12.75" customHeight="1" x14ac:dyDescent="0.2">
      <c r="A759" s="296"/>
      <c r="B759" s="296"/>
      <c r="C759" s="296"/>
      <c r="D759" s="298"/>
      <c r="E759" s="298"/>
      <c r="F759" s="296"/>
      <c r="G759" s="296"/>
      <c r="H759" s="296"/>
      <c r="I759" s="296"/>
      <c r="J759" s="296"/>
      <c r="K759" s="296"/>
      <c r="L759" s="296"/>
      <c r="M759" s="299"/>
      <c r="N759" s="299"/>
      <c r="O759" s="299"/>
      <c r="P759" s="299"/>
      <c r="Q759" s="299"/>
      <c r="R759" s="299"/>
      <c r="S759" s="299"/>
      <c r="T759" s="299"/>
      <c r="U759" s="299"/>
      <c r="V759" s="299"/>
      <c r="W759" s="299"/>
      <c r="X759" s="299"/>
      <c r="Y759" s="299"/>
      <c r="Z759" s="299"/>
      <c r="AA759" s="299"/>
      <c r="AB759" s="299"/>
      <c r="AC759" s="300"/>
      <c r="AD759" s="300"/>
    </row>
    <row r="760" spans="1:30" ht="12.75" customHeight="1" x14ac:dyDescent="0.2">
      <c r="A760" s="296"/>
      <c r="B760" s="296"/>
      <c r="C760" s="296"/>
      <c r="D760" s="298"/>
      <c r="E760" s="298"/>
      <c r="F760" s="296"/>
      <c r="G760" s="296"/>
      <c r="H760" s="296"/>
      <c r="I760" s="296"/>
      <c r="J760" s="296"/>
      <c r="K760" s="296"/>
      <c r="L760" s="296"/>
      <c r="M760" s="299"/>
      <c r="N760" s="299"/>
      <c r="O760" s="299"/>
      <c r="P760" s="299"/>
      <c r="Q760" s="299"/>
      <c r="R760" s="299"/>
      <c r="S760" s="299"/>
      <c r="T760" s="299"/>
      <c r="U760" s="299"/>
      <c r="V760" s="299"/>
      <c r="W760" s="299"/>
      <c r="X760" s="299"/>
      <c r="Y760" s="299"/>
      <c r="Z760" s="299"/>
      <c r="AA760" s="299"/>
      <c r="AB760" s="299"/>
      <c r="AC760" s="300"/>
      <c r="AD760" s="300"/>
    </row>
    <row r="761" spans="1:30" ht="12.75" customHeight="1" x14ac:dyDescent="0.2">
      <c r="A761" s="296"/>
      <c r="B761" s="296"/>
      <c r="C761" s="296"/>
      <c r="D761" s="298"/>
      <c r="E761" s="298"/>
      <c r="F761" s="296"/>
      <c r="G761" s="296"/>
      <c r="H761" s="296"/>
      <c r="I761" s="296"/>
      <c r="J761" s="296"/>
      <c r="K761" s="296"/>
      <c r="L761" s="296"/>
      <c r="M761" s="299"/>
      <c r="N761" s="299"/>
      <c r="O761" s="299"/>
      <c r="P761" s="299"/>
      <c r="Q761" s="299"/>
      <c r="R761" s="299"/>
      <c r="S761" s="299"/>
      <c r="T761" s="299"/>
      <c r="U761" s="299"/>
      <c r="V761" s="299"/>
      <c r="W761" s="299"/>
      <c r="X761" s="299"/>
      <c r="Y761" s="299"/>
      <c r="Z761" s="299"/>
      <c r="AA761" s="299"/>
      <c r="AB761" s="299"/>
      <c r="AC761" s="300"/>
      <c r="AD761" s="300"/>
    </row>
    <row r="762" spans="1:30" ht="12.75" customHeight="1" x14ac:dyDescent="0.2">
      <c r="A762" s="296"/>
      <c r="B762" s="296"/>
      <c r="C762" s="296"/>
      <c r="D762" s="298"/>
      <c r="E762" s="298"/>
      <c r="F762" s="296"/>
      <c r="G762" s="296"/>
      <c r="H762" s="296"/>
      <c r="I762" s="296"/>
      <c r="J762" s="296"/>
      <c r="K762" s="296"/>
      <c r="L762" s="296"/>
      <c r="M762" s="299"/>
      <c r="N762" s="299"/>
      <c r="O762" s="299"/>
      <c r="P762" s="299"/>
      <c r="Q762" s="299"/>
      <c r="R762" s="299"/>
      <c r="S762" s="299"/>
      <c r="T762" s="299"/>
      <c r="U762" s="299"/>
      <c r="V762" s="299"/>
      <c r="W762" s="299"/>
      <c r="X762" s="299"/>
      <c r="Y762" s="299"/>
      <c r="Z762" s="299"/>
      <c r="AA762" s="299"/>
      <c r="AB762" s="299"/>
      <c r="AC762" s="300"/>
      <c r="AD762" s="300"/>
    </row>
    <row r="763" spans="1:30" ht="12.75" customHeight="1" x14ac:dyDescent="0.2">
      <c r="A763" s="296"/>
      <c r="B763" s="296"/>
      <c r="C763" s="296"/>
      <c r="D763" s="298"/>
      <c r="E763" s="298"/>
      <c r="F763" s="296"/>
      <c r="G763" s="296"/>
      <c r="H763" s="296"/>
      <c r="I763" s="296"/>
      <c r="J763" s="296"/>
      <c r="K763" s="296"/>
      <c r="L763" s="296"/>
      <c r="M763" s="299"/>
      <c r="N763" s="299"/>
      <c r="O763" s="299"/>
      <c r="P763" s="299"/>
      <c r="Q763" s="299"/>
      <c r="R763" s="299"/>
      <c r="S763" s="299"/>
      <c r="T763" s="299"/>
      <c r="U763" s="299"/>
      <c r="V763" s="299"/>
      <c r="W763" s="299"/>
      <c r="X763" s="299"/>
      <c r="Y763" s="299"/>
      <c r="Z763" s="299"/>
      <c r="AA763" s="299"/>
      <c r="AB763" s="299"/>
      <c r="AC763" s="300"/>
      <c r="AD763" s="300"/>
    </row>
    <row r="764" spans="1:30" ht="12.75" customHeight="1" x14ac:dyDescent="0.2">
      <c r="A764" s="296"/>
      <c r="B764" s="296"/>
      <c r="C764" s="296"/>
      <c r="D764" s="298"/>
      <c r="E764" s="298"/>
      <c r="F764" s="296"/>
      <c r="G764" s="296"/>
      <c r="H764" s="296"/>
      <c r="I764" s="296"/>
      <c r="J764" s="296"/>
      <c r="K764" s="296"/>
      <c r="L764" s="296"/>
      <c r="M764" s="299"/>
      <c r="N764" s="299"/>
      <c r="O764" s="299"/>
      <c r="P764" s="299"/>
      <c r="Q764" s="299"/>
      <c r="R764" s="299"/>
      <c r="S764" s="299"/>
      <c r="T764" s="299"/>
      <c r="U764" s="299"/>
      <c r="V764" s="299"/>
      <c r="W764" s="299"/>
      <c r="X764" s="299"/>
      <c r="Y764" s="299"/>
      <c r="Z764" s="299"/>
      <c r="AA764" s="299"/>
      <c r="AB764" s="299"/>
      <c r="AC764" s="300"/>
      <c r="AD764" s="300"/>
    </row>
    <row r="765" spans="1:30" ht="12.75" customHeight="1" x14ac:dyDescent="0.2">
      <c r="A765" s="296"/>
      <c r="B765" s="296"/>
      <c r="C765" s="296"/>
      <c r="D765" s="298"/>
      <c r="E765" s="298"/>
      <c r="F765" s="296"/>
      <c r="G765" s="296"/>
      <c r="H765" s="296"/>
      <c r="I765" s="296"/>
      <c r="J765" s="296"/>
      <c r="K765" s="296"/>
      <c r="L765" s="296"/>
      <c r="M765" s="299"/>
      <c r="N765" s="299"/>
      <c r="O765" s="299"/>
      <c r="P765" s="299"/>
      <c r="Q765" s="299"/>
      <c r="R765" s="299"/>
      <c r="S765" s="299"/>
      <c r="T765" s="299"/>
      <c r="U765" s="299"/>
      <c r="V765" s="299"/>
      <c r="W765" s="299"/>
      <c r="X765" s="299"/>
      <c r="Y765" s="299"/>
      <c r="Z765" s="299"/>
      <c r="AA765" s="299"/>
      <c r="AB765" s="299"/>
      <c r="AC765" s="300"/>
      <c r="AD765" s="300"/>
    </row>
    <row r="766" spans="1:30" ht="12.75" customHeight="1" x14ac:dyDescent="0.2">
      <c r="A766" s="296"/>
      <c r="B766" s="296"/>
      <c r="C766" s="296"/>
      <c r="D766" s="298"/>
      <c r="E766" s="298"/>
      <c r="F766" s="296"/>
      <c r="G766" s="296"/>
      <c r="H766" s="296"/>
      <c r="I766" s="296"/>
      <c r="J766" s="296"/>
      <c r="K766" s="296"/>
      <c r="L766" s="296"/>
      <c r="M766" s="299"/>
      <c r="N766" s="299"/>
      <c r="O766" s="299"/>
      <c r="P766" s="299"/>
      <c r="Q766" s="299"/>
      <c r="R766" s="299"/>
      <c r="S766" s="299"/>
      <c r="T766" s="299"/>
      <c r="U766" s="299"/>
      <c r="V766" s="299"/>
      <c r="W766" s="299"/>
      <c r="X766" s="299"/>
      <c r="Y766" s="299"/>
      <c r="Z766" s="299"/>
      <c r="AA766" s="299"/>
      <c r="AB766" s="299"/>
      <c r="AC766" s="300"/>
      <c r="AD766" s="300"/>
    </row>
    <row r="767" spans="1:30" ht="12.75" customHeight="1" x14ac:dyDescent="0.2">
      <c r="A767" s="296"/>
      <c r="B767" s="296"/>
      <c r="C767" s="296"/>
      <c r="D767" s="298"/>
      <c r="E767" s="298"/>
      <c r="F767" s="296"/>
      <c r="G767" s="296"/>
      <c r="H767" s="296"/>
      <c r="I767" s="296"/>
      <c r="J767" s="296"/>
      <c r="K767" s="296"/>
      <c r="L767" s="296"/>
      <c r="M767" s="299"/>
      <c r="N767" s="299"/>
      <c r="O767" s="299"/>
      <c r="P767" s="299"/>
      <c r="Q767" s="299"/>
      <c r="R767" s="299"/>
      <c r="S767" s="299"/>
      <c r="T767" s="299"/>
      <c r="U767" s="299"/>
      <c r="V767" s="299"/>
      <c r="W767" s="299"/>
      <c r="X767" s="299"/>
      <c r="Y767" s="299"/>
      <c r="Z767" s="299"/>
      <c r="AA767" s="299"/>
      <c r="AB767" s="299"/>
      <c r="AC767" s="300"/>
      <c r="AD767" s="300"/>
    </row>
    <row r="768" spans="1:30" ht="12.75" customHeight="1" x14ac:dyDescent="0.2">
      <c r="A768" s="296"/>
      <c r="B768" s="296"/>
      <c r="C768" s="296"/>
      <c r="D768" s="298"/>
      <c r="E768" s="298"/>
      <c r="F768" s="296"/>
      <c r="G768" s="296"/>
      <c r="H768" s="296"/>
      <c r="I768" s="296"/>
      <c r="J768" s="296"/>
      <c r="K768" s="296"/>
      <c r="L768" s="296"/>
      <c r="M768" s="299"/>
      <c r="N768" s="299"/>
      <c r="O768" s="299"/>
      <c r="P768" s="299"/>
      <c r="Q768" s="299"/>
      <c r="R768" s="299"/>
      <c r="S768" s="299"/>
      <c r="T768" s="299"/>
      <c r="U768" s="299"/>
      <c r="V768" s="299"/>
      <c r="W768" s="299"/>
      <c r="X768" s="299"/>
      <c r="Y768" s="299"/>
      <c r="Z768" s="299"/>
      <c r="AA768" s="299"/>
      <c r="AB768" s="299"/>
      <c r="AC768" s="300"/>
      <c r="AD768" s="300"/>
    </row>
    <row r="769" spans="1:30" ht="12.75" customHeight="1" x14ac:dyDescent="0.2">
      <c r="A769" s="296"/>
      <c r="B769" s="296"/>
      <c r="C769" s="296"/>
      <c r="D769" s="298"/>
      <c r="E769" s="298"/>
      <c r="F769" s="296"/>
      <c r="G769" s="296"/>
      <c r="H769" s="296"/>
      <c r="I769" s="296"/>
      <c r="J769" s="296"/>
      <c r="K769" s="296"/>
      <c r="L769" s="296"/>
      <c r="M769" s="299"/>
      <c r="N769" s="299"/>
      <c r="O769" s="299"/>
      <c r="P769" s="299"/>
      <c r="Q769" s="299"/>
      <c r="R769" s="299"/>
      <c r="S769" s="299"/>
      <c r="T769" s="299"/>
      <c r="U769" s="299"/>
      <c r="V769" s="299"/>
      <c r="W769" s="299"/>
      <c r="X769" s="299"/>
      <c r="Y769" s="299"/>
      <c r="Z769" s="299"/>
      <c r="AA769" s="299"/>
      <c r="AB769" s="299"/>
      <c r="AC769" s="300"/>
      <c r="AD769" s="300"/>
    </row>
    <row r="770" spans="1:30" ht="12.75" customHeight="1" x14ac:dyDescent="0.2">
      <c r="A770" s="296"/>
      <c r="B770" s="296"/>
      <c r="C770" s="296"/>
      <c r="D770" s="298"/>
      <c r="E770" s="298"/>
      <c r="F770" s="296"/>
      <c r="G770" s="296"/>
      <c r="H770" s="296"/>
      <c r="I770" s="296"/>
      <c r="J770" s="296"/>
      <c r="K770" s="296"/>
      <c r="L770" s="296"/>
      <c r="M770" s="299"/>
      <c r="N770" s="299"/>
      <c r="O770" s="299"/>
      <c r="P770" s="299"/>
      <c r="Q770" s="299"/>
      <c r="R770" s="299"/>
      <c r="S770" s="299"/>
      <c r="T770" s="299"/>
      <c r="U770" s="299"/>
      <c r="V770" s="299"/>
      <c r="W770" s="299"/>
      <c r="X770" s="299"/>
      <c r="Y770" s="299"/>
      <c r="Z770" s="299"/>
      <c r="AA770" s="299"/>
      <c r="AB770" s="299"/>
      <c r="AC770" s="300"/>
      <c r="AD770" s="300"/>
    </row>
    <row r="771" spans="1:30" ht="12.75" customHeight="1" x14ac:dyDescent="0.2">
      <c r="A771" s="296"/>
      <c r="B771" s="296"/>
      <c r="C771" s="296"/>
      <c r="D771" s="298"/>
      <c r="E771" s="298"/>
      <c r="F771" s="296"/>
      <c r="G771" s="296"/>
      <c r="H771" s="296"/>
      <c r="I771" s="296"/>
      <c r="J771" s="296"/>
      <c r="K771" s="296"/>
      <c r="L771" s="296"/>
      <c r="M771" s="299"/>
      <c r="N771" s="299"/>
      <c r="O771" s="299"/>
      <c r="P771" s="299"/>
      <c r="Q771" s="299"/>
      <c r="R771" s="299"/>
      <c r="S771" s="299"/>
      <c r="T771" s="299"/>
      <c r="U771" s="299"/>
      <c r="V771" s="299"/>
      <c r="W771" s="299"/>
      <c r="X771" s="299"/>
      <c r="Y771" s="299"/>
      <c r="Z771" s="299"/>
      <c r="AA771" s="299"/>
      <c r="AB771" s="299"/>
      <c r="AC771" s="300"/>
      <c r="AD771" s="300"/>
    </row>
    <row r="772" spans="1:30" ht="12.75" customHeight="1" x14ac:dyDescent="0.2">
      <c r="A772" s="296"/>
      <c r="B772" s="296"/>
      <c r="C772" s="296"/>
      <c r="D772" s="298"/>
      <c r="E772" s="298"/>
      <c r="F772" s="296"/>
      <c r="G772" s="296"/>
      <c r="H772" s="296"/>
      <c r="I772" s="296"/>
      <c r="J772" s="296"/>
      <c r="K772" s="296"/>
      <c r="L772" s="296"/>
      <c r="M772" s="299"/>
      <c r="N772" s="299"/>
      <c r="O772" s="299"/>
      <c r="P772" s="299"/>
      <c r="Q772" s="299"/>
      <c r="R772" s="299"/>
      <c r="S772" s="299"/>
      <c r="T772" s="299"/>
      <c r="U772" s="299"/>
      <c r="V772" s="299"/>
      <c r="W772" s="299"/>
      <c r="X772" s="299"/>
      <c r="Y772" s="299"/>
      <c r="Z772" s="299"/>
      <c r="AA772" s="299"/>
      <c r="AB772" s="299"/>
      <c r="AC772" s="300"/>
      <c r="AD772" s="300"/>
    </row>
    <row r="773" spans="1:30" ht="12.75" customHeight="1" x14ac:dyDescent="0.2">
      <c r="A773" s="296"/>
      <c r="B773" s="296"/>
      <c r="C773" s="296"/>
      <c r="D773" s="298"/>
      <c r="E773" s="298"/>
      <c r="F773" s="296"/>
      <c r="G773" s="296"/>
      <c r="H773" s="296"/>
      <c r="I773" s="296"/>
      <c r="J773" s="296"/>
      <c r="K773" s="296"/>
      <c r="L773" s="296"/>
      <c r="M773" s="299"/>
      <c r="N773" s="299"/>
      <c r="O773" s="299"/>
      <c r="P773" s="299"/>
      <c r="Q773" s="299"/>
      <c r="R773" s="299"/>
      <c r="S773" s="299"/>
      <c r="T773" s="299"/>
      <c r="U773" s="299"/>
      <c r="V773" s="299"/>
      <c r="W773" s="299"/>
      <c r="X773" s="299"/>
      <c r="Y773" s="299"/>
      <c r="Z773" s="299"/>
      <c r="AA773" s="299"/>
      <c r="AB773" s="299"/>
      <c r="AC773" s="300"/>
      <c r="AD773" s="300"/>
    </row>
    <row r="774" spans="1:30" ht="12.75" customHeight="1" x14ac:dyDescent="0.2">
      <c r="A774" s="296"/>
      <c r="B774" s="296"/>
      <c r="C774" s="296"/>
      <c r="D774" s="298"/>
      <c r="E774" s="298"/>
      <c r="F774" s="296"/>
      <c r="G774" s="296"/>
      <c r="H774" s="296"/>
      <c r="I774" s="296"/>
      <c r="J774" s="296"/>
      <c r="K774" s="296"/>
      <c r="L774" s="296"/>
      <c r="M774" s="299"/>
      <c r="N774" s="299"/>
      <c r="O774" s="299"/>
      <c r="P774" s="299"/>
      <c r="Q774" s="299"/>
      <c r="R774" s="299"/>
      <c r="S774" s="299"/>
      <c r="T774" s="299"/>
      <c r="U774" s="299"/>
      <c r="V774" s="299"/>
      <c r="W774" s="299"/>
      <c r="X774" s="299"/>
      <c r="Y774" s="299"/>
      <c r="Z774" s="299"/>
      <c r="AA774" s="299"/>
      <c r="AB774" s="299"/>
      <c r="AC774" s="300"/>
      <c r="AD774" s="300"/>
    </row>
    <row r="775" spans="1:30" ht="12.75" customHeight="1" x14ac:dyDescent="0.2">
      <c r="A775" s="296"/>
      <c r="B775" s="296"/>
      <c r="C775" s="296"/>
      <c r="D775" s="298"/>
      <c r="E775" s="298"/>
      <c r="F775" s="296"/>
      <c r="G775" s="296"/>
      <c r="H775" s="296"/>
      <c r="I775" s="296"/>
      <c r="J775" s="296"/>
      <c r="K775" s="296"/>
      <c r="L775" s="296"/>
      <c r="M775" s="299"/>
      <c r="N775" s="299"/>
      <c r="O775" s="299"/>
      <c r="P775" s="299"/>
      <c r="Q775" s="299"/>
      <c r="R775" s="299"/>
      <c r="S775" s="299"/>
      <c r="T775" s="299"/>
      <c r="U775" s="299"/>
      <c r="V775" s="299"/>
      <c r="W775" s="299"/>
      <c r="X775" s="299"/>
      <c r="Y775" s="299"/>
      <c r="Z775" s="299"/>
      <c r="AA775" s="299"/>
      <c r="AB775" s="299"/>
      <c r="AC775" s="300"/>
      <c r="AD775" s="300"/>
    </row>
    <row r="776" spans="1:30" ht="12.75" customHeight="1" x14ac:dyDescent="0.2">
      <c r="A776" s="296"/>
      <c r="B776" s="296"/>
      <c r="C776" s="296"/>
      <c r="D776" s="298"/>
      <c r="E776" s="298"/>
      <c r="F776" s="296"/>
      <c r="G776" s="296"/>
      <c r="H776" s="296"/>
      <c r="I776" s="296"/>
      <c r="J776" s="296"/>
      <c r="K776" s="296"/>
      <c r="L776" s="296"/>
      <c r="M776" s="299"/>
      <c r="N776" s="299"/>
      <c r="O776" s="299"/>
      <c r="P776" s="299"/>
      <c r="Q776" s="299"/>
      <c r="R776" s="299"/>
      <c r="S776" s="299"/>
      <c r="T776" s="299"/>
      <c r="U776" s="299"/>
      <c r="V776" s="299"/>
      <c r="W776" s="299"/>
      <c r="X776" s="299"/>
      <c r="Y776" s="299"/>
      <c r="Z776" s="299"/>
      <c r="AA776" s="299"/>
      <c r="AB776" s="299"/>
      <c r="AC776" s="300"/>
      <c r="AD776" s="300"/>
    </row>
    <row r="777" spans="1:30" ht="12.75" customHeight="1" x14ac:dyDescent="0.2">
      <c r="A777" s="296"/>
      <c r="B777" s="296"/>
      <c r="C777" s="296"/>
      <c r="D777" s="298"/>
      <c r="E777" s="298"/>
      <c r="F777" s="296"/>
      <c r="G777" s="296"/>
      <c r="H777" s="296"/>
      <c r="I777" s="296"/>
      <c r="J777" s="296"/>
      <c r="K777" s="296"/>
      <c r="L777" s="296"/>
      <c r="M777" s="299"/>
      <c r="N777" s="299"/>
      <c r="O777" s="299"/>
      <c r="P777" s="299"/>
      <c r="Q777" s="299"/>
      <c r="R777" s="299"/>
      <c r="S777" s="299"/>
      <c r="T777" s="299"/>
      <c r="U777" s="299"/>
      <c r="V777" s="299"/>
      <c r="W777" s="299"/>
      <c r="X777" s="299"/>
      <c r="Y777" s="299"/>
      <c r="Z777" s="299"/>
      <c r="AA777" s="299"/>
      <c r="AB777" s="299"/>
      <c r="AC777" s="300"/>
      <c r="AD777" s="300"/>
    </row>
    <row r="778" spans="1:30" ht="12.75" customHeight="1" x14ac:dyDescent="0.2">
      <c r="A778" s="296"/>
      <c r="B778" s="296"/>
      <c r="C778" s="296"/>
      <c r="D778" s="298"/>
      <c r="E778" s="298"/>
      <c r="F778" s="296"/>
      <c r="G778" s="296"/>
      <c r="H778" s="296"/>
      <c r="I778" s="296"/>
      <c r="J778" s="296"/>
      <c r="K778" s="296"/>
      <c r="L778" s="296"/>
      <c r="M778" s="299"/>
      <c r="N778" s="299"/>
      <c r="O778" s="299"/>
      <c r="P778" s="299"/>
      <c r="Q778" s="299"/>
      <c r="R778" s="299"/>
      <c r="S778" s="299"/>
      <c r="T778" s="299"/>
      <c r="U778" s="299"/>
      <c r="V778" s="299"/>
      <c r="W778" s="299"/>
      <c r="X778" s="299"/>
      <c r="Y778" s="299"/>
      <c r="Z778" s="299"/>
      <c r="AA778" s="299"/>
      <c r="AB778" s="299"/>
      <c r="AC778" s="300"/>
      <c r="AD778" s="300"/>
    </row>
    <row r="779" spans="1:30" ht="12.75" customHeight="1" x14ac:dyDescent="0.2">
      <c r="A779" s="296"/>
      <c r="B779" s="296"/>
      <c r="C779" s="296"/>
      <c r="D779" s="298"/>
      <c r="E779" s="298"/>
      <c r="F779" s="296"/>
      <c r="G779" s="296"/>
      <c r="H779" s="296"/>
      <c r="I779" s="296"/>
      <c r="J779" s="296"/>
      <c r="K779" s="296"/>
      <c r="L779" s="296"/>
      <c r="M779" s="299"/>
      <c r="N779" s="299"/>
      <c r="O779" s="299"/>
      <c r="P779" s="299"/>
      <c r="Q779" s="299"/>
      <c r="R779" s="299"/>
      <c r="S779" s="299"/>
      <c r="T779" s="299"/>
      <c r="U779" s="299"/>
      <c r="V779" s="299"/>
      <c r="W779" s="299"/>
      <c r="X779" s="299"/>
      <c r="Y779" s="299"/>
      <c r="Z779" s="299"/>
      <c r="AA779" s="299"/>
      <c r="AB779" s="299"/>
      <c r="AC779" s="300"/>
      <c r="AD779" s="300"/>
    </row>
    <row r="780" spans="1:30" ht="12.75" customHeight="1" x14ac:dyDescent="0.2">
      <c r="A780" s="296"/>
      <c r="B780" s="296"/>
      <c r="C780" s="296"/>
      <c r="D780" s="298"/>
      <c r="E780" s="298"/>
      <c r="F780" s="296"/>
      <c r="G780" s="296"/>
      <c r="H780" s="296"/>
      <c r="I780" s="296"/>
      <c r="J780" s="296"/>
      <c r="K780" s="296"/>
      <c r="L780" s="296"/>
      <c r="M780" s="299"/>
      <c r="N780" s="299"/>
      <c r="O780" s="299"/>
      <c r="P780" s="299"/>
      <c r="Q780" s="299"/>
      <c r="R780" s="299"/>
      <c r="S780" s="299"/>
      <c r="T780" s="299"/>
      <c r="U780" s="299"/>
      <c r="V780" s="299"/>
      <c r="W780" s="299"/>
      <c r="X780" s="299"/>
      <c r="Y780" s="299"/>
      <c r="Z780" s="299"/>
      <c r="AA780" s="299"/>
      <c r="AB780" s="299"/>
      <c r="AC780" s="300"/>
      <c r="AD780" s="300"/>
    </row>
    <row r="781" spans="1:30" ht="12.75" customHeight="1" x14ac:dyDescent="0.2">
      <c r="A781" s="296"/>
      <c r="B781" s="296"/>
      <c r="C781" s="296"/>
      <c r="D781" s="298"/>
      <c r="E781" s="298"/>
      <c r="F781" s="296"/>
      <c r="G781" s="296"/>
      <c r="H781" s="296"/>
      <c r="I781" s="296"/>
      <c r="J781" s="296"/>
      <c r="K781" s="296"/>
      <c r="L781" s="296"/>
      <c r="M781" s="299"/>
      <c r="N781" s="299"/>
      <c r="O781" s="299"/>
      <c r="P781" s="299"/>
      <c r="Q781" s="299"/>
      <c r="R781" s="299"/>
      <c r="S781" s="299"/>
      <c r="T781" s="299"/>
      <c r="U781" s="299"/>
      <c r="V781" s="299"/>
      <c r="W781" s="299"/>
      <c r="X781" s="299"/>
      <c r="Y781" s="299"/>
      <c r="Z781" s="299"/>
      <c r="AA781" s="299"/>
      <c r="AB781" s="299"/>
      <c r="AC781" s="300"/>
      <c r="AD781" s="300"/>
    </row>
    <row r="782" spans="1:30" ht="12.75" customHeight="1" x14ac:dyDescent="0.2">
      <c r="A782" s="296"/>
      <c r="B782" s="296"/>
      <c r="C782" s="296"/>
      <c r="D782" s="298"/>
      <c r="E782" s="298"/>
      <c r="F782" s="296"/>
      <c r="G782" s="296"/>
      <c r="H782" s="296"/>
      <c r="I782" s="296"/>
      <c r="J782" s="296"/>
      <c r="K782" s="296"/>
      <c r="L782" s="296"/>
      <c r="M782" s="299"/>
      <c r="N782" s="299"/>
      <c r="O782" s="299"/>
      <c r="P782" s="299"/>
      <c r="Q782" s="299"/>
      <c r="R782" s="299"/>
      <c r="S782" s="299"/>
      <c r="T782" s="299"/>
      <c r="U782" s="299"/>
      <c r="V782" s="299"/>
      <c r="W782" s="299"/>
      <c r="X782" s="299"/>
      <c r="Y782" s="299"/>
      <c r="Z782" s="299"/>
      <c r="AA782" s="299"/>
      <c r="AB782" s="299"/>
      <c r="AC782" s="300"/>
      <c r="AD782" s="300"/>
    </row>
    <row r="783" spans="1:30" ht="12.75" customHeight="1" x14ac:dyDescent="0.2">
      <c r="A783" s="296"/>
      <c r="B783" s="296"/>
      <c r="C783" s="296"/>
      <c r="D783" s="298"/>
      <c r="E783" s="298"/>
      <c r="F783" s="296"/>
      <c r="G783" s="296"/>
      <c r="H783" s="296"/>
      <c r="I783" s="296"/>
      <c r="J783" s="296"/>
      <c r="K783" s="296"/>
      <c r="L783" s="296"/>
      <c r="M783" s="299"/>
      <c r="N783" s="299"/>
      <c r="O783" s="299"/>
      <c r="P783" s="299"/>
      <c r="Q783" s="299"/>
      <c r="R783" s="299"/>
      <c r="S783" s="299"/>
      <c r="T783" s="299"/>
      <c r="U783" s="299"/>
      <c r="V783" s="299"/>
      <c r="W783" s="299"/>
      <c r="X783" s="299"/>
      <c r="Y783" s="299"/>
      <c r="Z783" s="299"/>
      <c r="AA783" s="299"/>
      <c r="AB783" s="299"/>
      <c r="AC783" s="300"/>
      <c r="AD783" s="300"/>
    </row>
    <row r="784" spans="1:30" ht="12.75" customHeight="1" x14ac:dyDescent="0.2">
      <c r="A784" s="296"/>
      <c r="B784" s="296"/>
      <c r="C784" s="296"/>
      <c r="D784" s="298"/>
      <c r="E784" s="298"/>
      <c r="F784" s="296"/>
      <c r="G784" s="296"/>
      <c r="H784" s="296"/>
      <c r="I784" s="296"/>
      <c r="J784" s="296"/>
      <c r="K784" s="296"/>
      <c r="L784" s="296"/>
      <c r="M784" s="299"/>
      <c r="N784" s="299"/>
      <c r="O784" s="299"/>
      <c r="P784" s="299"/>
      <c r="Q784" s="299"/>
      <c r="R784" s="299"/>
      <c r="S784" s="299"/>
      <c r="T784" s="299"/>
      <c r="U784" s="299"/>
      <c r="V784" s="299"/>
      <c r="W784" s="299"/>
      <c r="X784" s="299"/>
      <c r="Y784" s="299"/>
      <c r="Z784" s="299"/>
      <c r="AA784" s="299"/>
      <c r="AB784" s="299"/>
      <c r="AC784" s="300"/>
      <c r="AD784" s="300"/>
    </row>
    <row r="785" spans="1:30" ht="12.75" customHeight="1" x14ac:dyDescent="0.2">
      <c r="A785" s="296"/>
      <c r="B785" s="296"/>
      <c r="C785" s="296"/>
      <c r="D785" s="298"/>
      <c r="E785" s="298"/>
      <c r="F785" s="296"/>
      <c r="G785" s="296"/>
      <c r="H785" s="296"/>
      <c r="I785" s="296"/>
      <c r="J785" s="296"/>
      <c r="K785" s="296"/>
      <c r="L785" s="296"/>
      <c r="M785" s="299"/>
      <c r="N785" s="299"/>
      <c r="O785" s="299"/>
      <c r="P785" s="299"/>
      <c r="Q785" s="299"/>
      <c r="R785" s="299"/>
      <c r="S785" s="299"/>
      <c r="T785" s="299"/>
      <c r="U785" s="299"/>
      <c r="V785" s="299"/>
      <c r="W785" s="299"/>
      <c r="X785" s="299"/>
      <c r="Y785" s="299"/>
      <c r="Z785" s="299"/>
      <c r="AA785" s="299"/>
      <c r="AB785" s="299"/>
      <c r="AC785" s="300"/>
      <c r="AD785" s="300"/>
    </row>
    <row r="786" spans="1:30" ht="12.75" customHeight="1" x14ac:dyDescent="0.2">
      <c r="A786" s="296"/>
      <c r="B786" s="296"/>
      <c r="C786" s="296"/>
      <c r="D786" s="298"/>
      <c r="E786" s="298"/>
      <c r="F786" s="296"/>
      <c r="G786" s="296"/>
      <c r="H786" s="296"/>
      <c r="I786" s="296"/>
      <c r="J786" s="296"/>
      <c r="K786" s="296"/>
      <c r="L786" s="296"/>
      <c r="M786" s="299"/>
      <c r="N786" s="299"/>
      <c r="O786" s="299"/>
      <c r="P786" s="299"/>
      <c r="Q786" s="299"/>
      <c r="R786" s="299"/>
      <c r="S786" s="299"/>
      <c r="T786" s="299"/>
      <c r="U786" s="299"/>
      <c r="V786" s="299"/>
      <c r="W786" s="299"/>
      <c r="X786" s="299"/>
      <c r="Y786" s="299"/>
      <c r="Z786" s="299"/>
      <c r="AA786" s="299"/>
      <c r="AB786" s="299"/>
      <c r="AC786" s="300"/>
      <c r="AD786" s="300"/>
    </row>
    <row r="787" spans="1:30" ht="12.75" customHeight="1" x14ac:dyDescent="0.2">
      <c r="A787" s="296"/>
      <c r="B787" s="296"/>
      <c r="C787" s="296"/>
      <c r="D787" s="298"/>
      <c r="E787" s="298"/>
      <c r="F787" s="296"/>
      <c r="G787" s="296"/>
      <c r="H787" s="296"/>
      <c r="I787" s="296"/>
      <c r="J787" s="296"/>
      <c r="K787" s="296"/>
      <c r="L787" s="296"/>
      <c r="M787" s="299"/>
      <c r="N787" s="299"/>
      <c r="O787" s="299"/>
      <c r="P787" s="299"/>
      <c r="Q787" s="299"/>
      <c r="R787" s="299"/>
      <c r="S787" s="299"/>
      <c r="T787" s="299"/>
      <c r="U787" s="299"/>
      <c r="V787" s="299"/>
      <c r="W787" s="299"/>
      <c r="X787" s="299"/>
      <c r="Y787" s="299"/>
      <c r="Z787" s="299"/>
      <c r="AA787" s="299"/>
      <c r="AB787" s="299"/>
      <c r="AC787" s="300"/>
      <c r="AD787" s="300"/>
    </row>
    <row r="788" spans="1:30" ht="12.75" customHeight="1" x14ac:dyDescent="0.2">
      <c r="A788" s="296"/>
      <c r="B788" s="296"/>
      <c r="C788" s="296"/>
      <c r="D788" s="298"/>
      <c r="E788" s="298"/>
      <c r="F788" s="296"/>
      <c r="G788" s="296"/>
      <c r="H788" s="296"/>
      <c r="I788" s="296"/>
      <c r="J788" s="296"/>
      <c r="K788" s="296"/>
      <c r="L788" s="296"/>
      <c r="M788" s="299"/>
      <c r="N788" s="299"/>
      <c r="O788" s="299"/>
      <c r="P788" s="299"/>
      <c r="Q788" s="299"/>
      <c r="R788" s="299"/>
      <c r="S788" s="299"/>
      <c r="T788" s="299"/>
      <c r="U788" s="299"/>
      <c r="V788" s="299"/>
      <c r="W788" s="299"/>
      <c r="X788" s="299"/>
      <c r="Y788" s="299"/>
      <c r="Z788" s="299"/>
      <c r="AA788" s="299"/>
      <c r="AB788" s="299"/>
      <c r="AC788" s="300"/>
      <c r="AD788" s="300"/>
    </row>
    <row r="789" spans="1:30" ht="12.75" customHeight="1" x14ac:dyDescent="0.2">
      <c r="A789" s="296"/>
      <c r="B789" s="296"/>
      <c r="C789" s="296"/>
      <c r="D789" s="298"/>
      <c r="E789" s="298"/>
      <c r="F789" s="296"/>
      <c r="G789" s="296"/>
      <c r="H789" s="296"/>
      <c r="I789" s="296"/>
      <c r="J789" s="296"/>
      <c r="K789" s="296"/>
      <c r="L789" s="296"/>
      <c r="M789" s="299"/>
      <c r="N789" s="299"/>
      <c r="O789" s="299"/>
      <c r="P789" s="299"/>
      <c r="Q789" s="299"/>
      <c r="R789" s="299"/>
      <c r="S789" s="299"/>
      <c r="T789" s="299"/>
      <c r="U789" s="299"/>
      <c r="V789" s="299"/>
      <c r="W789" s="299"/>
      <c r="X789" s="299"/>
      <c r="Y789" s="299"/>
      <c r="Z789" s="299"/>
      <c r="AA789" s="299"/>
      <c r="AB789" s="299"/>
      <c r="AC789" s="300"/>
      <c r="AD789" s="300"/>
    </row>
    <row r="790" spans="1:30" ht="12.75" customHeight="1" x14ac:dyDescent="0.2">
      <c r="A790" s="296"/>
      <c r="B790" s="296"/>
      <c r="C790" s="296"/>
      <c r="D790" s="298"/>
      <c r="E790" s="298"/>
      <c r="F790" s="296"/>
      <c r="G790" s="296"/>
      <c r="H790" s="296"/>
      <c r="I790" s="296"/>
      <c r="J790" s="296"/>
      <c r="K790" s="296"/>
      <c r="L790" s="296"/>
      <c r="M790" s="299"/>
      <c r="N790" s="299"/>
      <c r="O790" s="299"/>
      <c r="P790" s="299"/>
      <c r="Q790" s="299"/>
      <c r="R790" s="299"/>
      <c r="S790" s="299"/>
      <c r="T790" s="299"/>
      <c r="U790" s="299"/>
      <c r="V790" s="299"/>
      <c r="W790" s="299"/>
      <c r="X790" s="299"/>
      <c r="Y790" s="299"/>
      <c r="Z790" s="299"/>
      <c r="AA790" s="299"/>
      <c r="AB790" s="299"/>
      <c r="AC790" s="300"/>
      <c r="AD790" s="300"/>
    </row>
    <row r="791" spans="1:30" ht="12.75" customHeight="1" x14ac:dyDescent="0.2">
      <c r="A791" s="296"/>
      <c r="B791" s="296"/>
      <c r="C791" s="296"/>
      <c r="D791" s="298"/>
      <c r="E791" s="298"/>
      <c r="F791" s="296"/>
      <c r="G791" s="296"/>
      <c r="H791" s="296"/>
      <c r="I791" s="296"/>
      <c r="J791" s="296"/>
      <c r="K791" s="296"/>
      <c r="L791" s="296"/>
      <c r="M791" s="299"/>
      <c r="N791" s="299"/>
      <c r="O791" s="299"/>
      <c r="P791" s="299"/>
      <c r="Q791" s="299"/>
      <c r="R791" s="299"/>
      <c r="S791" s="299"/>
      <c r="T791" s="299"/>
      <c r="U791" s="299"/>
      <c r="V791" s="299"/>
      <c r="W791" s="299"/>
      <c r="X791" s="299"/>
      <c r="Y791" s="299"/>
      <c r="Z791" s="299"/>
      <c r="AA791" s="299"/>
      <c r="AB791" s="299"/>
      <c r="AC791" s="300"/>
      <c r="AD791" s="300"/>
    </row>
    <row r="792" spans="1:30" ht="12.75" customHeight="1" x14ac:dyDescent="0.2">
      <c r="A792" s="296"/>
      <c r="B792" s="296"/>
      <c r="C792" s="296"/>
      <c r="D792" s="298"/>
      <c r="E792" s="298"/>
      <c r="F792" s="296"/>
      <c r="G792" s="296"/>
      <c r="H792" s="296"/>
      <c r="I792" s="296"/>
      <c r="J792" s="296"/>
      <c r="K792" s="296"/>
      <c r="L792" s="296"/>
      <c r="M792" s="299"/>
      <c r="N792" s="299"/>
      <c r="O792" s="299"/>
      <c r="P792" s="299"/>
      <c r="Q792" s="299"/>
      <c r="R792" s="299"/>
      <c r="S792" s="299"/>
      <c r="T792" s="299"/>
      <c r="U792" s="299"/>
      <c r="V792" s="299"/>
      <c r="W792" s="299"/>
      <c r="X792" s="299"/>
      <c r="Y792" s="299"/>
      <c r="Z792" s="299"/>
      <c r="AA792" s="299"/>
      <c r="AB792" s="299"/>
      <c r="AC792" s="300"/>
      <c r="AD792" s="300"/>
    </row>
    <row r="793" spans="1:30" ht="12.75" customHeight="1" x14ac:dyDescent="0.2">
      <c r="A793" s="296"/>
      <c r="B793" s="296"/>
      <c r="C793" s="296"/>
      <c r="D793" s="298"/>
      <c r="E793" s="298"/>
      <c r="F793" s="296"/>
      <c r="G793" s="296"/>
      <c r="H793" s="296"/>
      <c r="I793" s="296"/>
      <c r="J793" s="296"/>
      <c r="K793" s="296"/>
      <c r="L793" s="296"/>
      <c r="M793" s="299"/>
      <c r="N793" s="299"/>
      <c r="O793" s="299"/>
      <c r="P793" s="299"/>
      <c r="Q793" s="299"/>
      <c r="R793" s="299"/>
      <c r="S793" s="299"/>
      <c r="T793" s="299"/>
      <c r="U793" s="299"/>
      <c r="V793" s="299"/>
      <c r="W793" s="299"/>
      <c r="X793" s="299"/>
      <c r="Y793" s="299"/>
      <c r="Z793" s="299"/>
      <c r="AA793" s="299"/>
      <c r="AB793" s="299"/>
      <c r="AC793" s="300"/>
      <c r="AD793" s="300"/>
    </row>
    <row r="794" spans="1:30" ht="12.75" customHeight="1" x14ac:dyDescent="0.2">
      <c r="A794" s="296"/>
      <c r="B794" s="296"/>
      <c r="C794" s="296"/>
      <c r="D794" s="298"/>
      <c r="E794" s="298"/>
      <c r="F794" s="296"/>
      <c r="G794" s="296"/>
      <c r="H794" s="296"/>
      <c r="I794" s="296"/>
      <c r="J794" s="296"/>
      <c r="K794" s="296"/>
      <c r="L794" s="296"/>
      <c r="M794" s="299"/>
      <c r="N794" s="299"/>
      <c r="O794" s="299"/>
      <c r="P794" s="299"/>
      <c r="Q794" s="299"/>
      <c r="R794" s="299"/>
      <c r="S794" s="299"/>
      <c r="T794" s="299"/>
      <c r="U794" s="299"/>
      <c r="V794" s="299"/>
      <c r="W794" s="299"/>
      <c r="X794" s="299"/>
      <c r="Y794" s="299"/>
      <c r="Z794" s="299"/>
      <c r="AA794" s="299"/>
      <c r="AB794" s="299"/>
      <c r="AC794" s="300"/>
      <c r="AD794" s="300"/>
    </row>
    <row r="795" spans="1:30" ht="12.75" customHeight="1" x14ac:dyDescent="0.2">
      <c r="A795" s="296"/>
      <c r="B795" s="296"/>
      <c r="C795" s="296"/>
      <c r="D795" s="298"/>
      <c r="E795" s="298"/>
      <c r="F795" s="296"/>
      <c r="G795" s="296"/>
      <c r="H795" s="296"/>
      <c r="I795" s="296"/>
      <c r="J795" s="296"/>
      <c r="K795" s="296"/>
      <c r="L795" s="296"/>
      <c r="M795" s="299"/>
      <c r="N795" s="299"/>
      <c r="O795" s="299"/>
      <c r="P795" s="299"/>
      <c r="Q795" s="299"/>
      <c r="R795" s="299"/>
      <c r="S795" s="299"/>
      <c r="T795" s="299"/>
      <c r="U795" s="299"/>
      <c r="V795" s="299"/>
      <c r="W795" s="299"/>
      <c r="X795" s="299"/>
      <c r="Y795" s="299"/>
      <c r="Z795" s="299"/>
      <c r="AA795" s="299"/>
      <c r="AB795" s="299"/>
      <c r="AC795" s="300"/>
      <c r="AD795" s="300"/>
    </row>
    <row r="796" spans="1:30" ht="12.75" customHeight="1" x14ac:dyDescent="0.2">
      <c r="A796" s="296"/>
      <c r="B796" s="296"/>
      <c r="C796" s="296"/>
      <c r="D796" s="298"/>
      <c r="E796" s="298"/>
      <c r="F796" s="296"/>
      <c r="G796" s="296"/>
      <c r="H796" s="296"/>
      <c r="I796" s="296"/>
      <c r="J796" s="296"/>
      <c r="K796" s="296"/>
      <c r="L796" s="296"/>
      <c r="M796" s="299"/>
      <c r="N796" s="299"/>
      <c r="O796" s="299"/>
      <c r="P796" s="299"/>
      <c r="Q796" s="299"/>
      <c r="R796" s="299"/>
      <c r="S796" s="299"/>
      <c r="T796" s="299"/>
      <c r="U796" s="299"/>
      <c r="V796" s="299"/>
      <c r="W796" s="299"/>
      <c r="X796" s="299"/>
      <c r="Y796" s="299"/>
      <c r="Z796" s="299"/>
      <c r="AA796" s="299"/>
      <c r="AB796" s="299"/>
      <c r="AC796" s="300"/>
      <c r="AD796" s="300"/>
    </row>
    <row r="797" spans="1:30" ht="12.75" customHeight="1" x14ac:dyDescent="0.2">
      <c r="A797" s="296"/>
      <c r="B797" s="296"/>
      <c r="C797" s="296"/>
      <c r="D797" s="298"/>
      <c r="E797" s="298"/>
      <c r="F797" s="296"/>
      <c r="G797" s="296"/>
      <c r="H797" s="296"/>
      <c r="I797" s="296"/>
      <c r="J797" s="296"/>
      <c r="K797" s="296"/>
      <c r="L797" s="296"/>
      <c r="M797" s="299"/>
      <c r="N797" s="299"/>
      <c r="O797" s="299"/>
      <c r="P797" s="299"/>
      <c r="Q797" s="299"/>
      <c r="R797" s="299"/>
      <c r="S797" s="299"/>
      <c r="T797" s="299"/>
      <c r="U797" s="299"/>
      <c r="V797" s="299"/>
      <c r="W797" s="299"/>
      <c r="X797" s="299"/>
      <c r="Y797" s="299"/>
      <c r="Z797" s="299"/>
      <c r="AA797" s="299"/>
      <c r="AB797" s="299"/>
      <c r="AC797" s="300"/>
      <c r="AD797" s="300"/>
    </row>
    <row r="798" spans="1:30" ht="12.75" customHeight="1" x14ac:dyDescent="0.2">
      <c r="A798" s="296"/>
      <c r="B798" s="296"/>
      <c r="C798" s="296"/>
      <c r="D798" s="298"/>
      <c r="E798" s="298"/>
      <c r="F798" s="296"/>
      <c r="G798" s="296"/>
      <c r="H798" s="296"/>
      <c r="I798" s="296"/>
      <c r="J798" s="296"/>
      <c r="K798" s="296"/>
      <c r="L798" s="296"/>
      <c r="M798" s="299"/>
      <c r="N798" s="299"/>
      <c r="O798" s="299"/>
      <c r="P798" s="299"/>
      <c r="Q798" s="299"/>
      <c r="R798" s="299"/>
      <c r="S798" s="299"/>
      <c r="T798" s="299"/>
      <c r="U798" s="299"/>
      <c r="V798" s="299"/>
      <c r="W798" s="299"/>
      <c r="X798" s="299"/>
      <c r="Y798" s="299"/>
      <c r="Z798" s="299"/>
      <c r="AA798" s="299"/>
      <c r="AB798" s="299"/>
      <c r="AC798" s="300"/>
      <c r="AD798" s="300"/>
    </row>
    <row r="799" spans="1:30" ht="12.75" customHeight="1" x14ac:dyDescent="0.2">
      <c r="A799" s="296"/>
      <c r="B799" s="296"/>
      <c r="C799" s="296"/>
      <c r="D799" s="298"/>
      <c r="E799" s="298"/>
      <c r="F799" s="296"/>
      <c r="G799" s="296"/>
      <c r="H799" s="296"/>
      <c r="I799" s="296"/>
      <c r="J799" s="296"/>
      <c r="K799" s="296"/>
      <c r="L799" s="296"/>
      <c r="M799" s="299"/>
      <c r="N799" s="299"/>
      <c r="O799" s="299"/>
      <c r="P799" s="299"/>
      <c r="Q799" s="299"/>
      <c r="R799" s="299"/>
      <c r="S799" s="299"/>
      <c r="T799" s="299"/>
      <c r="U799" s="299"/>
      <c r="V799" s="299"/>
      <c r="W799" s="299"/>
      <c r="X799" s="299"/>
      <c r="Y799" s="299"/>
      <c r="Z799" s="299"/>
      <c r="AA799" s="299"/>
      <c r="AB799" s="299"/>
      <c r="AC799" s="300"/>
      <c r="AD799" s="300"/>
    </row>
    <row r="800" spans="1:30" ht="12.75" customHeight="1" x14ac:dyDescent="0.2">
      <c r="A800" s="296"/>
      <c r="B800" s="296"/>
      <c r="C800" s="296"/>
      <c r="D800" s="298"/>
      <c r="E800" s="298"/>
      <c r="F800" s="296"/>
      <c r="G800" s="296"/>
      <c r="H800" s="296"/>
      <c r="I800" s="296"/>
      <c r="J800" s="296"/>
      <c r="K800" s="296"/>
      <c r="L800" s="296"/>
      <c r="M800" s="299"/>
      <c r="N800" s="299"/>
      <c r="O800" s="299"/>
      <c r="P800" s="299"/>
      <c r="Q800" s="299"/>
      <c r="R800" s="299"/>
      <c r="S800" s="299"/>
      <c r="T800" s="299"/>
      <c r="U800" s="299"/>
      <c r="V800" s="299"/>
      <c r="W800" s="299"/>
      <c r="X800" s="299"/>
      <c r="Y800" s="299"/>
      <c r="Z800" s="299"/>
      <c r="AA800" s="299"/>
      <c r="AB800" s="299"/>
      <c r="AC800" s="300"/>
      <c r="AD800" s="300"/>
    </row>
    <row r="801" spans="1:30" ht="12.75" customHeight="1" x14ac:dyDescent="0.2">
      <c r="A801" s="296"/>
      <c r="B801" s="296"/>
      <c r="C801" s="296"/>
      <c r="D801" s="298"/>
      <c r="E801" s="298"/>
      <c r="F801" s="296"/>
      <c r="G801" s="296"/>
      <c r="H801" s="296"/>
      <c r="I801" s="296"/>
      <c r="J801" s="296"/>
      <c r="K801" s="296"/>
      <c r="L801" s="296"/>
      <c r="M801" s="299"/>
      <c r="N801" s="299"/>
      <c r="O801" s="299"/>
      <c r="P801" s="299"/>
      <c r="Q801" s="299"/>
      <c r="R801" s="299"/>
      <c r="S801" s="299"/>
      <c r="T801" s="299"/>
      <c r="U801" s="299"/>
      <c r="V801" s="299"/>
      <c r="W801" s="299"/>
      <c r="X801" s="299"/>
      <c r="Y801" s="299"/>
      <c r="Z801" s="299"/>
      <c r="AA801" s="299"/>
      <c r="AB801" s="299"/>
      <c r="AC801" s="300"/>
      <c r="AD801" s="300"/>
    </row>
    <row r="802" spans="1:30" ht="12.75" customHeight="1" x14ac:dyDescent="0.2">
      <c r="A802" s="296"/>
      <c r="B802" s="296"/>
      <c r="C802" s="296"/>
      <c r="D802" s="298"/>
      <c r="E802" s="298"/>
      <c r="F802" s="296"/>
      <c r="G802" s="296"/>
      <c r="H802" s="296"/>
      <c r="I802" s="296"/>
      <c r="J802" s="296"/>
      <c r="K802" s="296"/>
      <c r="L802" s="296"/>
      <c r="M802" s="299"/>
      <c r="N802" s="299"/>
      <c r="O802" s="299"/>
      <c r="P802" s="299"/>
      <c r="Q802" s="299"/>
      <c r="R802" s="299"/>
      <c r="S802" s="299"/>
      <c r="T802" s="299"/>
      <c r="U802" s="299"/>
      <c r="V802" s="299"/>
      <c r="W802" s="299"/>
      <c r="X802" s="299"/>
      <c r="Y802" s="299"/>
      <c r="Z802" s="299"/>
      <c r="AA802" s="299"/>
      <c r="AB802" s="299"/>
      <c r="AC802" s="300"/>
      <c r="AD802" s="300"/>
    </row>
    <row r="803" spans="1:30" ht="12.75" customHeight="1" x14ac:dyDescent="0.2">
      <c r="A803" s="296"/>
      <c r="B803" s="296"/>
      <c r="C803" s="296"/>
      <c r="D803" s="298"/>
      <c r="E803" s="298"/>
      <c r="F803" s="296"/>
      <c r="G803" s="296"/>
      <c r="H803" s="296"/>
      <c r="I803" s="296"/>
      <c r="J803" s="296"/>
      <c r="K803" s="296"/>
      <c r="L803" s="296"/>
      <c r="M803" s="299"/>
      <c r="N803" s="299"/>
      <c r="O803" s="299"/>
      <c r="P803" s="299"/>
      <c r="Q803" s="299"/>
      <c r="R803" s="299"/>
      <c r="S803" s="299"/>
      <c r="T803" s="299"/>
      <c r="U803" s="299"/>
      <c r="V803" s="299"/>
      <c r="W803" s="299"/>
      <c r="X803" s="299"/>
      <c r="Y803" s="299"/>
      <c r="Z803" s="299"/>
      <c r="AA803" s="299"/>
      <c r="AB803" s="299"/>
      <c r="AC803" s="300"/>
      <c r="AD803" s="300"/>
    </row>
    <row r="804" spans="1:30" ht="12.75" customHeight="1" x14ac:dyDescent="0.2">
      <c r="A804" s="296"/>
      <c r="B804" s="296"/>
      <c r="C804" s="296"/>
      <c r="D804" s="298"/>
      <c r="E804" s="298"/>
      <c r="F804" s="296"/>
      <c r="G804" s="296"/>
      <c r="H804" s="296"/>
      <c r="I804" s="296"/>
      <c r="J804" s="296"/>
      <c r="K804" s="296"/>
      <c r="L804" s="296"/>
      <c r="M804" s="299"/>
      <c r="N804" s="299"/>
      <c r="O804" s="299"/>
      <c r="P804" s="299"/>
      <c r="Q804" s="299"/>
      <c r="R804" s="299"/>
      <c r="S804" s="299"/>
      <c r="T804" s="299"/>
      <c r="U804" s="299"/>
      <c r="V804" s="299"/>
      <c r="W804" s="299"/>
      <c r="X804" s="299"/>
      <c r="Y804" s="299"/>
      <c r="Z804" s="299"/>
      <c r="AA804" s="299"/>
      <c r="AB804" s="299"/>
      <c r="AC804" s="300"/>
      <c r="AD804" s="300"/>
    </row>
    <row r="805" spans="1:30" ht="12.75" customHeight="1" x14ac:dyDescent="0.2">
      <c r="A805" s="296"/>
      <c r="B805" s="296"/>
      <c r="C805" s="296"/>
      <c r="D805" s="298"/>
      <c r="E805" s="298"/>
      <c r="F805" s="296"/>
      <c r="G805" s="296"/>
      <c r="H805" s="296"/>
      <c r="I805" s="296"/>
      <c r="J805" s="296"/>
      <c r="K805" s="296"/>
      <c r="L805" s="296"/>
      <c r="M805" s="299"/>
      <c r="N805" s="299"/>
      <c r="O805" s="299"/>
      <c r="P805" s="299"/>
      <c r="Q805" s="299"/>
      <c r="R805" s="299"/>
      <c r="S805" s="299"/>
      <c r="T805" s="299"/>
      <c r="U805" s="299"/>
      <c r="V805" s="299"/>
      <c r="W805" s="299"/>
      <c r="X805" s="299"/>
      <c r="Y805" s="299"/>
      <c r="Z805" s="299"/>
      <c r="AA805" s="299"/>
      <c r="AB805" s="299"/>
      <c r="AC805" s="300"/>
      <c r="AD805" s="300"/>
    </row>
    <row r="806" spans="1:30" ht="12.75" customHeight="1" x14ac:dyDescent="0.2">
      <c r="A806" s="296"/>
      <c r="B806" s="296"/>
      <c r="C806" s="296"/>
      <c r="D806" s="298"/>
      <c r="E806" s="298"/>
      <c r="F806" s="296"/>
      <c r="G806" s="296"/>
      <c r="H806" s="296"/>
      <c r="I806" s="296"/>
      <c r="J806" s="296"/>
      <c r="K806" s="296"/>
      <c r="L806" s="296"/>
      <c r="M806" s="299"/>
      <c r="N806" s="299"/>
      <c r="O806" s="299"/>
      <c r="P806" s="299"/>
      <c r="Q806" s="299"/>
      <c r="R806" s="299"/>
      <c r="S806" s="299"/>
      <c r="T806" s="299"/>
      <c r="U806" s="299"/>
      <c r="V806" s="299"/>
      <c r="W806" s="299"/>
      <c r="X806" s="299"/>
      <c r="Y806" s="299"/>
      <c r="Z806" s="299"/>
      <c r="AA806" s="299"/>
      <c r="AB806" s="299"/>
      <c r="AC806" s="300"/>
      <c r="AD806" s="300"/>
    </row>
    <row r="807" spans="1:30" ht="12.75" customHeight="1" x14ac:dyDescent="0.2">
      <c r="A807" s="296"/>
      <c r="B807" s="296"/>
      <c r="C807" s="296"/>
      <c r="D807" s="298"/>
      <c r="E807" s="298"/>
      <c r="F807" s="296"/>
      <c r="G807" s="296"/>
      <c r="H807" s="296"/>
      <c r="I807" s="296"/>
      <c r="J807" s="296"/>
      <c r="K807" s="296"/>
      <c r="L807" s="296"/>
      <c r="M807" s="299"/>
      <c r="N807" s="299"/>
      <c r="O807" s="299"/>
      <c r="P807" s="299"/>
      <c r="Q807" s="299"/>
      <c r="R807" s="299"/>
      <c r="S807" s="299"/>
      <c r="T807" s="299"/>
      <c r="U807" s="299"/>
      <c r="V807" s="299"/>
      <c r="W807" s="299"/>
      <c r="X807" s="299"/>
      <c r="Y807" s="299"/>
      <c r="Z807" s="299"/>
      <c r="AA807" s="299"/>
      <c r="AB807" s="299"/>
      <c r="AC807" s="300"/>
      <c r="AD807" s="300"/>
    </row>
    <row r="808" spans="1:30" ht="12.75" customHeight="1" x14ac:dyDescent="0.2">
      <c r="A808" s="296"/>
      <c r="B808" s="296"/>
      <c r="C808" s="296"/>
      <c r="D808" s="298"/>
      <c r="E808" s="298"/>
      <c r="F808" s="296"/>
      <c r="G808" s="296"/>
      <c r="H808" s="296"/>
      <c r="I808" s="296"/>
      <c r="J808" s="296"/>
      <c r="K808" s="296"/>
      <c r="L808" s="296"/>
      <c r="M808" s="299"/>
      <c r="N808" s="299"/>
      <c r="O808" s="299"/>
      <c r="P808" s="299"/>
      <c r="Q808" s="299"/>
      <c r="R808" s="299"/>
      <c r="S808" s="299"/>
      <c r="T808" s="299"/>
      <c r="U808" s="299"/>
      <c r="V808" s="299"/>
      <c r="W808" s="299"/>
      <c r="X808" s="299"/>
      <c r="Y808" s="299"/>
      <c r="Z808" s="299"/>
      <c r="AA808" s="299"/>
      <c r="AB808" s="299"/>
      <c r="AC808" s="300"/>
      <c r="AD808" s="300"/>
    </row>
    <row r="809" spans="1:30" ht="12.75" customHeight="1" x14ac:dyDescent="0.2">
      <c r="A809" s="296"/>
      <c r="B809" s="296"/>
      <c r="C809" s="296"/>
      <c r="D809" s="298"/>
      <c r="E809" s="298"/>
      <c r="F809" s="296"/>
      <c r="G809" s="296"/>
      <c r="H809" s="296"/>
      <c r="I809" s="296"/>
      <c r="J809" s="296"/>
      <c r="K809" s="296"/>
      <c r="L809" s="296"/>
      <c r="M809" s="299"/>
      <c r="N809" s="299"/>
      <c r="O809" s="299"/>
      <c r="P809" s="299"/>
      <c r="Q809" s="299"/>
      <c r="R809" s="299"/>
      <c r="S809" s="299"/>
      <c r="T809" s="299"/>
      <c r="U809" s="299"/>
      <c r="V809" s="299"/>
      <c r="W809" s="299"/>
      <c r="X809" s="299"/>
      <c r="Y809" s="299"/>
      <c r="Z809" s="299"/>
      <c r="AA809" s="299"/>
      <c r="AB809" s="299"/>
      <c r="AC809" s="300"/>
      <c r="AD809" s="300"/>
    </row>
    <row r="810" spans="1:30" ht="12.75" customHeight="1" x14ac:dyDescent="0.2">
      <c r="A810" s="296"/>
      <c r="B810" s="296"/>
      <c r="C810" s="296"/>
      <c r="D810" s="298"/>
      <c r="E810" s="298"/>
      <c r="F810" s="296"/>
      <c r="G810" s="296"/>
      <c r="H810" s="296"/>
      <c r="I810" s="296"/>
      <c r="J810" s="296"/>
      <c r="K810" s="296"/>
      <c r="L810" s="296"/>
      <c r="M810" s="299"/>
      <c r="N810" s="299"/>
      <c r="O810" s="299"/>
      <c r="P810" s="299"/>
      <c r="Q810" s="299"/>
      <c r="R810" s="299"/>
      <c r="S810" s="299"/>
      <c r="T810" s="299"/>
      <c r="U810" s="299"/>
      <c r="V810" s="299"/>
      <c r="W810" s="299"/>
      <c r="X810" s="299"/>
      <c r="Y810" s="299"/>
      <c r="Z810" s="299"/>
      <c r="AA810" s="299"/>
      <c r="AB810" s="299"/>
      <c r="AC810" s="300"/>
      <c r="AD810" s="300"/>
    </row>
    <row r="811" spans="1:30" ht="12.75" customHeight="1" x14ac:dyDescent="0.2">
      <c r="A811" s="296"/>
      <c r="B811" s="296"/>
      <c r="C811" s="296"/>
      <c r="D811" s="298"/>
      <c r="E811" s="298"/>
      <c r="F811" s="296"/>
      <c r="G811" s="296"/>
      <c r="H811" s="296"/>
      <c r="I811" s="296"/>
      <c r="J811" s="296"/>
      <c r="K811" s="296"/>
      <c r="L811" s="296"/>
      <c r="M811" s="299"/>
      <c r="N811" s="299"/>
      <c r="O811" s="299"/>
      <c r="P811" s="299"/>
      <c r="Q811" s="299"/>
      <c r="R811" s="299"/>
      <c r="S811" s="299"/>
      <c r="T811" s="299"/>
      <c r="U811" s="299"/>
      <c r="V811" s="299"/>
      <c r="W811" s="299"/>
      <c r="X811" s="299"/>
      <c r="Y811" s="299"/>
      <c r="Z811" s="299"/>
      <c r="AA811" s="299"/>
      <c r="AB811" s="299"/>
      <c r="AC811" s="300"/>
      <c r="AD811" s="300"/>
    </row>
    <row r="812" spans="1:30" ht="12.75" customHeight="1" x14ac:dyDescent="0.2">
      <c r="A812" s="296"/>
      <c r="B812" s="296"/>
      <c r="C812" s="296"/>
      <c r="D812" s="298"/>
      <c r="E812" s="298"/>
      <c r="F812" s="296"/>
      <c r="G812" s="296"/>
      <c r="H812" s="296"/>
      <c r="I812" s="296"/>
      <c r="J812" s="296"/>
      <c r="K812" s="296"/>
      <c r="L812" s="296"/>
      <c r="M812" s="299"/>
      <c r="N812" s="299"/>
      <c r="O812" s="299"/>
      <c r="P812" s="299"/>
      <c r="Q812" s="299"/>
      <c r="R812" s="299"/>
      <c r="S812" s="299"/>
      <c r="T812" s="299"/>
      <c r="U812" s="299"/>
      <c r="V812" s="299"/>
      <c r="W812" s="299"/>
      <c r="X812" s="299"/>
      <c r="Y812" s="299"/>
      <c r="Z812" s="299"/>
      <c r="AA812" s="299"/>
      <c r="AB812" s="299"/>
      <c r="AC812" s="300"/>
      <c r="AD812" s="300"/>
    </row>
    <row r="813" spans="1:30" ht="12.75" customHeight="1" x14ac:dyDescent="0.2">
      <c r="A813" s="296"/>
      <c r="B813" s="296"/>
      <c r="C813" s="296"/>
      <c r="D813" s="298"/>
      <c r="E813" s="298"/>
      <c r="F813" s="296"/>
      <c r="G813" s="296"/>
      <c r="H813" s="296"/>
      <c r="I813" s="296"/>
      <c r="J813" s="296"/>
      <c r="K813" s="296"/>
      <c r="L813" s="296"/>
      <c r="M813" s="299"/>
      <c r="N813" s="299"/>
      <c r="O813" s="299"/>
      <c r="P813" s="299"/>
      <c r="Q813" s="299"/>
      <c r="R813" s="299"/>
      <c r="S813" s="299"/>
      <c r="T813" s="299"/>
      <c r="U813" s="299"/>
      <c r="V813" s="299"/>
      <c r="W813" s="299"/>
      <c r="X813" s="299"/>
      <c r="Y813" s="299"/>
      <c r="Z813" s="299"/>
      <c r="AA813" s="299"/>
      <c r="AB813" s="299"/>
      <c r="AC813" s="300"/>
      <c r="AD813" s="300"/>
    </row>
    <row r="814" spans="1:30" ht="12.75" customHeight="1" x14ac:dyDescent="0.2">
      <c r="A814" s="296"/>
      <c r="B814" s="296"/>
      <c r="C814" s="296"/>
      <c r="D814" s="298"/>
      <c r="E814" s="298"/>
      <c r="F814" s="296"/>
      <c r="G814" s="296"/>
      <c r="H814" s="296"/>
      <c r="I814" s="296"/>
      <c r="J814" s="296"/>
      <c r="K814" s="296"/>
      <c r="L814" s="296"/>
      <c r="M814" s="299"/>
      <c r="N814" s="299"/>
      <c r="O814" s="299"/>
      <c r="P814" s="299"/>
      <c r="Q814" s="299"/>
      <c r="R814" s="299"/>
      <c r="S814" s="299"/>
      <c r="T814" s="299"/>
      <c r="U814" s="299"/>
      <c r="V814" s="299"/>
      <c r="W814" s="299"/>
      <c r="X814" s="299"/>
      <c r="Y814" s="299"/>
      <c r="Z814" s="299"/>
      <c r="AA814" s="299"/>
      <c r="AB814" s="299"/>
      <c r="AC814" s="300"/>
      <c r="AD814" s="300"/>
    </row>
    <row r="815" spans="1:30" ht="12.75" customHeight="1" x14ac:dyDescent="0.2">
      <c r="A815" s="296"/>
      <c r="B815" s="296"/>
      <c r="C815" s="296"/>
      <c r="D815" s="298"/>
      <c r="E815" s="298"/>
      <c r="F815" s="296"/>
      <c r="G815" s="296"/>
      <c r="H815" s="296"/>
      <c r="I815" s="296"/>
      <c r="J815" s="296"/>
      <c r="K815" s="296"/>
      <c r="L815" s="296"/>
      <c r="M815" s="299"/>
      <c r="N815" s="299"/>
      <c r="O815" s="299"/>
      <c r="P815" s="299"/>
      <c r="Q815" s="299"/>
      <c r="R815" s="299"/>
      <c r="S815" s="299"/>
      <c r="T815" s="299"/>
      <c r="U815" s="299"/>
      <c r="V815" s="299"/>
      <c r="W815" s="299"/>
      <c r="X815" s="299"/>
      <c r="Y815" s="299"/>
      <c r="Z815" s="299"/>
      <c r="AA815" s="299"/>
      <c r="AB815" s="299"/>
      <c r="AC815" s="300"/>
      <c r="AD815" s="300"/>
    </row>
    <row r="816" spans="1:30" ht="12.75" customHeight="1" x14ac:dyDescent="0.2">
      <c r="A816" s="296"/>
      <c r="B816" s="296"/>
      <c r="C816" s="296"/>
      <c r="D816" s="298"/>
      <c r="E816" s="298"/>
      <c r="F816" s="296"/>
      <c r="G816" s="296"/>
      <c r="H816" s="296"/>
      <c r="I816" s="296"/>
      <c r="J816" s="296"/>
      <c r="K816" s="296"/>
      <c r="L816" s="296"/>
      <c r="M816" s="299"/>
      <c r="N816" s="299"/>
      <c r="O816" s="299"/>
      <c r="P816" s="299"/>
      <c r="Q816" s="299"/>
      <c r="R816" s="299"/>
      <c r="S816" s="299"/>
      <c r="T816" s="299"/>
      <c r="U816" s="299"/>
      <c r="V816" s="299"/>
      <c r="W816" s="299"/>
      <c r="X816" s="299"/>
      <c r="Y816" s="299"/>
      <c r="Z816" s="299"/>
      <c r="AA816" s="299"/>
      <c r="AB816" s="299"/>
      <c r="AC816" s="300"/>
      <c r="AD816" s="300"/>
    </row>
    <row r="817" spans="1:30" ht="12.75" customHeight="1" x14ac:dyDescent="0.2">
      <c r="A817" s="296"/>
      <c r="B817" s="296"/>
      <c r="C817" s="296"/>
      <c r="D817" s="298"/>
      <c r="E817" s="298"/>
      <c r="F817" s="296"/>
      <c r="G817" s="296"/>
      <c r="H817" s="296"/>
      <c r="I817" s="296"/>
      <c r="J817" s="296"/>
      <c r="K817" s="296"/>
      <c r="L817" s="296"/>
      <c r="M817" s="299"/>
      <c r="N817" s="299"/>
      <c r="O817" s="299"/>
      <c r="P817" s="299"/>
      <c r="Q817" s="299"/>
      <c r="R817" s="299"/>
      <c r="S817" s="299"/>
      <c r="T817" s="299"/>
      <c r="U817" s="299"/>
      <c r="V817" s="299"/>
      <c r="W817" s="299"/>
      <c r="X817" s="299"/>
      <c r="Y817" s="299"/>
      <c r="Z817" s="299"/>
      <c r="AA817" s="299"/>
      <c r="AB817" s="299"/>
      <c r="AC817" s="300"/>
      <c r="AD817" s="300"/>
    </row>
    <row r="818" spans="1:30" ht="12.75" customHeight="1" x14ac:dyDescent="0.2">
      <c r="A818" s="296"/>
      <c r="B818" s="296"/>
      <c r="C818" s="296"/>
      <c r="D818" s="298"/>
      <c r="E818" s="298"/>
      <c r="F818" s="296"/>
      <c r="G818" s="296"/>
      <c r="H818" s="296"/>
      <c r="I818" s="296"/>
      <c r="J818" s="296"/>
      <c r="K818" s="296"/>
      <c r="L818" s="296"/>
      <c r="M818" s="299"/>
      <c r="N818" s="299"/>
      <c r="O818" s="299"/>
      <c r="P818" s="299"/>
      <c r="Q818" s="299"/>
      <c r="R818" s="299"/>
      <c r="S818" s="299"/>
      <c r="T818" s="299"/>
      <c r="U818" s="299"/>
      <c r="V818" s="299"/>
      <c r="W818" s="299"/>
      <c r="X818" s="299"/>
      <c r="Y818" s="299"/>
      <c r="Z818" s="299"/>
      <c r="AA818" s="299"/>
      <c r="AB818" s="299"/>
      <c r="AC818" s="300"/>
      <c r="AD818" s="300"/>
    </row>
    <row r="819" spans="1:30" ht="12.75" customHeight="1" x14ac:dyDescent="0.2">
      <c r="A819" s="296"/>
      <c r="B819" s="296"/>
      <c r="C819" s="296"/>
      <c r="D819" s="298"/>
      <c r="E819" s="298"/>
      <c r="F819" s="296"/>
      <c r="G819" s="296"/>
      <c r="H819" s="296"/>
      <c r="I819" s="296"/>
      <c r="J819" s="296"/>
      <c r="K819" s="296"/>
      <c r="L819" s="296"/>
      <c r="M819" s="299"/>
      <c r="N819" s="299"/>
      <c r="O819" s="299"/>
      <c r="P819" s="299"/>
      <c r="Q819" s="299"/>
      <c r="R819" s="299"/>
      <c r="S819" s="299"/>
      <c r="T819" s="299"/>
      <c r="U819" s="299"/>
      <c r="V819" s="299"/>
      <c r="W819" s="299"/>
      <c r="X819" s="299"/>
      <c r="Y819" s="299"/>
      <c r="Z819" s="299"/>
      <c r="AA819" s="299"/>
      <c r="AB819" s="299"/>
      <c r="AC819" s="300"/>
      <c r="AD819" s="300"/>
    </row>
    <row r="820" spans="1:30" ht="12.75" customHeight="1" x14ac:dyDescent="0.2">
      <c r="A820" s="296"/>
      <c r="B820" s="296"/>
      <c r="C820" s="296"/>
      <c r="D820" s="298"/>
      <c r="E820" s="298"/>
      <c r="F820" s="296"/>
      <c r="G820" s="296"/>
      <c r="H820" s="296"/>
      <c r="I820" s="296"/>
      <c r="J820" s="296"/>
      <c r="K820" s="296"/>
      <c r="L820" s="296"/>
      <c r="M820" s="299"/>
      <c r="N820" s="299"/>
      <c r="O820" s="299"/>
      <c r="P820" s="299"/>
      <c r="Q820" s="299"/>
      <c r="R820" s="299"/>
      <c r="S820" s="299"/>
      <c r="T820" s="299"/>
      <c r="U820" s="299"/>
      <c r="V820" s="299"/>
      <c r="W820" s="299"/>
      <c r="X820" s="299"/>
      <c r="Y820" s="299"/>
      <c r="Z820" s="299"/>
      <c r="AA820" s="299"/>
      <c r="AB820" s="299"/>
      <c r="AC820" s="300"/>
      <c r="AD820" s="300"/>
    </row>
    <row r="821" spans="1:30" ht="12.75" customHeight="1" x14ac:dyDescent="0.2">
      <c r="A821" s="296"/>
      <c r="B821" s="296"/>
      <c r="C821" s="296"/>
      <c r="D821" s="298"/>
      <c r="E821" s="298"/>
      <c r="F821" s="296"/>
      <c r="G821" s="296"/>
      <c r="H821" s="296"/>
      <c r="I821" s="296"/>
      <c r="J821" s="296"/>
      <c r="K821" s="296"/>
      <c r="L821" s="296"/>
      <c r="M821" s="299"/>
      <c r="N821" s="299"/>
      <c r="O821" s="299"/>
      <c r="P821" s="299"/>
      <c r="Q821" s="299"/>
      <c r="R821" s="299"/>
      <c r="S821" s="299"/>
      <c r="T821" s="299"/>
      <c r="U821" s="299"/>
      <c r="V821" s="299"/>
      <c r="W821" s="299"/>
      <c r="X821" s="299"/>
      <c r="Y821" s="299"/>
      <c r="Z821" s="299"/>
      <c r="AA821" s="299"/>
      <c r="AB821" s="299"/>
      <c r="AC821" s="300"/>
      <c r="AD821" s="300"/>
    </row>
    <row r="822" spans="1:30" ht="12.75" customHeight="1" x14ac:dyDescent="0.2">
      <c r="A822" s="296"/>
      <c r="B822" s="296"/>
      <c r="C822" s="296"/>
      <c r="D822" s="298"/>
      <c r="E822" s="298"/>
      <c r="F822" s="296"/>
      <c r="G822" s="296"/>
      <c r="H822" s="296"/>
      <c r="I822" s="296"/>
      <c r="J822" s="296"/>
      <c r="K822" s="296"/>
      <c r="L822" s="296"/>
      <c r="M822" s="299"/>
      <c r="N822" s="299"/>
      <c r="O822" s="299"/>
      <c r="P822" s="299"/>
      <c r="Q822" s="299"/>
      <c r="R822" s="299"/>
      <c r="S822" s="299"/>
      <c r="T822" s="299"/>
      <c r="U822" s="299"/>
      <c r="V822" s="299"/>
      <c r="W822" s="299"/>
      <c r="X822" s="299"/>
      <c r="Y822" s="299"/>
      <c r="Z822" s="299"/>
      <c r="AA822" s="299"/>
      <c r="AB822" s="299"/>
      <c r="AC822" s="300"/>
      <c r="AD822" s="300"/>
    </row>
    <row r="823" spans="1:30" ht="12.75" customHeight="1" x14ac:dyDescent="0.2">
      <c r="A823" s="296"/>
      <c r="B823" s="296"/>
      <c r="C823" s="296"/>
      <c r="D823" s="298"/>
      <c r="E823" s="298"/>
      <c r="F823" s="296"/>
      <c r="G823" s="296"/>
      <c r="H823" s="296"/>
      <c r="I823" s="296"/>
      <c r="J823" s="296"/>
      <c r="K823" s="296"/>
      <c r="L823" s="296"/>
      <c r="M823" s="299"/>
      <c r="N823" s="299"/>
      <c r="O823" s="299"/>
      <c r="P823" s="299"/>
      <c r="Q823" s="299"/>
      <c r="R823" s="299"/>
      <c r="S823" s="299"/>
      <c r="T823" s="299"/>
      <c r="U823" s="299"/>
      <c r="V823" s="299"/>
      <c r="W823" s="299"/>
      <c r="X823" s="299"/>
      <c r="Y823" s="299"/>
      <c r="Z823" s="299"/>
      <c r="AA823" s="299"/>
      <c r="AB823" s="299"/>
      <c r="AC823" s="300"/>
      <c r="AD823" s="300"/>
    </row>
    <row r="824" spans="1:30" ht="12.75" customHeight="1" x14ac:dyDescent="0.2">
      <c r="A824" s="296"/>
      <c r="B824" s="296"/>
      <c r="C824" s="296"/>
      <c r="D824" s="298"/>
      <c r="E824" s="298"/>
      <c r="F824" s="296"/>
      <c r="G824" s="296"/>
      <c r="H824" s="296"/>
      <c r="I824" s="296"/>
      <c r="J824" s="296"/>
      <c r="K824" s="296"/>
      <c r="L824" s="296"/>
      <c r="M824" s="299"/>
      <c r="N824" s="299"/>
      <c r="O824" s="299"/>
      <c r="P824" s="299"/>
      <c r="Q824" s="299"/>
      <c r="R824" s="299"/>
      <c r="S824" s="299"/>
      <c r="T824" s="299"/>
      <c r="U824" s="299"/>
      <c r="V824" s="299"/>
      <c r="W824" s="299"/>
      <c r="X824" s="299"/>
      <c r="Y824" s="299"/>
      <c r="Z824" s="299"/>
      <c r="AA824" s="299"/>
      <c r="AB824" s="299"/>
      <c r="AC824" s="300"/>
      <c r="AD824" s="300"/>
    </row>
    <row r="825" spans="1:30" ht="12.75" customHeight="1" x14ac:dyDescent="0.2">
      <c r="A825" s="296"/>
      <c r="B825" s="296"/>
      <c r="C825" s="296"/>
      <c r="D825" s="298"/>
      <c r="E825" s="298"/>
      <c r="F825" s="296"/>
      <c r="G825" s="296"/>
      <c r="H825" s="296"/>
      <c r="I825" s="296"/>
      <c r="J825" s="296"/>
      <c r="K825" s="296"/>
      <c r="L825" s="296"/>
      <c r="M825" s="299"/>
      <c r="N825" s="299"/>
      <c r="O825" s="299"/>
      <c r="P825" s="299"/>
      <c r="Q825" s="299"/>
      <c r="R825" s="299"/>
      <c r="S825" s="299"/>
      <c r="T825" s="299"/>
      <c r="U825" s="299"/>
      <c r="V825" s="299"/>
      <c r="W825" s="299"/>
      <c r="X825" s="299"/>
      <c r="Y825" s="299"/>
      <c r="Z825" s="299"/>
      <c r="AA825" s="299"/>
      <c r="AB825" s="299"/>
      <c r="AC825" s="300"/>
      <c r="AD825" s="300"/>
    </row>
    <row r="826" spans="1:30" ht="12.75" customHeight="1" x14ac:dyDescent="0.2">
      <c r="A826" s="296"/>
      <c r="B826" s="296"/>
      <c r="C826" s="296"/>
      <c r="D826" s="298"/>
      <c r="E826" s="298"/>
      <c r="F826" s="296"/>
      <c r="G826" s="296"/>
      <c r="H826" s="296"/>
      <c r="I826" s="296"/>
      <c r="J826" s="296"/>
      <c r="K826" s="296"/>
      <c r="L826" s="296"/>
      <c r="M826" s="299"/>
      <c r="N826" s="299"/>
      <c r="O826" s="299"/>
      <c r="P826" s="299"/>
      <c r="Q826" s="299"/>
      <c r="R826" s="299"/>
      <c r="S826" s="299"/>
      <c r="T826" s="299"/>
      <c r="U826" s="299"/>
      <c r="V826" s="299"/>
      <c r="W826" s="299"/>
      <c r="X826" s="299"/>
      <c r="Y826" s="299"/>
      <c r="Z826" s="299"/>
      <c r="AA826" s="299"/>
      <c r="AB826" s="299"/>
      <c r="AC826" s="300"/>
      <c r="AD826" s="300"/>
    </row>
    <row r="827" spans="1:30" ht="12.75" customHeight="1" x14ac:dyDescent="0.2">
      <c r="A827" s="296"/>
      <c r="B827" s="296"/>
      <c r="C827" s="296"/>
      <c r="D827" s="298"/>
      <c r="E827" s="298"/>
      <c r="F827" s="296"/>
      <c r="G827" s="296"/>
      <c r="H827" s="296"/>
      <c r="I827" s="296"/>
      <c r="J827" s="296"/>
      <c r="K827" s="296"/>
      <c r="L827" s="296"/>
      <c r="M827" s="299"/>
      <c r="N827" s="299"/>
      <c r="O827" s="299"/>
      <c r="P827" s="299"/>
      <c r="Q827" s="299"/>
      <c r="R827" s="299"/>
      <c r="S827" s="299"/>
      <c r="T827" s="299"/>
      <c r="U827" s="299"/>
      <c r="V827" s="299"/>
      <c r="W827" s="299"/>
      <c r="X827" s="299"/>
      <c r="Y827" s="299"/>
      <c r="Z827" s="299"/>
      <c r="AA827" s="299"/>
      <c r="AB827" s="299"/>
      <c r="AC827" s="300"/>
      <c r="AD827" s="300"/>
    </row>
    <row r="828" spans="1:30" ht="12.75" customHeight="1" x14ac:dyDescent="0.2">
      <c r="A828" s="296"/>
      <c r="B828" s="296"/>
      <c r="C828" s="296"/>
      <c r="D828" s="298"/>
      <c r="E828" s="298"/>
      <c r="F828" s="296"/>
      <c r="G828" s="296"/>
      <c r="H828" s="296"/>
      <c r="I828" s="296"/>
      <c r="J828" s="296"/>
      <c r="K828" s="296"/>
      <c r="L828" s="296"/>
      <c r="M828" s="299"/>
      <c r="N828" s="299"/>
      <c r="O828" s="299"/>
      <c r="P828" s="299"/>
      <c r="Q828" s="299"/>
      <c r="R828" s="299"/>
      <c r="S828" s="299"/>
      <c r="T828" s="299"/>
      <c r="U828" s="299"/>
      <c r="V828" s="299"/>
      <c r="W828" s="299"/>
      <c r="X828" s="299"/>
      <c r="Y828" s="299"/>
      <c r="Z828" s="299"/>
      <c r="AA828" s="299"/>
      <c r="AB828" s="299"/>
      <c r="AC828" s="300"/>
      <c r="AD828" s="300"/>
    </row>
    <row r="829" spans="1:30" ht="12.75" customHeight="1" x14ac:dyDescent="0.2">
      <c r="A829" s="296"/>
      <c r="B829" s="296"/>
      <c r="C829" s="296"/>
      <c r="D829" s="298"/>
      <c r="E829" s="298"/>
      <c r="F829" s="296"/>
      <c r="G829" s="296"/>
      <c r="H829" s="296"/>
      <c r="I829" s="296"/>
      <c r="J829" s="296"/>
      <c r="K829" s="296"/>
      <c r="L829" s="296"/>
      <c r="M829" s="299"/>
      <c r="N829" s="299"/>
      <c r="O829" s="299"/>
      <c r="P829" s="299"/>
      <c r="Q829" s="299"/>
      <c r="R829" s="299"/>
      <c r="S829" s="299"/>
      <c r="T829" s="299"/>
      <c r="U829" s="299"/>
      <c r="V829" s="299"/>
      <c r="W829" s="299"/>
      <c r="X829" s="299"/>
      <c r="Y829" s="299"/>
      <c r="Z829" s="299"/>
      <c r="AA829" s="299"/>
      <c r="AB829" s="299"/>
      <c r="AC829" s="300"/>
      <c r="AD829" s="300"/>
    </row>
    <row r="830" spans="1:30" ht="12.75" customHeight="1" x14ac:dyDescent="0.2">
      <c r="A830" s="296"/>
      <c r="B830" s="296"/>
      <c r="C830" s="296"/>
      <c r="D830" s="298"/>
      <c r="E830" s="298"/>
      <c r="F830" s="296"/>
      <c r="G830" s="296"/>
      <c r="H830" s="296"/>
      <c r="I830" s="296"/>
      <c r="J830" s="296"/>
      <c r="K830" s="296"/>
      <c r="L830" s="296"/>
      <c r="M830" s="299"/>
      <c r="N830" s="299"/>
      <c r="O830" s="299"/>
      <c r="P830" s="299"/>
      <c r="Q830" s="299"/>
      <c r="R830" s="299"/>
      <c r="S830" s="299"/>
      <c r="T830" s="299"/>
      <c r="U830" s="299"/>
      <c r="V830" s="299"/>
      <c r="W830" s="299"/>
      <c r="X830" s="299"/>
      <c r="Y830" s="299"/>
      <c r="Z830" s="299"/>
      <c r="AA830" s="299"/>
      <c r="AB830" s="299"/>
      <c r="AC830" s="300"/>
      <c r="AD830" s="300"/>
    </row>
    <row r="831" spans="1:30" ht="12.75" customHeight="1" x14ac:dyDescent="0.2">
      <c r="A831" s="296"/>
      <c r="B831" s="296"/>
      <c r="C831" s="296"/>
      <c r="D831" s="298"/>
      <c r="E831" s="298"/>
      <c r="F831" s="296"/>
      <c r="G831" s="296"/>
      <c r="H831" s="296"/>
      <c r="I831" s="296"/>
      <c r="J831" s="296"/>
      <c r="K831" s="296"/>
      <c r="L831" s="296"/>
      <c r="M831" s="299"/>
      <c r="N831" s="299"/>
      <c r="O831" s="299"/>
      <c r="P831" s="299"/>
      <c r="Q831" s="299"/>
      <c r="R831" s="299"/>
      <c r="S831" s="299"/>
      <c r="T831" s="299"/>
      <c r="U831" s="299"/>
      <c r="V831" s="299"/>
      <c r="W831" s="299"/>
      <c r="X831" s="299"/>
      <c r="Y831" s="299"/>
      <c r="Z831" s="299"/>
      <c r="AA831" s="299"/>
      <c r="AB831" s="299"/>
      <c r="AC831" s="300"/>
      <c r="AD831" s="300"/>
    </row>
    <row r="832" spans="1:30" ht="12.75" customHeight="1" x14ac:dyDescent="0.2">
      <c r="A832" s="296"/>
      <c r="B832" s="296"/>
      <c r="C832" s="296"/>
      <c r="D832" s="298"/>
      <c r="E832" s="298"/>
      <c r="F832" s="296"/>
      <c r="G832" s="296"/>
      <c r="H832" s="296"/>
      <c r="I832" s="296"/>
      <c r="J832" s="296"/>
      <c r="K832" s="296"/>
      <c r="L832" s="296"/>
      <c r="M832" s="299"/>
      <c r="N832" s="299"/>
      <c r="O832" s="299"/>
      <c r="P832" s="299"/>
      <c r="Q832" s="299"/>
      <c r="R832" s="299"/>
      <c r="S832" s="299"/>
      <c r="T832" s="299"/>
      <c r="U832" s="299"/>
      <c r="V832" s="299"/>
      <c r="W832" s="299"/>
      <c r="X832" s="299"/>
      <c r="Y832" s="299"/>
      <c r="Z832" s="299"/>
      <c r="AA832" s="299"/>
      <c r="AB832" s="299"/>
      <c r="AC832" s="300"/>
      <c r="AD832" s="300"/>
    </row>
    <row r="833" spans="1:30" ht="12.75" customHeight="1" x14ac:dyDescent="0.2">
      <c r="A833" s="296"/>
      <c r="B833" s="296"/>
      <c r="C833" s="296"/>
      <c r="D833" s="298"/>
      <c r="E833" s="298"/>
      <c r="F833" s="296"/>
      <c r="G833" s="296"/>
      <c r="H833" s="296"/>
      <c r="I833" s="296"/>
      <c r="J833" s="296"/>
      <c r="K833" s="296"/>
      <c r="L833" s="296"/>
      <c r="M833" s="299"/>
      <c r="N833" s="299"/>
      <c r="O833" s="299"/>
      <c r="P833" s="299"/>
      <c r="Q833" s="299"/>
      <c r="R833" s="299"/>
      <c r="S833" s="299"/>
      <c r="T833" s="299"/>
      <c r="U833" s="299"/>
      <c r="V833" s="299"/>
      <c r="W833" s="299"/>
      <c r="X833" s="299"/>
      <c r="Y833" s="299"/>
      <c r="Z833" s="299"/>
      <c r="AA833" s="299"/>
      <c r="AB833" s="299"/>
      <c r="AC833" s="300"/>
      <c r="AD833" s="300"/>
    </row>
    <row r="834" spans="1:30" ht="12.75" customHeight="1" x14ac:dyDescent="0.2">
      <c r="A834" s="296"/>
      <c r="B834" s="296"/>
      <c r="C834" s="296"/>
      <c r="D834" s="298"/>
      <c r="E834" s="298"/>
      <c r="F834" s="296"/>
      <c r="G834" s="296"/>
      <c r="H834" s="296"/>
      <c r="I834" s="296"/>
      <c r="J834" s="296"/>
      <c r="K834" s="296"/>
      <c r="L834" s="296"/>
      <c r="M834" s="299"/>
      <c r="N834" s="299"/>
      <c r="O834" s="299"/>
      <c r="P834" s="299"/>
      <c r="Q834" s="299"/>
      <c r="R834" s="299"/>
      <c r="S834" s="299"/>
      <c r="T834" s="299"/>
      <c r="U834" s="299"/>
      <c r="V834" s="299"/>
      <c r="W834" s="299"/>
      <c r="X834" s="299"/>
      <c r="Y834" s="299"/>
      <c r="Z834" s="299"/>
      <c r="AA834" s="299"/>
      <c r="AB834" s="299"/>
      <c r="AC834" s="300"/>
      <c r="AD834" s="300"/>
    </row>
    <row r="835" spans="1:30" ht="12.75" customHeight="1" x14ac:dyDescent="0.2">
      <c r="A835" s="296"/>
      <c r="B835" s="296"/>
      <c r="C835" s="296"/>
      <c r="D835" s="298"/>
      <c r="E835" s="298"/>
      <c r="F835" s="296"/>
      <c r="G835" s="296"/>
      <c r="H835" s="296"/>
      <c r="I835" s="296"/>
      <c r="J835" s="296"/>
      <c r="K835" s="296"/>
      <c r="L835" s="296"/>
      <c r="M835" s="299"/>
      <c r="N835" s="299"/>
      <c r="O835" s="299"/>
      <c r="P835" s="299"/>
      <c r="Q835" s="299"/>
      <c r="R835" s="299"/>
      <c r="S835" s="299"/>
      <c r="T835" s="299"/>
      <c r="U835" s="299"/>
      <c r="V835" s="299"/>
      <c r="W835" s="299"/>
      <c r="X835" s="299"/>
      <c r="Y835" s="299"/>
      <c r="Z835" s="299"/>
      <c r="AA835" s="299"/>
      <c r="AB835" s="299"/>
      <c r="AC835" s="300"/>
      <c r="AD835" s="300"/>
    </row>
    <row r="836" spans="1:30" ht="12.75" customHeight="1" x14ac:dyDescent="0.2">
      <c r="A836" s="296"/>
      <c r="B836" s="296"/>
      <c r="C836" s="296"/>
      <c r="D836" s="298"/>
      <c r="E836" s="298"/>
      <c r="F836" s="296"/>
      <c r="G836" s="296"/>
      <c r="H836" s="296"/>
      <c r="I836" s="296"/>
      <c r="J836" s="296"/>
      <c r="K836" s="296"/>
      <c r="L836" s="296"/>
      <c r="M836" s="299"/>
      <c r="N836" s="299"/>
      <c r="O836" s="299"/>
      <c r="P836" s="299"/>
      <c r="Q836" s="299"/>
      <c r="R836" s="299"/>
      <c r="S836" s="299"/>
      <c r="T836" s="299"/>
      <c r="U836" s="299"/>
      <c r="V836" s="299"/>
      <c r="W836" s="299"/>
      <c r="X836" s="299"/>
      <c r="Y836" s="299"/>
      <c r="Z836" s="299"/>
      <c r="AA836" s="299"/>
      <c r="AB836" s="299"/>
      <c r="AC836" s="300"/>
      <c r="AD836" s="300"/>
    </row>
    <row r="837" spans="1:30" ht="12.75" customHeight="1" x14ac:dyDescent="0.2">
      <c r="A837" s="296"/>
      <c r="B837" s="296"/>
      <c r="C837" s="296"/>
      <c r="D837" s="298"/>
      <c r="E837" s="298"/>
      <c r="F837" s="296"/>
      <c r="G837" s="296"/>
      <c r="H837" s="296"/>
      <c r="I837" s="296"/>
      <c r="J837" s="296"/>
      <c r="K837" s="296"/>
      <c r="L837" s="296"/>
      <c r="M837" s="299"/>
      <c r="N837" s="299"/>
      <c r="O837" s="299"/>
      <c r="P837" s="299"/>
      <c r="Q837" s="299"/>
      <c r="R837" s="299"/>
      <c r="S837" s="299"/>
      <c r="T837" s="299"/>
      <c r="U837" s="299"/>
      <c r="V837" s="299"/>
      <c r="W837" s="299"/>
      <c r="X837" s="299"/>
      <c r="Y837" s="299"/>
      <c r="Z837" s="299"/>
      <c r="AA837" s="299"/>
      <c r="AB837" s="299"/>
      <c r="AC837" s="300"/>
      <c r="AD837" s="300"/>
    </row>
    <row r="838" spans="1:30" ht="12.75" customHeight="1" x14ac:dyDescent="0.2">
      <c r="A838" s="296"/>
      <c r="B838" s="296"/>
      <c r="C838" s="296"/>
      <c r="D838" s="298"/>
      <c r="E838" s="298"/>
      <c r="F838" s="296"/>
      <c r="G838" s="296"/>
      <c r="H838" s="296"/>
      <c r="I838" s="296"/>
      <c r="J838" s="296"/>
      <c r="K838" s="296"/>
      <c r="L838" s="296"/>
      <c r="M838" s="299"/>
      <c r="N838" s="299"/>
      <c r="O838" s="299"/>
      <c r="P838" s="299"/>
      <c r="Q838" s="299"/>
      <c r="R838" s="299"/>
      <c r="S838" s="299"/>
      <c r="T838" s="299"/>
      <c r="U838" s="299"/>
      <c r="V838" s="299"/>
      <c r="W838" s="299"/>
      <c r="X838" s="299"/>
      <c r="Y838" s="299"/>
      <c r="Z838" s="299"/>
      <c r="AA838" s="299"/>
      <c r="AB838" s="299"/>
      <c r="AC838" s="300"/>
      <c r="AD838" s="300"/>
    </row>
    <row r="839" spans="1:30" ht="12.75" customHeight="1" x14ac:dyDescent="0.2">
      <c r="A839" s="296"/>
      <c r="B839" s="296"/>
      <c r="C839" s="296"/>
      <c r="D839" s="298"/>
      <c r="E839" s="298"/>
      <c r="F839" s="296"/>
      <c r="G839" s="296"/>
      <c r="H839" s="296"/>
      <c r="I839" s="296"/>
      <c r="J839" s="296"/>
      <c r="K839" s="296"/>
      <c r="L839" s="296"/>
      <c r="M839" s="299"/>
      <c r="N839" s="299"/>
      <c r="O839" s="299"/>
      <c r="P839" s="299"/>
      <c r="Q839" s="299"/>
      <c r="R839" s="299"/>
      <c r="S839" s="299"/>
      <c r="T839" s="299"/>
      <c r="U839" s="299"/>
      <c r="V839" s="299"/>
      <c r="W839" s="299"/>
      <c r="X839" s="299"/>
      <c r="Y839" s="299"/>
      <c r="Z839" s="299"/>
      <c r="AA839" s="299"/>
      <c r="AB839" s="299"/>
      <c r="AC839" s="300"/>
      <c r="AD839" s="300"/>
    </row>
    <row r="840" spans="1:30" ht="12.75" customHeight="1" x14ac:dyDescent="0.2">
      <c r="A840" s="296"/>
      <c r="B840" s="296"/>
      <c r="C840" s="296"/>
      <c r="D840" s="298"/>
      <c r="E840" s="298"/>
      <c r="F840" s="296"/>
      <c r="G840" s="296"/>
      <c r="H840" s="296"/>
      <c r="I840" s="296"/>
      <c r="J840" s="296"/>
      <c r="K840" s="296"/>
      <c r="L840" s="296"/>
      <c r="M840" s="299"/>
      <c r="N840" s="299"/>
      <c r="O840" s="299"/>
      <c r="P840" s="299"/>
      <c r="Q840" s="299"/>
      <c r="R840" s="299"/>
      <c r="S840" s="299"/>
      <c r="T840" s="299"/>
      <c r="U840" s="299"/>
      <c r="V840" s="299"/>
      <c r="W840" s="299"/>
      <c r="X840" s="299"/>
      <c r="Y840" s="299"/>
      <c r="Z840" s="299"/>
      <c r="AA840" s="299"/>
      <c r="AB840" s="299"/>
      <c r="AC840" s="300"/>
      <c r="AD840" s="300"/>
    </row>
    <row r="841" spans="1:30" ht="12.75" customHeight="1" x14ac:dyDescent="0.2">
      <c r="A841" s="296"/>
      <c r="B841" s="296"/>
      <c r="C841" s="296"/>
      <c r="D841" s="298"/>
      <c r="E841" s="298"/>
      <c r="F841" s="296"/>
      <c r="G841" s="296"/>
      <c r="H841" s="296"/>
      <c r="I841" s="296"/>
      <c r="J841" s="296"/>
      <c r="K841" s="296"/>
      <c r="L841" s="296"/>
      <c r="M841" s="299"/>
      <c r="N841" s="299"/>
      <c r="O841" s="299"/>
      <c r="P841" s="299"/>
      <c r="Q841" s="299"/>
      <c r="R841" s="299"/>
      <c r="S841" s="299"/>
      <c r="T841" s="299"/>
      <c r="U841" s="299"/>
      <c r="V841" s="299"/>
      <c r="W841" s="299"/>
      <c r="X841" s="299"/>
      <c r="Y841" s="299"/>
      <c r="Z841" s="299"/>
      <c r="AA841" s="299"/>
      <c r="AB841" s="299"/>
      <c r="AC841" s="300"/>
      <c r="AD841" s="300"/>
    </row>
    <row r="842" spans="1:30" ht="12.75" customHeight="1" x14ac:dyDescent="0.2">
      <c r="A842" s="296"/>
      <c r="B842" s="296"/>
      <c r="C842" s="296"/>
      <c r="D842" s="298"/>
      <c r="E842" s="298"/>
      <c r="F842" s="296"/>
      <c r="G842" s="296"/>
      <c r="H842" s="296"/>
      <c r="I842" s="296"/>
      <c r="J842" s="296"/>
      <c r="K842" s="296"/>
      <c r="L842" s="296"/>
      <c r="M842" s="299"/>
      <c r="N842" s="299"/>
      <c r="O842" s="299"/>
      <c r="P842" s="299"/>
      <c r="Q842" s="299"/>
      <c r="R842" s="299"/>
      <c r="S842" s="299"/>
      <c r="T842" s="299"/>
      <c r="U842" s="299"/>
      <c r="V842" s="299"/>
      <c r="W842" s="299"/>
      <c r="X842" s="299"/>
      <c r="Y842" s="299"/>
      <c r="Z842" s="299"/>
      <c r="AA842" s="299"/>
      <c r="AB842" s="299"/>
      <c r="AC842" s="300"/>
      <c r="AD842" s="300"/>
    </row>
    <row r="843" spans="1:30" ht="12.75" customHeight="1" x14ac:dyDescent="0.2">
      <c r="A843" s="296"/>
      <c r="B843" s="296"/>
      <c r="C843" s="296"/>
      <c r="D843" s="298"/>
      <c r="E843" s="298"/>
      <c r="F843" s="296"/>
      <c r="G843" s="296"/>
      <c r="H843" s="296"/>
      <c r="I843" s="296"/>
      <c r="J843" s="296"/>
      <c r="K843" s="296"/>
      <c r="L843" s="296"/>
      <c r="M843" s="299"/>
      <c r="N843" s="299"/>
      <c r="O843" s="299"/>
      <c r="P843" s="299"/>
      <c r="Q843" s="299"/>
      <c r="R843" s="299"/>
      <c r="S843" s="299"/>
      <c r="T843" s="299"/>
      <c r="U843" s="299"/>
      <c r="V843" s="299"/>
      <c r="W843" s="299"/>
      <c r="X843" s="299"/>
      <c r="Y843" s="299"/>
      <c r="Z843" s="299"/>
      <c r="AA843" s="299"/>
      <c r="AB843" s="299"/>
      <c r="AC843" s="300"/>
      <c r="AD843" s="300"/>
    </row>
    <row r="844" spans="1:30" ht="12.75" customHeight="1" x14ac:dyDescent="0.2">
      <c r="A844" s="296"/>
      <c r="B844" s="296"/>
      <c r="C844" s="296"/>
      <c r="D844" s="298"/>
      <c r="E844" s="298"/>
      <c r="F844" s="296"/>
      <c r="G844" s="296"/>
      <c r="H844" s="296"/>
      <c r="I844" s="296"/>
      <c r="J844" s="296"/>
      <c r="K844" s="296"/>
      <c r="L844" s="296"/>
      <c r="M844" s="299"/>
      <c r="N844" s="299"/>
      <c r="O844" s="299"/>
      <c r="P844" s="299"/>
      <c r="Q844" s="299"/>
      <c r="R844" s="299"/>
      <c r="S844" s="299"/>
      <c r="T844" s="299"/>
      <c r="U844" s="299"/>
      <c r="V844" s="299"/>
      <c r="W844" s="299"/>
      <c r="X844" s="299"/>
      <c r="Y844" s="299"/>
      <c r="Z844" s="299"/>
      <c r="AA844" s="299"/>
      <c r="AB844" s="299"/>
      <c r="AC844" s="300"/>
      <c r="AD844" s="300"/>
    </row>
    <row r="845" spans="1:30" ht="12.75" customHeight="1" x14ac:dyDescent="0.2">
      <c r="A845" s="296"/>
      <c r="B845" s="296"/>
      <c r="C845" s="296"/>
      <c r="D845" s="298"/>
      <c r="E845" s="298"/>
      <c r="F845" s="296"/>
      <c r="G845" s="296"/>
      <c r="H845" s="296"/>
      <c r="I845" s="296"/>
      <c r="J845" s="296"/>
      <c r="K845" s="296"/>
      <c r="L845" s="296"/>
      <c r="M845" s="299"/>
      <c r="N845" s="299"/>
      <c r="O845" s="299"/>
      <c r="P845" s="299"/>
      <c r="Q845" s="299"/>
      <c r="R845" s="299"/>
      <c r="S845" s="299"/>
      <c r="T845" s="299"/>
      <c r="U845" s="299"/>
      <c r="V845" s="299"/>
      <c r="W845" s="299"/>
      <c r="X845" s="299"/>
      <c r="Y845" s="299"/>
      <c r="Z845" s="299"/>
      <c r="AA845" s="299"/>
      <c r="AB845" s="299"/>
      <c r="AC845" s="300"/>
      <c r="AD845" s="300"/>
    </row>
    <row r="846" spans="1:30" ht="12.75" customHeight="1" x14ac:dyDescent="0.2">
      <c r="A846" s="296"/>
      <c r="B846" s="296"/>
      <c r="C846" s="296"/>
      <c r="D846" s="298"/>
      <c r="E846" s="298"/>
      <c r="F846" s="296"/>
      <c r="G846" s="296"/>
      <c r="H846" s="296"/>
      <c r="I846" s="296"/>
      <c r="J846" s="296"/>
      <c r="K846" s="296"/>
      <c r="L846" s="296"/>
      <c r="M846" s="299"/>
      <c r="N846" s="299"/>
      <c r="O846" s="299"/>
      <c r="P846" s="299"/>
      <c r="Q846" s="299"/>
      <c r="R846" s="299"/>
      <c r="S846" s="299"/>
      <c r="T846" s="299"/>
      <c r="U846" s="299"/>
      <c r="V846" s="299"/>
      <c r="W846" s="299"/>
      <c r="X846" s="299"/>
      <c r="Y846" s="299"/>
      <c r="Z846" s="299"/>
      <c r="AA846" s="299"/>
      <c r="AB846" s="299"/>
      <c r="AC846" s="300"/>
      <c r="AD846" s="300"/>
    </row>
    <row r="847" spans="1:30" ht="12.75" customHeight="1" x14ac:dyDescent="0.2">
      <c r="A847" s="296"/>
      <c r="B847" s="296"/>
      <c r="C847" s="296"/>
      <c r="D847" s="298"/>
      <c r="E847" s="298"/>
      <c r="F847" s="296"/>
      <c r="G847" s="296"/>
      <c r="H847" s="296"/>
      <c r="I847" s="296"/>
      <c r="J847" s="296"/>
      <c r="K847" s="296"/>
      <c r="L847" s="296"/>
      <c r="M847" s="299"/>
      <c r="N847" s="299"/>
      <c r="O847" s="299"/>
      <c r="P847" s="299"/>
      <c r="Q847" s="299"/>
      <c r="R847" s="299"/>
      <c r="S847" s="299"/>
      <c r="T847" s="299"/>
      <c r="U847" s="299"/>
      <c r="V847" s="299"/>
      <c r="W847" s="299"/>
      <c r="X847" s="299"/>
      <c r="Y847" s="299"/>
      <c r="Z847" s="299"/>
      <c r="AA847" s="299"/>
      <c r="AB847" s="299"/>
      <c r="AC847" s="300"/>
      <c r="AD847" s="300"/>
    </row>
    <row r="848" spans="1:30" ht="12.75" customHeight="1" x14ac:dyDescent="0.2">
      <c r="A848" s="296"/>
      <c r="B848" s="296"/>
      <c r="C848" s="296"/>
      <c r="D848" s="298"/>
      <c r="E848" s="298"/>
      <c r="F848" s="296"/>
      <c r="G848" s="296"/>
      <c r="H848" s="296"/>
      <c r="I848" s="296"/>
      <c r="J848" s="296"/>
      <c r="K848" s="296"/>
      <c r="L848" s="296"/>
      <c r="M848" s="299"/>
      <c r="N848" s="299"/>
      <c r="O848" s="299"/>
      <c r="P848" s="299"/>
      <c r="Q848" s="299"/>
      <c r="R848" s="299"/>
      <c r="S848" s="299"/>
      <c r="T848" s="299"/>
      <c r="U848" s="299"/>
      <c r="V848" s="299"/>
      <c r="W848" s="299"/>
      <c r="X848" s="299"/>
      <c r="Y848" s="299"/>
      <c r="Z848" s="299"/>
      <c r="AA848" s="299"/>
      <c r="AB848" s="299"/>
      <c r="AC848" s="300"/>
      <c r="AD848" s="300"/>
    </row>
    <row r="849" spans="1:30" ht="12.75" customHeight="1" x14ac:dyDescent="0.2">
      <c r="A849" s="296"/>
      <c r="B849" s="296"/>
      <c r="C849" s="296"/>
      <c r="D849" s="298"/>
      <c r="E849" s="298"/>
      <c r="F849" s="296"/>
      <c r="G849" s="296"/>
      <c r="H849" s="296"/>
      <c r="I849" s="296"/>
      <c r="J849" s="296"/>
      <c r="K849" s="296"/>
      <c r="L849" s="296"/>
      <c r="M849" s="299"/>
      <c r="N849" s="299"/>
      <c r="O849" s="299"/>
      <c r="P849" s="299"/>
      <c r="Q849" s="299"/>
      <c r="R849" s="299"/>
      <c r="S849" s="299"/>
      <c r="T849" s="299"/>
      <c r="U849" s="299"/>
      <c r="V849" s="299"/>
      <c r="W849" s="299"/>
      <c r="X849" s="299"/>
      <c r="Y849" s="299"/>
      <c r="Z849" s="299"/>
      <c r="AA849" s="299"/>
      <c r="AB849" s="299"/>
      <c r="AC849" s="300"/>
      <c r="AD849" s="300"/>
    </row>
    <row r="850" spans="1:30" ht="12.75" customHeight="1" x14ac:dyDescent="0.2">
      <c r="A850" s="296"/>
      <c r="B850" s="296"/>
      <c r="C850" s="296"/>
      <c r="D850" s="298"/>
      <c r="E850" s="298"/>
      <c r="F850" s="296"/>
      <c r="G850" s="296"/>
      <c r="H850" s="296"/>
      <c r="I850" s="296"/>
      <c r="J850" s="296"/>
      <c r="K850" s="296"/>
      <c r="L850" s="296"/>
      <c r="M850" s="299"/>
      <c r="N850" s="299"/>
      <c r="O850" s="299"/>
      <c r="P850" s="299"/>
      <c r="Q850" s="299"/>
      <c r="R850" s="299"/>
      <c r="S850" s="299"/>
      <c r="T850" s="299"/>
      <c r="U850" s="299"/>
      <c r="V850" s="299"/>
      <c r="W850" s="299"/>
      <c r="X850" s="299"/>
      <c r="Y850" s="299"/>
      <c r="Z850" s="299"/>
      <c r="AA850" s="299"/>
      <c r="AB850" s="299"/>
      <c r="AC850" s="300"/>
      <c r="AD850" s="300"/>
    </row>
    <row r="851" spans="1:30" ht="12.75" customHeight="1" x14ac:dyDescent="0.2">
      <c r="A851" s="296"/>
      <c r="B851" s="296"/>
      <c r="C851" s="296"/>
      <c r="D851" s="298"/>
      <c r="E851" s="298"/>
      <c r="F851" s="296"/>
      <c r="G851" s="296"/>
      <c r="H851" s="296"/>
      <c r="I851" s="296"/>
      <c r="J851" s="296"/>
      <c r="K851" s="296"/>
      <c r="L851" s="296"/>
      <c r="M851" s="299"/>
      <c r="N851" s="299"/>
      <c r="O851" s="299"/>
      <c r="P851" s="299"/>
      <c r="Q851" s="299"/>
      <c r="R851" s="299"/>
      <c r="S851" s="299"/>
      <c r="T851" s="299"/>
      <c r="U851" s="299"/>
      <c r="V851" s="299"/>
      <c r="W851" s="299"/>
      <c r="X851" s="299"/>
      <c r="Y851" s="299"/>
      <c r="Z851" s="299"/>
      <c r="AA851" s="299"/>
      <c r="AB851" s="299"/>
      <c r="AC851" s="300"/>
      <c r="AD851" s="300"/>
    </row>
    <row r="852" spans="1:30" ht="12.75" customHeight="1" x14ac:dyDescent="0.2">
      <c r="A852" s="296"/>
      <c r="B852" s="296"/>
      <c r="C852" s="296"/>
      <c r="D852" s="298"/>
      <c r="E852" s="298"/>
      <c r="F852" s="296"/>
      <c r="G852" s="296"/>
      <c r="H852" s="296"/>
      <c r="I852" s="296"/>
      <c r="J852" s="296"/>
      <c r="K852" s="296"/>
      <c r="L852" s="296"/>
      <c r="M852" s="299"/>
      <c r="N852" s="299"/>
      <c r="O852" s="299"/>
      <c r="P852" s="299"/>
      <c r="Q852" s="299"/>
      <c r="R852" s="299"/>
      <c r="S852" s="299"/>
      <c r="T852" s="299"/>
      <c r="U852" s="299"/>
      <c r="V852" s="299"/>
      <c r="W852" s="299"/>
      <c r="X852" s="299"/>
      <c r="Y852" s="299"/>
      <c r="Z852" s="299"/>
      <c r="AA852" s="299"/>
      <c r="AB852" s="299"/>
      <c r="AC852" s="300"/>
      <c r="AD852" s="300"/>
    </row>
    <row r="853" spans="1:30" ht="12.75" customHeight="1" x14ac:dyDescent="0.2">
      <c r="A853" s="296"/>
      <c r="B853" s="296"/>
      <c r="C853" s="296"/>
      <c r="D853" s="298"/>
      <c r="E853" s="298"/>
      <c r="F853" s="296"/>
      <c r="G853" s="296"/>
      <c r="H853" s="296"/>
      <c r="I853" s="296"/>
      <c r="J853" s="296"/>
      <c r="K853" s="296"/>
      <c r="L853" s="296"/>
      <c r="M853" s="299"/>
      <c r="N853" s="299"/>
      <c r="O853" s="299"/>
      <c r="P853" s="299"/>
      <c r="Q853" s="299"/>
      <c r="R853" s="299"/>
      <c r="S853" s="299"/>
      <c r="T853" s="299"/>
      <c r="U853" s="299"/>
      <c r="V853" s="299"/>
      <c r="W853" s="299"/>
      <c r="X853" s="299"/>
      <c r="Y853" s="299"/>
      <c r="Z853" s="299"/>
      <c r="AA853" s="299"/>
      <c r="AB853" s="299"/>
      <c r="AC853" s="300"/>
      <c r="AD853" s="300"/>
    </row>
    <row r="854" spans="1:30" ht="12.75" customHeight="1" x14ac:dyDescent="0.2">
      <c r="A854" s="296"/>
      <c r="B854" s="296"/>
      <c r="C854" s="296"/>
      <c r="D854" s="298"/>
      <c r="E854" s="298"/>
      <c r="F854" s="296"/>
      <c r="G854" s="296"/>
      <c r="H854" s="296"/>
      <c r="I854" s="296"/>
      <c r="J854" s="296"/>
      <c r="K854" s="296"/>
      <c r="L854" s="296"/>
      <c r="M854" s="299"/>
      <c r="N854" s="299"/>
      <c r="O854" s="299"/>
      <c r="P854" s="299"/>
      <c r="Q854" s="299"/>
      <c r="R854" s="299"/>
      <c r="S854" s="299"/>
      <c r="T854" s="299"/>
      <c r="U854" s="299"/>
      <c r="V854" s="299"/>
      <c r="W854" s="299"/>
      <c r="X854" s="299"/>
      <c r="Y854" s="299"/>
      <c r="Z854" s="299"/>
      <c r="AA854" s="299"/>
      <c r="AB854" s="299"/>
      <c r="AC854" s="300"/>
      <c r="AD854" s="300"/>
    </row>
    <row r="855" spans="1:30" ht="12.75" customHeight="1" x14ac:dyDescent="0.2">
      <c r="A855" s="296"/>
      <c r="B855" s="296"/>
      <c r="C855" s="296"/>
      <c r="D855" s="298"/>
      <c r="E855" s="298"/>
      <c r="F855" s="296"/>
      <c r="G855" s="296"/>
      <c r="H855" s="296"/>
      <c r="I855" s="296"/>
      <c r="J855" s="296"/>
      <c r="K855" s="296"/>
      <c r="L855" s="296"/>
      <c r="M855" s="299"/>
      <c r="N855" s="299"/>
      <c r="O855" s="299"/>
      <c r="P855" s="299"/>
      <c r="Q855" s="299"/>
      <c r="R855" s="299"/>
      <c r="S855" s="299"/>
      <c r="T855" s="299"/>
      <c r="U855" s="299"/>
      <c r="V855" s="299"/>
      <c r="W855" s="299"/>
      <c r="X855" s="299"/>
      <c r="Y855" s="299"/>
      <c r="Z855" s="299"/>
      <c r="AA855" s="299"/>
      <c r="AB855" s="299"/>
      <c r="AC855" s="300"/>
      <c r="AD855" s="300"/>
    </row>
    <row r="856" spans="1:30" ht="12.75" customHeight="1" x14ac:dyDescent="0.2">
      <c r="A856" s="296"/>
      <c r="B856" s="296"/>
      <c r="C856" s="296"/>
      <c r="D856" s="298"/>
      <c r="E856" s="298"/>
      <c r="F856" s="296"/>
      <c r="G856" s="296"/>
      <c r="H856" s="296"/>
      <c r="I856" s="296"/>
      <c r="J856" s="296"/>
      <c r="K856" s="296"/>
      <c r="L856" s="296"/>
      <c r="M856" s="299"/>
      <c r="N856" s="299"/>
      <c r="O856" s="299"/>
      <c r="P856" s="299"/>
      <c r="Q856" s="299"/>
      <c r="R856" s="299"/>
      <c r="S856" s="299"/>
      <c r="T856" s="299"/>
      <c r="U856" s="299"/>
      <c r="V856" s="299"/>
      <c r="W856" s="299"/>
      <c r="X856" s="299"/>
      <c r="Y856" s="299"/>
      <c r="Z856" s="299"/>
      <c r="AA856" s="299"/>
      <c r="AB856" s="299"/>
      <c r="AC856" s="300"/>
      <c r="AD856" s="300"/>
    </row>
    <row r="857" spans="1:30" ht="12.75" customHeight="1" x14ac:dyDescent="0.2">
      <c r="A857" s="296"/>
      <c r="B857" s="296"/>
      <c r="C857" s="296"/>
      <c r="D857" s="298"/>
      <c r="E857" s="298"/>
      <c r="F857" s="296"/>
      <c r="G857" s="296"/>
      <c r="H857" s="296"/>
      <c r="I857" s="296"/>
      <c r="J857" s="296"/>
      <c r="K857" s="296"/>
      <c r="L857" s="296"/>
      <c r="M857" s="299"/>
      <c r="N857" s="299"/>
      <c r="O857" s="299"/>
      <c r="P857" s="299"/>
      <c r="Q857" s="299"/>
      <c r="R857" s="299"/>
      <c r="S857" s="299"/>
      <c r="T857" s="299"/>
      <c r="U857" s="299"/>
      <c r="V857" s="299"/>
      <c r="W857" s="299"/>
      <c r="X857" s="299"/>
      <c r="Y857" s="299"/>
      <c r="Z857" s="299"/>
      <c r="AA857" s="299"/>
      <c r="AB857" s="299"/>
      <c r="AC857" s="300"/>
      <c r="AD857" s="300"/>
    </row>
    <row r="858" spans="1:30" ht="12.75" customHeight="1" x14ac:dyDescent="0.2">
      <c r="A858" s="296"/>
      <c r="B858" s="296"/>
      <c r="C858" s="296"/>
      <c r="D858" s="298"/>
      <c r="E858" s="298"/>
      <c r="F858" s="296"/>
      <c r="G858" s="296"/>
      <c r="H858" s="296"/>
      <c r="I858" s="296"/>
      <c r="J858" s="296"/>
      <c r="K858" s="296"/>
      <c r="L858" s="296"/>
      <c r="M858" s="299"/>
      <c r="N858" s="299"/>
      <c r="O858" s="299"/>
      <c r="P858" s="299"/>
      <c r="Q858" s="299"/>
      <c r="R858" s="299"/>
      <c r="S858" s="299"/>
      <c r="T858" s="299"/>
      <c r="U858" s="299"/>
      <c r="V858" s="299"/>
      <c r="W858" s="299"/>
      <c r="X858" s="299"/>
      <c r="Y858" s="299"/>
      <c r="Z858" s="299"/>
      <c r="AA858" s="299"/>
      <c r="AB858" s="299"/>
      <c r="AC858" s="300"/>
      <c r="AD858" s="300"/>
    </row>
    <row r="859" spans="1:30" ht="12.75" customHeight="1" x14ac:dyDescent="0.2">
      <c r="A859" s="296"/>
      <c r="B859" s="296"/>
      <c r="C859" s="296"/>
      <c r="D859" s="298"/>
      <c r="E859" s="298"/>
      <c r="F859" s="296"/>
      <c r="G859" s="296"/>
      <c r="H859" s="296"/>
      <c r="I859" s="296"/>
      <c r="J859" s="296"/>
      <c r="K859" s="296"/>
      <c r="L859" s="296"/>
      <c r="M859" s="299"/>
      <c r="N859" s="299"/>
      <c r="O859" s="299"/>
      <c r="P859" s="299"/>
      <c r="Q859" s="299"/>
      <c r="R859" s="299"/>
      <c r="S859" s="299"/>
      <c r="T859" s="299"/>
      <c r="U859" s="299"/>
      <c r="V859" s="299"/>
      <c r="W859" s="299"/>
      <c r="X859" s="299"/>
      <c r="Y859" s="299"/>
      <c r="Z859" s="299"/>
      <c r="AA859" s="299"/>
      <c r="AB859" s="299"/>
      <c r="AC859" s="300"/>
      <c r="AD859" s="300"/>
    </row>
    <row r="860" spans="1:30" ht="12.75" customHeight="1" x14ac:dyDescent="0.2">
      <c r="A860" s="296"/>
      <c r="B860" s="296"/>
      <c r="C860" s="296"/>
      <c r="D860" s="298"/>
      <c r="E860" s="298"/>
      <c r="F860" s="296"/>
      <c r="G860" s="296"/>
      <c r="H860" s="296"/>
      <c r="I860" s="296"/>
      <c r="J860" s="296"/>
      <c r="K860" s="296"/>
      <c r="L860" s="296"/>
      <c r="M860" s="299"/>
      <c r="N860" s="299"/>
      <c r="O860" s="299"/>
      <c r="P860" s="299"/>
      <c r="Q860" s="299"/>
      <c r="R860" s="299"/>
      <c r="S860" s="299"/>
      <c r="T860" s="299"/>
      <c r="U860" s="299"/>
      <c r="V860" s="299"/>
      <c r="W860" s="299"/>
      <c r="X860" s="299"/>
      <c r="Y860" s="299"/>
      <c r="Z860" s="299"/>
      <c r="AA860" s="299"/>
      <c r="AB860" s="299"/>
      <c r="AC860" s="300"/>
      <c r="AD860" s="300"/>
    </row>
    <row r="861" spans="1:30" ht="12.75" customHeight="1" x14ac:dyDescent="0.2">
      <c r="A861" s="296"/>
      <c r="B861" s="296"/>
      <c r="C861" s="296"/>
      <c r="D861" s="298"/>
      <c r="E861" s="298"/>
      <c r="F861" s="296"/>
      <c r="G861" s="296"/>
      <c r="H861" s="296"/>
      <c r="I861" s="296"/>
      <c r="J861" s="296"/>
      <c r="K861" s="296"/>
      <c r="L861" s="296"/>
      <c r="M861" s="299"/>
      <c r="N861" s="299"/>
      <c r="O861" s="299"/>
      <c r="P861" s="299"/>
      <c r="Q861" s="299"/>
      <c r="R861" s="299"/>
      <c r="S861" s="299"/>
      <c r="T861" s="299"/>
      <c r="U861" s="299"/>
      <c r="V861" s="299"/>
      <c r="W861" s="299"/>
      <c r="X861" s="299"/>
      <c r="Y861" s="299"/>
      <c r="Z861" s="299"/>
      <c r="AA861" s="299"/>
      <c r="AB861" s="299"/>
      <c r="AC861" s="300"/>
      <c r="AD861" s="300"/>
    </row>
    <row r="862" spans="1:30" ht="12.75" customHeight="1" x14ac:dyDescent="0.2">
      <c r="A862" s="296"/>
      <c r="B862" s="296"/>
      <c r="C862" s="296"/>
      <c r="D862" s="298"/>
      <c r="E862" s="298"/>
      <c r="F862" s="296"/>
      <c r="G862" s="296"/>
      <c r="H862" s="296"/>
      <c r="I862" s="296"/>
      <c r="J862" s="296"/>
      <c r="K862" s="296"/>
      <c r="L862" s="296"/>
      <c r="M862" s="299"/>
      <c r="N862" s="299"/>
      <c r="O862" s="299"/>
      <c r="P862" s="299"/>
      <c r="Q862" s="299"/>
      <c r="R862" s="299"/>
      <c r="S862" s="299"/>
      <c r="T862" s="299"/>
      <c r="U862" s="299"/>
      <c r="V862" s="299"/>
      <c r="W862" s="299"/>
      <c r="X862" s="299"/>
      <c r="Y862" s="299"/>
      <c r="Z862" s="299"/>
      <c r="AA862" s="299"/>
      <c r="AB862" s="299"/>
      <c r="AC862" s="300"/>
      <c r="AD862" s="300"/>
    </row>
    <row r="863" spans="1:30" ht="12.75" customHeight="1" x14ac:dyDescent="0.2">
      <c r="A863" s="296"/>
      <c r="B863" s="296"/>
      <c r="C863" s="296"/>
      <c r="D863" s="298"/>
      <c r="E863" s="298"/>
      <c r="F863" s="296"/>
      <c r="G863" s="296"/>
      <c r="H863" s="296"/>
      <c r="I863" s="296"/>
      <c r="J863" s="296"/>
      <c r="K863" s="296"/>
      <c r="L863" s="296"/>
      <c r="M863" s="299"/>
      <c r="N863" s="299"/>
      <c r="O863" s="299"/>
      <c r="P863" s="299"/>
      <c r="Q863" s="299"/>
      <c r="R863" s="299"/>
      <c r="S863" s="299"/>
      <c r="T863" s="299"/>
      <c r="U863" s="299"/>
      <c r="V863" s="299"/>
      <c r="W863" s="299"/>
      <c r="X863" s="299"/>
      <c r="Y863" s="299"/>
      <c r="Z863" s="299"/>
      <c r="AA863" s="299"/>
      <c r="AB863" s="299"/>
      <c r="AC863" s="300"/>
      <c r="AD863" s="300"/>
    </row>
    <row r="864" spans="1:30" ht="12.75" customHeight="1" x14ac:dyDescent="0.2">
      <c r="A864" s="296"/>
      <c r="B864" s="296"/>
      <c r="C864" s="296"/>
      <c r="D864" s="298"/>
      <c r="E864" s="298"/>
      <c r="F864" s="296"/>
      <c r="G864" s="296"/>
      <c r="H864" s="296"/>
      <c r="I864" s="296"/>
      <c r="J864" s="296"/>
      <c r="K864" s="296"/>
      <c r="L864" s="296"/>
      <c r="M864" s="299"/>
      <c r="N864" s="299"/>
      <c r="O864" s="299"/>
      <c r="P864" s="299"/>
      <c r="Q864" s="299"/>
      <c r="R864" s="299"/>
      <c r="S864" s="299"/>
      <c r="T864" s="299"/>
      <c r="U864" s="299"/>
      <c r="V864" s="299"/>
      <c r="W864" s="299"/>
      <c r="X864" s="299"/>
      <c r="Y864" s="299"/>
      <c r="Z864" s="299"/>
      <c r="AA864" s="299"/>
      <c r="AB864" s="299"/>
      <c r="AC864" s="300"/>
      <c r="AD864" s="300"/>
    </row>
    <row r="865" spans="1:30" ht="12.75" customHeight="1" x14ac:dyDescent="0.2">
      <c r="A865" s="296"/>
      <c r="B865" s="296"/>
      <c r="C865" s="296"/>
      <c r="D865" s="298"/>
      <c r="E865" s="298"/>
      <c r="F865" s="296"/>
      <c r="G865" s="296"/>
      <c r="H865" s="296"/>
      <c r="I865" s="296"/>
      <c r="J865" s="296"/>
      <c r="K865" s="296"/>
      <c r="L865" s="296"/>
      <c r="M865" s="299"/>
      <c r="N865" s="299"/>
      <c r="O865" s="299"/>
      <c r="P865" s="299"/>
      <c r="Q865" s="299"/>
      <c r="R865" s="299"/>
      <c r="S865" s="299"/>
      <c r="T865" s="299"/>
      <c r="U865" s="299"/>
      <c r="V865" s="299"/>
      <c r="W865" s="299"/>
      <c r="X865" s="299"/>
      <c r="Y865" s="299"/>
      <c r="Z865" s="299"/>
      <c r="AA865" s="299"/>
      <c r="AB865" s="299"/>
      <c r="AC865" s="300"/>
      <c r="AD865" s="300"/>
    </row>
    <row r="866" spans="1:30" ht="12.75" customHeight="1" x14ac:dyDescent="0.2">
      <c r="A866" s="296"/>
      <c r="B866" s="296"/>
      <c r="C866" s="296"/>
      <c r="D866" s="298"/>
      <c r="E866" s="298"/>
      <c r="F866" s="296"/>
      <c r="G866" s="296"/>
      <c r="H866" s="296"/>
      <c r="I866" s="296"/>
      <c r="J866" s="296"/>
      <c r="K866" s="296"/>
      <c r="L866" s="296"/>
      <c r="M866" s="299"/>
      <c r="N866" s="299"/>
      <c r="O866" s="299"/>
      <c r="P866" s="299"/>
      <c r="Q866" s="299"/>
      <c r="R866" s="299"/>
      <c r="S866" s="299"/>
      <c r="T866" s="299"/>
      <c r="U866" s="299"/>
      <c r="V866" s="299"/>
      <c r="W866" s="299"/>
      <c r="X866" s="299"/>
      <c r="Y866" s="299"/>
      <c r="Z866" s="299"/>
      <c r="AA866" s="299"/>
      <c r="AB866" s="299"/>
      <c r="AC866" s="300"/>
      <c r="AD866" s="300"/>
    </row>
    <row r="867" spans="1:30" ht="12.75" customHeight="1" x14ac:dyDescent="0.2">
      <c r="A867" s="296"/>
      <c r="B867" s="296"/>
      <c r="C867" s="296"/>
      <c r="D867" s="298"/>
      <c r="E867" s="298"/>
      <c r="F867" s="296"/>
      <c r="G867" s="296"/>
      <c r="H867" s="296"/>
      <c r="I867" s="296"/>
      <c r="J867" s="296"/>
      <c r="K867" s="296"/>
      <c r="L867" s="296"/>
      <c r="M867" s="299"/>
      <c r="N867" s="299"/>
      <c r="O867" s="299"/>
      <c r="P867" s="299"/>
      <c r="Q867" s="299"/>
      <c r="R867" s="299"/>
      <c r="S867" s="299"/>
      <c r="T867" s="299"/>
      <c r="U867" s="299"/>
      <c r="V867" s="299"/>
      <c r="W867" s="299"/>
      <c r="X867" s="299"/>
      <c r="Y867" s="299"/>
      <c r="Z867" s="299"/>
      <c r="AA867" s="299"/>
      <c r="AB867" s="299"/>
      <c r="AC867" s="300"/>
      <c r="AD867" s="300"/>
    </row>
    <row r="868" spans="1:30" ht="12.75" customHeight="1" x14ac:dyDescent="0.2">
      <c r="A868" s="296"/>
      <c r="B868" s="296"/>
      <c r="C868" s="296"/>
      <c r="D868" s="298"/>
      <c r="E868" s="298"/>
      <c r="F868" s="296"/>
      <c r="G868" s="296"/>
      <c r="H868" s="296"/>
      <c r="I868" s="296"/>
      <c r="J868" s="296"/>
      <c r="K868" s="296"/>
      <c r="L868" s="296"/>
      <c r="M868" s="299"/>
      <c r="N868" s="299"/>
      <c r="O868" s="299"/>
      <c r="P868" s="299"/>
      <c r="Q868" s="299"/>
      <c r="R868" s="299"/>
      <c r="S868" s="299"/>
      <c r="T868" s="299"/>
      <c r="U868" s="299"/>
      <c r="V868" s="299"/>
      <c r="W868" s="299"/>
      <c r="X868" s="299"/>
      <c r="Y868" s="299"/>
      <c r="Z868" s="299"/>
      <c r="AA868" s="299"/>
      <c r="AB868" s="299"/>
      <c r="AC868" s="300"/>
      <c r="AD868" s="300"/>
    </row>
    <row r="869" spans="1:30" ht="12.75" customHeight="1" x14ac:dyDescent="0.2">
      <c r="A869" s="296"/>
      <c r="B869" s="296"/>
      <c r="C869" s="296"/>
      <c r="D869" s="298"/>
      <c r="E869" s="298"/>
      <c r="F869" s="296"/>
      <c r="G869" s="296"/>
      <c r="H869" s="296"/>
      <c r="I869" s="296"/>
      <c r="J869" s="296"/>
      <c r="K869" s="296"/>
      <c r="L869" s="296"/>
      <c r="M869" s="299"/>
      <c r="N869" s="299"/>
      <c r="O869" s="299"/>
      <c r="P869" s="299"/>
      <c r="Q869" s="299"/>
      <c r="R869" s="299"/>
      <c r="S869" s="299"/>
      <c r="T869" s="299"/>
      <c r="U869" s="299"/>
      <c r="V869" s="299"/>
      <c r="W869" s="299"/>
      <c r="X869" s="299"/>
      <c r="Y869" s="299"/>
      <c r="Z869" s="299"/>
      <c r="AA869" s="299"/>
      <c r="AB869" s="299"/>
      <c r="AC869" s="300"/>
      <c r="AD869" s="300"/>
    </row>
    <row r="870" spans="1:30" ht="12.75" customHeight="1" x14ac:dyDescent="0.2">
      <c r="A870" s="296"/>
      <c r="B870" s="296"/>
      <c r="C870" s="296"/>
      <c r="D870" s="298"/>
      <c r="E870" s="298"/>
      <c r="F870" s="296"/>
      <c r="G870" s="296"/>
      <c r="H870" s="296"/>
      <c r="I870" s="296"/>
      <c r="J870" s="296"/>
      <c r="K870" s="296"/>
      <c r="L870" s="296"/>
      <c r="M870" s="299"/>
      <c r="N870" s="299"/>
      <c r="O870" s="299"/>
      <c r="P870" s="299"/>
      <c r="Q870" s="299"/>
      <c r="R870" s="299"/>
      <c r="S870" s="299"/>
      <c r="T870" s="299"/>
      <c r="U870" s="299"/>
      <c r="V870" s="299"/>
      <c r="W870" s="299"/>
      <c r="X870" s="299"/>
      <c r="Y870" s="299"/>
      <c r="Z870" s="299"/>
      <c r="AA870" s="299"/>
      <c r="AB870" s="299"/>
      <c r="AC870" s="300"/>
      <c r="AD870" s="300"/>
    </row>
    <row r="871" spans="1:30" ht="12.75" customHeight="1" x14ac:dyDescent="0.2">
      <c r="A871" s="296"/>
      <c r="B871" s="296"/>
      <c r="C871" s="296"/>
      <c r="D871" s="298"/>
      <c r="E871" s="298"/>
      <c r="F871" s="296"/>
      <c r="G871" s="296"/>
      <c r="H871" s="296"/>
      <c r="I871" s="296"/>
      <c r="J871" s="296"/>
      <c r="K871" s="296"/>
      <c r="L871" s="296"/>
      <c r="M871" s="299"/>
      <c r="N871" s="299"/>
      <c r="O871" s="299"/>
      <c r="P871" s="299"/>
      <c r="Q871" s="299"/>
      <c r="R871" s="299"/>
      <c r="S871" s="299"/>
      <c r="T871" s="299"/>
      <c r="U871" s="299"/>
      <c r="V871" s="299"/>
      <c r="W871" s="299"/>
      <c r="X871" s="299"/>
      <c r="Y871" s="299"/>
      <c r="Z871" s="299"/>
      <c r="AA871" s="299"/>
      <c r="AB871" s="299"/>
      <c r="AC871" s="300"/>
      <c r="AD871" s="300"/>
    </row>
    <row r="872" spans="1:30" ht="12.75" customHeight="1" x14ac:dyDescent="0.2">
      <c r="A872" s="296"/>
      <c r="B872" s="296"/>
      <c r="C872" s="296"/>
      <c r="D872" s="298"/>
      <c r="E872" s="298"/>
      <c r="F872" s="296"/>
      <c r="G872" s="296"/>
      <c r="H872" s="296"/>
      <c r="I872" s="296"/>
      <c r="J872" s="296"/>
      <c r="K872" s="296"/>
      <c r="L872" s="296"/>
      <c r="M872" s="299"/>
      <c r="N872" s="299"/>
      <c r="O872" s="299"/>
      <c r="P872" s="299"/>
      <c r="Q872" s="299"/>
      <c r="R872" s="299"/>
      <c r="S872" s="299"/>
      <c r="T872" s="299"/>
      <c r="U872" s="299"/>
      <c r="V872" s="299"/>
      <c r="W872" s="299"/>
      <c r="X872" s="299"/>
      <c r="Y872" s="299"/>
      <c r="Z872" s="299"/>
      <c r="AA872" s="299"/>
      <c r="AB872" s="299"/>
      <c r="AC872" s="300"/>
      <c r="AD872" s="300"/>
    </row>
    <row r="873" spans="1:30" ht="12.75" customHeight="1" x14ac:dyDescent="0.2">
      <c r="A873" s="296"/>
      <c r="B873" s="296"/>
      <c r="C873" s="296"/>
      <c r="D873" s="298"/>
      <c r="E873" s="298"/>
      <c r="F873" s="296"/>
      <c r="G873" s="296"/>
      <c r="H873" s="296"/>
      <c r="I873" s="296"/>
      <c r="J873" s="296"/>
      <c r="K873" s="296"/>
      <c r="L873" s="296"/>
      <c r="M873" s="299"/>
      <c r="N873" s="299"/>
      <c r="O873" s="299"/>
      <c r="P873" s="299"/>
      <c r="Q873" s="299"/>
      <c r="R873" s="299"/>
      <c r="S873" s="299"/>
      <c r="T873" s="299"/>
      <c r="U873" s="299"/>
      <c r="V873" s="299"/>
      <c r="W873" s="299"/>
      <c r="X873" s="299"/>
      <c r="Y873" s="299"/>
      <c r="Z873" s="299"/>
      <c r="AA873" s="299"/>
      <c r="AB873" s="299"/>
      <c r="AC873" s="300"/>
      <c r="AD873" s="300"/>
    </row>
    <row r="874" spans="1:30" ht="12.75" customHeight="1" x14ac:dyDescent="0.2">
      <c r="A874" s="296"/>
      <c r="B874" s="296"/>
      <c r="C874" s="296"/>
      <c r="D874" s="298"/>
      <c r="E874" s="298"/>
      <c r="F874" s="296"/>
      <c r="G874" s="296"/>
      <c r="H874" s="296"/>
      <c r="I874" s="296"/>
      <c r="J874" s="296"/>
      <c r="K874" s="296"/>
      <c r="L874" s="296"/>
      <c r="M874" s="299"/>
      <c r="N874" s="299"/>
      <c r="O874" s="299"/>
      <c r="P874" s="299"/>
      <c r="Q874" s="299"/>
      <c r="R874" s="299"/>
      <c r="S874" s="299"/>
      <c r="T874" s="299"/>
      <c r="U874" s="299"/>
      <c r="V874" s="299"/>
      <c r="W874" s="299"/>
      <c r="X874" s="299"/>
      <c r="Y874" s="299"/>
      <c r="Z874" s="299"/>
      <c r="AA874" s="299"/>
      <c r="AB874" s="299"/>
      <c r="AC874" s="300"/>
      <c r="AD874" s="300"/>
    </row>
    <row r="875" spans="1:30" ht="12.75" customHeight="1" x14ac:dyDescent="0.2">
      <c r="A875" s="296"/>
      <c r="B875" s="296"/>
      <c r="C875" s="296"/>
      <c r="D875" s="298"/>
      <c r="E875" s="298"/>
      <c r="F875" s="296"/>
      <c r="G875" s="296"/>
      <c r="H875" s="296"/>
      <c r="I875" s="296"/>
      <c r="J875" s="296"/>
      <c r="K875" s="296"/>
      <c r="L875" s="296"/>
      <c r="M875" s="299"/>
      <c r="N875" s="299"/>
      <c r="O875" s="299"/>
      <c r="P875" s="299"/>
      <c r="Q875" s="299"/>
      <c r="R875" s="299"/>
      <c r="S875" s="299"/>
      <c r="T875" s="299"/>
      <c r="U875" s="299"/>
      <c r="V875" s="299"/>
      <c r="W875" s="299"/>
      <c r="X875" s="299"/>
      <c r="Y875" s="299"/>
      <c r="Z875" s="299"/>
      <c r="AA875" s="299"/>
      <c r="AB875" s="299"/>
      <c r="AC875" s="300"/>
      <c r="AD875" s="300"/>
    </row>
    <row r="876" spans="1:30" ht="12.75" customHeight="1" x14ac:dyDescent="0.2">
      <c r="A876" s="296"/>
      <c r="B876" s="296"/>
      <c r="C876" s="296"/>
      <c r="D876" s="298"/>
      <c r="E876" s="298"/>
      <c r="F876" s="296"/>
      <c r="G876" s="296"/>
      <c r="H876" s="296"/>
      <c r="I876" s="296"/>
      <c r="J876" s="296"/>
      <c r="K876" s="296"/>
      <c r="L876" s="296"/>
      <c r="M876" s="299"/>
      <c r="N876" s="299"/>
      <c r="O876" s="299"/>
      <c r="P876" s="299"/>
      <c r="Q876" s="299"/>
      <c r="R876" s="299"/>
      <c r="S876" s="299"/>
      <c r="T876" s="299"/>
      <c r="U876" s="299"/>
      <c r="V876" s="299"/>
      <c r="W876" s="299"/>
      <c r="X876" s="299"/>
      <c r="Y876" s="299"/>
      <c r="Z876" s="299"/>
      <c r="AA876" s="299"/>
      <c r="AB876" s="299"/>
      <c r="AC876" s="300"/>
      <c r="AD876" s="300"/>
    </row>
    <row r="877" spans="1:30" ht="12.75" customHeight="1" x14ac:dyDescent="0.2">
      <c r="A877" s="296"/>
      <c r="B877" s="296"/>
      <c r="C877" s="296"/>
      <c r="D877" s="298"/>
      <c r="E877" s="298"/>
      <c r="F877" s="296"/>
      <c r="G877" s="296"/>
      <c r="H877" s="296"/>
      <c r="I877" s="296"/>
      <c r="J877" s="296"/>
      <c r="K877" s="296"/>
      <c r="L877" s="296"/>
      <c r="M877" s="299"/>
      <c r="N877" s="299"/>
      <c r="O877" s="299"/>
      <c r="P877" s="299"/>
      <c r="Q877" s="299"/>
      <c r="R877" s="299"/>
      <c r="S877" s="299"/>
      <c r="T877" s="299"/>
      <c r="U877" s="299"/>
      <c r="V877" s="299"/>
      <c r="W877" s="299"/>
      <c r="X877" s="299"/>
      <c r="Y877" s="299"/>
      <c r="Z877" s="299"/>
      <c r="AA877" s="299"/>
      <c r="AB877" s="299"/>
      <c r="AC877" s="300"/>
      <c r="AD877" s="300"/>
    </row>
    <row r="878" spans="1:30" ht="12.75" customHeight="1" x14ac:dyDescent="0.2">
      <c r="A878" s="296"/>
      <c r="B878" s="296"/>
      <c r="C878" s="296"/>
      <c r="D878" s="298"/>
      <c r="E878" s="298"/>
      <c r="F878" s="296"/>
      <c r="G878" s="296"/>
      <c r="H878" s="296"/>
      <c r="I878" s="296"/>
      <c r="J878" s="296"/>
      <c r="K878" s="296"/>
      <c r="L878" s="296"/>
      <c r="M878" s="299"/>
      <c r="N878" s="299"/>
      <c r="O878" s="299"/>
      <c r="P878" s="299"/>
      <c r="Q878" s="299"/>
      <c r="R878" s="299"/>
      <c r="S878" s="299"/>
      <c r="T878" s="299"/>
      <c r="U878" s="299"/>
      <c r="V878" s="299"/>
      <c r="W878" s="299"/>
      <c r="X878" s="299"/>
      <c r="Y878" s="299"/>
      <c r="Z878" s="299"/>
      <c r="AA878" s="299"/>
      <c r="AB878" s="299"/>
      <c r="AC878" s="300"/>
      <c r="AD878" s="300"/>
    </row>
    <row r="879" spans="1:30" ht="12.75" customHeight="1" x14ac:dyDescent="0.2">
      <c r="A879" s="296"/>
      <c r="B879" s="296"/>
      <c r="C879" s="296"/>
      <c r="D879" s="298"/>
      <c r="E879" s="298"/>
      <c r="F879" s="296"/>
      <c r="G879" s="296"/>
      <c r="H879" s="296"/>
      <c r="I879" s="296"/>
      <c r="J879" s="296"/>
      <c r="K879" s="296"/>
      <c r="L879" s="296"/>
      <c r="M879" s="299"/>
      <c r="N879" s="299"/>
      <c r="O879" s="299"/>
      <c r="P879" s="299"/>
      <c r="Q879" s="299"/>
      <c r="R879" s="299"/>
      <c r="S879" s="299"/>
      <c r="T879" s="299"/>
      <c r="U879" s="299"/>
      <c r="V879" s="299"/>
      <c r="W879" s="299"/>
      <c r="X879" s="299"/>
      <c r="Y879" s="299"/>
      <c r="Z879" s="299"/>
      <c r="AA879" s="299"/>
      <c r="AB879" s="299"/>
      <c r="AC879" s="300"/>
      <c r="AD879" s="300"/>
    </row>
    <row r="880" spans="1:30" ht="12.75" customHeight="1" x14ac:dyDescent="0.2">
      <c r="A880" s="296"/>
      <c r="B880" s="296"/>
      <c r="C880" s="296"/>
      <c r="D880" s="298"/>
      <c r="E880" s="298"/>
      <c r="F880" s="296"/>
      <c r="G880" s="296"/>
      <c r="H880" s="296"/>
      <c r="I880" s="296"/>
      <c r="J880" s="296"/>
      <c r="K880" s="296"/>
      <c r="L880" s="296"/>
      <c r="M880" s="299"/>
      <c r="N880" s="299"/>
      <c r="O880" s="299"/>
      <c r="P880" s="299"/>
      <c r="Q880" s="299"/>
      <c r="R880" s="299"/>
      <c r="S880" s="299"/>
      <c r="T880" s="299"/>
      <c r="U880" s="299"/>
      <c r="V880" s="299"/>
      <c r="W880" s="299"/>
      <c r="X880" s="299"/>
      <c r="Y880" s="299"/>
      <c r="Z880" s="299"/>
      <c r="AA880" s="299"/>
      <c r="AB880" s="299"/>
      <c r="AC880" s="300"/>
      <c r="AD880" s="300"/>
    </row>
    <row r="881" spans="1:30" ht="12.75" customHeight="1" x14ac:dyDescent="0.2">
      <c r="A881" s="296"/>
      <c r="B881" s="296"/>
      <c r="C881" s="296"/>
      <c r="D881" s="298"/>
      <c r="E881" s="298"/>
      <c r="F881" s="296"/>
      <c r="G881" s="296"/>
      <c r="H881" s="296"/>
      <c r="I881" s="296"/>
      <c r="J881" s="296"/>
      <c r="K881" s="296"/>
      <c r="L881" s="296"/>
      <c r="M881" s="299"/>
      <c r="N881" s="299"/>
      <c r="O881" s="299"/>
      <c r="P881" s="299"/>
      <c r="Q881" s="299"/>
      <c r="R881" s="299"/>
      <c r="S881" s="299"/>
      <c r="T881" s="299"/>
      <c r="U881" s="299"/>
      <c r="V881" s="299"/>
      <c r="W881" s="299"/>
      <c r="X881" s="299"/>
      <c r="Y881" s="299"/>
      <c r="Z881" s="299"/>
      <c r="AA881" s="299"/>
      <c r="AB881" s="299"/>
      <c r="AC881" s="300"/>
      <c r="AD881" s="300"/>
    </row>
    <row r="882" spans="1:30" ht="12.75" customHeight="1" x14ac:dyDescent="0.2">
      <c r="A882" s="296"/>
      <c r="B882" s="296"/>
      <c r="C882" s="296"/>
      <c r="D882" s="298"/>
      <c r="E882" s="298"/>
      <c r="F882" s="296"/>
      <c r="G882" s="296"/>
      <c r="H882" s="296"/>
      <c r="I882" s="296"/>
      <c r="J882" s="296"/>
      <c r="K882" s="296"/>
      <c r="L882" s="296"/>
      <c r="M882" s="299"/>
      <c r="N882" s="299"/>
      <c r="O882" s="299"/>
      <c r="P882" s="299"/>
      <c r="Q882" s="299"/>
      <c r="R882" s="299"/>
      <c r="S882" s="299"/>
      <c r="T882" s="299"/>
      <c r="U882" s="299"/>
      <c r="V882" s="299"/>
      <c r="W882" s="299"/>
      <c r="X882" s="299"/>
      <c r="Y882" s="299"/>
      <c r="Z882" s="299"/>
      <c r="AA882" s="299"/>
      <c r="AB882" s="299"/>
      <c r="AC882" s="300"/>
      <c r="AD882" s="300"/>
    </row>
    <row r="883" spans="1:30" ht="12.75" customHeight="1" x14ac:dyDescent="0.2">
      <c r="A883" s="296"/>
      <c r="B883" s="296"/>
      <c r="C883" s="296"/>
      <c r="D883" s="298"/>
      <c r="E883" s="298"/>
      <c r="F883" s="296"/>
      <c r="G883" s="296"/>
      <c r="H883" s="296"/>
      <c r="I883" s="296"/>
      <c r="J883" s="296"/>
      <c r="K883" s="296"/>
      <c r="L883" s="296"/>
      <c r="M883" s="299"/>
      <c r="N883" s="299"/>
      <c r="O883" s="299"/>
      <c r="P883" s="299"/>
      <c r="Q883" s="299"/>
      <c r="R883" s="299"/>
      <c r="S883" s="299"/>
      <c r="T883" s="299"/>
      <c r="U883" s="299"/>
      <c r="V883" s="299"/>
      <c r="W883" s="299"/>
      <c r="X883" s="299"/>
      <c r="Y883" s="299"/>
      <c r="Z883" s="299"/>
      <c r="AA883" s="299"/>
      <c r="AB883" s="299"/>
      <c r="AC883" s="300"/>
      <c r="AD883" s="300"/>
    </row>
    <row r="884" spans="1:30" ht="12.75" customHeight="1" x14ac:dyDescent="0.2">
      <c r="A884" s="296"/>
      <c r="B884" s="296"/>
      <c r="C884" s="296"/>
      <c r="D884" s="298"/>
      <c r="E884" s="298"/>
      <c r="F884" s="296"/>
      <c r="G884" s="296"/>
      <c r="H884" s="296"/>
      <c r="I884" s="296"/>
      <c r="J884" s="296"/>
      <c r="K884" s="296"/>
      <c r="L884" s="296"/>
      <c r="M884" s="299"/>
      <c r="N884" s="299"/>
      <c r="O884" s="299"/>
      <c r="P884" s="299"/>
      <c r="Q884" s="299"/>
      <c r="R884" s="299"/>
      <c r="S884" s="299"/>
      <c r="T884" s="299"/>
      <c r="U884" s="299"/>
      <c r="V884" s="299"/>
      <c r="W884" s="299"/>
      <c r="X884" s="299"/>
      <c r="Y884" s="299"/>
      <c r="Z884" s="299"/>
      <c r="AA884" s="299"/>
      <c r="AB884" s="299"/>
      <c r="AC884" s="300"/>
      <c r="AD884" s="300"/>
    </row>
    <row r="885" spans="1:30" ht="12.75" customHeight="1" x14ac:dyDescent="0.2">
      <c r="A885" s="296"/>
      <c r="B885" s="296"/>
      <c r="C885" s="296"/>
      <c r="D885" s="298"/>
      <c r="E885" s="298"/>
      <c r="F885" s="296"/>
      <c r="G885" s="296"/>
      <c r="H885" s="296"/>
      <c r="I885" s="296"/>
      <c r="J885" s="296"/>
      <c r="K885" s="296"/>
      <c r="L885" s="296"/>
      <c r="M885" s="299"/>
      <c r="N885" s="299"/>
      <c r="O885" s="299"/>
      <c r="P885" s="299"/>
      <c r="Q885" s="299"/>
      <c r="R885" s="299"/>
      <c r="S885" s="299"/>
      <c r="T885" s="299"/>
      <c r="U885" s="299"/>
      <c r="V885" s="299"/>
      <c r="W885" s="299"/>
      <c r="X885" s="299"/>
      <c r="Y885" s="299"/>
      <c r="Z885" s="299"/>
      <c r="AA885" s="299"/>
      <c r="AB885" s="299"/>
      <c r="AC885" s="300"/>
      <c r="AD885" s="300"/>
    </row>
    <row r="886" spans="1:30" ht="12.75" customHeight="1" x14ac:dyDescent="0.2">
      <c r="A886" s="296"/>
      <c r="B886" s="296"/>
      <c r="C886" s="296"/>
      <c r="D886" s="298"/>
      <c r="E886" s="298"/>
      <c r="F886" s="296"/>
      <c r="G886" s="296"/>
      <c r="H886" s="296"/>
      <c r="I886" s="296"/>
      <c r="J886" s="296"/>
      <c r="K886" s="296"/>
      <c r="L886" s="296"/>
      <c r="M886" s="299"/>
      <c r="N886" s="299"/>
      <c r="O886" s="299"/>
      <c r="P886" s="299"/>
      <c r="Q886" s="299"/>
      <c r="R886" s="299"/>
      <c r="S886" s="299"/>
      <c r="T886" s="299"/>
      <c r="U886" s="299"/>
      <c r="V886" s="299"/>
      <c r="W886" s="299"/>
      <c r="X886" s="299"/>
      <c r="Y886" s="299"/>
      <c r="Z886" s="299"/>
      <c r="AA886" s="299"/>
      <c r="AB886" s="299"/>
      <c r="AC886" s="300"/>
      <c r="AD886" s="300"/>
    </row>
    <row r="887" spans="1:30" ht="12.75" customHeight="1" x14ac:dyDescent="0.2">
      <c r="A887" s="296"/>
      <c r="B887" s="296"/>
      <c r="C887" s="296"/>
      <c r="D887" s="298"/>
      <c r="E887" s="298"/>
      <c r="F887" s="296"/>
      <c r="G887" s="296"/>
      <c r="H887" s="296"/>
      <c r="I887" s="296"/>
      <c r="J887" s="296"/>
      <c r="K887" s="296"/>
      <c r="L887" s="296"/>
      <c r="M887" s="299"/>
      <c r="N887" s="299"/>
      <c r="O887" s="299"/>
      <c r="P887" s="299"/>
      <c r="Q887" s="299"/>
      <c r="R887" s="299"/>
      <c r="S887" s="299"/>
      <c r="T887" s="299"/>
      <c r="U887" s="299"/>
      <c r="V887" s="299"/>
      <c r="W887" s="299"/>
      <c r="X887" s="299"/>
      <c r="Y887" s="299"/>
      <c r="Z887" s="299"/>
      <c r="AA887" s="299"/>
      <c r="AB887" s="299"/>
      <c r="AC887" s="300"/>
      <c r="AD887" s="300"/>
    </row>
    <row r="888" spans="1:30" ht="12.75" customHeight="1" x14ac:dyDescent="0.2">
      <c r="A888" s="296"/>
      <c r="B888" s="296"/>
      <c r="C888" s="296"/>
      <c r="D888" s="298"/>
      <c r="E888" s="298"/>
      <c r="F888" s="296"/>
      <c r="G888" s="296"/>
      <c r="H888" s="296"/>
      <c r="I888" s="296"/>
      <c r="J888" s="296"/>
      <c r="K888" s="296"/>
      <c r="L888" s="296"/>
      <c r="M888" s="299"/>
      <c r="N888" s="299"/>
      <c r="O888" s="299"/>
      <c r="P888" s="299"/>
      <c r="Q888" s="299"/>
      <c r="R888" s="299"/>
      <c r="S888" s="299"/>
      <c r="T888" s="299"/>
      <c r="U888" s="299"/>
      <c r="V888" s="299"/>
      <c r="W888" s="299"/>
      <c r="X888" s="299"/>
      <c r="Y888" s="299"/>
      <c r="Z888" s="299"/>
      <c r="AA888" s="299"/>
      <c r="AB888" s="299"/>
      <c r="AC888" s="300"/>
      <c r="AD888" s="300"/>
    </row>
    <row r="889" spans="1:30" ht="12.75" customHeight="1" x14ac:dyDescent="0.2">
      <c r="A889" s="296"/>
      <c r="B889" s="296"/>
      <c r="C889" s="296"/>
      <c r="D889" s="298"/>
      <c r="E889" s="298"/>
      <c r="F889" s="296"/>
      <c r="G889" s="296"/>
      <c r="H889" s="296"/>
      <c r="I889" s="296"/>
      <c r="J889" s="296"/>
      <c r="K889" s="296"/>
      <c r="L889" s="296"/>
      <c r="M889" s="299"/>
      <c r="N889" s="299"/>
      <c r="O889" s="299"/>
      <c r="P889" s="299"/>
      <c r="Q889" s="299"/>
      <c r="R889" s="299"/>
      <c r="S889" s="299"/>
      <c r="T889" s="299"/>
      <c r="U889" s="299"/>
      <c r="V889" s="299"/>
      <c r="W889" s="299"/>
      <c r="X889" s="299"/>
      <c r="Y889" s="299"/>
      <c r="Z889" s="299"/>
      <c r="AA889" s="299"/>
      <c r="AB889" s="299"/>
      <c r="AC889" s="300"/>
      <c r="AD889" s="300"/>
    </row>
    <row r="890" spans="1:30" ht="12.75" customHeight="1" x14ac:dyDescent="0.2">
      <c r="A890" s="296"/>
      <c r="B890" s="296"/>
      <c r="C890" s="296"/>
      <c r="D890" s="298"/>
      <c r="E890" s="298"/>
      <c r="F890" s="296"/>
      <c r="G890" s="296"/>
      <c r="H890" s="296"/>
      <c r="I890" s="296"/>
      <c r="J890" s="296"/>
      <c r="K890" s="296"/>
      <c r="L890" s="296"/>
      <c r="M890" s="299"/>
      <c r="N890" s="299"/>
      <c r="O890" s="299"/>
      <c r="P890" s="299"/>
      <c r="Q890" s="299"/>
      <c r="R890" s="299"/>
      <c r="S890" s="299"/>
      <c r="T890" s="299"/>
      <c r="U890" s="299"/>
      <c r="V890" s="299"/>
      <c r="W890" s="299"/>
      <c r="X890" s="299"/>
      <c r="Y890" s="299"/>
      <c r="Z890" s="299"/>
      <c r="AA890" s="299"/>
      <c r="AB890" s="299"/>
      <c r="AC890" s="300"/>
      <c r="AD890" s="300"/>
    </row>
    <row r="891" spans="1:30" ht="12.75" customHeight="1" x14ac:dyDescent="0.2">
      <c r="A891" s="296"/>
      <c r="B891" s="296"/>
      <c r="C891" s="296"/>
      <c r="D891" s="298"/>
      <c r="E891" s="298"/>
      <c r="F891" s="296"/>
      <c r="G891" s="296"/>
      <c r="H891" s="296"/>
      <c r="I891" s="296"/>
      <c r="J891" s="296"/>
      <c r="K891" s="296"/>
      <c r="L891" s="296"/>
      <c r="M891" s="299"/>
      <c r="N891" s="299"/>
      <c r="O891" s="299"/>
      <c r="P891" s="299"/>
      <c r="Q891" s="299"/>
      <c r="R891" s="299"/>
      <c r="S891" s="299"/>
      <c r="T891" s="299"/>
      <c r="U891" s="299"/>
      <c r="V891" s="299"/>
      <c r="W891" s="299"/>
      <c r="X891" s="299"/>
      <c r="Y891" s="299"/>
      <c r="Z891" s="299"/>
      <c r="AA891" s="299"/>
      <c r="AB891" s="299"/>
      <c r="AC891" s="300"/>
      <c r="AD891" s="300"/>
    </row>
    <row r="892" spans="1:30" ht="12.75" customHeight="1" x14ac:dyDescent="0.2">
      <c r="A892" s="296"/>
      <c r="B892" s="296"/>
      <c r="C892" s="296"/>
      <c r="D892" s="298"/>
      <c r="E892" s="298"/>
      <c r="F892" s="296"/>
      <c r="G892" s="296"/>
      <c r="H892" s="296"/>
      <c r="I892" s="296"/>
      <c r="J892" s="296"/>
      <c r="K892" s="296"/>
      <c r="L892" s="296"/>
      <c r="M892" s="299"/>
      <c r="N892" s="299"/>
      <c r="O892" s="299"/>
      <c r="P892" s="299"/>
      <c r="Q892" s="299"/>
      <c r="R892" s="299"/>
      <c r="S892" s="299"/>
      <c r="T892" s="299"/>
      <c r="U892" s="299"/>
      <c r="V892" s="299"/>
      <c r="W892" s="299"/>
      <c r="X892" s="299"/>
      <c r="Y892" s="299"/>
      <c r="Z892" s="299"/>
      <c r="AA892" s="299"/>
      <c r="AB892" s="299"/>
      <c r="AC892" s="300"/>
      <c r="AD892" s="300"/>
    </row>
    <row r="893" spans="1:30" ht="12.75" customHeight="1" x14ac:dyDescent="0.2">
      <c r="A893" s="296"/>
      <c r="B893" s="296"/>
      <c r="C893" s="296"/>
      <c r="D893" s="298"/>
      <c r="E893" s="298"/>
      <c r="F893" s="296"/>
      <c r="G893" s="296"/>
      <c r="H893" s="296"/>
      <c r="I893" s="296"/>
      <c r="J893" s="296"/>
      <c r="K893" s="296"/>
      <c r="L893" s="296"/>
      <c r="M893" s="299"/>
      <c r="N893" s="299"/>
      <c r="O893" s="299"/>
      <c r="P893" s="299"/>
      <c r="Q893" s="299"/>
      <c r="R893" s="299"/>
      <c r="S893" s="299"/>
      <c r="T893" s="299"/>
      <c r="U893" s="299"/>
      <c r="V893" s="299"/>
      <c r="W893" s="299"/>
      <c r="X893" s="299"/>
      <c r="Y893" s="299"/>
      <c r="Z893" s="299"/>
      <c r="AA893" s="299"/>
      <c r="AB893" s="299"/>
      <c r="AC893" s="300"/>
      <c r="AD893" s="300"/>
    </row>
    <row r="894" spans="1:30" ht="12.75" customHeight="1" x14ac:dyDescent="0.2">
      <c r="A894" s="296"/>
      <c r="B894" s="296"/>
      <c r="C894" s="296"/>
      <c r="D894" s="298"/>
      <c r="E894" s="298"/>
      <c r="F894" s="296"/>
      <c r="G894" s="296"/>
      <c r="H894" s="296"/>
      <c r="I894" s="296"/>
      <c r="J894" s="296"/>
      <c r="K894" s="296"/>
      <c r="L894" s="296"/>
      <c r="M894" s="299"/>
      <c r="N894" s="299"/>
      <c r="O894" s="299"/>
      <c r="P894" s="299"/>
      <c r="Q894" s="299"/>
      <c r="R894" s="299"/>
      <c r="S894" s="299"/>
      <c r="T894" s="299"/>
      <c r="U894" s="299"/>
      <c r="V894" s="299"/>
      <c r="W894" s="299"/>
      <c r="X894" s="299"/>
      <c r="Y894" s="299"/>
      <c r="Z894" s="299"/>
      <c r="AA894" s="299"/>
      <c r="AB894" s="299"/>
      <c r="AC894" s="300"/>
      <c r="AD894" s="300"/>
    </row>
    <row r="895" spans="1:30" ht="12.75" customHeight="1" x14ac:dyDescent="0.2">
      <c r="A895" s="296"/>
      <c r="B895" s="296"/>
      <c r="C895" s="296"/>
      <c r="D895" s="298"/>
      <c r="E895" s="298"/>
      <c r="F895" s="296"/>
      <c r="G895" s="296"/>
      <c r="H895" s="296"/>
      <c r="I895" s="296"/>
      <c r="J895" s="296"/>
      <c r="K895" s="296"/>
      <c r="L895" s="296"/>
      <c r="M895" s="299"/>
      <c r="N895" s="299"/>
      <c r="O895" s="299"/>
      <c r="P895" s="299"/>
      <c r="Q895" s="299"/>
      <c r="R895" s="299"/>
      <c r="S895" s="299"/>
      <c r="T895" s="299"/>
      <c r="U895" s="299"/>
      <c r="V895" s="299"/>
      <c r="W895" s="299"/>
      <c r="X895" s="299"/>
      <c r="Y895" s="299"/>
      <c r="Z895" s="299"/>
      <c r="AA895" s="299"/>
      <c r="AB895" s="299"/>
      <c r="AC895" s="300"/>
      <c r="AD895" s="300"/>
    </row>
    <row r="896" spans="1:30" ht="12.75" customHeight="1" x14ac:dyDescent="0.2">
      <c r="A896" s="296"/>
      <c r="B896" s="296"/>
      <c r="C896" s="296"/>
      <c r="D896" s="298"/>
      <c r="E896" s="298"/>
      <c r="F896" s="296"/>
      <c r="G896" s="296"/>
      <c r="H896" s="296"/>
      <c r="I896" s="296"/>
      <c r="J896" s="296"/>
      <c r="K896" s="296"/>
      <c r="L896" s="296"/>
      <c r="M896" s="299"/>
      <c r="N896" s="299"/>
      <c r="O896" s="299"/>
      <c r="P896" s="299"/>
      <c r="Q896" s="299"/>
      <c r="R896" s="299"/>
      <c r="S896" s="299"/>
      <c r="T896" s="299"/>
      <c r="U896" s="299"/>
      <c r="V896" s="299"/>
      <c r="W896" s="299"/>
      <c r="X896" s="299"/>
      <c r="Y896" s="299"/>
      <c r="Z896" s="299"/>
      <c r="AA896" s="299"/>
      <c r="AB896" s="299"/>
      <c r="AC896" s="300"/>
      <c r="AD896" s="300"/>
    </row>
    <row r="897" spans="1:30" ht="12.75" customHeight="1" x14ac:dyDescent="0.2">
      <c r="A897" s="296"/>
      <c r="B897" s="296"/>
      <c r="C897" s="296"/>
      <c r="D897" s="298"/>
      <c r="E897" s="298"/>
      <c r="F897" s="296"/>
      <c r="G897" s="296"/>
      <c r="H897" s="296"/>
      <c r="I897" s="296"/>
      <c r="J897" s="296"/>
      <c r="K897" s="296"/>
      <c r="L897" s="296"/>
      <c r="M897" s="299"/>
      <c r="N897" s="299"/>
      <c r="O897" s="299"/>
      <c r="P897" s="299"/>
      <c r="Q897" s="299"/>
      <c r="R897" s="299"/>
      <c r="S897" s="299"/>
      <c r="T897" s="299"/>
      <c r="U897" s="299"/>
      <c r="V897" s="299"/>
      <c r="W897" s="299"/>
      <c r="X897" s="299"/>
      <c r="Y897" s="299"/>
      <c r="Z897" s="299"/>
      <c r="AA897" s="299"/>
      <c r="AB897" s="299"/>
      <c r="AC897" s="300"/>
      <c r="AD897" s="300"/>
    </row>
    <row r="898" spans="1:30" ht="12.75" customHeight="1" x14ac:dyDescent="0.2">
      <c r="A898" s="296"/>
      <c r="B898" s="296"/>
      <c r="C898" s="296"/>
      <c r="D898" s="298"/>
      <c r="E898" s="298"/>
      <c r="F898" s="296"/>
      <c r="G898" s="296"/>
      <c r="H898" s="296"/>
      <c r="I898" s="296"/>
      <c r="J898" s="296"/>
      <c r="K898" s="296"/>
      <c r="L898" s="296"/>
      <c r="M898" s="299"/>
      <c r="N898" s="299"/>
      <c r="O898" s="299"/>
      <c r="P898" s="299"/>
      <c r="Q898" s="299"/>
      <c r="R898" s="299"/>
      <c r="S898" s="299"/>
      <c r="T898" s="299"/>
      <c r="U898" s="299"/>
      <c r="V898" s="299"/>
      <c r="W898" s="299"/>
      <c r="X898" s="299"/>
      <c r="Y898" s="299"/>
      <c r="Z898" s="299"/>
      <c r="AA898" s="299"/>
      <c r="AB898" s="299"/>
      <c r="AC898" s="300"/>
      <c r="AD898" s="300"/>
    </row>
    <row r="899" spans="1:30" ht="12.75" customHeight="1" x14ac:dyDescent="0.2">
      <c r="A899" s="296"/>
      <c r="B899" s="296"/>
      <c r="C899" s="296"/>
      <c r="D899" s="298"/>
      <c r="E899" s="298"/>
      <c r="F899" s="296"/>
      <c r="G899" s="296"/>
      <c r="H899" s="296"/>
      <c r="I899" s="296"/>
      <c r="J899" s="296"/>
      <c r="K899" s="296"/>
      <c r="L899" s="296"/>
      <c r="M899" s="299"/>
      <c r="N899" s="299"/>
      <c r="O899" s="299"/>
      <c r="P899" s="299"/>
      <c r="Q899" s="299"/>
      <c r="R899" s="299"/>
      <c r="S899" s="299"/>
      <c r="T899" s="299"/>
      <c r="U899" s="299"/>
      <c r="V899" s="299"/>
      <c r="W899" s="299"/>
      <c r="X899" s="299"/>
      <c r="Y899" s="299"/>
      <c r="Z899" s="299"/>
      <c r="AA899" s="299"/>
      <c r="AB899" s="299"/>
      <c r="AC899" s="300"/>
      <c r="AD899" s="300"/>
    </row>
    <row r="900" spans="1:30" ht="12.75" customHeight="1" x14ac:dyDescent="0.2">
      <c r="A900" s="296"/>
      <c r="B900" s="296"/>
      <c r="C900" s="296"/>
      <c r="D900" s="298"/>
      <c r="E900" s="298"/>
      <c r="F900" s="296"/>
      <c r="G900" s="296"/>
      <c r="H900" s="296"/>
      <c r="I900" s="296"/>
      <c r="J900" s="296"/>
      <c r="K900" s="296"/>
      <c r="L900" s="296"/>
      <c r="M900" s="299"/>
      <c r="N900" s="299"/>
      <c r="O900" s="299"/>
      <c r="P900" s="299"/>
      <c r="Q900" s="299"/>
      <c r="R900" s="299"/>
      <c r="S900" s="299"/>
      <c r="T900" s="299"/>
      <c r="U900" s="299"/>
      <c r="V900" s="299"/>
      <c r="W900" s="299"/>
      <c r="X900" s="299"/>
      <c r="Y900" s="299"/>
      <c r="Z900" s="299"/>
      <c r="AA900" s="299"/>
      <c r="AB900" s="299"/>
      <c r="AC900" s="300"/>
      <c r="AD900" s="300"/>
    </row>
    <row r="901" spans="1:30" ht="12.75" customHeight="1" x14ac:dyDescent="0.2">
      <c r="A901" s="296"/>
      <c r="B901" s="296"/>
      <c r="C901" s="296"/>
      <c r="D901" s="298"/>
      <c r="E901" s="298"/>
      <c r="F901" s="296"/>
      <c r="G901" s="296"/>
      <c r="H901" s="296"/>
      <c r="I901" s="296"/>
      <c r="J901" s="296"/>
      <c r="K901" s="296"/>
      <c r="L901" s="296"/>
      <c r="M901" s="299"/>
      <c r="N901" s="299"/>
      <c r="O901" s="299"/>
      <c r="P901" s="299"/>
      <c r="Q901" s="299"/>
      <c r="R901" s="299"/>
      <c r="S901" s="299"/>
      <c r="T901" s="299"/>
      <c r="U901" s="299"/>
      <c r="V901" s="299"/>
      <c r="W901" s="299"/>
      <c r="X901" s="299"/>
      <c r="Y901" s="299"/>
      <c r="Z901" s="299"/>
      <c r="AA901" s="299"/>
      <c r="AB901" s="299"/>
      <c r="AC901" s="300"/>
      <c r="AD901" s="300"/>
    </row>
    <row r="902" spans="1:30" ht="12.75" customHeight="1" x14ac:dyDescent="0.2">
      <c r="A902" s="296"/>
      <c r="B902" s="296"/>
      <c r="C902" s="296"/>
      <c r="D902" s="298"/>
      <c r="E902" s="298"/>
      <c r="F902" s="296"/>
      <c r="G902" s="296"/>
      <c r="H902" s="296"/>
      <c r="I902" s="296"/>
      <c r="J902" s="296"/>
      <c r="K902" s="296"/>
      <c r="L902" s="296"/>
      <c r="M902" s="299"/>
      <c r="N902" s="299"/>
      <c r="O902" s="299"/>
      <c r="P902" s="299"/>
      <c r="Q902" s="299"/>
      <c r="R902" s="299"/>
      <c r="S902" s="299"/>
      <c r="T902" s="299"/>
      <c r="U902" s="299"/>
      <c r="V902" s="299"/>
      <c r="W902" s="299"/>
      <c r="X902" s="299"/>
      <c r="Y902" s="299"/>
      <c r="Z902" s="299"/>
      <c r="AA902" s="299"/>
      <c r="AB902" s="299"/>
      <c r="AC902" s="300"/>
      <c r="AD902" s="300"/>
    </row>
    <row r="903" spans="1:30" ht="12.75" customHeight="1" x14ac:dyDescent="0.2">
      <c r="A903" s="296"/>
      <c r="B903" s="296"/>
      <c r="C903" s="296"/>
      <c r="D903" s="298"/>
      <c r="E903" s="298"/>
      <c r="F903" s="296"/>
      <c r="G903" s="296"/>
      <c r="H903" s="296"/>
      <c r="I903" s="296"/>
      <c r="J903" s="296"/>
      <c r="K903" s="296"/>
      <c r="L903" s="296"/>
      <c r="M903" s="299"/>
      <c r="N903" s="299"/>
      <c r="O903" s="299"/>
      <c r="P903" s="299"/>
      <c r="Q903" s="299"/>
      <c r="R903" s="299"/>
      <c r="S903" s="299"/>
      <c r="T903" s="299"/>
      <c r="U903" s="299"/>
      <c r="V903" s="299"/>
      <c r="W903" s="299"/>
      <c r="X903" s="299"/>
      <c r="Y903" s="299"/>
      <c r="Z903" s="299"/>
      <c r="AA903" s="299"/>
      <c r="AB903" s="299"/>
      <c r="AC903" s="300"/>
      <c r="AD903" s="300"/>
    </row>
    <row r="904" spans="1:30" ht="12.75" customHeight="1" x14ac:dyDescent="0.2">
      <c r="A904" s="296"/>
      <c r="B904" s="296"/>
      <c r="C904" s="296"/>
      <c r="D904" s="298"/>
      <c r="E904" s="298"/>
      <c r="F904" s="296"/>
      <c r="G904" s="296"/>
      <c r="H904" s="296"/>
      <c r="I904" s="296"/>
      <c r="J904" s="296"/>
      <c r="K904" s="296"/>
      <c r="L904" s="296"/>
      <c r="M904" s="299"/>
      <c r="N904" s="299"/>
      <c r="O904" s="299"/>
      <c r="P904" s="299"/>
      <c r="Q904" s="299"/>
      <c r="R904" s="299"/>
      <c r="S904" s="299"/>
      <c r="T904" s="299"/>
      <c r="U904" s="299"/>
      <c r="V904" s="299"/>
      <c r="W904" s="299"/>
      <c r="X904" s="299"/>
      <c r="Y904" s="299"/>
      <c r="Z904" s="299"/>
      <c r="AA904" s="299"/>
      <c r="AB904" s="299"/>
      <c r="AC904" s="300"/>
      <c r="AD904" s="300"/>
    </row>
    <row r="905" spans="1:30" ht="12.75" customHeight="1" x14ac:dyDescent="0.2">
      <c r="A905" s="296"/>
      <c r="B905" s="296"/>
      <c r="C905" s="296"/>
      <c r="D905" s="298"/>
      <c r="E905" s="298"/>
      <c r="F905" s="296"/>
      <c r="G905" s="296"/>
      <c r="H905" s="296"/>
      <c r="I905" s="296"/>
      <c r="J905" s="296"/>
      <c r="K905" s="296"/>
      <c r="L905" s="296"/>
      <c r="M905" s="299"/>
      <c r="N905" s="299"/>
      <c r="O905" s="299"/>
      <c r="P905" s="299"/>
      <c r="Q905" s="299"/>
      <c r="R905" s="299"/>
      <c r="S905" s="299"/>
      <c r="T905" s="299"/>
      <c r="U905" s="299"/>
      <c r="V905" s="299"/>
      <c r="W905" s="299"/>
      <c r="X905" s="299"/>
      <c r="Y905" s="299"/>
      <c r="Z905" s="299"/>
      <c r="AA905" s="299"/>
      <c r="AB905" s="299"/>
      <c r="AC905" s="300"/>
      <c r="AD905" s="300"/>
    </row>
    <row r="906" spans="1:30" ht="12.75" customHeight="1" x14ac:dyDescent="0.2">
      <c r="A906" s="296"/>
      <c r="B906" s="296"/>
      <c r="C906" s="296"/>
      <c r="D906" s="298"/>
      <c r="E906" s="298"/>
      <c r="F906" s="296"/>
      <c r="G906" s="296"/>
      <c r="H906" s="296"/>
      <c r="I906" s="296"/>
      <c r="J906" s="296"/>
      <c r="K906" s="296"/>
      <c r="L906" s="296"/>
      <c r="M906" s="299"/>
      <c r="N906" s="299"/>
      <c r="O906" s="299"/>
      <c r="P906" s="299"/>
      <c r="Q906" s="299"/>
      <c r="R906" s="299"/>
      <c r="S906" s="299"/>
      <c r="T906" s="299"/>
      <c r="U906" s="299"/>
      <c r="V906" s="299"/>
      <c r="W906" s="299"/>
      <c r="X906" s="299"/>
      <c r="Y906" s="299"/>
      <c r="Z906" s="299"/>
      <c r="AA906" s="299"/>
      <c r="AB906" s="299"/>
      <c r="AC906" s="300"/>
      <c r="AD906" s="300"/>
    </row>
    <row r="907" spans="1:30" ht="12.75" customHeight="1" x14ac:dyDescent="0.2">
      <c r="A907" s="296"/>
      <c r="B907" s="296"/>
      <c r="C907" s="296"/>
      <c r="D907" s="298"/>
      <c r="E907" s="298"/>
      <c r="F907" s="296"/>
      <c r="G907" s="296"/>
      <c r="H907" s="296"/>
      <c r="I907" s="296"/>
      <c r="J907" s="296"/>
      <c r="K907" s="296"/>
      <c r="L907" s="296"/>
      <c r="M907" s="299"/>
      <c r="N907" s="299"/>
      <c r="O907" s="299"/>
      <c r="P907" s="299"/>
      <c r="Q907" s="299"/>
      <c r="R907" s="299"/>
      <c r="S907" s="299"/>
      <c r="T907" s="299"/>
      <c r="U907" s="299"/>
      <c r="V907" s="299"/>
      <c r="W907" s="299"/>
      <c r="X907" s="299"/>
      <c r="Y907" s="299"/>
      <c r="Z907" s="299"/>
      <c r="AA907" s="299"/>
      <c r="AB907" s="299"/>
      <c r="AC907" s="300"/>
      <c r="AD907" s="300"/>
    </row>
    <row r="908" spans="1:30" ht="12.75" customHeight="1" x14ac:dyDescent="0.2">
      <c r="A908" s="296"/>
      <c r="B908" s="296"/>
      <c r="C908" s="296"/>
      <c r="D908" s="298"/>
      <c r="E908" s="298"/>
      <c r="F908" s="296"/>
      <c r="G908" s="296"/>
      <c r="H908" s="296"/>
      <c r="I908" s="296"/>
      <c r="J908" s="296"/>
      <c r="K908" s="296"/>
      <c r="L908" s="296"/>
      <c r="M908" s="299"/>
      <c r="N908" s="299"/>
      <c r="O908" s="299"/>
      <c r="P908" s="299"/>
      <c r="Q908" s="299"/>
      <c r="R908" s="299"/>
      <c r="S908" s="299"/>
      <c r="T908" s="299"/>
      <c r="U908" s="299"/>
      <c r="V908" s="299"/>
      <c r="W908" s="299"/>
      <c r="X908" s="299"/>
      <c r="Y908" s="299"/>
      <c r="Z908" s="299"/>
      <c r="AA908" s="299"/>
      <c r="AB908" s="299"/>
      <c r="AC908" s="300"/>
      <c r="AD908" s="300"/>
    </row>
    <row r="909" spans="1:30" ht="12.75" customHeight="1" x14ac:dyDescent="0.2">
      <c r="A909" s="296"/>
      <c r="B909" s="296"/>
      <c r="C909" s="296"/>
      <c r="D909" s="298"/>
      <c r="E909" s="298"/>
      <c r="F909" s="296"/>
      <c r="G909" s="296"/>
      <c r="H909" s="296"/>
      <c r="I909" s="296"/>
      <c r="J909" s="296"/>
      <c r="K909" s="296"/>
      <c r="L909" s="296"/>
      <c r="M909" s="299"/>
      <c r="N909" s="299"/>
      <c r="O909" s="299"/>
      <c r="P909" s="299"/>
      <c r="Q909" s="299"/>
      <c r="R909" s="299"/>
      <c r="S909" s="299"/>
      <c r="T909" s="299"/>
      <c r="U909" s="299"/>
      <c r="V909" s="299"/>
      <c r="W909" s="299"/>
      <c r="X909" s="299"/>
      <c r="Y909" s="299"/>
      <c r="Z909" s="299"/>
      <c r="AA909" s="299"/>
      <c r="AB909" s="299"/>
      <c r="AC909" s="300"/>
      <c r="AD909" s="300"/>
    </row>
    <row r="910" spans="1:30" ht="12.75" customHeight="1" x14ac:dyDescent="0.2">
      <c r="A910" s="296"/>
      <c r="B910" s="296"/>
      <c r="C910" s="296"/>
      <c r="D910" s="298"/>
      <c r="E910" s="298"/>
      <c r="F910" s="296"/>
      <c r="G910" s="296"/>
      <c r="H910" s="296"/>
      <c r="I910" s="296"/>
      <c r="J910" s="296"/>
      <c r="K910" s="296"/>
      <c r="L910" s="296"/>
      <c r="M910" s="299"/>
      <c r="N910" s="299"/>
      <c r="O910" s="299"/>
      <c r="P910" s="299"/>
      <c r="Q910" s="299"/>
      <c r="R910" s="299"/>
      <c r="S910" s="299"/>
      <c r="T910" s="299"/>
      <c r="U910" s="299"/>
      <c r="V910" s="299"/>
      <c r="W910" s="299"/>
      <c r="X910" s="299"/>
      <c r="Y910" s="299"/>
      <c r="Z910" s="299"/>
      <c r="AA910" s="299"/>
      <c r="AB910" s="299"/>
      <c r="AC910" s="300"/>
      <c r="AD910" s="300"/>
    </row>
    <row r="911" spans="1:30" ht="12.75" customHeight="1" x14ac:dyDescent="0.2">
      <c r="A911" s="296"/>
      <c r="B911" s="296"/>
      <c r="C911" s="296"/>
      <c r="D911" s="298"/>
      <c r="E911" s="298"/>
      <c r="F911" s="296"/>
      <c r="G911" s="296"/>
      <c r="H911" s="296"/>
      <c r="I911" s="296"/>
      <c r="J911" s="296"/>
      <c r="K911" s="296"/>
      <c r="L911" s="296"/>
      <c r="M911" s="299"/>
      <c r="N911" s="299"/>
      <c r="O911" s="299"/>
      <c r="P911" s="299"/>
      <c r="Q911" s="299"/>
      <c r="R911" s="299"/>
      <c r="S911" s="299"/>
      <c r="T911" s="299"/>
      <c r="U911" s="299"/>
      <c r="V911" s="299"/>
      <c r="W911" s="299"/>
      <c r="X911" s="299"/>
      <c r="Y911" s="299"/>
      <c r="Z911" s="299"/>
      <c r="AA911" s="299"/>
      <c r="AB911" s="299"/>
      <c r="AC911" s="300"/>
      <c r="AD911" s="300"/>
    </row>
    <row r="912" spans="1:30" ht="12.75" customHeight="1" x14ac:dyDescent="0.2">
      <c r="A912" s="296"/>
      <c r="B912" s="296"/>
      <c r="C912" s="296"/>
      <c r="D912" s="298"/>
      <c r="E912" s="298"/>
      <c r="F912" s="296"/>
      <c r="G912" s="296"/>
      <c r="H912" s="296"/>
      <c r="I912" s="296"/>
      <c r="J912" s="296"/>
      <c r="K912" s="296"/>
      <c r="L912" s="296"/>
      <c r="M912" s="299"/>
      <c r="N912" s="299"/>
      <c r="O912" s="299"/>
      <c r="P912" s="299"/>
      <c r="Q912" s="299"/>
      <c r="R912" s="299"/>
      <c r="S912" s="299"/>
      <c r="T912" s="299"/>
      <c r="U912" s="299"/>
      <c r="V912" s="299"/>
      <c r="W912" s="299"/>
      <c r="X912" s="299"/>
      <c r="Y912" s="299"/>
      <c r="Z912" s="299"/>
      <c r="AA912" s="299"/>
      <c r="AB912" s="299"/>
      <c r="AC912" s="300"/>
      <c r="AD912" s="300"/>
    </row>
    <row r="913" spans="1:30" ht="12.75" customHeight="1" x14ac:dyDescent="0.2">
      <c r="A913" s="296"/>
      <c r="B913" s="296"/>
      <c r="C913" s="296"/>
      <c r="D913" s="298"/>
      <c r="E913" s="298"/>
      <c r="F913" s="296"/>
      <c r="G913" s="296"/>
      <c r="H913" s="296"/>
      <c r="I913" s="296"/>
      <c r="J913" s="296"/>
      <c r="K913" s="296"/>
      <c r="L913" s="296"/>
      <c r="M913" s="299"/>
      <c r="N913" s="299"/>
      <c r="O913" s="299"/>
      <c r="P913" s="299"/>
      <c r="Q913" s="299"/>
      <c r="R913" s="299"/>
      <c r="S913" s="299"/>
      <c r="T913" s="299"/>
      <c r="U913" s="299"/>
      <c r="V913" s="299"/>
      <c r="W913" s="299"/>
      <c r="X913" s="299"/>
      <c r="Y913" s="299"/>
      <c r="Z913" s="299"/>
      <c r="AA913" s="299"/>
      <c r="AB913" s="299"/>
      <c r="AC913" s="300"/>
      <c r="AD913" s="300"/>
    </row>
    <row r="914" spans="1:30" ht="12.75" customHeight="1" x14ac:dyDescent="0.2">
      <c r="A914" s="296"/>
      <c r="B914" s="296"/>
      <c r="C914" s="296"/>
      <c r="D914" s="298"/>
      <c r="E914" s="298"/>
      <c r="F914" s="296"/>
      <c r="G914" s="296"/>
      <c r="H914" s="296"/>
      <c r="I914" s="296"/>
      <c r="J914" s="296"/>
      <c r="K914" s="296"/>
      <c r="L914" s="296"/>
      <c r="M914" s="299"/>
      <c r="N914" s="299"/>
      <c r="O914" s="299"/>
      <c r="P914" s="299"/>
      <c r="Q914" s="299"/>
      <c r="R914" s="299"/>
      <c r="S914" s="299"/>
      <c r="T914" s="299"/>
      <c r="U914" s="299"/>
      <c r="V914" s="299"/>
      <c r="W914" s="299"/>
      <c r="X914" s="299"/>
      <c r="Y914" s="299"/>
      <c r="Z914" s="299"/>
      <c r="AA914" s="299"/>
      <c r="AB914" s="299"/>
      <c r="AC914" s="300"/>
      <c r="AD914" s="300"/>
    </row>
    <row r="915" spans="1:30" ht="12.75" customHeight="1" x14ac:dyDescent="0.2">
      <c r="A915" s="296"/>
      <c r="B915" s="296"/>
      <c r="C915" s="296"/>
      <c r="D915" s="298"/>
      <c r="E915" s="298"/>
      <c r="F915" s="296"/>
      <c r="G915" s="296"/>
      <c r="H915" s="296"/>
      <c r="I915" s="296"/>
      <c r="J915" s="296"/>
      <c r="K915" s="296"/>
      <c r="L915" s="296"/>
      <c r="M915" s="299"/>
      <c r="N915" s="299"/>
      <c r="O915" s="299"/>
      <c r="P915" s="299"/>
      <c r="Q915" s="299"/>
      <c r="R915" s="299"/>
      <c r="S915" s="299"/>
      <c r="T915" s="299"/>
      <c r="U915" s="299"/>
      <c r="V915" s="299"/>
      <c r="W915" s="299"/>
      <c r="X915" s="299"/>
      <c r="Y915" s="299"/>
      <c r="Z915" s="299"/>
      <c r="AA915" s="299"/>
      <c r="AB915" s="299"/>
      <c r="AC915" s="300"/>
      <c r="AD915" s="300"/>
    </row>
    <row r="916" spans="1:30" ht="12.75" customHeight="1" x14ac:dyDescent="0.2">
      <c r="A916" s="296"/>
      <c r="B916" s="296"/>
      <c r="C916" s="296"/>
      <c r="D916" s="298"/>
      <c r="E916" s="298"/>
      <c r="F916" s="296"/>
      <c r="G916" s="296"/>
      <c r="H916" s="296"/>
      <c r="I916" s="296"/>
      <c r="J916" s="296"/>
      <c r="K916" s="296"/>
      <c r="L916" s="296"/>
      <c r="M916" s="299"/>
      <c r="N916" s="299"/>
      <c r="O916" s="299"/>
      <c r="P916" s="299"/>
      <c r="Q916" s="299"/>
      <c r="R916" s="299"/>
      <c r="S916" s="299"/>
      <c r="T916" s="299"/>
      <c r="U916" s="299"/>
      <c r="V916" s="299"/>
      <c r="W916" s="299"/>
      <c r="X916" s="299"/>
      <c r="Y916" s="299"/>
      <c r="Z916" s="299"/>
      <c r="AA916" s="299"/>
      <c r="AB916" s="299"/>
      <c r="AC916" s="300"/>
      <c r="AD916" s="300"/>
    </row>
    <row r="917" spans="1:30" ht="12.75" customHeight="1" x14ac:dyDescent="0.2">
      <c r="A917" s="296"/>
      <c r="B917" s="296"/>
      <c r="C917" s="296"/>
      <c r="D917" s="298"/>
      <c r="E917" s="298"/>
      <c r="F917" s="296"/>
      <c r="G917" s="296"/>
      <c r="H917" s="296"/>
      <c r="I917" s="296"/>
      <c r="J917" s="296"/>
      <c r="K917" s="296"/>
      <c r="L917" s="296"/>
      <c r="M917" s="299"/>
      <c r="N917" s="299"/>
      <c r="O917" s="299"/>
      <c r="P917" s="299"/>
      <c r="Q917" s="299"/>
      <c r="R917" s="299"/>
      <c r="S917" s="299"/>
      <c r="T917" s="299"/>
      <c r="U917" s="299"/>
      <c r="V917" s="299"/>
      <c r="W917" s="299"/>
      <c r="X917" s="299"/>
      <c r="Y917" s="299"/>
      <c r="Z917" s="299"/>
      <c r="AA917" s="299"/>
      <c r="AB917" s="299"/>
      <c r="AC917" s="300"/>
      <c r="AD917" s="300"/>
    </row>
    <row r="918" spans="1:30" ht="12.75" customHeight="1" x14ac:dyDescent="0.2">
      <c r="A918" s="296"/>
      <c r="B918" s="296"/>
      <c r="C918" s="296"/>
      <c r="D918" s="298"/>
      <c r="E918" s="298"/>
      <c r="F918" s="296"/>
      <c r="G918" s="296"/>
      <c r="H918" s="296"/>
      <c r="I918" s="296"/>
      <c r="J918" s="296"/>
      <c r="K918" s="296"/>
      <c r="L918" s="296"/>
      <c r="M918" s="299"/>
      <c r="N918" s="299"/>
      <c r="O918" s="299"/>
      <c r="P918" s="299"/>
      <c r="Q918" s="299"/>
      <c r="R918" s="299"/>
      <c r="S918" s="299"/>
      <c r="T918" s="299"/>
      <c r="U918" s="299"/>
      <c r="V918" s="299"/>
      <c r="W918" s="299"/>
      <c r="X918" s="299"/>
      <c r="Y918" s="299"/>
      <c r="Z918" s="299"/>
      <c r="AA918" s="299"/>
      <c r="AB918" s="299"/>
      <c r="AC918" s="300"/>
      <c r="AD918" s="300"/>
    </row>
    <row r="919" spans="1:30" ht="12.75" customHeight="1" x14ac:dyDescent="0.2">
      <c r="A919" s="296"/>
      <c r="B919" s="296"/>
      <c r="C919" s="296"/>
      <c r="D919" s="298"/>
      <c r="E919" s="298"/>
      <c r="F919" s="296"/>
      <c r="G919" s="296"/>
      <c r="H919" s="296"/>
      <c r="I919" s="296"/>
      <c r="J919" s="296"/>
      <c r="K919" s="296"/>
      <c r="L919" s="296"/>
      <c r="M919" s="299"/>
      <c r="N919" s="299"/>
      <c r="O919" s="299"/>
      <c r="P919" s="299"/>
      <c r="Q919" s="299"/>
      <c r="R919" s="299"/>
      <c r="S919" s="299"/>
      <c r="T919" s="299"/>
      <c r="U919" s="299"/>
      <c r="V919" s="299"/>
      <c r="W919" s="299"/>
      <c r="X919" s="299"/>
      <c r="Y919" s="299"/>
      <c r="Z919" s="299"/>
      <c r="AA919" s="299"/>
      <c r="AB919" s="299"/>
      <c r="AC919" s="300"/>
      <c r="AD919" s="300"/>
    </row>
    <row r="920" spans="1:30" ht="12.75" customHeight="1" x14ac:dyDescent="0.2">
      <c r="A920" s="296"/>
      <c r="B920" s="296"/>
      <c r="C920" s="296"/>
      <c r="D920" s="298"/>
      <c r="E920" s="298"/>
      <c r="F920" s="296"/>
      <c r="G920" s="296"/>
      <c r="H920" s="296"/>
      <c r="I920" s="296"/>
      <c r="J920" s="296"/>
      <c r="K920" s="296"/>
      <c r="L920" s="296"/>
      <c r="M920" s="299"/>
      <c r="N920" s="299"/>
      <c r="O920" s="299"/>
      <c r="P920" s="299"/>
      <c r="Q920" s="299"/>
      <c r="R920" s="299"/>
      <c r="S920" s="299"/>
      <c r="T920" s="299"/>
      <c r="U920" s="299"/>
      <c r="V920" s="299"/>
      <c r="W920" s="299"/>
      <c r="X920" s="299"/>
      <c r="Y920" s="299"/>
      <c r="Z920" s="299"/>
      <c r="AA920" s="299"/>
      <c r="AB920" s="299"/>
      <c r="AC920" s="300"/>
      <c r="AD920" s="300"/>
    </row>
    <row r="921" spans="1:30" ht="12.75" customHeight="1" x14ac:dyDescent="0.2">
      <c r="A921" s="296"/>
      <c r="B921" s="296"/>
      <c r="C921" s="296"/>
      <c r="D921" s="298"/>
      <c r="E921" s="298"/>
      <c r="F921" s="296"/>
      <c r="G921" s="296"/>
      <c r="H921" s="296"/>
      <c r="I921" s="296"/>
      <c r="J921" s="296"/>
      <c r="K921" s="296"/>
      <c r="L921" s="296"/>
      <c r="M921" s="299"/>
      <c r="N921" s="299"/>
      <c r="O921" s="299"/>
      <c r="P921" s="299"/>
      <c r="Q921" s="299"/>
      <c r="R921" s="299"/>
      <c r="S921" s="299"/>
      <c r="T921" s="299"/>
      <c r="U921" s="299"/>
      <c r="V921" s="299"/>
      <c r="W921" s="299"/>
      <c r="X921" s="299"/>
      <c r="Y921" s="299"/>
      <c r="Z921" s="299"/>
      <c r="AA921" s="299"/>
      <c r="AB921" s="299"/>
      <c r="AC921" s="300"/>
      <c r="AD921" s="300"/>
    </row>
    <row r="922" spans="1:30" ht="12.75" customHeight="1" x14ac:dyDescent="0.2">
      <c r="A922" s="296"/>
      <c r="B922" s="296"/>
      <c r="C922" s="296"/>
      <c r="D922" s="298"/>
      <c r="E922" s="298"/>
      <c r="F922" s="296"/>
      <c r="G922" s="296"/>
      <c r="H922" s="296"/>
      <c r="I922" s="296"/>
      <c r="J922" s="296"/>
      <c r="K922" s="296"/>
      <c r="L922" s="296"/>
      <c r="M922" s="299"/>
      <c r="N922" s="299"/>
      <c r="O922" s="299"/>
      <c r="P922" s="299"/>
      <c r="Q922" s="299"/>
      <c r="R922" s="299"/>
      <c r="S922" s="299"/>
      <c r="T922" s="299"/>
      <c r="U922" s="299"/>
      <c r="V922" s="299"/>
      <c r="W922" s="299"/>
      <c r="X922" s="299"/>
      <c r="Y922" s="299"/>
      <c r="Z922" s="299"/>
      <c r="AA922" s="299"/>
      <c r="AB922" s="299"/>
      <c r="AC922" s="300"/>
      <c r="AD922" s="300"/>
    </row>
    <row r="923" spans="1:30" ht="12.75" customHeight="1" x14ac:dyDescent="0.2">
      <c r="A923" s="296"/>
      <c r="B923" s="296"/>
      <c r="C923" s="296"/>
      <c r="D923" s="298"/>
      <c r="E923" s="298"/>
      <c r="F923" s="296"/>
      <c r="G923" s="296"/>
      <c r="H923" s="296"/>
      <c r="I923" s="296"/>
      <c r="J923" s="296"/>
      <c r="K923" s="296"/>
      <c r="L923" s="296"/>
      <c r="M923" s="299"/>
      <c r="N923" s="299"/>
      <c r="O923" s="299"/>
      <c r="P923" s="299"/>
      <c r="Q923" s="299"/>
      <c r="R923" s="299"/>
      <c r="S923" s="299"/>
      <c r="T923" s="299"/>
      <c r="U923" s="299"/>
      <c r="V923" s="299"/>
      <c r="W923" s="299"/>
      <c r="X923" s="299"/>
      <c r="Y923" s="299"/>
      <c r="Z923" s="299"/>
      <c r="AA923" s="299"/>
      <c r="AB923" s="299"/>
      <c r="AC923" s="300"/>
      <c r="AD923" s="300"/>
    </row>
    <row r="924" spans="1:30" ht="12.75" customHeight="1" x14ac:dyDescent="0.2">
      <c r="A924" s="296"/>
      <c r="B924" s="296"/>
      <c r="C924" s="296"/>
      <c r="D924" s="298"/>
      <c r="E924" s="298"/>
      <c r="F924" s="296"/>
      <c r="G924" s="296"/>
      <c r="H924" s="296"/>
      <c r="I924" s="296"/>
      <c r="J924" s="296"/>
      <c r="K924" s="296"/>
      <c r="L924" s="296"/>
      <c r="M924" s="299"/>
      <c r="N924" s="299"/>
      <c r="O924" s="299"/>
      <c r="P924" s="299"/>
      <c r="Q924" s="299"/>
      <c r="R924" s="299"/>
      <c r="S924" s="299"/>
      <c r="T924" s="299"/>
      <c r="U924" s="299"/>
      <c r="V924" s="299"/>
      <c r="W924" s="299"/>
      <c r="X924" s="299"/>
      <c r="Y924" s="299"/>
      <c r="Z924" s="299"/>
      <c r="AA924" s="299"/>
      <c r="AB924" s="299"/>
      <c r="AC924" s="300"/>
      <c r="AD924" s="300"/>
    </row>
    <row r="925" spans="1:30" ht="12.75" customHeight="1" x14ac:dyDescent="0.2">
      <c r="A925" s="296"/>
      <c r="B925" s="296"/>
      <c r="C925" s="296"/>
      <c r="D925" s="298"/>
      <c r="E925" s="298"/>
      <c r="F925" s="296"/>
      <c r="G925" s="296"/>
      <c r="H925" s="296"/>
      <c r="I925" s="296"/>
      <c r="J925" s="296"/>
      <c r="K925" s="296"/>
      <c r="L925" s="296"/>
      <c r="M925" s="299"/>
      <c r="N925" s="299"/>
      <c r="O925" s="299"/>
      <c r="P925" s="299"/>
      <c r="Q925" s="299"/>
      <c r="R925" s="299"/>
      <c r="S925" s="299"/>
      <c r="T925" s="299"/>
      <c r="U925" s="299"/>
      <c r="V925" s="299"/>
      <c r="W925" s="299"/>
      <c r="X925" s="299"/>
      <c r="Y925" s="299"/>
      <c r="Z925" s="299"/>
      <c r="AA925" s="299"/>
      <c r="AB925" s="299"/>
      <c r="AC925" s="300"/>
      <c r="AD925" s="300"/>
    </row>
    <row r="926" spans="1:30" ht="12.75" customHeight="1" x14ac:dyDescent="0.2">
      <c r="A926" s="296"/>
      <c r="B926" s="296"/>
      <c r="C926" s="296"/>
      <c r="D926" s="298"/>
      <c r="E926" s="298"/>
      <c r="F926" s="296"/>
      <c r="G926" s="296"/>
      <c r="H926" s="296"/>
      <c r="I926" s="296"/>
      <c r="J926" s="296"/>
      <c r="K926" s="296"/>
      <c r="L926" s="296"/>
      <c r="M926" s="299"/>
      <c r="N926" s="299"/>
      <c r="O926" s="299"/>
      <c r="P926" s="299"/>
      <c r="Q926" s="299"/>
      <c r="R926" s="299"/>
      <c r="S926" s="299"/>
      <c r="T926" s="299"/>
      <c r="U926" s="299"/>
      <c r="V926" s="299"/>
      <c r="W926" s="299"/>
      <c r="X926" s="299"/>
      <c r="Y926" s="299"/>
      <c r="Z926" s="299"/>
      <c r="AA926" s="299"/>
      <c r="AB926" s="299"/>
      <c r="AC926" s="300"/>
      <c r="AD926" s="300"/>
    </row>
    <row r="927" spans="1:30" ht="12.75" customHeight="1" x14ac:dyDescent="0.2">
      <c r="A927" s="296"/>
      <c r="B927" s="296"/>
      <c r="C927" s="296"/>
      <c r="D927" s="298"/>
      <c r="E927" s="298"/>
      <c r="F927" s="296"/>
      <c r="G927" s="296"/>
      <c r="H927" s="296"/>
      <c r="I927" s="296"/>
      <c r="J927" s="296"/>
      <c r="K927" s="296"/>
      <c r="L927" s="296"/>
      <c r="M927" s="299"/>
      <c r="N927" s="299"/>
      <c r="O927" s="299"/>
      <c r="P927" s="299"/>
      <c r="Q927" s="299"/>
      <c r="R927" s="299"/>
      <c r="S927" s="299"/>
      <c r="T927" s="299"/>
      <c r="U927" s="299"/>
      <c r="V927" s="299"/>
      <c r="W927" s="299"/>
      <c r="X927" s="299"/>
      <c r="Y927" s="299"/>
      <c r="Z927" s="299"/>
      <c r="AA927" s="299"/>
      <c r="AB927" s="299"/>
      <c r="AC927" s="300"/>
      <c r="AD927" s="300"/>
    </row>
    <row r="928" spans="1:30" ht="12.75" customHeight="1" x14ac:dyDescent="0.2">
      <c r="A928" s="296"/>
      <c r="B928" s="296"/>
      <c r="C928" s="296"/>
      <c r="D928" s="298"/>
      <c r="E928" s="298"/>
      <c r="F928" s="296"/>
      <c r="G928" s="296"/>
      <c r="H928" s="296"/>
      <c r="I928" s="296"/>
      <c r="J928" s="296"/>
      <c r="K928" s="296"/>
      <c r="L928" s="296"/>
      <c r="M928" s="299"/>
      <c r="N928" s="299"/>
      <c r="O928" s="299"/>
      <c r="P928" s="299"/>
      <c r="Q928" s="299"/>
      <c r="R928" s="299"/>
      <c r="S928" s="299"/>
      <c r="T928" s="299"/>
      <c r="U928" s="299"/>
      <c r="V928" s="299"/>
      <c r="W928" s="299"/>
      <c r="X928" s="299"/>
      <c r="Y928" s="299"/>
      <c r="Z928" s="299"/>
      <c r="AA928" s="299"/>
      <c r="AB928" s="299"/>
      <c r="AC928" s="300"/>
      <c r="AD928" s="300"/>
    </row>
    <row r="929" spans="1:30" ht="12.75" customHeight="1" x14ac:dyDescent="0.2">
      <c r="A929" s="296"/>
      <c r="B929" s="296"/>
      <c r="C929" s="296"/>
      <c r="D929" s="298"/>
      <c r="E929" s="298"/>
      <c r="F929" s="296"/>
      <c r="G929" s="296"/>
      <c r="H929" s="296"/>
      <c r="I929" s="296"/>
      <c r="J929" s="296"/>
      <c r="K929" s="296"/>
      <c r="L929" s="296"/>
      <c r="M929" s="299"/>
      <c r="N929" s="299"/>
      <c r="O929" s="299"/>
      <c r="P929" s="299"/>
      <c r="Q929" s="299"/>
      <c r="R929" s="299"/>
      <c r="S929" s="299"/>
      <c r="T929" s="299"/>
      <c r="U929" s="299"/>
      <c r="V929" s="299"/>
      <c r="W929" s="299"/>
      <c r="X929" s="299"/>
      <c r="Y929" s="299"/>
      <c r="Z929" s="299"/>
      <c r="AA929" s="299"/>
      <c r="AB929" s="299"/>
      <c r="AC929" s="300"/>
      <c r="AD929" s="300"/>
    </row>
    <row r="930" spans="1:30" ht="12.75" customHeight="1" x14ac:dyDescent="0.2">
      <c r="A930" s="296"/>
      <c r="B930" s="296"/>
      <c r="C930" s="296"/>
      <c r="D930" s="298"/>
      <c r="E930" s="298"/>
      <c r="F930" s="296"/>
      <c r="G930" s="296"/>
      <c r="H930" s="296"/>
      <c r="I930" s="296"/>
      <c r="J930" s="296"/>
      <c r="K930" s="296"/>
      <c r="L930" s="296"/>
      <c r="M930" s="299"/>
      <c r="N930" s="299"/>
      <c r="O930" s="299"/>
      <c r="P930" s="299"/>
      <c r="Q930" s="299"/>
      <c r="R930" s="299"/>
      <c r="S930" s="299"/>
      <c r="T930" s="299"/>
      <c r="U930" s="299"/>
      <c r="V930" s="299"/>
      <c r="W930" s="299"/>
      <c r="X930" s="299"/>
      <c r="Y930" s="299"/>
      <c r="Z930" s="299"/>
      <c r="AA930" s="299"/>
      <c r="AB930" s="299"/>
      <c r="AC930" s="300"/>
      <c r="AD930" s="300"/>
    </row>
    <row r="931" spans="1:30" ht="12.75" customHeight="1" x14ac:dyDescent="0.2">
      <c r="A931" s="296"/>
      <c r="B931" s="296"/>
      <c r="C931" s="296"/>
      <c r="D931" s="298"/>
      <c r="E931" s="298"/>
      <c r="F931" s="296"/>
      <c r="G931" s="296"/>
      <c r="H931" s="296"/>
      <c r="I931" s="296"/>
      <c r="J931" s="296"/>
      <c r="K931" s="296"/>
      <c r="L931" s="296"/>
      <c r="M931" s="299"/>
      <c r="N931" s="299"/>
      <c r="O931" s="299"/>
      <c r="P931" s="299"/>
      <c r="Q931" s="299"/>
      <c r="R931" s="299"/>
      <c r="S931" s="299"/>
      <c r="T931" s="299"/>
      <c r="U931" s="299"/>
      <c r="V931" s="299"/>
      <c r="W931" s="299"/>
      <c r="X931" s="299"/>
      <c r="Y931" s="299"/>
      <c r="Z931" s="299"/>
      <c r="AA931" s="299"/>
      <c r="AB931" s="299"/>
      <c r="AC931" s="300"/>
      <c r="AD931" s="300"/>
    </row>
    <row r="932" spans="1:30" ht="12.75" customHeight="1" x14ac:dyDescent="0.2">
      <c r="A932" s="296"/>
      <c r="B932" s="296"/>
      <c r="C932" s="296"/>
      <c r="D932" s="298"/>
      <c r="E932" s="298"/>
      <c r="F932" s="296"/>
      <c r="G932" s="296"/>
      <c r="H932" s="296"/>
      <c r="I932" s="296"/>
      <c r="J932" s="296"/>
      <c r="K932" s="296"/>
      <c r="L932" s="296"/>
      <c r="M932" s="299"/>
      <c r="N932" s="299"/>
      <c r="O932" s="299"/>
      <c r="P932" s="299"/>
      <c r="Q932" s="299"/>
      <c r="R932" s="299"/>
      <c r="S932" s="299"/>
      <c r="T932" s="299"/>
      <c r="U932" s="299"/>
      <c r="V932" s="299"/>
      <c r="W932" s="299"/>
      <c r="X932" s="299"/>
      <c r="Y932" s="299"/>
      <c r="Z932" s="299"/>
      <c r="AA932" s="299"/>
      <c r="AB932" s="299"/>
      <c r="AC932" s="300"/>
      <c r="AD932" s="300"/>
    </row>
    <row r="933" spans="1:30" ht="12.75" customHeight="1" x14ac:dyDescent="0.2">
      <c r="A933" s="296"/>
      <c r="B933" s="296"/>
      <c r="C933" s="296"/>
      <c r="D933" s="298"/>
      <c r="E933" s="298"/>
      <c r="F933" s="296"/>
      <c r="G933" s="296"/>
      <c r="H933" s="296"/>
      <c r="I933" s="296"/>
      <c r="J933" s="296"/>
      <c r="K933" s="296"/>
      <c r="L933" s="296"/>
      <c r="M933" s="299"/>
      <c r="N933" s="299"/>
      <c r="O933" s="299"/>
      <c r="P933" s="299"/>
      <c r="Q933" s="299"/>
      <c r="R933" s="299"/>
      <c r="S933" s="299"/>
      <c r="T933" s="299"/>
      <c r="U933" s="299"/>
      <c r="V933" s="299"/>
      <c r="W933" s="299"/>
      <c r="X933" s="299"/>
      <c r="Y933" s="299"/>
      <c r="Z933" s="299"/>
      <c r="AA933" s="299"/>
      <c r="AB933" s="299"/>
      <c r="AC933" s="300"/>
      <c r="AD933" s="300"/>
    </row>
    <row r="934" spans="1:30" ht="12.75" customHeight="1" x14ac:dyDescent="0.2">
      <c r="A934" s="296"/>
      <c r="B934" s="296"/>
      <c r="C934" s="296"/>
      <c r="D934" s="298"/>
      <c r="E934" s="298"/>
      <c r="F934" s="296"/>
      <c r="G934" s="296"/>
      <c r="H934" s="296"/>
      <c r="I934" s="296"/>
      <c r="J934" s="296"/>
      <c r="K934" s="296"/>
      <c r="L934" s="296"/>
      <c r="M934" s="299"/>
      <c r="N934" s="299"/>
      <c r="O934" s="299"/>
      <c r="P934" s="299"/>
      <c r="Q934" s="299"/>
      <c r="R934" s="299"/>
      <c r="S934" s="299"/>
      <c r="T934" s="299"/>
      <c r="U934" s="299"/>
      <c r="V934" s="299"/>
      <c r="W934" s="299"/>
      <c r="X934" s="299"/>
      <c r="Y934" s="299"/>
      <c r="Z934" s="299"/>
      <c r="AA934" s="299"/>
      <c r="AB934" s="299"/>
      <c r="AC934" s="300"/>
      <c r="AD934" s="300"/>
    </row>
    <row r="935" spans="1:30" ht="12.75" customHeight="1" x14ac:dyDescent="0.2">
      <c r="A935" s="296"/>
      <c r="B935" s="296"/>
      <c r="C935" s="296"/>
      <c r="D935" s="298"/>
      <c r="E935" s="298"/>
      <c r="F935" s="296"/>
      <c r="G935" s="296"/>
      <c r="H935" s="296"/>
      <c r="I935" s="296"/>
      <c r="J935" s="296"/>
      <c r="K935" s="296"/>
      <c r="L935" s="296"/>
      <c r="M935" s="299"/>
      <c r="N935" s="299"/>
      <c r="O935" s="299"/>
      <c r="P935" s="299"/>
      <c r="Q935" s="299"/>
      <c r="R935" s="299"/>
      <c r="S935" s="299"/>
      <c r="T935" s="299"/>
      <c r="U935" s="299"/>
      <c r="V935" s="299"/>
      <c r="W935" s="299"/>
      <c r="X935" s="299"/>
      <c r="Y935" s="299"/>
      <c r="Z935" s="299"/>
      <c r="AA935" s="299"/>
      <c r="AB935" s="299"/>
      <c r="AC935" s="300"/>
      <c r="AD935" s="300"/>
    </row>
    <row r="936" spans="1:30" ht="12.75" customHeight="1" x14ac:dyDescent="0.2">
      <c r="A936" s="296"/>
      <c r="B936" s="296"/>
      <c r="C936" s="296"/>
      <c r="D936" s="298"/>
      <c r="E936" s="298"/>
      <c r="F936" s="296"/>
      <c r="G936" s="296"/>
      <c r="H936" s="296"/>
      <c r="I936" s="296"/>
      <c r="J936" s="296"/>
      <c r="K936" s="296"/>
      <c r="L936" s="296"/>
      <c r="M936" s="299"/>
      <c r="N936" s="299"/>
      <c r="O936" s="299"/>
      <c r="P936" s="299"/>
      <c r="Q936" s="299"/>
      <c r="R936" s="299"/>
      <c r="S936" s="299"/>
      <c r="T936" s="299"/>
      <c r="U936" s="299"/>
      <c r="V936" s="299"/>
      <c r="W936" s="299"/>
      <c r="X936" s="299"/>
      <c r="Y936" s="299"/>
      <c r="Z936" s="299"/>
      <c r="AA936" s="299"/>
      <c r="AB936" s="299"/>
      <c r="AC936" s="300"/>
      <c r="AD936" s="300"/>
    </row>
    <row r="937" spans="1:30" ht="12.75" customHeight="1" x14ac:dyDescent="0.2">
      <c r="A937" s="296"/>
      <c r="B937" s="296"/>
      <c r="C937" s="296"/>
      <c r="D937" s="298"/>
      <c r="E937" s="298"/>
      <c r="F937" s="296"/>
      <c r="G937" s="296"/>
      <c r="H937" s="296"/>
      <c r="I937" s="296"/>
      <c r="J937" s="296"/>
      <c r="K937" s="296"/>
      <c r="L937" s="296"/>
      <c r="M937" s="299"/>
      <c r="N937" s="299"/>
      <c r="O937" s="299"/>
      <c r="P937" s="299"/>
      <c r="Q937" s="299"/>
      <c r="R937" s="299"/>
      <c r="S937" s="299"/>
      <c r="T937" s="299"/>
      <c r="U937" s="299"/>
      <c r="V937" s="299"/>
      <c r="W937" s="299"/>
      <c r="X937" s="299"/>
      <c r="Y937" s="299"/>
      <c r="Z937" s="299"/>
      <c r="AA937" s="299"/>
      <c r="AB937" s="299"/>
      <c r="AC937" s="300"/>
      <c r="AD937" s="300"/>
    </row>
    <row r="938" spans="1:30" ht="12.75" customHeight="1" x14ac:dyDescent="0.2">
      <c r="A938" s="296"/>
      <c r="B938" s="296"/>
      <c r="C938" s="296"/>
      <c r="D938" s="298"/>
      <c r="E938" s="298"/>
      <c r="F938" s="296"/>
      <c r="G938" s="296"/>
      <c r="H938" s="296"/>
      <c r="I938" s="296"/>
      <c r="J938" s="296"/>
      <c r="K938" s="296"/>
      <c r="L938" s="296"/>
      <c r="M938" s="299"/>
      <c r="N938" s="299"/>
      <c r="O938" s="299"/>
      <c r="P938" s="299"/>
      <c r="Q938" s="299"/>
      <c r="R938" s="299"/>
      <c r="S938" s="299"/>
      <c r="T938" s="299"/>
      <c r="U938" s="299"/>
      <c r="V938" s="299"/>
      <c r="W938" s="299"/>
      <c r="X938" s="299"/>
      <c r="Y938" s="299"/>
      <c r="Z938" s="299"/>
      <c r="AA938" s="299"/>
      <c r="AB938" s="299"/>
      <c r="AC938" s="300"/>
      <c r="AD938" s="300"/>
    </row>
    <row r="939" spans="1:30" ht="12.75" customHeight="1" x14ac:dyDescent="0.2">
      <c r="A939" s="296"/>
      <c r="B939" s="296"/>
      <c r="C939" s="296"/>
      <c r="D939" s="298"/>
      <c r="E939" s="298"/>
      <c r="F939" s="296"/>
      <c r="G939" s="296"/>
      <c r="H939" s="296"/>
      <c r="I939" s="296"/>
      <c r="J939" s="296"/>
      <c r="K939" s="296"/>
      <c r="L939" s="296"/>
      <c r="M939" s="299"/>
      <c r="N939" s="299"/>
      <c r="O939" s="299"/>
      <c r="P939" s="299"/>
      <c r="Q939" s="299"/>
      <c r="R939" s="299"/>
      <c r="S939" s="299"/>
      <c r="T939" s="299"/>
      <c r="U939" s="299"/>
      <c r="V939" s="299"/>
      <c r="W939" s="299"/>
      <c r="X939" s="299"/>
      <c r="Y939" s="299"/>
      <c r="Z939" s="299"/>
      <c r="AA939" s="299"/>
      <c r="AB939" s="299"/>
      <c r="AC939" s="300"/>
      <c r="AD939" s="300"/>
    </row>
    <row r="940" spans="1:30" ht="12.75" customHeight="1" x14ac:dyDescent="0.2">
      <c r="A940" s="296"/>
      <c r="B940" s="296"/>
      <c r="C940" s="296"/>
      <c r="D940" s="298"/>
      <c r="E940" s="298"/>
      <c r="F940" s="296"/>
      <c r="G940" s="296"/>
      <c r="H940" s="296"/>
      <c r="I940" s="296"/>
      <c r="J940" s="296"/>
      <c r="K940" s="296"/>
      <c r="L940" s="296"/>
      <c r="M940" s="299"/>
      <c r="N940" s="299"/>
      <c r="O940" s="299"/>
      <c r="P940" s="299"/>
      <c r="Q940" s="299"/>
      <c r="R940" s="299"/>
      <c r="S940" s="299"/>
      <c r="T940" s="299"/>
      <c r="U940" s="299"/>
      <c r="V940" s="299"/>
      <c r="W940" s="299"/>
      <c r="X940" s="299"/>
      <c r="Y940" s="299"/>
      <c r="Z940" s="299"/>
      <c r="AA940" s="299"/>
      <c r="AB940" s="299"/>
      <c r="AC940" s="300"/>
      <c r="AD940" s="300"/>
    </row>
    <row r="941" spans="1:30" ht="12.75" customHeight="1" x14ac:dyDescent="0.2">
      <c r="A941" s="296"/>
      <c r="B941" s="296"/>
      <c r="C941" s="296"/>
      <c r="D941" s="298"/>
      <c r="E941" s="298"/>
      <c r="F941" s="296"/>
      <c r="G941" s="296"/>
      <c r="H941" s="296"/>
      <c r="I941" s="296"/>
      <c r="J941" s="296"/>
      <c r="K941" s="296"/>
      <c r="L941" s="296"/>
      <c r="M941" s="299"/>
      <c r="N941" s="299"/>
      <c r="O941" s="299"/>
      <c r="P941" s="299"/>
      <c r="Q941" s="299"/>
      <c r="R941" s="299"/>
      <c r="S941" s="299"/>
      <c r="T941" s="299"/>
      <c r="U941" s="299"/>
      <c r="V941" s="299"/>
      <c r="W941" s="299"/>
      <c r="X941" s="299"/>
      <c r="Y941" s="299"/>
      <c r="Z941" s="299"/>
      <c r="AA941" s="299"/>
      <c r="AB941" s="299"/>
      <c r="AC941" s="300"/>
      <c r="AD941" s="300"/>
    </row>
    <row r="942" spans="1:30" ht="12.75" customHeight="1" x14ac:dyDescent="0.2">
      <c r="A942" s="296"/>
      <c r="B942" s="296"/>
      <c r="C942" s="296"/>
      <c r="D942" s="298"/>
      <c r="E942" s="298"/>
      <c r="F942" s="296"/>
      <c r="G942" s="296"/>
      <c r="H942" s="296"/>
      <c r="I942" s="296"/>
      <c r="J942" s="296"/>
      <c r="K942" s="296"/>
      <c r="L942" s="296"/>
      <c r="M942" s="299"/>
      <c r="N942" s="299"/>
      <c r="O942" s="299"/>
      <c r="P942" s="299"/>
      <c r="Q942" s="299"/>
      <c r="R942" s="299"/>
      <c r="S942" s="299"/>
      <c r="T942" s="299"/>
      <c r="U942" s="299"/>
      <c r="V942" s="299"/>
      <c r="W942" s="299"/>
      <c r="X942" s="299"/>
      <c r="Y942" s="299"/>
      <c r="Z942" s="299"/>
      <c r="AA942" s="299"/>
      <c r="AB942" s="299"/>
      <c r="AC942" s="300"/>
      <c r="AD942" s="300"/>
    </row>
    <row r="943" spans="1:30" ht="12.75" customHeight="1" x14ac:dyDescent="0.2">
      <c r="A943" s="296"/>
      <c r="B943" s="296"/>
      <c r="C943" s="296"/>
      <c r="D943" s="298"/>
      <c r="E943" s="298"/>
      <c r="F943" s="296"/>
      <c r="G943" s="296"/>
      <c r="H943" s="296"/>
      <c r="I943" s="296"/>
      <c r="J943" s="296"/>
      <c r="K943" s="296"/>
      <c r="L943" s="296"/>
      <c r="M943" s="299"/>
      <c r="N943" s="299"/>
      <c r="O943" s="299"/>
      <c r="P943" s="299"/>
      <c r="Q943" s="299"/>
      <c r="R943" s="299"/>
      <c r="S943" s="299"/>
      <c r="T943" s="299"/>
      <c r="U943" s="299"/>
      <c r="V943" s="299"/>
      <c r="W943" s="299"/>
      <c r="X943" s="299"/>
      <c r="Y943" s="299"/>
      <c r="Z943" s="299"/>
      <c r="AA943" s="299"/>
      <c r="AB943" s="299"/>
      <c r="AC943" s="300"/>
      <c r="AD943" s="300"/>
    </row>
    <row r="944" spans="1:30" ht="12.75" customHeight="1" x14ac:dyDescent="0.2">
      <c r="A944" s="296"/>
      <c r="B944" s="296"/>
      <c r="C944" s="296"/>
      <c r="D944" s="298"/>
      <c r="E944" s="298"/>
      <c r="F944" s="296"/>
      <c r="G944" s="296"/>
      <c r="H944" s="296"/>
      <c r="I944" s="296"/>
      <c r="J944" s="296"/>
      <c r="K944" s="296"/>
      <c r="L944" s="296"/>
      <c r="M944" s="299"/>
      <c r="N944" s="299"/>
      <c r="O944" s="299"/>
      <c r="P944" s="299"/>
      <c r="Q944" s="299"/>
      <c r="R944" s="299"/>
      <c r="S944" s="299"/>
      <c r="T944" s="299"/>
      <c r="U944" s="299"/>
      <c r="V944" s="299"/>
      <c r="W944" s="299"/>
      <c r="X944" s="299"/>
      <c r="Y944" s="299"/>
      <c r="Z944" s="299"/>
      <c r="AA944" s="299"/>
      <c r="AB944" s="299"/>
      <c r="AC944" s="300"/>
      <c r="AD944" s="300"/>
    </row>
    <row r="945" spans="1:30" ht="12.75" customHeight="1" x14ac:dyDescent="0.2">
      <c r="A945" s="296"/>
      <c r="B945" s="296"/>
      <c r="C945" s="296"/>
      <c r="D945" s="298"/>
      <c r="E945" s="298"/>
      <c r="F945" s="296"/>
      <c r="G945" s="296"/>
      <c r="H945" s="296"/>
      <c r="I945" s="296"/>
      <c r="J945" s="296"/>
      <c r="K945" s="296"/>
      <c r="L945" s="296"/>
      <c r="M945" s="299"/>
      <c r="N945" s="299"/>
      <c r="O945" s="299"/>
      <c r="P945" s="299"/>
      <c r="Q945" s="299"/>
      <c r="R945" s="299"/>
      <c r="S945" s="299"/>
      <c r="T945" s="299"/>
      <c r="U945" s="299"/>
      <c r="V945" s="299"/>
      <c r="W945" s="299"/>
      <c r="X945" s="299"/>
      <c r="Y945" s="299"/>
      <c r="Z945" s="299"/>
      <c r="AA945" s="299"/>
      <c r="AB945" s="299"/>
      <c r="AC945" s="300"/>
      <c r="AD945" s="300"/>
    </row>
    <row r="946" spans="1:30" ht="12.75" customHeight="1" x14ac:dyDescent="0.2">
      <c r="A946" s="296"/>
      <c r="B946" s="296"/>
      <c r="C946" s="296"/>
      <c r="D946" s="298"/>
      <c r="E946" s="298"/>
      <c r="F946" s="296"/>
      <c r="G946" s="296"/>
      <c r="H946" s="296"/>
      <c r="I946" s="296"/>
      <c r="J946" s="296"/>
      <c r="K946" s="296"/>
      <c r="L946" s="296"/>
      <c r="M946" s="299"/>
      <c r="N946" s="299"/>
      <c r="O946" s="299"/>
      <c r="P946" s="299"/>
      <c r="Q946" s="299"/>
      <c r="R946" s="299"/>
      <c r="S946" s="299"/>
      <c r="T946" s="299"/>
      <c r="U946" s="299"/>
      <c r="V946" s="299"/>
      <c r="W946" s="299"/>
      <c r="X946" s="299"/>
      <c r="Y946" s="299"/>
      <c r="Z946" s="299"/>
      <c r="AA946" s="299"/>
      <c r="AB946" s="299"/>
      <c r="AC946" s="300"/>
      <c r="AD946" s="300"/>
    </row>
    <row r="947" spans="1:30" ht="12.75" customHeight="1" x14ac:dyDescent="0.2">
      <c r="A947" s="296"/>
      <c r="B947" s="296"/>
      <c r="C947" s="296"/>
      <c r="D947" s="298"/>
      <c r="E947" s="298"/>
      <c r="F947" s="296"/>
      <c r="G947" s="296"/>
      <c r="H947" s="296"/>
      <c r="I947" s="296"/>
      <c r="J947" s="296"/>
      <c r="K947" s="296"/>
      <c r="L947" s="296"/>
      <c r="M947" s="299"/>
      <c r="N947" s="299"/>
      <c r="O947" s="299"/>
      <c r="P947" s="299"/>
      <c r="Q947" s="299"/>
      <c r="R947" s="299"/>
      <c r="S947" s="299"/>
      <c r="T947" s="299"/>
      <c r="U947" s="299"/>
      <c r="V947" s="299"/>
      <c r="W947" s="299"/>
      <c r="X947" s="299"/>
      <c r="Y947" s="299"/>
      <c r="Z947" s="299"/>
      <c r="AA947" s="299"/>
      <c r="AB947" s="299"/>
      <c r="AC947" s="300"/>
      <c r="AD947" s="300"/>
    </row>
    <row r="948" spans="1:30" ht="12.75" customHeight="1" x14ac:dyDescent="0.2">
      <c r="A948" s="296"/>
      <c r="B948" s="296"/>
      <c r="C948" s="296"/>
      <c r="D948" s="298"/>
      <c r="E948" s="298"/>
      <c r="F948" s="296"/>
      <c r="G948" s="296"/>
      <c r="H948" s="296"/>
      <c r="I948" s="296"/>
      <c r="J948" s="296"/>
      <c r="K948" s="296"/>
      <c r="L948" s="296"/>
      <c r="M948" s="299"/>
      <c r="N948" s="299"/>
      <c r="O948" s="299"/>
      <c r="P948" s="299"/>
      <c r="Q948" s="299"/>
      <c r="R948" s="299"/>
      <c r="S948" s="299"/>
      <c r="T948" s="299"/>
      <c r="U948" s="299"/>
      <c r="V948" s="299"/>
      <c r="W948" s="299"/>
      <c r="X948" s="299"/>
      <c r="Y948" s="299"/>
      <c r="Z948" s="299"/>
      <c r="AA948" s="299"/>
      <c r="AB948" s="299"/>
      <c r="AC948" s="300"/>
      <c r="AD948" s="300"/>
    </row>
    <row r="949" spans="1:30" ht="12.75" customHeight="1" x14ac:dyDescent="0.2">
      <c r="A949" s="296"/>
      <c r="B949" s="296"/>
      <c r="C949" s="296"/>
      <c r="D949" s="298"/>
      <c r="E949" s="298"/>
      <c r="F949" s="296"/>
      <c r="G949" s="296"/>
      <c r="H949" s="296"/>
      <c r="I949" s="296"/>
      <c r="J949" s="296"/>
      <c r="K949" s="296"/>
      <c r="L949" s="296"/>
      <c r="M949" s="299"/>
      <c r="N949" s="299"/>
      <c r="O949" s="299"/>
      <c r="P949" s="299"/>
      <c r="Q949" s="299"/>
      <c r="R949" s="299"/>
      <c r="S949" s="299"/>
      <c r="T949" s="299"/>
      <c r="U949" s="299"/>
      <c r="V949" s="299"/>
      <c r="W949" s="299"/>
      <c r="X949" s="299"/>
      <c r="Y949" s="299"/>
      <c r="Z949" s="299"/>
      <c r="AA949" s="299"/>
      <c r="AB949" s="299"/>
      <c r="AC949" s="300"/>
      <c r="AD949" s="300"/>
    </row>
    <row r="950" spans="1:30" ht="12.75" customHeight="1" x14ac:dyDescent="0.2">
      <c r="A950" s="296"/>
      <c r="B950" s="296"/>
      <c r="C950" s="296"/>
      <c r="D950" s="298"/>
      <c r="E950" s="298"/>
      <c r="F950" s="296"/>
      <c r="G950" s="296"/>
      <c r="H950" s="296"/>
      <c r="I950" s="296"/>
      <c r="J950" s="296"/>
      <c r="K950" s="296"/>
      <c r="L950" s="296"/>
      <c r="M950" s="299"/>
      <c r="N950" s="299"/>
      <c r="O950" s="299"/>
      <c r="P950" s="299"/>
      <c r="Q950" s="299"/>
      <c r="R950" s="299"/>
      <c r="S950" s="299"/>
      <c r="T950" s="299"/>
      <c r="U950" s="299"/>
      <c r="V950" s="299"/>
      <c r="W950" s="299"/>
      <c r="X950" s="299"/>
      <c r="Y950" s="299"/>
      <c r="Z950" s="299"/>
      <c r="AA950" s="299"/>
      <c r="AB950" s="299"/>
      <c r="AC950" s="300"/>
      <c r="AD950" s="300"/>
    </row>
    <row r="951" spans="1:30" ht="12.75" customHeight="1" x14ac:dyDescent="0.2">
      <c r="A951" s="296"/>
      <c r="B951" s="296"/>
      <c r="C951" s="296"/>
      <c r="D951" s="298"/>
      <c r="E951" s="298"/>
      <c r="F951" s="296"/>
      <c r="G951" s="296"/>
      <c r="H951" s="296"/>
      <c r="I951" s="296"/>
      <c r="J951" s="296"/>
      <c r="K951" s="296"/>
      <c r="L951" s="296"/>
      <c r="M951" s="299"/>
      <c r="N951" s="299"/>
      <c r="O951" s="299"/>
      <c r="P951" s="299"/>
      <c r="Q951" s="299"/>
      <c r="R951" s="299"/>
      <c r="S951" s="299"/>
      <c r="T951" s="299"/>
      <c r="U951" s="299"/>
      <c r="V951" s="299"/>
      <c r="W951" s="299"/>
      <c r="X951" s="299"/>
      <c r="Y951" s="299"/>
      <c r="Z951" s="299"/>
      <c r="AA951" s="299"/>
      <c r="AB951" s="299"/>
      <c r="AC951" s="300"/>
      <c r="AD951" s="300"/>
    </row>
    <row r="952" spans="1:30" ht="12.75" customHeight="1" x14ac:dyDescent="0.2">
      <c r="A952" s="296"/>
      <c r="B952" s="296"/>
      <c r="C952" s="296"/>
      <c r="D952" s="298"/>
      <c r="E952" s="298"/>
      <c r="F952" s="296"/>
      <c r="G952" s="296"/>
      <c r="H952" s="296"/>
      <c r="I952" s="296"/>
      <c r="J952" s="296"/>
      <c r="K952" s="296"/>
      <c r="L952" s="296"/>
      <c r="M952" s="299"/>
      <c r="N952" s="299"/>
      <c r="O952" s="299"/>
      <c r="P952" s="299"/>
      <c r="Q952" s="299"/>
      <c r="R952" s="299"/>
      <c r="S952" s="299"/>
      <c r="T952" s="299"/>
      <c r="U952" s="299"/>
      <c r="V952" s="299"/>
      <c r="W952" s="299"/>
      <c r="X952" s="299"/>
      <c r="Y952" s="299"/>
      <c r="Z952" s="299"/>
      <c r="AA952" s="299"/>
      <c r="AB952" s="299"/>
      <c r="AC952" s="300"/>
      <c r="AD952" s="300"/>
    </row>
    <row r="953" spans="1:30" ht="12.75" customHeight="1" x14ac:dyDescent="0.2">
      <c r="A953" s="296"/>
      <c r="B953" s="296"/>
      <c r="C953" s="296"/>
      <c r="D953" s="298"/>
      <c r="E953" s="298"/>
      <c r="F953" s="296"/>
      <c r="G953" s="296"/>
      <c r="H953" s="296"/>
      <c r="I953" s="296"/>
      <c r="J953" s="296"/>
      <c r="K953" s="296"/>
      <c r="L953" s="296"/>
      <c r="M953" s="299"/>
      <c r="N953" s="299"/>
      <c r="O953" s="299"/>
      <c r="P953" s="299"/>
      <c r="Q953" s="299"/>
      <c r="R953" s="299"/>
      <c r="S953" s="299"/>
      <c r="T953" s="299"/>
      <c r="U953" s="299"/>
      <c r="V953" s="299"/>
      <c r="W953" s="299"/>
      <c r="X953" s="299"/>
      <c r="Y953" s="299"/>
      <c r="Z953" s="299"/>
      <c r="AA953" s="299"/>
      <c r="AB953" s="299"/>
      <c r="AC953" s="300"/>
      <c r="AD953" s="300"/>
    </row>
    <row r="954" spans="1:30" ht="12.75" customHeight="1" x14ac:dyDescent="0.2">
      <c r="A954" s="296"/>
      <c r="B954" s="296"/>
      <c r="C954" s="296"/>
      <c r="D954" s="298"/>
      <c r="E954" s="298"/>
      <c r="F954" s="296"/>
      <c r="G954" s="296"/>
      <c r="H954" s="296"/>
      <c r="I954" s="296"/>
      <c r="J954" s="296"/>
      <c r="K954" s="296"/>
      <c r="L954" s="296"/>
      <c r="M954" s="299"/>
      <c r="N954" s="299"/>
      <c r="O954" s="299"/>
      <c r="P954" s="299"/>
      <c r="Q954" s="299"/>
      <c r="R954" s="299"/>
      <c r="S954" s="299"/>
      <c r="T954" s="299"/>
      <c r="U954" s="299"/>
      <c r="V954" s="299"/>
      <c r="W954" s="299"/>
      <c r="X954" s="299"/>
      <c r="Y954" s="299"/>
      <c r="Z954" s="299"/>
      <c r="AA954" s="299"/>
      <c r="AB954" s="299"/>
      <c r="AC954" s="300"/>
      <c r="AD954" s="300"/>
    </row>
    <row r="955" spans="1:30" ht="12.75" customHeight="1" x14ac:dyDescent="0.2">
      <c r="A955" s="296"/>
      <c r="B955" s="296"/>
      <c r="C955" s="296"/>
      <c r="D955" s="298"/>
      <c r="E955" s="298"/>
      <c r="F955" s="296"/>
      <c r="G955" s="296"/>
      <c r="H955" s="296"/>
      <c r="I955" s="296"/>
      <c r="J955" s="296"/>
      <c r="K955" s="296"/>
      <c r="L955" s="296"/>
      <c r="M955" s="299"/>
      <c r="N955" s="299"/>
      <c r="O955" s="299"/>
      <c r="P955" s="299"/>
      <c r="Q955" s="299"/>
      <c r="R955" s="299"/>
      <c r="S955" s="299"/>
      <c r="T955" s="299"/>
      <c r="U955" s="299"/>
      <c r="V955" s="299"/>
      <c r="W955" s="299"/>
      <c r="X955" s="299"/>
      <c r="Y955" s="299"/>
      <c r="Z955" s="299"/>
      <c r="AA955" s="299"/>
      <c r="AB955" s="299"/>
      <c r="AC955" s="300"/>
      <c r="AD955" s="300"/>
    </row>
    <row r="956" spans="1:30" ht="12.75" customHeight="1" x14ac:dyDescent="0.2">
      <c r="A956" s="296"/>
      <c r="B956" s="296"/>
      <c r="C956" s="296"/>
      <c r="D956" s="298"/>
      <c r="E956" s="298"/>
      <c r="F956" s="296"/>
      <c r="G956" s="296"/>
      <c r="H956" s="296"/>
      <c r="I956" s="296"/>
      <c r="J956" s="296"/>
      <c r="K956" s="296"/>
      <c r="L956" s="296"/>
      <c r="M956" s="299"/>
      <c r="N956" s="299"/>
      <c r="O956" s="299"/>
      <c r="P956" s="299"/>
      <c r="Q956" s="299"/>
      <c r="R956" s="299"/>
      <c r="S956" s="299"/>
      <c r="T956" s="299"/>
      <c r="U956" s="299"/>
      <c r="V956" s="299"/>
      <c r="W956" s="299"/>
      <c r="X956" s="299"/>
      <c r="Y956" s="299"/>
      <c r="Z956" s="299"/>
      <c r="AA956" s="299"/>
      <c r="AB956" s="299"/>
      <c r="AC956" s="300"/>
      <c r="AD956" s="300"/>
    </row>
    <row r="957" spans="1:30" ht="12.75" customHeight="1" x14ac:dyDescent="0.2">
      <c r="A957" s="296"/>
      <c r="B957" s="296"/>
      <c r="C957" s="296"/>
      <c r="D957" s="298"/>
      <c r="E957" s="298"/>
      <c r="F957" s="296"/>
      <c r="G957" s="296"/>
      <c r="H957" s="296"/>
      <c r="I957" s="296"/>
      <c r="J957" s="296"/>
      <c r="K957" s="296"/>
      <c r="L957" s="296"/>
      <c r="M957" s="299"/>
      <c r="N957" s="299"/>
      <c r="O957" s="299"/>
      <c r="P957" s="299"/>
      <c r="Q957" s="299"/>
      <c r="R957" s="299"/>
      <c r="S957" s="299"/>
      <c r="T957" s="299"/>
      <c r="U957" s="299"/>
      <c r="V957" s="299"/>
      <c r="W957" s="299"/>
      <c r="X957" s="299"/>
      <c r="Y957" s="299"/>
      <c r="Z957" s="299"/>
      <c r="AA957" s="299"/>
      <c r="AB957" s="299"/>
      <c r="AC957" s="300"/>
      <c r="AD957" s="300"/>
    </row>
    <row r="958" spans="1:30" ht="12.75" customHeight="1" x14ac:dyDescent="0.2">
      <c r="A958" s="296"/>
      <c r="B958" s="296"/>
      <c r="C958" s="296"/>
      <c r="D958" s="298"/>
      <c r="E958" s="298"/>
      <c r="F958" s="296"/>
      <c r="G958" s="296"/>
      <c r="H958" s="296"/>
      <c r="I958" s="296"/>
      <c r="J958" s="296"/>
      <c r="K958" s="296"/>
      <c r="L958" s="296"/>
      <c r="M958" s="299"/>
      <c r="N958" s="299"/>
      <c r="O958" s="299"/>
      <c r="P958" s="299"/>
      <c r="Q958" s="299"/>
      <c r="R958" s="299"/>
      <c r="S958" s="299"/>
      <c r="T958" s="299"/>
      <c r="U958" s="299"/>
      <c r="V958" s="299"/>
      <c r="W958" s="299"/>
      <c r="X958" s="299"/>
      <c r="Y958" s="299"/>
      <c r="Z958" s="299"/>
      <c r="AA958" s="299"/>
      <c r="AB958" s="299"/>
      <c r="AC958" s="300"/>
      <c r="AD958" s="300"/>
    </row>
    <row r="959" spans="1:30" ht="12.75" customHeight="1" x14ac:dyDescent="0.2">
      <c r="A959" s="296"/>
      <c r="B959" s="296"/>
      <c r="C959" s="296"/>
      <c r="D959" s="298"/>
      <c r="E959" s="298"/>
      <c r="F959" s="296"/>
      <c r="G959" s="296"/>
      <c r="H959" s="296"/>
      <c r="I959" s="296"/>
      <c r="J959" s="296"/>
      <c r="K959" s="296"/>
      <c r="L959" s="296"/>
      <c r="M959" s="299"/>
      <c r="N959" s="299"/>
      <c r="O959" s="299"/>
      <c r="P959" s="299"/>
      <c r="Q959" s="299"/>
      <c r="R959" s="299"/>
      <c r="S959" s="299"/>
      <c r="T959" s="299"/>
      <c r="U959" s="299"/>
      <c r="V959" s="299"/>
      <c r="W959" s="299"/>
      <c r="X959" s="299"/>
      <c r="Y959" s="299"/>
      <c r="Z959" s="299"/>
      <c r="AA959" s="299"/>
      <c r="AB959" s="299"/>
      <c r="AC959" s="300"/>
      <c r="AD959" s="300"/>
    </row>
    <row r="960" spans="1:30" ht="12.75" customHeight="1" x14ac:dyDescent="0.2">
      <c r="A960" s="296"/>
      <c r="B960" s="296"/>
      <c r="C960" s="296"/>
      <c r="D960" s="298"/>
      <c r="E960" s="298"/>
      <c r="F960" s="296"/>
      <c r="G960" s="296"/>
      <c r="H960" s="296"/>
      <c r="I960" s="296"/>
      <c r="J960" s="296"/>
      <c r="K960" s="296"/>
      <c r="L960" s="296"/>
      <c r="M960" s="299"/>
      <c r="N960" s="299"/>
      <c r="O960" s="299"/>
      <c r="P960" s="299"/>
      <c r="Q960" s="299"/>
      <c r="R960" s="299"/>
      <c r="S960" s="299"/>
      <c r="T960" s="299"/>
      <c r="U960" s="299"/>
      <c r="V960" s="299"/>
      <c r="W960" s="299"/>
      <c r="X960" s="299"/>
      <c r="Y960" s="299"/>
      <c r="Z960" s="299"/>
      <c r="AA960" s="299"/>
      <c r="AB960" s="299"/>
      <c r="AC960" s="300"/>
      <c r="AD960" s="300"/>
    </row>
    <row r="961" spans="1:30" ht="12.75" customHeight="1" x14ac:dyDescent="0.2">
      <c r="A961" s="296"/>
      <c r="B961" s="296"/>
      <c r="C961" s="296"/>
      <c r="D961" s="298"/>
      <c r="E961" s="298"/>
      <c r="F961" s="296"/>
      <c r="G961" s="296"/>
      <c r="H961" s="296"/>
      <c r="I961" s="296"/>
      <c r="J961" s="296"/>
      <c r="K961" s="296"/>
      <c r="L961" s="296"/>
      <c r="M961" s="299"/>
      <c r="N961" s="299"/>
      <c r="O961" s="299"/>
      <c r="P961" s="299"/>
      <c r="Q961" s="299"/>
      <c r="R961" s="299"/>
      <c r="S961" s="299"/>
      <c r="T961" s="299"/>
      <c r="U961" s="299"/>
      <c r="V961" s="299"/>
      <c r="W961" s="299"/>
      <c r="X961" s="299"/>
      <c r="Y961" s="299"/>
      <c r="Z961" s="299"/>
      <c r="AA961" s="299"/>
      <c r="AB961" s="299"/>
      <c r="AC961" s="300"/>
      <c r="AD961" s="300"/>
    </row>
    <row r="962" spans="1:30" ht="12.75" customHeight="1" x14ac:dyDescent="0.2">
      <c r="A962" s="296"/>
      <c r="B962" s="296"/>
      <c r="C962" s="296"/>
      <c r="D962" s="298"/>
      <c r="E962" s="298"/>
      <c r="F962" s="296"/>
      <c r="G962" s="296"/>
      <c r="H962" s="296"/>
      <c r="I962" s="296"/>
      <c r="J962" s="296"/>
      <c r="K962" s="296"/>
      <c r="L962" s="296"/>
      <c r="M962" s="299"/>
      <c r="N962" s="299"/>
      <c r="O962" s="299"/>
      <c r="P962" s="299"/>
      <c r="Q962" s="299"/>
      <c r="R962" s="299"/>
      <c r="S962" s="299"/>
      <c r="T962" s="299"/>
      <c r="U962" s="299"/>
      <c r="V962" s="299"/>
      <c r="W962" s="299"/>
      <c r="X962" s="299"/>
      <c r="Y962" s="299"/>
      <c r="Z962" s="299"/>
      <c r="AA962" s="299"/>
      <c r="AB962" s="299"/>
      <c r="AC962" s="300"/>
      <c r="AD962" s="300"/>
    </row>
    <row r="963" spans="1:30" ht="12.75" customHeight="1" x14ac:dyDescent="0.2">
      <c r="A963" s="296"/>
      <c r="B963" s="296"/>
      <c r="C963" s="296"/>
      <c r="D963" s="298"/>
      <c r="E963" s="298"/>
      <c r="F963" s="296"/>
      <c r="G963" s="296"/>
      <c r="H963" s="296"/>
      <c r="I963" s="296"/>
      <c r="J963" s="296"/>
      <c r="K963" s="296"/>
      <c r="L963" s="296"/>
      <c r="M963" s="299"/>
      <c r="N963" s="299"/>
      <c r="O963" s="299"/>
      <c r="P963" s="299"/>
      <c r="Q963" s="299"/>
      <c r="R963" s="299"/>
      <c r="S963" s="299"/>
      <c r="T963" s="299"/>
      <c r="U963" s="299"/>
      <c r="V963" s="299"/>
      <c r="W963" s="299"/>
      <c r="X963" s="299"/>
      <c r="Y963" s="299"/>
      <c r="Z963" s="299"/>
      <c r="AA963" s="299"/>
      <c r="AB963" s="299"/>
      <c r="AC963" s="300"/>
      <c r="AD963" s="300"/>
    </row>
    <row r="964" spans="1:30" ht="12.75" customHeight="1" x14ac:dyDescent="0.2">
      <c r="A964" s="296"/>
      <c r="B964" s="296"/>
      <c r="C964" s="296"/>
      <c r="D964" s="298"/>
      <c r="E964" s="298"/>
      <c r="F964" s="296"/>
      <c r="G964" s="296"/>
      <c r="H964" s="296"/>
      <c r="I964" s="296"/>
      <c r="J964" s="296"/>
      <c r="K964" s="296"/>
      <c r="L964" s="296"/>
      <c r="M964" s="299"/>
      <c r="N964" s="299"/>
      <c r="O964" s="299"/>
      <c r="P964" s="299"/>
      <c r="Q964" s="299"/>
      <c r="R964" s="299"/>
      <c r="S964" s="299"/>
      <c r="T964" s="299"/>
      <c r="U964" s="299"/>
      <c r="V964" s="299"/>
      <c r="W964" s="299"/>
      <c r="X964" s="299"/>
      <c r="Y964" s="299"/>
      <c r="Z964" s="299"/>
      <c r="AA964" s="299"/>
      <c r="AB964" s="299"/>
      <c r="AC964" s="300"/>
      <c r="AD964" s="300"/>
    </row>
    <row r="965" spans="1:30" ht="12.75" customHeight="1" x14ac:dyDescent="0.2">
      <c r="A965" s="296"/>
      <c r="B965" s="296"/>
      <c r="C965" s="296"/>
      <c r="D965" s="298"/>
      <c r="E965" s="298"/>
      <c r="F965" s="296"/>
      <c r="G965" s="296"/>
      <c r="H965" s="296"/>
      <c r="I965" s="296"/>
      <c r="J965" s="296"/>
      <c r="K965" s="296"/>
      <c r="L965" s="296"/>
      <c r="M965" s="299"/>
      <c r="N965" s="299"/>
      <c r="O965" s="299"/>
      <c r="P965" s="299"/>
      <c r="Q965" s="299"/>
      <c r="R965" s="299"/>
      <c r="S965" s="299"/>
      <c r="T965" s="299"/>
      <c r="U965" s="299"/>
      <c r="V965" s="299"/>
      <c r="W965" s="299"/>
      <c r="X965" s="299"/>
      <c r="Y965" s="299"/>
      <c r="Z965" s="299"/>
      <c r="AA965" s="299"/>
      <c r="AB965" s="299"/>
      <c r="AC965" s="300"/>
      <c r="AD965" s="300"/>
    </row>
    <row r="966" spans="1:30" ht="12.75" customHeight="1" x14ac:dyDescent="0.2">
      <c r="A966" s="296"/>
      <c r="B966" s="296"/>
      <c r="C966" s="296"/>
      <c r="D966" s="298"/>
      <c r="E966" s="298"/>
      <c r="F966" s="296"/>
      <c r="G966" s="296"/>
      <c r="H966" s="296"/>
      <c r="I966" s="296"/>
      <c r="J966" s="296"/>
      <c r="K966" s="296"/>
      <c r="L966" s="296"/>
      <c r="M966" s="299"/>
      <c r="N966" s="299"/>
      <c r="O966" s="299"/>
      <c r="P966" s="299"/>
      <c r="Q966" s="299"/>
      <c r="R966" s="299"/>
      <c r="S966" s="299"/>
      <c r="T966" s="299"/>
      <c r="U966" s="299"/>
      <c r="V966" s="299"/>
      <c r="W966" s="299"/>
      <c r="X966" s="299"/>
      <c r="Y966" s="299"/>
      <c r="Z966" s="299"/>
      <c r="AA966" s="299"/>
      <c r="AB966" s="299"/>
      <c r="AC966" s="300"/>
      <c r="AD966" s="300"/>
    </row>
    <row r="967" spans="1:30" ht="12.75" customHeight="1" x14ac:dyDescent="0.2">
      <c r="A967" s="296"/>
      <c r="B967" s="296"/>
      <c r="C967" s="296"/>
      <c r="D967" s="298"/>
      <c r="E967" s="298"/>
      <c r="F967" s="296"/>
      <c r="G967" s="296"/>
      <c r="H967" s="296"/>
      <c r="I967" s="296"/>
      <c r="J967" s="296"/>
      <c r="K967" s="296"/>
      <c r="L967" s="296"/>
      <c r="M967" s="299"/>
      <c r="N967" s="299"/>
      <c r="O967" s="299"/>
      <c r="P967" s="299"/>
      <c r="Q967" s="299"/>
      <c r="R967" s="299"/>
      <c r="S967" s="299"/>
      <c r="T967" s="299"/>
      <c r="U967" s="299"/>
      <c r="V967" s="299"/>
      <c r="W967" s="299"/>
      <c r="X967" s="299"/>
      <c r="Y967" s="299"/>
      <c r="Z967" s="299"/>
      <c r="AA967" s="299"/>
      <c r="AB967" s="299"/>
      <c r="AC967" s="300"/>
      <c r="AD967" s="300"/>
    </row>
    <row r="968" spans="1:30" ht="12.75" customHeight="1" x14ac:dyDescent="0.2">
      <c r="A968" s="296"/>
      <c r="B968" s="296"/>
      <c r="C968" s="296"/>
      <c r="D968" s="298"/>
      <c r="E968" s="298"/>
      <c r="F968" s="296"/>
      <c r="G968" s="296"/>
      <c r="H968" s="296"/>
      <c r="I968" s="296"/>
      <c r="J968" s="296"/>
      <c r="K968" s="296"/>
      <c r="L968" s="296"/>
      <c r="M968" s="299"/>
      <c r="N968" s="299"/>
      <c r="O968" s="299"/>
      <c r="P968" s="299"/>
      <c r="Q968" s="299"/>
      <c r="R968" s="299"/>
      <c r="S968" s="299"/>
      <c r="T968" s="299"/>
      <c r="U968" s="299"/>
      <c r="V968" s="299"/>
      <c r="W968" s="299"/>
      <c r="X968" s="299"/>
      <c r="Y968" s="299"/>
      <c r="Z968" s="299"/>
      <c r="AA968" s="299"/>
      <c r="AB968" s="299"/>
      <c r="AC968" s="300"/>
      <c r="AD968" s="300"/>
    </row>
    <row r="969" spans="1:30" ht="12.75" customHeight="1" x14ac:dyDescent="0.2">
      <c r="A969" s="296"/>
      <c r="B969" s="296"/>
      <c r="C969" s="296"/>
      <c r="D969" s="298"/>
      <c r="E969" s="298"/>
      <c r="F969" s="296"/>
      <c r="G969" s="296"/>
      <c r="H969" s="296"/>
      <c r="I969" s="296"/>
      <c r="J969" s="296"/>
      <c r="K969" s="296"/>
      <c r="L969" s="296"/>
      <c r="M969" s="299"/>
      <c r="N969" s="299"/>
      <c r="O969" s="299"/>
      <c r="P969" s="299"/>
      <c r="Q969" s="299"/>
      <c r="R969" s="299"/>
      <c r="S969" s="299"/>
      <c r="T969" s="299"/>
      <c r="U969" s="299"/>
      <c r="V969" s="299"/>
      <c r="W969" s="299"/>
      <c r="X969" s="299"/>
      <c r="Y969" s="299"/>
      <c r="Z969" s="299"/>
      <c r="AA969" s="299"/>
      <c r="AB969" s="299"/>
      <c r="AC969" s="300"/>
      <c r="AD969" s="300"/>
    </row>
    <row r="970" spans="1:30" ht="12.75" customHeight="1" x14ac:dyDescent="0.2">
      <c r="A970" s="296"/>
      <c r="B970" s="296"/>
      <c r="C970" s="296"/>
      <c r="D970" s="298"/>
      <c r="E970" s="298"/>
      <c r="F970" s="296"/>
      <c r="G970" s="296"/>
      <c r="H970" s="296"/>
      <c r="I970" s="296"/>
      <c r="J970" s="296"/>
      <c r="K970" s="296"/>
      <c r="L970" s="296"/>
      <c r="M970" s="299"/>
      <c r="N970" s="299"/>
      <c r="O970" s="299"/>
      <c r="P970" s="299"/>
      <c r="Q970" s="299"/>
      <c r="R970" s="299"/>
      <c r="S970" s="299"/>
      <c r="T970" s="299"/>
      <c r="U970" s="299"/>
      <c r="V970" s="299"/>
      <c r="W970" s="299"/>
      <c r="X970" s="299"/>
      <c r="Y970" s="299"/>
      <c r="Z970" s="299"/>
      <c r="AA970" s="299"/>
      <c r="AB970" s="299"/>
      <c r="AC970" s="300"/>
      <c r="AD970" s="300"/>
    </row>
    <row r="971" spans="1:30" ht="12.75" customHeight="1" x14ac:dyDescent="0.2">
      <c r="A971" s="296"/>
      <c r="B971" s="296"/>
      <c r="C971" s="296"/>
      <c r="D971" s="298"/>
      <c r="E971" s="298"/>
      <c r="F971" s="296"/>
      <c r="G971" s="296"/>
      <c r="H971" s="296"/>
      <c r="I971" s="296"/>
      <c r="J971" s="296"/>
      <c r="K971" s="296"/>
      <c r="L971" s="296"/>
      <c r="M971" s="299"/>
      <c r="N971" s="299"/>
      <c r="O971" s="299"/>
      <c r="P971" s="299"/>
      <c r="Q971" s="299"/>
      <c r="R971" s="299"/>
      <c r="S971" s="299"/>
      <c r="T971" s="299"/>
      <c r="U971" s="299"/>
      <c r="V971" s="299"/>
      <c r="W971" s="299"/>
      <c r="X971" s="299"/>
      <c r="Y971" s="299"/>
      <c r="Z971" s="299"/>
      <c r="AA971" s="299"/>
      <c r="AB971" s="299"/>
      <c r="AC971" s="300"/>
      <c r="AD971" s="300"/>
    </row>
    <row r="972" spans="1:30" ht="12.75" customHeight="1" x14ac:dyDescent="0.2">
      <c r="A972" s="296"/>
      <c r="B972" s="296"/>
      <c r="C972" s="296"/>
      <c r="D972" s="298"/>
      <c r="E972" s="298"/>
      <c r="F972" s="296"/>
      <c r="G972" s="296"/>
      <c r="H972" s="296"/>
      <c r="I972" s="296"/>
      <c r="J972" s="296"/>
      <c r="K972" s="296"/>
      <c r="L972" s="296"/>
      <c r="M972" s="299"/>
      <c r="N972" s="299"/>
      <c r="O972" s="299"/>
      <c r="P972" s="299"/>
      <c r="Q972" s="299"/>
      <c r="R972" s="299"/>
      <c r="S972" s="299"/>
      <c r="T972" s="299"/>
      <c r="U972" s="299"/>
      <c r="V972" s="299"/>
      <c r="W972" s="299"/>
      <c r="X972" s="299"/>
      <c r="Y972" s="299"/>
      <c r="Z972" s="299"/>
      <c r="AA972" s="299"/>
      <c r="AB972" s="299"/>
      <c r="AC972" s="300"/>
      <c r="AD972" s="300"/>
    </row>
    <row r="973" spans="1:30" ht="12.75" customHeight="1" x14ac:dyDescent="0.2">
      <c r="A973" s="296"/>
      <c r="B973" s="296"/>
      <c r="C973" s="296"/>
      <c r="D973" s="298"/>
      <c r="E973" s="298"/>
      <c r="F973" s="296"/>
      <c r="G973" s="296"/>
      <c r="H973" s="296"/>
      <c r="I973" s="296"/>
      <c r="J973" s="296"/>
      <c r="K973" s="296"/>
      <c r="L973" s="296"/>
      <c r="M973" s="299"/>
      <c r="N973" s="299"/>
      <c r="O973" s="299"/>
      <c r="P973" s="299"/>
      <c r="Q973" s="299"/>
      <c r="R973" s="299"/>
      <c r="S973" s="299"/>
      <c r="T973" s="299"/>
      <c r="U973" s="299"/>
      <c r="V973" s="299"/>
      <c r="W973" s="299"/>
      <c r="X973" s="299"/>
      <c r="Y973" s="299"/>
      <c r="Z973" s="299"/>
      <c r="AA973" s="299"/>
      <c r="AB973" s="299"/>
      <c r="AC973" s="300"/>
      <c r="AD973" s="300"/>
    </row>
    <row r="974" spans="1:30" ht="12.75" customHeight="1" x14ac:dyDescent="0.2">
      <c r="A974" s="296"/>
      <c r="B974" s="296"/>
      <c r="C974" s="296"/>
      <c r="D974" s="298"/>
      <c r="E974" s="298"/>
      <c r="F974" s="296"/>
      <c r="G974" s="296"/>
      <c r="H974" s="296"/>
      <c r="I974" s="296"/>
      <c r="J974" s="296"/>
      <c r="K974" s="296"/>
      <c r="L974" s="296"/>
      <c r="M974" s="299"/>
      <c r="N974" s="299"/>
      <c r="O974" s="299"/>
      <c r="P974" s="299"/>
      <c r="Q974" s="299"/>
      <c r="R974" s="299"/>
      <c r="S974" s="299"/>
      <c r="T974" s="299"/>
      <c r="U974" s="299"/>
      <c r="V974" s="299"/>
      <c r="W974" s="299"/>
      <c r="X974" s="299"/>
      <c r="Y974" s="299"/>
      <c r="Z974" s="299"/>
      <c r="AA974" s="299"/>
      <c r="AB974" s="299"/>
      <c r="AC974" s="300"/>
      <c r="AD974" s="300"/>
    </row>
    <row r="975" spans="1:30" ht="12.75" customHeight="1" x14ac:dyDescent="0.2">
      <c r="A975" s="296"/>
      <c r="B975" s="296"/>
      <c r="C975" s="296"/>
      <c r="D975" s="298"/>
      <c r="E975" s="298"/>
      <c r="F975" s="296"/>
      <c r="G975" s="296"/>
      <c r="H975" s="296"/>
      <c r="I975" s="296"/>
      <c r="J975" s="296"/>
      <c r="K975" s="296"/>
      <c r="L975" s="296"/>
      <c r="M975" s="299"/>
      <c r="N975" s="299"/>
      <c r="O975" s="299"/>
      <c r="P975" s="299"/>
      <c r="Q975" s="299"/>
      <c r="R975" s="299"/>
      <c r="S975" s="299"/>
      <c r="T975" s="299"/>
      <c r="U975" s="299"/>
      <c r="V975" s="299"/>
      <c r="W975" s="299"/>
      <c r="X975" s="299"/>
      <c r="Y975" s="299"/>
      <c r="Z975" s="299"/>
      <c r="AA975" s="299"/>
      <c r="AB975" s="299"/>
      <c r="AC975" s="300"/>
      <c r="AD975" s="300"/>
    </row>
    <row r="976" spans="1:30" ht="12.75" customHeight="1" x14ac:dyDescent="0.2">
      <c r="A976" s="296"/>
      <c r="B976" s="296"/>
      <c r="C976" s="296"/>
      <c r="D976" s="298"/>
      <c r="E976" s="298"/>
      <c r="F976" s="296"/>
      <c r="G976" s="296"/>
      <c r="H976" s="296"/>
      <c r="I976" s="296"/>
      <c r="J976" s="296"/>
      <c r="K976" s="296"/>
      <c r="L976" s="296"/>
      <c r="M976" s="299"/>
      <c r="N976" s="299"/>
      <c r="O976" s="299"/>
      <c r="P976" s="299"/>
      <c r="Q976" s="299"/>
      <c r="R976" s="299"/>
      <c r="S976" s="299"/>
      <c r="T976" s="299"/>
      <c r="U976" s="299"/>
      <c r="V976" s="299"/>
      <c r="W976" s="299"/>
      <c r="X976" s="299"/>
      <c r="Y976" s="299"/>
      <c r="Z976" s="299"/>
      <c r="AA976" s="299"/>
      <c r="AB976" s="299"/>
      <c r="AC976" s="300"/>
      <c r="AD976" s="300"/>
    </row>
    <row r="977" spans="1:30" ht="12.75" customHeight="1" x14ac:dyDescent="0.2">
      <c r="A977" s="296"/>
      <c r="B977" s="296"/>
      <c r="C977" s="296"/>
      <c r="D977" s="298"/>
      <c r="E977" s="298"/>
      <c r="F977" s="296"/>
      <c r="G977" s="296"/>
      <c r="H977" s="296"/>
      <c r="I977" s="296"/>
      <c r="J977" s="296"/>
      <c r="K977" s="296"/>
      <c r="L977" s="296"/>
      <c r="M977" s="299"/>
      <c r="N977" s="299"/>
      <c r="O977" s="299"/>
      <c r="P977" s="299"/>
      <c r="Q977" s="299"/>
      <c r="R977" s="299"/>
      <c r="S977" s="299"/>
      <c r="T977" s="299"/>
      <c r="U977" s="299"/>
      <c r="V977" s="299"/>
      <c r="W977" s="299"/>
      <c r="X977" s="299"/>
      <c r="Y977" s="299"/>
      <c r="Z977" s="299"/>
      <c r="AA977" s="299"/>
      <c r="AB977" s="299"/>
      <c r="AC977" s="300"/>
      <c r="AD977" s="300"/>
    </row>
    <row r="978" spans="1:30" ht="12.75" customHeight="1" x14ac:dyDescent="0.2">
      <c r="A978" s="296"/>
      <c r="B978" s="296"/>
      <c r="C978" s="296"/>
      <c r="D978" s="298"/>
      <c r="E978" s="298"/>
      <c r="F978" s="296"/>
      <c r="G978" s="296"/>
      <c r="H978" s="296"/>
      <c r="I978" s="296"/>
      <c r="J978" s="296"/>
      <c r="K978" s="296"/>
      <c r="L978" s="296"/>
      <c r="M978" s="299"/>
      <c r="N978" s="299"/>
      <c r="O978" s="299"/>
      <c r="P978" s="299"/>
      <c r="Q978" s="299"/>
      <c r="R978" s="299"/>
      <c r="S978" s="299"/>
      <c r="T978" s="299"/>
      <c r="U978" s="299"/>
      <c r="V978" s="299"/>
      <c r="W978" s="299"/>
      <c r="X978" s="299"/>
      <c r="Y978" s="299"/>
      <c r="Z978" s="299"/>
      <c r="AA978" s="299"/>
      <c r="AB978" s="299"/>
      <c r="AC978" s="300"/>
      <c r="AD978" s="300"/>
    </row>
    <row r="979" spans="1:30" ht="12.75" customHeight="1" x14ac:dyDescent="0.2">
      <c r="A979" s="296"/>
      <c r="B979" s="296"/>
      <c r="C979" s="296"/>
      <c r="D979" s="298"/>
      <c r="E979" s="298"/>
      <c r="F979" s="296"/>
      <c r="G979" s="296"/>
      <c r="H979" s="296"/>
      <c r="I979" s="296"/>
      <c r="J979" s="296"/>
      <c r="K979" s="296"/>
      <c r="L979" s="296"/>
      <c r="M979" s="299"/>
      <c r="N979" s="299"/>
      <c r="O979" s="299"/>
      <c r="P979" s="299"/>
      <c r="Q979" s="299"/>
      <c r="R979" s="299"/>
      <c r="S979" s="299"/>
      <c r="T979" s="299"/>
      <c r="U979" s="299"/>
      <c r="V979" s="299"/>
      <c r="W979" s="299"/>
      <c r="X979" s="299"/>
      <c r="Y979" s="299"/>
      <c r="Z979" s="299"/>
      <c r="AA979" s="299"/>
      <c r="AB979" s="299"/>
      <c r="AC979" s="300"/>
      <c r="AD979" s="300"/>
    </row>
    <row r="980" spans="1:30" ht="12.75" customHeight="1" x14ac:dyDescent="0.2">
      <c r="A980" s="296"/>
      <c r="B980" s="296"/>
      <c r="C980" s="296"/>
      <c r="D980" s="298"/>
      <c r="E980" s="298"/>
      <c r="F980" s="296"/>
      <c r="G980" s="296"/>
      <c r="H980" s="296"/>
      <c r="I980" s="296"/>
      <c r="J980" s="296"/>
      <c r="K980" s="296"/>
      <c r="L980" s="296"/>
      <c r="M980" s="299"/>
      <c r="N980" s="299"/>
      <c r="O980" s="299"/>
      <c r="P980" s="299"/>
      <c r="Q980" s="299"/>
      <c r="R980" s="299"/>
      <c r="S980" s="299"/>
      <c r="T980" s="299"/>
      <c r="U980" s="299"/>
      <c r="V980" s="299"/>
      <c r="W980" s="299"/>
      <c r="X980" s="299"/>
      <c r="Y980" s="299"/>
      <c r="Z980" s="299"/>
      <c r="AA980" s="299"/>
      <c r="AB980" s="299"/>
      <c r="AC980" s="300"/>
      <c r="AD980" s="300"/>
    </row>
    <row r="981" spans="1:30" ht="12.75" customHeight="1" x14ac:dyDescent="0.2">
      <c r="A981" s="296"/>
      <c r="B981" s="296"/>
      <c r="C981" s="296"/>
      <c r="D981" s="298"/>
      <c r="E981" s="298"/>
      <c r="F981" s="296"/>
      <c r="G981" s="296"/>
      <c r="H981" s="296"/>
      <c r="I981" s="296"/>
      <c r="J981" s="296"/>
      <c r="K981" s="296"/>
      <c r="L981" s="296"/>
      <c r="M981" s="299"/>
      <c r="N981" s="299"/>
      <c r="O981" s="299"/>
      <c r="P981" s="299"/>
      <c r="Q981" s="299"/>
      <c r="R981" s="299"/>
      <c r="S981" s="299"/>
      <c r="T981" s="299"/>
      <c r="U981" s="299"/>
      <c r="V981" s="299"/>
      <c r="W981" s="299"/>
      <c r="X981" s="299"/>
      <c r="Y981" s="299"/>
      <c r="Z981" s="299"/>
      <c r="AA981" s="299"/>
      <c r="AB981" s="299"/>
      <c r="AC981" s="300"/>
      <c r="AD981" s="300"/>
    </row>
  </sheetData>
  <mergeCells count="36">
    <mergeCell ref="A35:A37"/>
    <mergeCell ref="B35:B37"/>
    <mergeCell ref="C35:C37"/>
    <mergeCell ref="A38:A40"/>
    <mergeCell ref="B38:B40"/>
    <mergeCell ref="C38:C40"/>
    <mergeCell ref="A25:A28"/>
    <mergeCell ref="B25:B28"/>
    <mergeCell ref="C25:C28"/>
    <mergeCell ref="A29:A34"/>
    <mergeCell ref="B29:B34"/>
    <mergeCell ref="C29:C34"/>
    <mergeCell ref="A18:A22"/>
    <mergeCell ref="B18:B22"/>
    <mergeCell ref="C18:C22"/>
    <mergeCell ref="A23:A24"/>
    <mergeCell ref="B23:B24"/>
    <mergeCell ref="C23:C24"/>
    <mergeCell ref="A9:A12"/>
    <mergeCell ref="B9:B12"/>
    <mergeCell ref="C9:C12"/>
    <mergeCell ref="A13:A17"/>
    <mergeCell ref="B13:B17"/>
    <mergeCell ref="C13:C17"/>
    <mergeCell ref="A6:C6"/>
    <mergeCell ref="D6:AD6"/>
    <mergeCell ref="A7:L7"/>
    <mergeCell ref="M7:Y7"/>
    <mergeCell ref="Z7:AB7"/>
    <mergeCell ref="AC7:AD7"/>
    <mergeCell ref="A1:C4"/>
    <mergeCell ref="D1:AB4"/>
    <mergeCell ref="AC1:AD2"/>
    <mergeCell ref="AC3:AD4"/>
    <mergeCell ref="A5:C5"/>
    <mergeCell ref="D5:AD5"/>
  </mergeCells>
  <dataValidations count="9">
    <dataValidation type="list" allowBlank="1" showErrorMessage="1" sqref="G9:G40" xr:uid="{00000000-0002-0000-2700-000000000000}">
      <formula1>"Adecuado,Inadecuado,Seleccione"</formula1>
    </dataValidation>
    <dataValidation type="list" allowBlank="1" showErrorMessage="1" sqref="L9:L40" xr:uid="{00000000-0002-0000-2700-000001000000}">
      <formula1>"Completa,Incompleta,No existe,Seleccione"</formula1>
    </dataValidation>
    <dataValidation type="list" allowBlank="1" showErrorMessage="1" sqref="H9:H40" xr:uid="{00000000-0002-0000-2700-000002000000}">
      <formula1>"Oportuna,Inoportuna,Seleccione"</formula1>
    </dataValidation>
    <dataValidation type="list" allowBlank="1" showErrorMessage="1" sqref="U9:V40" xr:uid="{00000000-0002-0000-2700-000003000000}">
      <formula1>"SI,NO,Seleccione"</formula1>
    </dataValidation>
    <dataValidation type="list" allowBlank="1" showErrorMessage="1" sqref="Z9:Z40" xr:uid="{00000000-0002-0000-2700-000004000000}">
      <formula1>"Siempre se ejecuta,Algunas veces se ejecuta,No se ejecuta,Seleccione"</formula1>
    </dataValidation>
    <dataValidation type="list" allowBlank="1" showErrorMessage="1" sqref="K9:K40" xr:uid="{00000000-0002-0000-2700-000005000000}">
      <formula1>"Se investigan y resuelven oportunamente,No se investigan y resuelven oportunamente,Seleccione"</formula1>
    </dataValidation>
    <dataValidation type="list" allowBlank="1" showErrorMessage="1" sqref="F9:F40" xr:uid="{00000000-0002-0000-2700-000006000000}">
      <formula1>"Asignado,No asignado,Seleccione"</formula1>
    </dataValidation>
    <dataValidation type="list" allowBlank="1" showErrorMessage="1" sqref="J9:J40" xr:uid="{00000000-0002-0000-2700-000007000000}">
      <formula1>"Confiable,No Confiable,Seleccione"</formula1>
    </dataValidation>
    <dataValidation type="list" allowBlank="1" showErrorMessage="1" sqref="I9:I40" xr:uid="{00000000-0002-0000-2700-000008000000}">
      <formula1>"Prevenir,Detectar,No es un control,Seleccione"</formula1>
    </dataValidation>
  </dataValidations>
  <pageMargins left="0.11811023622047245" right="0.11811023622047245" top="1.1417322834645669" bottom="0.74803149606299213" header="0" footer="0"/>
  <pageSetup orientation="landscape" r:id="rId1"/>
  <headerFooter>
    <oddHeader>&amp;C Matriz de Riesgos</oddHeader>
  </headerFooter>
  <rowBreaks count="3" manualBreakCount="3">
    <brk id="17" man="1"/>
    <brk id="22" man="1"/>
    <brk id="28" man="1"/>
  </rowBreaks>
  <colBreaks count="1" manualBreakCount="1">
    <brk id="12" man="1"/>
  </colBreaks>
  <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X13"/>
  <sheetViews>
    <sheetView showGridLines="0" workbookViewId="0">
      <selection activeCell="D5" sqref="D5"/>
    </sheetView>
  </sheetViews>
  <sheetFormatPr baseColWidth="10" defaultRowHeight="14.25" x14ac:dyDescent="0.2"/>
  <cols>
    <col min="1" max="1" width="3.625" style="628" customWidth="1"/>
    <col min="2" max="2" width="26.625" style="626" customWidth="1"/>
    <col min="3" max="3" width="38.875" style="626" customWidth="1"/>
    <col min="4" max="4" width="38.5" style="626" customWidth="1"/>
    <col min="5" max="5" width="20.5" style="626" customWidth="1"/>
    <col min="6" max="6" width="25.875" style="626" customWidth="1"/>
    <col min="7" max="7" width="23" style="626" customWidth="1"/>
    <col min="8" max="9" width="19.375" style="626" customWidth="1"/>
    <col min="10" max="10" width="19.375" style="628" customWidth="1"/>
    <col min="11" max="11" width="18.25" style="651" customWidth="1"/>
    <col min="12" max="12" width="41.625" style="626" customWidth="1"/>
    <col min="13" max="13" width="27.25" style="626" customWidth="1"/>
    <col min="14" max="15" width="10.75" style="626" customWidth="1"/>
    <col min="16" max="16" width="27.25" style="626" customWidth="1"/>
    <col min="17" max="22" width="25.75" style="626" customWidth="1"/>
    <col min="23" max="23" width="33.5" style="626" customWidth="1"/>
    <col min="24" max="24" width="45.625" style="626" customWidth="1"/>
    <col min="25" max="16384" width="11" style="626"/>
  </cols>
  <sheetData>
    <row r="1" spans="1:24" ht="51" customHeight="1" x14ac:dyDescent="0.2">
      <c r="A1" s="1412"/>
      <c r="B1" s="1412"/>
      <c r="C1" s="1412"/>
      <c r="D1" s="1413" t="s">
        <v>314</v>
      </c>
      <c r="E1" s="1414"/>
      <c r="F1" s="1414"/>
      <c r="G1" s="1414"/>
      <c r="H1" s="1414"/>
      <c r="I1" s="1414"/>
      <c r="J1" s="1414"/>
      <c r="K1" s="1414"/>
      <c r="L1" s="1414"/>
      <c r="M1" s="1414"/>
      <c r="N1" s="1414"/>
      <c r="O1" s="1414"/>
      <c r="P1" s="1414"/>
      <c r="Q1" s="1414"/>
      <c r="R1" s="1414"/>
      <c r="S1" s="1414"/>
      <c r="T1" s="1414"/>
      <c r="U1" s="1414"/>
      <c r="V1" s="1415"/>
      <c r="W1" s="624" t="s">
        <v>315</v>
      </c>
      <c r="X1" s="625"/>
    </row>
    <row r="2" spans="1:24" ht="51" customHeight="1" x14ac:dyDescent="0.2">
      <c r="A2" s="1412"/>
      <c r="B2" s="1412"/>
      <c r="C2" s="1412"/>
      <c r="D2" s="1416"/>
      <c r="E2" s="1417"/>
      <c r="F2" s="1417"/>
      <c r="G2" s="1417"/>
      <c r="H2" s="1417"/>
      <c r="I2" s="1417"/>
      <c r="J2" s="1417"/>
      <c r="K2" s="1417"/>
      <c r="L2" s="1417"/>
      <c r="M2" s="1417"/>
      <c r="N2" s="1417"/>
      <c r="O2" s="1417"/>
      <c r="P2" s="1417"/>
      <c r="Q2" s="1417"/>
      <c r="R2" s="1417"/>
      <c r="S2" s="1417"/>
      <c r="T2" s="1417"/>
      <c r="U2" s="1417"/>
      <c r="V2" s="1418"/>
      <c r="W2" s="624" t="s">
        <v>316</v>
      </c>
      <c r="X2" s="625"/>
    </row>
    <row r="3" spans="1:24" s="628" customFormat="1" ht="30" x14ac:dyDescent="0.2">
      <c r="A3" s="1419" t="s">
        <v>57</v>
      </c>
      <c r="B3" s="1420"/>
      <c r="C3" s="1420"/>
      <c r="D3" s="1420"/>
      <c r="E3" s="1420"/>
      <c r="F3" s="1420"/>
      <c r="G3" s="1421"/>
      <c r="H3" s="1422"/>
      <c r="I3" s="1422"/>
      <c r="J3" s="1422"/>
      <c r="K3" s="1422"/>
      <c r="L3" s="1423" t="s">
        <v>60</v>
      </c>
      <c r="M3" s="1422"/>
      <c r="N3" s="1422"/>
      <c r="O3" s="1422"/>
      <c r="P3" s="1424"/>
      <c r="Q3" s="1425" t="s">
        <v>61</v>
      </c>
      <c r="R3" s="1426"/>
      <c r="S3" s="1426"/>
      <c r="T3" s="1426"/>
      <c r="U3" s="1426"/>
      <c r="V3" s="1427"/>
      <c r="W3" s="627" t="s">
        <v>62</v>
      </c>
      <c r="X3" s="627" t="s">
        <v>63</v>
      </c>
    </row>
    <row r="4" spans="1:24" s="634" customFormat="1" ht="38.25" x14ac:dyDescent="0.2">
      <c r="A4" s="629" t="s">
        <v>44</v>
      </c>
      <c r="B4" s="630" t="s">
        <v>64</v>
      </c>
      <c r="C4" s="630" t="s">
        <v>65</v>
      </c>
      <c r="D4" s="630" t="s">
        <v>317</v>
      </c>
      <c r="E4" s="630" t="s">
        <v>68</v>
      </c>
      <c r="F4" s="630" t="s">
        <v>69</v>
      </c>
      <c r="G4" s="631" t="s">
        <v>71</v>
      </c>
      <c r="H4" s="630" t="s">
        <v>81</v>
      </c>
      <c r="I4" s="630" t="s">
        <v>82</v>
      </c>
      <c r="J4" s="630" t="s">
        <v>83</v>
      </c>
      <c r="K4" s="632" t="s">
        <v>84</v>
      </c>
      <c r="L4" s="629" t="s">
        <v>85</v>
      </c>
      <c r="M4" s="630" t="s">
        <v>86</v>
      </c>
      <c r="N4" s="630" t="s">
        <v>87</v>
      </c>
      <c r="O4" s="630" t="s">
        <v>88</v>
      </c>
      <c r="P4" s="631" t="s">
        <v>89</v>
      </c>
      <c r="Q4" s="629" t="s">
        <v>90</v>
      </c>
      <c r="R4" s="630" t="s">
        <v>91</v>
      </c>
      <c r="S4" s="630" t="s">
        <v>92</v>
      </c>
      <c r="T4" s="630" t="s">
        <v>91</v>
      </c>
      <c r="U4" s="630" t="s">
        <v>93</v>
      </c>
      <c r="V4" s="631" t="s">
        <v>91</v>
      </c>
      <c r="W4" s="633" t="s">
        <v>94</v>
      </c>
      <c r="X4" s="633" t="s">
        <v>95</v>
      </c>
    </row>
    <row r="5" spans="1:24" ht="197.25" customHeight="1" x14ac:dyDescent="0.2">
      <c r="A5" s="635">
        <v>1</v>
      </c>
      <c r="B5" s="384" t="s">
        <v>530</v>
      </c>
      <c r="C5" s="385" t="s">
        <v>532</v>
      </c>
      <c r="D5" s="636" t="s">
        <v>533</v>
      </c>
      <c r="E5" s="637" t="s">
        <v>237</v>
      </c>
      <c r="F5" s="637" t="s">
        <v>204</v>
      </c>
      <c r="G5" s="638" t="s">
        <v>151</v>
      </c>
      <c r="H5" s="639" t="s">
        <v>237</v>
      </c>
      <c r="I5" s="639" t="s">
        <v>204</v>
      </c>
      <c r="J5" s="638" t="s">
        <v>151</v>
      </c>
      <c r="K5" s="640" t="s">
        <v>202</v>
      </c>
      <c r="L5" s="641" t="s">
        <v>568</v>
      </c>
      <c r="M5" s="642" t="s">
        <v>569</v>
      </c>
      <c r="N5" s="643">
        <v>43831</v>
      </c>
      <c r="O5" s="643">
        <v>44561</v>
      </c>
      <c r="P5" s="644" t="s">
        <v>570</v>
      </c>
      <c r="Q5" s="645"/>
      <c r="R5" s="645"/>
      <c r="S5" s="645"/>
      <c r="T5" s="645"/>
      <c r="U5" s="645"/>
      <c r="V5" s="645"/>
      <c r="W5" s="645"/>
      <c r="X5" s="645"/>
    </row>
    <row r="6" spans="1:24" ht="194.25" customHeight="1" x14ac:dyDescent="0.2">
      <c r="A6" s="635">
        <v>2</v>
      </c>
      <c r="B6" s="384" t="s">
        <v>534</v>
      </c>
      <c r="C6" s="385" t="s">
        <v>536</v>
      </c>
      <c r="D6" s="636" t="s">
        <v>537</v>
      </c>
      <c r="E6" s="637" t="s">
        <v>237</v>
      </c>
      <c r="F6" s="637" t="s">
        <v>204</v>
      </c>
      <c r="G6" s="638" t="s">
        <v>151</v>
      </c>
      <c r="H6" s="639" t="s">
        <v>237</v>
      </c>
      <c r="I6" s="639" t="s">
        <v>204</v>
      </c>
      <c r="J6" s="638" t="s">
        <v>151</v>
      </c>
      <c r="K6" s="640" t="s">
        <v>202</v>
      </c>
      <c r="L6" s="646" t="s">
        <v>577</v>
      </c>
      <c r="M6" s="647" t="s">
        <v>578</v>
      </c>
      <c r="N6" s="648">
        <v>43831</v>
      </c>
      <c r="O6" s="648">
        <v>44561</v>
      </c>
      <c r="P6" s="640" t="s">
        <v>579</v>
      </c>
      <c r="Q6" s="645"/>
      <c r="R6" s="645"/>
      <c r="S6" s="645"/>
      <c r="T6" s="645"/>
      <c r="U6" s="645"/>
      <c r="V6" s="645"/>
      <c r="W6" s="645"/>
      <c r="X6" s="645"/>
    </row>
    <row r="7" spans="1:24" ht="99" customHeight="1" x14ac:dyDescent="0.2">
      <c r="A7" s="635">
        <v>3</v>
      </c>
      <c r="B7" s="386" t="s">
        <v>538</v>
      </c>
      <c r="C7" s="387" t="s">
        <v>540</v>
      </c>
      <c r="D7" s="636" t="s">
        <v>541</v>
      </c>
      <c r="E7" s="637" t="s">
        <v>224</v>
      </c>
      <c r="F7" s="637" t="s">
        <v>204</v>
      </c>
      <c r="G7" s="638" t="s">
        <v>151</v>
      </c>
      <c r="H7" s="649" t="s">
        <v>237</v>
      </c>
      <c r="I7" s="649" t="s">
        <v>226</v>
      </c>
      <c r="J7" s="638" t="s">
        <v>152</v>
      </c>
      <c r="K7" s="650" t="s">
        <v>187</v>
      </c>
      <c r="L7" s="646"/>
      <c r="M7" s="647"/>
      <c r="N7" s="648"/>
      <c r="O7" s="648"/>
      <c r="P7" s="640"/>
      <c r="Q7" s="645"/>
      <c r="R7" s="645"/>
      <c r="S7" s="645"/>
      <c r="T7" s="645"/>
      <c r="U7" s="645"/>
      <c r="V7" s="645"/>
      <c r="W7" s="645"/>
      <c r="X7" s="645"/>
    </row>
    <row r="8" spans="1:24" ht="91.5" customHeight="1" x14ac:dyDescent="0.2">
      <c r="A8" s="635">
        <v>4</v>
      </c>
      <c r="B8" s="386" t="s">
        <v>542</v>
      </c>
      <c r="C8" s="385" t="s">
        <v>544</v>
      </c>
      <c r="D8" s="636" t="s">
        <v>545</v>
      </c>
      <c r="E8" s="637" t="s">
        <v>224</v>
      </c>
      <c r="F8" s="637" t="s">
        <v>226</v>
      </c>
      <c r="G8" s="638" t="s">
        <v>152</v>
      </c>
      <c r="H8" s="649" t="s">
        <v>237</v>
      </c>
      <c r="I8" s="649" t="s">
        <v>226</v>
      </c>
      <c r="J8" s="638" t="s">
        <v>152</v>
      </c>
      <c r="K8" s="650" t="s">
        <v>187</v>
      </c>
      <c r="L8" s="646"/>
      <c r="M8" s="647"/>
      <c r="N8" s="648"/>
      <c r="O8" s="648"/>
      <c r="P8" s="640"/>
      <c r="Q8" s="645"/>
      <c r="R8" s="645"/>
      <c r="S8" s="645"/>
      <c r="T8" s="645"/>
      <c r="U8" s="645"/>
      <c r="V8" s="645"/>
      <c r="W8" s="645"/>
      <c r="X8" s="645"/>
    </row>
    <row r="9" spans="1:24" ht="140.25" x14ac:dyDescent="0.2">
      <c r="A9" s="635">
        <v>5</v>
      </c>
      <c r="B9" s="386" t="s">
        <v>546</v>
      </c>
      <c r="C9" s="385" t="s">
        <v>548</v>
      </c>
      <c r="D9" s="636" t="s">
        <v>549</v>
      </c>
      <c r="E9" s="637" t="s">
        <v>224</v>
      </c>
      <c r="F9" s="637" t="s">
        <v>226</v>
      </c>
      <c r="G9" s="638" t="s">
        <v>152</v>
      </c>
      <c r="H9" s="649" t="s">
        <v>237</v>
      </c>
      <c r="I9" s="649" t="s">
        <v>226</v>
      </c>
      <c r="J9" s="638" t="s">
        <v>152</v>
      </c>
      <c r="K9" s="650" t="s">
        <v>187</v>
      </c>
      <c r="L9" s="646"/>
      <c r="M9" s="647"/>
      <c r="N9" s="648"/>
      <c r="O9" s="648"/>
      <c r="P9" s="640"/>
      <c r="Q9" s="645"/>
      <c r="R9" s="645"/>
      <c r="S9" s="645"/>
      <c r="T9" s="645"/>
      <c r="U9" s="645"/>
      <c r="V9" s="645"/>
      <c r="W9" s="645"/>
      <c r="X9" s="645"/>
    </row>
    <row r="10" spans="1:24" ht="99.75" x14ac:dyDescent="0.2">
      <c r="A10" s="1428">
        <v>6</v>
      </c>
      <c r="B10" s="1430" t="s">
        <v>550</v>
      </c>
      <c r="C10" s="1430" t="s">
        <v>552</v>
      </c>
      <c r="D10" s="1432" t="s">
        <v>553</v>
      </c>
      <c r="E10" s="1410" t="s">
        <v>237</v>
      </c>
      <c r="F10" s="1410" t="s">
        <v>199</v>
      </c>
      <c r="G10" s="1434" t="s">
        <v>149</v>
      </c>
      <c r="H10" s="1436" t="s">
        <v>237</v>
      </c>
      <c r="I10" s="1436" t="s">
        <v>204</v>
      </c>
      <c r="J10" s="1434" t="s">
        <v>151</v>
      </c>
      <c r="K10" s="1410" t="s">
        <v>202</v>
      </c>
      <c r="L10" s="646" t="s">
        <v>610</v>
      </c>
      <c r="M10" s="647" t="s">
        <v>578</v>
      </c>
      <c r="N10" s="648">
        <v>43831</v>
      </c>
      <c r="O10" s="648">
        <v>44561</v>
      </c>
      <c r="P10" s="640" t="s">
        <v>611</v>
      </c>
      <c r="Q10" s="645"/>
      <c r="R10" s="645"/>
      <c r="S10" s="645"/>
      <c r="T10" s="645"/>
      <c r="U10" s="645"/>
      <c r="V10" s="645"/>
      <c r="W10" s="645"/>
      <c r="X10" s="645"/>
    </row>
    <row r="11" spans="1:24" ht="78" customHeight="1" x14ac:dyDescent="0.2">
      <c r="A11" s="1429"/>
      <c r="B11" s="1431"/>
      <c r="C11" s="1431"/>
      <c r="D11" s="1433"/>
      <c r="E11" s="1411"/>
      <c r="F11" s="1411"/>
      <c r="G11" s="1435"/>
      <c r="H11" s="1437"/>
      <c r="I11" s="1437"/>
      <c r="J11" s="1435"/>
      <c r="K11" s="1411"/>
      <c r="L11" s="646" t="s">
        <v>614</v>
      </c>
      <c r="M11" s="647" t="s">
        <v>578</v>
      </c>
      <c r="N11" s="648">
        <v>43831</v>
      </c>
      <c r="O11" s="648">
        <v>44561</v>
      </c>
      <c r="P11" s="640" t="s">
        <v>615</v>
      </c>
      <c r="Q11" s="645"/>
      <c r="R11" s="645"/>
      <c r="S11" s="645"/>
      <c r="T11" s="645"/>
      <c r="U11" s="645"/>
      <c r="V11" s="645"/>
      <c r="W11" s="645"/>
      <c r="X11" s="645"/>
    </row>
    <row r="12" spans="1:24" ht="120.75" customHeight="1" x14ac:dyDescent="0.2">
      <c r="A12" s="635">
        <v>7</v>
      </c>
      <c r="B12" s="386" t="s">
        <v>554</v>
      </c>
      <c r="C12" s="385" t="s">
        <v>556</v>
      </c>
      <c r="D12" s="636" t="s">
        <v>557</v>
      </c>
      <c r="E12" s="637" t="s">
        <v>224</v>
      </c>
      <c r="F12" s="637" t="s">
        <v>199</v>
      </c>
      <c r="G12" s="638" t="s">
        <v>149</v>
      </c>
      <c r="H12" s="649" t="s">
        <v>237</v>
      </c>
      <c r="I12" s="649" t="s">
        <v>204</v>
      </c>
      <c r="J12" s="638" t="s">
        <v>151</v>
      </c>
      <c r="K12" s="650" t="s">
        <v>202</v>
      </c>
      <c r="L12" s="646" t="s">
        <v>618</v>
      </c>
      <c r="M12" s="647" t="s">
        <v>578</v>
      </c>
      <c r="N12" s="648">
        <v>43831</v>
      </c>
      <c r="O12" s="648">
        <v>44561</v>
      </c>
      <c r="P12" s="640" t="s">
        <v>619</v>
      </c>
      <c r="Q12" s="645"/>
      <c r="R12" s="645"/>
      <c r="S12" s="645"/>
      <c r="T12" s="645"/>
      <c r="U12" s="645"/>
      <c r="V12" s="645"/>
      <c r="W12" s="645"/>
      <c r="X12" s="645"/>
    </row>
    <row r="13" spans="1:24" ht="125.25" customHeight="1" x14ac:dyDescent="0.2">
      <c r="A13" s="635">
        <v>8</v>
      </c>
      <c r="B13" s="386" t="s">
        <v>558</v>
      </c>
      <c r="C13" s="385" t="s">
        <v>560</v>
      </c>
      <c r="D13" s="636" t="s">
        <v>561</v>
      </c>
      <c r="E13" s="637" t="s">
        <v>237</v>
      </c>
      <c r="F13" s="637" t="s">
        <v>204</v>
      </c>
      <c r="G13" s="638" t="s">
        <v>151</v>
      </c>
      <c r="H13" s="649" t="s">
        <v>237</v>
      </c>
      <c r="I13" s="649" t="s">
        <v>226</v>
      </c>
      <c r="J13" s="638" t="s">
        <v>152</v>
      </c>
      <c r="K13" s="650" t="s">
        <v>187</v>
      </c>
      <c r="L13" s="646"/>
      <c r="M13" s="647"/>
      <c r="N13" s="648"/>
      <c r="O13" s="648"/>
      <c r="P13" s="640"/>
      <c r="Q13" s="645"/>
      <c r="R13" s="645"/>
      <c r="S13" s="645"/>
      <c r="T13" s="645"/>
      <c r="U13" s="645"/>
      <c r="V13" s="645"/>
      <c r="W13" s="645"/>
      <c r="X13" s="645"/>
    </row>
  </sheetData>
  <mergeCells count="17">
    <mergeCell ref="K10:K11"/>
    <mergeCell ref="F10:F11"/>
    <mergeCell ref="A1:C2"/>
    <mergeCell ref="D1:V2"/>
    <mergeCell ref="A3:G3"/>
    <mergeCell ref="H3:K3"/>
    <mergeCell ref="L3:P3"/>
    <mergeCell ref="Q3:V3"/>
    <mergeCell ref="A10:A11"/>
    <mergeCell ref="B10:B11"/>
    <mergeCell ref="C10:C11"/>
    <mergeCell ref="D10:D11"/>
    <mergeCell ref="E10:E11"/>
    <mergeCell ref="G10:G11"/>
    <mergeCell ref="H10:H11"/>
    <mergeCell ref="I10:I11"/>
    <mergeCell ref="J10:J11"/>
  </mergeCells>
  <conditionalFormatting sqref="J5 J7:J10 J12">
    <cfRule type="cellIs" dxfId="155" priority="17" operator="equal">
      <formula>"Extremo"</formula>
    </cfRule>
    <cfRule type="cellIs" dxfId="154" priority="18" operator="equal">
      <formula>"Moderado"</formula>
    </cfRule>
    <cfRule type="cellIs" dxfId="153" priority="19" operator="equal">
      <formula>"Bajo"</formula>
    </cfRule>
    <cfRule type="cellIs" dxfId="152" priority="20" operator="equal">
      <formula>"Alto"</formula>
    </cfRule>
  </conditionalFormatting>
  <conditionalFormatting sqref="J13">
    <cfRule type="cellIs" dxfId="151" priority="13" operator="equal">
      <formula>"Extremo"</formula>
    </cfRule>
    <cfRule type="cellIs" dxfId="150" priority="14" operator="equal">
      <formula>"Moderado"</formula>
    </cfRule>
    <cfRule type="cellIs" dxfId="149" priority="15" operator="equal">
      <formula>"Bajo"</formula>
    </cfRule>
    <cfRule type="cellIs" dxfId="148" priority="16" operator="equal">
      <formula>"Alto"</formula>
    </cfRule>
  </conditionalFormatting>
  <conditionalFormatting sqref="G5">
    <cfRule type="cellIs" dxfId="147" priority="9" operator="equal">
      <formula>"Extremo"</formula>
    </cfRule>
    <cfRule type="cellIs" dxfId="146" priority="10" operator="equal">
      <formula>"Moderado"</formula>
    </cfRule>
    <cfRule type="cellIs" dxfId="145" priority="11" operator="equal">
      <formula>"Bajo"</formula>
    </cfRule>
    <cfRule type="cellIs" dxfId="144" priority="12" operator="equal">
      <formula>"Alto"</formula>
    </cfRule>
  </conditionalFormatting>
  <conditionalFormatting sqref="G6:G10 G12:G13">
    <cfRule type="cellIs" dxfId="143" priority="5" operator="equal">
      <formula>"Extremo"</formula>
    </cfRule>
    <cfRule type="cellIs" dxfId="142" priority="6" operator="equal">
      <formula>"Moderado"</formula>
    </cfRule>
    <cfRule type="cellIs" dxfId="141" priority="7" operator="equal">
      <formula>"Bajo"</formula>
    </cfRule>
    <cfRule type="cellIs" dxfId="140" priority="8" operator="equal">
      <formula>"Alto"</formula>
    </cfRule>
  </conditionalFormatting>
  <conditionalFormatting sqref="J6">
    <cfRule type="cellIs" dxfId="139" priority="1" operator="equal">
      <formula>"Extremo"</formula>
    </cfRule>
    <cfRule type="cellIs" dxfId="138" priority="2" operator="equal">
      <formula>"Moderado"</formula>
    </cfRule>
    <cfRule type="cellIs" dxfId="137" priority="3" operator="equal">
      <formula>"Bajo"</formula>
    </cfRule>
    <cfRule type="cellIs" dxfId="136" priority="4" operator="equal">
      <formula>"Alto"</formula>
    </cfRule>
  </conditionalFormatting>
  <pageMargins left="0.7" right="0.7" top="0.75" bottom="0.75" header="0.3" footer="0.3"/>
  <drawing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E23"/>
  <sheetViews>
    <sheetView showGridLines="0" topLeftCell="D7" zoomScale="160" zoomScaleNormal="160" zoomScaleSheetLayoutView="115" zoomScalePageLayoutView="90" workbookViewId="0">
      <selection activeCell="H7" sqref="H7"/>
    </sheetView>
  </sheetViews>
  <sheetFormatPr baseColWidth="10" defaultRowHeight="15" x14ac:dyDescent="0.25"/>
  <cols>
    <col min="1" max="1" width="20.375" style="151" customWidth="1"/>
    <col min="2" max="2" width="76.375" style="151" customWidth="1"/>
    <col min="3" max="3" width="105.125" style="151" customWidth="1"/>
    <col min="4" max="4" width="17.625" style="151" customWidth="1"/>
    <col min="5" max="5" width="56.75" style="151" customWidth="1"/>
    <col min="6" max="16384" width="11" style="151"/>
  </cols>
  <sheetData>
    <row r="1" spans="1:5" x14ac:dyDescent="0.25">
      <c r="A1" s="1096"/>
      <c r="B1" s="1097" t="s">
        <v>0</v>
      </c>
      <c r="C1" s="1097"/>
      <c r="D1" s="1097"/>
      <c r="E1" s="1098" t="s">
        <v>29</v>
      </c>
    </row>
    <row r="2" spans="1:5" x14ac:dyDescent="0.25">
      <c r="A2" s="1096"/>
      <c r="B2" s="1097"/>
      <c r="C2" s="1097"/>
      <c r="D2" s="1097"/>
      <c r="E2" s="1098"/>
    </row>
    <row r="3" spans="1:5" x14ac:dyDescent="0.25">
      <c r="A3" s="1096"/>
      <c r="B3" s="1097"/>
      <c r="C3" s="1097"/>
      <c r="D3" s="1097"/>
      <c r="E3" s="1099" t="s">
        <v>2</v>
      </c>
    </row>
    <row r="4" spans="1:5" ht="15.75" thickBot="1" x14ac:dyDescent="0.3">
      <c r="A4" s="1096"/>
      <c r="B4" s="1097"/>
      <c r="C4" s="1097"/>
      <c r="D4" s="1097"/>
      <c r="E4" s="1099"/>
    </row>
    <row r="5" spans="1:5" ht="15.75" thickBot="1" x14ac:dyDescent="0.3">
      <c r="A5" s="1100" t="s">
        <v>30</v>
      </c>
      <c r="B5" s="1101"/>
      <c r="C5" s="1101"/>
      <c r="D5" s="1101"/>
      <c r="E5" s="1102"/>
    </row>
    <row r="6" spans="1:5" ht="15" customHeight="1" x14ac:dyDescent="0.25">
      <c r="A6" s="152" t="s">
        <v>31</v>
      </c>
      <c r="B6" s="153" t="s">
        <v>32</v>
      </c>
      <c r="C6" s="152" t="s">
        <v>33</v>
      </c>
      <c r="D6" s="1103" t="s">
        <v>34</v>
      </c>
      <c r="E6" s="1104"/>
    </row>
    <row r="7" spans="1:5" ht="409.5" customHeight="1" x14ac:dyDescent="0.25">
      <c r="A7" s="154" t="s">
        <v>632</v>
      </c>
      <c r="B7" s="155" t="s">
        <v>633</v>
      </c>
      <c r="C7" s="156" t="s">
        <v>634</v>
      </c>
      <c r="D7" s="1094" t="s">
        <v>635</v>
      </c>
      <c r="E7" s="1095"/>
    </row>
    <row r="22" spans="2:2" x14ac:dyDescent="0.25">
      <c r="B22" s="401"/>
    </row>
    <row r="23" spans="2:2" x14ac:dyDescent="0.25">
      <c r="B23" s="401"/>
    </row>
  </sheetData>
  <mergeCells count="7">
    <mergeCell ref="D7:E7"/>
    <mergeCell ref="A1:A4"/>
    <mergeCell ref="B1:D4"/>
    <mergeCell ref="E1:E2"/>
    <mergeCell ref="E3:E4"/>
    <mergeCell ref="A5:E5"/>
    <mergeCell ref="D6:E6"/>
  </mergeCells>
  <pageMargins left="0.31496062992125984" right="0.31496062992125984" top="1.1417322834645669" bottom="0.35433070866141736" header="0.31496062992125984" footer="0.31496062992125984"/>
  <pageSetup scale="88" orientation="landscape" horizontalDpi="1200" verticalDpi="1200" r:id="rId1"/>
  <headerFooter>
    <oddHeader>&amp;L&amp;G&amp;C
&amp;"-,Negrita"Matriz de Riesgos</oddHeader>
  </headerFooter>
  <drawing r:id="rId2"/>
  <legacyDrawing r:id="rId3"/>
  <legacyDrawingHF r:id="rId4"/>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N13"/>
  <sheetViews>
    <sheetView showGridLines="0" topLeftCell="F11" zoomScale="130" zoomScaleNormal="130" zoomScaleSheetLayoutView="130" zoomScalePageLayoutView="90" workbookViewId="0">
      <selection activeCell="I9" sqref="I9:I13"/>
    </sheetView>
  </sheetViews>
  <sheetFormatPr baseColWidth="10" defaultRowHeight="15" x14ac:dyDescent="0.25"/>
  <cols>
    <col min="1" max="2" width="13.25" style="151" customWidth="1"/>
    <col min="3" max="3" width="16.875" style="151" customWidth="1"/>
    <col min="4" max="4" width="3.625" style="168" customWidth="1"/>
    <col min="5" max="5" width="18.375" style="151" customWidth="1"/>
    <col min="6" max="6" width="24.5" style="151" customWidth="1"/>
    <col min="7" max="7" width="15" style="151" customWidth="1"/>
    <col min="8" max="8" width="41.125" style="151" customWidth="1"/>
    <col min="9" max="9" width="42" style="151" customWidth="1"/>
    <col min="10" max="10" width="20.625" style="151" customWidth="1"/>
    <col min="11" max="11" width="14.75" style="151" customWidth="1"/>
    <col min="12" max="12" width="18.75" style="151" customWidth="1"/>
    <col min="13" max="13" width="12.75" style="151" customWidth="1"/>
    <col min="14" max="14" width="27.125" style="151" customWidth="1"/>
    <col min="15" max="16384" width="11" style="151"/>
  </cols>
  <sheetData>
    <row r="1" spans="1:14" ht="15" customHeight="1" x14ac:dyDescent="0.25">
      <c r="A1" s="1105"/>
      <c r="B1" s="1105"/>
      <c r="C1" s="1105"/>
      <c r="D1" s="1107" t="s">
        <v>0</v>
      </c>
      <c r="E1" s="1107"/>
      <c r="F1" s="1107"/>
      <c r="G1" s="1107"/>
      <c r="H1" s="1107"/>
      <c r="I1" s="1107"/>
      <c r="J1" s="1107"/>
      <c r="K1" s="1107"/>
      <c r="L1" s="1107"/>
      <c r="M1" s="1108"/>
      <c r="N1" s="1111" t="s">
        <v>35</v>
      </c>
    </row>
    <row r="2" spans="1:14" ht="15" customHeight="1" x14ac:dyDescent="0.25">
      <c r="A2" s="1105"/>
      <c r="B2" s="1105"/>
      <c r="C2" s="1105"/>
      <c r="D2" s="1107"/>
      <c r="E2" s="1107"/>
      <c r="F2" s="1107"/>
      <c r="G2" s="1107"/>
      <c r="H2" s="1107"/>
      <c r="I2" s="1107"/>
      <c r="J2" s="1107"/>
      <c r="K2" s="1107"/>
      <c r="L2" s="1107"/>
      <c r="M2" s="1108"/>
      <c r="N2" s="1111"/>
    </row>
    <row r="3" spans="1:14" ht="15" customHeight="1" x14ac:dyDescent="0.25">
      <c r="A3" s="1105"/>
      <c r="B3" s="1105"/>
      <c r="C3" s="1105"/>
      <c r="D3" s="1107"/>
      <c r="E3" s="1107"/>
      <c r="F3" s="1107"/>
      <c r="G3" s="1107"/>
      <c r="H3" s="1107"/>
      <c r="I3" s="1107"/>
      <c r="J3" s="1107"/>
      <c r="K3" s="1107"/>
      <c r="L3" s="1107"/>
      <c r="M3" s="1108"/>
      <c r="N3" s="1111" t="s">
        <v>2</v>
      </c>
    </row>
    <row r="4" spans="1:14" ht="15" customHeight="1" x14ac:dyDescent="0.25">
      <c r="A4" s="1106"/>
      <c r="B4" s="1106"/>
      <c r="C4" s="1106"/>
      <c r="D4" s="1109"/>
      <c r="E4" s="1109"/>
      <c r="F4" s="1109"/>
      <c r="G4" s="1109"/>
      <c r="H4" s="1109"/>
      <c r="I4" s="1109"/>
      <c r="J4" s="1109"/>
      <c r="K4" s="1109"/>
      <c r="L4" s="1109"/>
      <c r="M4" s="1110"/>
      <c r="N4" s="1111"/>
    </row>
    <row r="5" spans="1:14" ht="15.75" x14ac:dyDescent="0.25">
      <c r="A5" s="1112" t="s">
        <v>36</v>
      </c>
      <c r="B5" s="1113"/>
      <c r="C5" s="1114"/>
      <c r="D5" s="1115" t="s">
        <v>632</v>
      </c>
      <c r="E5" s="1116"/>
      <c r="F5" s="1116"/>
      <c r="G5" s="1116"/>
      <c r="H5" s="1116"/>
      <c r="I5" s="1116"/>
      <c r="J5" s="1116"/>
      <c r="K5" s="1116"/>
      <c r="L5" s="1116"/>
      <c r="M5" s="1116"/>
      <c r="N5" s="1117"/>
    </row>
    <row r="6" spans="1:14" ht="15.75" x14ac:dyDescent="0.25">
      <c r="A6" s="1112" t="s">
        <v>37</v>
      </c>
      <c r="B6" s="1113"/>
      <c r="C6" s="1114"/>
      <c r="D6" s="1438" t="s">
        <v>636</v>
      </c>
      <c r="E6" s="1439"/>
      <c r="F6" s="1439"/>
      <c r="G6" s="1439"/>
      <c r="H6" s="1439"/>
      <c r="I6" s="1439"/>
      <c r="J6" s="1439"/>
      <c r="K6" s="1439"/>
      <c r="L6" s="1439"/>
      <c r="M6" s="1439"/>
      <c r="N6" s="1440"/>
    </row>
    <row r="7" spans="1:14" x14ac:dyDescent="0.25">
      <c r="A7" s="1118" t="s">
        <v>38</v>
      </c>
      <c r="B7" s="1119"/>
      <c r="C7" s="1120"/>
      <c r="D7" s="1121" t="s">
        <v>39</v>
      </c>
      <c r="E7" s="1122"/>
      <c r="F7" s="1122"/>
      <c r="G7" s="1122"/>
      <c r="H7" s="1122"/>
      <c r="I7" s="1123"/>
      <c r="J7" s="1124" t="s">
        <v>40</v>
      </c>
      <c r="K7" s="1124"/>
      <c r="L7" s="1124"/>
      <c r="M7" s="1124"/>
      <c r="N7" s="1124"/>
    </row>
    <row r="8" spans="1:14" ht="36" x14ac:dyDescent="0.25">
      <c r="A8" s="157" t="s">
        <v>41</v>
      </c>
      <c r="B8" s="157" t="s">
        <v>42</v>
      </c>
      <c r="C8" s="157" t="s">
        <v>43</v>
      </c>
      <c r="D8" s="157" t="s">
        <v>44</v>
      </c>
      <c r="E8" s="157" t="s">
        <v>45</v>
      </c>
      <c r="F8" s="157" t="s">
        <v>46</v>
      </c>
      <c r="G8" s="157" t="s">
        <v>47</v>
      </c>
      <c r="H8" s="157" t="s">
        <v>48</v>
      </c>
      <c r="I8" s="157" t="s">
        <v>49</v>
      </c>
      <c r="J8" s="158" t="s">
        <v>50</v>
      </c>
      <c r="K8" s="158" t="s">
        <v>51</v>
      </c>
      <c r="L8" s="158" t="s">
        <v>52</v>
      </c>
      <c r="M8" s="158" t="s">
        <v>53</v>
      </c>
      <c r="N8" s="158" t="s">
        <v>54</v>
      </c>
    </row>
    <row r="9" spans="1:14" ht="97.5" customHeight="1" x14ac:dyDescent="0.25">
      <c r="A9" s="160" t="s">
        <v>176</v>
      </c>
      <c r="B9" s="160" t="s">
        <v>248</v>
      </c>
      <c r="C9" s="160" t="s">
        <v>178</v>
      </c>
      <c r="D9" s="161">
        <v>1</v>
      </c>
      <c r="E9" s="162" t="s">
        <v>637</v>
      </c>
      <c r="F9" s="162" t="s">
        <v>638</v>
      </c>
      <c r="G9" s="163" t="s">
        <v>179</v>
      </c>
      <c r="H9" s="164" t="s">
        <v>639</v>
      </c>
      <c r="I9" s="164" t="s">
        <v>640</v>
      </c>
      <c r="J9" s="163" t="s">
        <v>122</v>
      </c>
      <c r="K9" s="163" t="s">
        <v>122</v>
      </c>
      <c r="L9" s="163" t="s">
        <v>263</v>
      </c>
      <c r="M9" s="163" t="s">
        <v>263</v>
      </c>
      <c r="N9" s="165" t="str">
        <f t="shared" ref="N9:N13" si="0">IF(COUNTIF(J9:M9,"SI")=4,"Riesgo de Corrupción","No es Riesgo de Corrupción")</f>
        <v>No es Riesgo de Corrupción</v>
      </c>
    </row>
    <row r="10" spans="1:14" ht="102" customHeight="1" x14ac:dyDescent="0.25">
      <c r="A10" s="160" t="s">
        <v>191</v>
      </c>
      <c r="B10" s="160" t="s">
        <v>248</v>
      </c>
      <c r="C10" s="160" t="s">
        <v>193</v>
      </c>
      <c r="D10" s="161">
        <v>2</v>
      </c>
      <c r="E10" s="166" t="s">
        <v>641</v>
      </c>
      <c r="F10" s="166" t="s">
        <v>642</v>
      </c>
      <c r="G10" s="163" t="s">
        <v>179</v>
      </c>
      <c r="H10" s="167" t="s">
        <v>643</v>
      </c>
      <c r="I10" s="164" t="s">
        <v>644</v>
      </c>
      <c r="J10" s="163" t="s">
        <v>122</v>
      </c>
      <c r="K10" s="163" t="s">
        <v>263</v>
      </c>
      <c r="L10" s="163" t="s">
        <v>263</v>
      </c>
      <c r="M10" s="163" t="s">
        <v>263</v>
      </c>
      <c r="N10" s="165" t="str">
        <f t="shared" si="0"/>
        <v>No es Riesgo de Corrupción</v>
      </c>
    </row>
    <row r="11" spans="1:14" ht="141" customHeight="1" x14ac:dyDescent="0.25">
      <c r="A11" s="159" t="s">
        <v>191</v>
      </c>
      <c r="B11" s="159" t="s">
        <v>219</v>
      </c>
      <c r="C11" s="159" t="s">
        <v>178</v>
      </c>
      <c r="D11" s="161">
        <v>3</v>
      </c>
      <c r="E11" s="162" t="s">
        <v>645</v>
      </c>
      <c r="F11" s="162" t="s">
        <v>646</v>
      </c>
      <c r="G11" s="163" t="s">
        <v>179</v>
      </c>
      <c r="H11" s="164" t="s">
        <v>647</v>
      </c>
      <c r="I11" s="164" t="s">
        <v>648</v>
      </c>
      <c r="J11" s="163" t="s">
        <v>122</v>
      </c>
      <c r="K11" s="163" t="s">
        <v>263</v>
      </c>
      <c r="L11" s="163" t="s">
        <v>122</v>
      </c>
      <c r="M11" s="163" t="s">
        <v>263</v>
      </c>
      <c r="N11" s="165" t="str">
        <f t="shared" si="0"/>
        <v>No es Riesgo de Corrupción</v>
      </c>
    </row>
    <row r="12" spans="1:14" ht="132" customHeight="1" x14ac:dyDescent="0.25">
      <c r="A12" s="159" t="s">
        <v>243</v>
      </c>
      <c r="B12" s="159" t="s">
        <v>248</v>
      </c>
      <c r="C12" s="159" t="s">
        <v>178</v>
      </c>
      <c r="D12" s="161">
        <v>4</v>
      </c>
      <c r="E12" s="166" t="s">
        <v>649</v>
      </c>
      <c r="F12" s="166" t="s">
        <v>650</v>
      </c>
      <c r="G12" s="163" t="s">
        <v>208</v>
      </c>
      <c r="H12" s="167" t="s">
        <v>651</v>
      </c>
      <c r="I12" s="164" t="s">
        <v>652</v>
      </c>
      <c r="J12" s="163" t="s">
        <v>122</v>
      </c>
      <c r="K12" s="163" t="s">
        <v>122</v>
      </c>
      <c r="L12" s="163" t="s">
        <v>122</v>
      </c>
      <c r="M12" s="163" t="s">
        <v>263</v>
      </c>
      <c r="N12" s="165" t="str">
        <f t="shared" si="0"/>
        <v>No es Riesgo de Corrupción</v>
      </c>
    </row>
    <row r="13" spans="1:14" ht="147" customHeight="1" x14ac:dyDescent="0.25">
      <c r="A13" s="159" t="s">
        <v>176</v>
      </c>
      <c r="B13" s="159" t="s">
        <v>219</v>
      </c>
      <c r="C13" s="159" t="s">
        <v>178</v>
      </c>
      <c r="D13" s="161">
        <v>5</v>
      </c>
      <c r="E13" s="166" t="s">
        <v>653</v>
      </c>
      <c r="F13" s="166" t="s">
        <v>654</v>
      </c>
      <c r="G13" s="163" t="s">
        <v>252</v>
      </c>
      <c r="H13" s="167" t="s">
        <v>655</v>
      </c>
      <c r="I13" s="402" t="s">
        <v>656</v>
      </c>
      <c r="J13" s="163" t="s">
        <v>122</v>
      </c>
      <c r="K13" s="163" t="s">
        <v>122</v>
      </c>
      <c r="L13" s="163" t="s">
        <v>122</v>
      </c>
      <c r="M13" s="163" t="s">
        <v>122</v>
      </c>
      <c r="N13" s="165" t="str">
        <f t="shared" si="0"/>
        <v>Riesgo de Corrupción</v>
      </c>
    </row>
  </sheetData>
  <mergeCells count="11">
    <mergeCell ref="A6:C6"/>
    <mergeCell ref="D6:N6"/>
    <mergeCell ref="A7:C7"/>
    <mergeCell ref="D7:I7"/>
    <mergeCell ref="J7:N7"/>
    <mergeCell ref="A1:C4"/>
    <mergeCell ref="D1:M4"/>
    <mergeCell ref="N1:N2"/>
    <mergeCell ref="N3:N4"/>
    <mergeCell ref="A5:C5"/>
    <mergeCell ref="D5:N5"/>
  </mergeCells>
  <dataValidations count="1">
    <dataValidation type="list" allowBlank="1" showInputMessage="1" showErrorMessage="1" sqref="J9:M13" xr:uid="{00000000-0002-0000-2A00-000000000000}">
      <formula1>"SI,NO"</formula1>
    </dataValidation>
  </dataValidations>
  <pageMargins left="0.11811023622047245" right="0.11811023622047245" top="1.1417322834645669" bottom="0.19685039370078741" header="0.31496062992125984" footer="0.31496062992125984"/>
  <pageSetup scale="79" orientation="landscape" horizontalDpi="1200" verticalDpi="1200" r:id="rId1"/>
  <headerFooter>
    <oddHeader>&amp;L&amp;G&amp;C
&amp;"-,Negrita"Matriz de Riesgos</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A00-000001000000}">
          <x14:formula1>
            <xm:f>'C:\Users\sgomez.UPME\Documents\UPME 2020\Documents\Mapas de riesgos\[Mapa de riesgos PEI HIDROCARBUROS.xlsx]Datos'!#REF!</xm:f>
          </x14:formula1>
          <xm:sqref>A9:C13 G9:G13</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K28"/>
  <sheetViews>
    <sheetView showGridLines="0" showWhiteSpace="0" topLeftCell="R24" zoomScale="85" zoomScaleNormal="85" zoomScaleSheetLayoutView="85" zoomScalePageLayoutView="70" workbookViewId="0">
      <selection activeCell="Y26" sqref="Y26:AC27"/>
    </sheetView>
  </sheetViews>
  <sheetFormatPr baseColWidth="10" defaultRowHeight="15" x14ac:dyDescent="0.25"/>
  <cols>
    <col min="1" max="1" width="4.75" style="168" customWidth="1"/>
    <col min="2" max="2" width="23.25" style="151" customWidth="1"/>
    <col min="3" max="3" width="45.125" style="202" customWidth="1"/>
    <col min="4" max="4" width="21.5" style="203" customWidth="1"/>
    <col min="5" max="5" width="10.625" style="168" customWidth="1"/>
    <col min="6" max="6" width="17.25" style="168" customWidth="1"/>
    <col min="7" max="7" width="12.875" style="168" customWidth="1"/>
    <col min="8" max="8" width="5.375" style="168" customWidth="1"/>
    <col min="9" max="9" width="14" style="151" customWidth="1"/>
    <col min="10" max="10" width="12.75" style="151" customWidth="1"/>
    <col min="11" max="11" width="25.25" style="205" customWidth="1"/>
    <col min="12" max="12" width="52.125" style="151" customWidth="1"/>
    <col min="13" max="13" width="13.75" style="151" customWidth="1"/>
    <col min="14" max="14" width="15" style="151" customWidth="1"/>
    <col min="15" max="15" width="19.25" style="151" customWidth="1"/>
    <col min="16" max="16" width="18.875" style="151" customWidth="1"/>
    <col min="17" max="17" width="12" style="151" customWidth="1"/>
    <col min="18" max="18" width="12.625" style="151" customWidth="1"/>
    <col min="19" max="19" width="13.625" style="168" customWidth="1"/>
    <col min="20" max="20" width="13.625" style="151" customWidth="1"/>
    <col min="21" max="21" width="17.5" style="151" customWidth="1"/>
    <col min="22" max="22" width="12.125" style="151" customWidth="1"/>
    <col min="23" max="23" width="13.875" style="151" customWidth="1"/>
    <col min="24" max="24" width="14.375" style="151" customWidth="1"/>
    <col min="25" max="25" width="36.625" style="151" customWidth="1"/>
    <col min="26" max="26" width="24.25" style="151" customWidth="1"/>
    <col min="27" max="28" width="10.875" style="151" customWidth="1"/>
    <col min="29" max="29" width="31.125" style="151" customWidth="1"/>
    <col min="30" max="33" width="22.5" style="151" customWidth="1"/>
    <col min="34" max="35" width="18.5" style="151" customWidth="1"/>
    <col min="36" max="36" width="39.5" style="151" customWidth="1"/>
    <col min="37" max="37" width="59.375" style="151" customWidth="1"/>
    <col min="38" max="16384" width="11" style="151"/>
  </cols>
  <sheetData>
    <row r="1" spans="1:37" x14ac:dyDescent="0.25">
      <c r="A1" s="1128"/>
      <c r="B1" s="1128"/>
      <c r="C1" s="1128"/>
      <c r="D1" s="1129" t="s">
        <v>0</v>
      </c>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c r="AG1" s="1129"/>
      <c r="AH1" s="1129"/>
      <c r="AI1" s="1129"/>
      <c r="AJ1" s="1129"/>
      <c r="AK1" s="1130" t="s">
        <v>35</v>
      </c>
    </row>
    <row r="2" spans="1:37" x14ac:dyDescent="0.25">
      <c r="A2" s="1128"/>
      <c r="B2" s="1128"/>
      <c r="C2" s="1128"/>
      <c r="D2" s="1129"/>
      <c r="E2" s="1129"/>
      <c r="F2" s="1129"/>
      <c r="G2" s="1129"/>
      <c r="H2" s="1129"/>
      <c r="I2" s="1129"/>
      <c r="J2" s="1129"/>
      <c r="K2" s="1129"/>
      <c r="L2" s="1129"/>
      <c r="M2" s="1129"/>
      <c r="N2" s="1129"/>
      <c r="O2" s="1129"/>
      <c r="P2" s="1129"/>
      <c r="Q2" s="1129"/>
      <c r="R2" s="1129"/>
      <c r="S2" s="1129"/>
      <c r="T2" s="1129"/>
      <c r="U2" s="1129"/>
      <c r="V2" s="1129"/>
      <c r="W2" s="1129"/>
      <c r="X2" s="1129"/>
      <c r="Y2" s="1129"/>
      <c r="Z2" s="1129"/>
      <c r="AA2" s="1129"/>
      <c r="AB2" s="1129"/>
      <c r="AC2" s="1129"/>
      <c r="AD2" s="1129"/>
      <c r="AE2" s="1129"/>
      <c r="AF2" s="1129"/>
      <c r="AG2" s="1129"/>
      <c r="AH2" s="1129"/>
      <c r="AI2" s="1129"/>
      <c r="AJ2" s="1129"/>
      <c r="AK2" s="1130"/>
    </row>
    <row r="3" spans="1:37" x14ac:dyDescent="0.25">
      <c r="A3" s="1128"/>
      <c r="B3" s="1128"/>
      <c r="C3" s="1128"/>
      <c r="D3" s="1129"/>
      <c r="E3" s="1129"/>
      <c r="F3" s="1129"/>
      <c r="G3" s="1129"/>
      <c r="H3" s="1129"/>
      <c r="I3" s="1129"/>
      <c r="J3" s="1129"/>
      <c r="K3" s="1129"/>
      <c r="L3" s="1129"/>
      <c r="M3" s="1129"/>
      <c r="N3" s="1129"/>
      <c r="O3" s="1129"/>
      <c r="P3" s="1129"/>
      <c r="Q3" s="1129"/>
      <c r="R3" s="1129"/>
      <c r="S3" s="1129"/>
      <c r="T3" s="1129"/>
      <c r="U3" s="1129"/>
      <c r="V3" s="1129"/>
      <c r="W3" s="1129"/>
      <c r="X3" s="1129"/>
      <c r="Y3" s="1129"/>
      <c r="Z3" s="1129"/>
      <c r="AA3" s="1129"/>
      <c r="AB3" s="1129"/>
      <c r="AC3" s="1129"/>
      <c r="AD3" s="1129"/>
      <c r="AE3" s="1129"/>
      <c r="AF3" s="1129"/>
      <c r="AG3" s="1129"/>
      <c r="AH3" s="1129"/>
      <c r="AI3" s="1129"/>
      <c r="AJ3" s="1129"/>
      <c r="AK3" s="1130" t="s">
        <v>56</v>
      </c>
    </row>
    <row r="4" spans="1:37" ht="15.75" thickBot="1" x14ac:dyDescent="0.3">
      <c r="A4" s="1296"/>
      <c r="B4" s="1296"/>
      <c r="C4" s="1296"/>
      <c r="D4" s="1297"/>
      <c r="E4" s="1297"/>
      <c r="F4" s="1297"/>
      <c r="G4" s="1297"/>
      <c r="H4" s="1297"/>
      <c r="I4" s="1297"/>
      <c r="J4" s="1297"/>
      <c r="K4" s="1297"/>
      <c r="L4" s="1297"/>
      <c r="M4" s="1297"/>
      <c r="N4" s="1297"/>
      <c r="O4" s="1297"/>
      <c r="P4" s="1297"/>
      <c r="Q4" s="1297"/>
      <c r="R4" s="1297"/>
      <c r="S4" s="1297"/>
      <c r="T4" s="1297"/>
      <c r="U4" s="1297"/>
      <c r="V4" s="1297"/>
      <c r="W4" s="1297"/>
      <c r="X4" s="1297"/>
      <c r="Y4" s="1297"/>
      <c r="Z4" s="1297"/>
      <c r="AA4" s="1297"/>
      <c r="AB4" s="1297"/>
      <c r="AC4" s="1297"/>
      <c r="AD4" s="1129"/>
      <c r="AE4" s="1129"/>
      <c r="AF4" s="1129"/>
      <c r="AG4" s="1129"/>
      <c r="AH4" s="1129"/>
      <c r="AI4" s="1129"/>
      <c r="AJ4" s="1129"/>
      <c r="AK4" s="1130"/>
    </row>
    <row r="5" spans="1:37" ht="18.75" customHeight="1" x14ac:dyDescent="0.25">
      <c r="A5" s="1299" t="s">
        <v>57</v>
      </c>
      <c r="B5" s="1299"/>
      <c r="C5" s="1299"/>
      <c r="D5" s="1299"/>
      <c r="E5" s="1299"/>
      <c r="F5" s="1299"/>
      <c r="G5" s="1299"/>
      <c r="H5" s="1299"/>
      <c r="I5" s="1299"/>
      <c r="J5" s="157"/>
      <c r="K5" s="1124" t="s">
        <v>58</v>
      </c>
      <c r="L5" s="1124"/>
      <c r="M5" s="1124"/>
      <c r="N5" s="1124"/>
      <c r="O5" s="1124"/>
      <c r="P5" s="1124"/>
      <c r="Q5" s="1124" t="s">
        <v>59</v>
      </c>
      <c r="R5" s="1124"/>
      <c r="S5" s="1124"/>
      <c r="T5" s="1124"/>
      <c r="U5" s="1124"/>
      <c r="V5" s="1124"/>
      <c r="W5" s="1124"/>
      <c r="X5" s="1124"/>
      <c r="Y5" s="1124" t="s">
        <v>60</v>
      </c>
      <c r="Z5" s="1124"/>
      <c r="AA5" s="1124"/>
      <c r="AB5" s="1124"/>
      <c r="AC5" s="1124"/>
      <c r="AD5" s="1441" t="s">
        <v>61</v>
      </c>
      <c r="AE5" s="1134"/>
      <c r="AF5" s="1134"/>
      <c r="AG5" s="1134"/>
      <c r="AH5" s="1134"/>
      <c r="AI5" s="1135"/>
      <c r="AJ5" s="170" t="s">
        <v>62</v>
      </c>
      <c r="AK5" s="170" t="s">
        <v>63</v>
      </c>
    </row>
    <row r="6" spans="1:37" s="182" customFormat="1" ht="51.75" thickBot="1" x14ac:dyDescent="0.25">
      <c r="A6" s="214" t="s">
        <v>44</v>
      </c>
      <c r="B6" s="214" t="s">
        <v>64</v>
      </c>
      <c r="C6" s="214" t="s">
        <v>65</v>
      </c>
      <c r="D6" s="215" t="s">
        <v>66</v>
      </c>
      <c r="E6" s="214" t="s">
        <v>67</v>
      </c>
      <c r="F6" s="214" t="s">
        <v>68</v>
      </c>
      <c r="G6" s="215" t="s">
        <v>69</v>
      </c>
      <c r="H6" s="215" t="s">
        <v>70</v>
      </c>
      <c r="I6" s="214" t="s">
        <v>71</v>
      </c>
      <c r="J6" s="214" t="s">
        <v>72</v>
      </c>
      <c r="K6" s="214" t="s">
        <v>73</v>
      </c>
      <c r="L6" s="214" t="s">
        <v>74</v>
      </c>
      <c r="M6" s="308" t="s">
        <v>75</v>
      </c>
      <c r="N6" s="214" t="s">
        <v>76</v>
      </c>
      <c r="O6" s="214" t="s">
        <v>77</v>
      </c>
      <c r="P6" s="214" t="s">
        <v>78</v>
      </c>
      <c r="Q6" s="214" t="s">
        <v>79</v>
      </c>
      <c r="R6" s="214" t="s">
        <v>80</v>
      </c>
      <c r="S6" s="214" t="s">
        <v>67</v>
      </c>
      <c r="T6" s="214" t="s">
        <v>70</v>
      </c>
      <c r="U6" s="214" t="s">
        <v>81</v>
      </c>
      <c r="V6" s="214" t="s">
        <v>82</v>
      </c>
      <c r="W6" s="214" t="s">
        <v>83</v>
      </c>
      <c r="X6" s="214" t="s">
        <v>84</v>
      </c>
      <c r="Y6" s="214" t="s">
        <v>85</v>
      </c>
      <c r="Z6" s="214" t="s">
        <v>86</v>
      </c>
      <c r="AA6" s="214" t="s">
        <v>87</v>
      </c>
      <c r="AB6" s="214" t="s">
        <v>88</v>
      </c>
      <c r="AC6" s="214" t="s">
        <v>89</v>
      </c>
      <c r="AD6" s="403" t="s">
        <v>90</v>
      </c>
      <c r="AE6" s="404" t="s">
        <v>91</v>
      </c>
      <c r="AF6" s="404" t="s">
        <v>92</v>
      </c>
      <c r="AG6" s="404" t="s">
        <v>91</v>
      </c>
      <c r="AH6" s="404" t="s">
        <v>93</v>
      </c>
      <c r="AI6" s="405" t="s">
        <v>91</v>
      </c>
      <c r="AJ6" s="406" t="s">
        <v>94</v>
      </c>
      <c r="AK6" s="406" t="s">
        <v>95</v>
      </c>
    </row>
    <row r="7" spans="1:37" s="192" customFormat="1" ht="123.75" customHeight="1" x14ac:dyDescent="0.2">
      <c r="A7" s="1127" t="e">
        <f>#REF!</f>
        <v>#REF!</v>
      </c>
      <c r="B7" s="1140" t="e">
        <f>#REF!</f>
        <v>#REF!</v>
      </c>
      <c r="C7" s="1140" t="e">
        <f>#REF!</f>
        <v>#REF!</v>
      </c>
      <c r="D7" s="1125" t="s">
        <v>196</v>
      </c>
      <c r="E7" s="1127">
        <f>IF(D7="Selecciona un descriptor de frecuencia."," ",IF(D7="","",VLOOKUP(D7,[6]Datos!$G$8:$J$12,2,FALSE)))</f>
        <v>4</v>
      </c>
      <c r="F7" s="1127" t="str">
        <f>IF(D7="Selecciona un descriptor de frecuencia."," ",IF(D7="","",VLOOKUP(D7,[6]Datos!$G$8:$J$12,3,FALSE)))</f>
        <v>Probable</v>
      </c>
      <c r="G7" s="1125" t="s">
        <v>226</v>
      </c>
      <c r="H7" s="1127">
        <f>IF(G7="Selecciona un descriptor de impacto."," ",IF(G7="","",VLOOKUP(G7,[6]Datos!$K$8:$L$12,2,FALSE)))</f>
        <v>2</v>
      </c>
      <c r="I7" s="1442" t="str">
        <f>IF(D7="Selecciona un descriptor de frecuencia."," ",IF(G7="Selecciona un descriptor de impacto."," ",IF(E7+H7=" ","",IF(E7="","",VLOOKUP(E7,[6]Datos!$U$8:$Z$12,MATCH(H7,[6]Datos!$V$7:$Z$7,0)+1,FALSE)))))</f>
        <v>ALTO</v>
      </c>
      <c r="J7" s="1143" t="s">
        <v>122</v>
      </c>
      <c r="K7" s="183" t="s">
        <v>657</v>
      </c>
      <c r="L7" s="309" t="s">
        <v>658</v>
      </c>
      <c r="M7" s="185">
        <f>[6]Controles!T9</f>
        <v>100</v>
      </c>
      <c r="N7" s="185" t="str">
        <f>[6]Controles!AB9</f>
        <v>No</v>
      </c>
      <c r="O7" s="186">
        <f>[6]Controles!W9</f>
        <v>1</v>
      </c>
      <c r="P7" s="186">
        <f>[6]Controles!X9</f>
        <v>0</v>
      </c>
      <c r="Q7" s="1126">
        <f>SUM(O7:O11)</f>
        <v>4</v>
      </c>
      <c r="R7" s="1126">
        <f>SUM(P7:P11)</f>
        <v>1</v>
      </c>
      <c r="S7" s="1142">
        <f>IF(D7="Selecciona un descriptor de frecuencia."," ",IF(ROUNDUP(E7-Q7,0)&lt;=0,1,ROUNDUP(E7-Q7,0)))</f>
        <v>1</v>
      </c>
      <c r="T7" s="1142">
        <f>IF(G7="Selecciona un descriptor de impacto."," ",IF(ROUNDUP(H7-R7,0)&lt;0,1,ROUNDUP(H7-R7,0)))</f>
        <v>1</v>
      </c>
      <c r="U7" s="1126" t="str">
        <f>IF(D7="Selecciona un descriptor de frecuencia."," ",VLOOKUP(S7,[6]Datos!$H$8:$I$12,2,FALSE))</f>
        <v>Rara vez</v>
      </c>
      <c r="V7" s="1126" t="str">
        <f>IF(G7="Selecciona un descriptor de impacto."," ",VLOOKUP(T7,[6]Datos!$L$8:$M$12,2,FALSE))</f>
        <v>Insignificante</v>
      </c>
      <c r="W7" s="1442" t="str">
        <f>IF(S7=" "," ",VLOOKUP(S7,[6]Datos!$U$8:$Z$12,MATCH(T7,[6]Datos!$V$7:$Z$7,0)+1,FALSE))</f>
        <v>BAJO</v>
      </c>
      <c r="X7" s="1125" t="s">
        <v>187</v>
      </c>
      <c r="Y7" s="184"/>
      <c r="Z7" s="187"/>
      <c r="AA7" s="188"/>
      <c r="AB7" s="188"/>
      <c r="AC7" s="189"/>
      <c r="AD7" s="407"/>
      <c r="AE7" s="408"/>
      <c r="AF7" s="408"/>
      <c r="AG7" s="408"/>
      <c r="AH7" s="408"/>
      <c r="AI7" s="409"/>
      <c r="AJ7" s="410"/>
      <c r="AK7" s="410"/>
    </row>
    <row r="8" spans="1:37" s="192" customFormat="1" ht="153.75" customHeight="1" x14ac:dyDescent="0.2">
      <c r="A8" s="1127"/>
      <c r="B8" s="1140"/>
      <c r="C8" s="1140"/>
      <c r="D8" s="1125"/>
      <c r="E8" s="1127"/>
      <c r="F8" s="1127"/>
      <c r="G8" s="1125"/>
      <c r="H8" s="1127"/>
      <c r="I8" s="1442"/>
      <c r="J8" s="1143"/>
      <c r="K8" s="183" t="s">
        <v>659</v>
      </c>
      <c r="L8" s="309" t="s">
        <v>660</v>
      </c>
      <c r="M8" s="185">
        <f>[6]Controles!T10</f>
        <v>100</v>
      </c>
      <c r="N8" s="185" t="str">
        <f>[6]Controles!AB10</f>
        <v>No</v>
      </c>
      <c r="O8" s="186">
        <f>[6]Controles!W10</f>
        <v>1</v>
      </c>
      <c r="P8" s="186">
        <f>[6]Controles!X10</f>
        <v>0</v>
      </c>
      <c r="Q8" s="1126"/>
      <c r="R8" s="1126"/>
      <c r="S8" s="1142"/>
      <c r="T8" s="1142"/>
      <c r="U8" s="1126"/>
      <c r="V8" s="1126"/>
      <c r="W8" s="1442"/>
      <c r="X8" s="1125"/>
      <c r="Y8" s="184"/>
      <c r="Z8" s="187"/>
      <c r="AA8" s="188"/>
      <c r="AB8" s="188"/>
      <c r="AC8" s="189"/>
      <c r="AD8" s="411"/>
      <c r="AE8" s="191"/>
      <c r="AF8" s="191"/>
      <c r="AG8" s="191"/>
      <c r="AH8" s="191"/>
      <c r="AI8" s="412"/>
      <c r="AJ8" s="413"/>
      <c r="AK8" s="413"/>
    </row>
    <row r="9" spans="1:37" s="192" customFormat="1" ht="123.75" customHeight="1" x14ac:dyDescent="0.2">
      <c r="A9" s="1127"/>
      <c r="B9" s="1140"/>
      <c r="C9" s="1140"/>
      <c r="D9" s="1125"/>
      <c r="E9" s="1127"/>
      <c r="F9" s="1127"/>
      <c r="G9" s="1125"/>
      <c r="H9" s="1127"/>
      <c r="I9" s="1442"/>
      <c r="J9" s="1143"/>
      <c r="K9" s="193" t="s">
        <v>661</v>
      </c>
      <c r="L9" s="309" t="s">
        <v>662</v>
      </c>
      <c r="M9" s="185">
        <f>[6]Controles!T11</f>
        <v>100</v>
      </c>
      <c r="N9" s="185" t="str">
        <f>[6]Controles!AB11</f>
        <v>No</v>
      </c>
      <c r="O9" s="186">
        <f>[6]Controles!W11</f>
        <v>1</v>
      </c>
      <c r="P9" s="186">
        <f>[6]Controles!X11</f>
        <v>0</v>
      </c>
      <c r="Q9" s="1126"/>
      <c r="R9" s="1126"/>
      <c r="S9" s="1142"/>
      <c r="T9" s="1142"/>
      <c r="U9" s="1126"/>
      <c r="V9" s="1126"/>
      <c r="W9" s="1442"/>
      <c r="X9" s="1125"/>
      <c r="Y9" s="184"/>
      <c r="Z9" s="187"/>
      <c r="AA9" s="188"/>
      <c r="AB9" s="188"/>
      <c r="AC9" s="189"/>
      <c r="AD9" s="411"/>
      <c r="AE9" s="191"/>
      <c r="AF9" s="191"/>
      <c r="AG9" s="191"/>
      <c r="AH9" s="191"/>
      <c r="AI9" s="412"/>
      <c r="AJ9" s="413"/>
      <c r="AK9" s="413"/>
    </row>
    <row r="10" spans="1:37" s="192" customFormat="1" ht="142.5" x14ac:dyDescent="0.2">
      <c r="A10" s="1127"/>
      <c r="B10" s="1140"/>
      <c r="C10" s="1140"/>
      <c r="D10" s="1125"/>
      <c r="E10" s="1127"/>
      <c r="F10" s="1127"/>
      <c r="G10" s="1125"/>
      <c r="H10" s="1127"/>
      <c r="I10" s="1442"/>
      <c r="J10" s="1143"/>
      <c r="K10" s="193" t="s">
        <v>663</v>
      </c>
      <c r="L10" s="309" t="s">
        <v>664</v>
      </c>
      <c r="M10" s="185">
        <f>[6]Controles!T12</f>
        <v>100</v>
      </c>
      <c r="N10" s="185" t="str">
        <f>[6]Controles!AB13</f>
        <v>SI</v>
      </c>
      <c r="O10" s="186">
        <f>[6]Controles!W12</f>
        <v>1</v>
      </c>
      <c r="P10" s="186">
        <f>[6]Controles!X12</f>
        <v>0</v>
      </c>
      <c r="Q10" s="1126"/>
      <c r="R10" s="1126"/>
      <c r="S10" s="1142"/>
      <c r="T10" s="1142"/>
      <c r="U10" s="1126"/>
      <c r="V10" s="1126"/>
      <c r="W10" s="1442"/>
      <c r="X10" s="1125"/>
      <c r="Y10" s="189"/>
      <c r="Z10" s="187"/>
      <c r="AA10" s="188"/>
      <c r="AB10" s="188"/>
      <c r="AC10" s="189"/>
      <c r="AD10" s="411"/>
      <c r="AE10" s="191"/>
      <c r="AF10" s="191"/>
      <c r="AG10" s="191"/>
      <c r="AH10" s="191"/>
      <c r="AI10" s="412"/>
      <c r="AJ10" s="413"/>
      <c r="AK10" s="413"/>
    </row>
    <row r="11" spans="1:37" s="192" customFormat="1" ht="57" x14ac:dyDescent="0.2">
      <c r="A11" s="1127"/>
      <c r="B11" s="1140"/>
      <c r="C11" s="1140"/>
      <c r="D11" s="1125"/>
      <c r="E11" s="1127"/>
      <c r="F11" s="1127"/>
      <c r="G11" s="1125"/>
      <c r="H11" s="1127"/>
      <c r="I11" s="1442"/>
      <c r="J11" s="1143"/>
      <c r="K11" s="193" t="s">
        <v>665</v>
      </c>
      <c r="L11" s="309" t="s">
        <v>666</v>
      </c>
      <c r="M11" s="185">
        <f>[6]Controles!T13</f>
        <v>100</v>
      </c>
      <c r="N11" s="185" t="e">
        <f>[6]Controles!#REF!</f>
        <v>#REF!</v>
      </c>
      <c r="O11" s="186">
        <f>[6]Controles!W13</f>
        <v>0</v>
      </c>
      <c r="P11" s="186">
        <f>[6]Controles!X13</f>
        <v>1</v>
      </c>
      <c r="Q11" s="1126"/>
      <c r="R11" s="1126"/>
      <c r="S11" s="1142"/>
      <c r="T11" s="1142"/>
      <c r="U11" s="1126"/>
      <c r="V11" s="1126"/>
      <c r="W11" s="1442"/>
      <c r="X11" s="1125"/>
      <c r="Y11" s="189"/>
      <c r="Z11" s="187"/>
      <c r="AA11" s="188"/>
      <c r="AB11" s="188"/>
      <c r="AC11" s="189"/>
      <c r="AD11" s="411"/>
      <c r="AE11" s="191"/>
      <c r="AF11" s="191"/>
      <c r="AG11" s="191"/>
      <c r="AH11" s="191"/>
      <c r="AI11" s="412"/>
      <c r="AJ11" s="413"/>
      <c r="AK11" s="413"/>
    </row>
    <row r="12" spans="1:37" s="199" customFormat="1" ht="145.5" customHeight="1" x14ac:dyDescent="0.2">
      <c r="A12" s="1139" t="e">
        <f>#REF!</f>
        <v>#REF!</v>
      </c>
      <c r="B12" s="1140" t="e">
        <f>#REF!</f>
        <v>#REF!</v>
      </c>
      <c r="C12" s="1140" t="e">
        <f>#REF!</f>
        <v>#REF!</v>
      </c>
      <c r="D12" s="1125" t="s">
        <v>210</v>
      </c>
      <c r="E12" s="1127">
        <f>IF(D12="Selecciona un descriptor de frecuencia."," ",IF(D12="","",VLOOKUP(D12,[6]Datos!$G$8:$J$12,2,FALSE)))</f>
        <v>3</v>
      </c>
      <c r="F12" s="1127" t="str">
        <f>IF(D12="Selecciona un descriptor de frecuencia."," ",IF(D12="","",VLOOKUP(D12,[6]Datos!$G$8:$J$12,3,FALSE)))</f>
        <v>Posible</v>
      </c>
      <c r="G12" s="1125" t="s">
        <v>204</v>
      </c>
      <c r="H12" s="1139">
        <f>IF(G12="","",VLOOKUP(G12,[6]Datos!$K$8:$L$12,2,FALSE))</f>
        <v>3</v>
      </c>
      <c r="I12" s="1442" t="str">
        <f>IF(D12="Selecciona un descriptor de frecuencia."," ",IF(G12="Selecciona un descriptor de impacto."," ",IF(E12+H12=" ","",IF(E12="","",VLOOKUP(E12,[6]Datos!$U$8:$Z$12,MATCH(H12,[6]Datos!$V$7:$Z$7,0)+1,FALSE)))))</f>
        <v>ALTO</v>
      </c>
      <c r="J12" s="1125" t="s">
        <v>122</v>
      </c>
      <c r="K12" s="414" t="s">
        <v>667</v>
      </c>
      <c r="L12" s="415" t="s">
        <v>668</v>
      </c>
      <c r="M12" s="185">
        <f>[6]Controles!T14</f>
        <v>100</v>
      </c>
      <c r="N12" s="185" t="str">
        <f>[6]Controles!AB14</f>
        <v>No</v>
      </c>
      <c r="O12" s="186">
        <f>[6]Controles!W14</f>
        <v>1</v>
      </c>
      <c r="P12" s="186">
        <f>[6]Controles!X14</f>
        <v>0</v>
      </c>
      <c r="Q12" s="1301">
        <f>SUM(O12:O16)</f>
        <v>4.95</v>
      </c>
      <c r="R12" s="1301">
        <f>SUM(P12:P16)</f>
        <v>0</v>
      </c>
      <c r="S12" s="1142">
        <f t="shared" ref="S12" si="0">IF(D12="Selecciona un descriptor de frecuencia."," ",IF(ROUNDUP(E12-Q12,0)&lt;=0,1,ROUNDUP(E12-Q12,0)))</f>
        <v>1</v>
      </c>
      <c r="T12" s="1142">
        <f>IF(G12="Selecciona un descriptor de impacto."," ",IF(ROUNDUP(H12-R12,0)&lt;=0,1,ROUNDUP(H12-R12,0)))</f>
        <v>3</v>
      </c>
      <c r="U12" s="1126" t="str">
        <f>IF(D12="Selecciona un descriptor de frecuencia."," ",VLOOKUP(S12,[6]Datos!$H$8:$I$12,2,FALSE))</f>
        <v>Rara vez</v>
      </c>
      <c r="V12" s="1126" t="str">
        <f>IF(G12="Selecciona un descriptor de impacto."," ",VLOOKUP(T12,[6]Datos!$L$8:$M$12,2,FALSE))</f>
        <v>Moderado</v>
      </c>
      <c r="W12" s="1442" t="str">
        <f>IF(S12=" "," ",VLOOKUP(S12,[6]Datos!$U$8:$Z$12,MATCH(T12,[6]Datos!$V$7:$Z$7,0)+1,FALSE))</f>
        <v>MODERADO</v>
      </c>
      <c r="X12" s="1125" t="s">
        <v>202</v>
      </c>
      <c r="Y12" s="309" t="s">
        <v>669</v>
      </c>
      <c r="Z12" s="187" t="s">
        <v>670</v>
      </c>
      <c r="AA12" s="188">
        <v>44197</v>
      </c>
      <c r="AB12" s="188">
        <v>44561</v>
      </c>
      <c r="AC12" s="187" t="s">
        <v>671</v>
      </c>
      <c r="AD12" s="416"/>
      <c r="AE12" s="198"/>
      <c r="AF12" s="198"/>
      <c r="AG12" s="198"/>
      <c r="AH12" s="198"/>
      <c r="AI12" s="417"/>
      <c r="AJ12" s="418"/>
      <c r="AK12" s="418"/>
    </row>
    <row r="13" spans="1:37" s="199" customFormat="1" ht="120.75" customHeight="1" x14ac:dyDescent="0.2">
      <c r="A13" s="1139"/>
      <c r="B13" s="1140"/>
      <c r="C13" s="1140"/>
      <c r="D13" s="1125"/>
      <c r="E13" s="1127"/>
      <c r="F13" s="1127"/>
      <c r="G13" s="1125"/>
      <c r="H13" s="1139"/>
      <c r="I13" s="1442"/>
      <c r="J13" s="1125"/>
      <c r="K13" s="414" t="s">
        <v>657</v>
      </c>
      <c r="L13" s="415" t="s">
        <v>658</v>
      </c>
      <c r="M13" s="185">
        <f>[6]Controles!T15</f>
        <v>100</v>
      </c>
      <c r="N13" s="185" t="str">
        <f>[6]Controles!AB15</f>
        <v>No</v>
      </c>
      <c r="O13" s="186">
        <f>[6]Controles!W15</f>
        <v>1</v>
      </c>
      <c r="P13" s="186">
        <f>[6]Controles!X15</f>
        <v>0</v>
      </c>
      <c r="Q13" s="1301"/>
      <c r="R13" s="1301"/>
      <c r="S13" s="1142"/>
      <c r="T13" s="1142"/>
      <c r="U13" s="1126"/>
      <c r="V13" s="1126"/>
      <c r="W13" s="1442"/>
      <c r="X13" s="1125"/>
      <c r="Y13" s="310" t="s">
        <v>672</v>
      </c>
      <c r="Z13" s="187" t="s">
        <v>670</v>
      </c>
      <c r="AA13" s="188">
        <v>44197</v>
      </c>
      <c r="AB13" s="188">
        <v>44561</v>
      </c>
      <c r="AC13" s="187" t="s">
        <v>673</v>
      </c>
      <c r="AD13" s="416"/>
      <c r="AE13" s="198"/>
      <c r="AF13" s="198"/>
      <c r="AG13" s="198"/>
      <c r="AH13" s="198"/>
      <c r="AI13" s="417"/>
      <c r="AJ13" s="418"/>
      <c r="AK13" s="418"/>
    </row>
    <row r="14" spans="1:37" s="199" customFormat="1" ht="90" customHeight="1" x14ac:dyDescent="0.2">
      <c r="A14" s="1139"/>
      <c r="B14" s="1140"/>
      <c r="C14" s="1140"/>
      <c r="D14" s="1125"/>
      <c r="E14" s="1127"/>
      <c r="F14" s="1127"/>
      <c r="G14" s="1125"/>
      <c r="H14" s="1139"/>
      <c r="I14" s="1442"/>
      <c r="J14" s="1125"/>
      <c r="K14" s="419" t="s">
        <v>674</v>
      </c>
      <c r="L14" s="415" t="s">
        <v>675</v>
      </c>
      <c r="M14" s="185">
        <f>[6]Controles!T16</f>
        <v>95</v>
      </c>
      <c r="N14" s="185" t="str">
        <f>[6]Controles!AB16</f>
        <v>SI</v>
      </c>
      <c r="O14" s="186">
        <f>[6]Controles!W16</f>
        <v>0.95</v>
      </c>
      <c r="P14" s="186">
        <f>[6]Controles!X16</f>
        <v>0</v>
      </c>
      <c r="Q14" s="1301"/>
      <c r="R14" s="1301"/>
      <c r="S14" s="1142"/>
      <c r="T14" s="1142"/>
      <c r="U14" s="1126"/>
      <c r="V14" s="1126"/>
      <c r="W14" s="1442"/>
      <c r="X14" s="1125"/>
      <c r="Y14" s="310" t="s">
        <v>676</v>
      </c>
      <c r="Z14" s="187" t="s">
        <v>670</v>
      </c>
      <c r="AA14" s="188">
        <v>44197</v>
      </c>
      <c r="AB14" s="188">
        <v>44561</v>
      </c>
      <c r="AC14" s="187" t="s">
        <v>677</v>
      </c>
      <c r="AD14" s="416"/>
      <c r="AE14" s="198"/>
      <c r="AF14" s="198"/>
      <c r="AG14" s="198"/>
      <c r="AH14" s="198"/>
      <c r="AI14" s="417"/>
      <c r="AJ14" s="418"/>
      <c r="AK14" s="418"/>
    </row>
    <row r="15" spans="1:37" s="199" customFormat="1" ht="77.25" customHeight="1" x14ac:dyDescent="0.2">
      <c r="A15" s="1139"/>
      <c r="B15" s="1140"/>
      <c r="C15" s="1140"/>
      <c r="D15" s="1125"/>
      <c r="E15" s="1127"/>
      <c r="F15" s="1127"/>
      <c r="G15" s="1125"/>
      <c r="H15" s="1139"/>
      <c r="I15" s="1442"/>
      <c r="J15" s="1125"/>
      <c r="K15" s="419" t="s">
        <v>678</v>
      </c>
      <c r="L15" s="415" t="s">
        <v>679</v>
      </c>
      <c r="M15" s="185">
        <f>[6]Controles!T17</f>
        <v>100</v>
      </c>
      <c r="N15" s="185" t="str">
        <f>[6]Controles!AB17</f>
        <v>No</v>
      </c>
      <c r="O15" s="186">
        <f>[6]Controles!W17</f>
        <v>1</v>
      </c>
      <c r="P15" s="186">
        <f>[6]Controles!X17</f>
        <v>0</v>
      </c>
      <c r="Q15" s="1301"/>
      <c r="R15" s="1301"/>
      <c r="S15" s="1142"/>
      <c r="T15" s="1142"/>
      <c r="U15" s="1126"/>
      <c r="V15" s="1126"/>
      <c r="W15" s="1442"/>
      <c r="X15" s="1125"/>
      <c r="Y15" s="196"/>
      <c r="Z15" s="187"/>
      <c r="AA15" s="188"/>
      <c r="AB15" s="188"/>
      <c r="AC15" s="187"/>
      <c r="AD15" s="416"/>
      <c r="AE15" s="198"/>
      <c r="AF15" s="198"/>
      <c r="AG15" s="198"/>
      <c r="AH15" s="198"/>
      <c r="AI15" s="417"/>
      <c r="AJ15" s="418"/>
      <c r="AK15" s="418"/>
    </row>
    <row r="16" spans="1:37" s="199" customFormat="1" ht="128.25" x14ac:dyDescent="0.2">
      <c r="A16" s="1139"/>
      <c r="B16" s="1140"/>
      <c r="C16" s="1140"/>
      <c r="D16" s="1125"/>
      <c r="E16" s="1127"/>
      <c r="F16" s="1127"/>
      <c r="G16" s="1125"/>
      <c r="H16" s="1139"/>
      <c r="I16" s="1442"/>
      <c r="J16" s="1125"/>
      <c r="K16" s="420" t="s">
        <v>680</v>
      </c>
      <c r="L16" s="415" t="s">
        <v>681</v>
      </c>
      <c r="M16" s="185">
        <f>[6]Controles!T17</f>
        <v>100</v>
      </c>
      <c r="N16" s="185" t="str">
        <f>[6]Controles!AB17</f>
        <v>No</v>
      </c>
      <c r="O16" s="186">
        <f>[6]Controles!W17</f>
        <v>1</v>
      </c>
      <c r="P16" s="186">
        <f>[6]Controles!X17</f>
        <v>0</v>
      </c>
      <c r="Q16" s="1301"/>
      <c r="R16" s="1301"/>
      <c r="S16" s="1142"/>
      <c r="T16" s="1142"/>
      <c r="U16" s="1126"/>
      <c r="V16" s="1126"/>
      <c r="W16" s="1442"/>
      <c r="X16" s="1125"/>
      <c r="Y16" s="196"/>
      <c r="Z16" s="187"/>
      <c r="AA16" s="188"/>
      <c r="AB16" s="188"/>
      <c r="AC16" s="187"/>
      <c r="AD16" s="416"/>
      <c r="AE16" s="198"/>
      <c r="AF16" s="198"/>
      <c r="AG16" s="198"/>
      <c r="AH16" s="198"/>
      <c r="AI16" s="417"/>
      <c r="AJ16" s="418"/>
      <c r="AK16" s="418"/>
    </row>
    <row r="17" spans="1:37" s="192" customFormat="1" ht="65.25" customHeight="1" x14ac:dyDescent="0.2">
      <c r="A17" s="1139" t="e">
        <f>#REF!</f>
        <v>#REF!</v>
      </c>
      <c r="B17" s="1140" t="e">
        <f>#REF!</f>
        <v>#REF!</v>
      </c>
      <c r="C17" s="1140" t="e">
        <f>#REF!</f>
        <v>#REF!</v>
      </c>
      <c r="D17" s="1125" t="s">
        <v>223</v>
      </c>
      <c r="E17" s="1127">
        <f>IF(D17="Selecciona un descriptor de frecuencia."," ",IF(D17="","",VLOOKUP(D17,[6]Datos!$G$8:$J$12,2,FALSE)))</f>
        <v>2</v>
      </c>
      <c r="F17" s="1127" t="str">
        <f>IF(D17="Selecciona un descriptor de frecuencia."," ",IF(D17="","",VLOOKUP(D17,[6]Datos!$G$8:$J$12,3,FALSE)))</f>
        <v>Improbable</v>
      </c>
      <c r="G17" s="1125" t="s">
        <v>204</v>
      </c>
      <c r="H17" s="1139">
        <f>IF(G17="","",VLOOKUP(G17,[6]Datos!$K$8:$L$12,2,FALSE))</f>
        <v>3</v>
      </c>
      <c r="I17" s="1442" t="str">
        <f>IF(D17="Selecciona un descriptor de frecuencia."," ",IF(G17="Selecciona un descriptor de impacto."," ",IF(E17+H17=" ","",IF(E17="","",VLOOKUP(E17,[6]Datos!$U$8:$Z$12,MATCH(H17,[6]Datos!$V$7:$Z$7,0)+1,FALSE)))))</f>
        <v>MODERADO</v>
      </c>
      <c r="J17" s="1125" t="s">
        <v>122</v>
      </c>
      <c r="K17" s="419" t="s">
        <v>682</v>
      </c>
      <c r="L17" s="420" t="s">
        <v>683</v>
      </c>
      <c r="M17" s="185">
        <f>[6]Controles!T19</f>
        <v>100</v>
      </c>
      <c r="N17" s="185" t="str">
        <f>[6]Controles!AB19</f>
        <v>No</v>
      </c>
      <c r="O17" s="186">
        <f>[6]Controles!W19</f>
        <v>1</v>
      </c>
      <c r="P17" s="186">
        <f>[6]Controles!X19</f>
        <v>0</v>
      </c>
      <c r="Q17" s="1301">
        <f>SUM(O17:O21)</f>
        <v>5</v>
      </c>
      <c r="R17" s="1301">
        <f>SUM(P17:P21)</f>
        <v>0</v>
      </c>
      <c r="S17" s="1142">
        <f t="shared" ref="S17" si="1">IF(D17="Selecciona un descriptor de frecuencia."," ",IF(ROUNDUP(E17-Q17,0)&lt;=0,1,ROUNDUP(E17-Q17,0)))</f>
        <v>1</v>
      </c>
      <c r="T17" s="1142">
        <f t="shared" ref="T17" si="2">IF(G17="Selecciona un descriptor de impacto."," ",IF(ROUNDUP(H17-R17,0)&lt;0,1,ROUNDUP(H17-R17,0)))</f>
        <v>3</v>
      </c>
      <c r="U17" s="1126" t="str">
        <f>IF(D17="Selecciona un descriptor de frecuencia."," ",VLOOKUP(S17,[6]Datos!$H$8:$I$12,2,FALSE))</f>
        <v>Rara vez</v>
      </c>
      <c r="V17" s="1126" t="str">
        <f>IF(G17="Selecciona un descriptor de impacto."," ",VLOOKUP(T17,[6]Datos!$L$8:$M$12,2,FALSE))</f>
        <v>Moderado</v>
      </c>
      <c r="W17" s="1442" t="str">
        <f>IF(S17=" "," ",VLOOKUP(S17,[6]Datos!$U$8:$Z$12,MATCH(T17,[6]Datos!$V$7:$Z$7,0)+1,FALSE))</f>
        <v>MODERADO</v>
      </c>
      <c r="X17" s="1125" t="s">
        <v>202</v>
      </c>
      <c r="Y17" s="189" t="s">
        <v>684</v>
      </c>
      <c r="Z17" s="187" t="s">
        <v>670</v>
      </c>
      <c r="AA17" s="188">
        <v>44197</v>
      </c>
      <c r="AB17" s="188">
        <v>44561</v>
      </c>
      <c r="AC17" s="187" t="s">
        <v>671</v>
      </c>
      <c r="AD17" s="416"/>
      <c r="AE17" s="198"/>
      <c r="AF17" s="198"/>
      <c r="AG17" s="198"/>
      <c r="AH17" s="198"/>
      <c r="AI17" s="417"/>
      <c r="AJ17" s="418"/>
      <c r="AK17" s="418"/>
    </row>
    <row r="18" spans="1:37" s="192" customFormat="1" ht="82.5" customHeight="1" x14ac:dyDescent="0.2">
      <c r="A18" s="1139"/>
      <c r="B18" s="1140"/>
      <c r="C18" s="1140"/>
      <c r="D18" s="1125"/>
      <c r="E18" s="1127"/>
      <c r="F18" s="1127"/>
      <c r="G18" s="1125"/>
      <c r="H18" s="1139"/>
      <c r="I18" s="1442"/>
      <c r="J18" s="1125"/>
      <c r="K18" s="414" t="s">
        <v>685</v>
      </c>
      <c r="L18" s="420" t="s">
        <v>686</v>
      </c>
      <c r="M18" s="185">
        <f>[6]Controles!T20</f>
        <v>100</v>
      </c>
      <c r="N18" s="185" t="str">
        <f>[6]Controles!AB20</f>
        <v>No</v>
      </c>
      <c r="O18" s="186">
        <f>[6]Controles!W20</f>
        <v>1</v>
      </c>
      <c r="P18" s="186">
        <f>[6]Controles!X20</f>
        <v>0</v>
      </c>
      <c r="Q18" s="1301"/>
      <c r="R18" s="1301"/>
      <c r="S18" s="1142"/>
      <c r="T18" s="1142"/>
      <c r="U18" s="1126"/>
      <c r="V18" s="1126"/>
      <c r="W18" s="1442"/>
      <c r="X18" s="1125"/>
      <c r="Y18" s="189" t="s">
        <v>687</v>
      </c>
      <c r="Z18" s="187" t="s">
        <v>670</v>
      </c>
      <c r="AA18" s="188">
        <v>44197</v>
      </c>
      <c r="AB18" s="188">
        <v>44561</v>
      </c>
      <c r="AC18" s="189" t="s">
        <v>688</v>
      </c>
      <c r="AD18" s="416"/>
      <c r="AE18" s="198"/>
      <c r="AF18" s="198"/>
      <c r="AG18" s="198"/>
      <c r="AH18" s="198"/>
      <c r="AI18" s="417"/>
      <c r="AJ18" s="418"/>
      <c r="AK18" s="418"/>
    </row>
    <row r="19" spans="1:37" s="192" customFormat="1" ht="79.5" customHeight="1" x14ac:dyDescent="0.2">
      <c r="A19" s="1139"/>
      <c r="B19" s="1140"/>
      <c r="C19" s="1140"/>
      <c r="D19" s="1125"/>
      <c r="E19" s="1127"/>
      <c r="F19" s="1127"/>
      <c r="G19" s="1125"/>
      <c r="H19" s="1139"/>
      <c r="I19" s="1442"/>
      <c r="J19" s="1125"/>
      <c r="K19" s="419" t="s">
        <v>689</v>
      </c>
      <c r="L19" s="420" t="s">
        <v>690</v>
      </c>
      <c r="M19" s="185">
        <f>[6]Controles!T21</f>
        <v>100</v>
      </c>
      <c r="N19" s="185" t="str">
        <f>[6]Controles!AB21</f>
        <v>No</v>
      </c>
      <c r="O19" s="186">
        <f>[6]Controles!W21</f>
        <v>1</v>
      </c>
      <c r="P19" s="186">
        <f>[6]Controles!X21</f>
        <v>0</v>
      </c>
      <c r="Q19" s="1301"/>
      <c r="R19" s="1301"/>
      <c r="S19" s="1142"/>
      <c r="T19" s="1142"/>
      <c r="U19" s="1126"/>
      <c r="V19" s="1126"/>
      <c r="W19" s="1442"/>
      <c r="X19" s="1125"/>
      <c r="Y19" s="189"/>
      <c r="Z19" s="187"/>
      <c r="AA19" s="188"/>
      <c r="AB19" s="188"/>
      <c r="AC19" s="189"/>
      <c r="AD19" s="416"/>
      <c r="AE19" s="198"/>
      <c r="AF19" s="198"/>
      <c r="AG19" s="198"/>
      <c r="AH19" s="198"/>
      <c r="AI19" s="417"/>
      <c r="AJ19" s="418"/>
      <c r="AK19" s="418"/>
    </row>
    <row r="20" spans="1:37" s="192" customFormat="1" ht="150.75" customHeight="1" x14ac:dyDescent="0.2">
      <c r="A20" s="1139"/>
      <c r="B20" s="1140"/>
      <c r="C20" s="1140"/>
      <c r="D20" s="1125"/>
      <c r="E20" s="1127"/>
      <c r="F20" s="1127"/>
      <c r="G20" s="1125"/>
      <c r="H20" s="1139"/>
      <c r="I20" s="1442"/>
      <c r="J20" s="1125"/>
      <c r="K20" s="419" t="s">
        <v>691</v>
      </c>
      <c r="L20" s="420" t="s">
        <v>692</v>
      </c>
      <c r="M20" s="185">
        <f>[6]Controles!T21</f>
        <v>100</v>
      </c>
      <c r="N20" s="185" t="str">
        <f>[6]Controles!AB21</f>
        <v>No</v>
      </c>
      <c r="O20" s="186">
        <f>[6]Controles!W21</f>
        <v>1</v>
      </c>
      <c r="P20" s="186">
        <f>[6]Controles!X21</f>
        <v>0</v>
      </c>
      <c r="Q20" s="1301"/>
      <c r="R20" s="1301"/>
      <c r="S20" s="1142"/>
      <c r="T20" s="1142"/>
      <c r="U20" s="1126"/>
      <c r="V20" s="1126"/>
      <c r="W20" s="1442"/>
      <c r="X20" s="1125"/>
      <c r="Y20" s="189"/>
      <c r="Z20" s="187"/>
      <c r="AA20" s="188"/>
      <c r="AB20" s="188"/>
      <c r="AC20" s="189"/>
      <c r="AD20" s="416"/>
      <c r="AE20" s="198"/>
      <c r="AF20" s="198"/>
      <c r="AG20" s="198"/>
      <c r="AH20" s="198"/>
      <c r="AI20" s="417"/>
      <c r="AJ20" s="418"/>
      <c r="AK20" s="418"/>
    </row>
    <row r="21" spans="1:37" s="192" customFormat="1" ht="164.25" customHeight="1" x14ac:dyDescent="0.2">
      <c r="A21" s="1139"/>
      <c r="B21" s="1140"/>
      <c r="C21" s="1140"/>
      <c r="D21" s="1125"/>
      <c r="E21" s="1127"/>
      <c r="F21" s="1127"/>
      <c r="G21" s="1125"/>
      <c r="H21" s="1139"/>
      <c r="I21" s="1442"/>
      <c r="J21" s="1125"/>
      <c r="K21" s="183" t="s">
        <v>693</v>
      </c>
      <c r="L21" s="309" t="s">
        <v>694</v>
      </c>
      <c r="M21" s="185">
        <f>[6]Controles!T22</f>
        <v>100</v>
      </c>
      <c r="N21" s="185" t="str">
        <f>[6]Controles!AB22</f>
        <v>No</v>
      </c>
      <c r="O21" s="186">
        <f>[6]Controles!W22</f>
        <v>1</v>
      </c>
      <c r="P21" s="186">
        <f>[6]Controles!X22</f>
        <v>0</v>
      </c>
      <c r="Q21" s="1301"/>
      <c r="R21" s="1301"/>
      <c r="S21" s="1142"/>
      <c r="T21" s="1142"/>
      <c r="U21" s="1126"/>
      <c r="V21" s="1126"/>
      <c r="W21" s="1442"/>
      <c r="X21" s="1125"/>
      <c r="Y21" s="184"/>
      <c r="Z21" s="187"/>
      <c r="AA21" s="188"/>
      <c r="AB21" s="188"/>
      <c r="AC21" s="189"/>
      <c r="AD21" s="416"/>
      <c r="AE21" s="198"/>
      <c r="AF21" s="198"/>
      <c r="AG21" s="198"/>
      <c r="AH21" s="198"/>
      <c r="AI21" s="417"/>
      <c r="AJ21" s="418"/>
      <c r="AK21" s="418"/>
    </row>
    <row r="22" spans="1:37" s="192" customFormat="1" ht="120.75" customHeight="1" x14ac:dyDescent="0.2">
      <c r="A22" s="1139" t="e">
        <f>#REF!</f>
        <v>#REF!</v>
      </c>
      <c r="B22" s="1140" t="e">
        <f>#REF!</f>
        <v>#REF!</v>
      </c>
      <c r="C22" s="1140" t="e">
        <f>#REF!</f>
        <v>#REF!</v>
      </c>
      <c r="D22" s="1125" t="s">
        <v>210</v>
      </c>
      <c r="E22" s="1127">
        <f>IF(D22="Selecciona un descriptor de frecuencia."," ",IF(D22="","",VLOOKUP(D22,[6]Datos!$G$8:$J$12,2,FALSE)))</f>
        <v>3</v>
      </c>
      <c r="F22" s="1127" t="str">
        <f>IF(D22="Selecciona un descriptor de frecuencia."," ",IF(D22="","",VLOOKUP(D22,[6]Datos!$G$8:$J$12,3,FALSE)))</f>
        <v>Posible</v>
      </c>
      <c r="G22" s="1125" t="s">
        <v>226</v>
      </c>
      <c r="H22" s="1139">
        <f>IF(G22="","",VLOOKUP(G22,[6]Datos!$K$8:$L$12,2,FALSE))</f>
        <v>2</v>
      </c>
      <c r="I22" s="1442" t="str">
        <f>IF(D22="Selecciona un descriptor de frecuencia."," ",IF(G22="Selecciona un descriptor de impacto."," ",IF(E22+H22=" ","",IF(E22="","",VLOOKUP(E22,[6]Datos!$U$8:$Z$12,MATCH(H22,[6]Datos!$V$7:$Z$7,0)+1,FALSE)))))</f>
        <v>MODERADO</v>
      </c>
      <c r="J22" s="1125" t="s">
        <v>122</v>
      </c>
      <c r="K22" s="414" t="s">
        <v>695</v>
      </c>
      <c r="L22" s="421" t="s">
        <v>696</v>
      </c>
      <c r="M22" s="185">
        <f>[6]Controles!T24</f>
        <v>100</v>
      </c>
      <c r="N22" s="185" t="str">
        <f>[6]Controles!AB24</f>
        <v>No</v>
      </c>
      <c r="O22" s="186">
        <f>[6]Controles!W24</f>
        <v>1</v>
      </c>
      <c r="P22" s="186">
        <f>[6]Controles!X24</f>
        <v>0</v>
      </c>
      <c r="Q22" s="1301">
        <f>SUM(O22:O25)</f>
        <v>3.9000000000000004</v>
      </c>
      <c r="R22" s="1301">
        <f>SUM(P22:P25)</f>
        <v>0</v>
      </c>
      <c r="S22" s="1142">
        <f t="shared" ref="S22" si="3">IF(D22="Selecciona un descriptor de frecuencia."," ",IF(ROUNDUP(E22-Q22,0)&lt;=0,1,ROUNDUP(E22-Q22,0)))</f>
        <v>1</v>
      </c>
      <c r="T22" s="1142">
        <f t="shared" ref="T22" si="4">IF(G22="Selecciona un descriptor de impacto."," ",IF(ROUNDUP(H22-R22,0)&lt;0,1,ROUNDUP(H22-R22,0)))</f>
        <v>2</v>
      </c>
      <c r="U22" s="1126" t="str">
        <f>IF(D22="Selecciona un descriptor de frecuencia."," ",VLOOKUP(S22,[6]Datos!$H$8:$I$12,2,FALSE))</f>
        <v>Rara vez</v>
      </c>
      <c r="V22" s="1126" t="str">
        <f>IF(G22="Selecciona un descriptor de impacto."," ",VLOOKUP(T22,[6]Datos!$L$8:$M$12,2,FALSE))</f>
        <v>Menor</v>
      </c>
      <c r="W22" s="1442" t="str">
        <f>IF(S22=" "," ",VLOOKUP(S22,[6]Datos!$U$8:$Z$12,MATCH(T22,[6]Datos!$V$7:$Z$7,0)+1,FALSE))</f>
        <v>BAJO</v>
      </c>
      <c r="X22" s="1125" t="s">
        <v>187</v>
      </c>
      <c r="Y22" s="309" t="s">
        <v>697</v>
      </c>
      <c r="Z22" s="196" t="s">
        <v>670</v>
      </c>
      <c r="AA22" s="422">
        <v>44197</v>
      </c>
      <c r="AB22" s="422">
        <v>44561</v>
      </c>
      <c r="AC22" s="309" t="s">
        <v>698</v>
      </c>
      <c r="AD22" s="416"/>
      <c r="AE22" s="198"/>
      <c r="AF22" s="198"/>
      <c r="AG22" s="198"/>
      <c r="AH22" s="198"/>
      <c r="AI22" s="417"/>
      <c r="AJ22" s="418"/>
      <c r="AK22" s="418"/>
    </row>
    <row r="23" spans="1:37" s="192" customFormat="1" ht="99.75" customHeight="1" x14ac:dyDescent="0.2">
      <c r="A23" s="1139"/>
      <c r="B23" s="1140"/>
      <c r="C23" s="1140"/>
      <c r="D23" s="1125"/>
      <c r="E23" s="1127"/>
      <c r="F23" s="1127"/>
      <c r="G23" s="1125"/>
      <c r="H23" s="1139"/>
      <c r="I23" s="1442"/>
      <c r="J23" s="1125"/>
      <c r="K23" s="419" t="s">
        <v>682</v>
      </c>
      <c r="L23" s="421" t="s">
        <v>699</v>
      </c>
      <c r="M23" s="185">
        <f>[6]Controles!T25</f>
        <v>100</v>
      </c>
      <c r="N23" s="185" t="str">
        <f>[6]Controles!AB25</f>
        <v>No</v>
      </c>
      <c r="O23" s="186">
        <f>[6]Controles!W25</f>
        <v>1</v>
      </c>
      <c r="P23" s="186">
        <f>[6]Controles!X25</f>
        <v>0</v>
      </c>
      <c r="Q23" s="1301"/>
      <c r="R23" s="1301"/>
      <c r="S23" s="1142"/>
      <c r="T23" s="1142"/>
      <c r="U23" s="1126"/>
      <c r="V23" s="1126"/>
      <c r="W23" s="1442"/>
      <c r="X23" s="1125"/>
      <c r="Y23" s="309"/>
      <c r="Z23" s="310"/>
      <c r="AA23" s="422"/>
      <c r="AB23" s="422"/>
      <c r="AC23" s="309"/>
      <c r="AD23" s="416"/>
      <c r="AE23" s="198"/>
      <c r="AF23" s="198"/>
      <c r="AG23" s="198"/>
      <c r="AH23" s="198"/>
      <c r="AI23" s="417"/>
      <c r="AJ23" s="418"/>
      <c r="AK23" s="418"/>
    </row>
    <row r="24" spans="1:37" s="192" customFormat="1" ht="133.5" customHeight="1" x14ac:dyDescent="0.2">
      <c r="A24" s="1139"/>
      <c r="B24" s="1140"/>
      <c r="C24" s="1140"/>
      <c r="D24" s="1125"/>
      <c r="E24" s="1127"/>
      <c r="F24" s="1127"/>
      <c r="G24" s="1125"/>
      <c r="H24" s="1139"/>
      <c r="I24" s="1442"/>
      <c r="J24" s="1125"/>
      <c r="K24" s="419" t="s">
        <v>700</v>
      </c>
      <c r="L24" s="421" t="s">
        <v>701</v>
      </c>
      <c r="M24" s="185">
        <f>[6]Controles!T26</f>
        <v>95</v>
      </c>
      <c r="N24" s="185" t="str">
        <f>[6]Controles!AB26</f>
        <v>SI</v>
      </c>
      <c r="O24" s="186">
        <f>[6]Controles!W26</f>
        <v>0.95</v>
      </c>
      <c r="P24" s="186">
        <f>[6]Controles!X26</f>
        <v>0</v>
      </c>
      <c r="Q24" s="1301"/>
      <c r="R24" s="1301"/>
      <c r="S24" s="1142"/>
      <c r="T24" s="1142"/>
      <c r="U24" s="1126"/>
      <c r="V24" s="1126"/>
      <c r="W24" s="1442"/>
      <c r="X24" s="1125"/>
      <c r="Y24" s="309"/>
      <c r="Z24" s="310"/>
      <c r="AA24" s="422"/>
      <c r="AB24" s="422"/>
      <c r="AC24" s="309"/>
      <c r="AD24" s="416"/>
      <c r="AE24" s="198"/>
      <c r="AF24" s="198"/>
      <c r="AG24" s="198"/>
      <c r="AH24" s="198"/>
      <c r="AI24" s="417"/>
      <c r="AJ24" s="418"/>
      <c r="AK24" s="418"/>
    </row>
    <row r="25" spans="1:37" s="192" customFormat="1" ht="128.25" x14ac:dyDescent="0.2">
      <c r="A25" s="1139"/>
      <c r="B25" s="1140"/>
      <c r="C25" s="1140"/>
      <c r="D25" s="1125"/>
      <c r="E25" s="1127"/>
      <c r="F25" s="1127"/>
      <c r="G25" s="1125"/>
      <c r="H25" s="1139"/>
      <c r="I25" s="1442"/>
      <c r="J25" s="1125"/>
      <c r="K25" s="419" t="s">
        <v>702</v>
      </c>
      <c r="L25" s="421" t="s">
        <v>703</v>
      </c>
      <c r="M25" s="185">
        <f>[6]Controles!T26</f>
        <v>95</v>
      </c>
      <c r="N25" s="185" t="str">
        <f>[6]Controles!AB26</f>
        <v>SI</v>
      </c>
      <c r="O25" s="186">
        <f>[6]Controles!W26</f>
        <v>0.95</v>
      </c>
      <c r="P25" s="186">
        <f>[6]Controles!X26</f>
        <v>0</v>
      </c>
      <c r="Q25" s="1301"/>
      <c r="R25" s="1301"/>
      <c r="S25" s="1142"/>
      <c r="T25" s="1142"/>
      <c r="U25" s="1126"/>
      <c r="V25" s="1126"/>
      <c r="W25" s="1442"/>
      <c r="X25" s="1125"/>
      <c r="Y25" s="309"/>
      <c r="Z25" s="310"/>
      <c r="AA25" s="422"/>
      <c r="AB25" s="422"/>
      <c r="AC25" s="309"/>
      <c r="AD25" s="416"/>
      <c r="AE25" s="198"/>
      <c r="AF25" s="198"/>
      <c r="AG25" s="198"/>
      <c r="AH25" s="198"/>
      <c r="AI25" s="417"/>
      <c r="AJ25" s="418"/>
      <c r="AK25" s="418"/>
    </row>
    <row r="26" spans="1:37" s="192" customFormat="1" ht="80.25" customHeight="1" x14ac:dyDescent="0.2">
      <c r="A26" s="1302" t="e">
        <f>#REF!</f>
        <v>#REF!</v>
      </c>
      <c r="B26" s="1140" t="e">
        <f>#REF!</f>
        <v>#REF!</v>
      </c>
      <c r="C26" s="1140" t="e">
        <f>#REF!</f>
        <v>#REF!</v>
      </c>
      <c r="D26" s="1125" t="s">
        <v>236</v>
      </c>
      <c r="E26" s="1127">
        <f>IF(D26="Selecciona un descriptor de frecuencia."," ",IF(D26="","",VLOOKUP(D26,[6]Datos!$G$8:$J$12,2,FALSE)))</f>
        <v>1</v>
      </c>
      <c r="F26" s="1127" t="str">
        <f>IF(D26="Selecciona un descriptor de frecuencia."," ",IF(D26="","",VLOOKUP(D26,[6]Datos!$G$8:$J$12,3,FALSE)))</f>
        <v>Rara vez</v>
      </c>
      <c r="G26" s="1125" t="s">
        <v>184</v>
      </c>
      <c r="H26" s="1139">
        <f>IF(G26="","",VLOOKUP(G26,[6]Datos!$K$8:$L$12,2,FALSE))</f>
        <v>5</v>
      </c>
      <c r="I26" s="1442" t="str">
        <f>IF(D26="Selecciona un descriptor de frecuencia."," ",IF(G26="Selecciona un descriptor de impacto."," ",IF(E26+H26=" ","",IF(E26="","",VLOOKUP(E26,[6]Datos!$U$8:$Z$12,MATCH(H26,[6]Datos!$V$7:$Z$7,0)+1,FALSE)))))</f>
        <v>EXTREMO</v>
      </c>
      <c r="J26" s="1125" t="s">
        <v>122</v>
      </c>
      <c r="K26" s="420" t="s">
        <v>704</v>
      </c>
      <c r="L26" s="421" t="s">
        <v>705</v>
      </c>
      <c r="M26" s="185">
        <f>[6]Controles!T28</f>
        <v>95</v>
      </c>
      <c r="N26" s="185" t="str">
        <f>[6]Controles!AB28</f>
        <v>SI</v>
      </c>
      <c r="O26" s="186">
        <f>[6]Controles!W28</f>
        <v>0.95</v>
      </c>
      <c r="P26" s="186">
        <f>[6]Controles!X28</f>
        <v>0</v>
      </c>
      <c r="Q26" s="1301">
        <f>SUM(O26:O28)</f>
        <v>1.85</v>
      </c>
      <c r="R26" s="1301">
        <f>SUM(P26:P28)</f>
        <v>1</v>
      </c>
      <c r="S26" s="1142">
        <f t="shared" ref="S26" si="5">IF(D26="Selecciona un descriptor de frecuencia."," ",IF(ROUNDUP(E26-Q26,0)&lt;=0,1,ROUNDUP(E26-Q26,0)))</f>
        <v>1</v>
      </c>
      <c r="T26" s="1142">
        <f t="shared" ref="T26" si="6">IF(G26="Selecciona un descriptor de impacto."," ",IF(ROUNDUP(H26-R26,0)&lt;0,1,ROUNDUP(H26-R26,0)))</f>
        <v>4</v>
      </c>
      <c r="U26" s="1126" t="str">
        <f>IF(D26="Selecciona un descriptor de frecuencia."," ",VLOOKUP(S26,[6]Datos!$H$8:$I$12,2,FALSE))</f>
        <v>Rara vez</v>
      </c>
      <c r="V26" s="1126" t="str">
        <f>IF(G26="Selecciona un descriptor de impacto."," ",VLOOKUP(T26,[6]Datos!$L$8:$M$12,2,FALSE))</f>
        <v>Mayor</v>
      </c>
      <c r="W26" s="1442" t="str">
        <f>IF(S26=" "," ",VLOOKUP(S26,[6]Datos!$U$8:$Z$12,MATCH(T26,[6]Datos!$V$7:$Z$7,0)+1,FALSE))</f>
        <v>ALTO</v>
      </c>
      <c r="X26" s="1125" t="s">
        <v>202</v>
      </c>
      <c r="Y26" s="309" t="s">
        <v>706</v>
      </c>
      <c r="Z26" s="196" t="s">
        <v>670</v>
      </c>
      <c r="AA26" s="422">
        <v>44197</v>
      </c>
      <c r="AB26" s="422">
        <v>44561</v>
      </c>
      <c r="AC26" s="309" t="s">
        <v>707</v>
      </c>
      <c r="AD26" s="416"/>
      <c r="AE26" s="198"/>
      <c r="AF26" s="198"/>
      <c r="AG26" s="198"/>
      <c r="AH26" s="198"/>
      <c r="AI26" s="417"/>
      <c r="AJ26" s="418"/>
      <c r="AK26" s="418"/>
    </row>
    <row r="27" spans="1:37" s="192" customFormat="1" ht="167.25" customHeight="1" x14ac:dyDescent="0.2">
      <c r="A27" s="1302"/>
      <c r="B27" s="1140"/>
      <c r="C27" s="1140"/>
      <c r="D27" s="1125"/>
      <c r="E27" s="1127"/>
      <c r="F27" s="1127"/>
      <c r="G27" s="1125"/>
      <c r="H27" s="1139"/>
      <c r="I27" s="1442"/>
      <c r="J27" s="1125"/>
      <c r="K27" s="420" t="s">
        <v>708</v>
      </c>
      <c r="L27" s="421" t="s">
        <v>709</v>
      </c>
      <c r="M27" s="185">
        <f>[6]Controles!T29</f>
        <v>90</v>
      </c>
      <c r="N27" s="185" t="str">
        <f>[6]Controles!AB29</f>
        <v>SI</v>
      </c>
      <c r="O27" s="186">
        <f>[6]Controles!W29</f>
        <v>0.9</v>
      </c>
      <c r="P27" s="186">
        <f>[6]Controles!X29</f>
        <v>0</v>
      </c>
      <c r="Q27" s="1301"/>
      <c r="R27" s="1301"/>
      <c r="S27" s="1142"/>
      <c r="T27" s="1142"/>
      <c r="U27" s="1126"/>
      <c r="V27" s="1126"/>
      <c r="W27" s="1442"/>
      <c r="X27" s="1125"/>
      <c r="Y27" s="309" t="s">
        <v>710</v>
      </c>
      <c r="Z27" s="196" t="s">
        <v>670</v>
      </c>
      <c r="AA27" s="422">
        <v>44197</v>
      </c>
      <c r="AB27" s="422">
        <v>44561</v>
      </c>
      <c r="AC27" s="309" t="s">
        <v>363</v>
      </c>
      <c r="AD27" s="416"/>
      <c r="AE27" s="198"/>
      <c r="AF27" s="198"/>
      <c r="AG27" s="198"/>
      <c r="AH27" s="198"/>
      <c r="AI27" s="417"/>
      <c r="AJ27" s="418"/>
      <c r="AK27" s="418"/>
    </row>
    <row r="28" spans="1:37" s="192" customFormat="1" ht="81" customHeight="1" x14ac:dyDescent="0.2">
      <c r="A28" s="1302"/>
      <c r="B28" s="1140"/>
      <c r="C28" s="1140"/>
      <c r="D28" s="1125"/>
      <c r="E28" s="1127"/>
      <c r="F28" s="1127"/>
      <c r="G28" s="1125"/>
      <c r="H28" s="1139"/>
      <c r="I28" s="1442"/>
      <c r="J28" s="1125"/>
      <c r="K28" s="420" t="s">
        <v>682</v>
      </c>
      <c r="L28" s="421" t="s">
        <v>711</v>
      </c>
      <c r="M28" s="185">
        <f>[6]Controles!T30</f>
        <v>100</v>
      </c>
      <c r="N28" s="185" t="str">
        <f>[6]Controles!AB30</f>
        <v>SI</v>
      </c>
      <c r="O28" s="186">
        <f>[6]Controles!W30</f>
        <v>0</v>
      </c>
      <c r="P28" s="186">
        <f>[6]Controles!X30</f>
        <v>1</v>
      </c>
      <c r="Q28" s="1301"/>
      <c r="R28" s="1301"/>
      <c r="S28" s="1142"/>
      <c r="T28" s="1142"/>
      <c r="U28" s="1126"/>
      <c r="V28" s="1126"/>
      <c r="W28" s="1442"/>
      <c r="X28" s="1125"/>
      <c r="Y28" s="309"/>
      <c r="Z28" s="310"/>
      <c r="AA28" s="422"/>
      <c r="AB28" s="422"/>
      <c r="AC28" s="309"/>
      <c r="AD28" s="416"/>
      <c r="AE28" s="198"/>
      <c r="AF28" s="198"/>
      <c r="AG28" s="198"/>
      <c r="AH28" s="198"/>
      <c r="AI28" s="417"/>
      <c r="AJ28" s="418"/>
      <c r="AK28" s="418"/>
    </row>
  </sheetData>
  <mergeCells count="99">
    <mergeCell ref="X26:X28"/>
    <mergeCell ref="G26:G28"/>
    <mergeCell ref="H26:H28"/>
    <mergeCell ref="I26:I28"/>
    <mergeCell ref="J26:J28"/>
    <mergeCell ref="Q26:Q28"/>
    <mergeCell ref="R26:R28"/>
    <mergeCell ref="S26:S28"/>
    <mergeCell ref="T26:T28"/>
    <mergeCell ref="U26:U28"/>
    <mergeCell ref="V26:V28"/>
    <mergeCell ref="W26:W28"/>
    <mergeCell ref="A26:A28"/>
    <mergeCell ref="B26:B28"/>
    <mergeCell ref="C26:C28"/>
    <mergeCell ref="D26:D28"/>
    <mergeCell ref="E26:E28"/>
    <mergeCell ref="F26:F28"/>
    <mergeCell ref="S22:S25"/>
    <mergeCell ref="T22:T25"/>
    <mergeCell ref="U22:U25"/>
    <mergeCell ref="V22:V25"/>
    <mergeCell ref="F22:F25"/>
    <mergeCell ref="W22:W25"/>
    <mergeCell ref="X22:X25"/>
    <mergeCell ref="G22:G25"/>
    <mergeCell ref="H22:H25"/>
    <mergeCell ref="I22:I25"/>
    <mergeCell ref="J22:J25"/>
    <mergeCell ref="Q22:Q25"/>
    <mergeCell ref="R22:R25"/>
    <mergeCell ref="A22:A25"/>
    <mergeCell ref="B22:B25"/>
    <mergeCell ref="C22:C25"/>
    <mergeCell ref="D22:D25"/>
    <mergeCell ref="E22:E25"/>
    <mergeCell ref="X17:X21"/>
    <mergeCell ref="G17:G21"/>
    <mergeCell ref="H17:H21"/>
    <mergeCell ref="I17:I21"/>
    <mergeCell ref="J17:J21"/>
    <mergeCell ref="Q17:Q21"/>
    <mergeCell ref="R17:R21"/>
    <mergeCell ref="S17:S21"/>
    <mergeCell ref="T17:T21"/>
    <mergeCell ref="U17:U21"/>
    <mergeCell ref="V17:V21"/>
    <mergeCell ref="W17:W21"/>
    <mergeCell ref="A17:A21"/>
    <mergeCell ref="B17:B21"/>
    <mergeCell ref="C17:C21"/>
    <mergeCell ref="D17:D21"/>
    <mergeCell ref="E17:E21"/>
    <mergeCell ref="F17:F21"/>
    <mergeCell ref="S12:S16"/>
    <mergeCell ref="T12:T16"/>
    <mergeCell ref="U12:U16"/>
    <mergeCell ref="V12:V16"/>
    <mergeCell ref="F12:F16"/>
    <mergeCell ref="X12:X16"/>
    <mergeCell ref="G12:G16"/>
    <mergeCell ref="H12:H16"/>
    <mergeCell ref="I12:I16"/>
    <mergeCell ref="J12:J16"/>
    <mergeCell ref="Q12:Q16"/>
    <mergeCell ref="R12:R16"/>
    <mergeCell ref="W12:W16"/>
    <mergeCell ref="R7:R11"/>
    <mergeCell ref="S7:S11"/>
    <mergeCell ref="T7:T11"/>
    <mergeCell ref="U7:U11"/>
    <mergeCell ref="V7:V11"/>
    <mergeCell ref="A12:A16"/>
    <mergeCell ref="B12:B16"/>
    <mergeCell ref="C12:C16"/>
    <mergeCell ref="D12:D16"/>
    <mergeCell ref="E12:E16"/>
    <mergeCell ref="AK1:AK2"/>
    <mergeCell ref="AK3:AK4"/>
    <mergeCell ref="A5:I5"/>
    <mergeCell ref="K5:P5"/>
    <mergeCell ref="Q5:X5"/>
    <mergeCell ref="Y5:AC5"/>
    <mergeCell ref="AD5:AI5"/>
    <mergeCell ref="X7:X11"/>
    <mergeCell ref="Q7:Q11"/>
    <mergeCell ref="F7:F11"/>
    <mergeCell ref="A1:C4"/>
    <mergeCell ref="D1:AJ4"/>
    <mergeCell ref="A7:A11"/>
    <mergeCell ref="B7:B11"/>
    <mergeCell ref="C7:C11"/>
    <mergeCell ref="D7:D11"/>
    <mergeCell ref="E7:E11"/>
    <mergeCell ref="W7:W11"/>
    <mergeCell ref="G7:G11"/>
    <mergeCell ref="H7:H11"/>
    <mergeCell ref="I7:I11"/>
    <mergeCell ref="J7:J11"/>
  </mergeCells>
  <conditionalFormatting sqref="I7:J7 W7:X7 J12:J16 I12 I17:J17 I22:J22 I26:J26 W12:X12 W17:X17 W22:X22 W26:X26">
    <cfRule type="cellIs" dxfId="135" priority="1" operator="equal">
      <formula>"Extremo"</formula>
    </cfRule>
    <cfRule type="cellIs" dxfId="134" priority="2" operator="equal">
      <formula>"Moderado"</formula>
    </cfRule>
    <cfRule type="cellIs" dxfId="133" priority="3" operator="equal">
      <formula>"Bajo"</formula>
    </cfRule>
    <cfRule type="cellIs" dxfId="132" priority="4" operator="equal">
      <formula>"Alto"</formula>
    </cfRule>
  </conditionalFormatting>
  <dataValidations count="1">
    <dataValidation type="list" allowBlank="1" showInputMessage="1" showErrorMessage="1" sqref="J26 J12:J17 J22 J7" xr:uid="{00000000-0002-0000-2B00-000000000000}">
      <formula1>"SI,NO"</formula1>
    </dataValidation>
  </dataValidations>
  <pageMargins left="7.874015748031496E-2" right="7.874015748031496E-2" top="1.1417322834645669" bottom="0.15748031496062992" header="0.31496062992125984" footer="0.31496062992125984"/>
  <pageSetup scale="38" orientation="landscape" horizontalDpi="1200" verticalDpi="1200" r:id="rId1"/>
  <headerFooter>
    <oddHeader>&amp;L&amp;G&amp;C
&amp;"-,Negrita"Matriz de Riesgos</oddHeader>
  </headerFooter>
  <rowBreaks count="2" manualBreakCount="2">
    <brk id="16" max="16383" man="1"/>
    <brk id="25" max="16383" man="1"/>
  </rowBreaks>
  <colBreaks count="2" manualBreakCount="2">
    <brk id="16" max="1048575" man="1"/>
    <brk id="29" max="1048575" man="1"/>
  </col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B00-000001000000}">
          <x14:formula1>
            <xm:f>'C:\Users\sgomez.UPME\Documents\UPME 2020\Documents\Mapas de riesgos\[Mapa de riesgos PEI HIDROCARBUROS.xlsx]Datos'!#REF!</xm:f>
          </x14:formula1>
          <xm:sqref>G7:G28 X7:X28 D7:D28</xm:sqref>
        </x14:dataValidation>
      </x14:dataValidation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BEAE25"/>
  </sheetPr>
  <dimension ref="A1:X7"/>
  <sheetViews>
    <sheetView showGridLines="0" topLeftCell="A4" zoomScaleNormal="100" zoomScaleSheetLayoutView="115" workbookViewId="0">
      <selection activeCell="F7" sqref="F7"/>
    </sheetView>
  </sheetViews>
  <sheetFormatPr baseColWidth="10" defaultRowHeight="15" x14ac:dyDescent="0.25"/>
  <cols>
    <col min="1" max="1" width="5.625" style="151" customWidth="1"/>
    <col min="2" max="2" width="21.625" style="151" customWidth="1"/>
    <col min="3" max="3" width="15.75" style="151" customWidth="1"/>
    <col min="4" max="4" width="17.875" style="151" customWidth="1"/>
    <col min="5" max="11" width="16.625" style="151" customWidth="1"/>
    <col min="12" max="12" width="21.375" style="151" customWidth="1"/>
    <col min="13" max="14" width="16.625" style="151" customWidth="1"/>
    <col min="15" max="15" width="18.5" style="151" customWidth="1"/>
    <col min="16" max="16" width="16.625" style="151" customWidth="1"/>
    <col min="17" max="23" width="13.75" style="151" customWidth="1"/>
    <col min="24" max="24" width="9.125" style="168" bestFit="1" customWidth="1"/>
    <col min="25" max="26" width="25.625" style="151" customWidth="1"/>
    <col min="27" max="16384" width="11" style="151"/>
  </cols>
  <sheetData>
    <row r="1" spans="1:24" ht="15" customHeight="1" x14ac:dyDescent="0.25">
      <c r="A1" s="1144"/>
      <c r="B1" s="1145"/>
      <c r="C1" s="1145"/>
      <c r="D1" s="1146"/>
      <c r="E1" s="1149" t="s">
        <v>0</v>
      </c>
      <c r="F1" s="1150"/>
      <c r="G1" s="1150"/>
      <c r="H1" s="1150"/>
      <c r="I1" s="1150"/>
      <c r="J1" s="1150"/>
      <c r="K1" s="1150"/>
      <c r="L1" s="1150"/>
      <c r="M1" s="1150"/>
      <c r="N1" s="1150"/>
      <c r="O1" s="1150"/>
      <c r="P1" s="1150"/>
      <c r="Q1" s="1150"/>
      <c r="R1" s="1150"/>
      <c r="S1" s="1150"/>
      <c r="T1" s="1151"/>
      <c r="U1" s="1155" t="s">
        <v>98</v>
      </c>
      <c r="V1" s="1156"/>
      <c r="W1" s="1156"/>
      <c r="X1" s="1157"/>
    </row>
    <row r="2" spans="1:24" ht="15" customHeight="1" x14ac:dyDescent="0.25">
      <c r="A2" s="1147"/>
      <c r="B2" s="1148"/>
      <c r="C2" s="1148"/>
      <c r="D2" s="1096"/>
      <c r="E2" s="1152"/>
      <c r="F2" s="1153"/>
      <c r="G2" s="1153"/>
      <c r="H2" s="1153"/>
      <c r="I2" s="1153"/>
      <c r="J2" s="1153"/>
      <c r="K2" s="1153"/>
      <c r="L2" s="1153"/>
      <c r="M2" s="1153"/>
      <c r="N2" s="1153"/>
      <c r="O2" s="1153"/>
      <c r="P2" s="1153"/>
      <c r="Q2" s="1153"/>
      <c r="R2" s="1153"/>
      <c r="S2" s="1153"/>
      <c r="T2" s="1154"/>
      <c r="U2" s="1158"/>
      <c r="V2" s="1159"/>
      <c r="W2" s="1159"/>
      <c r="X2" s="1160"/>
    </row>
    <row r="3" spans="1:24" ht="15" customHeight="1" x14ac:dyDescent="0.25">
      <c r="A3" s="1147"/>
      <c r="B3" s="1148"/>
      <c r="C3" s="1148"/>
      <c r="D3" s="1096"/>
      <c r="E3" s="1152"/>
      <c r="F3" s="1153"/>
      <c r="G3" s="1153"/>
      <c r="H3" s="1153"/>
      <c r="I3" s="1153"/>
      <c r="J3" s="1153"/>
      <c r="K3" s="1153"/>
      <c r="L3" s="1153"/>
      <c r="M3" s="1153"/>
      <c r="N3" s="1153"/>
      <c r="O3" s="1153"/>
      <c r="P3" s="1153"/>
      <c r="Q3" s="1153"/>
      <c r="R3" s="1153"/>
      <c r="S3" s="1153"/>
      <c r="T3" s="1154"/>
      <c r="U3" s="1155" t="s">
        <v>367</v>
      </c>
      <c r="V3" s="1156"/>
      <c r="W3" s="1156"/>
      <c r="X3" s="1156"/>
    </row>
    <row r="4" spans="1:24" ht="15" customHeight="1" x14ac:dyDescent="0.25">
      <c r="A4" s="1147"/>
      <c r="B4" s="1148"/>
      <c r="C4" s="1148"/>
      <c r="D4" s="1096"/>
      <c r="E4" s="1152"/>
      <c r="F4" s="1153"/>
      <c r="G4" s="1153"/>
      <c r="H4" s="1153"/>
      <c r="I4" s="1153"/>
      <c r="J4" s="1153"/>
      <c r="K4" s="1153"/>
      <c r="L4" s="1153"/>
      <c r="M4" s="1153"/>
      <c r="N4" s="1153"/>
      <c r="O4" s="1153"/>
      <c r="P4" s="1153"/>
      <c r="Q4" s="1153"/>
      <c r="R4" s="1153"/>
      <c r="S4" s="1153"/>
      <c r="T4" s="1154"/>
      <c r="U4" s="1161"/>
      <c r="V4" s="1162"/>
      <c r="W4" s="1162"/>
      <c r="X4" s="1162"/>
    </row>
    <row r="5" spans="1:24" ht="15" customHeight="1" x14ac:dyDescent="0.25">
      <c r="A5" s="1163" t="s">
        <v>100</v>
      </c>
      <c r="B5" s="1163"/>
      <c r="C5" s="1163"/>
      <c r="D5" s="1164"/>
      <c r="E5" s="1118" t="s">
        <v>101</v>
      </c>
      <c r="F5" s="1119"/>
      <c r="G5" s="1119"/>
      <c r="H5" s="1119"/>
      <c r="I5" s="1119"/>
      <c r="J5" s="1119"/>
      <c r="K5" s="1119"/>
      <c r="L5" s="1119"/>
      <c r="M5" s="1119"/>
      <c r="N5" s="1119"/>
      <c r="O5" s="1119"/>
      <c r="P5" s="1119"/>
      <c r="Q5" s="1119"/>
      <c r="R5" s="1119"/>
      <c r="S5" s="1119"/>
      <c r="T5" s="1119"/>
      <c r="U5" s="1119"/>
      <c r="V5" s="1119"/>
      <c r="W5" s="1119"/>
      <c r="X5" s="1120"/>
    </row>
    <row r="6" spans="1:24" s="209" customFormat="1" ht="114.75" customHeight="1" x14ac:dyDescent="0.2">
      <c r="A6" s="157" t="s">
        <v>44</v>
      </c>
      <c r="B6" s="208" t="s">
        <v>64</v>
      </c>
      <c r="C6" s="208" t="s">
        <v>70</v>
      </c>
      <c r="D6" s="208" t="s">
        <v>69</v>
      </c>
      <c r="E6" s="157" t="s">
        <v>102</v>
      </c>
      <c r="F6" s="157" t="s">
        <v>103</v>
      </c>
      <c r="G6" s="157" t="s">
        <v>104</v>
      </c>
      <c r="H6" s="157" t="s">
        <v>105</v>
      </c>
      <c r="I6" s="208" t="s">
        <v>106</v>
      </c>
      <c r="J6" s="208" t="s">
        <v>107</v>
      </c>
      <c r="K6" s="208" t="s">
        <v>108</v>
      </c>
      <c r="L6" s="208" t="s">
        <v>712</v>
      </c>
      <c r="M6" s="208" t="s">
        <v>110</v>
      </c>
      <c r="N6" s="208" t="s">
        <v>111</v>
      </c>
      <c r="O6" s="208" t="s">
        <v>112</v>
      </c>
      <c r="P6" s="208" t="s">
        <v>113</v>
      </c>
      <c r="Q6" s="208" t="s">
        <v>114</v>
      </c>
      <c r="R6" s="208" t="s">
        <v>115</v>
      </c>
      <c r="S6" s="208" t="s">
        <v>116</v>
      </c>
      <c r="T6" s="208" t="s">
        <v>117</v>
      </c>
      <c r="U6" s="208" t="s">
        <v>118</v>
      </c>
      <c r="V6" s="208" t="s">
        <v>119</v>
      </c>
      <c r="W6" s="208" t="s">
        <v>120</v>
      </c>
      <c r="X6" s="208" t="s">
        <v>121</v>
      </c>
    </row>
    <row r="7" spans="1:24" s="203" customFormat="1" ht="131.25" customHeight="1" x14ac:dyDescent="0.25">
      <c r="A7" s="165" t="e">
        <f>#REF!</f>
        <v>#REF!</v>
      </c>
      <c r="B7" s="423" t="e">
        <f>#REF!</f>
        <v>#REF!</v>
      </c>
      <c r="C7" s="165">
        <f>IF(D7="PENDIENTE EVALUAR EL IMPACTO","PENDIENTE EVALUAR EL IMPACTO COLUMNAS H-W",VLOOKUP(D7,[6]Datos!$K$8:$L$12,2,FALSE))</f>
        <v>5</v>
      </c>
      <c r="D7" s="165" t="str">
        <f t="shared" ref="D7" si="0">IF(X7=0,"PENDIENTE EVALUAR EL IMPACTO",IF(X7&lt;=5,"MODERADO",IF(X7&lt;=11,"MAYOR","CATASTRÓFICO")))</f>
        <v>CATASTRÓFICO</v>
      </c>
      <c r="E7" s="163" t="s">
        <v>122</v>
      </c>
      <c r="F7" s="163" t="s">
        <v>263</v>
      </c>
      <c r="G7" s="163" t="s">
        <v>122</v>
      </c>
      <c r="H7" s="163" t="s">
        <v>122</v>
      </c>
      <c r="I7" s="163" t="s">
        <v>122</v>
      </c>
      <c r="J7" s="163" t="s">
        <v>122</v>
      </c>
      <c r="K7" s="163" t="s">
        <v>263</v>
      </c>
      <c r="L7" s="163" t="s">
        <v>122</v>
      </c>
      <c r="M7" s="163" t="s">
        <v>122</v>
      </c>
      <c r="N7" s="163" t="s">
        <v>122</v>
      </c>
      <c r="O7" s="163" t="s">
        <v>122</v>
      </c>
      <c r="P7" s="163" t="s">
        <v>122</v>
      </c>
      <c r="Q7" s="163" t="s">
        <v>122</v>
      </c>
      <c r="R7" s="163" t="s">
        <v>122</v>
      </c>
      <c r="S7" s="163" t="s">
        <v>122</v>
      </c>
      <c r="T7" s="163" t="s">
        <v>263</v>
      </c>
      <c r="U7" s="163" t="s">
        <v>263</v>
      </c>
      <c r="V7" s="163" t="s">
        <v>122</v>
      </c>
      <c r="W7" s="163" t="s">
        <v>263</v>
      </c>
      <c r="X7" s="211">
        <f t="shared" ref="X7" si="1">COUNTIF(E7:W7,"SI")</f>
        <v>14</v>
      </c>
    </row>
  </sheetData>
  <mergeCells count="6">
    <mergeCell ref="A1:D4"/>
    <mergeCell ref="E1:T4"/>
    <mergeCell ref="U1:X2"/>
    <mergeCell ref="U3:X4"/>
    <mergeCell ref="A5:D5"/>
    <mergeCell ref="E5:X5"/>
  </mergeCells>
  <dataValidations count="1">
    <dataValidation type="list" allowBlank="1" showInputMessage="1" showErrorMessage="1" sqref="E7:W7" xr:uid="{00000000-0002-0000-2C00-000000000000}">
      <formula1>"SI,NO"</formula1>
    </dataValidation>
  </dataValidations>
  <pageMargins left="0.51181102362204722" right="0.70866141732283472" top="1.1417322834645669" bottom="0.74803149606299213" header="0.31496062992125984" footer="0.31496062992125984"/>
  <pageSetup scale="35" orientation="landscape" horizontalDpi="1200" verticalDpi="1200" r:id="rId1"/>
  <headerFooter>
    <oddHeader>&amp;L&amp;G&amp;C
&amp;"-,Negrita"Matriz de Riesgos</oddHeader>
  </headerFooter>
  <colBreaks count="1" manualBreakCount="1">
    <brk id="4" max="1048575" man="1"/>
  </colBreaks>
  <drawing r:id="rId2"/>
  <legacyDrawing r:id="rId3"/>
  <legacyDrawingHF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30"/>
  <sheetViews>
    <sheetView showGridLines="0" topLeftCell="A4" zoomScale="70" zoomScaleNormal="70" zoomScaleSheetLayoutView="160" workbookViewId="0">
      <selection activeCell="D15" sqref="D15"/>
    </sheetView>
  </sheetViews>
  <sheetFormatPr baseColWidth="10" defaultColWidth="10" defaultRowHeight="12.75" x14ac:dyDescent="0.2"/>
  <cols>
    <col min="1" max="1" width="6.625" style="212" customWidth="1"/>
    <col min="2" max="2" width="16.75" style="212" customWidth="1"/>
    <col min="3" max="3" width="33.25" style="212" customWidth="1"/>
    <col min="4" max="4" width="38" style="182" customWidth="1"/>
    <col min="5" max="5" width="55.5" style="426" customWidth="1"/>
    <col min="6" max="10" width="21.75" style="212" customWidth="1"/>
    <col min="11" max="11" width="33.875" style="212" customWidth="1"/>
    <col min="12" max="12" width="21.75" style="212" customWidth="1"/>
    <col min="13" max="17" width="19.25" style="226" customWidth="1"/>
    <col min="18" max="18" width="22.625" style="226" customWidth="1"/>
    <col min="19" max="19" width="19.25" style="226" customWidth="1"/>
    <col min="20" max="20" width="8" style="226" customWidth="1"/>
    <col min="21" max="22" width="18.125" style="226" customWidth="1"/>
    <col min="23" max="23" width="17.75" style="226" customWidth="1"/>
    <col min="24" max="24" width="16.25" style="226" customWidth="1"/>
    <col min="25" max="25" width="15.25" style="226" customWidth="1"/>
    <col min="26" max="26" width="18.875" style="226" customWidth="1"/>
    <col min="27" max="27" width="15.625" style="226" customWidth="1"/>
    <col min="28" max="28" width="23.125" style="226" customWidth="1"/>
    <col min="29" max="29" width="22.25" style="227" customWidth="1"/>
    <col min="30" max="30" width="26.5" style="227" customWidth="1"/>
    <col min="31" max="16384" width="10" style="212"/>
  </cols>
  <sheetData>
    <row r="1" spans="1:30" ht="15.75" customHeight="1" x14ac:dyDescent="0.2">
      <c r="A1" s="1165"/>
      <c r="B1" s="1165"/>
      <c r="C1" s="1165"/>
      <c r="D1" s="1166" t="s">
        <v>0</v>
      </c>
      <c r="E1" s="1166"/>
      <c r="F1" s="1166"/>
      <c r="G1" s="1166"/>
      <c r="H1" s="1166"/>
      <c r="I1" s="1166"/>
      <c r="J1" s="1166"/>
      <c r="K1" s="1166"/>
      <c r="L1" s="1166"/>
      <c r="M1" s="1166"/>
      <c r="N1" s="1166"/>
      <c r="O1" s="1166"/>
      <c r="P1" s="1166"/>
      <c r="Q1" s="1166"/>
      <c r="R1" s="1166"/>
      <c r="S1" s="1166"/>
      <c r="T1" s="1166"/>
      <c r="U1" s="1166"/>
      <c r="V1" s="1166"/>
      <c r="W1" s="1166"/>
      <c r="X1" s="1166"/>
      <c r="Y1" s="1166"/>
      <c r="Z1" s="1166"/>
      <c r="AA1" s="1166"/>
      <c r="AB1" s="1166"/>
      <c r="AC1" s="1167" t="s">
        <v>128</v>
      </c>
      <c r="AD1" s="1167"/>
    </row>
    <row r="2" spans="1:30" ht="15.75" customHeight="1" x14ac:dyDescent="0.2">
      <c r="A2" s="1165"/>
      <c r="B2" s="1165"/>
      <c r="C2" s="1165"/>
      <c r="D2" s="1166"/>
      <c r="E2" s="1166"/>
      <c r="F2" s="1166"/>
      <c r="G2" s="1166"/>
      <c r="H2" s="1166"/>
      <c r="I2" s="1166"/>
      <c r="J2" s="1166"/>
      <c r="K2" s="1166"/>
      <c r="L2" s="1166"/>
      <c r="M2" s="1166"/>
      <c r="N2" s="1166"/>
      <c r="O2" s="1166"/>
      <c r="P2" s="1166"/>
      <c r="Q2" s="1166"/>
      <c r="R2" s="1166"/>
      <c r="S2" s="1166"/>
      <c r="T2" s="1166"/>
      <c r="U2" s="1166"/>
      <c r="V2" s="1166"/>
      <c r="W2" s="1166"/>
      <c r="X2" s="1166"/>
      <c r="Y2" s="1166"/>
      <c r="Z2" s="1166"/>
      <c r="AA2" s="1166"/>
      <c r="AB2" s="1166"/>
      <c r="AC2" s="1167"/>
      <c r="AD2" s="1167"/>
    </row>
    <row r="3" spans="1:30" ht="15.75" customHeight="1" x14ac:dyDescent="0.2">
      <c r="A3" s="1165"/>
      <c r="B3" s="1165"/>
      <c r="C3" s="1165"/>
      <c r="D3" s="1166"/>
      <c r="E3" s="1166"/>
      <c r="F3" s="1166"/>
      <c r="G3" s="1166"/>
      <c r="H3" s="1166"/>
      <c r="I3" s="1166"/>
      <c r="J3" s="1166"/>
      <c r="K3" s="1166"/>
      <c r="L3" s="1166"/>
      <c r="M3" s="1166"/>
      <c r="N3" s="1166"/>
      <c r="O3" s="1166"/>
      <c r="P3" s="1166"/>
      <c r="Q3" s="1166"/>
      <c r="R3" s="1166"/>
      <c r="S3" s="1166"/>
      <c r="T3" s="1166"/>
      <c r="U3" s="1166"/>
      <c r="V3" s="1166"/>
      <c r="W3" s="1166"/>
      <c r="X3" s="1166"/>
      <c r="Y3" s="1166"/>
      <c r="Z3" s="1166"/>
      <c r="AA3" s="1166"/>
      <c r="AB3" s="1166"/>
      <c r="AC3" s="1167" t="s">
        <v>2</v>
      </c>
      <c r="AD3" s="1167"/>
    </row>
    <row r="4" spans="1:30" ht="15.75" customHeight="1" x14ac:dyDescent="0.2">
      <c r="A4" s="1165"/>
      <c r="B4" s="1165"/>
      <c r="C4" s="1165"/>
      <c r="D4" s="1166"/>
      <c r="E4" s="1166"/>
      <c r="F4" s="1166"/>
      <c r="G4" s="1166"/>
      <c r="H4" s="1166"/>
      <c r="I4" s="1166"/>
      <c r="J4" s="1166"/>
      <c r="K4" s="1166"/>
      <c r="L4" s="1166"/>
      <c r="M4" s="1166"/>
      <c r="N4" s="1166"/>
      <c r="O4" s="1166"/>
      <c r="P4" s="1166"/>
      <c r="Q4" s="1166"/>
      <c r="R4" s="1166"/>
      <c r="S4" s="1166"/>
      <c r="T4" s="1166"/>
      <c r="U4" s="1166"/>
      <c r="V4" s="1166"/>
      <c r="W4" s="1166"/>
      <c r="X4" s="1166"/>
      <c r="Y4" s="1166"/>
      <c r="Z4" s="1166"/>
      <c r="AA4" s="1166"/>
      <c r="AB4" s="1166"/>
      <c r="AC4" s="1167"/>
      <c r="AD4" s="1167"/>
    </row>
    <row r="5" spans="1:30" ht="15.75" customHeight="1" x14ac:dyDescent="0.2">
      <c r="A5" s="1112" t="s">
        <v>36</v>
      </c>
      <c r="B5" s="1113"/>
      <c r="C5" s="1114"/>
      <c r="D5" s="1168" t="e">
        <f t="array" ref="D5">+#REF!</f>
        <v>#REF!</v>
      </c>
      <c r="E5" s="1169"/>
      <c r="F5" s="1169"/>
      <c r="G5" s="1169"/>
      <c r="H5" s="1169"/>
      <c r="I5" s="1169"/>
      <c r="J5" s="1169"/>
      <c r="K5" s="1169"/>
      <c r="L5" s="1169"/>
      <c r="M5" s="1169"/>
      <c r="N5" s="1169"/>
      <c r="O5" s="1169"/>
      <c r="P5" s="1169"/>
      <c r="Q5" s="1169"/>
      <c r="R5" s="1169"/>
      <c r="S5" s="1169"/>
      <c r="T5" s="1169"/>
      <c r="U5" s="1169"/>
      <c r="V5" s="1169"/>
      <c r="W5" s="1169"/>
      <c r="X5" s="1169"/>
      <c r="Y5" s="1169"/>
      <c r="Z5" s="1169"/>
      <c r="AA5" s="1169"/>
      <c r="AB5" s="1169"/>
      <c r="AC5" s="1169"/>
      <c r="AD5" s="1169"/>
    </row>
    <row r="6" spans="1:30" ht="15.75" customHeight="1" thickBot="1" x14ac:dyDescent="0.25">
      <c r="A6" s="1112" t="s">
        <v>37</v>
      </c>
      <c r="B6" s="1113"/>
      <c r="C6" s="1114"/>
      <c r="D6" s="1168" t="e">
        <f t="array" ref="D6">+#REF!</f>
        <v>#REF!</v>
      </c>
      <c r="E6" s="1169"/>
      <c r="F6" s="1169"/>
      <c r="G6" s="1169"/>
      <c r="H6" s="1169"/>
      <c r="I6" s="1169"/>
      <c r="J6" s="1169"/>
      <c r="K6" s="1169"/>
      <c r="L6" s="1169"/>
      <c r="M6" s="1169"/>
      <c r="N6" s="1169"/>
      <c r="O6" s="1169"/>
      <c r="P6" s="1169"/>
      <c r="Q6" s="1169"/>
      <c r="R6" s="1169"/>
      <c r="S6" s="1169"/>
      <c r="T6" s="1169"/>
      <c r="U6" s="1169"/>
      <c r="V6" s="1169"/>
      <c r="W6" s="1169"/>
      <c r="X6" s="1169"/>
      <c r="Y6" s="1169"/>
      <c r="Z6" s="1169"/>
      <c r="AA6" s="1169"/>
      <c r="AB6" s="1169"/>
      <c r="AC6" s="1169"/>
      <c r="AD6" s="1169"/>
    </row>
    <row r="7" spans="1:30" ht="15" customHeight="1" x14ac:dyDescent="0.2">
      <c r="A7" s="1170" t="s">
        <v>129</v>
      </c>
      <c r="B7" s="1171"/>
      <c r="C7" s="1171"/>
      <c r="D7" s="1171"/>
      <c r="E7" s="1171"/>
      <c r="F7" s="1171"/>
      <c r="G7" s="1171"/>
      <c r="H7" s="1171"/>
      <c r="I7" s="1171"/>
      <c r="J7" s="1171"/>
      <c r="K7" s="1171"/>
      <c r="L7" s="1171"/>
      <c r="M7" s="1171" t="s">
        <v>75</v>
      </c>
      <c r="N7" s="1171"/>
      <c r="O7" s="1171"/>
      <c r="P7" s="1171"/>
      <c r="Q7" s="1171"/>
      <c r="R7" s="1171"/>
      <c r="S7" s="1171"/>
      <c r="T7" s="1171"/>
      <c r="U7" s="1171"/>
      <c r="V7" s="1171"/>
      <c r="W7" s="1171"/>
      <c r="X7" s="1171"/>
      <c r="Y7" s="1171"/>
      <c r="Z7" s="1172" t="s">
        <v>130</v>
      </c>
      <c r="AA7" s="1172"/>
      <c r="AB7" s="1172"/>
      <c r="AC7" s="1173" t="s">
        <v>131</v>
      </c>
      <c r="AD7" s="1174"/>
    </row>
    <row r="8" spans="1:30" ht="51" x14ac:dyDescent="0.2">
      <c r="A8" s="213" t="s">
        <v>44</v>
      </c>
      <c r="B8" s="214" t="s">
        <v>64</v>
      </c>
      <c r="C8" s="214" t="s">
        <v>132</v>
      </c>
      <c r="D8" s="214" t="s">
        <v>73</v>
      </c>
      <c r="E8" s="214" t="s">
        <v>133</v>
      </c>
      <c r="F8" s="214" t="s">
        <v>134</v>
      </c>
      <c r="G8" s="214" t="s">
        <v>135</v>
      </c>
      <c r="H8" s="214" t="s">
        <v>136</v>
      </c>
      <c r="I8" s="214" t="s">
        <v>137</v>
      </c>
      <c r="J8" s="214" t="s">
        <v>138</v>
      </c>
      <c r="K8" s="214" t="s">
        <v>139</v>
      </c>
      <c r="L8" s="214" t="s">
        <v>140</v>
      </c>
      <c r="M8" s="214" t="s">
        <v>134</v>
      </c>
      <c r="N8" s="214" t="s">
        <v>135</v>
      </c>
      <c r="O8" s="214" t="s">
        <v>141</v>
      </c>
      <c r="P8" s="214" t="s">
        <v>137</v>
      </c>
      <c r="Q8" s="214" t="s">
        <v>138</v>
      </c>
      <c r="R8" s="214" t="s">
        <v>139</v>
      </c>
      <c r="S8" s="214" t="s">
        <v>140</v>
      </c>
      <c r="T8" s="215" t="s">
        <v>121</v>
      </c>
      <c r="U8" s="214" t="s">
        <v>142</v>
      </c>
      <c r="V8" s="214" t="s">
        <v>143</v>
      </c>
      <c r="W8" s="214" t="s">
        <v>142</v>
      </c>
      <c r="X8" s="214" t="s">
        <v>143</v>
      </c>
      <c r="Y8" s="214" t="s">
        <v>144</v>
      </c>
      <c r="Z8" s="214" t="s">
        <v>145</v>
      </c>
      <c r="AA8" s="214" t="s">
        <v>146</v>
      </c>
      <c r="AB8" s="214" t="s">
        <v>76</v>
      </c>
      <c r="AC8" s="214" t="s">
        <v>147</v>
      </c>
      <c r="AD8" s="216" t="s">
        <v>148</v>
      </c>
    </row>
    <row r="9" spans="1:30" s="192" customFormat="1" ht="99.75" x14ac:dyDescent="0.2">
      <c r="A9" s="1175" t="e">
        <f>#REF!</f>
        <v>#REF!</v>
      </c>
      <c r="B9" s="1176" t="e">
        <f>#REF!</f>
        <v>#REF!</v>
      </c>
      <c r="C9" s="1305" t="e">
        <f>#REF!</f>
        <v>#REF!</v>
      </c>
      <c r="D9" s="217" t="str">
        <f>'[6]Analisis Riesgo'!K7</f>
        <v>Realizar solicitudes a las fuentes de información para obtener la información de manera oportuna.</v>
      </c>
      <c r="E9" s="317" t="str">
        <f>'[6]Analisis Riesgo'!L7</f>
        <v>Este control tiene como propósito reducir los retrasos en la entrega de información por parte de proveedores internos y externos. Es aplicado de acuerdo con las necesidades de información, es elaborado por los Profesionales de la dependencia y verificado por el Subdirector(a) de Hidrocarburos. El registro de esta actividad son los oficios, memorandos o correos electrónicos de solicitud de información.</v>
      </c>
      <c r="F9" s="218" t="s">
        <v>296</v>
      </c>
      <c r="G9" s="218" t="s">
        <v>299</v>
      </c>
      <c r="H9" s="218" t="s">
        <v>300</v>
      </c>
      <c r="I9" s="218" t="s">
        <v>301</v>
      </c>
      <c r="J9" s="218" t="s">
        <v>302</v>
      </c>
      <c r="K9" s="219" t="s">
        <v>303</v>
      </c>
      <c r="L9" s="218" t="s">
        <v>304</v>
      </c>
      <c r="M9" s="185">
        <f>IF(F9="Asignado", 15,0)</f>
        <v>15</v>
      </c>
      <c r="N9" s="185">
        <f>IF(G9="Adecuado",15,0)</f>
        <v>15</v>
      </c>
      <c r="O9" s="185">
        <f t="shared" ref="O9:O30" si="0">IF(H9="Oportuna",15,0)</f>
        <v>15</v>
      </c>
      <c r="P9" s="185">
        <f t="shared" ref="P9:P30" si="1">IF(I9="Prevenir",15,IF(I9="Detectar",10,0))</f>
        <v>15</v>
      </c>
      <c r="Q9" s="185">
        <f t="shared" ref="Q9:Q30" si="2">IF(J9="Confiable", 15,0)</f>
        <v>15</v>
      </c>
      <c r="R9" s="185">
        <f>IF(K9="Se investigan y resuelven oportunamente",15,0)</f>
        <v>15</v>
      </c>
      <c r="S9" s="185">
        <f t="shared" ref="S9:S30" si="3">IF(L9="Completa",10,IF(L9="Incompleta",5,0))</f>
        <v>10</v>
      </c>
      <c r="T9" s="185">
        <f t="shared" ref="T9:T30" si="4">SUM(M9:S9)</f>
        <v>100</v>
      </c>
      <c r="U9" s="218" t="s">
        <v>122</v>
      </c>
      <c r="V9" s="218" t="s">
        <v>263</v>
      </c>
      <c r="W9" s="185">
        <f t="shared" ref="W9:W30" si="5">IF(U9="SI",1,0)*T9/100</f>
        <v>1</v>
      </c>
      <c r="X9" s="185">
        <f t="shared" ref="X9:X30" si="6">IF(V9="SI",1,0)*T9/100</f>
        <v>0</v>
      </c>
      <c r="Y9" s="185" t="str">
        <f t="shared" ref="Y9:Y30" si="7">IF(W9&gt;=0.96,"Fuerte",IF(W9&gt;=0.86,"Moderado","Debil"))</f>
        <v>Fuerte</v>
      </c>
      <c r="Z9" s="218" t="s">
        <v>305</v>
      </c>
      <c r="AA9" s="185" t="str">
        <f t="shared" ref="AA9:AA30" si="8">IF(Z9="Siempre se ejecuta","Fuerte",IF(Z9="Algunas veces se ejecuta","Moderado","Debil"))</f>
        <v>Fuerte</v>
      </c>
      <c r="AB9" s="185" t="str">
        <f>IF(Y9="Fuerte",IF(AA9="Fuerte","No","SI"),"SI")</f>
        <v>No</v>
      </c>
      <c r="AC9" s="220"/>
      <c r="AD9" s="221"/>
    </row>
    <row r="10" spans="1:30" s="192" customFormat="1" ht="128.25" x14ac:dyDescent="0.2">
      <c r="A10" s="1175"/>
      <c r="B10" s="1176"/>
      <c r="C10" s="1305"/>
      <c r="D10" s="217" t="str">
        <f>'[6]Analisis Riesgo'!K8</f>
        <v>Revisar marco normativo para la elaboración de planes.</v>
      </c>
      <c r="E10" s="317" t="str">
        <f>'[6]Analisis Riesgo'!L8</f>
        <v>Este control tiene el propósito de verificar que los planes elaborados en la Subdirección de Hidrocarburos consideren la los cambios normativos y regulatorios que puedan llegar a retrasar la elaboración de planes y documentos técnicos. La revisión del marco normativo es realizada por los profesionales del área, verificada por el Subdirector(a) de Hidrocarburos y tiene el acompañamiento del área jurídica de la entidad. El registro que demuestra la aplicación de este control es o un Capitulo Normativo y los registros de elaboración, revisión y aprobación.</v>
      </c>
      <c r="F10" s="218" t="s">
        <v>296</v>
      </c>
      <c r="G10" s="218" t="s">
        <v>299</v>
      </c>
      <c r="H10" s="218" t="s">
        <v>300</v>
      </c>
      <c r="I10" s="218" t="s">
        <v>301</v>
      </c>
      <c r="J10" s="218" t="s">
        <v>302</v>
      </c>
      <c r="K10" s="219" t="s">
        <v>303</v>
      </c>
      <c r="L10" s="218" t="s">
        <v>304</v>
      </c>
      <c r="M10" s="185">
        <f>IF(F10="Asignado", 15,0)</f>
        <v>15</v>
      </c>
      <c r="N10" s="185">
        <f>IF(G10="Adecuado",15,0)</f>
        <v>15</v>
      </c>
      <c r="O10" s="185">
        <f t="shared" si="0"/>
        <v>15</v>
      </c>
      <c r="P10" s="185">
        <f t="shared" si="1"/>
        <v>15</v>
      </c>
      <c r="Q10" s="185">
        <f t="shared" si="2"/>
        <v>15</v>
      </c>
      <c r="R10" s="185">
        <f t="shared" ref="R10:R30" si="9">IF(K10="Se investigan y resuelven oportunamente",15,0)</f>
        <v>15</v>
      </c>
      <c r="S10" s="185">
        <f t="shared" si="3"/>
        <v>10</v>
      </c>
      <c r="T10" s="185">
        <f t="shared" si="4"/>
        <v>100</v>
      </c>
      <c r="U10" s="218" t="s">
        <v>122</v>
      </c>
      <c r="V10" s="218" t="s">
        <v>263</v>
      </c>
      <c r="W10" s="185">
        <f t="shared" si="5"/>
        <v>1</v>
      </c>
      <c r="X10" s="185">
        <f t="shared" si="6"/>
        <v>0</v>
      </c>
      <c r="Y10" s="185" t="str">
        <f t="shared" si="7"/>
        <v>Fuerte</v>
      </c>
      <c r="Z10" s="218" t="s">
        <v>305</v>
      </c>
      <c r="AA10" s="185" t="str">
        <f t="shared" si="8"/>
        <v>Fuerte</v>
      </c>
      <c r="AB10" s="185" t="str">
        <f t="shared" ref="AB10:AB30" si="10">IF(Y10="Fuerte",IF(AA10="Fuerte","No","SI"),"SI")</f>
        <v>No</v>
      </c>
      <c r="AC10" s="222"/>
      <c r="AD10" s="221"/>
    </row>
    <row r="11" spans="1:30" s="192" customFormat="1" ht="114" x14ac:dyDescent="0.2">
      <c r="A11" s="1175"/>
      <c r="B11" s="1176"/>
      <c r="C11" s="1305"/>
      <c r="D11" s="217" t="str">
        <f>'[6]Analisis Riesgo'!K9</f>
        <v>Adquirir información de proveedores especializados del sector de hidrocarburos.</v>
      </c>
      <c r="E11" s="317" t="str">
        <f>'[6]Analisis Riesgo'!L9</f>
        <v>Este control tiene el propósito de reducir la brecha de información y de suplir las necesidades de este insumo para la planeación del Sector de Hidrocarburos. La Subdirección planifica la adquisición de fuentes especializadas de información a través de suscripciones o compra de bases de datos, en este proceso participan los Profesionales de la Subdirección y se realiza seguimiento a las adquisiciones por parte del responsable de esta dependencia.</v>
      </c>
      <c r="F11" s="218" t="s">
        <v>296</v>
      </c>
      <c r="G11" s="218" t="s">
        <v>299</v>
      </c>
      <c r="H11" s="218" t="s">
        <v>300</v>
      </c>
      <c r="I11" s="218" t="s">
        <v>301</v>
      </c>
      <c r="J11" s="218" t="s">
        <v>302</v>
      </c>
      <c r="K11" s="219" t="s">
        <v>303</v>
      </c>
      <c r="L11" s="218" t="s">
        <v>304</v>
      </c>
      <c r="M11" s="185">
        <f>IF(F11="Asignado", 15,0)</f>
        <v>15</v>
      </c>
      <c r="N11" s="185">
        <f>IF(G11="Adecuado",15,0)</f>
        <v>15</v>
      </c>
      <c r="O11" s="185">
        <f t="shared" si="0"/>
        <v>15</v>
      </c>
      <c r="P11" s="185">
        <f t="shared" si="1"/>
        <v>15</v>
      </c>
      <c r="Q11" s="185">
        <f t="shared" si="2"/>
        <v>15</v>
      </c>
      <c r="R11" s="185">
        <f t="shared" si="9"/>
        <v>15</v>
      </c>
      <c r="S11" s="185">
        <f t="shared" si="3"/>
        <v>10</v>
      </c>
      <c r="T11" s="185">
        <f t="shared" si="4"/>
        <v>100</v>
      </c>
      <c r="U11" s="218" t="s">
        <v>122</v>
      </c>
      <c r="V11" s="218" t="s">
        <v>263</v>
      </c>
      <c r="W11" s="185">
        <f t="shared" si="5"/>
        <v>1</v>
      </c>
      <c r="X11" s="185">
        <f t="shared" si="6"/>
        <v>0</v>
      </c>
      <c r="Y11" s="185" t="str">
        <f t="shared" si="7"/>
        <v>Fuerte</v>
      </c>
      <c r="Z11" s="218" t="s">
        <v>305</v>
      </c>
      <c r="AA11" s="185" t="str">
        <f t="shared" si="8"/>
        <v>Fuerte</v>
      </c>
      <c r="AB11" s="185" t="str">
        <f t="shared" si="10"/>
        <v>No</v>
      </c>
      <c r="AC11" s="222"/>
      <c r="AD11" s="221"/>
    </row>
    <row r="12" spans="1:30" s="192" customFormat="1" ht="128.25" x14ac:dyDescent="0.2">
      <c r="A12" s="1175"/>
      <c r="B12" s="1176"/>
      <c r="C12" s="1305"/>
      <c r="D12" s="217" t="str">
        <f>'[6]Analisis Riesgo'!K10</f>
        <v>Identificar necesidades de estudios del sector hidrocarburos.</v>
      </c>
      <c r="E12" s="317" t="str">
        <f>'[6]Analisis Riesgo'!L10</f>
        <v>Este control es aplicado cuando se cuanta con una necesidad de información especializada para la elaboración de documentos técnicos o planes del sector hidrocarburos, puede ser desarrollado por los profesionales de la Subdirección de Hidrocarburos o en algunos casos Contratado, en todos los casos se verifica su alineación y articulación con los objetivos de la Subdirección de Hidrocarburos, de la UPME y del sector. Los estudios son revisados y verificados por los Profesionales como pares y del Subdirector(a) de Hidrocarburos.</v>
      </c>
      <c r="F12" s="218" t="s">
        <v>296</v>
      </c>
      <c r="G12" s="218" t="s">
        <v>299</v>
      </c>
      <c r="H12" s="218" t="s">
        <v>300</v>
      </c>
      <c r="I12" s="218" t="s">
        <v>301</v>
      </c>
      <c r="J12" s="218" t="s">
        <v>302</v>
      </c>
      <c r="K12" s="219" t="s">
        <v>303</v>
      </c>
      <c r="L12" s="218" t="s">
        <v>304</v>
      </c>
      <c r="M12" s="185">
        <f>IF(F12="Asignado", 15,0)</f>
        <v>15</v>
      </c>
      <c r="N12" s="185">
        <f>IF(G12="Adecuado",15,0)</f>
        <v>15</v>
      </c>
      <c r="O12" s="185">
        <f t="shared" si="0"/>
        <v>15</v>
      </c>
      <c r="P12" s="185">
        <f t="shared" si="1"/>
        <v>15</v>
      </c>
      <c r="Q12" s="185">
        <f t="shared" si="2"/>
        <v>15</v>
      </c>
      <c r="R12" s="185">
        <f t="shared" si="9"/>
        <v>15</v>
      </c>
      <c r="S12" s="185">
        <f t="shared" si="3"/>
        <v>10</v>
      </c>
      <c r="T12" s="185">
        <f t="shared" si="4"/>
        <v>100</v>
      </c>
      <c r="U12" s="218" t="s">
        <v>122</v>
      </c>
      <c r="V12" s="218" t="s">
        <v>263</v>
      </c>
      <c r="W12" s="185">
        <f t="shared" si="5"/>
        <v>1</v>
      </c>
      <c r="X12" s="185">
        <f t="shared" si="6"/>
        <v>0</v>
      </c>
      <c r="Y12" s="185" t="str">
        <f t="shared" si="7"/>
        <v>Fuerte</v>
      </c>
      <c r="Z12" s="218" t="s">
        <v>305</v>
      </c>
      <c r="AA12" s="185" t="str">
        <f t="shared" si="8"/>
        <v>Fuerte</v>
      </c>
      <c r="AB12" s="185" t="str">
        <f t="shared" si="10"/>
        <v>No</v>
      </c>
      <c r="AC12" s="222"/>
      <c r="AD12" s="221"/>
    </row>
    <row r="13" spans="1:30" s="192" customFormat="1" ht="57" x14ac:dyDescent="0.2">
      <c r="A13" s="1175"/>
      <c r="B13" s="1176"/>
      <c r="C13" s="1305"/>
      <c r="D13" s="217" t="str">
        <f>'[6]Analisis Riesgo'!K11</f>
        <v>Seguimiento a las actividades del Plan de Acción Subdirección de Hidrocarburos.</v>
      </c>
      <c r="E13" s="317" t="str">
        <f>'[6]Analisis Riesgo'!L11</f>
        <v>Este control busca realizar seguimiento al cumplimiento del plan de actividades definidas para cada vigencia, se realiza de manera trimestral y permite tomar medidas frente a los retrasos o desviaciones identificadas.</v>
      </c>
      <c r="F13" s="218" t="s">
        <v>296</v>
      </c>
      <c r="G13" s="218" t="s">
        <v>299</v>
      </c>
      <c r="H13" s="218" t="s">
        <v>300</v>
      </c>
      <c r="I13" s="218" t="s">
        <v>301</v>
      </c>
      <c r="J13" s="218" t="s">
        <v>302</v>
      </c>
      <c r="K13" s="219" t="s">
        <v>303</v>
      </c>
      <c r="L13" s="218" t="s">
        <v>304</v>
      </c>
      <c r="M13" s="185">
        <f t="shared" ref="M13:M30" si="11">IF(F13="Asignado", 15,0)</f>
        <v>15</v>
      </c>
      <c r="N13" s="185">
        <f t="shared" ref="N13:N30" si="12">IF(G13="Adecuado",15,0)</f>
        <v>15</v>
      </c>
      <c r="O13" s="185">
        <f t="shared" si="0"/>
        <v>15</v>
      </c>
      <c r="P13" s="185">
        <f t="shared" si="1"/>
        <v>15</v>
      </c>
      <c r="Q13" s="185">
        <f t="shared" si="2"/>
        <v>15</v>
      </c>
      <c r="R13" s="185">
        <f t="shared" si="9"/>
        <v>15</v>
      </c>
      <c r="S13" s="185">
        <f t="shared" si="3"/>
        <v>10</v>
      </c>
      <c r="T13" s="185">
        <f t="shared" si="4"/>
        <v>100</v>
      </c>
      <c r="U13" s="218" t="s">
        <v>263</v>
      </c>
      <c r="V13" s="218" t="s">
        <v>122</v>
      </c>
      <c r="W13" s="185">
        <f t="shared" si="5"/>
        <v>0</v>
      </c>
      <c r="X13" s="185">
        <f t="shared" si="6"/>
        <v>1</v>
      </c>
      <c r="Y13" s="185" t="str">
        <f t="shared" si="7"/>
        <v>Debil</v>
      </c>
      <c r="Z13" s="218" t="s">
        <v>305</v>
      </c>
      <c r="AA13" s="185" t="str">
        <f t="shared" si="8"/>
        <v>Fuerte</v>
      </c>
      <c r="AB13" s="185" t="str">
        <f t="shared" si="10"/>
        <v>SI</v>
      </c>
      <c r="AC13" s="222"/>
      <c r="AD13" s="221"/>
    </row>
    <row r="14" spans="1:30" s="192" customFormat="1" ht="114" x14ac:dyDescent="0.2">
      <c r="A14" s="1443" t="e">
        <f>#REF!</f>
        <v>#REF!</v>
      </c>
      <c r="B14" s="1445" t="e">
        <f>#REF!</f>
        <v>#REF!</v>
      </c>
      <c r="C14" s="1447" t="e">
        <f>#REF!</f>
        <v>#REF!</v>
      </c>
      <c r="D14" s="217" t="str">
        <f>'[6]Analisis Riesgo'!K12</f>
        <v>Consultar fuentes de información oficial. (Suscripciones, SICOM, DANE,  entre otros).</v>
      </c>
      <c r="E14" s="317" t="str">
        <f>'[6]Analisis Riesgo'!L12</f>
        <v>Este control busca garantizar que la información consultada y utilizada sea información oficial y confiable, así se mitiga la posiblidad de determinar lineamientos no conformes y señales erroneas en los en los planes del sector hidrodrocarburos. Para esto la entidad realiza procesos de adquisición de suscripcións y solicitudes de información a entes y organizaciones para la obtención de información o la consulta en los sitios oficiales de la información.</v>
      </c>
      <c r="F14" s="218" t="s">
        <v>296</v>
      </c>
      <c r="G14" s="218" t="s">
        <v>299</v>
      </c>
      <c r="H14" s="218" t="s">
        <v>300</v>
      </c>
      <c r="I14" s="218" t="s">
        <v>301</v>
      </c>
      <c r="J14" s="218" t="s">
        <v>302</v>
      </c>
      <c r="K14" s="219" t="s">
        <v>303</v>
      </c>
      <c r="L14" s="218" t="s">
        <v>304</v>
      </c>
      <c r="M14" s="185">
        <f t="shared" si="11"/>
        <v>15</v>
      </c>
      <c r="N14" s="185">
        <f t="shared" si="12"/>
        <v>15</v>
      </c>
      <c r="O14" s="185">
        <f t="shared" si="0"/>
        <v>15</v>
      </c>
      <c r="P14" s="185">
        <f t="shared" si="1"/>
        <v>15</v>
      </c>
      <c r="Q14" s="185">
        <f t="shared" si="2"/>
        <v>15</v>
      </c>
      <c r="R14" s="185">
        <f t="shared" si="9"/>
        <v>15</v>
      </c>
      <c r="S14" s="185">
        <f t="shared" si="3"/>
        <v>10</v>
      </c>
      <c r="T14" s="185">
        <f t="shared" si="4"/>
        <v>100</v>
      </c>
      <c r="U14" s="218" t="s">
        <v>122</v>
      </c>
      <c r="V14" s="218" t="s">
        <v>263</v>
      </c>
      <c r="W14" s="185">
        <f t="shared" si="5"/>
        <v>1</v>
      </c>
      <c r="X14" s="185">
        <f t="shared" si="6"/>
        <v>0</v>
      </c>
      <c r="Y14" s="185" t="str">
        <f t="shared" si="7"/>
        <v>Fuerte</v>
      </c>
      <c r="Z14" s="218" t="s">
        <v>305</v>
      </c>
      <c r="AA14" s="185" t="str">
        <f t="shared" si="8"/>
        <v>Fuerte</v>
      </c>
      <c r="AB14" s="185" t="str">
        <f t="shared" si="10"/>
        <v>No</v>
      </c>
      <c r="AC14" s="223"/>
      <c r="AD14" s="221"/>
    </row>
    <row r="15" spans="1:30" s="192" customFormat="1" ht="99.75" x14ac:dyDescent="0.2">
      <c r="A15" s="1444"/>
      <c r="B15" s="1446"/>
      <c r="C15" s="1448"/>
      <c r="D15" s="217" t="str">
        <f>'[6]Analisis Riesgo'!K13</f>
        <v>Realizar solicitudes a las fuentes de información para obtener la información de manera oportuna.</v>
      </c>
      <c r="E15" s="317" t="str">
        <f>'[6]Analisis Riesgo'!L13</f>
        <v>Este control tiene como propósito reducir los retrasos en la entrega de información por parte de proveedores internos y externos. Es aplicado de acuerdo con las necesidades de información, es elaborado por los Profesionales de la dependencia y verificado por el Subdirector(a) de Hidrocarburos. El registro de esta actividad son los oficios, memorandos o correos electrónicos de solicitud de información.</v>
      </c>
      <c r="F15" s="218" t="s">
        <v>296</v>
      </c>
      <c r="G15" s="218" t="s">
        <v>299</v>
      </c>
      <c r="H15" s="218" t="s">
        <v>300</v>
      </c>
      <c r="I15" s="218" t="s">
        <v>301</v>
      </c>
      <c r="J15" s="218" t="s">
        <v>302</v>
      </c>
      <c r="K15" s="219" t="s">
        <v>303</v>
      </c>
      <c r="L15" s="218" t="s">
        <v>304</v>
      </c>
      <c r="M15" s="185">
        <f t="shared" si="11"/>
        <v>15</v>
      </c>
      <c r="N15" s="185">
        <f t="shared" si="12"/>
        <v>15</v>
      </c>
      <c r="O15" s="185">
        <f t="shared" si="0"/>
        <v>15</v>
      </c>
      <c r="P15" s="185">
        <f t="shared" si="1"/>
        <v>15</v>
      </c>
      <c r="Q15" s="185">
        <f t="shared" si="2"/>
        <v>15</v>
      </c>
      <c r="R15" s="185">
        <f t="shared" si="9"/>
        <v>15</v>
      </c>
      <c r="S15" s="185">
        <f t="shared" si="3"/>
        <v>10</v>
      </c>
      <c r="T15" s="185">
        <f t="shared" si="4"/>
        <v>100</v>
      </c>
      <c r="U15" s="218" t="s">
        <v>122</v>
      </c>
      <c r="V15" s="218" t="s">
        <v>263</v>
      </c>
      <c r="W15" s="185">
        <f t="shared" si="5"/>
        <v>1</v>
      </c>
      <c r="X15" s="185">
        <f t="shared" si="6"/>
        <v>0</v>
      </c>
      <c r="Y15" s="185" t="str">
        <f t="shared" si="7"/>
        <v>Fuerte</v>
      </c>
      <c r="Z15" s="218" t="s">
        <v>305</v>
      </c>
      <c r="AA15" s="185" t="str">
        <f t="shared" si="8"/>
        <v>Fuerte</v>
      </c>
      <c r="AB15" s="185" t="str">
        <f t="shared" si="10"/>
        <v>No</v>
      </c>
      <c r="AC15" s="223"/>
      <c r="AD15" s="221"/>
    </row>
    <row r="16" spans="1:30" s="192" customFormat="1" ht="71.25" x14ac:dyDescent="0.2">
      <c r="A16" s="1444"/>
      <c r="B16" s="1446"/>
      <c r="C16" s="1448"/>
      <c r="D16" s="217" t="str">
        <f>'[6]Analisis Riesgo'!K14</f>
        <v>Validar trabajos y actividades ejecutadas a través de reunión interna o Comité Primario de la  Subdirección de Hidrocarburos,</v>
      </c>
      <c r="E16" s="317" t="str">
        <f>'[6]Analisis Riesgo'!L14</f>
        <v>Realizar reuniones internas de trabajo con el propósito de realizar ejercicios de seguimiento y revisión en los avances del trabajado planificado por el equipo de la Subdirección de Hidrocarburos, este control tiene como propósito eliminar érrores en cálculos o análisis.</v>
      </c>
      <c r="F16" s="218" t="s">
        <v>296</v>
      </c>
      <c r="G16" s="218" t="s">
        <v>299</v>
      </c>
      <c r="H16" s="218" t="s">
        <v>300</v>
      </c>
      <c r="I16" s="218" t="s">
        <v>301</v>
      </c>
      <c r="J16" s="218" t="s">
        <v>302</v>
      </c>
      <c r="K16" s="219" t="s">
        <v>303</v>
      </c>
      <c r="L16" s="218" t="s">
        <v>713</v>
      </c>
      <c r="M16" s="185">
        <f t="shared" si="11"/>
        <v>15</v>
      </c>
      <c r="N16" s="185">
        <f t="shared" si="12"/>
        <v>15</v>
      </c>
      <c r="O16" s="185">
        <f t="shared" si="0"/>
        <v>15</v>
      </c>
      <c r="P16" s="185">
        <f t="shared" si="1"/>
        <v>15</v>
      </c>
      <c r="Q16" s="185">
        <f t="shared" si="2"/>
        <v>15</v>
      </c>
      <c r="R16" s="185">
        <f t="shared" si="9"/>
        <v>15</v>
      </c>
      <c r="S16" s="185">
        <f t="shared" si="3"/>
        <v>5</v>
      </c>
      <c r="T16" s="185">
        <f t="shared" si="4"/>
        <v>95</v>
      </c>
      <c r="U16" s="218" t="s">
        <v>122</v>
      </c>
      <c r="V16" s="218" t="s">
        <v>263</v>
      </c>
      <c r="W16" s="185">
        <f t="shared" si="5"/>
        <v>0.95</v>
      </c>
      <c r="X16" s="185">
        <f t="shared" si="6"/>
        <v>0</v>
      </c>
      <c r="Y16" s="185" t="str">
        <f t="shared" si="7"/>
        <v>Moderado</v>
      </c>
      <c r="Z16" s="218" t="s">
        <v>305</v>
      </c>
      <c r="AA16" s="185" t="str">
        <f t="shared" si="8"/>
        <v>Fuerte</v>
      </c>
      <c r="AB16" s="185" t="str">
        <f t="shared" si="10"/>
        <v>SI</v>
      </c>
      <c r="AC16" s="223"/>
      <c r="AD16" s="221"/>
    </row>
    <row r="17" spans="1:30" s="192" customFormat="1" ht="71.25" x14ac:dyDescent="0.2">
      <c r="A17" s="1444"/>
      <c r="B17" s="1446"/>
      <c r="C17" s="1448"/>
      <c r="D17" s="217" t="str">
        <f>'[6]Analisis Riesgo'!K15</f>
        <v>Determinar criterios e instrumentos para la elaboración de planes.</v>
      </c>
      <c r="E17" s="317" t="str">
        <f>'[6]Analisis Riesgo'!L15</f>
        <v>Para la elaboración de los Planes, la Subdirección de Hidrocarburos determina y define criterios e instrumentos metodológicos, este control tiene como propósito que el trabajo sea realizado con rigurosidad con el fin de eliminar errores en cálculos o análisis.</v>
      </c>
      <c r="F17" s="218" t="s">
        <v>296</v>
      </c>
      <c r="G17" s="218" t="s">
        <v>299</v>
      </c>
      <c r="H17" s="218" t="s">
        <v>300</v>
      </c>
      <c r="I17" s="218" t="s">
        <v>301</v>
      </c>
      <c r="J17" s="218" t="s">
        <v>302</v>
      </c>
      <c r="K17" s="219" t="s">
        <v>303</v>
      </c>
      <c r="L17" s="218" t="s">
        <v>304</v>
      </c>
      <c r="M17" s="185">
        <f t="shared" si="11"/>
        <v>15</v>
      </c>
      <c r="N17" s="185">
        <f t="shared" si="12"/>
        <v>15</v>
      </c>
      <c r="O17" s="185">
        <f t="shared" si="0"/>
        <v>15</v>
      </c>
      <c r="P17" s="185">
        <f t="shared" si="1"/>
        <v>15</v>
      </c>
      <c r="Q17" s="185">
        <f t="shared" si="2"/>
        <v>15</v>
      </c>
      <c r="R17" s="185">
        <f t="shared" si="9"/>
        <v>15</v>
      </c>
      <c r="S17" s="185">
        <f t="shared" si="3"/>
        <v>10</v>
      </c>
      <c r="T17" s="185">
        <f t="shared" si="4"/>
        <v>100</v>
      </c>
      <c r="U17" s="218" t="s">
        <v>122</v>
      </c>
      <c r="V17" s="218" t="s">
        <v>263</v>
      </c>
      <c r="W17" s="185">
        <f t="shared" si="5"/>
        <v>1</v>
      </c>
      <c r="X17" s="185">
        <f t="shared" si="6"/>
        <v>0</v>
      </c>
      <c r="Y17" s="185" t="str">
        <f t="shared" si="7"/>
        <v>Fuerte</v>
      </c>
      <c r="Z17" s="218" t="s">
        <v>305</v>
      </c>
      <c r="AA17" s="185" t="str">
        <f t="shared" si="8"/>
        <v>Fuerte</v>
      </c>
      <c r="AB17" s="185" t="str">
        <f t="shared" si="10"/>
        <v>No</v>
      </c>
      <c r="AC17" s="223"/>
      <c r="AD17" s="221"/>
    </row>
    <row r="18" spans="1:30" s="192" customFormat="1" ht="114" x14ac:dyDescent="0.2">
      <c r="A18" s="1444"/>
      <c r="B18" s="1446"/>
      <c r="C18" s="1448"/>
      <c r="D18" s="217" t="str">
        <f>'[6]Analisis Riesgo'!K16</f>
        <v>Publicar para recepcionar comentarios y observaciones de las partes interesadas para validar la conformidad de los producto.</v>
      </c>
      <c r="E18" s="317" t="str">
        <f>'[6]Analisis Riesgo'!L16</f>
        <v>Este es un mecanismo de control que busca la participación de la ciudadanía y de las partes interesadas en la construcción de la planeación del sector hidrocarburos, tiene como propósito considerar aspectos y puntos de vista que permitan revisar los lineamientos y señales de la planificación elaborada por la UPME. Se realiza con la revisión de los documentos y la autorización del Director General de publicar los documentos preliminares de la planeación en la página web de la entidad.</v>
      </c>
      <c r="F18" s="218" t="s">
        <v>296</v>
      </c>
      <c r="G18" s="218" t="s">
        <v>299</v>
      </c>
      <c r="H18" s="218" t="s">
        <v>300</v>
      </c>
      <c r="I18" s="218" t="s">
        <v>301</v>
      </c>
      <c r="J18" s="218" t="s">
        <v>302</v>
      </c>
      <c r="K18" s="219" t="s">
        <v>303</v>
      </c>
      <c r="L18" s="218" t="s">
        <v>304</v>
      </c>
      <c r="M18" s="185">
        <f t="shared" si="11"/>
        <v>15</v>
      </c>
      <c r="N18" s="185">
        <f t="shared" si="12"/>
        <v>15</v>
      </c>
      <c r="O18" s="185">
        <f t="shared" si="0"/>
        <v>15</v>
      </c>
      <c r="P18" s="185">
        <f t="shared" si="1"/>
        <v>15</v>
      </c>
      <c r="Q18" s="185">
        <f t="shared" si="2"/>
        <v>15</v>
      </c>
      <c r="R18" s="185">
        <f t="shared" si="9"/>
        <v>15</v>
      </c>
      <c r="S18" s="185">
        <f t="shared" si="3"/>
        <v>10</v>
      </c>
      <c r="T18" s="185">
        <f t="shared" si="4"/>
        <v>100</v>
      </c>
      <c r="U18" s="218" t="s">
        <v>122</v>
      </c>
      <c r="V18" s="218" t="s">
        <v>263</v>
      </c>
      <c r="W18" s="185">
        <f t="shared" si="5"/>
        <v>1</v>
      </c>
      <c r="X18" s="185">
        <f t="shared" si="6"/>
        <v>0</v>
      </c>
      <c r="Y18" s="185" t="str">
        <f t="shared" si="7"/>
        <v>Fuerte</v>
      </c>
      <c r="Z18" s="218" t="s">
        <v>305</v>
      </c>
      <c r="AA18" s="185" t="str">
        <f t="shared" si="8"/>
        <v>Fuerte</v>
      </c>
      <c r="AB18" s="185" t="str">
        <f t="shared" si="10"/>
        <v>No</v>
      </c>
      <c r="AC18" s="223"/>
      <c r="AD18" s="221"/>
    </row>
    <row r="19" spans="1:30" s="192" customFormat="1" ht="81" customHeight="1" x14ac:dyDescent="0.2">
      <c r="A19" s="1443" t="e">
        <f>#REF!</f>
        <v>#REF!</v>
      </c>
      <c r="B19" s="1445" t="e">
        <f>#REF!</f>
        <v>#REF!</v>
      </c>
      <c r="C19" s="1449" t="e">
        <f>#REF!</f>
        <v>#REF!</v>
      </c>
      <c r="D19" s="217" t="str">
        <f>'[6]Analisis Riesgo'!K17</f>
        <v>Aplicar niveles de autorización en la verificación de las proyecciones de precios.</v>
      </c>
      <c r="E19" s="317" t="str">
        <f>'[6]Analisis Riesgo'!L17</f>
        <v>Se aplica un control de gestión donde un Profesional elaborá y autocontrola el trabajo realizado en la proyección de precios, luego es revisado y aprobado el documento por el Subdirector(a) de Hidrocarburos..</v>
      </c>
      <c r="F19" s="218" t="s">
        <v>296</v>
      </c>
      <c r="G19" s="218" t="s">
        <v>299</v>
      </c>
      <c r="H19" s="218" t="s">
        <v>300</v>
      </c>
      <c r="I19" s="218" t="s">
        <v>301</v>
      </c>
      <c r="J19" s="218" t="s">
        <v>302</v>
      </c>
      <c r="K19" s="219" t="s">
        <v>303</v>
      </c>
      <c r="L19" s="218" t="s">
        <v>304</v>
      </c>
      <c r="M19" s="185">
        <f t="shared" si="11"/>
        <v>15</v>
      </c>
      <c r="N19" s="185">
        <f t="shared" si="12"/>
        <v>15</v>
      </c>
      <c r="O19" s="185">
        <f t="shared" si="0"/>
        <v>15</v>
      </c>
      <c r="P19" s="185">
        <f t="shared" si="1"/>
        <v>15</v>
      </c>
      <c r="Q19" s="185">
        <f t="shared" si="2"/>
        <v>15</v>
      </c>
      <c r="R19" s="185">
        <f t="shared" si="9"/>
        <v>15</v>
      </c>
      <c r="S19" s="185">
        <f t="shared" si="3"/>
        <v>10</v>
      </c>
      <c r="T19" s="185">
        <f t="shared" si="4"/>
        <v>100</v>
      </c>
      <c r="U19" s="218" t="s">
        <v>122</v>
      </c>
      <c r="V19" s="218" t="s">
        <v>263</v>
      </c>
      <c r="W19" s="185">
        <f t="shared" si="5"/>
        <v>1</v>
      </c>
      <c r="X19" s="185">
        <f t="shared" si="6"/>
        <v>0</v>
      </c>
      <c r="Y19" s="185" t="str">
        <f t="shared" si="7"/>
        <v>Fuerte</v>
      </c>
      <c r="Z19" s="218" t="s">
        <v>305</v>
      </c>
      <c r="AA19" s="185" t="str">
        <f t="shared" si="8"/>
        <v>Fuerte</v>
      </c>
      <c r="AB19" s="185" t="str">
        <f t="shared" si="10"/>
        <v>No</v>
      </c>
      <c r="AC19" s="224"/>
      <c r="AD19" s="221"/>
    </row>
    <row r="20" spans="1:30" s="192" customFormat="1" ht="81" customHeight="1" x14ac:dyDescent="0.2">
      <c r="A20" s="1444"/>
      <c r="B20" s="1446"/>
      <c r="C20" s="1450"/>
      <c r="D20" s="217" t="str">
        <f>'[6]Analisis Riesgo'!K18</f>
        <v>Acceder y consultar a fuentes de información especializadas en precios de hidrocaruros.</v>
      </c>
      <c r="E20" s="317" t="str">
        <f>'[6]Analisis Riesgo'!L18</f>
        <v>Este control es aplicado cuando la entidad tiene acceso a suscripciones y a fuentes de información especializada que permiten la consulta de información especializada necesaria y requerida para la proyección de precios de hidrocarburos. Para esto</v>
      </c>
      <c r="F20" s="218" t="s">
        <v>296</v>
      </c>
      <c r="G20" s="218" t="s">
        <v>299</v>
      </c>
      <c r="H20" s="218" t="s">
        <v>300</v>
      </c>
      <c r="I20" s="218" t="s">
        <v>301</v>
      </c>
      <c r="J20" s="218" t="s">
        <v>302</v>
      </c>
      <c r="K20" s="219" t="s">
        <v>303</v>
      </c>
      <c r="L20" s="218" t="s">
        <v>304</v>
      </c>
      <c r="M20" s="185">
        <f t="shared" si="11"/>
        <v>15</v>
      </c>
      <c r="N20" s="185">
        <f t="shared" si="12"/>
        <v>15</v>
      </c>
      <c r="O20" s="185">
        <f t="shared" si="0"/>
        <v>15</v>
      </c>
      <c r="P20" s="185">
        <f t="shared" si="1"/>
        <v>15</v>
      </c>
      <c r="Q20" s="185">
        <f t="shared" si="2"/>
        <v>15</v>
      </c>
      <c r="R20" s="185">
        <f t="shared" si="9"/>
        <v>15</v>
      </c>
      <c r="S20" s="185">
        <f t="shared" si="3"/>
        <v>10</v>
      </c>
      <c r="T20" s="185">
        <f t="shared" si="4"/>
        <v>100</v>
      </c>
      <c r="U20" s="218" t="s">
        <v>122</v>
      </c>
      <c r="V20" s="218" t="s">
        <v>263</v>
      </c>
      <c r="W20" s="185">
        <f t="shared" si="5"/>
        <v>1</v>
      </c>
      <c r="X20" s="185">
        <f t="shared" si="6"/>
        <v>0</v>
      </c>
      <c r="Y20" s="185" t="str">
        <f t="shared" si="7"/>
        <v>Fuerte</v>
      </c>
      <c r="Z20" s="218" t="s">
        <v>305</v>
      </c>
      <c r="AA20" s="185" t="str">
        <f t="shared" si="8"/>
        <v>Fuerte</v>
      </c>
      <c r="AB20" s="185" t="str">
        <f t="shared" si="10"/>
        <v>No</v>
      </c>
      <c r="AC20" s="225"/>
      <c r="AD20" s="221"/>
    </row>
    <row r="21" spans="1:30" s="192" customFormat="1" ht="81" customHeight="1" x14ac:dyDescent="0.2">
      <c r="A21" s="1444"/>
      <c r="B21" s="1446"/>
      <c r="C21" s="1450"/>
      <c r="D21" s="217" t="str">
        <f>'[6]Analisis Riesgo'!K19</f>
        <v>Realizar solicitudes de información para la proyección de precios a agentes del sector.</v>
      </c>
      <c r="E21" s="317" t="str">
        <f>'[6]Analisis Riesgo'!L19</f>
        <v>Este control se aplica con el propósito de obtener información de calidad y de fuentes confiables que permitan elaborar con calidad la proyección de precios. Las solicitudes son elaboradas por el profesional asignada y revisadas por el Subdirector(a) de Hidrocarburos.</v>
      </c>
      <c r="F21" s="218" t="s">
        <v>296</v>
      </c>
      <c r="G21" s="218" t="s">
        <v>299</v>
      </c>
      <c r="H21" s="218" t="s">
        <v>300</v>
      </c>
      <c r="I21" s="218" t="s">
        <v>301</v>
      </c>
      <c r="J21" s="218" t="s">
        <v>302</v>
      </c>
      <c r="K21" s="219" t="s">
        <v>303</v>
      </c>
      <c r="L21" s="218" t="s">
        <v>304</v>
      </c>
      <c r="M21" s="185">
        <f t="shared" si="11"/>
        <v>15</v>
      </c>
      <c r="N21" s="185">
        <f t="shared" si="12"/>
        <v>15</v>
      </c>
      <c r="O21" s="185">
        <f t="shared" si="0"/>
        <v>15</v>
      </c>
      <c r="P21" s="185">
        <f t="shared" si="1"/>
        <v>15</v>
      </c>
      <c r="Q21" s="185">
        <f t="shared" si="2"/>
        <v>15</v>
      </c>
      <c r="R21" s="185">
        <f t="shared" si="9"/>
        <v>15</v>
      </c>
      <c r="S21" s="185">
        <f t="shared" si="3"/>
        <v>10</v>
      </c>
      <c r="T21" s="185">
        <f t="shared" si="4"/>
        <v>100</v>
      </c>
      <c r="U21" s="218" t="s">
        <v>122</v>
      </c>
      <c r="V21" s="218" t="s">
        <v>263</v>
      </c>
      <c r="W21" s="185">
        <f t="shared" si="5"/>
        <v>1</v>
      </c>
      <c r="X21" s="185">
        <f t="shared" si="6"/>
        <v>0</v>
      </c>
      <c r="Y21" s="185" t="str">
        <f t="shared" si="7"/>
        <v>Fuerte</v>
      </c>
      <c r="Z21" s="218" t="s">
        <v>305</v>
      </c>
      <c r="AA21" s="185" t="str">
        <f t="shared" si="8"/>
        <v>Fuerte</v>
      </c>
      <c r="AB21" s="185" t="str">
        <f t="shared" si="10"/>
        <v>No</v>
      </c>
      <c r="AC21" s="225"/>
      <c r="AD21" s="221"/>
    </row>
    <row r="22" spans="1:30" s="192" customFormat="1" ht="147.75" customHeight="1" x14ac:dyDescent="0.2">
      <c r="A22" s="1444"/>
      <c r="B22" s="1446"/>
      <c r="C22" s="1450"/>
      <c r="D22" s="217" t="str">
        <f>'[6]Analisis Riesgo'!K20</f>
        <v>Revisar la aplicación de metodologías para la proyección y cálculo de precios.</v>
      </c>
      <c r="E22" s="317" t="str">
        <f>'[6]Analisis Riesgo'!L20</f>
        <v>Este control se aplica con el propósito de verificar la conveniencia y adecuación de la metodologías y cálculos aplicados para obtener la proyección de precios, busca garantizar la calidad en el procesamiento de información y la obtención de resultados.  Para esto el profesional de la subdirección de hidrocarburos sigue los métodos establecidos y verifica la variación y desviación de datos con el propósito de emitir proyecciones de precios. Registro de ello se presenta las fuentes de datos consultadas, las comparaciones realizadas, los mecanismos de cálculo y proyecciones efectuados.</v>
      </c>
      <c r="F22" s="218" t="s">
        <v>296</v>
      </c>
      <c r="G22" s="218" t="s">
        <v>299</v>
      </c>
      <c r="H22" s="218" t="s">
        <v>300</v>
      </c>
      <c r="I22" s="218" t="s">
        <v>301</v>
      </c>
      <c r="J22" s="218" t="s">
        <v>302</v>
      </c>
      <c r="K22" s="219" t="s">
        <v>303</v>
      </c>
      <c r="L22" s="218" t="s">
        <v>304</v>
      </c>
      <c r="M22" s="185">
        <f t="shared" si="11"/>
        <v>15</v>
      </c>
      <c r="N22" s="185">
        <f t="shared" si="12"/>
        <v>15</v>
      </c>
      <c r="O22" s="185">
        <f t="shared" si="0"/>
        <v>15</v>
      </c>
      <c r="P22" s="185">
        <f t="shared" si="1"/>
        <v>15</v>
      </c>
      <c r="Q22" s="185">
        <f t="shared" si="2"/>
        <v>15</v>
      </c>
      <c r="R22" s="185">
        <f t="shared" si="9"/>
        <v>15</v>
      </c>
      <c r="S22" s="185">
        <f t="shared" si="3"/>
        <v>10</v>
      </c>
      <c r="T22" s="185">
        <f t="shared" si="4"/>
        <v>100</v>
      </c>
      <c r="U22" s="218" t="s">
        <v>122</v>
      </c>
      <c r="V22" s="218" t="s">
        <v>263</v>
      </c>
      <c r="W22" s="185">
        <f t="shared" si="5"/>
        <v>1</v>
      </c>
      <c r="X22" s="185">
        <f t="shared" si="6"/>
        <v>0</v>
      </c>
      <c r="Y22" s="185" t="str">
        <f t="shared" si="7"/>
        <v>Fuerte</v>
      </c>
      <c r="Z22" s="218" t="s">
        <v>305</v>
      </c>
      <c r="AA22" s="185" t="str">
        <f t="shared" si="8"/>
        <v>Fuerte</v>
      </c>
      <c r="AB22" s="185" t="str">
        <f t="shared" si="10"/>
        <v>No</v>
      </c>
      <c r="AC22" s="225"/>
      <c r="AD22" s="221"/>
    </row>
    <row r="23" spans="1:30" s="192" customFormat="1" ht="142.5" x14ac:dyDescent="0.2">
      <c r="A23" s="1444"/>
      <c r="B23" s="1446"/>
      <c r="C23" s="1450"/>
      <c r="D23" s="217" t="str">
        <f>'[6]Analisis Riesgo'!K21</f>
        <v>Revisar marco normativo en el marco de la proyección de precios de hidrocarburos..</v>
      </c>
      <c r="E23" s="317" t="str">
        <f>'[6]Analisis Riesgo'!L21</f>
        <v>Este control tiene el propósito de verificar que las proyecciones de precios elaboradas en la Subdirección de Hidrocarburos consideren los cambios normativos y regulatorios que puedan llegar a retrasar la elaboración de planes y documentos técnicos. La revisión del marco normativo es realizada por los profesionales del área, verificada por el Subdirector(a) de Hidrocarburos y tiene el acompañamiento del área jurídica de la entidad. El registro que demuestra la aplicación de este control son los apartes normativos presentados en los documentos de proyecciones de precios.</v>
      </c>
      <c r="F23" s="218" t="s">
        <v>296</v>
      </c>
      <c r="G23" s="218" t="s">
        <v>299</v>
      </c>
      <c r="H23" s="218" t="s">
        <v>300</v>
      </c>
      <c r="I23" s="218" t="s">
        <v>301</v>
      </c>
      <c r="J23" s="218" t="s">
        <v>302</v>
      </c>
      <c r="K23" s="219" t="s">
        <v>303</v>
      </c>
      <c r="L23" s="218" t="s">
        <v>713</v>
      </c>
      <c r="M23" s="185">
        <f t="shared" si="11"/>
        <v>15</v>
      </c>
      <c r="N23" s="185">
        <f t="shared" si="12"/>
        <v>15</v>
      </c>
      <c r="O23" s="185">
        <f t="shared" si="0"/>
        <v>15</v>
      </c>
      <c r="P23" s="185">
        <f t="shared" si="1"/>
        <v>15</v>
      </c>
      <c r="Q23" s="185">
        <f t="shared" si="2"/>
        <v>15</v>
      </c>
      <c r="R23" s="185">
        <f t="shared" si="9"/>
        <v>15</v>
      </c>
      <c r="S23" s="185">
        <f t="shared" si="3"/>
        <v>5</v>
      </c>
      <c r="T23" s="185">
        <f t="shared" si="4"/>
        <v>95</v>
      </c>
      <c r="U23" s="218"/>
      <c r="V23" s="218"/>
      <c r="W23" s="185">
        <f t="shared" si="5"/>
        <v>0</v>
      </c>
      <c r="X23" s="185">
        <f t="shared" si="6"/>
        <v>0</v>
      </c>
      <c r="Y23" s="185" t="str">
        <f t="shared" si="7"/>
        <v>Debil</v>
      </c>
      <c r="Z23" s="218"/>
      <c r="AA23" s="185" t="str">
        <f t="shared" si="8"/>
        <v>Debil</v>
      </c>
      <c r="AB23" s="185" t="str">
        <f t="shared" si="10"/>
        <v>SI</v>
      </c>
      <c r="AC23" s="424"/>
      <c r="AD23" s="425"/>
    </row>
    <row r="24" spans="1:30" s="192" customFormat="1" ht="143.25" customHeight="1" x14ac:dyDescent="0.2">
      <c r="A24" s="1443" t="e">
        <f>#REF!</f>
        <v>#REF!</v>
      </c>
      <c r="B24" s="1445" t="e">
        <f>#REF!</f>
        <v>#REF!</v>
      </c>
      <c r="C24" s="1447" t="e">
        <f>#REF!</f>
        <v>#REF!</v>
      </c>
      <c r="D24" s="217" t="str">
        <f>'[6]Analisis Riesgo'!K22</f>
        <v xml:space="preserve">Realizar solicitud de información a agentes del sector de hidrocarburos y a proveedores de información para la emisión de conceptos técnicos. </v>
      </c>
      <c r="E24" s="317" t="str">
        <f>'[6]Analisis Riesgo'!L22</f>
        <v>Este control se desarrolla con el propósito de obtener información por parte de agentes del sector de hidrocarburos y de proveedores de información para cumplir con la elaboración de los conceptos técnicos emitidos por la Subdirección de Hidrocarburos en cumplimiento de requisitos legales. Las solicitudes de información son elaboradas por los profesionales de la Subdirección en periodos determinados y son revisadas por el Subdirector(a) de Hidrocarburos.</v>
      </c>
      <c r="F24" s="218" t="s">
        <v>296</v>
      </c>
      <c r="G24" s="218" t="s">
        <v>299</v>
      </c>
      <c r="H24" s="218" t="s">
        <v>300</v>
      </c>
      <c r="I24" s="218" t="s">
        <v>301</v>
      </c>
      <c r="J24" s="218" t="s">
        <v>302</v>
      </c>
      <c r="K24" s="219" t="s">
        <v>303</v>
      </c>
      <c r="L24" s="218" t="s">
        <v>304</v>
      </c>
      <c r="M24" s="185">
        <f t="shared" si="11"/>
        <v>15</v>
      </c>
      <c r="N24" s="185">
        <f t="shared" si="12"/>
        <v>15</v>
      </c>
      <c r="O24" s="185">
        <f t="shared" si="0"/>
        <v>15</v>
      </c>
      <c r="P24" s="185">
        <f t="shared" si="1"/>
        <v>15</v>
      </c>
      <c r="Q24" s="185">
        <f t="shared" si="2"/>
        <v>15</v>
      </c>
      <c r="R24" s="185">
        <f t="shared" si="9"/>
        <v>15</v>
      </c>
      <c r="S24" s="185">
        <f t="shared" si="3"/>
        <v>10</v>
      </c>
      <c r="T24" s="185">
        <f t="shared" si="4"/>
        <v>100</v>
      </c>
      <c r="U24" s="218" t="s">
        <v>122</v>
      </c>
      <c r="V24" s="218" t="s">
        <v>263</v>
      </c>
      <c r="W24" s="185">
        <f t="shared" si="5"/>
        <v>1</v>
      </c>
      <c r="X24" s="185">
        <f t="shared" si="6"/>
        <v>0</v>
      </c>
      <c r="Y24" s="185" t="str">
        <f t="shared" si="7"/>
        <v>Fuerte</v>
      </c>
      <c r="Z24" s="218" t="s">
        <v>305</v>
      </c>
      <c r="AA24" s="185" t="str">
        <f t="shared" si="8"/>
        <v>Fuerte</v>
      </c>
      <c r="AB24" s="185" t="str">
        <f t="shared" si="10"/>
        <v>No</v>
      </c>
      <c r="AC24" s="222"/>
      <c r="AD24" s="221"/>
    </row>
    <row r="25" spans="1:30" s="192" customFormat="1" ht="143.25" customHeight="1" x14ac:dyDescent="0.2">
      <c r="A25" s="1444"/>
      <c r="B25" s="1446"/>
      <c r="C25" s="1448"/>
      <c r="D25" s="217" t="str">
        <f>'[6]Analisis Riesgo'!K23</f>
        <v>Aplicar niveles de autorización en la verificación de las proyecciones de precios.</v>
      </c>
      <c r="E25" s="317" t="str">
        <f>'[6]Analisis Riesgo'!L23</f>
        <v>Este control se aplica con el propósito garantizar el adecuado procesamiento de la información, para esto el profesional que elabora un concepto técnico solicita revisión a un par quien lo revisa, para luego ser remitido al Subdirector(a) de Hidrocarburos para su Vo.Bo. de esta manera se detectan desviaciones preliminarmente a la emisión del concepto.</v>
      </c>
      <c r="F25" s="218" t="s">
        <v>296</v>
      </c>
      <c r="G25" s="218" t="s">
        <v>299</v>
      </c>
      <c r="H25" s="218" t="s">
        <v>300</v>
      </c>
      <c r="I25" s="218" t="s">
        <v>301</v>
      </c>
      <c r="J25" s="218" t="s">
        <v>302</v>
      </c>
      <c r="K25" s="219" t="s">
        <v>303</v>
      </c>
      <c r="L25" s="218" t="s">
        <v>304</v>
      </c>
      <c r="M25" s="185">
        <f t="shared" si="11"/>
        <v>15</v>
      </c>
      <c r="N25" s="185">
        <f t="shared" si="12"/>
        <v>15</v>
      </c>
      <c r="O25" s="185">
        <f t="shared" si="0"/>
        <v>15</v>
      </c>
      <c r="P25" s="185">
        <f t="shared" si="1"/>
        <v>15</v>
      </c>
      <c r="Q25" s="185">
        <f t="shared" si="2"/>
        <v>15</v>
      </c>
      <c r="R25" s="185">
        <f t="shared" si="9"/>
        <v>15</v>
      </c>
      <c r="S25" s="185">
        <f t="shared" si="3"/>
        <v>10</v>
      </c>
      <c r="T25" s="185">
        <f t="shared" si="4"/>
        <v>100</v>
      </c>
      <c r="U25" s="218" t="s">
        <v>122</v>
      </c>
      <c r="V25" s="218" t="s">
        <v>263</v>
      </c>
      <c r="W25" s="185">
        <f t="shared" si="5"/>
        <v>1</v>
      </c>
      <c r="X25" s="185">
        <f t="shared" si="6"/>
        <v>0</v>
      </c>
      <c r="Y25" s="185" t="str">
        <f t="shared" si="7"/>
        <v>Fuerte</v>
      </c>
      <c r="Z25" s="218" t="s">
        <v>305</v>
      </c>
      <c r="AA25" s="185" t="str">
        <f t="shared" si="8"/>
        <v>Fuerte</v>
      </c>
      <c r="AB25" s="185" t="str">
        <f t="shared" si="10"/>
        <v>No</v>
      </c>
      <c r="AC25" s="222"/>
      <c r="AD25" s="221"/>
    </row>
    <row r="26" spans="1:30" s="192" customFormat="1" ht="143.25" customHeight="1" x14ac:dyDescent="0.2">
      <c r="A26" s="1444"/>
      <c r="B26" s="1446"/>
      <c r="C26" s="1448"/>
      <c r="D26" s="217" t="str">
        <f>'[6]Analisis Riesgo'!K24</f>
        <v>Publicar a consulta los ajustes normativos internos (Resoluciones UPME).</v>
      </c>
      <c r="E26" s="317" t="str">
        <f>'[6]Analisis Riesgo'!L24</f>
        <v>De acuerdo con la normativa son publicados a consulta de las partes interesadas las propuestas de actos administrativos generales y abstractos o de reglamentos, elaborados en el marco de la competencia de la UPME, con el propósito de garantizar el derecho a la competencia y proteger un interés general. Este control permite a la UPME garantizar el acceso a la información y realizar ajustes de acuerdo a los comentarios y observaciones que sean emitidas por los usuarios de los conceptos técnicos.</v>
      </c>
      <c r="F26" s="218" t="s">
        <v>296</v>
      </c>
      <c r="G26" s="218" t="s">
        <v>299</v>
      </c>
      <c r="H26" s="218" t="s">
        <v>300</v>
      </c>
      <c r="I26" s="218" t="s">
        <v>301</v>
      </c>
      <c r="J26" s="218" t="s">
        <v>302</v>
      </c>
      <c r="K26" s="219" t="s">
        <v>303</v>
      </c>
      <c r="L26" s="218" t="s">
        <v>713</v>
      </c>
      <c r="M26" s="185">
        <f t="shared" si="11"/>
        <v>15</v>
      </c>
      <c r="N26" s="185">
        <f t="shared" si="12"/>
        <v>15</v>
      </c>
      <c r="O26" s="185">
        <f t="shared" si="0"/>
        <v>15</v>
      </c>
      <c r="P26" s="185">
        <f t="shared" si="1"/>
        <v>15</v>
      </c>
      <c r="Q26" s="185">
        <f t="shared" si="2"/>
        <v>15</v>
      </c>
      <c r="R26" s="185">
        <f t="shared" si="9"/>
        <v>15</v>
      </c>
      <c r="S26" s="185">
        <f t="shared" si="3"/>
        <v>5</v>
      </c>
      <c r="T26" s="185">
        <f t="shared" si="4"/>
        <v>95</v>
      </c>
      <c r="U26" s="218" t="s">
        <v>122</v>
      </c>
      <c r="V26" s="218" t="s">
        <v>263</v>
      </c>
      <c r="W26" s="185">
        <f t="shared" si="5"/>
        <v>0.95</v>
      </c>
      <c r="X26" s="185">
        <f t="shared" si="6"/>
        <v>0</v>
      </c>
      <c r="Y26" s="185" t="str">
        <f t="shared" si="7"/>
        <v>Moderado</v>
      </c>
      <c r="Z26" s="218" t="s">
        <v>305</v>
      </c>
      <c r="AA26" s="185" t="str">
        <f t="shared" si="8"/>
        <v>Fuerte</v>
      </c>
      <c r="AB26" s="185" t="str">
        <f t="shared" si="10"/>
        <v>SI</v>
      </c>
      <c r="AC26" s="222"/>
      <c r="AD26" s="221"/>
    </row>
    <row r="27" spans="1:30" s="192" customFormat="1" ht="143.25" customHeight="1" x14ac:dyDescent="0.2">
      <c r="A27" s="1444"/>
      <c r="B27" s="1446"/>
      <c r="C27" s="1448"/>
      <c r="D27" s="217" t="str">
        <f>'[6]Analisis Riesgo'!K25</f>
        <v>Realizar seguimiento a los datos de operación del trámites de asignación de cupos.</v>
      </c>
      <c r="E27" s="317" t="str">
        <f>'[6]Analisis Riesgo'!L25</f>
        <v>Este control permite el seguimiento al número de solicitudes de los trámites registrado en la plataforma SUIT, permite llevar un control sobre el número de las solicitudes atendidas y sobre los derechos de petición que se hayan interpuesto en un periodo por los usuarios, permitiendo tomar acciones para prevenir las causas del riesgo. Estos datos son reportados por Profesional de la Subdirección y revisados por la Subdirección de Hidrocarburos y reportados al Grupo de Trabajo de Planeación.</v>
      </c>
      <c r="F27" s="218" t="s">
        <v>296</v>
      </c>
      <c r="G27" s="218" t="s">
        <v>299</v>
      </c>
      <c r="H27" s="218" t="s">
        <v>300</v>
      </c>
      <c r="I27" s="218" t="s">
        <v>301</v>
      </c>
      <c r="J27" s="218" t="s">
        <v>302</v>
      </c>
      <c r="K27" s="219" t="s">
        <v>303</v>
      </c>
      <c r="L27" s="218" t="s">
        <v>304</v>
      </c>
      <c r="M27" s="185">
        <f t="shared" si="11"/>
        <v>15</v>
      </c>
      <c r="N27" s="185">
        <f t="shared" si="12"/>
        <v>15</v>
      </c>
      <c r="O27" s="185">
        <f t="shared" si="0"/>
        <v>15</v>
      </c>
      <c r="P27" s="185">
        <f t="shared" si="1"/>
        <v>15</v>
      </c>
      <c r="Q27" s="185">
        <f t="shared" si="2"/>
        <v>15</v>
      </c>
      <c r="R27" s="185">
        <f t="shared" si="9"/>
        <v>15</v>
      </c>
      <c r="S27" s="185">
        <f t="shared" si="3"/>
        <v>10</v>
      </c>
      <c r="T27" s="185">
        <f t="shared" si="4"/>
        <v>100</v>
      </c>
      <c r="U27" s="218" t="s">
        <v>122</v>
      </c>
      <c r="V27" s="218" t="s">
        <v>263</v>
      </c>
      <c r="W27" s="185">
        <f t="shared" si="5"/>
        <v>1</v>
      </c>
      <c r="X27" s="185">
        <f t="shared" si="6"/>
        <v>0</v>
      </c>
      <c r="Y27" s="185" t="str">
        <f t="shared" si="7"/>
        <v>Fuerte</v>
      </c>
      <c r="Z27" s="218" t="s">
        <v>305</v>
      </c>
      <c r="AA27" s="185" t="str">
        <f t="shared" si="8"/>
        <v>Fuerte</v>
      </c>
      <c r="AB27" s="185" t="str">
        <f t="shared" si="10"/>
        <v>No</v>
      </c>
      <c r="AC27" s="222"/>
      <c r="AD27" s="221"/>
    </row>
    <row r="28" spans="1:30" s="192" customFormat="1" ht="90" customHeight="1" x14ac:dyDescent="0.2">
      <c r="A28" s="1443" t="e">
        <f>#REF!</f>
        <v>#REF!</v>
      </c>
      <c r="B28" s="1445" t="e">
        <f>#REF!</f>
        <v>#REF!</v>
      </c>
      <c r="C28" s="1449" t="e">
        <f>#REF!</f>
        <v>#REF!</v>
      </c>
      <c r="D28" s="217" t="str">
        <f>'[6]Analisis Riesgo'!K26</f>
        <v>Aplicar los acuerdos de confidencialidad de la información.</v>
      </c>
      <c r="E28" s="317" t="str">
        <f>'[6]Analisis Riesgo'!L26</f>
        <v>De acuerdo con las Políticas Institucionales de Información la Subdirección de Hidrocarburos velará por que sean suscritos de los acuerdos de confidencialidad en los casos en los que sea requerido, es control tiene como propósito velar por el adecuado uso de la información administrada por la UPME.</v>
      </c>
      <c r="F28" s="218" t="s">
        <v>296</v>
      </c>
      <c r="G28" s="218" t="s">
        <v>299</v>
      </c>
      <c r="H28" s="218" t="s">
        <v>300</v>
      </c>
      <c r="I28" s="218" t="s">
        <v>301</v>
      </c>
      <c r="J28" s="218" t="s">
        <v>302</v>
      </c>
      <c r="K28" s="219" t="s">
        <v>303</v>
      </c>
      <c r="L28" s="218" t="s">
        <v>713</v>
      </c>
      <c r="M28" s="185">
        <f t="shared" si="11"/>
        <v>15</v>
      </c>
      <c r="N28" s="185">
        <f t="shared" si="12"/>
        <v>15</v>
      </c>
      <c r="O28" s="185">
        <f t="shared" si="0"/>
        <v>15</v>
      </c>
      <c r="P28" s="185">
        <f t="shared" si="1"/>
        <v>15</v>
      </c>
      <c r="Q28" s="185">
        <f t="shared" si="2"/>
        <v>15</v>
      </c>
      <c r="R28" s="185">
        <f t="shared" si="9"/>
        <v>15</v>
      </c>
      <c r="S28" s="185">
        <f t="shared" si="3"/>
        <v>5</v>
      </c>
      <c r="T28" s="185">
        <f t="shared" si="4"/>
        <v>95</v>
      </c>
      <c r="U28" s="218" t="s">
        <v>122</v>
      </c>
      <c r="V28" s="218" t="s">
        <v>263</v>
      </c>
      <c r="W28" s="185">
        <f t="shared" si="5"/>
        <v>0.95</v>
      </c>
      <c r="X28" s="185">
        <f t="shared" si="6"/>
        <v>0</v>
      </c>
      <c r="Y28" s="185" t="str">
        <f t="shared" si="7"/>
        <v>Moderado</v>
      </c>
      <c r="Z28" s="218" t="s">
        <v>305</v>
      </c>
      <c r="AA28" s="185" t="str">
        <f t="shared" si="8"/>
        <v>Fuerte</v>
      </c>
      <c r="AB28" s="185" t="str">
        <f t="shared" si="10"/>
        <v>SI</v>
      </c>
      <c r="AC28" s="222"/>
      <c r="AD28" s="221"/>
    </row>
    <row r="29" spans="1:30" s="192" customFormat="1" ht="156.75" x14ac:dyDescent="0.2">
      <c r="A29" s="1444"/>
      <c r="B29" s="1446"/>
      <c r="C29" s="1450"/>
      <c r="D29" s="217" t="str">
        <f>'[6]Analisis Riesgo'!K27</f>
        <v>Presentar la manifestación de conflictos de interés.</v>
      </c>
      <c r="E29" s="317" t="str">
        <f>'[6]Analisis Riesgo'!L27</f>
        <v xml:space="preserve">Este control permite se identifique y manifiesten por parte de los servidores públicos los posibles conflictos de interés, para ello en la herramienta SIGEP cada funcionario registra el manifiesto de sus posibles conflictos de interés, este control tiene como propósito que se conozcan las situaciones en las que los intereses personales pueden influir en el cumplimiento de sus funciones y responsabilidades, en beneficio particular, afectando el interés público, por eso la manifestación de conflictos de interés permite puedan ser advertidos y gestionados en forma preventiva, evitando que favorezcan interés ajenos al bien común. </v>
      </c>
      <c r="F29" s="218" t="s">
        <v>296</v>
      </c>
      <c r="G29" s="218" t="s">
        <v>299</v>
      </c>
      <c r="H29" s="218" t="s">
        <v>300</v>
      </c>
      <c r="I29" s="218" t="s">
        <v>714</v>
      </c>
      <c r="J29" s="218" t="s">
        <v>302</v>
      </c>
      <c r="K29" s="219" t="s">
        <v>303</v>
      </c>
      <c r="L29" s="218" t="s">
        <v>713</v>
      </c>
      <c r="M29" s="185">
        <f t="shared" si="11"/>
        <v>15</v>
      </c>
      <c r="N29" s="185">
        <f t="shared" si="12"/>
        <v>15</v>
      </c>
      <c r="O29" s="185">
        <f t="shared" si="0"/>
        <v>15</v>
      </c>
      <c r="P29" s="185">
        <f t="shared" si="1"/>
        <v>10</v>
      </c>
      <c r="Q29" s="185">
        <f t="shared" si="2"/>
        <v>15</v>
      </c>
      <c r="R29" s="185">
        <f t="shared" si="9"/>
        <v>15</v>
      </c>
      <c r="S29" s="185">
        <f t="shared" si="3"/>
        <v>5</v>
      </c>
      <c r="T29" s="185">
        <f t="shared" si="4"/>
        <v>90</v>
      </c>
      <c r="U29" s="218" t="s">
        <v>122</v>
      </c>
      <c r="V29" s="218" t="s">
        <v>263</v>
      </c>
      <c r="W29" s="185">
        <f t="shared" si="5"/>
        <v>0.9</v>
      </c>
      <c r="X29" s="185">
        <f t="shared" si="6"/>
        <v>0</v>
      </c>
      <c r="Y29" s="185" t="str">
        <f t="shared" si="7"/>
        <v>Moderado</v>
      </c>
      <c r="Z29" s="218" t="s">
        <v>305</v>
      </c>
      <c r="AA29" s="185" t="str">
        <f t="shared" si="8"/>
        <v>Fuerte</v>
      </c>
      <c r="AB29" s="185" t="str">
        <f t="shared" si="10"/>
        <v>SI</v>
      </c>
      <c r="AC29" s="222"/>
      <c r="AD29" s="221"/>
    </row>
    <row r="30" spans="1:30" s="192" customFormat="1" ht="71.25" x14ac:dyDescent="0.2">
      <c r="A30" s="1444"/>
      <c r="B30" s="1446"/>
      <c r="C30" s="1450"/>
      <c r="D30" s="217" t="str">
        <f>'[6]Analisis Riesgo'!K28</f>
        <v>Aplicar niveles de autorización en la verificación de las proyecciones de precios.</v>
      </c>
      <c r="E30" s="317" t="str">
        <f>'[6]Analisis Riesgo'!L28</f>
        <v>Este control se desarrolla cuando se han elaborado documentos técnicos de proyecciones de precios o cuando se dan respuestas a solicitudes de información, consiste en la verificación de la información a ser emitida por parte de un Profesional par o el Subdirector(a) de Hidrocarburos.</v>
      </c>
      <c r="F30" s="218" t="s">
        <v>296</v>
      </c>
      <c r="G30" s="218" t="s">
        <v>299</v>
      </c>
      <c r="H30" s="218" t="s">
        <v>300</v>
      </c>
      <c r="I30" s="218" t="s">
        <v>301</v>
      </c>
      <c r="J30" s="218" t="s">
        <v>302</v>
      </c>
      <c r="K30" s="219" t="s">
        <v>303</v>
      </c>
      <c r="L30" s="218" t="s">
        <v>304</v>
      </c>
      <c r="M30" s="185">
        <f t="shared" si="11"/>
        <v>15</v>
      </c>
      <c r="N30" s="185">
        <f t="shared" si="12"/>
        <v>15</v>
      </c>
      <c r="O30" s="185">
        <f t="shared" si="0"/>
        <v>15</v>
      </c>
      <c r="P30" s="185">
        <f t="shared" si="1"/>
        <v>15</v>
      </c>
      <c r="Q30" s="185">
        <f t="shared" si="2"/>
        <v>15</v>
      </c>
      <c r="R30" s="185">
        <f t="shared" si="9"/>
        <v>15</v>
      </c>
      <c r="S30" s="185">
        <f t="shared" si="3"/>
        <v>10</v>
      </c>
      <c r="T30" s="185">
        <f t="shared" si="4"/>
        <v>100</v>
      </c>
      <c r="U30" s="218" t="s">
        <v>263</v>
      </c>
      <c r="V30" s="218" t="s">
        <v>122</v>
      </c>
      <c r="W30" s="185">
        <f t="shared" si="5"/>
        <v>0</v>
      </c>
      <c r="X30" s="185">
        <f t="shared" si="6"/>
        <v>1</v>
      </c>
      <c r="Y30" s="185" t="str">
        <f t="shared" si="7"/>
        <v>Debil</v>
      </c>
      <c r="Z30" s="218" t="s">
        <v>305</v>
      </c>
      <c r="AA30" s="185" t="str">
        <f t="shared" si="8"/>
        <v>Fuerte</v>
      </c>
      <c r="AB30" s="185" t="str">
        <f t="shared" si="10"/>
        <v>SI</v>
      </c>
      <c r="AC30" s="222"/>
      <c r="AD30" s="221"/>
    </row>
  </sheetData>
  <mergeCells count="27">
    <mergeCell ref="A28:A30"/>
    <mergeCell ref="B28:B30"/>
    <mergeCell ref="C28:C30"/>
    <mergeCell ref="A19:A23"/>
    <mergeCell ref="B19:B23"/>
    <mergeCell ref="C19:C23"/>
    <mergeCell ref="A24:A27"/>
    <mergeCell ref="B24:B27"/>
    <mergeCell ref="C24:C27"/>
    <mergeCell ref="A9:A13"/>
    <mergeCell ref="B9:B13"/>
    <mergeCell ref="C9:C13"/>
    <mergeCell ref="A14:A18"/>
    <mergeCell ref="B14:B18"/>
    <mergeCell ref="C14:C18"/>
    <mergeCell ref="A6:C6"/>
    <mergeCell ref="D6:AD6"/>
    <mergeCell ref="A7:L7"/>
    <mergeCell ref="M7:Y7"/>
    <mergeCell ref="Z7:AB7"/>
    <mergeCell ref="AC7:AD7"/>
    <mergeCell ref="A1:C4"/>
    <mergeCell ref="D1:AB4"/>
    <mergeCell ref="AC1:AD2"/>
    <mergeCell ref="AC3:AD4"/>
    <mergeCell ref="A5:C5"/>
    <mergeCell ref="D5:AD5"/>
  </mergeCells>
  <dataValidations count="11">
    <dataValidation type="list" allowBlank="1" showInputMessage="1" showErrorMessage="1" sqref="Z14:Z30" xr:uid="{00000000-0002-0000-2D00-000000000000}">
      <formula1>"Siempre se ejecuta,Algunas veces se ejecuta,No se ejecuta"</formula1>
    </dataValidation>
    <dataValidation type="list" allowBlank="1" showInputMessage="1" showErrorMessage="1" sqref="U10:V30" xr:uid="{00000000-0002-0000-2D00-000001000000}">
      <formula1>"SI, NO"</formula1>
    </dataValidation>
    <dataValidation type="list" allowBlank="1" showInputMessage="1" showErrorMessage="1" sqref="L9:L30" xr:uid="{00000000-0002-0000-2D00-000002000000}">
      <formula1>"Completa, Incompleta, No existe,Seleccione"</formula1>
    </dataValidation>
    <dataValidation type="list" allowBlank="1" showInputMessage="1" showErrorMessage="1" sqref="K9:K30" xr:uid="{00000000-0002-0000-2D00-000003000000}">
      <formula1>"Se investigan y resuelven oportunamente, No se investigan y resuelven oportunamente,Seleccione"</formula1>
    </dataValidation>
    <dataValidation type="list" allowBlank="1" showInputMessage="1" showErrorMessage="1" sqref="J9:J30" xr:uid="{00000000-0002-0000-2D00-000004000000}">
      <formula1>"Confiable, No Confiable,Seleccione"</formula1>
    </dataValidation>
    <dataValidation type="list" allowBlank="1" showInputMessage="1" showErrorMessage="1" sqref="I9:I30" xr:uid="{00000000-0002-0000-2D00-000005000000}">
      <formula1>"Prevenir, Detectar, No es un control,Seleccione"</formula1>
    </dataValidation>
    <dataValidation type="list" allowBlank="1" showInputMessage="1" showErrorMessage="1" sqref="H9:H30" xr:uid="{00000000-0002-0000-2D00-000006000000}">
      <formula1>"Oportuna, Inoportuna,Seleccione"</formula1>
    </dataValidation>
    <dataValidation type="list" allowBlank="1" showInputMessage="1" showErrorMessage="1" sqref="G9:G30" xr:uid="{00000000-0002-0000-2D00-000007000000}">
      <formula1>"Adecuado, Inadecuado,Seleccione"</formula1>
    </dataValidation>
    <dataValidation type="list" allowBlank="1" showInputMessage="1" showErrorMessage="1" sqref="F9:F30" xr:uid="{00000000-0002-0000-2D00-000008000000}">
      <formula1>"Asignado, No asignado, Seleccione"</formula1>
    </dataValidation>
    <dataValidation type="list" allowBlank="1" showInputMessage="1" showErrorMessage="1" sqref="Z9:Z13" xr:uid="{00000000-0002-0000-2D00-000009000000}">
      <formula1>"Siempre se ejecuta,Algunas veces se ejecuta,No se ejecuta,Seleccione"</formula1>
    </dataValidation>
    <dataValidation type="list" allowBlank="1" showInputMessage="1" showErrorMessage="1" sqref="U9:V9" xr:uid="{00000000-0002-0000-2D00-00000A000000}">
      <formula1>"SI, NO,Seleccione"</formula1>
    </dataValidation>
  </dataValidations>
  <pageMargins left="0.11811023622047245" right="0.11811023622047245" top="1.1417322834645669" bottom="0.74803149606299213" header="0.31496062992125984" footer="0.31496062992125984"/>
  <pageSetup scale="36" orientation="landscape" horizontalDpi="1200" verticalDpi="1200" r:id="rId1"/>
  <headerFooter>
    <oddHeader>&amp;L&amp;G&amp;C
&amp;"-,Negrita"Matriz de Riesgos</oddHeader>
  </headerFooter>
  <rowBreaks count="2" manualBreakCount="2">
    <brk id="18" max="16383" man="1"/>
    <brk id="27" max="16383" man="1"/>
  </rowBreaks>
  <colBreaks count="1" manualBreakCount="1">
    <brk id="12" max="1048575" man="1"/>
  </colBreaks>
  <drawing r:id="rId2"/>
  <legacyDrawingHF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X13"/>
  <sheetViews>
    <sheetView showGridLines="0" workbookViewId="0">
      <selection activeCell="C6" sqref="C6:C8"/>
    </sheetView>
  </sheetViews>
  <sheetFormatPr baseColWidth="10" defaultRowHeight="15" x14ac:dyDescent="0.2"/>
  <cols>
    <col min="1" max="1" width="3.625" style="534" customWidth="1"/>
    <col min="2" max="2" width="26.625" style="534" customWidth="1"/>
    <col min="3" max="3" width="38.875" style="534" customWidth="1"/>
    <col min="4" max="4" width="38.5" style="534" customWidth="1"/>
    <col min="5" max="5" width="20.5" style="534" customWidth="1"/>
    <col min="6" max="6" width="25.875" style="534" customWidth="1"/>
    <col min="7" max="7" width="23" style="534" customWidth="1"/>
    <col min="8" max="10" width="19.375" style="534" customWidth="1"/>
    <col min="11" max="11" width="18.25" style="541" customWidth="1"/>
    <col min="12" max="12" width="41.625" style="534" customWidth="1"/>
    <col min="13" max="13" width="27.25" style="534" customWidth="1"/>
    <col min="14" max="15" width="10.75" style="534" customWidth="1"/>
    <col min="16" max="16" width="27.25" style="534" customWidth="1"/>
    <col min="17" max="22" width="25.75" style="534" customWidth="1"/>
    <col min="23" max="23" width="33.5" style="534" customWidth="1"/>
    <col min="24" max="24" width="45.625" style="534" customWidth="1"/>
    <col min="25" max="16384" width="11" style="534"/>
  </cols>
  <sheetData>
    <row r="1" spans="1:24" ht="42" customHeight="1" x14ac:dyDescent="0.2">
      <c r="A1" s="1179"/>
      <c r="B1" s="1179"/>
      <c r="C1" s="1179"/>
      <c r="D1" s="1180" t="s">
        <v>314</v>
      </c>
      <c r="E1" s="1181"/>
      <c r="F1" s="1181"/>
      <c r="G1" s="1181"/>
      <c r="H1" s="1181"/>
      <c r="I1" s="1181"/>
      <c r="J1" s="1181"/>
      <c r="K1" s="1181"/>
      <c r="L1" s="1181"/>
      <c r="M1" s="1181"/>
      <c r="N1" s="1181"/>
      <c r="O1" s="1181"/>
      <c r="P1" s="1181"/>
      <c r="Q1" s="1181"/>
      <c r="R1" s="1181"/>
      <c r="S1" s="1181"/>
      <c r="T1" s="1181"/>
      <c r="U1" s="1181"/>
      <c r="V1" s="1182"/>
      <c r="W1" s="532" t="s">
        <v>315</v>
      </c>
      <c r="X1" s="533"/>
    </row>
    <row r="2" spans="1:24" ht="42" customHeight="1" x14ac:dyDescent="0.2">
      <c r="A2" s="1179"/>
      <c r="B2" s="1179"/>
      <c r="C2" s="1179"/>
      <c r="D2" s="1183"/>
      <c r="E2" s="1184"/>
      <c r="F2" s="1184"/>
      <c r="G2" s="1184"/>
      <c r="H2" s="1184"/>
      <c r="I2" s="1184"/>
      <c r="J2" s="1184"/>
      <c r="K2" s="1184"/>
      <c r="L2" s="1184"/>
      <c r="M2" s="1184"/>
      <c r="N2" s="1184"/>
      <c r="O2" s="1184"/>
      <c r="P2" s="1184"/>
      <c r="Q2" s="1184"/>
      <c r="R2" s="1184"/>
      <c r="S2" s="1184"/>
      <c r="T2" s="1184"/>
      <c r="U2" s="1184"/>
      <c r="V2" s="1185"/>
      <c r="W2" s="532" t="s">
        <v>316</v>
      </c>
      <c r="X2" s="533"/>
    </row>
    <row r="3" spans="1:24" ht="30" x14ac:dyDescent="0.2">
      <c r="A3" s="1186" t="s">
        <v>57</v>
      </c>
      <c r="B3" s="1187"/>
      <c r="C3" s="1187"/>
      <c r="D3" s="1187"/>
      <c r="E3" s="1187"/>
      <c r="F3" s="1187"/>
      <c r="G3" s="1188"/>
      <c r="H3" s="1189"/>
      <c r="I3" s="1189"/>
      <c r="J3" s="1189"/>
      <c r="K3" s="1189"/>
      <c r="L3" s="1190" t="s">
        <v>60</v>
      </c>
      <c r="M3" s="1189"/>
      <c r="N3" s="1189"/>
      <c r="O3" s="1189"/>
      <c r="P3" s="1191"/>
      <c r="Q3" s="1192" t="s">
        <v>61</v>
      </c>
      <c r="R3" s="1193"/>
      <c r="S3" s="1193"/>
      <c r="T3" s="1193"/>
      <c r="U3" s="1193"/>
      <c r="V3" s="1194"/>
      <c r="W3" s="535" t="s">
        <v>62</v>
      </c>
      <c r="X3" s="535" t="s">
        <v>63</v>
      </c>
    </row>
    <row r="4" spans="1:24" s="541" customFormat="1" ht="38.25" x14ac:dyDescent="0.2">
      <c r="A4" s="536" t="s">
        <v>44</v>
      </c>
      <c r="B4" s="537" t="s">
        <v>64</v>
      </c>
      <c r="C4" s="537" t="s">
        <v>65</v>
      </c>
      <c r="D4" s="537" t="s">
        <v>317</v>
      </c>
      <c r="E4" s="537" t="s">
        <v>68</v>
      </c>
      <c r="F4" s="537" t="s">
        <v>69</v>
      </c>
      <c r="G4" s="538" t="s">
        <v>71</v>
      </c>
      <c r="H4" s="537" t="s">
        <v>81</v>
      </c>
      <c r="I4" s="537" t="s">
        <v>82</v>
      </c>
      <c r="J4" s="537" t="s">
        <v>83</v>
      </c>
      <c r="K4" s="539" t="s">
        <v>84</v>
      </c>
      <c r="L4" s="536" t="s">
        <v>85</v>
      </c>
      <c r="M4" s="537" t="s">
        <v>86</v>
      </c>
      <c r="N4" s="537" t="s">
        <v>87</v>
      </c>
      <c r="O4" s="537" t="s">
        <v>88</v>
      </c>
      <c r="P4" s="538" t="s">
        <v>89</v>
      </c>
      <c r="Q4" s="536" t="s">
        <v>90</v>
      </c>
      <c r="R4" s="537" t="s">
        <v>91</v>
      </c>
      <c r="S4" s="537" t="s">
        <v>92</v>
      </c>
      <c r="T4" s="537" t="s">
        <v>91</v>
      </c>
      <c r="U4" s="537" t="s">
        <v>93</v>
      </c>
      <c r="V4" s="538" t="s">
        <v>91</v>
      </c>
      <c r="W4" s="540" t="s">
        <v>94</v>
      </c>
      <c r="X4" s="540" t="s">
        <v>95</v>
      </c>
    </row>
    <row r="5" spans="1:24" ht="102" x14ac:dyDescent="0.2">
      <c r="A5" s="652">
        <v>1</v>
      </c>
      <c r="B5" s="162" t="s">
        <v>637</v>
      </c>
      <c r="C5" s="164" t="s">
        <v>639</v>
      </c>
      <c r="D5" s="164" t="s">
        <v>640</v>
      </c>
      <c r="E5" s="653" t="s">
        <v>197</v>
      </c>
      <c r="F5" s="654" t="s">
        <v>226</v>
      </c>
      <c r="G5" s="548" t="s">
        <v>149</v>
      </c>
      <c r="H5" s="547" t="s">
        <v>237</v>
      </c>
      <c r="I5" s="547" t="s">
        <v>239</v>
      </c>
      <c r="J5" s="548" t="s">
        <v>152</v>
      </c>
      <c r="K5" s="544" t="s">
        <v>187</v>
      </c>
      <c r="L5" s="549"/>
      <c r="M5" s="550"/>
      <c r="N5" s="551"/>
      <c r="O5" s="551"/>
      <c r="P5" s="552"/>
      <c r="Q5" s="553"/>
      <c r="R5" s="553"/>
      <c r="S5" s="553"/>
      <c r="T5" s="553"/>
      <c r="U5" s="553"/>
      <c r="V5" s="553"/>
      <c r="W5" s="553"/>
      <c r="X5" s="553"/>
    </row>
    <row r="6" spans="1:24" ht="89.25" customHeight="1" x14ac:dyDescent="0.2">
      <c r="A6" s="1451">
        <v>2</v>
      </c>
      <c r="B6" s="1454" t="s">
        <v>641</v>
      </c>
      <c r="C6" s="1457" t="s">
        <v>643</v>
      </c>
      <c r="D6" s="1460" t="s">
        <v>644</v>
      </c>
      <c r="E6" s="1311" t="s">
        <v>211</v>
      </c>
      <c r="F6" s="1306" t="s">
        <v>204</v>
      </c>
      <c r="G6" s="1468" t="s">
        <v>149</v>
      </c>
      <c r="H6" s="1471" t="s">
        <v>237</v>
      </c>
      <c r="I6" s="1471" t="s">
        <v>204</v>
      </c>
      <c r="J6" s="1468" t="s">
        <v>151</v>
      </c>
      <c r="K6" s="1306" t="s">
        <v>202</v>
      </c>
      <c r="L6" s="549" t="s">
        <v>669</v>
      </c>
      <c r="M6" s="550" t="s">
        <v>670</v>
      </c>
      <c r="N6" s="551">
        <v>44197</v>
      </c>
      <c r="O6" s="551">
        <v>44561</v>
      </c>
      <c r="P6" s="552" t="s">
        <v>671</v>
      </c>
      <c r="Q6" s="553"/>
      <c r="R6" s="553"/>
      <c r="S6" s="553"/>
      <c r="T6" s="553"/>
      <c r="U6" s="553"/>
      <c r="V6" s="553"/>
      <c r="W6" s="553"/>
      <c r="X6" s="553"/>
    </row>
    <row r="7" spans="1:24" ht="42.75" x14ac:dyDescent="0.2">
      <c r="A7" s="1452"/>
      <c r="B7" s="1455"/>
      <c r="C7" s="1458"/>
      <c r="D7" s="1461"/>
      <c r="E7" s="1312"/>
      <c r="F7" s="1307"/>
      <c r="G7" s="1470"/>
      <c r="H7" s="1472"/>
      <c r="I7" s="1472"/>
      <c r="J7" s="1470"/>
      <c r="K7" s="1307"/>
      <c r="L7" s="549" t="s">
        <v>672</v>
      </c>
      <c r="M7" s="550" t="s">
        <v>670</v>
      </c>
      <c r="N7" s="551">
        <v>44197</v>
      </c>
      <c r="O7" s="551">
        <v>44561</v>
      </c>
      <c r="P7" s="552" t="s">
        <v>673</v>
      </c>
      <c r="Q7" s="553"/>
      <c r="R7" s="553"/>
      <c r="S7" s="553"/>
      <c r="T7" s="553"/>
      <c r="U7" s="553"/>
      <c r="V7" s="553"/>
      <c r="W7" s="553"/>
      <c r="X7" s="553"/>
    </row>
    <row r="8" spans="1:24" ht="42.75" x14ac:dyDescent="0.2">
      <c r="A8" s="1453"/>
      <c r="B8" s="1456"/>
      <c r="C8" s="1459"/>
      <c r="D8" s="1462"/>
      <c r="E8" s="1463"/>
      <c r="F8" s="1317"/>
      <c r="G8" s="1469"/>
      <c r="H8" s="1473"/>
      <c r="I8" s="1473"/>
      <c r="J8" s="1469"/>
      <c r="K8" s="1317"/>
      <c r="L8" s="549" t="s">
        <v>676</v>
      </c>
      <c r="M8" s="550" t="s">
        <v>670</v>
      </c>
      <c r="N8" s="551">
        <v>44197</v>
      </c>
      <c r="O8" s="551">
        <v>44561</v>
      </c>
      <c r="P8" s="552" t="s">
        <v>677</v>
      </c>
      <c r="Q8" s="553"/>
      <c r="R8" s="553"/>
      <c r="S8" s="553"/>
      <c r="T8" s="553"/>
      <c r="U8" s="553"/>
      <c r="V8" s="553"/>
      <c r="W8" s="553"/>
      <c r="X8" s="553"/>
    </row>
    <row r="9" spans="1:24" ht="153" customHeight="1" x14ac:dyDescent="0.2">
      <c r="A9" s="1451">
        <v>3</v>
      </c>
      <c r="B9" s="1464" t="s">
        <v>645</v>
      </c>
      <c r="C9" s="1460" t="s">
        <v>647</v>
      </c>
      <c r="D9" s="1460" t="s">
        <v>648</v>
      </c>
      <c r="E9" s="1466" t="s">
        <v>224</v>
      </c>
      <c r="F9" s="1466" t="s">
        <v>204</v>
      </c>
      <c r="G9" s="1468" t="s">
        <v>151</v>
      </c>
      <c r="H9" s="1471" t="s">
        <v>237</v>
      </c>
      <c r="I9" s="1471" t="s">
        <v>204</v>
      </c>
      <c r="J9" s="1468" t="s">
        <v>151</v>
      </c>
      <c r="K9" s="1466" t="s">
        <v>202</v>
      </c>
      <c r="L9" s="549" t="s">
        <v>684</v>
      </c>
      <c r="M9" s="550" t="s">
        <v>670</v>
      </c>
      <c r="N9" s="551">
        <v>44197</v>
      </c>
      <c r="O9" s="551">
        <v>44561</v>
      </c>
      <c r="P9" s="552" t="s">
        <v>671</v>
      </c>
      <c r="Q9" s="553"/>
      <c r="R9" s="553"/>
      <c r="S9" s="553"/>
      <c r="T9" s="553"/>
      <c r="U9" s="553"/>
      <c r="V9" s="553"/>
      <c r="W9" s="553"/>
      <c r="X9" s="553"/>
    </row>
    <row r="10" spans="1:24" ht="28.5" x14ac:dyDescent="0.2">
      <c r="A10" s="1453"/>
      <c r="B10" s="1465"/>
      <c r="C10" s="1462"/>
      <c r="D10" s="1462"/>
      <c r="E10" s="1467"/>
      <c r="F10" s="1467"/>
      <c r="G10" s="1469"/>
      <c r="H10" s="1473"/>
      <c r="I10" s="1473"/>
      <c r="J10" s="1469"/>
      <c r="K10" s="1467"/>
      <c r="L10" s="549" t="s">
        <v>687</v>
      </c>
      <c r="M10" s="550" t="s">
        <v>670</v>
      </c>
      <c r="N10" s="551">
        <v>44197</v>
      </c>
      <c r="O10" s="551">
        <v>44561</v>
      </c>
      <c r="P10" s="552" t="s">
        <v>688</v>
      </c>
      <c r="Q10" s="553"/>
      <c r="R10" s="553"/>
      <c r="S10" s="553"/>
      <c r="T10" s="553"/>
      <c r="U10" s="553"/>
      <c r="V10" s="553"/>
      <c r="W10" s="553"/>
      <c r="X10" s="553"/>
    </row>
    <row r="11" spans="1:24" ht="102" x14ac:dyDescent="0.2">
      <c r="A11" s="652">
        <v>4</v>
      </c>
      <c r="B11" s="554" t="s">
        <v>649</v>
      </c>
      <c r="C11" s="555" t="s">
        <v>651</v>
      </c>
      <c r="D11" s="164" t="s">
        <v>652</v>
      </c>
      <c r="E11" s="546" t="s">
        <v>211</v>
      </c>
      <c r="F11" s="546" t="s">
        <v>226</v>
      </c>
      <c r="G11" s="548" t="s">
        <v>151</v>
      </c>
      <c r="H11" s="547" t="s">
        <v>237</v>
      </c>
      <c r="I11" s="547" t="s">
        <v>226</v>
      </c>
      <c r="J11" s="548" t="s">
        <v>152</v>
      </c>
      <c r="K11" s="546" t="s">
        <v>187</v>
      </c>
      <c r="L11" s="655" t="s">
        <v>697</v>
      </c>
      <c r="M11" s="656" t="s">
        <v>670</v>
      </c>
      <c r="N11" s="657">
        <v>44197</v>
      </c>
      <c r="O11" s="657">
        <v>44561</v>
      </c>
      <c r="P11" s="655" t="s">
        <v>698</v>
      </c>
      <c r="Q11" s="559"/>
      <c r="R11" s="559"/>
      <c r="S11" s="559"/>
      <c r="T11" s="559"/>
      <c r="U11" s="559"/>
      <c r="V11" s="559"/>
      <c r="W11" s="559"/>
      <c r="X11" s="559"/>
    </row>
    <row r="12" spans="1:24" ht="102" customHeight="1" x14ac:dyDescent="0.2">
      <c r="A12" s="1308">
        <v>5</v>
      </c>
      <c r="B12" s="1475" t="s">
        <v>653</v>
      </c>
      <c r="C12" s="1476" t="s">
        <v>655</v>
      </c>
      <c r="D12" s="1477" t="s">
        <v>656</v>
      </c>
      <c r="E12" s="1474" t="s">
        <v>237</v>
      </c>
      <c r="F12" s="1474" t="s">
        <v>184</v>
      </c>
      <c r="G12" s="1316" t="s">
        <v>150</v>
      </c>
      <c r="H12" s="1315" t="s">
        <v>237</v>
      </c>
      <c r="I12" s="1315" t="s">
        <v>199</v>
      </c>
      <c r="J12" s="1316" t="s">
        <v>149</v>
      </c>
      <c r="K12" s="1478" t="s">
        <v>202</v>
      </c>
      <c r="L12" s="655" t="s">
        <v>706</v>
      </c>
      <c r="M12" s="656" t="s">
        <v>670</v>
      </c>
      <c r="N12" s="657">
        <v>44197</v>
      </c>
      <c r="O12" s="657">
        <v>44561</v>
      </c>
      <c r="P12" s="655" t="s">
        <v>707</v>
      </c>
      <c r="Q12" s="559"/>
      <c r="R12" s="559"/>
      <c r="S12" s="559"/>
      <c r="T12" s="559"/>
      <c r="U12" s="559"/>
      <c r="V12" s="559"/>
      <c r="W12" s="559"/>
      <c r="X12" s="559"/>
    </row>
    <row r="13" spans="1:24" ht="71.25" customHeight="1" x14ac:dyDescent="0.2">
      <c r="A13" s="1308"/>
      <c r="B13" s="1475"/>
      <c r="C13" s="1476"/>
      <c r="D13" s="1477"/>
      <c r="E13" s="1474"/>
      <c r="F13" s="1474"/>
      <c r="G13" s="1316"/>
      <c r="H13" s="1315"/>
      <c r="I13" s="1315"/>
      <c r="J13" s="1316"/>
      <c r="K13" s="1478"/>
      <c r="L13" s="655" t="s">
        <v>710</v>
      </c>
      <c r="M13" s="656" t="s">
        <v>670</v>
      </c>
      <c r="N13" s="657">
        <v>44197</v>
      </c>
      <c r="O13" s="657">
        <v>44561</v>
      </c>
      <c r="P13" s="655" t="s">
        <v>363</v>
      </c>
      <c r="Q13" s="559"/>
      <c r="R13" s="559"/>
      <c r="S13" s="559"/>
      <c r="T13" s="559"/>
      <c r="U13" s="559"/>
      <c r="V13" s="559"/>
      <c r="W13" s="559"/>
      <c r="X13" s="559"/>
    </row>
  </sheetData>
  <mergeCells count="39">
    <mergeCell ref="J12:J13"/>
    <mergeCell ref="K12:K13"/>
    <mergeCell ref="A12:A13"/>
    <mergeCell ref="B12:B13"/>
    <mergeCell ref="C12:C13"/>
    <mergeCell ref="D12:D13"/>
    <mergeCell ref="E12:E13"/>
    <mergeCell ref="F12:F13"/>
    <mergeCell ref="F9:F10"/>
    <mergeCell ref="G9:G10"/>
    <mergeCell ref="H9:H10"/>
    <mergeCell ref="I9:I10"/>
    <mergeCell ref="G12:G13"/>
    <mergeCell ref="H12:H13"/>
    <mergeCell ref="I12:I13"/>
    <mergeCell ref="J9:J10"/>
    <mergeCell ref="K9:K10"/>
    <mergeCell ref="G6:G8"/>
    <mergeCell ref="H6:H8"/>
    <mergeCell ref="I6:I8"/>
    <mergeCell ref="J6:J8"/>
    <mergeCell ref="K6:K8"/>
    <mergeCell ref="A9:A10"/>
    <mergeCell ref="B9:B10"/>
    <mergeCell ref="C9:C10"/>
    <mergeCell ref="D9:D10"/>
    <mergeCell ref="E9:E10"/>
    <mergeCell ref="F6:F8"/>
    <mergeCell ref="A1:C2"/>
    <mergeCell ref="D1:V2"/>
    <mergeCell ref="A3:G3"/>
    <mergeCell ref="H3:K3"/>
    <mergeCell ref="L3:P3"/>
    <mergeCell ref="Q3:V3"/>
    <mergeCell ref="A6:A8"/>
    <mergeCell ref="B6:B8"/>
    <mergeCell ref="C6:C8"/>
    <mergeCell ref="D6:D8"/>
    <mergeCell ref="E6:E8"/>
  </mergeCells>
  <conditionalFormatting sqref="J5 J9 J11">
    <cfRule type="cellIs" dxfId="131" priority="13" operator="equal">
      <formula>"Extremo"</formula>
    </cfRule>
    <cfRule type="cellIs" dxfId="130" priority="14" operator="equal">
      <formula>"Moderado"</formula>
    </cfRule>
    <cfRule type="cellIs" dxfId="129" priority="15" operator="equal">
      <formula>"Bajo"</formula>
    </cfRule>
    <cfRule type="cellIs" dxfId="128" priority="16" operator="equal">
      <formula>"Alto"</formula>
    </cfRule>
  </conditionalFormatting>
  <conditionalFormatting sqref="J12">
    <cfRule type="cellIs" dxfId="127" priority="9" operator="equal">
      <formula>"Extremo"</formula>
    </cfRule>
    <cfRule type="cellIs" dxfId="126" priority="10" operator="equal">
      <formula>"Moderado"</formula>
    </cfRule>
    <cfRule type="cellIs" dxfId="125" priority="11" operator="equal">
      <formula>"Bajo"</formula>
    </cfRule>
    <cfRule type="cellIs" dxfId="124" priority="12" operator="equal">
      <formula>"Alto"</formula>
    </cfRule>
  </conditionalFormatting>
  <conditionalFormatting sqref="J6">
    <cfRule type="cellIs" dxfId="123" priority="5" operator="equal">
      <formula>"Extremo"</formula>
    </cfRule>
    <cfRule type="cellIs" dxfId="122" priority="6" operator="equal">
      <formula>"Moderado"</formula>
    </cfRule>
    <cfRule type="cellIs" dxfId="121" priority="7" operator="equal">
      <formula>"Bajo"</formula>
    </cfRule>
    <cfRule type="cellIs" dxfId="120" priority="8" operator="equal">
      <formula>"Alto"</formula>
    </cfRule>
  </conditionalFormatting>
  <conditionalFormatting sqref="G5:G6 G11:G12 G9">
    <cfRule type="cellIs" dxfId="119" priority="1" operator="equal">
      <formula>"Extremo"</formula>
    </cfRule>
    <cfRule type="cellIs" dxfId="118" priority="2" operator="equal">
      <formula>"Moderado"</formula>
    </cfRule>
    <cfRule type="cellIs" dxfId="117" priority="3" operator="equal">
      <formula>"Bajo"</formula>
    </cfRule>
    <cfRule type="cellIs" dxfId="116" priority="4" operator="equal">
      <formula>"Alto"</formula>
    </cfRule>
  </conditionalFormatting>
  <pageMargins left="0.7" right="0.7" top="0.75" bottom="0.75" header="0.3" footer="0.3"/>
  <drawing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E993"/>
  <sheetViews>
    <sheetView showGridLines="0" topLeftCell="B6" zoomScaleNormal="100" workbookViewId="0">
      <selection activeCell="C7" sqref="C7"/>
    </sheetView>
  </sheetViews>
  <sheetFormatPr baseColWidth="10" defaultColWidth="12.625" defaultRowHeight="15" customHeight="1" x14ac:dyDescent="0.2"/>
  <cols>
    <col min="1" max="1" width="20.375" style="228" customWidth="1"/>
    <col min="2" max="2" width="63.625" style="228" customWidth="1"/>
    <col min="3" max="3" width="58.625" style="228" customWidth="1"/>
    <col min="4" max="4" width="14.25" style="228" customWidth="1"/>
    <col min="5" max="5" width="39.25" style="228" customWidth="1"/>
    <col min="6" max="26" width="9.375" style="228" customWidth="1"/>
    <col min="27" max="16384" width="12.625" style="228"/>
  </cols>
  <sheetData>
    <row r="1" spans="1:5" ht="14.25" x14ac:dyDescent="0.2">
      <c r="A1" s="1197"/>
      <c r="B1" s="1199" t="s">
        <v>0</v>
      </c>
      <c r="C1" s="1200"/>
      <c r="D1" s="1201"/>
      <c r="E1" s="1207" t="s">
        <v>29</v>
      </c>
    </row>
    <row r="2" spans="1:5" ht="14.25" x14ac:dyDescent="0.2">
      <c r="A2" s="1198"/>
      <c r="B2" s="1202"/>
      <c r="C2" s="1203"/>
      <c r="D2" s="1198"/>
      <c r="E2" s="1208"/>
    </row>
    <row r="3" spans="1:5" ht="14.25" x14ac:dyDescent="0.2">
      <c r="A3" s="1198"/>
      <c r="B3" s="1202"/>
      <c r="C3" s="1203"/>
      <c r="D3" s="1198"/>
      <c r="E3" s="1207" t="s">
        <v>2</v>
      </c>
    </row>
    <row r="4" spans="1:5" thickBot="1" x14ac:dyDescent="0.25">
      <c r="A4" s="1198"/>
      <c r="B4" s="1204"/>
      <c r="C4" s="1205"/>
      <c r="D4" s="1206"/>
      <c r="E4" s="1208"/>
    </row>
    <row r="5" spans="1:5" thickBot="1" x14ac:dyDescent="0.25">
      <c r="A5" s="1209" t="s">
        <v>30</v>
      </c>
      <c r="B5" s="1210"/>
      <c r="C5" s="1210"/>
      <c r="D5" s="1210"/>
      <c r="E5" s="1211"/>
    </row>
    <row r="6" spans="1:5" ht="15" customHeight="1" x14ac:dyDescent="0.2">
      <c r="A6" s="229" t="s">
        <v>31</v>
      </c>
      <c r="B6" s="230" t="s">
        <v>32</v>
      </c>
      <c r="C6" s="229" t="s">
        <v>33</v>
      </c>
      <c r="D6" s="1212" t="s">
        <v>34</v>
      </c>
      <c r="E6" s="1213"/>
    </row>
    <row r="7" spans="1:5" ht="409.5" customHeight="1" x14ac:dyDescent="0.2">
      <c r="A7" s="231"/>
      <c r="B7" s="232" t="s">
        <v>715</v>
      </c>
      <c r="C7" s="233" t="s">
        <v>716</v>
      </c>
      <c r="D7" s="1195" t="s">
        <v>717</v>
      </c>
      <c r="E7" s="1196"/>
    </row>
    <row r="15" spans="1:5" ht="15.75" customHeight="1" x14ac:dyDescent="0.2"/>
    <row r="16" spans="1:5" ht="15.75" customHeight="1" x14ac:dyDescent="0.2"/>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sheetData>
  <mergeCells count="7">
    <mergeCell ref="D7:E7"/>
    <mergeCell ref="A1:A4"/>
    <mergeCell ref="B1:D4"/>
    <mergeCell ref="E1:E2"/>
    <mergeCell ref="E3:E4"/>
    <mergeCell ref="A5:E5"/>
    <mergeCell ref="D6:E6"/>
  </mergeCells>
  <pageMargins left="0.31496062992125984" right="0.31496062992125984" top="1.1417322834645669" bottom="0.35433070866141736" header="0" footer="0"/>
  <pageSetup scale="88" orientation="landscape" r:id="rId1"/>
  <headerFooter>
    <oddHeader>&amp;C Matriz de Riesgos</oddHeader>
  </headerFooter>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N995"/>
  <sheetViews>
    <sheetView showGridLines="0" topLeftCell="A6" zoomScale="85" zoomScaleNormal="85" workbookViewId="0">
      <selection activeCell="F10" sqref="F10"/>
    </sheetView>
  </sheetViews>
  <sheetFormatPr baseColWidth="10" defaultColWidth="12.625" defaultRowHeight="15" customHeight="1" x14ac:dyDescent="0.2"/>
  <cols>
    <col min="1" max="2" width="13.25" style="228" customWidth="1"/>
    <col min="3" max="3" width="16.875" style="228" customWidth="1"/>
    <col min="4" max="4" width="3.625" style="228" customWidth="1"/>
    <col min="5" max="5" width="21.625" style="228" customWidth="1"/>
    <col min="6" max="6" width="27.5" style="228" customWidth="1"/>
    <col min="7" max="7" width="15" style="228" customWidth="1"/>
    <col min="8" max="9" width="33.375" style="228" customWidth="1"/>
    <col min="10" max="10" width="20.625" style="228" customWidth="1"/>
    <col min="11" max="11" width="14.75" style="228" customWidth="1"/>
    <col min="12" max="12" width="18.75" style="228" customWidth="1"/>
    <col min="13" max="13" width="12.75" style="228" customWidth="1"/>
    <col min="14" max="14" width="27.125" style="228" customWidth="1"/>
    <col min="15" max="26" width="9.375" style="228" customWidth="1"/>
    <col min="27" max="16384" width="12.625" style="228"/>
  </cols>
  <sheetData>
    <row r="1" spans="1:14" ht="15" customHeight="1" x14ac:dyDescent="0.2">
      <c r="A1" s="1214"/>
      <c r="B1" s="1203"/>
      <c r="C1" s="1203"/>
      <c r="D1" s="1215" t="s">
        <v>0</v>
      </c>
      <c r="E1" s="1203"/>
      <c r="F1" s="1203"/>
      <c r="G1" s="1203"/>
      <c r="H1" s="1203"/>
      <c r="I1" s="1203"/>
      <c r="J1" s="1203"/>
      <c r="K1" s="1203"/>
      <c r="L1" s="1203"/>
      <c r="M1" s="1198"/>
      <c r="N1" s="1216" t="s">
        <v>35</v>
      </c>
    </row>
    <row r="2" spans="1:14" ht="15" customHeight="1" x14ac:dyDescent="0.2">
      <c r="A2" s="1203"/>
      <c r="B2" s="1203"/>
      <c r="C2" s="1203"/>
      <c r="D2" s="1203"/>
      <c r="E2" s="1203"/>
      <c r="F2" s="1203"/>
      <c r="G2" s="1203"/>
      <c r="H2" s="1203"/>
      <c r="I2" s="1203"/>
      <c r="J2" s="1203"/>
      <c r="K2" s="1203"/>
      <c r="L2" s="1203"/>
      <c r="M2" s="1198"/>
      <c r="N2" s="1208"/>
    </row>
    <row r="3" spans="1:14" ht="15" customHeight="1" x14ac:dyDescent="0.2">
      <c r="A3" s="1203"/>
      <c r="B3" s="1203"/>
      <c r="C3" s="1203"/>
      <c r="D3" s="1203"/>
      <c r="E3" s="1203"/>
      <c r="F3" s="1203"/>
      <c r="G3" s="1203"/>
      <c r="H3" s="1203"/>
      <c r="I3" s="1203"/>
      <c r="J3" s="1203"/>
      <c r="K3" s="1203"/>
      <c r="L3" s="1203"/>
      <c r="M3" s="1198"/>
      <c r="N3" s="1216" t="s">
        <v>2</v>
      </c>
    </row>
    <row r="4" spans="1:14" ht="15" customHeight="1" x14ac:dyDescent="0.2">
      <c r="A4" s="1205"/>
      <c r="B4" s="1205"/>
      <c r="C4" s="1205"/>
      <c r="D4" s="1205"/>
      <c r="E4" s="1205"/>
      <c r="F4" s="1205"/>
      <c r="G4" s="1205"/>
      <c r="H4" s="1205"/>
      <c r="I4" s="1205"/>
      <c r="J4" s="1205"/>
      <c r="K4" s="1205"/>
      <c r="L4" s="1205"/>
      <c r="M4" s="1206"/>
      <c r="N4" s="1208"/>
    </row>
    <row r="5" spans="1:14" ht="15.75" x14ac:dyDescent="0.2">
      <c r="A5" s="1217" t="s">
        <v>36</v>
      </c>
      <c r="B5" s="1218"/>
      <c r="C5" s="1196"/>
      <c r="D5" s="1219" t="s">
        <v>718</v>
      </c>
      <c r="E5" s="1220"/>
      <c r="F5" s="1220"/>
      <c r="G5" s="1220"/>
      <c r="H5" s="1220"/>
      <c r="I5" s="1220"/>
      <c r="J5" s="1220"/>
      <c r="K5" s="1220"/>
      <c r="L5" s="1220"/>
      <c r="M5" s="1220"/>
      <c r="N5" s="1221"/>
    </row>
    <row r="6" spans="1:14" ht="15.75" x14ac:dyDescent="0.2">
      <c r="A6" s="1217" t="s">
        <v>37</v>
      </c>
      <c r="B6" s="1218"/>
      <c r="C6" s="1196"/>
      <c r="D6" s="1219" t="s">
        <v>719</v>
      </c>
      <c r="E6" s="1220"/>
      <c r="F6" s="1220"/>
      <c r="G6" s="1220"/>
      <c r="H6" s="1220"/>
      <c r="I6" s="1220"/>
      <c r="J6" s="1220"/>
      <c r="K6" s="1220"/>
      <c r="L6" s="1220"/>
      <c r="M6" s="1220"/>
      <c r="N6" s="1221"/>
    </row>
    <row r="7" spans="1:14" x14ac:dyDescent="0.25">
      <c r="A7" s="1222" t="s">
        <v>38</v>
      </c>
      <c r="B7" s="1218"/>
      <c r="C7" s="1196"/>
      <c r="D7" s="1223" t="s">
        <v>39</v>
      </c>
      <c r="E7" s="1218"/>
      <c r="F7" s="1218"/>
      <c r="G7" s="1218"/>
      <c r="H7" s="1218"/>
      <c r="I7" s="1196"/>
      <c r="J7" s="1222" t="s">
        <v>40</v>
      </c>
      <c r="K7" s="1218"/>
      <c r="L7" s="1218"/>
      <c r="M7" s="1218"/>
      <c r="N7" s="1196"/>
    </row>
    <row r="8" spans="1:14" ht="36" x14ac:dyDescent="0.2">
      <c r="A8" s="234" t="s">
        <v>41</v>
      </c>
      <c r="B8" s="234" t="s">
        <v>42</v>
      </c>
      <c r="C8" s="234" t="s">
        <v>43</v>
      </c>
      <c r="D8" s="234" t="s">
        <v>44</v>
      </c>
      <c r="E8" s="234" t="s">
        <v>45</v>
      </c>
      <c r="F8" s="234" t="s">
        <v>46</v>
      </c>
      <c r="G8" s="234" t="s">
        <v>47</v>
      </c>
      <c r="H8" s="234" t="s">
        <v>48</v>
      </c>
      <c r="I8" s="234" t="s">
        <v>49</v>
      </c>
      <c r="J8" s="235" t="s">
        <v>50</v>
      </c>
      <c r="K8" s="235" t="s">
        <v>51</v>
      </c>
      <c r="L8" s="235" t="s">
        <v>52</v>
      </c>
      <c r="M8" s="235" t="s">
        <v>53</v>
      </c>
      <c r="N8" s="235" t="s">
        <v>54</v>
      </c>
    </row>
    <row r="9" spans="1:14" ht="142.5" customHeight="1" x14ac:dyDescent="0.2">
      <c r="A9" s="242" t="s">
        <v>176</v>
      </c>
      <c r="B9" s="383" t="s">
        <v>177</v>
      </c>
      <c r="C9" s="383" t="s">
        <v>178</v>
      </c>
      <c r="D9" s="237">
        <v>1</v>
      </c>
      <c r="E9" s="384" t="s">
        <v>720</v>
      </c>
      <c r="F9" s="384" t="s">
        <v>721</v>
      </c>
      <c r="G9" s="239" t="s">
        <v>246</v>
      </c>
      <c r="H9" s="240" t="s">
        <v>722</v>
      </c>
      <c r="I9" s="427" t="s">
        <v>723</v>
      </c>
      <c r="J9" s="239" t="s">
        <v>122</v>
      </c>
      <c r="K9" s="239" t="s">
        <v>263</v>
      </c>
      <c r="L9" s="239" t="s">
        <v>263</v>
      </c>
      <c r="M9" s="239" t="s">
        <v>263</v>
      </c>
      <c r="N9" s="241" t="str">
        <f t="shared" ref="N9:N13" si="0">IF(COUNTIF(J9:M9,"SI")=4,"Riesgo de Corrupción","No es Riesgo de Corrupción")</f>
        <v>No es Riesgo de Corrupción</v>
      </c>
    </row>
    <row r="10" spans="1:14" ht="178.5" x14ac:dyDescent="0.2">
      <c r="A10" s="242" t="s">
        <v>191</v>
      </c>
      <c r="B10" s="242" t="s">
        <v>248</v>
      </c>
      <c r="C10" s="242" t="s">
        <v>178</v>
      </c>
      <c r="D10" s="237">
        <v>2</v>
      </c>
      <c r="E10" s="384" t="s">
        <v>724</v>
      </c>
      <c r="F10" s="384" t="s">
        <v>725</v>
      </c>
      <c r="G10" s="239" t="s">
        <v>179</v>
      </c>
      <c r="H10" s="240" t="s">
        <v>726</v>
      </c>
      <c r="I10" s="240" t="s">
        <v>727</v>
      </c>
      <c r="J10" s="239" t="s">
        <v>122</v>
      </c>
      <c r="K10" s="239" t="s">
        <v>122</v>
      </c>
      <c r="L10" s="239" t="s">
        <v>263</v>
      </c>
      <c r="M10" s="239" t="s">
        <v>263</v>
      </c>
      <c r="N10" s="241" t="str">
        <f t="shared" si="0"/>
        <v>No es Riesgo de Corrupción</v>
      </c>
    </row>
    <row r="11" spans="1:14" ht="191.25" x14ac:dyDescent="0.2">
      <c r="A11" s="242" t="s">
        <v>243</v>
      </c>
      <c r="B11" s="242" t="s">
        <v>248</v>
      </c>
      <c r="C11" s="242" t="s">
        <v>207</v>
      </c>
      <c r="D11" s="237">
        <v>3</v>
      </c>
      <c r="E11" s="384" t="s">
        <v>728</v>
      </c>
      <c r="F11" s="428" t="s">
        <v>729</v>
      </c>
      <c r="G11" s="239" t="s">
        <v>246</v>
      </c>
      <c r="H11" s="429" t="s">
        <v>730</v>
      </c>
      <c r="I11" s="429" t="s">
        <v>731</v>
      </c>
      <c r="J11" s="239" t="s">
        <v>122</v>
      </c>
      <c r="K11" s="239" t="s">
        <v>122</v>
      </c>
      <c r="L11" s="239" t="s">
        <v>263</v>
      </c>
      <c r="M11" s="239" t="s">
        <v>263</v>
      </c>
      <c r="N11" s="241" t="str">
        <f t="shared" si="0"/>
        <v>No es Riesgo de Corrupción</v>
      </c>
    </row>
    <row r="12" spans="1:14" ht="204" x14ac:dyDescent="0.2">
      <c r="A12" s="242" t="s">
        <v>243</v>
      </c>
      <c r="B12" s="242" t="s">
        <v>248</v>
      </c>
      <c r="C12" s="242" t="s">
        <v>178</v>
      </c>
      <c r="D12" s="237">
        <v>4</v>
      </c>
      <c r="E12" s="384" t="s">
        <v>732</v>
      </c>
      <c r="F12" s="428" t="s">
        <v>733</v>
      </c>
      <c r="G12" s="239" t="s">
        <v>208</v>
      </c>
      <c r="H12" s="429" t="s">
        <v>734</v>
      </c>
      <c r="I12" s="429" t="s">
        <v>735</v>
      </c>
      <c r="J12" s="239" t="s">
        <v>122</v>
      </c>
      <c r="K12" s="239" t="s">
        <v>122</v>
      </c>
      <c r="L12" s="239" t="s">
        <v>263</v>
      </c>
      <c r="M12" s="239" t="s">
        <v>263</v>
      </c>
      <c r="N12" s="241" t="str">
        <f t="shared" si="0"/>
        <v>No es Riesgo de Corrupción</v>
      </c>
    </row>
    <row r="13" spans="1:14" ht="264" customHeight="1" x14ac:dyDescent="0.2">
      <c r="A13" s="242" t="s">
        <v>243</v>
      </c>
      <c r="B13" s="242" t="s">
        <v>219</v>
      </c>
      <c r="C13" s="242" t="s">
        <v>220</v>
      </c>
      <c r="D13" s="237">
        <v>5</v>
      </c>
      <c r="E13" s="384" t="s">
        <v>736</v>
      </c>
      <c r="F13" s="384" t="s">
        <v>654</v>
      </c>
      <c r="G13" s="239" t="s">
        <v>252</v>
      </c>
      <c r="H13" s="429" t="s">
        <v>737</v>
      </c>
      <c r="I13" s="429" t="s">
        <v>738</v>
      </c>
      <c r="J13" s="239" t="s">
        <v>122</v>
      </c>
      <c r="K13" s="239" t="s">
        <v>122</v>
      </c>
      <c r="L13" s="239" t="s">
        <v>122</v>
      </c>
      <c r="M13" s="239" t="s">
        <v>122</v>
      </c>
      <c r="N13" s="241" t="str">
        <f t="shared" si="0"/>
        <v>Riesgo de Corrupción</v>
      </c>
    </row>
    <row r="14" spans="1:14" x14ac:dyDescent="0.2">
      <c r="D14" s="244"/>
    </row>
    <row r="15" spans="1:14" x14ac:dyDescent="0.2">
      <c r="D15" s="244"/>
    </row>
    <row r="16" spans="1:14" ht="15.75" customHeight="1" x14ac:dyDescent="0.2">
      <c r="D16" s="244"/>
    </row>
    <row r="17" spans="4:4" ht="15.75" customHeight="1" x14ac:dyDescent="0.2">
      <c r="D17" s="244"/>
    </row>
    <row r="18" spans="4:4" ht="15.75" customHeight="1" x14ac:dyDescent="0.2">
      <c r="D18" s="244"/>
    </row>
    <row r="19" spans="4:4" ht="15.75" customHeight="1" x14ac:dyDescent="0.2">
      <c r="D19" s="244"/>
    </row>
    <row r="20" spans="4:4" ht="15.75" customHeight="1" x14ac:dyDescent="0.2">
      <c r="D20" s="244"/>
    </row>
    <row r="21" spans="4:4" ht="15.75" customHeight="1" x14ac:dyDescent="0.2">
      <c r="D21" s="244"/>
    </row>
    <row r="22" spans="4:4" ht="15.75" customHeight="1" x14ac:dyDescent="0.2">
      <c r="D22" s="244"/>
    </row>
    <row r="23" spans="4:4" ht="15.75" customHeight="1" x14ac:dyDescent="0.2">
      <c r="D23" s="244"/>
    </row>
    <row r="24" spans="4:4" ht="15.75" customHeight="1" x14ac:dyDescent="0.2">
      <c r="D24" s="244"/>
    </row>
    <row r="25" spans="4:4" ht="15.75" customHeight="1" x14ac:dyDescent="0.2">
      <c r="D25" s="244"/>
    </row>
    <row r="26" spans="4:4" ht="15.75" customHeight="1" x14ac:dyDescent="0.2">
      <c r="D26" s="244"/>
    </row>
    <row r="27" spans="4:4" ht="15.75" customHeight="1" x14ac:dyDescent="0.2">
      <c r="D27" s="244"/>
    </row>
    <row r="28" spans="4:4" ht="15.75" customHeight="1" x14ac:dyDescent="0.2">
      <c r="D28" s="244"/>
    </row>
    <row r="29" spans="4:4" ht="15.75" customHeight="1" x14ac:dyDescent="0.2">
      <c r="D29" s="244"/>
    </row>
    <row r="30" spans="4:4" ht="15.75" customHeight="1" x14ac:dyDescent="0.2">
      <c r="D30" s="244"/>
    </row>
    <row r="31" spans="4:4" ht="15.75" customHeight="1" x14ac:dyDescent="0.2">
      <c r="D31" s="244"/>
    </row>
    <row r="32" spans="4:4" ht="15.75" customHeight="1" x14ac:dyDescent="0.2">
      <c r="D32" s="244"/>
    </row>
    <row r="33" spans="4:4" ht="15.75" customHeight="1" x14ac:dyDescent="0.2">
      <c r="D33" s="244"/>
    </row>
    <row r="34" spans="4:4" ht="15.75" customHeight="1" x14ac:dyDescent="0.2">
      <c r="D34" s="244"/>
    </row>
    <row r="35" spans="4:4" ht="15.75" customHeight="1" x14ac:dyDescent="0.2">
      <c r="D35" s="244"/>
    </row>
    <row r="36" spans="4:4" ht="15.75" customHeight="1" x14ac:dyDescent="0.2">
      <c r="D36" s="244"/>
    </row>
    <row r="37" spans="4:4" ht="15.75" customHeight="1" x14ac:dyDescent="0.2">
      <c r="D37" s="244"/>
    </row>
    <row r="38" spans="4:4" ht="15.75" customHeight="1" x14ac:dyDescent="0.2">
      <c r="D38" s="244"/>
    </row>
    <row r="39" spans="4:4" ht="15.75" customHeight="1" x14ac:dyDescent="0.2">
      <c r="D39" s="244"/>
    </row>
    <row r="40" spans="4:4" ht="15.75" customHeight="1" x14ac:dyDescent="0.2">
      <c r="D40" s="244"/>
    </row>
    <row r="41" spans="4:4" ht="15.75" customHeight="1" x14ac:dyDescent="0.2">
      <c r="D41" s="244"/>
    </row>
    <row r="42" spans="4:4" ht="15.75" customHeight="1" x14ac:dyDescent="0.2">
      <c r="D42" s="244"/>
    </row>
    <row r="43" spans="4:4" ht="15.75" customHeight="1" x14ac:dyDescent="0.2">
      <c r="D43" s="244"/>
    </row>
    <row r="44" spans="4:4" ht="15.75" customHeight="1" x14ac:dyDescent="0.2">
      <c r="D44" s="244"/>
    </row>
    <row r="45" spans="4:4" ht="15.75" customHeight="1" x14ac:dyDescent="0.2">
      <c r="D45" s="244"/>
    </row>
    <row r="46" spans="4:4" ht="15.75" customHeight="1" x14ac:dyDescent="0.2">
      <c r="D46" s="244"/>
    </row>
    <row r="47" spans="4:4" ht="15.75" customHeight="1" x14ac:dyDescent="0.2">
      <c r="D47" s="244"/>
    </row>
    <row r="48" spans="4:4" ht="15.75" customHeight="1" x14ac:dyDescent="0.2">
      <c r="D48" s="244"/>
    </row>
    <row r="49" spans="4:4" ht="15.75" customHeight="1" x14ac:dyDescent="0.2">
      <c r="D49" s="244"/>
    </row>
    <row r="50" spans="4:4" ht="15.75" customHeight="1" x14ac:dyDescent="0.2">
      <c r="D50" s="244"/>
    </row>
    <row r="51" spans="4:4" ht="15.75" customHeight="1" x14ac:dyDescent="0.2">
      <c r="D51" s="244"/>
    </row>
    <row r="52" spans="4:4" ht="15.75" customHeight="1" x14ac:dyDescent="0.2">
      <c r="D52" s="244"/>
    </row>
    <row r="53" spans="4:4" ht="15.75" customHeight="1" x14ac:dyDescent="0.2">
      <c r="D53" s="244"/>
    </row>
    <row r="54" spans="4:4" ht="15.75" customHeight="1" x14ac:dyDescent="0.2">
      <c r="D54" s="244"/>
    </row>
    <row r="55" spans="4:4" ht="15.75" customHeight="1" x14ac:dyDescent="0.2">
      <c r="D55" s="244"/>
    </row>
    <row r="56" spans="4:4" ht="15.75" customHeight="1" x14ac:dyDescent="0.2">
      <c r="D56" s="244"/>
    </row>
    <row r="57" spans="4:4" ht="15.75" customHeight="1" x14ac:dyDescent="0.2">
      <c r="D57" s="244"/>
    </row>
    <row r="58" spans="4:4" ht="15.75" customHeight="1" x14ac:dyDescent="0.2">
      <c r="D58" s="244"/>
    </row>
    <row r="59" spans="4:4" ht="15.75" customHeight="1" x14ac:dyDescent="0.2">
      <c r="D59" s="244"/>
    </row>
    <row r="60" spans="4:4" ht="15.75" customHeight="1" x14ac:dyDescent="0.2">
      <c r="D60" s="244"/>
    </row>
    <row r="61" spans="4:4" ht="15.75" customHeight="1" x14ac:dyDescent="0.2">
      <c r="D61" s="244"/>
    </row>
    <row r="62" spans="4:4" ht="15.75" customHeight="1" x14ac:dyDescent="0.2">
      <c r="D62" s="244"/>
    </row>
    <row r="63" spans="4:4" ht="15.75" customHeight="1" x14ac:dyDescent="0.2">
      <c r="D63" s="244"/>
    </row>
    <row r="64" spans="4:4" ht="15.75" customHeight="1" x14ac:dyDescent="0.2">
      <c r="D64" s="244"/>
    </row>
    <row r="65" spans="4:4" ht="15.75" customHeight="1" x14ac:dyDescent="0.2">
      <c r="D65" s="244"/>
    </row>
    <row r="66" spans="4:4" ht="15.75" customHeight="1" x14ac:dyDescent="0.2">
      <c r="D66" s="244"/>
    </row>
    <row r="67" spans="4:4" ht="15.75" customHeight="1" x14ac:dyDescent="0.2">
      <c r="D67" s="244"/>
    </row>
    <row r="68" spans="4:4" ht="15.75" customHeight="1" x14ac:dyDescent="0.2">
      <c r="D68" s="244"/>
    </row>
    <row r="69" spans="4:4" ht="15.75" customHeight="1" x14ac:dyDescent="0.2">
      <c r="D69" s="244"/>
    </row>
    <row r="70" spans="4:4" ht="15.75" customHeight="1" x14ac:dyDescent="0.2">
      <c r="D70" s="244"/>
    </row>
    <row r="71" spans="4:4" ht="15.75" customHeight="1" x14ac:dyDescent="0.2">
      <c r="D71" s="244"/>
    </row>
    <row r="72" spans="4:4" ht="15.75" customHeight="1" x14ac:dyDescent="0.2">
      <c r="D72" s="244"/>
    </row>
    <row r="73" spans="4:4" ht="15.75" customHeight="1" x14ac:dyDescent="0.2">
      <c r="D73" s="244"/>
    </row>
    <row r="74" spans="4:4" ht="15.75" customHeight="1" x14ac:dyDescent="0.2">
      <c r="D74" s="244"/>
    </row>
    <row r="75" spans="4:4" ht="15.75" customHeight="1" x14ac:dyDescent="0.2">
      <c r="D75" s="244"/>
    </row>
    <row r="76" spans="4:4" ht="15.75" customHeight="1" x14ac:dyDescent="0.2">
      <c r="D76" s="244"/>
    </row>
    <row r="77" spans="4:4" ht="15.75" customHeight="1" x14ac:dyDescent="0.2">
      <c r="D77" s="244"/>
    </row>
    <row r="78" spans="4:4" ht="15.75" customHeight="1" x14ac:dyDescent="0.2">
      <c r="D78" s="244"/>
    </row>
    <row r="79" spans="4:4" ht="15.75" customHeight="1" x14ac:dyDescent="0.2">
      <c r="D79" s="244"/>
    </row>
    <row r="80" spans="4:4" ht="15.75" customHeight="1" x14ac:dyDescent="0.2">
      <c r="D80" s="244"/>
    </row>
    <row r="81" spans="4:4" ht="15.75" customHeight="1" x14ac:dyDescent="0.2">
      <c r="D81" s="244"/>
    </row>
    <row r="82" spans="4:4" ht="15.75" customHeight="1" x14ac:dyDescent="0.2">
      <c r="D82" s="244"/>
    </row>
    <row r="83" spans="4:4" ht="15.75" customHeight="1" x14ac:dyDescent="0.2">
      <c r="D83" s="244"/>
    </row>
    <row r="84" spans="4:4" ht="15.75" customHeight="1" x14ac:dyDescent="0.2">
      <c r="D84" s="244"/>
    </row>
    <row r="85" spans="4:4" ht="15.75" customHeight="1" x14ac:dyDescent="0.2">
      <c r="D85" s="244"/>
    </row>
    <row r="86" spans="4:4" ht="15.75" customHeight="1" x14ac:dyDescent="0.2">
      <c r="D86" s="244"/>
    </row>
    <row r="87" spans="4:4" ht="15.75" customHeight="1" x14ac:dyDescent="0.2">
      <c r="D87" s="244"/>
    </row>
    <row r="88" spans="4:4" ht="15.75" customHeight="1" x14ac:dyDescent="0.2">
      <c r="D88" s="244"/>
    </row>
    <row r="89" spans="4:4" ht="15.75" customHeight="1" x14ac:dyDescent="0.2">
      <c r="D89" s="244"/>
    </row>
    <row r="90" spans="4:4" ht="15.75" customHeight="1" x14ac:dyDescent="0.2">
      <c r="D90" s="244"/>
    </row>
    <row r="91" spans="4:4" ht="15.75" customHeight="1" x14ac:dyDescent="0.2">
      <c r="D91" s="244"/>
    </row>
    <row r="92" spans="4:4" ht="15.75" customHeight="1" x14ac:dyDescent="0.2">
      <c r="D92" s="244"/>
    </row>
    <row r="93" spans="4:4" ht="15.75" customHeight="1" x14ac:dyDescent="0.2">
      <c r="D93" s="244"/>
    </row>
    <row r="94" spans="4:4" ht="15.75" customHeight="1" x14ac:dyDescent="0.2">
      <c r="D94" s="244"/>
    </row>
    <row r="95" spans="4:4" ht="15.75" customHeight="1" x14ac:dyDescent="0.2">
      <c r="D95" s="244"/>
    </row>
    <row r="96" spans="4:4" ht="15.75" customHeight="1" x14ac:dyDescent="0.2">
      <c r="D96" s="244"/>
    </row>
    <row r="97" spans="4:4" ht="15.75" customHeight="1" x14ac:dyDescent="0.2">
      <c r="D97" s="244"/>
    </row>
    <row r="98" spans="4:4" ht="15.75" customHeight="1" x14ac:dyDescent="0.2">
      <c r="D98" s="244"/>
    </row>
    <row r="99" spans="4:4" ht="15.75" customHeight="1" x14ac:dyDescent="0.2">
      <c r="D99" s="244"/>
    </row>
    <row r="100" spans="4:4" ht="15.75" customHeight="1" x14ac:dyDescent="0.2">
      <c r="D100" s="244"/>
    </row>
    <row r="101" spans="4:4" ht="15.75" customHeight="1" x14ac:dyDescent="0.2">
      <c r="D101" s="244"/>
    </row>
    <row r="102" spans="4:4" ht="15.75" customHeight="1" x14ac:dyDescent="0.2">
      <c r="D102" s="244"/>
    </row>
    <row r="103" spans="4:4" ht="15.75" customHeight="1" x14ac:dyDescent="0.2">
      <c r="D103" s="244"/>
    </row>
    <row r="104" spans="4:4" ht="15.75" customHeight="1" x14ac:dyDescent="0.2">
      <c r="D104" s="244"/>
    </row>
    <row r="105" spans="4:4" ht="15.75" customHeight="1" x14ac:dyDescent="0.2">
      <c r="D105" s="244"/>
    </row>
    <row r="106" spans="4:4" ht="15.75" customHeight="1" x14ac:dyDescent="0.2">
      <c r="D106" s="244"/>
    </row>
    <row r="107" spans="4:4" ht="15.75" customHeight="1" x14ac:dyDescent="0.2">
      <c r="D107" s="244"/>
    </row>
    <row r="108" spans="4:4" ht="15.75" customHeight="1" x14ac:dyDescent="0.2">
      <c r="D108" s="244"/>
    </row>
    <row r="109" spans="4:4" ht="15.75" customHeight="1" x14ac:dyDescent="0.2">
      <c r="D109" s="244"/>
    </row>
    <row r="110" spans="4:4" ht="15.75" customHeight="1" x14ac:dyDescent="0.2">
      <c r="D110" s="244"/>
    </row>
    <row r="111" spans="4:4" ht="15.75" customHeight="1" x14ac:dyDescent="0.2">
      <c r="D111" s="244"/>
    </row>
    <row r="112" spans="4:4" ht="15.75" customHeight="1" x14ac:dyDescent="0.2">
      <c r="D112" s="244"/>
    </row>
    <row r="113" spans="4:4" ht="15.75" customHeight="1" x14ac:dyDescent="0.2">
      <c r="D113" s="244"/>
    </row>
    <row r="114" spans="4:4" ht="15.75" customHeight="1" x14ac:dyDescent="0.2">
      <c r="D114" s="244"/>
    </row>
    <row r="115" spans="4:4" ht="15.75" customHeight="1" x14ac:dyDescent="0.2">
      <c r="D115" s="244"/>
    </row>
    <row r="116" spans="4:4" ht="15.75" customHeight="1" x14ac:dyDescent="0.2">
      <c r="D116" s="244"/>
    </row>
    <row r="117" spans="4:4" ht="15.75" customHeight="1" x14ac:dyDescent="0.2">
      <c r="D117" s="244"/>
    </row>
    <row r="118" spans="4:4" ht="15.75" customHeight="1" x14ac:dyDescent="0.2">
      <c r="D118" s="244"/>
    </row>
    <row r="119" spans="4:4" ht="15.75" customHeight="1" x14ac:dyDescent="0.2">
      <c r="D119" s="244"/>
    </row>
    <row r="120" spans="4:4" ht="15.75" customHeight="1" x14ac:dyDescent="0.2">
      <c r="D120" s="244"/>
    </row>
    <row r="121" spans="4:4" ht="15.75" customHeight="1" x14ac:dyDescent="0.2">
      <c r="D121" s="244"/>
    </row>
    <row r="122" spans="4:4" ht="15.75" customHeight="1" x14ac:dyDescent="0.2">
      <c r="D122" s="244"/>
    </row>
    <row r="123" spans="4:4" ht="15.75" customHeight="1" x14ac:dyDescent="0.2">
      <c r="D123" s="244"/>
    </row>
    <row r="124" spans="4:4" ht="15.75" customHeight="1" x14ac:dyDescent="0.2">
      <c r="D124" s="244"/>
    </row>
    <row r="125" spans="4:4" ht="15.75" customHeight="1" x14ac:dyDescent="0.2">
      <c r="D125" s="244"/>
    </row>
    <row r="126" spans="4:4" ht="15.75" customHeight="1" x14ac:dyDescent="0.2">
      <c r="D126" s="244"/>
    </row>
    <row r="127" spans="4:4" ht="15.75" customHeight="1" x14ac:dyDescent="0.2">
      <c r="D127" s="244"/>
    </row>
    <row r="128" spans="4:4" ht="15.75" customHeight="1" x14ac:dyDescent="0.2">
      <c r="D128" s="244"/>
    </row>
    <row r="129" spans="4:4" ht="15.75" customHeight="1" x14ac:dyDescent="0.2">
      <c r="D129" s="244"/>
    </row>
    <row r="130" spans="4:4" ht="15.75" customHeight="1" x14ac:dyDescent="0.2">
      <c r="D130" s="244"/>
    </row>
    <row r="131" spans="4:4" ht="15.75" customHeight="1" x14ac:dyDescent="0.2">
      <c r="D131" s="244"/>
    </row>
    <row r="132" spans="4:4" ht="15.75" customHeight="1" x14ac:dyDescent="0.2">
      <c r="D132" s="244"/>
    </row>
    <row r="133" spans="4:4" ht="15.75" customHeight="1" x14ac:dyDescent="0.2">
      <c r="D133" s="244"/>
    </row>
    <row r="134" spans="4:4" ht="15.75" customHeight="1" x14ac:dyDescent="0.2">
      <c r="D134" s="244"/>
    </row>
    <row r="135" spans="4:4" ht="15.75" customHeight="1" x14ac:dyDescent="0.2">
      <c r="D135" s="244"/>
    </row>
    <row r="136" spans="4:4" ht="15.75" customHeight="1" x14ac:dyDescent="0.2">
      <c r="D136" s="244"/>
    </row>
    <row r="137" spans="4:4" ht="15.75" customHeight="1" x14ac:dyDescent="0.2">
      <c r="D137" s="244"/>
    </row>
    <row r="138" spans="4:4" ht="15.75" customHeight="1" x14ac:dyDescent="0.2">
      <c r="D138" s="244"/>
    </row>
    <row r="139" spans="4:4" ht="15.75" customHeight="1" x14ac:dyDescent="0.2">
      <c r="D139" s="244"/>
    </row>
    <row r="140" spans="4:4" ht="15.75" customHeight="1" x14ac:dyDescent="0.2">
      <c r="D140" s="244"/>
    </row>
    <row r="141" spans="4:4" ht="15.75" customHeight="1" x14ac:dyDescent="0.2">
      <c r="D141" s="244"/>
    </row>
    <row r="142" spans="4:4" ht="15.75" customHeight="1" x14ac:dyDescent="0.2">
      <c r="D142" s="244"/>
    </row>
    <row r="143" spans="4:4" ht="15.75" customHeight="1" x14ac:dyDescent="0.2">
      <c r="D143" s="244"/>
    </row>
    <row r="144" spans="4:4" ht="15.75" customHeight="1" x14ac:dyDescent="0.2">
      <c r="D144" s="244"/>
    </row>
    <row r="145" spans="4:4" ht="15.75" customHeight="1" x14ac:dyDescent="0.2">
      <c r="D145" s="244"/>
    </row>
    <row r="146" spans="4:4" ht="15.75" customHeight="1" x14ac:dyDescent="0.2">
      <c r="D146" s="244"/>
    </row>
    <row r="147" spans="4:4" ht="15.75" customHeight="1" x14ac:dyDescent="0.2">
      <c r="D147" s="244"/>
    </row>
    <row r="148" spans="4:4" ht="15.75" customHeight="1" x14ac:dyDescent="0.2">
      <c r="D148" s="244"/>
    </row>
    <row r="149" spans="4:4" ht="15.75" customHeight="1" x14ac:dyDescent="0.2">
      <c r="D149" s="244"/>
    </row>
    <row r="150" spans="4:4" ht="15.75" customHeight="1" x14ac:dyDescent="0.2">
      <c r="D150" s="244"/>
    </row>
    <row r="151" spans="4:4" ht="15.75" customHeight="1" x14ac:dyDescent="0.2">
      <c r="D151" s="244"/>
    </row>
    <row r="152" spans="4:4" ht="15.75" customHeight="1" x14ac:dyDescent="0.2">
      <c r="D152" s="244"/>
    </row>
    <row r="153" spans="4:4" ht="15.75" customHeight="1" x14ac:dyDescent="0.2">
      <c r="D153" s="244"/>
    </row>
    <row r="154" spans="4:4" ht="15.75" customHeight="1" x14ac:dyDescent="0.2">
      <c r="D154" s="244"/>
    </row>
    <row r="155" spans="4:4" ht="15.75" customHeight="1" x14ac:dyDescent="0.2">
      <c r="D155" s="244"/>
    </row>
    <row r="156" spans="4:4" ht="15.75" customHeight="1" x14ac:dyDescent="0.2">
      <c r="D156" s="244"/>
    </row>
    <row r="157" spans="4:4" ht="15.75" customHeight="1" x14ac:dyDescent="0.2">
      <c r="D157" s="244"/>
    </row>
    <row r="158" spans="4:4" ht="15.75" customHeight="1" x14ac:dyDescent="0.2">
      <c r="D158" s="244"/>
    </row>
    <row r="159" spans="4:4" ht="15.75" customHeight="1" x14ac:dyDescent="0.2">
      <c r="D159" s="244"/>
    </row>
    <row r="160" spans="4:4" ht="15.75" customHeight="1" x14ac:dyDescent="0.2">
      <c r="D160" s="244"/>
    </row>
    <row r="161" spans="4:4" ht="15.75" customHeight="1" x14ac:dyDescent="0.2">
      <c r="D161" s="244"/>
    </row>
    <row r="162" spans="4:4" ht="15.75" customHeight="1" x14ac:dyDescent="0.2">
      <c r="D162" s="244"/>
    </row>
    <row r="163" spans="4:4" ht="15.75" customHeight="1" x14ac:dyDescent="0.2">
      <c r="D163" s="244"/>
    </row>
    <row r="164" spans="4:4" ht="15.75" customHeight="1" x14ac:dyDescent="0.2">
      <c r="D164" s="244"/>
    </row>
    <row r="165" spans="4:4" ht="15.75" customHeight="1" x14ac:dyDescent="0.2">
      <c r="D165" s="244"/>
    </row>
    <row r="166" spans="4:4" ht="15.75" customHeight="1" x14ac:dyDescent="0.2">
      <c r="D166" s="244"/>
    </row>
    <row r="167" spans="4:4" ht="15.75" customHeight="1" x14ac:dyDescent="0.2">
      <c r="D167" s="244"/>
    </row>
    <row r="168" spans="4:4" ht="15.75" customHeight="1" x14ac:dyDescent="0.2">
      <c r="D168" s="244"/>
    </row>
    <row r="169" spans="4:4" ht="15.75" customHeight="1" x14ac:dyDescent="0.2">
      <c r="D169" s="244"/>
    </row>
    <row r="170" spans="4:4" ht="15.75" customHeight="1" x14ac:dyDescent="0.2">
      <c r="D170" s="244"/>
    </row>
    <row r="171" spans="4:4" ht="15.75" customHeight="1" x14ac:dyDescent="0.2">
      <c r="D171" s="244"/>
    </row>
    <row r="172" spans="4:4" ht="15.75" customHeight="1" x14ac:dyDescent="0.2">
      <c r="D172" s="244"/>
    </row>
    <row r="173" spans="4:4" ht="15.75" customHeight="1" x14ac:dyDescent="0.2">
      <c r="D173" s="244"/>
    </row>
    <row r="174" spans="4:4" ht="15.75" customHeight="1" x14ac:dyDescent="0.2">
      <c r="D174" s="244"/>
    </row>
    <row r="175" spans="4:4" ht="15.75" customHeight="1" x14ac:dyDescent="0.2">
      <c r="D175" s="244"/>
    </row>
    <row r="176" spans="4:4" ht="15.75" customHeight="1" x14ac:dyDescent="0.2">
      <c r="D176" s="244"/>
    </row>
    <row r="177" spans="4:4" ht="15.75" customHeight="1" x14ac:dyDescent="0.2">
      <c r="D177" s="244"/>
    </row>
    <row r="178" spans="4:4" ht="15.75" customHeight="1" x14ac:dyDescent="0.2">
      <c r="D178" s="244"/>
    </row>
    <row r="179" spans="4:4" ht="15.75" customHeight="1" x14ac:dyDescent="0.2">
      <c r="D179" s="244"/>
    </row>
    <row r="180" spans="4:4" ht="15.75" customHeight="1" x14ac:dyDescent="0.2">
      <c r="D180" s="244"/>
    </row>
    <row r="181" spans="4:4" ht="15.75" customHeight="1" x14ac:dyDescent="0.2">
      <c r="D181" s="244"/>
    </row>
    <row r="182" spans="4:4" ht="15.75" customHeight="1" x14ac:dyDescent="0.2">
      <c r="D182" s="244"/>
    </row>
    <row r="183" spans="4:4" ht="15.75" customHeight="1" x14ac:dyDescent="0.2">
      <c r="D183" s="244"/>
    </row>
    <row r="184" spans="4:4" ht="15.75" customHeight="1" x14ac:dyDescent="0.2">
      <c r="D184" s="244"/>
    </row>
    <row r="185" spans="4:4" ht="15.75" customHeight="1" x14ac:dyDescent="0.2">
      <c r="D185" s="244"/>
    </row>
    <row r="186" spans="4:4" ht="15.75" customHeight="1" x14ac:dyDescent="0.2">
      <c r="D186" s="244"/>
    </row>
    <row r="187" spans="4:4" ht="15.75" customHeight="1" x14ac:dyDescent="0.2">
      <c r="D187" s="244"/>
    </row>
    <row r="188" spans="4:4" ht="15.75" customHeight="1" x14ac:dyDescent="0.2">
      <c r="D188" s="244"/>
    </row>
    <row r="189" spans="4:4" ht="15.75" customHeight="1" x14ac:dyDescent="0.2">
      <c r="D189" s="244"/>
    </row>
    <row r="190" spans="4:4" ht="15.75" customHeight="1" x14ac:dyDescent="0.2">
      <c r="D190" s="244"/>
    </row>
    <row r="191" spans="4:4" ht="15.75" customHeight="1" x14ac:dyDescent="0.2">
      <c r="D191" s="244"/>
    </row>
    <row r="192" spans="4:4" ht="15.75" customHeight="1" x14ac:dyDescent="0.2">
      <c r="D192" s="244"/>
    </row>
    <row r="193" spans="4:4" ht="15.75" customHeight="1" x14ac:dyDescent="0.2">
      <c r="D193" s="244"/>
    </row>
    <row r="194" spans="4:4" ht="15.75" customHeight="1" x14ac:dyDescent="0.2">
      <c r="D194" s="244"/>
    </row>
    <row r="195" spans="4:4" ht="15.75" customHeight="1" x14ac:dyDescent="0.2">
      <c r="D195" s="244"/>
    </row>
    <row r="196" spans="4:4" ht="15.75" customHeight="1" x14ac:dyDescent="0.2">
      <c r="D196" s="244"/>
    </row>
    <row r="197" spans="4:4" ht="15.75" customHeight="1" x14ac:dyDescent="0.2">
      <c r="D197" s="244"/>
    </row>
    <row r="198" spans="4:4" ht="15.75" customHeight="1" x14ac:dyDescent="0.2">
      <c r="D198" s="244"/>
    </row>
    <row r="199" spans="4:4" ht="15.75" customHeight="1" x14ac:dyDescent="0.2">
      <c r="D199" s="244"/>
    </row>
    <row r="200" spans="4:4" ht="15.75" customHeight="1" x14ac:dyDescent="0.2">
      <c r="D200" s="244"/>
    </row>
    <row r="201" spans="4:4" ht="15.75" customHeight="1" x14ac:dyDescent="0.2">
      <c r="D201" s="244"/>
    </row>
    <row r="202" spans="4:4" ht="15.75" customHeight="1" x14ac:dyDescent="0.2">
      <c r="D202" s="244"/>
    </row>
    <row r="203" spans="4:4" ht="15.75" customHeight="1" x14ac:dyDescent="0.2">
      <c r="D203" s="244"/>
    </row>
    <row r="204" spans="4:4" ht="15.75" customHeight="1" x14ac:dyDescent="0.2">
      <c r="D204" s="244"/>
    </row>
    <row r="205" spans="4:4" ht="15.75" customHeight="1" x14ac:dyDescent="0.2">
      <c r="D205" s="244"/>
    </row>
    <row r="206" spans="4:4" ht="15.75" customHeight="1" x14ac:dyDescent="0.2">
      <c r="D206" s="244"/>
    </row>
    <row r="207" spans="4:4" ht="15.75" customHeight="1" x14ac:dyDescent="0.2">
      <c r="D207" s="244"/>
    </row>
    <row r="208" spans="4:4" ht="15.75" customHeight="1" x14ac:dyDescent="0.2">
      <c r="D208" s="244"/>
    </row>
    <row r="209" spans="4:4" ht="15.75" customHeight="1" x14ac:dyDescent="0.2">
      <c r="D209" s="244"/>
    </row>
    <row r="210" spans="4:4" ht="15.75" customHeight="1" x14ac:dyDescent="0.2">
      <c r="D210" s="244"/>
    </row>
    <row r="211" spans="4:4" ht="15.75" customHeight="1" x14ac:dyDescent="0.2">
      <c r="D211" s="244"/>
    </row>
    <row r="212" spans="4:4" ht="15.75" customHeight="1" x14ac:dyDescent="0.2">
      <c r="D212" s="244"/>
    </row>
    <row r="213" spans="4:4" ht="15.75" customHeight="1" x14ac:dyDescent="0.2">
      <c r="D213" s="244"/>
    </row>
    <row r="214" spans="4:4" ht="15.75" customHeight="1" x14ac:dyDescent="0.2">
      <c r="D214" s="244"/>
    </row>
    <row r="215" spans="4:4" ht="15.75" customHeight="1" x14ac:dyDescent="0.2">
      <c r="D215" s="244"/>
    </row>
    <row r="216" spans="4:4" ht="15.75" customHeight="1" x14ac:dyDescent="0.2">
      <c r="D216" s="244"/>
    </row>
    <row r="217" spans="4:4" ht="15.75" customHeight="1" x14ac:dyDescent="0.2">
      <c r="D217" s="244"/>
    </row>
    <row r="218" spans="4:4" ht="15.75" customHeight="1" x14ac:dyDescent="0.2">
      <c r="D218" s="244"/>
    </row>
    <row r="219" spans="4:4" ht="15.75" customHeight="1" x14ac:dyDescent="0.2">
      <c r="D219" s="244"/>
    </row>
    <row r="220" spans="4:4" ht="15.75" customHeight="1" x14ac:dyDescent="0.2">
      <c r="D220" s="244"/>
    </row>
    <row r="221" spans="4:4" ht="15.75" customHeight="1" x14ac:dyDescent="0.2">
      <c r="D221" s="244"/>
    </row>
    <row r="222" spans="4:4" ht="15.75" customHeight="1" x14ac:dyDescent="0.2">
      <c r="D222" s="244"/>
    </row>
    <row r="223" spans="4:4" ht="15.75" customHeight="1" x14ac:dyDescent="0.2">
      <c r="D223" s="244"/>
    </row>
    <row r="224" spans="4:4" ht="15.75" customHeight="1" x14ac:dyDescent="0.2">
      <c r="D224" s="244"/>
    </row>
    <row r="225" spans="4:4" ht="15.75" customHeight="1" x14ac:dyDescent="0.2">
      <c r="D225" s="244"/>
    </row>
    <row r="226" spans="4:4" ht="15.75" customHeight="1" x14ac:dyDescent="0.2">
      <c r="D226" s="244"/>
    </row>
    <row r="227" spans="4:4" ht="15.75" customHeight="1" x14ac:dyDescent="0.2">
      <c r="D227" s="244"/>
    </row>
    <row r="228" spans="4:4" ht="15.75" customHeight="1" x14ac:dyDescent="0.2">
      <c r="D228" s="244"/>
    </row>
    <row r="229" spans="4:4" ht="15.75" customHeight="1" x14ac:dyDescent="0.2">
      <c r="D229" s="244"/>
    </row>
    <row r="230" spans="4:4" ht="15.75" customHeight="1" x14ac:dyDescent="0.2">
      <c r="D230" s="244"/>
    </row>
    <row r="231" spans="4:4" ht="15.75" customHeight="1" x14ac:dyDescent="0.2">
      <c r="D231" s="244"/>
    </row>
    <row r="232" spans="4:4" ht="15.75" customHeight="1" x14ac:dyDescent="0.2">
      <c r="D232" s="244"/>
    </row>
    <row r="233" spans="4:4" ht="15.75" customHeight="1" x14ac:dyDescent="0.2">
      <c r="D233" s="244"/>
    </row>
    <row r="234" spans="4:4" ht="15.75" customHeight="1" x14ac:dyDescent="0.2">
      <c r="D234" s="244"/>
    </row>
    <row r="235" spans="4:4" ht="15.75" customHeight="1" x14ac:dyDescent="0.2">
      <c r="D235" s="244"/>
    </row>
    <row r="236" spans="4:4" ht="15.75" customHeight="1" x14ac:dyDescent="0.2">
      <c r="D236" s="244"/>
    </row>
    <row r="237" spans="4:4" ht="15.75" customHeight="1" x14ac:dyDescent="0.2">
      <c r="D237" s="244"/>
    </row>
    <row r="238" spans="4:4" ht="15.75" customHeight="1" x14ac:dyDescent="0.2">
      <c r="D238" s="244"/>
    </row>
    <row r="239" spans="4:4" ht="15.75" customHeight="1" x14ac:dyDescent="0.2">
      <c r="D239" s="244"/>
    </row>
    <row r="240" spans="4:4" ht="15.75" customHeight="1" x14ac:dyDescent="0.2">
      <c r="D240" s="244"/>
    </row>
    <row r="241" spans="4:4" ht="15.75" customHeight="1" x14ac:dyDescent="0.2">
      <c r="D241" s="244"/>
    </row>
    <row r="242" spans="4:4" ht="15.75" customHeight="1" x14ac:dyDescent="0.2">
      <c r="D242" s="244"/>
    </row>
    <row r="243" spans="4:4" ht="15.75" customHeight="1" x14ac:dyDescent="0.2">
      <c r="D243" s="244"/>
    </row>
    <row r="244" spans="4:4" ht="15.75" customHeight="1" x14ac:dyDescent="0.2">
      <c r="D244" s="244"/>
    </row>
    <row r="245" spans="4:4" ht="15.75" customHeight="1" x14ac:dyDescent="0.2">
      <c r="D245" s="244"/>
    </row>
    <row r="246" spans="4:4" ht="15.75" customHeight="1" x14ac:dyDescent="0.2">
      <c r="D246" s="244"/>
    </row>
    <row r="247" spans="4:4" ht="15.75" customHeight="1" x14ac:dyDescent="0.2">
      <c r="D247" s="244"/>
    </row>
    <row r="248" spans="4:4" ht="15.75" customHeight="1" x14ac:dyDescent="0.2">
      <c r="D248" s="244"/>
    </row>
    <row r="249" spans="4:4" ht="15.75" customHeight="1" x14ac:dyDescent="0.2">
      <c r="D249" s="244"/>
    </row>
    <row r="250" spans="4:4" ht="15.75" customHeight="1" x14ac:dyDescent="0.2">
      <c r="D250" s="244"/>
    </row>
    <row r="251" spans="4:4" ht="15.75" customHeight="1" x14ac:dyDescent="0.2">
      <c r="D251" s="244"/>
    </row>
    <row r="252" spans="4:4" ht="15.75" customHeight="1" x14ac:dyDescent="0.2">
      <c r="D252" s="244"/>
    </row>
    <row r="253" spans="4:4" ht="15.75" customHeight="1" x14ac:dyDescent="0.2">
      <c r="D253" s="244"/>
    </row>
    <row r="254" spans="4:4" ht="15.75" customHeight="1" x14ac:dyDescent="0.2">
      <c r="D254" s="244"/>
    </row>
    <row r="255" spans="4:4" ht="15.75" customHeight="1" x14ac:dyDescent="0.2">
      <c r="D255" s="244"/>
    </row>
    <row r="256" spans="4:4" ht="15.75" customHeight="1" x14ac:dyDescent="0.2">
      <c r="D256" s="244"/>
    </row>
    <row r="257" spans="4:4" ht="15.75" customHeight="1" x14ac:dyDescent="0.2">
      <c r="D257" s="244"/>
    </row>
    <row r="258" spans="4:4" ht="15.75" customHeight="1" x14ac:dyDescent="0.2">
      <c r="D258" s="244"/>
    </row>
    <row r="259" spans="4:4" ht="15.75" customHeight="1" x14ac:dyDescent="0.2">
      <c r="D259" s="244"/>
    </row>
    <row r="260" spans="4:4" ht="15.75" customHeight="1" x14ac:dyDescent="0.2">
      <c r="D260" s="244"/>
    </row>
    <row r="261" spans="4:4" ht="15.75" customHeight="1" x14ac:dyDescent="0.2">
      <c r="D261" s="244"/>
    </row>
    <row r="262" spans="4:4" ht="15.75" customHeight="1" x14ac:dyDescent="0.2">
      <c r="D262" s="244"/>
    </row>
    <row r="263" spans="4:4" ht="15.75" customHeight="1" x14ac:dyDescent="0.2">
      <c r="D263" s="244"/>
    </row>
    <row r="264" spans="4:4" ht="15.75" customHeight="1" x14ac:dyDescent="0.2">
      <c r="D264" s="244"/>
    </row>
    <row r="265" spans="4:4" ht="15.75" customHeight="1" x14ac:dyDescent="0.2">
      <c r="D265" s="244"/>
    </row>
    <row r="266" spans="4:4" ht="15.75" customHeight="1" x14ac:dyDescent="0.2">
      <c r="D266" s="244"/>
    </row>
    <row r="267" spans="4:4" ht="15.75" customHeight="1" x14ac:dyDescent="0.2">
      <c r="D267" s="244"/>
    </row>
    <row r="268" spans="4:4" ht="15.75" customHeight="1" x14ac:dyDescent="0.2">
      <c r="D268" s="244"/>
    </row>
    <row r="269" spans="4:4" ht="15.75" customHeight="1" x14ac:dyDescent="0.2">
      <c r="D269" s="244"/>
    </row>
    <row r="270" spans="4:4" ht="15.75" customHeight="1" x14ac:dyDescent="0.2">
      <c r="D270" s="244"/>
    </row>
    <row r="271" spans="4:4" ht="15.75" customHeight="1" x14ac:dyDescent="0.2">
      <c r="D271" s="244"/>
    </row>
    <row r="272" spans="4:4" ht="15.75" customHeight="1" x14ac:dyDescent="0.2">
      <c r="D272" s="244"/>
    </row>
    <row r="273" spans="4:4" ht="15.75" customHeight="1" x14ac:dyDescent="0.2">
      <c r="D273" s="244"/>
    </row>
    <row r="274" spans="4:4" ht="15.75" customHeight="1" x14ac:dyDescent="0.2">
      <c r="D274" s="244"/>
    </row>
    <row r="275" spans="4:4" ht="15.75" customHeight="1" x14ac:dyDescent="0.2">
      <c r="D275" s="244"/>
    </row>
    <row r="276" spans="4:4" ht="15.75" customHeight="1" x14ac:dyDescent="0.2">
      <c r="D276" s="244"/>
    </row>
    <row r="277" spans="4:4" ht="15.75" customHeight="1" x14ac:dyDescent="0.2">
      <c r="D277" s="244"/>
    </row>
    <row r="278" spans="4:4" ht="15.75" customHeight="1" x14ac:dyDescent="0.2">
      <c r="D278" s="244"/>
    </row>
    <row r="279" spans="4:4" ht="15.75" customHeight="1" x14ac:dyDescent="0.2">
      <c r="D279" s="244"/>
    </row>
    <row r="280" spans="4:4" ht="15.75" customHeight="1" x14ac:dyDescent="0.2">
      <c r="D280" s="244"/>
    </row>
    <row r="281" spans="4:4" ht="15.75" customHeight="1" x14ac:dyDescent="0.2">
      <c r="D281" s="244"/>
    </row>
    <row r="282" spans="4:4" ht="15.75" customHeight="1" x14ac:dyDescent="0.2">
      <c r="D282" s="244"/>
    </row>
    <row r="283" spans="4:4" ht="15.75" customHeight="1" x14ac:dyDescent="0.2">
      <c r="D283" s="244"/>
    </row>
    <row r="284" spans="4:4" ht="15.75" customHeight="1" x14ac:dyDescent="0.2">
      <c r="D284" s="244"/>
    </row>
    <row r="285" spans="4:4" ht="15.75" customHeight="1" x14ac:dyDescent="0.2">
      <c r="D285" s="244"/>
    </row>
    <row r="286" spans="4:4" ht="15.75" customHeight="1" x14ac:dyDescent="0.2">
      <c r="D286" s="244"/>
    </row>
    <row r="287" spans="4:4" ht="15.75" customHeight="1" x14ac:dyDescent="0.2">
      <c r="D287" s="244"/>
    </row>
    <row r="288" spans="4:4" ht="15.75" customHeight="1" x14ac:dyDescent="0.2">
      <c r="D288" s="244"/>
    </row>
    <row r="289" spans="4:4" ht="15.75" customHeight="1" x14ac:dyDescent="0.2">
      <c r="D289" s="244"/>
    </row>
    <row r="290" spans="4:4" ht="15.75" customHeight="1" x14ac:dyDescent="0.2">
      <c r="D290" s="244"/>
    </row>
    <row r="291" spans="4:4" ht="15.75" customHeight="1" x14ac:dyDescent="0.2">
      <c r="D291" s="244"/>
    </row>
    <row r="292" spans="4:4" ht="15.75" customHeight="1" x14ac:dyDescent="0.2">
      <c r="D292" s="244"/>
    </row>
    <row r="293" spans="4:4" ht="15.75" customHeight="1" x14ac:dyDescent="0.2">
      <c r="D293" s="244"/>
    </row>
    <row r="294" spans="4:4" ht="15.75" customHeight="1" x14ac:dyDescent="0.2">
      <c r="D294" s="244"/>
    </row>
    <row r="295" spans="4:4" ht="15.75" customHeight="1" x14ac:dyDescent="0.2">
      <c r="D295" s="244"/>
    </row>
    <row r="296" spans="4:4" ht="15.75" customHeight="1" x14ac:dyDescent="0.2">
      <c r="D296" s="244"/>
    </row>
    <row r="297" spans="4:4" ht="15.75" customHeight="1" x14ac:dyDescent="0.2">
      <c r="D297" s="244"/>
    </row>
    <row r="298" spans="4:4" ht="15.75" customHeight="1" x14ac:dyDescent="0.2">
      <c r="D298" s="244"/>
    </row>
    <row r="299" spans="4:4" ht="15.75" customHeight="1" x14ac:dyDescent="0.2">
      <c r="D299" s="244"/>
    </row>
    <row r="300" spans="4:4" ht="15.75" customHeight="1" x14ac:dyDescent="0.2">
      <c r="D300" s="244"/>
    </row>
    <row r="301" spans="4:4" ht="15.75" customHeight="1" x14ac:dyDescent="0.2">
      <c r="D301" s="244"/>
    </row>
    <row r="302" spans="4:4" ht="15.75" customHeight="1" x14ac:dyDescent="0.2">
      <c r="D302" s="244"/>
    </row>
    <row r="303" spans="4:4" ht="15.75" customHeight="1" x14ac:dyDescent="0.2">
      <c r="D303" s="244"/>
    </row>
    <row r="304" spans="4:4" ht="15.75" customHeight="1" x14ac:dyDescent="0.2">
      <c r="D304" s="244"/>
    </row>
    <row r="305" spans="4:4" ht="15.75" customHeight="1" x14ac:dyDescent="0.2">
      <c r="D305" s="244"/>
    </row>
    <row r="306" spans="4:4" ht="15.75" customHeight="1" x14ac:dyDescent="0.2">
      <c r="D306" s="244"/>
    </row>
    <row r="307" spans="4:4" ht="15.75" customHeight="1" x14ac:dyDescent="0.2">
      <c r="D307" s="244"/>
    </row>
    <row r="308" spans="4:4" ht="15.75" customHeight="1" x14ac:dyDescent="0.2">
      <c r="D308" s="244"/>
    </row>
    <row r="309" spans="4:4" ht="15.75" customHeight="1" x14ac:dyDescent="0.2">
      <c r="D309" s="244"/>
    </row>
    <row r="310" spans="4:4" ht="15.75" customHeight="1" x14ac:dyDescent="0.2">
      <c r="D310" s="244"/>
    </row>
    <row r="311" spans="4:4" ht="15.75" customHeight="1" x14ac:dyDescent="0.2">
      <c r="D311" s="244"/>
    </row>
    <row r="312" spans="4:4" ht="15.75" customHeight="1" x14ac:dyDescent="0.2">
      <c r="D312" s="244"/>
    </row>
    <row r="313" spans="4:4" ht="15.75" customHeight="1" x14ac:dyDescent="0.2">
      <c r="D313" s="244"/>
    </row>
    <row r="314" spans="4:4" ht="15.75" customHeight="1" x14ac:dyDescent="0.2">
      <c r="D314" s="244"/>
    </row>
    <row r="315" spans="4:4" ht="15.75" customHeight="1" x14ac:dyDescent="0.2">
      <c r="D315" s="244"/>
    </row>
    <row r="316" spans="4:4" ht="15.75" customHeight="1" x14ac:dyDescent="0.2">
      <c r="D316" s="244"/>
    </row>
    <row r="317" spans="4:4" ht="15.75" customHeight="1" x14ac:dyDescent="0.2">
      <c r="D317" s="244"/>
    </row>
    <row r="318" spans="4:4" ht="15.75" customHeight="1" x14ac:dyDescent="0.2">
      <c r="D318" s="244"/>
    </row>
    <row r="319" spans="4:4" ht="15.75" customHeight="1" x14ac:dyDescent="0.2">
      <c r="D319" s="244"/>
    </row>
    <row r="320" spans="4:4" ht="15.75" customHeight="1" x14ac:dyDescent="0.2">
      <c r="D320" s="244"/>
    </row>
    <row r="321" spans="4:4" ht="15.75" customHeight="1" x14ac:dyDescent="0.2">
      <c r="D321" s="244"/>
    </row>
    <row r="322" spans="4:4" ht="15.75" customHeight="1" x14ac:dyDescent="0.2">
      <c r="D322" s="244"/>
    </row>
    <row r="323" spans="4:4" ht="15.75" customHeight="1" x14ac:dyDescent="0.2">
      <c r="D323" s="244"/>
    </row>
    <row r="324" spans="4:4" ht="15.75" customHeight="1" x14ac:dyDescent="0.2">
      <c r="D324" s="244"/>
    </row>
    <row r="325" spans="4:4" ht="15.75" customHeight="1" x14ac:dyDescent="0.2">
      <c r="D325" s="244"/>
    </row>
    <row r="326" spans="4:4" ht="15.75" customHeight="1" x14ac:dyDescent="0.2">
      <c r="D326" s="244"/>
    </row>
    <row r="327" spans="4:4" ht="15.75" customHeight="1" x14ac:dyDescent="0.2">
      <c r="D327" s="244"/>
    </row>
    <row r="328" spans="4:4" ht="15.75" customHeight="1" x14ac:dyDescent="0.2">
      <c r="D328" s="244"/>
    </row>
    <row r="329" spans="4:4" ht="15.75" customHeight="1" x14ac:dyDescent="0.2">
      <c r="D329" s="244"/>
    </row>
    <row r="330" spans="4:4" ht="15.75" customHeight="1" x14ac:dyDescent="0.2">
      <c r="D330" s="244"/>
    </row>
    <row r="331" spans="4:4" ht="15.75" customHeight="1" x14ac:dyDescent="0.2">
      <c r="D331" s="244"/>
    </row>
    <row r="332" spans="4:4" ht="15.75" customHeight="1" x14ac:dyDescent="0.2">
      <c r="D332" s="244"/>
    </row>
    <row r="333" spans="4:4" ht="15.75" customHeight="1" x14ac:dyDescent="0.2">
      <c r="D333" s="244"/>
    </row>
    <row r="334" spans="4:4" ht="15.75" customHeight="1" x14ac:dyDescent="0.2">
      <c r="D334" s="244"/>
    </row>
    <row r="335" spans="4:4" ht="15.75" customHeight="1" x14ac:dyDescent="0.2">
      <c r="D335" s="244"/>
    </row>
    <row r="336" spans="4:4" ht="15.75" customHeight="1" x14ac:dyDescent="0.2">
      <c r="D336" s="244"/>
    </row>
    <row r="337" spans="4:4" ht="15.75" customHeight="1" x14ac:dyDescent="0.2">
      <c r="D337" s="244"/>
    </row>
    <row r="338" spans="4:4" ht="15.75" customHeight="1" x14ac:dyDescent="0.2">
      <c r="D338" s="244"/>
    </row>
    <row r="339" spans="4:4" ht="15.75" customHeight="1" x14ac:dyDescent="0.2">
      <c r="D339" s="244"/>
    </row>
    <row r="340" spans="4:4" ht="15.75" customHeight="1" x14ac:dyDescent="0.2">
      <c r="D340" s="244"/>
    </row>
    <row r="341" spans="4:4" ht="15.75" customHeight="1" x14ac:dyDescent="0.2">
      <c r="D341" s="244"/>
    </row>
    <row r="342" spans="4:4" ht="15.75" customHeight="1" x14ac:dyDescent="0.2">
      <c r="D342" s="244"/>
    </row>
    <row r="343" spans="4:4" ht="15.75" customHeight="1" x14ac:dyDescent="0.2">
      <c r="D343" s="244"/>
    </row>
    <row r="344" spans="4:4" ht="15.75" customHeight="1" x14ac:dyDescent="0.2">
      <c r="D344" s="244"/>
    </row>
    <row r="345" spans="4:4" ht="15.75" customHeight="1" x14ac:dyDescent="0.2">
      <c r="D345" s="244"/>
    </row>
    <row r="346" spans="4:4" ht="15.75" customHeight="1" x14ac:dyDescent="0.2">
      <c r="D346" s="244"/>
    </row>
    <row r="347" spans="4:4" ht="15.75" customHeight="1" x14ac:dyDescent="0.2">
      <c r="D347" s="244"/>
    </row>
    <row r="348" spans="4:4" ht="15.75" customHeight="1" x14ac:dyDescent="0.2">
      <c r="D348" s="244"/>
    </row>
    <row r="349" spans="4:4" ht="15.75" customHeight="1" x14ac:dyDescent="0.2">
      <c r="D349" s="244"/>
    </row>
    <row r="350" spans="4:4" ht="15.75" customHeight="1" x14ac:dyDescent="0.2">
      <c r="D350" s="244"/>
    </row>
    <row r="351" spans="4:4" ht="15.75" customHeight="1" x14ac:dyDescent="0.2">
      <c r="D351" s="244"/>
    </row>
    <row r="352" spans="4:4" ht="15.75" customHeight="1" x14ac:dyDescent="0.2">
      <c r="D352" s="244"/>
    </row>
    <row r="353" spans="4:4" ht="15.75" customHeight="1" x14ac:dyDescent="0.2">
      <c r="D353" s="244"/>
    </row>
    <row r="354" spans="4:4" ht="15.75" customHeight="1" x14ac:dyDescent="0.2">
      <c r="D354" s="244"/>
    </row>
    <row r="355" spans="4:4" ht="15.75" customHeight="1" x14ac:dyDescent="0.2">
      <c r="D355" s="244"/>
    </row>
    <row r="356" spans="4:4" ht="15.75" customHeight="1" x14ac:dyDescent="0.2">
      <c r="D356" s="244"/>
    </row>
    <row r="357" spans="4:4" ht="15.75" customHeight="1" x14ac:dyDescent="0.2">
      <c r="D357" s="244"/>
    </row>
    <row r="358" spans="4:4" ht="15.75" customHeight="1" x14ac:dyDescent="0.2">
      <c r="D358" s="244"/>
    </row>
    <row r="359" spans="4:4" ht="15.75" customHeight="1" x14ac:dyDescent="0.2">
      <c r="D359" s="244"/>
    </row>
    <row r="360" spans="4:4" ht="15.75" customHeight="1" x14ac:dyDescent="0.2">
      <c r="D360" s="244"/>
    </row>
    <row r="361" spans="4:4" ht="15.75" customHeight="1" x14ac:dyDescent="0.2">
      <c r="D361" s="244"/>
    </row>
    <row r="362" spans="4:4" ht="15.75" customHeight="1" x14ac:dyDescent="0.2">
      <c r="D362" s="244"/>
    </row>
    <row r="363" spans="4:4" ht="15.75" customHeight="1" x14ac:dyDescent="0.2">
      <c r="D363" s="244"/>
    </row>
    <row r="364" spans="4:4" ht="15.75" customHeight="1" x14ac:dyDescent="0.2">
      <c r="D364" s="244"/>
    </row>
    <row r="365" spans="4:4" ht="15.75" customHeight="1" x14ac:dyDescent="0.2">
      <c r="D365" s="244"/>
    </row>
    <row r="366" spans="4:4" ht="15.75" customHeight="1" x14ac:dyDescent="0.2">
      <c r="D366" s="244"/>
    </row>
    <row r="367" spans="4:4" ht="15.75" customHeight="1" x14ac:dyDescent="0.2">
      <c r="D367" s="244"/>
    </row>
    <row r="368" spans="4:4" ht="15.75" customHeight="1" x14ac:dyDescent="0.2">
      <c r="D368" s="244"/>
    </row>
    <row r="369" spans="4:4" ht="15.75" customHeight="1" x14ac:dyDescent="0.2">
      <c r="D369" s="244"/>
    </row>
    <row r="370" spans="4:4" ht="15.75" customHeight="1" x14ac:dyDescent="0.2">
      <c r="D370" s="244"/>
    </row>
    <row r="371" spans="4:4" ht="15.75" customHeight="1" x14ac:dyDescent="0.2">
      <c r="D371" s="244"/>
    </row>
    <row r="372" spans="4:4" ht="15.75" customHeight="1" x14ac:dyDescent="0.2">
      <c r="D372" s="244"/>
    </row>
    <row r="373" spans="4:4" ht="15.75" customHeight="1" x14ac:dyDescent="0.2">
      <c r="D373" s="244"/>
    </row>
    <row r="374" spans="4:4" ht="15.75" customHeight="1" x14ac:dyDescent="0.2">
      <c r="D374" s="244"/>
    </row>
    <row r="375" spans="4:4" ht="15.75" customHeight="1" x14ac:dyDescent="0.2">
      <c r="D375" s="244"/>
    </row>
    <row r="376" spans="4:4" ht="15.75" customHeight="1" x14ac:dyDescent="0.2">
      <c r="D376" s="244"/>
    </row>
    <row r="377" spans="4:4" ht="15.75" customHeight="1" x14ac:dyDescent="0.2">
      <c r="D377" s="244"/>
    </row>
    <row r="378" spans="4:4" ht="15.75" customHeight="1" x14ac:dyDescent="0.2">
      <c r="D378" s="244"/>
    </row>
    <row r="379" spans="4:4" ht="15.75" customHeight="1" x14ac:dyDescent="0.2">
      <c r="D379" s="244"/>
    </row>
    <row r="380" spans="4:4" ht="15.75" customHeight="1" x14ac:dyDescent="0.2">
      <c r="D380" s="244"/>
    </row>
    <row r="381" spans="4:4" ht="15.75" customHeight="1" x14ac:dyDescent="0.2">
      <c r="D381" s="244"/>
    </row>
    <row r="382" spans="4:4" ht="15.75" customHeight="1" x14ac:dyDescent="0.2">
      <c r="D382" s="244"/>
    </row>
    <row r="383" spans="4:4" ht="15.75" customHeight="1" x14ac:dyDescent="0.2">
      <c r="D383" s="244"/>
    </row>
    <row r="384" spans="4:4" ht="15.75" customHeight="1" x14ac:dyDescent="0.2">
      <c r="D384" s="244"/>
    </row>
    <row r="385" spans="4:4" ht="15.75" customHeight="1" x14ac:dyDescent="0.2">
      <c r="D385" s="244"/>
    </row>
    <row r="386" spans="4:4" ht="15.75" customHeight="1" x14ac:dyDescent="0.2">
      <c r="D386" s="244"/>
    </row>
    <row r="387" spans="4:4" ht="15.75" customHeight="1" x14ac:dyDescent="0.2">
      <c r="D387" s="244"/>
    </row>
    <row r="388" spans="4:4" ht="15.75" customHeight="1" x14ac:dyDescent="0.2">
      <c r="D388" s="244"/>
    </row>
    <row r="389" spans="4:4" ht="15.75" customHeight="1" x14ac:dyDescent="0.2">
      <c r="D389" s="244"/>
    </row>
    <row r="390" spans="4:4" ht="15.75" customHeight="1" x14ac:dyDescent="0.2">
      <c r="D390" s="244"/>
    </row>
    <row r="391" spans="4:4" ht="15.75" customHeight="1" x14ac:dyDescent="0.2">
      <c r="D391" s="244"/>
    </row>
    <row r="392" spans="4:4" ht="15.75" customHeight="1" x14ac:dyDescent="0.2">
      <c r="D392" s="244"/>
    </row>
    <row r="393" spans="4:4" ht="15.75" customHeight="1" x14ac:dyDescent="0.2">
      <c r="D393" s="244"/>
    </row>
    <row r="394" spans="4:4" ht="15.75" customHeight="1" x14ac:dyDescent="0.2">
      <c r="D394" s="244"/>
    </row>
    <row r="395" spans="4:4" ht="15.75" customHeight="1" x14ac:dyDescent="0.2">
      <c r="D395" s="244"/>
    </row>
    <row r="396" spans="4:4" ht="15.75" customHeight="1" x14ac:dyDescent="0.2">
      <c r="D396" s="244"/>
    </row>
    <row r="397" spans="4:4" ht="15.75" customHeight="1" x14ac:dyDescent="0.2">
      <c r="D397" s="244"/>
    </row>
    <row r="398" spans="4:4" ht="15.75" customHeight="1" x14ac:dyDescent="0.2">
      <c r="D398" s="244"/>
    </row>
    <row r="399" spans="4:4" ht="15.75" customHeight="1" x14ac:dyDescent="0.2">
      <c r="D399" s="244"/>
    </row>
    <row r="400" spans="4:4" ht="15.75" customHeight="1" x14ac:dyDescent="0.2">
      <c r="D400" s="244"/>
    </row>
    <row r="401" spans="4:4" ht="15.75" customHeight="1" x14ac:dyDescent="0.2">
      <c r="D401" s="244"/>
    </row>
    <row r="402" spans="4:4" ht="15.75" customHeight="1" x14ac:dyDescent="0.2">
      <c r="D402" s="244"/>
    </row>
    <row r="403" spans="4:4" ht="15.75" customHeight="1" x14ac:dyDescent="0.2">
      <c r="D403" s="244"/>
    </row>
    <row r="404" spans="4:4" ht="15.75" customHeight="1" x14ac:dyDescent="0.2">
      <c r="D404" s="244"/>
    </row>
    <row r="405" spans="4:4" ht="15.75" customHeight="1" x14ac:dyDescent="0.2">
      <c r="D405" s="244"/>
    </row>
    <row r="406" spans="4:4" ht="15.75" customHeight="1" x14ac:dyDescent="0.2">
      <c r="D406" s="244"/>
    </row>
    <row r="407" spans="4:4" ht="15.75" customHeight="1" x14ac:dyDescent="0.2">
      <c r="D407" s="244"/>
    </row>
    <row r="408" spans="4:4" ht="15.75" customHeight="1" x14ac:dyDescent="0.2">
      <c r="D408" s="244"/>
    </row>
    <row r="409" spans="4:4" ht="15.75" customHeight="1" x14ac:dyDescent="0.2">
      <c r="D409" s="244"/>
    </row>
    <row r="410" spans="4:4" ht="15.75" customHeight="1" x14ac:dyDescent="0.2">
      <c r="D410" s="244"/>
    </row>
    <row r="411" spans="4:4" ht="15.75" customHeight="1" x14ac:dyDescent="0.2">
      <c r="D411" s="244"/>
    </row>
    <row r="412" spans="4:4" ht="15.75" customHeight="1" x14ac:dyDescent="0.2">
      <c r="D412" s="244"/>
    </row>
    <row r="413" spans="4:4" ht="15.75" customHeight="1" x14ac:dyDescent="0.2">
      <c r="D413" s="244"/>
    </row>
    <row r="414" spans="4:4" ht="15.75" customHeight="1" x14ac:dyDescent="0.2">
      <c r="D414" s="244"/>
    </row>
    <row r="415" spans="4:4" ht="15.75" customHeight="1" x14ac:dyDescent="0.2">
      <c r="D415" s="244"/>
    </row>
    <row r="416" spans="4:4" ht="15.75" customHeight="1" x14ac:dyDescent="0.2">
      <c r="D416" s="244"/>
    </row>
    <row r="417" spans="4:4" ht="15.75" customHeight="1" x14ac:dyDescent="0.2">
      <c r="D417" s="244"/>
    </row>
    <row r="418" spans="4:4" ht="15.75" customHeight="1" x14ac:dyDescent="0.2">
      <c r="D418" s="244"/>
    </row>
    <row r="419" spans="4:4" ht="15.75" customHeight="1" x14ac:dyDescent="0.2">
      <c r="D419" s="244"/>
    </row>
    <row r="420" spans="4:4" ht="15.75" customHeight="1" x14ac:dyDescent="0.2">
      <c r="D420" s="244"/>
    </row>
    <row r="421" spans="4:4" ht="15.75" customHeight="1" x14ac:dyDescent="0.2">
      <c r="D421" s="244"/>
    </row>
    <row r="422" spans="4:4" ht="15.75" customHeight="1" x14ac:dyDescent="0.2">
      <c r="D422" s="244"/>
    </row>
    <row r="423" spans="4:4" ht="15.75" customHeight="1" x14ac:dyDescent="0.2">
      <c r="D423" s="244"/>
    </row>
    <row r="424" spans="4:4" ht="15.75" customHeight="1" x14ac:dyDescent="0.2">
      <c r="D424" s="244"/>
    </row>
    <row r="425" spans="4:4" ht="15.75" customHeight="1" x14ac:dyDescent="0.2">
      <c r="D425" s="244"/>
    </row>
    <row r="426" spans="4:4" ht="15.75" customHeight="1" x14ac:dyDescent="0.2">
      <c r="D426" s="244"/>
    </row>
    <row r="427" spans="4:4" ht="15.75" customHeight="1" x14ac:dyDescent="0.2">
      <c r="D427" s="244"/>
    </row>
    <row r="428" spans="4:4" ht="15.75" customHeight="1" x14ac:dyDescent="0.2">
      <c r="D428" s="244"/>
    </row>
    <row r="429" spans="4:4" ht="15.75" customHeight="1" x14ac:dyDescent="0.2">
      <c r="D429" s="244"/>
    </row>
    <row r="430" spans="4:4" ht="15.75" customHeight="1" x14ac:dyDescent="0.2">
      <c r="D430" s="244"/>
    </row>
    <row r="431" spans="4:4" ht="15.75" customHeight="1" x14ac:dyDescent="0.2">
      <c r="D431" s="244"/>
    </row>
    <row r="432" spans="4:4" ht="15.75" customHeight="1" x14ac:dyDescent="0.2">
      <c r="D432" s="244"/>
    </row>
    <row r="433" spans="4:4" ht="15.75" customHeight="1" x14ac:dyDescent="0.2">
      <c r="D433" s="244"/>
    </row>
    <row r="434" spans="4:4" ht="15.75" customHeight="1" x14ac:dyDescent="0.2">
      <c r="D434" s="244"/>
    </row>
    <row r="435" spans="4:4" ht="15.75" customHeight="1" x14ac:dyDescent="0.2">
      <c r="D435" s="244"/>
    </row>
    <row r="436" spans="4:4" ht="15.75" customHeight="1" x14ac:dyDescent="0.2">
      <c r="D436" s="244"/>
    </row>
    <row r="437" spans="4:4" ht="15.75" customHeight="1" x14ac:dyDescent="0.2">
      <c r="D437" s="244"/>
    </row>
    <row r="438" spans="4:4" ht="15.75" customHeight="1" x14ac:dyDescent="0.2">
      <c r="D438" s="244"/>
    </row>
    <row r="439" spans="4:4" ht="15.75" customHeight="1" x14ac:dyDescent="0.2">
      <c r="D439" s="244"/>
    </row>
    <row r="440" spans="4:4" ht="15.75" customHeight="1" x14ac:dyDescent="0.2">
      <c r="D440" s="244"/>
    </row>
    <row r="441" spans="4:4" ht="15.75" customHeight="1" x14ac:dyDescent="0.2">
      <c r="D441" s="244"/>
    </row>
    <row r="442" spans="4:4" ht="15.75" customHeight="1" x14ac:dyDescent="0.2">
      <c r="D442" s="244"/>
    </row>
    <row r="443" spans="4:4" ht="15.75" customHeight="1" x14ac:dyDescent="0.2">
      <c r="D443" s="244"/>
    </row>
    <row r="444" spans="4:4" ht="15.75" customHeight="1" x14ac:dyDescent="0.2">
      <c r="D444" s="244"/>
    </row>
    <row r="445" spans="4:4" ht="15.75" customHeight="1" x14ac:dyDescent="0.2">
      <c r="D445" s="244"/>
    </row>
    <row r="446" spans="4:4" ht="15.75" customHeight="1" x14ac:dyDescent="0.2">
      <c r="D446" s="244"/>
    </row>
    <row r="447" spans="4:4" ht="15.75" customHeight="1" x14ac:dyDescent="0.2">
      <c r="D447" s="244"/>
    </row>
    <row r="448" spans="4:4" ht="15.75" customHeight="1" x14ac:dyDescent="0.2">
      <c r="D448" s="244"/>
    </row>
    <row r="449" spans="4:4" ht="15.75" customHeight="1" x14ac:dyDescent="0.2">
      <c r="D449" s="244"/>
    </row>
    <row r="450" spans="4:4" ht="15.75" customHeight="1" x14ac:dyDescent="0.2">
      <c r="D450" s="244"/>
    </row>
    <row r="451" spans="4:4" ht="15.75" customHeight="1" x14ac:dyDescent="0.2">
      <c r="D451" s="244"/>
    </row>
    <row r="452" spans="4:4" ht="15.75" customHeight="1" x14ac:dyDescent="0.2">
      <c r="D452" s="244"/>
    </row>
    <row r="453" spans="4:4" ht="15.75" customHeight="1" x14ac:dyDescent="0.2">
      <c r="D453" s="244"/>
    </row>
    <row r="454" spans="4:4" ht="15.75" customHeight="1" x14ac:dyDescent="0.2">
      <c r="D454" s="244"/>
    </row>
    <row r="455" spans="4:4" ht="15.75" customHeight="1" x14ac:dyDescent="0.2">
      <c r="D455" s="244"/>
    </row>
    <row r="456" spans="4:4" ht="15.75" customHeight="1" x14ac:dyDescent="0.2">
      <c r="D456" s="244"/>
    </row>
    <row r="457" spans="4:4" ht="15.75" customHeight="1" x14ac:dyDescent="0.2">
      <c r="D457" s="244"/>
    </row>
    <row r="458" spans="4:4" ht="15.75" customHeight="1" x14ac:dyDescent="0.2">
      <c r="D458" s="244"/>
    </row>
    <row r="459" spans="4:4" ht="15.75" customHeight="1" x14ac:dyDescent="0.2">
      <c r="D459" s="244"/>
    </row>
    <row r="460" spans="4:4" ht="15.75" customHeight="1" x14ac:dyDescent="0.2">
      <c r="D460" s="244"/>
    </row>
    <row r="461" spans="4:4" ht="15.75" customHeight="1" x14ac:dyDescent="0.2">
      <c r="D461" s="244"/>
    </row>
    <row r="462" spans="4:4" ht="15.75" customHeight="1" x14ac:dyDescent="0.2">
      <c r="D462" s="244"/>
    </row>
    <row r="463" spans="4:4" ht="15.75" customHeight="1" x14ac:dyDescent="0.2">
      <c r="D463" s="244"/>
    </row>
    <row r="464" spans="4:4" ht="15.75" customHeight="1" x14ac:dyDescent="0.2">
      <c r="D464" s="244"/>
    </row>
    <row r="465" spans="4:4" ht="15.75" customHeight="1" x14ac:dyDescent="0.2">
      <c r="D465" s="244"/>
    </row>
    <row r="466" spans="4:4" ht="15.75" customHeight="1" x14ac:dyDescent="0.2">
      <c r="D466" s="244"/>
    </row>
    <row r="467" spans="4:4" ht="15.75" customHeight="1" x14ac:dyDescent="0.2">
      <c r="D467" s="244"/>
    </row>
    <row r="468" spans="4:4" ht="15.75" customHeight="1" x14ac:dyDescent="0.2">
      <c r="D468" s="244"/>
    </row>
    <row r="469" spans="4:4" ht="15.75" customHeight="1" x14ac:dyDescent="0.2">
      <c r="D469" s="244"/>
    </row>
    <row r="470" spans="4:4" ht="15.75" customHeight="1" x14ac:dyDescent="0.2">
      <c r="D470" s="244"/>
    </row>
    <row r="471" spans="4:4" ht="15.75" customHeight="1" x14ac:dyDescent="0.2">
      <c r="D471" s="244"/>
    </row>
    <row r="472" spans="4:4" ht="15.75" customHeight="1" x14ac:dyDescent="0.2">
      <c r="D472" s="244"/>
    </row>
    <row r="473" spans="4:4" ht="15.75" customHeight="1" x14ac:dyDescent="0.2">
      <c r="D473" s="244"/>
    </row>
    <row r="474" spans="4:4" ht="15.75" customHeight="1" x14ac:dyDescent="0.2">
      <c r="D474" s="244"/>
    </row>
    <row r="475" spans="4:4" ht="15.75" customHeight="1" x14ac:dyDescent="0.2">
      <c r="D475" s="244"/>
    </row>
    <row r="476" spans="4:4" ht="15.75" customHeight="1" x14ac:dyDescent="0.2">
      <c r="D476" s="244"/>
    </row>
    <row r="477" spans="4:4" ht="15.75" customHeight="1" x14ac:dyDescent="0.2">
      <c r="D477" s="244"/>
    </row>
    <row r="478" spans="4:4" ht="15.75" customHeight="1" x14ac:dyDescent="0.2">
      <c r="D478" s="244"/>
    </row>
    <row r="479" spans="4:4" ht="15.75" customHeight="1" x14ac:dyDescent="0.2">
      <c r="D479" s="244"/>
    </row>
    <row r="480" spans="4:4" ht="15.75" customHeight="1" x14ac:dyDescent="0.2">
      <c r="D480" s="244"/>
    </row>
    <row r="481" spans="4:4" ht="15.75" customHeight="1" x14ac:dyDescent="0.2">
      <c r="D481" s="244"/>
    </row>
    <row r="482" spans="4:4" ht="15.75" customHeight="1" x14ac:dyDescent="0.2">
      <c r="D482" s="244"/>
    </row>
    <row r="483" spans="4:4" ht="15.75" customHeight="1" x14ac:dyDescent="0.2">
      <c r="D483" s="244"/>
    </row>
    <row r="484" spans="4:4" ht="15.75" customHeight="1" x14ac:dyDescent="0.2">
      <c r="D484" s="244"/>
    </row>
    <row r="485" spans="4:4" ht="15.75" customHeight="1" x14ac:dyDescent="0.2">
      <c r="D485" s="244"/>
    </row>
    <row r="486" spans="4:4" ht="15.75" customHeight="1" x14ac:dyDescent="0.2">
      <c r="D486" s="244"/>
    </row>
    <row r="487" spans="4:4" ht="15.75" customHeight="1" x14ac:dyDescent="0.2">
      <c r="D487" s="244"/>
    </row>
    <row r="488" spans="4:4" ht="15.75" customHeight="1" x14ac:dyDescent="0.2">
      <c r="D488" s="244"/>
    </row>
    <row r="489" spans="4:4" ht="15.75" customHeight="1" x14ac:dyDescent="0.2">
      <c r="D489" s="244"/>
    </row>
    <row r="490" spans="4:4" ht="15.75" customHeight="1" x14ac:dyDescent="0.2">
      <c r="D490" s="244"/>
    </row>
    <row r="491" spans="4:4" ht="15.75" customHeight="1" x14ac:dyDescent="0.2">
      <c r="D491" s="244"/>
    </row>
    <row r="492" spans="4:4" ht="15.75" customHeight="1" x14ac:dyDescent="0.2">
      <c r="D492" s="244"/>
    </row>
    <row r="493" spans="4:4" ht="15.75" customHeight="1" x14ac:dyDescent="0.2">
      <c r="D493" s="244"/>
    </row>
    <row r="494" spans="4:4" ht="15.75" customHeight="1" x14ac:dyDescent="0.2">
      <c r="D494" s="244"/>
    </row>
    <row r="495" spans="4:4" ht="15.75" customHeight="1" x14ac:dyDescent="0.2">
      <c r="D495" s="244"/>
    </row>
    <row r="496" spans="4:4" ht="15.75" customHeight="1" x14ac:dyDescent="0.2">
      <c r="D496" s="244"/>
    </row>
    <row r="497" spans="4:4" ht="15.75" customHeight="1" x14ac:dyDescent="0.2">
      <c r="D497" s="244"/>
    </row>
    <row r="498" spans="4:4" ht="15.75" customHeight="1" x14ac:dyDescent="0.2">
      <c r="D498" s="244"/>
    </row>
    <row r="499" spans="4:4" ht="15.75" customHeight="1" x14ac:dyDescent="0.2">
      <c r="D499" s="244"/>
    </row>
    <row r="500" spans="4:4" ht="15.75" customHeight="1" x14ac:dyDescent="0.2">
      <c r="D500" s="244"/>
    </row>
    <row r="501" spans="4:4" ht="15.75" customHeight="1" x14ac:dyDescent="0.2">
      <c r="D501" s="244"/>
    </row>
    <row r="502" spans="4:4" ht="15.75" customHeight="1" x14ac:dyDescent="0.2">
      <c r="D502" s="244"/>
    </row>
    <row r="503" spans="4:4" ht="15.75" customHeight="1" x14ac:dyDescent="0.2">
      <c r="D503" s="244"/>
    </row>
    <row r="504" spans="4:4" ht="15.75" customHeight="1" x14ac:dyDescent="0.2">
      <c r="D504" s="244"/>
    </row>
    <row r="505" spans="4:4" ht="15.75" customHeight="1" x14ac:dyDescent="0.2">
      <c r="D505" s="244"/>
    </row>
    <row r="506" spans="4:4" ht="15.75" customHeight="1" x14ac:dyDescent="0.2">
      <c r="D506" s="244"/>
    </row>
    <row r="507" spans="4:4" ht="15.75" customHeight="1" x14ac:dyDescent="0.2">
      <c r="D507" s="244"/>
    </row>
    <row r="508" spans="4:4" ht="15.75" customHeight="1" x14ac:dyDescent="0.2">
      <c r="D508" s="244"/>
    </row>
    <row r="509" spans="4:4" ht="15.75" customHeight="1" x14ac:dyDescent="0.2">
      <c r="D509" s="244"/>
    </row>
    <row r="510" spans="4:4" ht="15.75" customHeight="1" x14ac:dyDescent="0.2">
      <c r="D510" s="244"/>
    </row>
    <row r="511" spans="4:4" ht="15.75" customHeight="1" x14ac:dyDescent="0.2">
      <c r="D511" s="244"/>
    </row>
    <row r="512" spans="4:4" ht="15.75" customHeight="1" x14ac:dyDescent="0.2">
      <c r="D512" s="244"/>
    </row>
    <row r="513" spans="4:4" ht="15.75" customHeight="1" x14ac:dyDescent="0.2">
      <c r="D513" s="244"/>
    </row>
    <row r="514" spans="4:4" ht="15.75" customHeight="1" x14ac:dyDescent="0.2">
      <c r="D514" s="244"/>
    </row>
    <row r="515" spans="4:4" ht="15.75" customHeight="1" x14ac:dyDescent="0.2">
      <c r="D515" s="244"/>
    </row>
    <row r="516" spans="4:4" ht="15.75" customHeight="1" x14ac:dyDescent="0.2">
      <c r="D516" s="244"/>
    </row>
    <row r="517" spans="4:4" ht="15.75" customHeight="1" x14ac:dyDescent="0.2">
      <c r="D517" s="244"/>
    </row>
    <row r="518" spans="4:4" ht="15.75" customHeight="1" x14ac:dyDescent="0.2">
      <c r="D518" s="244"/>
    </row>
    <row r="519" spans="4:4" ht="15.75" customHeight="1" x14ac:dyDescent="0.2">
      <c r="D519" s="244"/>
    </row>
    <row r="520" spans="4:4" ht="15.75" customHeight="1" x14ac:dyDescent="0.2">
      <c r="D520" s="244"/>
    </row>
    <row r="521" spans="4:4" ht="15.75" customHeight="1" x14ac:dyDescent="0.2">
      <c r="D521" s="244"/>
    </row>
    <row r="522" spans="4:4" ht="15.75" customHeight="1" x14ac:dyDescent="0.2">
      <c r="D522" s="244"/>
    </row>
    <row r="523" spans="4:4" ht="15.75" customHeight="1" x14ac:dyDescent="0.2">
      <c r="D523" s="244"/>
    </row>
    <row r="524" spans="4:4" ht="15.75" customHeight="1" x14ac:dyDescent="0.2">
      <c r="D524" s="244"/>
    </row>
    <row r="525" spans="4:4" ht="15.75" customHeight="1" x14ac:dyDescent="0.2">
      <c r="D525" s="244"/>
    </row>
    <row r="526" spans="4:4" ht="15.75" customHeight="1" x14ac:dyDescent="0.2">
      <c r="D526" s="244"/>
    </row>
    <row r="527" spans="4:4" ht="15.75" customHeight="1" x14ac:dyDescent="0.2">
      <c r="D527" s="244"/>
    </row>
    <row r="528" spans="4:4" ht="15.75" customHeight="1" x14ac:dyDescent="0.2">
      <c r="D528" s="244"/>
    </row>
    <row r="529" spans="4:4" ht="15.75" customHeight="1" x14ac:dyDescent="0.2">
      <c r="D529" s="244"/>
    </row>
    <row r="530" spans="4:4" ht="15.75" customHeight="1" x14ac:dyDescent="0.2">
      <c r="D530" s="244"/>
    </row>
    <row r="531" spans="4:4" ht="15.75" customHeight="1" x14ac:dyDescent="0.2">
      <c r="D531" s="244"/>
    </row>
    <row r="532" spans="4:4" ht="15.75" customHeight="1" x14ac:dyDescent="0.2">
      <c r="D532" s="244"/>
    </row>
    <row r="533" spans="4:4" ht="15.75" customHeight="1" x14ac:dyDescent="0.2">
      <c r="D533" s="244"/>
    </row>
    <row r="534" spans="4:4" ht="15.75" customHeight="1" x14ac:dyDescent="0.2">
      <c r="D534" s="244"/>
    </row>
    <row r="535" spans="4:4" ht="15.75" customHeight="1" x14ac:dyDescent="0.2">
      <c r="D535" s="244"/>
    </row>
    <row r="536" spans="4:4" ht="15.75" customHeight="1" x14ac:dyDescent="0.2">
      <c r="D536" s="244"/>
    </row>
    <row r="537" spans="4:4" ht="15.75" customHeight="1" x14ac:dyDescent="0.2">
      <c r="D537" s="244"/>
    </row>
    <row r="538" spans="4:4" ht="15.75" customHeight="1" x14ac:dyDescent="0.2">
      <c r="D538" s="244"/>
    </row>
    <row r="539" spans="4:4" ht="15.75" customHeight="1" x14ac:dyDescent="0.2">
      <c r="D539" s="244"/>
    </row>
    <row r="540" spans="4:4" ht="15.75" customHeight="1" x14ac:dyDescent="0.2">
      <c r="D540" s="244"/>
    </row>
    <row r="541" spans="4:4" ht="15.75" customHeight="1" x14ac:dyDescent="0.2">
      <c r="D541" s="244"/>
    </row>
    <row r="542" spans="4:4" ht="15.75" customHeight="1" x14ac:dyDescent="0.2">
      <c r="D542" s="244"/>
    </row>
    <row r="543" spans="4:4" ht="15.75" customHeight="1" x14ac:dyDescent="0.2">
      <c r="D543" s="244"/>
    </row>
    <row r="544" spans="4:4" ht="15.75" customHeight="1" x14ac:dyDescent="0.2">
      <c r="D544" s="244"/>
    </row>
    <row r="545" spans="4:4" ht="15.75" customHeight="1" x14ac:dyDescent="0.2">
      <c r="D545" s="244"/>
    </row>
    <row r="546" spans="4:4" ht="15.75" customHeight="1" x14ac:dyDescent="0.2">
      <c r="D546" s="244"/>
    </row>
    <row r="547" spans="4:4" ht="15.75" customHeight="1" x14ac:dyDescent="0.2">
      <c r="D547" s="244"/>
    </row>
    <row r="548" spans="4:4" ht="15.75" customHeight="1" x14ac:dyDescent="0.2">
      <c r="D548" s="244"/>
    </row>
    <row r="549" spans="4:4" ht="15.75" customHeight="1" x14ac:dyDescent="0.2">
      <c r="D549" s="244"/>
    </row>
    <row r="550" spans="4:4" ht="15.75" customHeight="1" x14ac:dyDescent="0.2">
      <c r="D550" s="244"/>
    </row>
    <row r="551" spans="4:4" ht="15.75" customHeight="1" x14ac:dyDescent="0.2">
      <c r="D551" s="244"/>
    </row>
    <row r="552" spans="4:4" ht="15.75" customHeight="1" x14ac:dyDescent="0.2">
      <c r="D552" s="244"/>
    </row>
    <row r="553" spans="4:4" ht="15.75" customHeight="1" x14ac:dyDescent="0.2">
      <c r="D553" s="244"/>
    </row>
    <row r="554" spans="4:4" ht="15.75" customHeight="1" x14ac:dyDescent="0.2">
      <c r="D554" s="244"/>
    </row>
    <row r="555" spans="4:4" ht="15.75" customHeight="1" x14ac:dyDescent="0.2">
      <c r="D555" s="244"/>
    </row>
    <row r="556" spans="4:4" ht="15.75" customHeight="1" x14ac:dyDescent="0.2">
      <c r="D556" s="244"/>
    </row>
    <row r="557" spans="4:4" ht="15.75" customHeight="1" x14ac:dyDescent="0.2">
      <c r="D557" s="244"/>
    </row>
    <row r="558" spans="4:4" ht="15.75" customHeight="1" x14ac:dyDescent="0.2">
      <c r="D558" s="244"/>
    </row>
    <row r="559" spans="4:4" ht="15.75" customHeight="1" x14ac:dyDescent="0.2">
      <c r="D559" s="244"/>
    </row>
    <row r="560" spans="4:4" ht="15.75" customHeight="1" x14ac:dyDescent="0.2">
      <c r="D560" s="244"/>
    </row>
    <row r="561" spans="4:4" ht="15.75" customHeight="1" x14ac:dyDescent="0.2">
      <c r="D561" s="244"/>
    </row>
    <row r="562" spans="4:4" ht="15.75" customHeight="1" x14ac:dyDescent="0.2">
      <c r="D562" s="244"/>
    </row>
    <row r="563" spans="4:4" ht="15.75" customHeight="1" x14ac:dyDescent="0.2">
      <c r="D563" s="244"/>
    </row>
    <row r="564" spans="4:4" ht="15.75" customHeight="1" x14ac:dyDescent="0.2">
      <c r="D564" s="244"/>
    </row>
    <row r="565" spans="4:4" ht="15.75" customHeight="1" x14ac:dyDescent="0.2">
      <c r="D565" s="244"/>
    </row>
    <row r="566" spans="4:4" ht="15.75" customHeight="1" x14ac:dyDescent="0.2">
      <c r="D566" s="244"/>
    </row>
    <row r="567" spans="4:4" ht="15.75" customHeight="1" x14ac:dyDescent="0.2">
      <c r="D567" s="244"/>
    </row>
    <row r="568" spans="4:4" ht="15.75" customHeight="1" x14ac:dyDescent="0.2">
      <c r="D568" s="244"/>
    </row>
    <row r="569" spans="4:4" ht="15.75" customHeight="1" x14ac:dyDescent="0.2">
      <c r="D569" s="244"/>
    </row>
    <row r="570" spans="4:4" ht="15.75" customHeight="1" x14ac:dyDescent="0.2">
      <c r="D570" s="244"/>
    </row>
    <row r="571" spans="4:4" ht="15.75" customHeight="1" x14ac:dyDescent="0.2">
      <c r="D571" s="244"/>
    </row>
    <row r="572" spans="4:4" ht="15.75" customHeight="1" x14ac:dyDescent="0.2">
      <c r="D572" s="244"/>
    </row>
    <row r="573" spans="4:4" ht="15.75" customHeight="1" x14ac:dyDescent="0.2">
      <c r="D573" s="244"/>
    </row>
    <row r="574" spans="4:4" ht="15.75" customHeight="1" x14ac:dyDescent="0.2">
      <c r="D574" s="244"/>
    </row>
    <row r="575" spans="4:4" ht="15.75" customHeight="1" x14ac:dyDescent="0.2">
      <c r="D575" s="244"/>
    </row>
    <row r="576" spans="4:4" ht="15.75" customHeight="1" x14ac:dyDescent="0.2">
      <c r="D576" s="244"/>
    </row>
    <row r="577" spans="4:4" ht="15.75" customHeight="1" x14ac:dyDescent="0.2">
      <c r="D577" s="244"/>
    </row>
    <row r="578" spans="4:4" ht="15.75" customHeight="1" x14ac:dyDescent="0.2">
      <c r="D578" s="244"/>
    </row>
    <row r="579" spans="4:4" ht="15.75" customHeight="1" x14ac:dyDescent="0.2">
      <c r="D579" s="244"/>
    </row>
    <row r="580" spans="4:4" ht="15.75" customHeight="1" x14ac:dyDescent="0.2">
      <c r="D580" s="244"/>
    </row>
    <row r="581" spans="4:4" ht="15.75" customHeight="1" x14ac:dyDescent="0.2">
      <c r="D581" s="244"/>
    </row>
    <row r="582" spans="4:4" ht="15.75" customHeight="1" x14ac:dyDescent="0.2">
      <c r="D582" s="244"/>
    </row>
    <row r="583" spans="4:4" ht="15.75" customHeight="1" x14ac:dyDescent="0.2">
      <c r="D583" s="244"/>
    </row>
    <row r="584" spans="4:4" ht="15.75" customHeight="1" x14ac:dyDescent="0.2">
      <c r="D584" s="244"/>
    </row>
    <row r="585" spans="4:4" ht="15.75" customHeight="1" x14ac:dyDescent="0.2">
      <c r="D585" s="244"/>
    </row>
    <row r="586" spans="4:4" ht="15.75" customHeight="1" x14ac:dyDescent="0.2">
      <c r="D586" s="244"/>
    </row>
    <row r="587" spans="4:4" ht="15.75" customHeight="1" x14ac:dyDescent="0.2">
      <c r="D587" s="244"/>
    </row>
    <row r="588" spans="4:4" ht="15.75" customHeight="1" x14ac:dyDescent="0.2">
      <c r="D588" s="244"/>
    </row>
    <row r="589" spans="4:4" ht="15.75" customHeight="1" x14ac:dyDescent="0.2">
      <c r="D589" s="244"/>
    </row>
    <row r="590" spans="4:4" ht="15.75" customHeight="1" x14ac:dyDescent="0.2">
      <c r="D590" s="244"/>
    </row>
    <row r="591" spans="4:4" ht="15.75" customHeight="1" x14ac:dyDescent="0.2">
      <c r="D591" s="244"/>
    </row>
    <row r="592" spans="4:4" ht="15.75" customHeight="1" x14ac:dyDescent="0.2">
      <c r="D592" s="244"/>
    </row>
    <row r="593" spans="4:4" ht="15.75" customHeight="1" x14ac:dyDescent="0.2">
      <c r="D593" s="244"/>
    </row>
    <row r="594" spans="4:4" ht="15.75" customHeight="1" x14ac:dyDescent="0.2">
      <c r="D594" s="244"/>
    </row>
    <row r="595" spans="4:4" ht="15.75" customHeight="1" x14ac:dyDescent="0.2">
      <c r="D595" s="244"/>
    </row>
    <row r="596" spans="4:4" ht="15.75" customHeight="1" x14ac:dyDescent="0.2">
      <c r="D596" s="244"/>
    </row>
    <row r="597" spans="4:4" ht="15.75" customHeight="1" x14ac:dyDescent="0.2">
      <c r="D597" s="244"/>
    </row>
    <row r="598" spans="4:4" ht="15.75" customHeight="1" x14ac:dyDescent="0.2">
      <c r="D598" s="244"/>
    </row>
    <row r="599" spans="4:4" ht="15.75" customHeight="1" x14ac:dyDescent="0.2">
      <c r="D599" s="244"/>
    </row>
    <row r="600" spans="4:4" ht="15.75" customHeight="1" x14ac:dyDescent="0.2">
      <c r="D600" s="244"/>
    </row>
    <row r="601" spans="4:4" ht="15.75" customHeight="1" x14ac:dyDescent="0.2">
      <c r="D601" s="244"/>
    </row>
    <row r="602" spans="4:4" ht="15.75" customHeight="1" x14ac:dyDescent="0.2">
      <c r="D602" s="244"/>
    </row>
    <row r="603" spans="4:4" ht="15.75" customHeight="1" x14ac:dyDescent="0.2">
      <c r="D603" s="244"/>
    </row>
    <row r="604" spans="4:4" ht="15.75" customHeight="1" x14ac:dyDescent="0.2">
      <c r="D604" s="244"/>
    </row>
    <row r="605" spans="4:4" ht="15.75" customHeight="1" x14ac:dyDescent="0.2">
      <c r="D605" s="244"/>
    </row>
    <row r="606" spans="4:4" ht="15.75" customHeight="1" x14ac:dyDescent="0.2">
      <c r="D606" s="244"/>
    </row>
    <row r="607" spans="4:4" ht="15.75" customHeight="1" x14ac:dyDescent="0.2">
      <c r="D607" s="244"/>
    </row>
    <row r="608" spans="4:4" ht="15.75" customHeight="1" x14ac:dyDescent="0.2">
      <c r="D608" s="244"/>
    </row>
    <row r="609" spans="4:4" ht="15.75" customHeight="1" x14ac:dyDescent="0.2">
      <c r="D609" s="244"/>
    </row>
    <row r="610" spans="4:4" ht="15.75" customHeight="1" x14ac:dyDescent="0.2">
      <c r="D610" s="244"/>
    </row>
    <row r="611" spans="4:4" ht="15.75" customHeight="1" x14ac:dyDescent="0.2">
      <c r="D611" s="244"/>
    </row>
    <row r="612" spans="4:4" ht="15.75" customHeight="1" x14ac:dyDescent="0.2">
      <c r="D612" s="244"/>
    </row>
    <row r="613" spans="4:4" ht="15.75" customHeight="1" x14ac:dyDescent="0.2">
      <c r="D613" s="244"/>
    </row>
    <row r="614" spans="4:4" ht="15.75" customHeight="1" x14ac:dyDescent="0.2">
      <c r="D614" s="244"/>
    </row>
    <row r="615" spans="4:4" ht="15.75" customHeight="1" x14ac:dyDescent="0.2">
      <c r="D615" s="244"/>
    </row>
    <row r="616" spans="4:4" ht="15.75" customHeight="1" x14ac:dyDescent="0.2">
      <c r="D616" s="244"/>
    </row>
    <row r="617" spans="4:4" ht="15.75" customHeight="1" x14ac:dyDescent="0.2">
      <c r="D617" s="244"/>
    </row>
    <row r="618" spans="4:4" ht="15.75" customHeight="1" x14ac:dyDescent="0.2">
      <c r="D618" s="244"/>
    </row>
    <row r="619" spans="4:4" ht="15.75" customHeight="1" x14ac:dyDescent="0.2">
      <c r="D619" s="244"/>
    </row>
    <row r="620" spans="4:4" ht="15.75" customHeight="1" x14ac:dyDescent="0.2">
      <c r="D620" s="244"/>
    </row>
    <row r="621" spans="4:4" ht="15.75" customHeight="1" x14ac:dyDescent="0.2">
      <c r="D621" s="244"/>
    </row>
    <row r="622" spans="4:4" ht="15.75" customHeight="1" x14ac:dyDescent="0.2">
      <c r="D622" s="244"/>
    </row>
    <row r="623" spans="4:4" ht="15.75" customHeight="1" x14ac:dyDescent="0.2">
      <c r="D623" s="244"/>
    </row>
    <row r="624" spans="4:4" ht="15.75" customHeight="1" x14ac:dyDescent="0.2">
      <c r="D624" s="244"/>
    </row>
    <row r="625" spans="4:4" ht="15.75" customHeight="1" x14ac:dyDescent="0.2">
      <c r="D625" s="244"/>
    </row>
    <row r="626" spans="4:4" ht="15.75" customHeight="1" x14ac:dyDescent="0.2">
      <c r="D626" s="244"/>
    </row>
    <row r="627" spans="4:4" ht="15.75" customHeight="1" x14ac:dyDescent="0.2">
      <c r="D627" s="244"/>
    </row>
    <row r="628" spans="4:4" ht="15.75" customHeight="1" x14ac:dyDescent="0.2">
      <c r="D628" s="244"/>
    </row>
    <row r="629" spans="4:4" ht="15.75" customHeight="1" x14ac:dyDescent="0.2">
      <c r="D629" s="244"/>
    </row>
    <row r="630" spans="4:4" ht="15.75" customHeight="1" x14ac:dyDescent="0.2">
      <c r="D630" s="244"/>
    </row>
    <row r="631" spans="4:4" ht="15.75" customHeight="1" x14ac:dyDescent="0.2">
      <c r="D631" s="244"/>
    </row>
    <row r="632" spans="4:4" ht="15.75" customHeight="1" x14ac:dyDescent="0.2">
      <c r="D632" s="244"/>
    </row>
    <row r="633" spans="4:4" ht="15.75" customHeight="1" x14ac:dyDescent="0.2">
      <c r="D633" s="244"/>
    </row>
    <row r="634" spans="4:4" ht="15.75" customHeight="1" x14ac:dyDescent="0.2">
      <c r="D634" s="244"/>
    </row>
    <row r="635" spans="4:4" ht="15.75" customHeight="1" x14ac:dyDescent="0.2">
      <c r="D635" s="244"/>
    </row>
    <row r="636" spans="4:4" ht="15.75" customHeight="1" x14ac:dyDescent="0.2">
      <c r="D636" s="244"/>
    </row>
    <row r="637" spans="4:4" ht="15.75" customHeight="1" x14ac:dyDescent="0.2">
      <c r="D637" s="244"/>
    </row>
    <row r="638" spans="4:4" ht="15.75" customHeight="1" x14ac:dyDescent="0.2">
      <c r="D638" s="244"/>
    </row>
    <row r="639" spans="4:4" ht="15.75" customHeight="1" x14ac:dyDescent="0.2">
      <c r="D639" s="244"/>
    </row>
    <row r="640" spans="4:4" ht="15.75" customHeight="1" x14ac:dyDescent="0.2">
      <c r="D640" s="244"/>
    </row>
    <row r="641" spans="4:4" ht="15.75" customHeight="1" x14ac:dyDescent="0.2">
      <c r="D641" s="244"/>
    </row>
    <row r="642" spans="4:4" ht="15.75" customHeight="1" x14ac:dyDescent="0.2">
      <c r="D642" s="244"/>
    </row>
    <row r="643" spans="4:4" ht="15.75" customHeight="1" x14ac:dyDescent="0.2">
      <c r="D643" s="244"/>
    </row>
    <row r="644" spans="4:4" ht="15.75" customHeight="1" x14ac:dyDescent="0.2">
      <c r="D644" s="244"/>
    </row>
    <row r="645" spans="4:4" ht="15.75" customHeight="1" x14ac:dyDescent="0.2">
      <c r="D645" s="244"/>
    </row>
    <row r="646" spans="4:4" ht="15.75" customHeight="1" x14ac:dyDescent="0.2">
      <c r="D646" s="244"/>
    </row>
    <row r="647" spans="4:4" ht="15.75" customHeight="1" x14ac:dyDescent="0.2">
      <c r="D647" s="244"/>
    </row>
    <row r="648" spans="4:4" ht="15.75" customHeight="1" x14ac:dyDescent="0.2">
      <c r="D648" s="244"/>
    </row>
    <row r="649" spans="4:4" ht="15.75" customHeight="1" x14ac:dyDescent="0.2">
      <c r="D649" s="244"/>
    </row>
    <row r="650" spans="4:4" ht="15.75" customHeight="1" x14ac:dyDescent="0.2">
      <c r="D650" s="244"/>
    </row>
    <row r="651" spans="4:4" ht="15.75" customHeight="1" x14ac:dyDescent="0.2">
      <c r="D651" s="244"/>
    </row>
    <row r="652" spans="4:4" ht="15.75" customHeight="1" x14ac:dyDescent="0.2">
      <c r="D652" s="244"/>
    </row>
    <row r="653" spans="4:4" ht="15.75" customHeight="1" x14ac:dyDescent="0.2">
      <c r="D653" s="244"/>
    </row>
    <row r="654" spans="4:4" ht="15.75" customHeight="1" x14ac:dyDescent="0.2">
      <c r="D654" s="244"/>
    </row>
    <row r="655" spans="4:4" ht="15.75" customHeight="1" x14ac:dyDescent="0.2">
      <c r="D655" s="244"/>
    </row>
    <row r="656" spans="4:4" ht="15.75" customHeight="1" x14ac:dyDescent="0.2">
      <c r="D656" s="244"/>
    </row>
    <row r="657" spans="4:4" ht="15.75" customHeight="1" x14ac:dyDescent="0.2">
      <c r="D657" s="244"/>
    </row>
    <row r="658" spans="4:4" ht="15.75" customHeight="1" x14ac:dyDescent="0.2">
      <c r="D658" s="244"/>
    </row>
    <row r="659" spans="4:4" ht="15.75" customHeight="1" x14ac:dyDescent="0.2">
      <c r="D659" s="244"/>
    </row>
    <row r="660" spans="4:4" ht="15.75" customHeight="1" x14ac:dyDescent="0.2">
      <c r="D660" s="244"/>
    </row>
    <row r="661" spans="4:4" ht="15.75" customHeight="1" x14ac:dyDescent="0.2">
      <c r="D661" s="244"/>
    </row>
    <row r="662" spans="4:4" ht="15.75" customHeight="1" x14ac:dyDescent="0.2">
      <c r="D662" s="244"/>
    </row>
    <row r="663" spans="4:4" ht="15.75" customHeight="1" x14ac:dyDescent="0.2">
      <c r="D663" s="244"/>
    </row>
    <row r="664" spans="4:4" ht="15.75" customHeight="1" x14ac:dyDescent="0.2">
      <c r="D664" s="244"/>
    </row>
    <row r="665" spans="4:4" ht="15.75" customHeight="1" x14ac:dyDescent="0.2">
      <c r="D665" s="244"/>
    </row>
    <row r="666" spans="4:4" ht="15.75" customHeight="1" x14ac:dyDescent="0.2">
      <c r="D666" s="244"/>
    </row>
    <row r="667" spans="4:4" ht="15.75" customHeight="1" x14ac:dyDescent="0.2">
      <c r="D667" s="244"/>
    </row>
    <row r="668" spans="4:4" ht="15.75" customHeight="1" x14ac:dyDescent="0.2">
      <c r="D668" s="244"/>
    </row>
    <row r="669" spans="4:4" ht="15.75" customHeight="1" x14ac:dyDescent="0.2">
      <c r="D669" s="244"/>
    </row>
    <row r="670" spans="4:4" ht="15.75" customHeight="1" x14ac:dyDescent="0.2">
      <c r="D670" s="244"/>
    </row>
    <row r="671" spans="4:4" ht="15.75" customHeight="1" x14ac:dyDescent="0.2">
      <c r="D671" s="244"/>
    </row>
    <row r="672" spans="4:4" ht="15.75" customHeight="1" x14ac:dyDescent="0.2">
      <c r="D672" s="244"/>
    </row>
    <row r="673" spans="4:4" ht="15.75" customHeight="1" x14ac:dyDescent="0.2">
      <c r="D673" s="244"/>
    </row>
    <row r="674" spans="4:4" ht="15.75" customHeight="1" x14ac:dyDescent="0.2">
      <c r="D674" s="244"/>
    </row>
    <row r="675" spans="4:4" ht="15.75" customHeight="1" x14ac:dyDescent="0.2">
      <c r="D675" s="244"/>
    </row>
    <row r="676" spans="4:4" ht="15.75" customHeight="1" x14ac:dyDescent="0.2">
      <c r="D676" s="244"/>
    </row>
    <row r="677" spans="4:4" ht="15.75" customHeight="1" x14ac:dyDescent="0.2">
      <c r="D677" s="244"/>
    </row>
    <row r="678" spans="4:4" ht="15.75" customHeight="1" x14ac:dyDescent="0.2">
      <c r="D678" s="244"/>
    </row>
    <row r="679" spans="4:4" ht="15.75" customHeight="1" x14ac:dyDescent="0.2">
      <c r="D679" s="244"/>
    </row>
    <row r="680" spans="4:4" ht="15.75" customHeight="1" x14ac:dyDescent="0.2">
      <c r="D680" s="244"/>
    </row>
    <row r="681" spans="4:4" ht="15.75" customHeight="1" x14ac:dyDescent="0.2">
      <c r="D681" s="244"/>
    </row>
    <row r="682" spans="4:4" ht="15.75" customHeight="1" x14ac:dyDescent="0.2">
      <c r="D682" s="244"/>
    </row>
    <row r="683" spans="4:4" ht="15.75" customHeight="1" x14ac:dyDescent="0.2">
      <c r="D683" s="244"/>
    </row>
    <row r="684" spans="4:4" ht="15.75" customHeight="1" x14ac:dyDescent="0.2">
      <c r="D684" s="244"/>
    </row>
    <row r="685" spans="4:4" ht="15.75" customHeight="1" x14ac:dyDescent="0.2">
      <c r="D685" s="244"/>
    </row>
    <row r="686" spans="4:4" ht="15.75" customHeight="1" x14ac:dyDescent="0.2">
      <c r="D686" s="244"/>
    </row>
    <row r="687" spans="4:4" ht="15.75" customHeight="1" x14ac:dyDescent="0.2">
      <c r="D687" s="244"/>
    </row>
    <row r="688" spans="4:4" ht="15.75" customHeight="1" x14ac:dyDescent="0.2">
      <c r="D688" s="244"/>
    </row>
    <row r="689" spans="4:4" ht="15.75" customHeight="1" x14ac:dyDescent="0.2">
      <c r="D689" s="244"/>
    </row>
    <row r="690" spans="4:4" ht="15.75" customHeight="1" x14ac:dyDescent="0.2">
      <c r="D690" s="244"/>
    </row>
    <row r="691" spans="4:4" ht="15.75" customHeight="1" x14ac:dyDescent="0.2">
      <c r="D691" s="244"/>
    </row>
    <row r="692" spans="4:4" ht="15.75" customHeight="1" x14ac:dyDescent="0.2">
      <c r="D692" s="244"/>
    </row>
    <row r="693" spans="4:4" ht="15.75" customHeight="1" x14ac:dyDescent="0.2">
      <c r="D693" s="244"/>
    </row>
    <row r="694" spans="4:4" ht="15.75" customHeight="1" x14ac:dyDescent="0.2">
      <c r="D694" s="244"/>
    </row>
    <row r="695" spans="4:4" ht="15.75" customHeight="1" x14ac:dyDescent="0.2">
      <c r="D695" s="244"/>
    </row>
    <row r="696" spans="4:4" ht="15.75" customHeight="1" x14ac:dyDescent="0.2">
      <c r="D696" s="244"/>
    </row>
    <row r="697" spans="4:4" ht="15.75" customHeight="1" x14ac:dyDescent="0.2">
      <c r="D697" s="244"/>
    </row>
    <row r="698" spans="4:4" ht="15.75" customHeight="1" x14ac:dyDescent="0.2">
      <c r="D698" s="244"/>
    </row>
    <row r="699" spans="4:4" ht="15.75" customHeight="1" x14ac:dyDescent="0.2">
      <c r="D699" s="244"/>
    </row>
    <row r="700" spans="4:4" ht="15.75" customHeight="1" x14ac:dyDescent="0.2">
      <c r="D700" s="244"/>
    </row>
    <row r="701" spans="4:4" ht="15.75" customHeight="1" x14ac:dyDescent="0.2">
      <c r="D701" s="244"/>
    </row>
    <row r="702" spans="4:4" ht="15.75" customHeight="1" x14ac:dyDescent="0.2">
      <c r="D702" s="244"/>
    </row>
    <row r="703" spans="4:4" ht="15.75" customHeight="1" x14ac:dyDescent="0.2">
      <c r="D703" s="244"/>
    </row>
    <row r="704" spans="4:4" ht="15.75" customHeight="1" x14ac:dyDescent="0.2">
      <c r="D704" s="244"/>
    </row>
    <row r="705" spans="4:4" ht="15.75" customHeight="1" x14ac:dyDescent="0.2">
      <c r="D705" s="244"/>
    </row>
    <row r="706" spans="4:4" ht="15.75" customHeight="1" x14ac:dyDescent="0.2">
      <c r="D706" s="244"/>
    </row>
    <row r="707" spans="4:4" ht="15.75" customHeight="1" x14ac:dyDescent="0.2">
      <c r="D707" s="244"/>
    </row>
    <row r="708" spans="4:4" ht="15.75" customHeight="1" x14ac:dyDescent="0.2">
      <c r="D708" s="244"/>
    </row>
    <row r="709" spans="4:4" ht="15.75" customHeight="1" x14ac:dyDescent="0.2">
      <c r="D709" s="244"/>
    </row>
    <row r="710" spans="4:4" ht="15.75" customHeight="1" x14ac:dyDescent="0.2">
      <c r="D710" s="244"/>
    </row>
    <row r="711" spans="4:4" ht="15.75" customHeight="1" x14ac:dyDescent="0.2">
      <c r="D711" s="244"/>
    </row>
    <row r="712" spans="4:4" ht="15.75" customHeight="1" x14ac:dyDescent="0.2">
      <c r="D712" s="244"/>
    </row>
    <row r="713" spans="4:4" ht="15.75" customHeight="1" x14ac:dyDescent="0.2">
      <c r="D713" s="244"/>
    </row>
    <row r="714" spans="4:4" ht="15.75" customHeight="1" x14ac:dyDescent="0.2">
      <c r="D714" s="244"/>
    </row>
    <row r="715" spans="4:4" ht="15.75" customHeight="1" x14ac:dyDescent="0.2">
      <c r="D715" s="244"/>
    </row>
    <row r="716" spans="4:4" ht="15.75" customHeight="1" x14ac:dyDescent="0.2">
      <c r="D716" s="244"/>
    </row>
    <row r="717" spans="4:4" ht="15.75" customHeight="1" x14ac:dyDescent="0.2">
      <c r="D717" s="244"/>
    </row>
    <row r="718" spans="4:4" ht="15.75" customHeight="1" x14ac:dyDescent="0.2">
      <c r="D718" s="244"/>
    </row>
    <row r="719" spans="4:4" ht="15.75" customHeight="1" x14ac:dyDescent="0.2">
      <c r="D719" s="244"/>
    </row>
    <row r="720" spans="4:4" ht="15.75" customHeight="1" x14ac:dyDescent="0.2">
      <c r="D720" s="244"/>
    </row>
    <row r="721" spans="4:4" ht="15.75" customHeight="1" x14ac:dyDescent="0.2">
      <c r="D721" s="244"/>
    </row>
    <row r="722" spans="4:4" ht="15.75" customHeight="1" x14ac:dyDescent="0.2">
      <c r="D722" s="244"/>
    </row>
    <row r="723" spans="4:4" ht="15.75" customHeight="1" x14ac:dyDescent="0.2">
      <c r="D723" s="244"/>
    </row>
    <row r="724" spans="4:4" ht="15.75" customHeight="1" x14ac:dyDescent="0.2">
      <c r="D724" s="244"/>
    </row>
    <row r="725" spans="4:4" ht="15.75" customHeight="1" x14ac:dyDescent="0.2">
      <c r="D725" s="244"/>
    </row>
    <row r="726" spans="4:4" ht="15.75" customHeight="1" x14ac:dyDescent="0.2">
      <c r="D726" s="244"/>
    </row>
    <row r="727" spans="4:4" ht="15.75" customHeight="1" x14ac:dyDescent="0.2">
      <c r="D727" s="244"/>
    </row>
    <row r="728" spans="4:4" ht="15.75" customHeight="1" x14ac:dyDescent="0.2">
      <c r="D728" s="244"/>
    </row>
    <row r="729" spans="4:4" ht="15.75" customHeight="1" x14ac:dyDescent="0.2">
      <c r="D729" s="244"/>
    </row>
    <row r="730" spans="4:4" ht="15.75" customHeight="1" x14ac:dyDescent="0.2">
      <c r="D730" s="244"/>
    </row>
    <row r="731" spans="4:4" ht="15.75" customHeight="1" x14ac:dyDescent="0.2">
      <c r="D731" s="244"/>
    </row>
    <row r="732" spans="4:4" ht="15.75" customHeight="1" x14ac:dyDescent="0.2">
      <c r="D732" s="244"/>
    </row>
    <row r="733" spans="4:4" ht="15.75" customHeight="1" x14ac:dyDescent="0.2">
      <c r="D733" s="244"/>
    </row>
    <row r="734" spans="4:4" ht="15.75" customHeight="1" x14ac:dyDescent="0.2">
      <c r="D734" s="244"/>
    </row>
    <row r="735" spans="4:4" ht="15.75" customHeight="1" x14ac:dyDescent="0.2">
      <c r="D735" s="244"/>
    </row>
    <row r="736" spans="4:4" ht="15.75" customHeight="1" x14ac:dyDescent="0.2">
      <c r="D736" s="244"/>
    </row>
    <row r="737" spans="4:4" ht="15.75" customHeight="1" x14ac:dyDescent="0.2">
      <c r="D737" s="244"/>
    </row>
    <row r="738" spans="4:4" ht="15.75" customHeight="1" x14ac:dyDescent="0.2">
      <c r="D738" s="244"/>
    </row>
    <row r="739" spans="4:4" ht="15.75" customHeight="1" x14ac:dyDescent="0.2">
      <c r="D739" s="244"/>
    </row>
    <row r="740" spans="4:4" ht="15.75" customHeight="1" x14ac:dyDescent="0.2">
      <c r="D740" s="244"/>
    </row>
    <row r="741" spans="4:4" ht="15.75" customHeight="1" x14ac:dyDescent="0.2">
      <c r="D741" s="244"/>
    </row>
    <row r="742" spans="4:4" ht="15.75" customHeight="1" x14ac:dyDescent="0.2">
      <c r="D742" s="244"/>
    </row>
    <row r="743" spans="4:4" ht="15.75" customHeight="1" x14ac:dyDescent="0.2">
      <c r="D743" s="244"/>
    </row>
    <row r="744" spans="4:4" ht="15.75" customHeight="1" x14ac:dyDescent="0.2">
      <c r="D744" s="244"/>
    </row>
    <row r="745" spans="4:4" ht="15.75" customHeight="1" x14ac:dyDescent="0.2">
      <c r="D745" s="244"/>
    </row>
    <row r="746" spans="4:4" ht="15.75" customHeight="1" x14ac:dyDescent="0.2">
      <c r="D746" s="244"/>
    </row>
    <row r="747" spans="4:4" ht="15.75" customHeight="1" x14ac:dyDescent="0.2">
      <c r="D747" s="244"/>
    </row>
    <row r="748" spans="4:4" ht="15.75" customHeight="1" x14ac:dyDescent="0.2">
      <c r="D748" s="244"/>
    </row>
    <row r="749" spans="4:4" ht="15.75" customHeight="1" x14ac:dyDescent="0.2">
      <c r="D749" s="244"/>
    </row>
    <row r="750" spans="4:4" ht="15.75" customHeight="1" x14ac:dyDescent="0.2">
      <c r="D750" s="244"/>
    </row>
    <row r="751" spans="4:4" ht="15.75" customHeight="1" x14ac:dyDescent="0.2">
      <c r="D751" s="244"/>
    </row>
    <row r="752" spans="4:4" ht="15.75" customHeight="1" x14ac:dyDescent="0.2">
      <c r="D752" s="244"/>
    </row>
    <row r="753" spans="4:4" ht="15.75" customHeight="1" x14ac:dyDescent="0.2">
      <c r="D753" s="244"/>
    </row>
    <row r="754" spans="4:4" ht="15.75" customHeight="1" x14ac:dyDescent="0.2">
      <c r="D754" s="244"/>
    </row>
    <row r="755" spans="4:4" ht="15.75" customHeight="1" x14ac:dyDescent="0.2">
      <c r="D755" s="244"/>
    </row>
    <row r="756" spans="4:4" ht="15.75" customHeight="1" x14ac:dyDescent="0.2">
      <c r="D756" s="244"/>
    </row>
    <row r="757" spans="4:4" ht="15.75" customHeight="1" x14ac:dyDescent="0.2">
      <c r="D757" s="244"/>
    </row>
    <row r="758" spans="4:4" ht="15.75" customHeight="1" x14ac:dyDescent="0.2">
      <c r="D758" s="244"/>
    </row>
    <row r="759" spans="4:4" ht="15.75" customHeight="1" x14ac:dyDescent="0.2">
      <c r="D759" s="244"/>
    </row>
    <row r="760" spans="4:4" ht="15.75" customHeight="1" x14ac:dyDescent="0.2">
      <c r="D760" s="244"/>
    </row>
    <row r="761" spans="4:4" ht="15.75" customHeight="1" x14ac:dyDescent="0.2">
      <c r="D761" s="244"/>
    </row>
    <row r="762" spans="4:4" ht="15.75" customHeight="1" x14ac:dyDescent="0.2">
      <c r="D762" s="244"/>
    </row>
    <row r="763" spans="4:4" ht="15.75" customHeight="1" x14ac:dyDescent="0.2">
      <c r="D763" s="244"/>
    </row>
    <row r="764" spans="4:4" ht="15.75" customHeight="1" x14ac:dyDescent="0.2">
      <c r="D764" s="244"/>
    </row>
    <row r="765" spans="4:4" ht="15.75" customHeight="1" x14ac:dyDescent="0.2">
      <c r="D765" s="244"/>
    </row>
    <row r="766" spans="4:4" ht="15.75" customHeight="1" x14ac:dyDescent="0.2">
      <c r="D766" s="244"/>
    </row>
    <row r="767" spans="4:4" ht="15.75" customHeight="1" x14ac:dyDescent="0.2">
      <c r="D767" s="244"/>
    </row>
    <row r="768" spans="4:4" ht="15.75" customHeight="1" x14ac:dyDescent="0.2">
      <c r="D768" s="244"/>
    </row>
    <row r="769" spans="4:4" ht="15.75" customHeight="1" x14ac:dyDescent="0.2">
      <c r="D769" s="244"/>
    </row>
    <row r="770" spans="4:4" ht="15.75" customHeight="1" x14ac:dyDescent="0.2">
      <c r="D770" s="244"/>
    </row>
    <row r="771" spans="4:4" ht="15.75" customHeight="1" x14ac:dyDescent="0.2">
      <c r="D771" s="244"/>
    </row>
    <row r="772" spans="4:4" ht="15.75" customHeight="1" x14ac:dyDescent="0.2">
      <c r="D772" s="244"/>
    </row>
    <row r="773" spans="4:4" ht="15.75" customHeight="1" x14ac:dyDescent="0.2">
      <c r="D773" s="244"/>
    </row>
    <row r="774" spans="4:4" ht="15.75" customHeight="1" x14ac:dyDescent="0.2">
      <c r="D774" s="244"/>
    </row>
    <row r="775" spans="4:4" ht="15.75" customHeight="1" x14ac:dyDescent="0.2">
      <c r="D775" s="244"/>
    </row>
    <row r="776" spans="4:4" ht="15.75" customHeight="1" x14ac:dyDescent="0.2">
      <c r="D776" s="244"/>
    </row>
    <row r="777" spans="4:4" ht="15.75" customHeight="1" x14ac:dyDescent="0.2">
      <c r="D777" s="244"/>
    </row>
    <row r="778" spans="4:4" ht="15.75" customHeight="1" x14ac:dyDescent="0.2">
      <c r="D778" s="244"/>
    </row>
    <row r="779" spans="4:4" ht="15.75" customHeight="1" x14ac:dyDescent="0.2">
      <c r="D779" s="244"/>
    </row>
    <row r="780" spans="4:4" ht="15.75" customHeight="1" x14ac:dyDescent="0.2">
      <c r="D780" s="244"/>
    </row>
    <row r="781" spans="4:4" ht="15.75" customHeight="1" x14ac:dyDescent="0.2">
      <c r="D781" s="244"/>
    </row>
    <row r="782" spans="4:4" ht="15.75" customHeight="1" x14ac:dyDescent="0.2">
      <c r="D782" s="244"/>
    </row>
    <row r="783" spans="4:4" ht="15.75" customHeight="1" x14ac:dyDescent="0.2">
      <c r="D783" s="244"/>
    </row>
    <row r="784" spans="4:4" ht="15.75" customHeight="1" x14ac:dyDescent="0.2">
      <c r="D784" s="244"/>
    </row>
    <row r="785" spans="4:4" ht="15.75" customHeight="1" x14ac:dyDescent="0.2">
      <c r="D785" s="244"/>
    </row>
    <row r="786" spans="4:4" ht="15.75" customHeight="1" x14ac:dyDescent="0.2">
      <c r="D786" s="244"/>
    </row>
    <row r="787" spans="4:4" ht="15.75" customHeight="1" x14ac:dyDescent="0.2">
      <c r="D787" s="244"/>
    </row>
    <row r="788" spans="4:4" ht="15.75" customHeight="1" x14ac:dyDescent="0.2">
      <c r="D788" s="244"/>
    </row>
    <row r="789" spans="4:4" ht="15.75" customHeight="1" x14ac:dyDescent="0.2">
      <c r="D789" s="244"/>
    </row>
    <row r="790" spans="4:4" ht="15.75" customHeight="1" x14ac:dyDescent="0.2">
      <c r="D790" s="244"/>
    </row>
    <row r="791" spans="4:4" ht="15.75" customHeight="1" x14ac:dyDescent="0.2">
      <c r="D791" s="244"/>
    </row>
    <row r="792" spans="4:4" ht="15.75" customHeight="1" x14ac:dyDescent="0.2">
      <c r="D792" s="244"/>
    </row>
    <row r="793" spans="4:4" ht="15.75" customHeight="1" x14ac:dyDescent="0.2">
      <c r="D793" s="244"/>
    </row>
    <row r="794" spans="4:4" ht="15.75" customHeight="1" x14ac:dyDescent="0.2">
      <c r="D794" s="244"/>
    </row>
    <row r="795" spans="4:4" ht="15.75" customHeight="1" x14ac:dyDescent="0.2">
      <c r="D795" s="244"/>
    </row>
    <row r="796" spans="4:4" ht="15.75" customHeight="1" x14ac:dyDescent="0.2">
      <c r="D796" s="244"/>
    </row>
    <row r="797" spans="4:4" ht="15.75" customHeight="1" x14ac:dyDescent="0.2">
      <c r="D797" s="244"/>
    </row>
    <row r="798" spans="4:4" ht="15.75" customHeight="1" x14ac:dyDescent="0.2">
      <c r="D798" s="244"/>
    </row>
    <row r="799" spans="4:4" ht="15.75" customHeight="1" x14ac:dyDescent="0.2">
      <c r="D799" s="244"/>
    </row>
    <row r="800" spans="4:4" ht="15.75" customHeight="1" x14ac:dyDescent="0.2">
      <c r="D800" s="244"/>
    </row>
    <row r="801" spans="4:4" ht="15.75" customHeight="1" x14ac:dyDescent="0.2">
      <c r="D801" s="244"/>
    </row>
    <row r="802" spans="4:4" ht="15.75" customHeight="1" x14ac:dyDescent="0.2">
      <c r="D802" s="244"/>
    </row>
    <row r="803" spans="4:4" ht="15.75" customHeight="1" x14ac:dyDescent="0.2">
      <c r="D803" s="244"/>
    </row>
    <row r="804" spans="4:4" ht="15.75" customHeight="1" x14ac:dyDescent="0.2">
      <c r="D804" s="244"/>
    </row>
    <row r="805" spans="4:4" ht="15.75" customHeight="1" x14ac:dyDescent="0.2">
      <c r="D805" s="244"/>
    </row>
    <row r="806" spans="4:4" ht="15.75" customHeight="1" x14ac:dyDescent="0.2">
      <c r="D806" s="244"/>
    </row>
    <row r="807" spans="4:4" ht="15.75" customHeight="1" x14ac:dyDescent="0.2">
      <c r="D807" s="244"/>
    </row>
    <row r="808" spans="4:4" ht="15.75" customHeight="1" x14ac:dyDescent="0.2">
      <c r="D808" s="244"/>
    </row>
    <row r="809" spans="4:4" ht="15.75" customHeight="1" x14ac:dyDescent="0.2">
      <c r="D809" s="244"/>
    </row>
    <row r="810" spans="4:4" ht="15.75" customHeight="1" x14ac:dyDescent="0.2">
      <c r="D810" s="244"/>
    </row>
    <row r="811" spans="4:4" ht="15.75" customHeight="1" x14ac:dyDescent="0.2">
      <c r="D811" s="244"/>
    </row>
    <row r="812" spans="4:4" ht="15.75" customHeight="1" x14ac:dyDescent="0.2">
      <c r="D812" s="244"/>
    </row>
    <row r="813" spans="4:4" ht="15.75" customHeight="1" x14ac:dyDescent="0.2">
      <c r="D813" s="244"/>
    </row>
    <row r="814" spans="4:4" ht="15.75" customHeight="1" x14ac:dyDescent="0.2">
      <c r="D814" s="244"/>
    </row>
    <row r="815" spans="4:4" ht="15.75" customHeight="1" x14ac:dyDescent="0.2">
      <c r="D815" s="244"/>
    </row>
    <row r="816" spans="4:4" ht="15.75" customHeight="1" x14ac:dyDescent="0.2">
      <c r="D816" s="244"/>
    </row>
    <row r="817" spans="4:4" ht="15.75" customHeight="1" x14ac:dyDescent="0.2">
      <c r="D817" s="244"/>
    </row>
    <row r="818" spans="4:4" ht="15.75" customHeight="1" x14ac:dyDescent="0.2">
      <c r="D818" s="244"/>
    </row>
    <row r="819" spans="4:4" ht="15.75" customHeight="1" x14ac:dyDescent="0.2">
      <c r="D819" s="244"/>
    </row>
    <row r="820" spans="4:4" ht="15.75" customHeight="1" x14ac:dyDescent="0.2">
      <c r="D820" s="244"/>
    </row>
    <row r="821" spans="4:4" ht="15.75" customHeight="1" x14ac:dyDescent="0.2">
      <c r="D821" s="244"/>
    </row>
    <row r="822" spans="4:4" ht="15.75" customHeight="1" x14ac:dyDescent="0.2">
      <c r="D822" s="244"/>
    </row>
    <row r="823" spans="4:4" ht="15.75" customHeight="1" x14ac:dyDescent="0.2">
      <c r="D823" s="244"/>
    </row>
    <row r="824" spans="4:4" ht="15.75" customHeight="1" x14ac:dyDescent="0.2">
      <c r="D824" s="244"/>
    </row>
    <row r="825" spans="4:4" ht="15.75" customHeight="1" x14ac:dyDescent="0.2">
      <c r="D825" s="244"/>
    </row>
    <row r="826" spans="4:4" ht="15.75" customHeight="1" x14ac:dyDescent="0.2">
      <c r="D826" s="244"/>
    </row>
    <row r="827" spans="4:4" ht="15.75" customHeight="1" x14ac:dyDescent="0.2">
      <c r="D827" s="244"/>
    </row>
    <row r="828" spans="4:4" ht="15.75" customHeight="1" x14ac:dyDescent="0.2">
      <c r="D828" s="244"/>
    </row>
    <row r="829" spans="4:4" ht="15.75" customHeight="1" x14ac:dyDescent="0.2">
      <c r="D829" s="244"/>
    </row>
    <row r="830" spans="4:4" ht="15.75" customHeight="1" x14ac:dyDescent="0.2">
      <c r="D830" s="244"/>
    </row>
    <row r="831" spans="4:4" ht="15.75" customHeight="1" x14ac:dyDescent="0.2">
      <c r="D831" s="244"/>
    </row>
    <row r="832" spans="4:4" ht="15.75" customHeight="1" x14ac:dyDescent="0.2">
      <c r="D832" s="244"/>
    </row>
    <row r="833" spans="4:4" ht="15.75" customHeight="1" x14ac:dyDescent="0.2">
      <c r="D833" s="244"/>
    </row>
    <row r="834" spans="4:4" ht="15.75" customHeight="1" x14ac:dyDescent="0.2">
      <c r="D834" s="244"/>
    </row>
    <row r="835" spans="4:4" ht="15.75" customHeight="1" x14ac:dyDescent="0.2">
      <c r="D835" s="244"/>
    </row>
    <row r="836" spans="4:4" ht="15.75" customHeight="1" x14ac:dyDescent="0.2">
      <c r="D836" s="244"/>
    </row>
    <row r="837" spans="4:4" ht="15.75" customHeight="1" x14ac:dyDescent="0.2">
      <c r="D837" s="244"/>
    </row>
    <row r="838" spans="4:4" ht="15.75" customHeight="1" x14ac:dyDescent="0.2">
      <c r="D838" s="244"/>
    </row>
    <row r="839" spans="4:4" ht="15.75" customHeight="1" x14ac:dyDescent="0.2">
      <c r="D839" s="244"/>
    </row>
    <row r="840" spans="4:4" ht="15.75" customHeight="1" x14ac:dyDescent="0.2">
      <c r="D840" s="244"/>
    </row>
    <row r="841" spans="4:4" ht="15.75" customHeight="1" x14ac:dyDescent="0.2">
      <c r="D841" s="244"/>
    </row>
    <row r="842" spans="4:4" ht="15.75" customHeight="1" x14ac:dyDescent="0.2">
      <c r="D842" s="244"/>
    </row>
    <row r="843" spans="4:4" ht="15.75" customHeight="1" x14ac:dyDescent="0.2">
      <c r="D843" s="244"/>
    </row>
    <row r="844" spans="4:4" ht="15.75" customHeight="1" x14ac:dyDescent="0.2">
      <c r="D844" s="244"/>
    </row>
    <row r="845" spans="4:4" ht="15.75" customHeight="1" x14ac:dyDescent="0.2">
      <c r="D845" s="244"/>
    </row>
    <row r="846" spans="4:4" ht="15.75" customHeight="1" x14ac:dyDescent="0.2">
      <c r="D846" s="244"/>
    </row>
    <row r="847" spans="4:4" ht="15.75" customHeight="1" x14ac:dyDescent="0.2">
      <c r="D847" s="244"/>
    </row>
    <row r="848" spans="4:4" ht="15.75" customHeight="1" x14ac:dyDescent="0.2">
      <c r="D848" s="244"/>
    </row>
    <row r="849" spans="4:4" ht="15.75" customHeight="1" x14ac:dyDescent="0.2">
      <c r="D849" s="244"/>
    </row>
    <row r="850" spans="4:4" ht="15.75" customHeight="1" x14ac:dyDescent="0.2">
      <c r="D850" s="244"/>
    </row>
    <row r="851" spans="4:4" ht="15.75" customHeight="1" x14ac:dyDescent="0.2">
      <c r="D851" s="244"/>
    </row>
    <row r="852" spans="4:4" ht="15.75" customHeight="1" x14ac:dyDescent="0.2">
      <c r="D852" s="244"/>
    </row>
    <row r="853" spans="4:4" ht="15.75" customHeight="1" x14ac:dyDescent="0.2">
      <c r="D853" s="244"/>
    </row>
    <row r="854" spans="4:4" ht="15.75" customHeight="1" x14ac:dyDescent="0.2">
      <c r="D854" s="244"/>
    </row>
    <row r="855" spans="4:4" ht="15.75" customHeight="1" x14ac:dyDescent="0.2">
      <c r="D855" s="244"/>
    </row>
    <row r="856" spans="4:4" ht="15.75" customHeight="1" x14ac:dyDescent="0.2">
      <c r="D856" s="244"/>
    </row>
    <row r="857" spans="4:4" ht="15.75" customHeight="1" x14ac:dyDescent="0.2">
      <c r="D857" s="244"/>
    </row>
    <row r="858" spans="4:4" ht="15.75" customHeight="1" x14ac:dyDescent="0.2">
      <c r="D858" s="244"/>
    </row>
    <row r="859" spans="4:4" ht="15.75" customHeight="1" x14ac:dyDescent="0.2">
      <c r="D859" s="244"/>
    </row>
    <row r="860" spans="4:4" ht="15.75" customHeight="1" x14ac:dyDescent="0.2">
      <c r="D860" s="244"/>
    </row>
    <row r="861" spans="4:4" ht="15.75" customHeight="1" x14ac:dyDescent="0.2">
      <c r="D861" s="244"/>
    </row>
    <row r="862" spans="4:4" ht="15.75" customHeight="1" x14ac:dyDescent="0.2">
      <c r="D862" s="244"/>
    </row>
    <row r="863" spans="4:4" ht="15.75" customHeight="1" x14ac:dyDescent="0.2">
      <c r="D863" s="244"/>
    </row>
    <row r="864" spans="4:4" ht="15.75" customHeight="1" x14ac:dyDescent="0.2">
      <c r="D864" s="244"/>
    </row>
    <row r="865" spans="4:4" ht="15.75" customHeight="1" x14ac:dyDescent="0.2">
      <c r="D865" s="244"/>
    </row>
    <row r="866" spans="4:4" ht="15.75" customHeight="1" x14ac:dyDescent="0.2">
      <c r="D866" s="244"/>
    </row>
    <row r="867" spans="4:4" ht="15.75" customHeight="1" x14ac:dyDescent="0.2">
      <c r="D867" s="244"/>
    </row>
    <row r="868" spans="4:4" ht="15.75" customHeight="1" x14ac:dyDescent="0.2">
      <c r="D868" s="244"/>
    </row>
    <row r="869" spans="4:4" ht="15.75" customHeight="1" x14ac:dyDescent="0.2">
      <c r="D869" s="244"/>
    </row>
    <row r="870" spans="4:4" ht="15.75" customHeight="1" x14ac:dyDescent="0.2">
      <c r="D870" s="244"/>
    </row>
    <row r="871" spans="4:4" ht="15.75" customHeight="1" x14ac:dyDescent="0.2">
      <c r="D871" s="244"/>
    </row>
    <row r="872" spans="4:4" ht="15.75" customHeight="1" x14ac:dyDescent="0.2">
      <c r="D872" s="244"/>
    </row>
    <row r="873" spans="4:4" ht="15.75" customHeight="1" x14ac:dyDescent="0.2">
      <c r="D873" s="244"/>
    </row>
    <row r="874" spans="4:4" ht="15.75" customHeight="1" x14ac:dyDescent="0.2">
      <c r="D874" s="244"/>
    </row>
    <row r="875" spans="4:4" ht="15.75" customHeight="1" x14ac:dyDescent="0.2">
      <c r="D875" s="244"/>
    </row>
    <row r="876" spans="4:4" ht="15.75" customHeight="1" x14ac:dyDescent="0.2">
      <c r="D876" s="244"/>
    </row>
    <row r="877" spans="4:4" ht="15.75" customHeight="1" x14ac:dyDescent="0.2">
      <c r="D877" s="244"/>
    </row>
    <row r="878" spans="4:4" ht="15.75" customHeight="1" x14ac:dyDescent="0.2">
      <c r="D878" s="244"/>
    </row>
    <row r="879" spans="4:4" ht="15.75" customHeight="1" x14ac:dyDescent="0.2">
      <c r="D879" s="244"/>
    </row>
    <row r="880" spans="4:4" ht="15.75" customHeight="1" x14ac:dyDescent="0.2">
      <c r="D880" s="244"/>
    </row>
    <row r="881" spans="4:4" ht="15.75" customHeight="1" x14ac:dyDescent="0.2">
      <c r="D881" s="244"/>
    </row>
    <row r="882" spans="4:4" ht="15.75" customHeight="1" x14ac:dyDescent="0.2">
      <c r="D882" s="244"/>
    </row>
    <row r="883" spans="4:4" ht="15.75" customHeight="1" x14ac:dyDescent="0.2">
      <c r="D883" s="244"/>
    </row>
    <row r="884" spans="4:4" ht="15.75" customHeight="1" x14ac:dyDescent="0.2">
      <c r="D884" s="244"/>
    </row>
    <row r="885" spans="4:4" ht="15.75" customHeight="1" x14ac:dyDescent="0.2">
      <c r="D885" s="244"/>
    </row>
    <row r="886" spans="4:4" ht="15.75" customHeight="1" x14ac:dyDescent="0.2">
      <c r="D886" s="244"/>
    </row>
    <row r="887" spans="4:4" ht="15.75" customHeight="1" x14ac:dyDescent="0.2">
      <c r="D887" s="244"/>
    </row>
    <row r="888" spans="4:4" ht="15.75" customHeight="1" x14ac:dyDescent="0.2">
      <c r="D888" s="244"/>
    </row>
    <row r="889" spans="4:4" ht="15.75" customHeight="1" x14ac:dyDescent="0.2">
      <c r="D889" s="244"/>
    </row>
    <row r="890" spans="4:4" ht="15.75" customHeight="1" x14ac:dyDescent="0.2">
      <c r="D890" s="244"/>
    </row>
    <row r="891" spans="4:4" ht="15.75" customHeight="1" x14ac:dyDescent="0.2">
      <c r="D891" s="244"/>
    </row>
    <row r="892" spans="4:4" ht="15.75" customHeight="1" x14ac:dyDescent="0.2">
      <c r="D892" s="244"/>
    </row>
    <row r="893" spans="4:4" ht="15.75" customHeight="1" x14ac:dyDescent="0.2">
      <c r="D893" s="244"/>
    </row>
    <row r="894" spans="4:4" ht="15.75" customHeight="1" x14ac:dyDescent="0.2">
      <c r="D894" s="244"/>
    </row>
    <row r="895" spans="4:4" ht="15.75" customHeight="1" x14ac:dyDescent="0.2">
      <c r="D895" s="244"/>
    </row>
    <row r="896" spans="4:4" ht="15.75" customHeight="1" x14ac:dyDescent="0.2">
      <c r="D896" s="244"/>
    </row>
    <row r="897" spans="4:4" ht="15.75" customHeight="1" x14ac:dyDescent="0.2">
      <c r="D897" s="244"/>
    </row>
    <row r="898" spans="4:4" ht="15.75" customHeight="1" x14ac:dyDescent="0.2">
      <c r="D898" s="244"/>
    </row>
    <row r="899" spans="4:4" ht="15.75" customHeight="1" x14ac:dyDescent="0.2">
      <c r="D899" s="244"/>
    </row>
    <row r="900" spans="4:4" ht="15.75" customHeight="1" x14ac:dyDescent="0.2">
      <c r="D900" s="244"/>
    </row>
    <row r="901" spans="4:4" ht="15.75" customHeight="1" x14ac:dyDescent="0.2">
      <c r="D901" s="244"/>
    </row>
    <row r="902" spans="4:4" ht="15.75" customHeight="1" x14ac:dyDescent="0.2">
      <c r="D902" s="244"/>
    </row>
    <row r="903" spans="4:4" ht="15.75" customHeight="1" x14ac:dyDescent="0.2">
      <c r="D903" s="244"/>
    </row>
    <row r="904" spans="4:4" ht="15.75" customHeight="1" x14ac:dyDescent="0.2">
      <c r="D904" s="244"/>
    </row>
    <row r="905" spans="4:4" ht="15.75" customHeight="1" x14ac:dyDescent="0.2">
      <c r="D905" s="244"/>
    </row>
    <row r="906" spans="4:4" ht="15.75" customHeight="1" x14ac:dyDescent="0.2">
      <c r="D906" s="244"/>
    </row>
    <row r="907" spans="4:4" ht="15.75" customHeight="1" x14ac:dyDescent="0.2">
      <c r="D907" s="244"/>
    </row>
    <row r="908" spans="4:4" ht="15.75" customHeight="1" x14ac:dyDescent="0.2">
      <c r="D908" s="244"/>
    </row>
    <row r="909" spans="4:4" ht="15.75" customHeight="1" x14ac:dyDescent="0.2">
      <c r="D909" s="244"/>
    </row>
    <row r="910" spans="4:4" ht="15.75" customHeight="1" x14ac:dyDescent="0.2">
      <c r="D910" s="244"/>
    </row>
    <row r="911" spans="4:4" ht="15.75" customHeight="1" x14ac:dyDescent="0.2">
      <c r="D911" s="244"/>
    </row>
    <row r="912" spans="4:4" ht="15.75" customHeight="1" x14ac:dyDescent="0.2">
      <c r="D912" s="244"/>
    </row>
    <row r="913" spans="4:4" ht="15.75" customHeight="1" x14ac:dyDescent="0.2">
      <c r="D913" s="244"/>
    </row>
    <row r="914" spans="4:4" ht="15.75" customHeight="1" x14ac:dyDescent="0.2">
      <c r="D914" s="244"/>
    </row>
    <row r="915" spans="4:4" ht="15.75" customHeight="1" x14ac:dyDescent="0.2">
      <c r="D915" s="244"/>
    </row>
    <row r="916" spans="4:4" ht="15.75" customHeight="1" x14ac:dyDescent="0.2">
      <c r="D916" s="244"/>
    </row>
    <row r="917" spans="4:4" ht="15.75" customHeight="1" x14ac:dyDescent="0.2">
      <c r="D917" s="244"/>
    </row>
    <row r="918" spans="4:4" ht="15.75" customHeight="1" x14ac:dyDescent="0.2">
      <c r="D918" s="244"/>
    </row>
    <row r="919" spans="4:4" ht="15.75" customHeight="1" x14ac:dyDescent="0.2">
      <c r="D919" s="244"/>
    </row>
    <row r="920" spans="4:4" ht="15.75" customHeight="1" x14ac:dyDescent="0.2">
      <c r="D920" s="244"/>
    </row>
    <row r="921" spans="4:4" ht="15.75" customHeight="1" x14ac:dyDescent="0.2">
      <c r="D921" s="244"/>
    </row>
    <row r="922" spans="4:4" ht="15.75" customHeight="1" x14ac:dyDescent="0.2">
      <c r="D922" s="244"/>
    </row>
    <row r="923" spans="4:4" ht="15.75" customHeight="1" x14ac:dyDescent="0.2">
      <c r="D923" s="244"/>
    </row>
    <row r="924" spans="4:4" ht="15.75" customHeight="1" x14ac:dyDescent="0.2">
      <c r="D924" s="244"/>
    </row>
    <row r="925" spans="4:4" ht="15.75" customHeight="1" x14ac:dyDescent="0.2">
      <c r="D925" s="244"/>
    </row>
    <row r="926" spans="4:4" ht="15.75" customHeight="1" x14ac:dyDescent="0.2">
      <c r="D926" s="244"/>
    </row>
    <row r="927" spans="4:4" ht="15.75" customHeight="1" x14ac:dyDescent="0.2">
      <c r="D927" s="244"/>
    </row>
    <row r="928" spans="4:4" ht="15.75" customHeight="1" x14ac:dyDescent="0.2">
      <c r="D928" s="244"/>
    </row>
    <row r="929" spans="4:4" ht="15.75" customHeight="1" x14ac:dyDescent="0.2">
      <c r="D929" s="244"/>
    </row>
    <row r="930" spans="4:4" ht="15.75" customHeight="1" x14ac:dyDescent="0.2">
      <c r="D930" s="244"/>
    </row>
    <row r="931" spans="4:4" ht="15.75" customHeight="1" x14ac:dyDescent="0.2">
      <c r="D931" s="244"/>
    </row>
    <row r="932" spans="4:4" ht="15.75" customHeight="1" x14ac:dyDescent="0.2">
      <c r="D932" s="244"/>
    </row>
    <row r="933" spans="4:4" ht="15.75" customHeight="1" x14ac:dyDescent="0.2">
      <c r="D933" s="244"/>
    </row>
    <row r="934" spans="4:4" ht="15.75" customHeight="1" x14ac:dyDescent="0.2">
      <c r="D934" s="244"/>
    </row>
    <row r="935" spans="4:4" ht="15.75" customHeight="1" x14ac:dyDescent="0.2">
      <c r="D935" s="244"/>
    </row>
    <row r="936" spans="4:4" ht="15.75" customHeight="1" x14ac:dyDescent="0.2">
      <c r="D936" s="244"/>
    </row>
    <row r="937" spans="4:4" ht="15.75" customHeight="1" x14ac:dyDescent="0.2">
      <c r="D937" s="244"/>
    </row>
    <row r="938" spans="4:4" ht="15.75" customHeight="1" x14ac:dyDescent="0.2">
      <c r="D938" s="244"/>
    </row>
    <row r="939" spans="4:4" ht="15.75" customHeight="1" x14ac:dyDescent="0.2">
      <c r="D939" s="244"/>
    </row>
    <row r="940" spans="4:4" ht="15.75" customHeight="1" x14ac:dyDescent="0.2">
      <c r="D940" s="244"/>
    </row>
    <row r="941" spans="4:4" ht="15.75" customHeight="1" x14ac:dyDescent="0.2">
      <c r="D941" s="244"/>
    </row>
    <row r="942" spans="4:4" ht="15.75" customHeight="1" x14ac:dyDescent="0.2">
      <c r="D942" s="244"/>
    </row>
    <row r="943" spans="4:4" ht="15.75" customHeight="1" x14ac:dyDescent="0.2">
      <c r="D943" s="244"/>
    </row>
    <row r="944" spans="4:4" ht="15.75" customHeight="1" x14ac:dyDescent="0.2">
      <c r="D944" s="244"/>
    </row>
    <row r="945" spans="4:4" ht="15.75" customHeight="1" x14ac:dyDescent="0.2">
      <c r="D945" s="244"/>
    </row>
    <row r="946" spans="4:4" ht="15.75" customHeight="1" x14ac:dyDescent="0.2">
      <c r="D946" s="244"/>
    </row>
    <row r="947" spans="4:4" ht="15.75" customHeight="1" x14ac:dyDescent="0.2">
      <c r="D947" s="244"/>
    </row>
    <row r="948" spans="4:4" ht="15.75" customHeight="1" x14ac:dyDescent="0.2">
      <c r="D948" s="244"/>
    </row>
    <row r="949" spans="4:4" ht="15.75" customHeight="1" x14ac:dyDescent="0.2">
      <c r="D949" s="244"/>
    </row>
    <row r="950" spans="4:4" ht="15.75" customHeight="1" x14ac:dyDescent="0.2">
      <c r="D950" s="244"/>
    </row>
    <row r="951" spans="4:4" ht="15.75" customHeight="1" x14ac:dyDescent="0.2">
      <c r="D951" s="244"/>
    </row>
    <row r="952" spans="4:4" ht="15.75" customHeight="1" x14ac:dyDescent="0.2">
      <c r="D952" s="244"/>
    </row>
    <row r="953" spans="4:4" ht="15.75" customHeight="1" x14ac:dyDescent="0.2">
      <c r="D953" s="244"/>
    </row>
    <row r="954" spans="4:4" ht="15.75" customHeight="1" x14ac:dyDescent="0.2">
      <c r="D954" s="244"/>
    </row>
    <row r="955" spans="4:4" ht="15.75" customHeight="1" x14ac:dyDescent="0.2">
      <c r="D955" s="244"/>
    </row>
    <row r="956" spans="4:4" ht="15.75" customHeight="1" x14ac:dyDescent="0.2">
      <c r="D956" s="244"/>
    </row>
    <row r="957" spans="4:4" ht="15.75" customHeight="1" x14ac:dyDescent="0.2">
      <c r="D957" s="244"/>
    </row>
    <row r="958" spans="4:4" ht="15.75" customHeight="1" x14ac:dyDescent="0.2">
      <c r="D958" s="244"/>
    </row>
    <row r="959" spans="4:4" ht="15.75" customHeight="1" x14ac:dyDescent="0.2">
      <c r="D959" s="244"/>
    </row>
    <row r="960" spans="4:4" ht="15.75" customHeight="1" x14ac:dyDescent="0.2">
      <c r="D960" s="244"/>
    </row>
    <row r="961" spans="4:4" ht="15.75" customHeight="1" x14ac:dyDescent="0.2">
      <c r="D961" s="244"/>
    </row>
    <row r="962" spans="4:4" ht="15.75" customHeight="1" x14ac:dyDescent="0.2">
      <c r="D962" s="244"/>
    </row>
    <row r="963" spans="4:4" ht="15.75" customHeight="1" x14ac:dyDescent="0.2">
      <c r="D963" s="244"/>
    </row>
    <row r="964" spans="4:4" ht="15.75" customHeight="1" x14ac:dyDescent="0.2">
      <c r="D964" s="244"/>
    </row>
    <row r="965" spans="4:4" ht="15.75" customHeight="1" x14ac:dyDescent="0.2">
      <c r="D965" s="244"/>
    </row>
    <row r="966" spans="4:4" ht="15.75" customHeight="1" x14ac:dyDescent="0.2">
      <c r="D966" s="244"/>
    </row>
    <row r="967" spans="4:4" ht="15.75" customHeight="1" x14ac:dyDescent="0.2">
      <c r="D967" s="244"/>
    </row>
    <row r="968" spans="4:4" ht="15.75" customHeight="1" x14ac:dyDescent="0.2">
      <c r="D968" s="244"/>
    </row>
    <row r="969" spans="4:4" ht="15.75" customHeight="1" x14ac:dyDescent="0.2">
      <c r="D969" s="244"/>
    </row>
    <row r="970" spans="4:4" ht="15.75" customHeight="1" x14ac:dyDescent="0.2">
      <c r="D970" s="244"/>
    </row>
    <row r="971" spans="4:4" ht="15.75" customHeight="1" x14ac:dyDescent="0.2">
      <c r="D971" s="244"/>
    </row>
    <row r="972" spans="4:4" ht="15.75" customHeight="1" x14ac:dyDescent="0.2">
      <c r="D972" s="244"/>
    </row>
    <row r="973" spans="4:4" ht="15.75" customHeight="1" x14ac:dyDescent="0.2">
      <c r="D973" s="244"/>
    </row>
    <row r="974" spans="4:4" ht="15.75" customHeight="1" x14ac:dyDescent="0.2">
      <c r="D974" s="244"/>
    </row>
    <row r="975" spans="4:4" ht="15.75" customHeight="1" x14ac:dyDescent="0.2">
      <c r="D975" s="244"/>
    </row>
    <row r="976" spans="4:4" ht="15.75" customHeight="1" x14ac:dyDescent="0.2">
      <c r="D976" s="244"/>
    </row>
    <row r="977" spans="4:4" ht="15.75" customHeight="1" x14ac:dyDescent="0.2">
      <c r="D977" s="244"/>
    </row>
    <row r="978" spans="4:4" ht="15.75" customHeight="1" x14ac:dyDescent="0.2">
      <c r="D978" s="244"/>
    </row>
    <row r="979" spans="4:4" ht="15.75" customHeight="1" x14ac:dyDescent="0.2">
      <c r="D979" s="244"/>
    </row>
    <row r="980" spans="4:4" ht="15.75" customHeight="1" x14ac:dyDescent="0.2">
      <c r="D980" s="244"/>
    </row>
    <row r="981" spans="4:4" ht="15.75" customHeight="1" x14ac:dyDescent="0.2">
      <c r="D981" s="244"/>
    </row>
    <row r="982" spans="4:4" ht="15.75" customHeight="1" x14ac:dyDescent="0.2">
      <c r="D982" s="244"/>
    </row>
    <row r="983" spans="4:4" ht="15.75" customHeight="1" x14ac:dyDescent="0.2">
      <c r="D983" s="244"/>
    </row>
    <row r="984" spans="4:4" ht="15.75" customHeight="1" x14ac:dyDescent="0.2">
      <c r="D984" s="244"/>
    </row>
    <row r="985" spans="4:4" ht="15.75" customHeight="1" x14ac:dyDescent="0.2">
      <c r="D985" s="244"/>
    </row>
    <row r="986" spans="4:4" ht="15.75" customHeight="1" x14ac:dyDescent="0.2">
      <c r="D986" s="244"/>
    </row>
    <row r="987" spans="4:4" ht="15.75" customHeight="1" x14ac:dyDescent="0.2">
      <c r="D987" s="244"/>
    </row>
    <row r="988" spans="4:4" ht="15.75" customHeight="1" x14ac:dyDescent="0.2">
      <c r="D988" s="244"/>
    </row>
    <row r="989" spans="4:4" ht="15.75" customHeight="1" x14ac:dyDescent="0.2">
      <c r="D989" s="244"/>
    </row>
    <row r="990" spans="4:4" ht="15.75" customHeight="1" x14ac:dyDescent="0.2">
      <c r="D990" s="244"/>
    </row>
    <row r="991" spans="4:4" ht="15.75" customHeight="1" x14ac:dyDescent="0.2">
      <c r="D991" s="244"/>
    </row>
    <row r="992" spans="4:4" ht="15.75" customHeight="1" x14ac:dyDescent="0.2">
      <c r="D992" s="244"/>
    </row>
    <row r="993" spans="4:4" ht="15.75" customHeight="1" x14ac:dyDescent="0.2">
      <c r="D993" s="244"/>
    </row>
    <row r="994" spans="4:4" ht="15.75" customHeight="1" x14ac:dyDescent="0.2">
      <c r="D994" s="244"/>
    </row>
    <row r="995" spans="4:4" ht="15.75" customHeight="1" x14ac:dyDescent="0.2">
      <c r="D995" s="244"/>
    </row>
  </sheetData>
  <mergeCells count="11">
    <mergeCell ref="A6:C6"/>
    <mergeCell ref="D6:N6"/>
    <mergeCell ref="A7:C7"/>
    <mergeCell ref="D7:I7"/>
    <mergeCell ref="J7:N7"/>
    <mergeCell ref="A1:C4"/>
    <mergeCell ref="D1:M4"/>
    <mergeCell ref="N1:N2"/>
    <mergeCell ref="N3:N4"/>
    <mergeCell ref="A5:C5"/>
    <mergeCell ref="D5:N5"/>
  </mergeCells>
  <dataValidations count="1">
    <dataValidation type="list" allowBlank="1" showErrorMessage="1" sqref="J9:M13" xr:uid="{00000000-0002-0000-3000-000000000000}">
      <formula1>"SI,NO"</formula1>
    </dataValidation>
  </dataValidations>
  <pageMargins left="0.11811023622047245" right="0.11811023622047245" top="1.1417322834645669" bottom="0.19685039370078741" header="0" footer="0"/>
  <pageSetup scale="79" orientation="landscape" r:id="rId1"/>
  <headerFooter>
    <oddHeader>&amp;C Matriz de Riesgos</oddHead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ErrorMessage="1" xr:uid="{00000000-0002-0000-3000-000001000000}">
          <x14:formula1>
            <xm:f>'C:\Users\sgomez.UPME\Documents\UPME 2020\Documents\Mapas de riesgos\[Mapa de riesgos PEI MINERIA.xlsx]Datos'!#REF!</xm:f>
          </x14:formula1>
          <xm:sqref>G9:G13 A9:C13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BEAE25"/>
  </sheetPr>
  <dimension ref="A1:Z991"/>
  <sheetViews>
    <sheetView showGridLines="0" workbookViewId="0">
      <selection activeCell="A7" sqref="A7"/>
    </sheetView>
  </sheetViews>
  <sheetFormatPr baseColWidth="10" defaultColWidth="12.625" defaultRowHeight="15" customHeight="1" x14ac:dyDescent="0.2"/>
  <cols>
    <col min="1" max="1" width="5.625" customWidth="1"/>
    <col min="2" max="2" width="21.625" customWidth="1"/>
    <col min="3" max="3" width="15.75" customWidth="1"/>
    <col min="4" max="4" width="17.875" customWidth="1"/>
    <col min="5" max="11" width="16.625" customWidth="1"/>
    <col min="12" max="12" width="21.375" customWidth="1"/>
    <col min="13" max="14" width="16.625" customWidth="1"/>
    <col min="15" max="15" width="18.5" customWidth="1"/>
    <col min="16" max="16" width="16.625" customWidth="1"/>
    <col min="17" max="23" width="13.75" customWidth="1"/>
    <col min="24" max="24" width="9.125" customWidth="1"/>
    <col min="25" max="26" width="9.375" customWidth="1"/>
  </cols>
  <sheetData>
    <row r="1" spans="1:26" ht="15" customHeight="1" x14ac:dyDescent="0.2">
      <c r="A1" s="1015"/>
      <c r="B1" s="930"/>
      <c r="C1" s="930"/>
      <c r="D1" s="931"/>
      <c r="E1" s="1016" t="s">
        <v>0</v>
      </c>
      <c r="F1" s="930"/>
      <c r="G1" s="930"/>
      <c r="H1" s="930"/>
      <c r="I1" s="930"/>
      <c r="J1" s="930"/>
      <c r="K1" s="930"/>
      <c r="L1" s="930"/>
      <c r="M1" s="930"/>
      <c r="N1" s="930"/>
      <c r="O1" s="930"/>
      <c r="P1" s="930"/>
      <c r="Q1" s="930"/>
      <c r="R1" s="930"/>
      <c r="S1" s="930"/>
      <c r="T1" s="931"/>
      <c r="U1" s="1017" t="s">
        <v>98</v>
      </c>
      <c r="V1" s="930"/>
      <c r="W1" s="930"/>
      <c r="X1" s="931"/>
    </row>
    <row r="2" spans="1:26" ht="15" customHeight="1" x14ac:dyDescent="0.2">
      <c r="A2" s="932"/>
      <c r="B2" s="933"/>
      <c r="C2" s="933"/>
      <c r="D2" s="934"/>
      <c r="E2" s="932"/>
      <c r="F2" s="933"/>
      <c r="G2" s="933"/>
      <c r="H2" s="933"/>
      <c r="I2" s="933"/>
      <c r="J2" s="933"/>
      <c r="K2" s="933"/>
      <c r="L2" s="933"/>
      <c r="M2" s="933"/>
      <c r="N2" s="933"/>
      <c r="O2" s="933"/>
      <c r="P2" s="933"/>
      <c r="Q2" s="933"/>
      <c r="R2" s="933"/>
      <c r="S2" s="933"/>
      <c r="T2" s="934"/>
      <c r="U2" s="935"/>
      <c r="V2" s="936"/>
      <c r="W2" s="936"/>
      <c r="X2" s="937"/>
    </row>
    <row r="3" spans="1:26" ht="15" customHeight="1" x14ac:dyDescent="0.2">
      <c r="A3" s="932"/>
      <c r="B3" s="933"/>
      <c r="C3" s="933"/>
      <c r="D3" s="934"/>
      <c r="E3" s="932"/>
      <c r="F3" s="933"/>
      <c r="G3" s="933"/>
      <c r="H3" s="933"/>
      <c r="I3" s="933"/>
      <c r="J3" s="933"/>
      <c r="K3" s="933"/>
      <c r="L3" s="933"/>
      <c r="M3" s="933"/>
      <c r="N3" s="933"/>
      <c r="O3" s="933"/>
      <c r="P3" s="933"/>
      <c r="Q3" s="933"/>
      <c r="R3" s="933"/>
      <c r="S3" s="933"/>
      <c r="T3" s="934"/>
      <c r="U3" s="1017" t="s">
        <v>99</v>
      </c>
      <c r="V3" s="930"/>
      <c r="W3" s="930"/>
      <c r="X3" s="930"/>
    </row>
    <row r="4" spans="1:26" ht="15" customHeight="1" x14ac:dyDescent="0.2">
      <c r="A4" s="932"/>
      <c r="B4" s="933"/>
      <c r="C4" s="933"/>
      <c r="D4" s="934"/>
      <c r="E4" s="932"/>
      <c r="F4" s="933"/>
      <c r="G4" s="933"/>
      <c r="H4" s="933"/>
      <c r="I4" s="933"/>
      <c r="J4" s="933"/>
      <c r="K4" s="933"/>
      <c r="L4" s="933"/>
      <c r="M4" s="933"/>
      <c r="N4" s="933"/>
      <c r="O4" s="933"/>
      <c r="P4" s="933"/>
      <c r="Q4" s="933"/>
      <c r="R4" s="933"/>
      <c r="S4" s="933"/>
      <c r="T4" s="934"/>
      <c r="U4" s="932"/>
      <c r="V4" s="933"/>
      <c r="W4" s="933"/>
      <c r="X4" s="933"/>
    </row>
    <row r="5" spans="1:26" ht="15" customHeight="1" x14ac:dyDescent="0.25">
      <c r="A5" s="1018" t="s">
        <v>100</v>
      </c>
      <c r="B5" s="1019"/>
      <c r="C5" s="1019"/>
      <c r="D5" s="1020"/>
      <c r="E5" s="965" t="s">
        <v>101</v>
      </c>
      <c r="F5" s="951"/>
      <c r="G5" s="951"/>
      <c r="H5" s="951"/>
      <c r="I5" s="951"/>
      <c r="J5" s="951"/>
      <c r="K5" s="951"/>
      <c r="L5" s="951"/>
      <c r="M5" s="951"/>
      <c r="N5" s="951"/>
      <c r="O5" s="951"/>
      <c r="P5" s="951"/>
      <c r="Q5" s="951"/>
      <c r="R5" s="951"/>
      <c r="S5" s="951"/>
      <c r="T5" s="951"/>
      <c r="U5" s="951"/>
      <c r="V5" s="951"/>
      <c r="W5" s="951"/>
      <c r="X5" s="952"/>
    </row>
    <row r="6" spans="1:26" ht="114.75" customHeight="1" x14ac:dyDescent="0.2">
      <c r="A6" s="16" t="s">
        <v>44</v>
      </c>
      <c r="B6" s="28" t="s">
        <v>64</v>
      </c>
      <c r="C6" s="28" t="s">
        <v>70</v>
      </c>
      <c r="D6" s="28" t="s">
        <v>69</v>
      </c>
      <c r="E6" s="16" t="s">
        <v>102</v>
      </c>
      <c r="F6" s="16" t="s">
        <v>103</v>
      </c>
      <c r="G6" s="16" t="s">
        <v>104</v>
      </c>
      <c r="H6" s="16" t="s">
        <v>105</v>
      </c>
      <c r="I6" s="28" t="s">
        <v>106</v>
      </c>
      <c r="J6" s="28" t="s">
        <v>107</v>
      </c>
      <c r="K6" s="28" t="s">
        <v>108</v>
      </c>
      <c r="L6" s="28" t="s">
        <v>109</v>
      </c>
      <c r="M6" s="28" t="s">
        <v>110</v>
      </c>
      <c r="N6" s="28" t="s">
        <v>111</v>
      </c>
      <c r="O6" s="28" t="s">
        <v>112</v>
      </c>
      <c r="P6" s="28" t="s">
        <v>113</v>
      </c>
      <c r="Q6" s="28" t="s">
        <v>114</v>
      </c>
      <c r="R6" s="28" t="s">
        <v>115</v>
      </c>
      <c r="S6" s="28" t="s">
        <v>116</v>
      </c>
      <c r="T6" s="28" t="s">
        <v>117</v>
      </c>
      <c r="U6" s="28" t="s">
        <v>118</v>
      </c>
      <c r="V6" s="28" t="s">
        <v>119</v>
      </c>
      <c r="W6" s="28" t="s">
        <v>120</v>
      </c>
      <c r="X6" s="28" t="s">
        <v>121</v>
      </c>
      <c r="Y6" s="29"/>
      <c r="Z6" s="29"/>
    </row>
    <row r="7" spans="1:26" ht="84.75" customHeight="1" x14ac:dyDescent="0.2">
      <c r="A7" s="30">
        <f>'Identificación del Riesgo'!D10</f>
        <v>2</v>
      </c>
      <c r="B7" s="30" t="str">
        <f>'Identificación del Riesgo'!E10</f>
        <v>Posibilidad de recibir o solicitar cualquier dadiva o beneficio a nombre propio o de terceros a través del manejo discrecional de las solicitudes</v>
      </c>
      <c r="C7" s="23">
        <f>IF(D7="PENDIENTE EVALUAR EL IMPACTO","PENDIENTE EVALUAR EL IMPACTO COLUMNAS H-W",VLOOKUP(D7,Datos!$K$8:$L$12,2,FALSE))</f>
        <v>4</v>
      </c>
      <c r="D7" s="30" t="str">
        <f t="shared" ref="D7" si="0">IF(X7=0,"PENDIENTE EVALUAR EL IMPACTO",IF(X7&lt;=5,"MODERADO",IF(X7&lt;=11,"MAYOR","CATASTRÓFICO")))</f>
        <v>MAYOR</v>
      </c>
      <c r="E7" s="33" t="s">
        <v>122</v>
      </c>
      <c r="F7" s="33" t="s">
        <v>122</v>
      </c>
      <c r="G7" s="33" t="s">
        <v>263</v>
      </c>
      <c r="H7" s="33" t="s">
        <v>263</v>
      </c>
      <c r="I7" s="21" t="s">
        <v>122</v>
      </c>
      <c r="J7" s="21" t="s">
        <v>122</v>
      </c>
      <c r="K7" s="21" t="s">
        <v>263</v>
      </c>
      <c r="L7" s="21" t="s">
        <v>263</v>
      </c>
      <c r="M7" s="21" t="s">
        <v>263</v>
      </c>
      <c r="N7" s="21" t="s">
        <v>122</v>
      </c>
      <c r="O7" s="21" t="s">
        <v>122</v>
      </c>
      <c r="P7" s="21" t="s">
        <v>122</v>
      </c>
      <c r="Q7" s="21" t="s">
        <v>122</v>
      </c>
      <c r="R7" s="21" t="s">
        <v>122</v>
      </c>
      <c r="S7" s="21" t="s">
        <v>122</v>
      </c>
      <c r="T7" s="21" t="s">
        <v>263</v>
      </c>
      <c r="U7" s="21" t="s">
        <v>263</v>
      </c>
      <c r="V7" s="21" t="s">
        <v>122</v>
      </c>
      <c r="W7" s="21" t="s">
        <v>263</v>
      </c>
      <c r="X7" s="31">
        <f t="shared" ref="X7" si="1">COUNTIF(E7:W7,"SI")</f>
        <v>11</v>
      </c>
    </row>
    <row r="8" spans="1:26" x14ac:dyDescent="0.2">
      <c r="X8" s="24"/>
    </row>
    <row r="9" spans="1:26" x14ac:dyDescent="0.2">
      <c r="X9" s="24"/>
    </row>
    <row r="10" spans="1:26" x14ac:dyDescent="0.2">
      <c r="X10" s="24"/>
    </row>
    <row r="11" spans="1:26" x14ac:dyDescent="0.2">
      <c r="X11" s="24"/>
    </row>
    <row r="12" spans="1:26" ht="15.75" customHeight="1" x14ac:dyDescent="0.2">
      <c r="X12" s="24"/>
    </row>
    <row r="13" spans="1:26" ht="15.75" customHeight="1" x14ac:dyDescent="0.2">
      <c r="X13" s="24"/>
    </row>
    <row r="14" spans="1:26" ht="15.75" customHeight="1" x14ac:dyDescent="0.2">
      <c r="X14" s="24"/>
    </row>
    <row r="15" spans="1:26" ht="15.75" customHeight="1" x14ac:dyDescent="0.2">
      <c r="X15" s="24"/>
    </row>
    <row r="16" spans="1:26" ht="15.75" customHeight="1" x14ac:dyDescent="0.2">
      <c r="X16" s="24"/>
    </row>
    <row r="17" spans="24:24" ht="15.75" customHeight="1" x14ac:dyDescent="0.2">
      <c r="X17" s="24"/>
    </row>
    <row r="18" spans="24:24" ht="15.75" customHeight="1" x14ac:dyDescent="0.2">
      <c r="X18" s="24"/>
    </row>
    <row r="19" spans="24:24" ht="15.75" customHeight="1" x14ac:dyDescent="0.2">
      <c r="X19" s="24"/>
    </row>
    <row r="20" spans="24:24" ht="15.75" customHeight="1" x14ac:dyDescent="0.2">
      <c r="X20" s="24"/>
    </row>
    <row r="21" spans="24:24" ht="15.75" customHeight="1" x14ac:dyDescent="0.2">
      <c r="X21" s="24"/>
    </row>
    <row r="22" spans="24:24" ht="15.75" customHeight="1" x14ac:dyDescent="0.2">
      <c r="X22" s="24"/>
    </row>
    <row r="23" spans="24:24" ht="15.75" customHeight="1" x14ac:dyDescent="0.2">
      <c r="X23" s="24"/>
    </row>
    <row r="24" spans="24:24" ht="15.75" customHeight="1" x14ac:dyDescent="0.2">
      <c r="X24" s="24"/>
    </row>
    <row r="25" spans="24:24" ht="15.75" customHeight="1" x14ac:dyDescent="0.2">
      <c r="X25" s="24"/>
    </row>
    <row r="26" spans="24:24" ht="15.75" customHeight="1" x14ac:dyDescent="0.2">
      <c r="X26" s="24"/>
    </row>
    <row r="27" spans="24:24" ht="15.75" customHeight="1" x14ac:dyDescent="0.2">
      <c r="X27" s="24"/>
    </row>
    <row r="28" spans="24:24" ht="15.75" customHeight="1" x14ac:dyDescent="0.2">
      <c r="X28" s="24"/>
    </row>
    <row r="29" spans="24:24" ht="15.75" customHeight="1" x14ac:dyDescent="0.2">
      <c r="X29" s="24"/>
    </row>
    <row r="30" spans="24:24" ht="15.75" customHeight="1" x14ac:dyDescent="0.2">
      <c r="X30" s="24"/>
    </row>
    <row r="31" spans="24:24" ht="15.75" customHeight="1" x14ac:dyDescent="0.2">
      <c r="X31" s="24"/>
    </row>
    <row r="32" spans="24:24" ht="15.75" customHeight="1" x14ac:dyDescent="0.2">
      <c r="X32" s="24"/>
    </row>
    <row r="33" spans="24:24" ht="15.75" customHeight="1" x14ac:dyDescent="0.2">
      <c r="X33" s="24"/>
    </row>
    <row r="34" spans="24:24" ht="15.75" customHeight="1" x14ac:dyDescent="0.2">
      <c r="X34" s="24"/>
    </row>
    <row r="35" spans="24:24" ht="15.75" customHeight="1" x14ac:dyDescent="0.2">
      <c r="X35" s="24"/>
    </row>
    <row r="36" spans="24:24" ht="15.75" customHeight="1" x14ac:dyDescent="0.2">
      <c r="X36" s="24"/>
    </row>
    <row r="37" spans="24:24" ht="15.75" customHeight="1" x14ac:dyDescent="0.2">
      <c r="X37" s="24"/>
    </row>
    <row r="38" spans="24:24" ht="15.75" customHeight="1" x14ac:dyDescent="0.2">
      <c r="X38" s="24"/>
    </row>
    <row r="39" spans="24:24" ht="15.75" customHeight="1" x14ac:dyDescent="0.2">
      <c r="X39" s="24"/>
    </row>
    <row r="40" spans="24:24" ht="15.75" customHeight="1" x14ac:dyDescent="0.2">
      <c r="X40" s="24"/>
    </row>
    <row r="41" spans="24:24" ht="15.75" customHeight="1" x14ac:dyDescent="0.2">
      <c r="X41" s="24"/>
    </row>
    <row r="42" spans="24:24" ht="15.75" customHeight="1" x14ac:dyDescent="0.2">
      <c r="X42" s="24"/>
    </row>
    <row r="43" spans="24:24" ht="15.75" customHeight="1" x14ac:dyDescent="0.2">
      <c r="X43" s="24"/>
    </row>
    <row r="44" spans="24:24" ht="15.75" customHeight="1" x14ac:dyDescent="0.2">
      <c r="X44" s="24"/>
    </row>
    <row r="45" spans="24:24" ht="15.75" customHeight="1" x14ac:dyDescent="0.2">
      <c r="X45" s="24"/>
    </row>
    <row r="46" spans="24:24" ht="15.75" customHeight="1" x14ac:dyDescent="0.2">
      <c r="X46" s="24"/>
    </row>
    <row r="47" spans="24:24" ht="15.75" customHeight="1" x14ac:dyDescent="0.2">
      <c r="X47" s="24"/>
    </row>
    <row r="48" spans="24:24" ht="15.75" customHeight="1" x14ac:dyDescent="0.2">
      <c r="X48" s="24"/>
    </row>
    <row r="49" spans="24:24" ht="15.75" customHeight="1" x14ac:dyDescent="0.2">
      <c r="X49" s="24"/>
    </row>
    <row r="50" spans="24:24" ht="15.75" customHeight="1" x14ac:dyDescent="0.2">
      <c r="X50" s="24"/>
    </row>
    <row r="51" spans="24:24" ht="15.75" customHeight="1" x14ac:dyDescent="0.2">
      <c r="X51" s="24"/>
    </row>
    <row r="52" spans="24:24" ht="15.75" customHeight="1" x14ac:dyDescent="0.2">
      <c r="X52" s="24"/>
    </row>
    <row r="53" spans="24:24" ht="15.75" customHeight="1" x14ac:dyDescent="0.2">
      <c r="X53" s="24"/>
    </row>
    <row r="54" spans="24:24" ht="15.75" customHeight="1" x14ac:dyDescent="0.2">
      <c r="X54" s="24"/>
    </row>
    <row r="55" spans="24:24" ht="15.75" customHeight="1" x14ac:dyDescent="0.2">
      <c r="X55" s="24"/>
    </row>
    <row r="56" spans="24:24" ht="15.75" customHeight="1" x14ac:dyDescent="0.2">
      <c r="X56" s="24"/>
    </row>
    <row r="57" spans="24:24" ht="15.75" customHeight="1" x14ac:dyDescent="0.2">
      <c r="X57" s="24"/>
    </row>
    <row r="58" spans="24:24" ht="15.75" customHeight="1" x14ac:dyDescent="0.2">
      <c r="X58" s="24"/>
    </row>
    <row r="59" spans="24:24" ht="15.75" customHeight="1" x14ac:dyDescent="0.2">
      <c r="X59" s="24"/>
    </row>
    <row r="60" spans="24:24" ht="15.75" customHeight="1" x14ac:dyDescent="0.2">
      <c r="X60" s="24"/>
    </row>
    <row r="61" spans="24:24" ht="15.75" customHeight="1" x14ac:dyDescent="0.2">
      <c r="X61" s="24"/>
    </row>
    <row r="62" spans="24:24" ht="15.75" customHeight="1" x14ac:dyDescent="0.2">
      <c r="X62" s="24"/>
    </row>
    <row r="63" spans="24:24" ht="15.75" customHeight="1" x14ac:dyDescent="0.2">
      <c r="X63" s="24"/>
    </row>
    <row r="64" spans="24:24" ht="15.75" customHeight="1" x14ac:dyDescent="0.2">
      <c r="X64" s="24"/>
    </row>
    <row r="65" spans="24:24" ht="15.75" customHeight="1" x14ac:dyDescent="0.2">
      <c r="X65" s="24"/>
    </row>
    <row r="66" spans="24:24" ht="15.75" customHeight="1" x14ac:dyDescent="0.2">
      <c r="X66" s="24"/>
    </row>
    <row r="67" spans="24:24" ht="15.75" customHeight="1" x14ac:dyDescent="0.2">
      <c r="X67" s="24"/>
    </row>
    <row r="68" spans="24:24" ht="15.75" customHeight="1" x14ac:dyDescent="0.2">
      <c r="X68" s="24"/>
    </row>
    <row r="69" spans="24:24" ht="15.75" customHeight="1" x14ac:dyDescent="0.2">
      <c r="X69" s="24"/>
    </row>
    <row r="70" spans="24:24" ht="15.75" customHeight="1" x14ac:dyDescent="0.2">
      <c r="X70" s="24"/>
    </row>
    <row r="71" spans="24:24" ht="15.75" customHeight="1" x14ac:dyDescent="0.2">
      <c r="X71" s="24"/>
    </row>
    <row r="72" spans="24:24" ht="15.75" customHeight="1" x14ac:dyDescent="0.2">
      <c r="X72" s="24"/>
    </row>
    <row r="73" spans="24:24" ht="15.75" customHeight="1" x14ac:dyDescent="0.2">
      <c r="X73" s="24"/>
    </row>
    <row r="74" spans="24:24" ht="15.75" customHeight="1" x14ac:dyDescent="0.2">
      <c r="X74" s="24"/>
    </row>
    <row r="75" spans="24:24" ht="15.75" customHeight="1" x14ac:dyDescent="0.2">
      <c r="X75" s="24"/>
    </row>
    <row r="76" spans="24:24" ht="15.75" customHeight="1" x14ac:dyDescent="0.2">
      <c r="X76" s="24"/>
    </row>
    <row r="77" spans="24:24" ht="15.75" customHeight="1" x14ac:dyDescent="0.2">
      <c r="X77" s="24"/>
    </row>
    <row r="78" spans="24:24" ht="15.75" customHeight="1" x14ac:dyDescent="0.2">
      <c r="X78" s="24"/>
    </row>
    <row r="79" spans="24:24" ht="15.75" customHeight="1" x14ac:dyDescent="0.2">
      <c r="X79" s="24"/>
    </row>
    <row r="80" spans="24:24" ht="15.75" customHeight="1" x14ac:dyDescent="0.2">
      <c r="X80" s="24"/>
    </row>
    <row r="81" spans="24:24" ht="15.75" customHeight="1" x14ac:dyDescent="0.2">
      <c r="X81" s="24"/>
    </row>
    <row r="82" spans="24:24" ht="15.75" customHeight="1" x14ac:dyDescent="0.2">
      <c r="X82" s="24"/>
    </row>
    <row r="83" spans="24:24" ht="15.75" customHeight="1" x14ac:dyDescent="0.2">
      <c r="X83" s="24"/>
    </row>
    <row r="84" spans="24:24" ht="15.75" customHeight="1" x14ac:dyDescent="0.2">
      <c r="X84" s="24"/>
    </row>
    <row r="85" spans="24:24" ht="15.75" customHeight="1" x14ac:dyDescent="0.2">
      <c r="X85" s="24"/>
    </row>
    <row r="86" spans="24:24" ht="15.75" customHeight="1" x14ac:dyDescent="0.2">
      <c r="X86" s="24"/>
    </row>
    <row r="87" spans="24:24" ht="15.75" customHeight="1" x14ac:dyDescent="0.2">
      <c r="X87" s="24"/>
    </row>
    <row r="88" spans="24:24" ht="15.75" customHeight="1" x14ac:dyDescent="0.2">
      <c r="X88" s="24"/>
    </row>
    <row r="89" spans="24:24" ht="15.75" customHeight="1" x14ac:dyDescent="0.2">
      <c r="X89" s="24"/>
    </row>
    <row r="90" spans="24:24" ht="15.75" customHeight="1" x14ac:dyDescent="0.2">
      <c r="X90" s="24"/>
    </row>
    <row r="91" spans="24:24" ht="15.75" customHeight="1" x14ac:dyDescent="0.2">
      <c r="X91" s="24"/>
    </row>
    <row r="92" spans="24:24" ht="15.75" customHeight="1" x14ac:dyDescent="0.2">
      <c r="X92" s="24"/>
    </row>
    <row r="93" spans="24:24" ht="15.75" customHeight="1" x14ac:dyDescent="0.2">
      <c r="X93" s="24"/>
    </row>
    <row r="94" spans="24:24" ht="15.75" customHeight="1" x14ac:dyDescent="0.2">
      <c r="X94" s="24"/>
    </row>
    <row r="95" spans="24:24" ht="15.75" customHeight="1" x14ac:dyDescent="0.2">
      <c r="X95" s="24"/>
    </row>
    <row r="96" spans="24:24" ht="15.75" customHeight="1" x14ac:dyDescent="0.2">
      <c r="X96" s="24"/>
    </row>
    <row r="97" spans="24:24" ht="15.75" customHeight="1" x14ac:dyDescent="0.2">
      <c r="X97" s="24"/>
    </row>
    <row r="98" spans="24:24" ht="15.75" customHeight="1" x14ac:dyDescent="0.2">
      <c r="X98" s="24"/>
    </row>
    <row r="99" spans="24:24" ht="15.75" customHeight="1" x14ac:dyDescent="0.2">
      <c r="X99" s="24"/>
    </row>
    <row r="100" spans="24:24" ht="15.75" customHeight="1" x14ac:dyDescent="0.2">
      <c r="X100" s="24"/>
    </row>
    <row r="101" spans="24:24" ht="15.75" customHeight="1" x14ac:dyDescent="0.2">
      <c r="X101" s="24"/>
    </row>
    <row r="102" spans="24:24" ht="15.75" customHeight="1" x14ac:dyDescent="0.2">
      <c r="X102" s="24"/>
    </row>
    <row r="103" spans="24:24" ht="15.75" customHeight="1" x14ac:dyDescent="0.2">
      <c r="X103" s="24"/>
    </row>
    <row r="104" spans="24:24" ht="15.75" customHeight="1" x14ac:dyDescent="0.2">
      <c r="X104" s="24"/>
    </row>
    <row r="105" spans="24:24" ht="15.75" customHeight="1" x14ac:dyDescent="0.2">
      <c r="X105" s="24"/>
    </row>
    <row r="106" spans="24:24" ht="15.75" customHeight="1" x14ac:dyDescent="0.2">
      <c r="X106" s="24"/>
    </row>
    <row r="107" spans="24:24" ht="15.75" customHeight="1" x14ac:dyDescent="0.2">
      <c r="X107" s="24"/>
    </row>
    <row r="108" spans="24:24" ht="15.75" customHeight="1" x14ac:dyDescent="0.2">
      <c r="X108" s="24"/>
    </row>
    <row r="109" spans="24:24" ht="15.75" customHeight="1" x14ac:dyDescent="0.2">
      <c r="X109" s="24"/>
    </row>
    <row r="110" spans="24:24" ht="15.75" customHeight="1" x14ac:dyDescent="0.2">
      <c r="X110" s="24"/>
    </row>
    <row r="111" spans="24:24" ht="15.75" customHeight="1" x14ac:dyDescent="0.2">
      <c r="X111" s="24"/>
    </row>
    <row r="112" spans="24:24" ht="15.75" customHeight="1" x14ac:dyDescent="0.2">
      <c r="X112" s="24"/>
    </row>
    <row r="113" spans="24:24" ht="15.75" customHeight="1" x14ac:dyDescent="0.2">
      <c r="X113" s="24"/>
    </row>
    <row r="114" spans="24:24" ht="15.75" customHeight="1" x14ac:dyDescent="0.2">
      <c r="X114" s="24"/>
    </row>
    <row r="115" spans="24:24" ht="15.75" customHeight="1" x14ac:dyDescent="0.2">
      <c r="X115" s="24"/>
    </row>
    <row r="116" spans="24:24" ht="15.75" customHeight="1" x14ac:dyDescent="0.2">
      <c r="X116" s="24"/>
    </row>
    <row r="117" spans="24:24" ht="15.75" customHeight="1" x14ac:dyDescent="0.2">
      <c r="X117" s="24"/>
    </row>
    <row r="118" spans="24:24" ht="15.75" customHeight="1" x14ac:dyDescent="0.2">
      <c r="X118" s="24"/>
    </row>
    <row r="119" spans="24:24" ht="15.75" customHeight="1" x14ac:dyDescent="0.2">
      <c r="X119" s="24"/>
    </row>
    <row r="120" spans="24:24" ht="15.75" customHeight="1" x14ac:dyDescent="0.2">
      <c r="X120" s="24"/>
    </row>
    <row r="121" spans="24:24" ht="15.75" customHeight="1" x14ac:dyDescent="0.2">
      <c r="X121" s="24"/>
    </row>
    <row r="122" spans="24:24" ht="15.75" customHeight="1" x14ac:dyDescent="0.2">
      <c r="X122" s="24"/>
    </row>
    <row r="123" spans="24:24" ht="15.75" customHeight="1" x14ac:dyDescent="0.2">
      <c r="X123" s="24"/>
    </row>
    <row r="124" spans="24:24" ht="15.75" customHeight="1" x14ac:dyDescent="0.2">
      <c r="X124" s="24"/>
    </row>
    <row r="125" spans="24:24" ht="15.75" customHeight="1" x14ac:dyDescent="0.2">
      <c r="X125" s="24"/>
    </row>
    <row r="126" spans="24:24" ht="15.75" customHeight="1" x14ac:dyDescent="0.2">
      <c r="X126" s="24"/>
    </row>
    <row r="127" spans="24:24" ht="15.75" customHeight="1" x14ac:dyDescent="0.2">
      <c r="X127" s="24"/>
    </row>
    <row r="128" spans="24:24" ht="15.75" customHeight="1" x14ac:dyDescent="0.2">
      <c r="X128" s="24"/>
    </row>
    <row r="129" spans="24:24" ht="15.75" customHeight="1" x14ac:dyDescent="0.2">
      <c r="X129" s="24"/>
    </row>
    <row r="130" spans="24:24" ht="15.75" customHeight="1" x14ac:dyDescent="0.2">
      <c r="X130" s="24"/>
    </row>
    <row r="131" spans="24:24" ht="15.75" customHeight="1" x14ac:dyDescent="0.2">
      <c r="X131" s="24"/>
    </row>
    <row r="132" spans="24:24" ht="15.75" customHeight="1" x14ac:dyDescent="0.2">
      <c r="X132" s="24"/>
    </row>
    <row r="133" spans="24:24" ht="15.75" customHeight="1" x14ac:dyDescent="0.2">
      <c r="X133" s="24"/>
    </row>
    <row r="134" spans="24:24" ht="15.75" customHeight="1" x14ac:dyDescent="0.2">
      <c r="X134" s="24"/>
    </row>
    <row r="135" spans="24:24" ht="15.75" customHeight="1" x14ac:dyDescent="0.2">
      <c r="X135" s="24"/>
    </row>
    <row r="136" spans="24:24" ht="15.75" customHeight="1" x14ac:dyDescent="0.2">
      <c r="X136" s="24"/>
    </row>
    <row r="137" spans="24:24" ht="15.75" customHeight="1" x14ac:dyDescent="0.2">
      <c r="X137" s="24"/>
    </row>
    <row r="138" spans="24:24" ht="15.75" customHeight="1" x14ac:dyDescent="0.2">
      <c r="X138" s="24"/>
    </row>
    <row r="139" spans="24:24" ht="15.75" customHeight="1" x14ac:dyDescent="0.2">
      <c r="X139" s="24"/>
    </row>
    <row r="140" spans="24:24" ht="15.75" customHeight="1" x14ac:dyDescent="0.2">
      <c r="X140" s="24"/>
    </row>
    <row r="141" spans="24:24" ht="15.75" customHeight="1" x14ac:dyDescent="0.2">
      <c r="X141" s="24"/>
    </row>
    <row r="142" spans="24:24" ht="15.75" customHeight="1" x14ac:dyDescent="0.2">
      <c r="X142" s="24"/>
    </row>
    <row r="143" spans="24:24" ht="15.75" customHeight="1" x14ac:dyDescent="0.2">
      <c r="X143" s="24"/>
    </row>
    <row r="144" spans="24:24" ht="15.75" customHeight="1" x14ac:dyDescent="0.2">
      <c r="X144" s="24"/>
    </row>
    <row r="145" spans="24:24" ht="15.75" customHeight="1" x14ac:dyDescent="0.2">
      <c r="X145" s="24"/>
    </row>
    <row r="146" spans="24:24" ht="15.75" customHeight="1" x14ac:dyDescent="0.2">
      <c r="X146" s="24"/>
    </row>
    <row r="147" spans="24:24" ht="15.75" customHeight="1" x14ac:dyDescent="0.2">
      <c r="X147" s="24"/>
    </row>
    <row r="148" spans="24:24" ht="15.75" customHeight="1" x14ac:dyDescent="0.2">
      <c r="X148" s="24"/>
    </row>
    <row r="149" spans="24:24" ht="15.75" customHeight="1" x14ac:dyDescent="0.2">
      <c r="X149" s="24"/>
    </row>
    <row r="150" spans="24:24" ht="15.75" customHeight="1" x14ac:dyDescent="0.2">
      <c r="X150" s="24"/>
    </row>
    <row r="151" spans="24:24" ht="15.75" customHeight="1" x14ac:dyDescent="0.2">
      <c r="X151" s="24"/>
    </row>
    <row r="152" spans="24:24" ht="15.75" customHeight="1" x14ac:dyDescent="0.2">
      <c r="X152" s="24"/>
    </row>
    <row r="153" spans="24:24" ht="15.75" customHeight="1" x14ac:dyDescent="0.2">
      <c r="X153" s="24"/>
    </row>
    <row r="154" spans="24:24" ht="15.75" customHeight="1" x14ac:dyDescent="0.2">
      <c r="X154" s="24"/>
    </row>
    <row r="155" spans="24:24" ht="15.75" customHeight="1" x14ac:dyDescent="0.2">
      <c r="X155" s="24"/>
    </row>
    <row r="156" spans="24:24" ht="15.75" customHeight="1" x14ac:dyDescent="0.2">
      <c r="X156" s="24"/>
    </row>
    <row r="157" spans="24:24" ht="15.75" customHeight="1" x14ac:dyDescent="0.2">
      <c r="X157" s="24"/>
    </row>
    <row r="158" spans="24:24" ht="15.75" customHeight="1" x14ac:dyDescent="0.2">
      <c r="X158" s="24"/>
    </row>
    <row r="159" spans="24:24" ht="15.75" customHeight="1" x14ac:dyDescent="0.2">
      <c r="X159" s="24"/>
    </row>
    <row r="160" spans="24:24" ht="15.75" customHeight="1" x14ac:dyDescent="0.2">
      <c r="X160" s="24"/>
    </row>
    <row r="161" spans="24:24" ht="15.75" customHeight="1" x14ac:dyDescent="0.2">
      <c r="X161" s="24"/>
    </row>
    <row r="162" spans="24:24" ht="15.75" customHeight="1" x14ac:dyDescent="0.2">
      <c r="X162" s="24"/>
    </row>
    <row r="163" spans="24:24" ht="15.75" customHeight="1" x14ac:dyDescent="0.2">
      <c r="X163" s="24"/>
    </row>
    <row r="164" spans="24:24" ht="15.75" customHeight="1" x14ac:dyDescent="0.2">
      <c r="X164" s="24"/>
    </row>
    <row r="165" spans="24:24" ht="15.75" customHeight="1" x14ac:dyDescent="0.2">
      <c r="X165" s="24"/>
    </row>
    <row r="166" spans="24:24" ht="15.75" customHeight="1" x14ac:dyDescent="0.2">
      <c r="X166" s="24"/>
    </row>
    <row r="167" spans="24:24" ht="15.75" customHeight="1" x14ac:dyDescent="0.2">
      <c r="X167" s="24"/>
    </row>
    <row r="168" spans="24:24" ht="15.75" customHeight="1" x14ac:dyDescent="0.2">
      <c r="X168" s="24"/>
    </row>
    <row r="169" spans="24:24" ht="15.75" customHeight="1" x14ac:dyDescent="0.2">
      <c r="X169" s="24"/>
    </row>
    <row r="170" spans="24:24" ht="15.75" customHeight="1" x14ac:dyDescent="0.2">
      <c r="X170" s="24"/>
    </row>
    <row r="171" spans="24:24" ht="15.75" customHeight="1" x14ac:dyDescent="0.2">
      <c r="X171" s="24"/>
    </row>
    <row r="172" spans="24:24" ht="15.75" customHeight="1" x14ac:dyDescent="0.2">
      <c r="X172" s="24"/>
    </row>
    <row r="173" spans="24:24" ht="15.75" customHeight="1" x14ac:dyDescent="0.2">
      <c r="X173" s="24"/>
    </row>
    <row r="174" spans="24:24" ht="15.75" customHeight="1" x14ac:dyDescent="0.2">
      <c r="X174" s="24"/>
    </row>
    <row r="175" spans="24:24" ht="15.75" customHeight="1" x14ac:dyDescent="0.2">
      <c r="X175" s="24"/>
    </row>
    <row r="176" spans="24:24" ht="15.75" customHeight="1" x14ac:dyDescent="0.2">
      <c r="X176" s="24"/>
    </row>
    <row r="177" spans="24:24" ht="15.75" customHeight="1" x14ac:dyDescent="0.2">
      <c r="X177" s="24"/>
    </row>
    <row r="178" spans="24:24" ht="15.75" customHeight="1" x14ac:dyDescent="0.2">
      <c r="X178" s="24"/>
    </row>
    <row r="179" spans="24:24" ht="15.75" customHeight="1" x14ac:dyDescent="0.2">
      <c r="X179" s="24"/>
    </row>
    <row r="180" spans="24:24" ht="15.75" customHeight="1" x14ac:dyDescent="0.2">
      <c r="X180" s="24"/>
    </row>
    <row r="181" spans="24:24" ht="15.75" customHeight="1" x14ac:dyDescent="0.2">
      <c r="X181" s="24"/>
    </row>
    <row r="182" spans="24:24" ht="15.75" customHeight="1" x14ac:dyDescent="0.2">
      <c r="X182" s="24"/>
    </row>
    <row r="183" spans="24:24" ht="15.75" customHeight="1" x14ac:dyDescent="0.2">
      <c r="X183" s="24"/>
    </row>
    <row r="184" spans="24:24" ht="15.75" customHeight="1" x14ac:dyDescent="0.2">
      <c r="X184" s="24"/>
    </row>
    <row r="185" spans="24:24" ht="15.75" customHeight="1" x14ac:dyDescent="0.2">
      <c r="X185" s="24"/>
    </row>
    <row r="186" spans="24:24" ht="15.75" customHeight="1" x14ac:dyDescent="0.2">
      <c r="X186" s="24"/>
    </row>
    <row r="187" spans="24:24" ht="15.75" customHeight="1" x14ac:dyDescent="0.2">
      <c r="X187" s="24"/>
    </row>
    <row r="188" spans="24:24" ht="15.75" customHeight="1" x14ac:dyDescent="0.2">
      <c r="X188" s="24"/>
    </row>
    <row r="189" spans="24:24" ht="15.75" customHeight="1" x14ac:dyDescent="0.2">
      <c r="X189" s="24"/>
    </row>
    <row r="190" spans="24:24" ht="15.75" customHeight="1" x14ac:dyDescent="0.2">
      <c r="X190" s="24"/>
    </row>
    <row r="191" spans="24:24" ht="15.75" customHeight="1" x14ac:dyDescent="0.2">
      <c r="X191" s="24"/>
    </row>
    <row r="192" spans="24:24" ht="15.75" customHeight="1" x14ac:dyDescent="0.2">
      <c r="X192" s="24"/>
    </row>
    <row r="193" spans="24:24" ht="15.75" customHeight="1" x14ac:dyDescent="0.2">
      <c r="X193" s="24"/>
    </row>
    <row r="194" spans="24:24" ht="15.75" customHeight="1" x14ac:dyDescent="0.2">
      <c r="X194" s="24"/>
    </row>
    <row r="195" spans="24:24" ht="15.75" customHeight="1" x14ac:dyDescent="0.2">
      <c r="X195" s="24"/>
    </row>
    <row r="196" spans="24:24" ht="15.75" customHeight="1" x14ac:dyDescent="0.2">
      <c r="X196" s="24"/>
    </row>
    <row r="197" spans="24:24" ht="15.75" customHeight="1" x14ac:dyDescent="0.2">
      <c r="X197" s="24"/>
    </row>
    <row r="198" spans="24:24" ht="15.75" customHeight="1" x14ac:dyDescent="0.2">
      <c r="X198" s="24"/>
    </row>
    <row r="199" spans="24:24" ht="15.75" customHeight="1" x14ac:dyDescent="0.2">
      <c r="X199" s="24"/>
    </row>
    <row r="200" spans="24:24" ht="15.75" customHeight="1" x14ac:dyDescent="0.2">
      <c r="X200" s="24"/>
    </row>
    <row r="201" spans="24:24" ht="15.75" customHeight="1" x14ac:dyDescent="0.2">
      <c r="X201" s="24"/>
    </row>
    <row r="202" spans="24:24" ht="15.75" customHeight="1" x14ac:dyDescent="0.2">
      <c r="X202" s="24"/>
    </row>
    <row r="203" spans="24:24" ht="15.75" customHeight="1" x14ac:dyDescent="0.2">
      <c r="X203" s="24"/>
    </row>
    <row r="204" spans="24:24" ht="15.75" customHeight="1" x14ac:dyDescent="0.2">
      <c r="X204" s="24"/>
    </row>
    <row r="205" spans="24:24" ht="15.75" customHeight="1" x14ac:dyDescent="0.2">
      <c r="X205" s="24"/>
    </row>
    <row r="206" spans="24:24" ht="15.75" customHeight="1" x14ac:dyDescent="0.2">
      <c r="X206" s="24"/>
    </row>
    <row r="207" spans="24:24" ht="15.75" customHeight="1" x14ac:dyDescent="0.2">
      <c r="X207" s="24"/>
    </row>
    <row r="208" spans="24:24" ht="15.75" customHeight="1" x14ac:dyDescent="0.2">
      <c r="X208" s="24"/>
    </row>
    <row r="209" spans="24:24" ht="15.75" customHeight="1" x14ac:dyDescent="0.2">
      <c r="X209" s="24"/>
    </row>
    <row r="210" spans="24:24" ht="15.75" customHeight="1" x14ac:dyDescent="0.2">
      <c r="X210" s="24"/>
    </row>
    <row r="211" spans="24:24" ht="15.75" customHeight="1" x14ac:dyDescent="0.2">
      <c r="X211" s="24"/>
    </row>
    <row r="212" spans="24:24" ht="15.75" customHeight="1" x14ac:dyDescent="0.2">
      <c r="X212" s="24"/>
    </row>
    <row r="213" spans="24:24" ht="15.75" customHeight="1" x14ac:dyDescent="0.2">
      <c r="X213" s="24"/>
    </row>
    <row r="214" spans="24:24" ht="15.75" customHeight="1" x14ac:dyDescent="0.2">
      <c r="X214" s="24"/>
    </row>
    <row r="215" spans="24:24" ht="15.75" customHeight="1" x14ac:dyDescent="0.2">
      <c r="X215" s="24"/>
    </row>
    <row r="216" spans="24:24" ht="15.75" customHeight="1" x14ac:dyDescent="0.2">
      <c r="X216" s="24"/>
    </row>
    <row r="217" spans="24:24" ht="15.75" customHeight="1" x14ac:dyDescent="0.2">
      <c r="X217" s="24"/>
    </row>
    <row r="218" spans="24:24" ht="15.75" customHeight="1" x14ac:dyDescent="0.2">
      <c r="X218" s="24"/>
    </row>
    <row r="219" spans="24:24" ht="15.75" customHeight="1" x14ac:dyDescent="0.2">
      <c r="X219" s="24"/>
    </row>
    <row r="220" spans="24:24" ht="15.75" customHeight="1" x14ac:dyDescent="0.2">
      <c r="X220" s="24"/>
    </row>
    <row r="221" spans="24:24" ht="15.75" customHeight="1" x14ac:dyDescent="0.2">
      <c r="X221" s="24"/>
    </row>
    <row r="222" spans="24:24" ht="15.75" customHeight="1" x14ac:dyDescent="0.2">
      <c r="X222" s="24"/>
    </row>
    <row r="223" spans="24:24" ht="15.75" customHeight="1" x14ac:dyDescent="0.2">
      <c r="X223" s="24"/>
    </row>
    <row r="224" spans="24:24" ht="15.75" customHeight="1" x14ac:dyDescent="0.2">
      <c r="X224" s="24"/>
    </row>
    <row r="225" spans="24:24" ht="15.75" customHeight="1" x14ac:dyDescent="0.2">
      <c r="X225" s="24"/>
    </row>
    <row r="226" spans="24:24" ht="15.75" customHeight="1" x14ac:dyDescent="0.2">
      <c r="X226" s="24"/>
    </row>
    <row r="227" spans="24:24" ht="15.75" customHeight="1" x14ac:dyDescent="0.2">
      <c r="X227" s="24"/>
    </row>
    <row r="228" spans="24:24" ht="15.75" customHeight="1" x14ac:dyDescent="0.2">
      <c r="X228" s="24"/>
    </row>
    <row r="229" spans="24:24" ht="15.75" customHeight="1" x14ac:dyDescent="0.2">
      <c r="X229" s="24"/>
    </row>
    <row r="230" spans="24:24" ht="15.75" customHeight="1" x14ac:dyDescent="0.2">
      <c r="X230" s="24"/>
    </row>
    <row r="231" spans="24:24" ht="15.75" customHeight="1" x14ac:dyDescent="0.2">
      <c r="X231" s="24"/>
    </row>
    <row r="232" spans="24:24" ht="15.75" customHeight="1" x14ac:dyDescent="0.2">
      <c r="X232" s="24"/>
    </row>
    <row r="233" spans="24:24" ht="15.75" customHeight="1" x14ac:dyDescent="0.2">
      <c r="X233" s="24"/>
    </row>
    <row r="234" spans="24:24" ht="15.75" customHeight="1" x14ac:dyDescent="0.2">
      <c r="X234" s="24"/>
    </row>
    <row r="235" spans="24:24" ht="15.75" customHeight="1" x14ac:dyDescent="0.2">
      <c r="X235" s="24"/>
    </row>
    <row r="236" spans="24:24" ht="15.75" customHeight="1" x14ac:dyDescent="0.2">
      <c r="X236" s="24"/>
    </row>
    <row r="237" spans="24:24" ht="15.75" customHeight="1" x14ac:dyDescent="0.2">
      <c r="X237" s="24"/>
    </row>
    <row r="238" spans="24:24" ht="15.75" customHeight="1" x14ac:dyDescent="0.2">
      <c r="X238" s="24"/>
    </row>
    <row r="239" spans="24:24" ht="15.75" customHeight="1" x14ac:dyDescent="0.2">
      <c r="X239" s="24"/>
    </row>
    <row r="240" spans="24:24" ht="15.75" customHeight="1" x14ac:dyDescent="0.2">
      <c r="X240" s="24"/>
    </row>
    <row r="241" spans="24:24" ht="15.75" customHeight="1" x14ac:dyDescent="0.2">
      <c r="X241" s="24"/>
    </row>
    <row r="242" spans="24:24" ht="15.75" customHeight="1" x14ac:dyDescent="0.2">
      <c r="X242" s="24"/>
    </row>
    <row r="243" spans="24:24" ht="15.75" customHeight="1" x14ac:dyDescent="0.2">
      <c r="X243" s="24"/>
    </row>
    <row r="244" spans="24:24" ht="15.75" customHeight="1" x14ac:dyDescent="0.2">
      <c r="X244" s="24"/>
    </row>
    <row r="245" spans="24:24" ht="15.75" customHeight="1" x14ac:dyDescent="0.2">
      <c r="X245" s="24"/>
    </row>
    <row r="246" spans="24:24" ht="15.75" customHeight="1" x14ac:dyDescent="0.2">
      <c r="X246" s="24"/>
    </row>
    <row r="247" spans="24:24" ht="15.75" customHeight="1" x14ac:dyDescent="0.2">
      <c r="X247" s="24"/>
    </row>
    <row r="248" spans="24:24" ht="15.75" customHeight="1" x14ac:dyDescent="0.2">
      <c r="X248" s="24"/>
    </row>
    <row r="249" spans="24:24" ht="15.75" customHeight="1" x14ac:dyDescent="0.2">
      <c r="X249" s="24"/>
    </row>
    <row r="250" spans="24:24" ht="15.75" customHeight="1" x14ac:dyDescent="0.2">
      <c r="X250" s="24"/>
    </row>
    <row r="251" spans="24:24" ht="15.75" customHeight="1" x14ac:dyDescent="0.2">
      <c r="X251" s="24"/>
    </row>
    <row r="252" spans="24:24" ht="15.75" customHeight="1" x14ac:dyDescent="0.2">
      <c r="X252" s="24"/>
    </row>
    <row r="253" spans="24:24" ht="15.75" customHeight="1" x14ac:dyDescent="0.2">
      <c r="X253" s="24"/>
    </row>
    <row r="254" spans="24:24" ht="15.75" customHeight="1" x14ac:dyDescent="0.2">
      <c r="X254" s="24"/>
    </row>
    <row r="255" spans="24:24" ht="15.75" customHeight="1" x14ac:dyDescent="0.2">
      <c r="X255" s="24"/>
    </row>
    <row r="256" spans="24:24" ht="15.75" customHeight="1" x14ac:dyDescent="0.2">
      <c r="X256" s="24"/>
    </row>
    <row r="257" spans="24:24" ht="15.75" customHeight="1" x14ac:dyDescent="0.2">
      <c r="X257" s="24"/>
    </row>
    <row r="258" spans="24:24" ht="15.75" customHeight="1" x14ac:dyDescent="0.2">
      <c r="X258" s="24"/>
    </row>
    <row r="259" spans="24:24" ht="15.75" customHeight="1" x14ac:dyDescent="0.2">
      <c r="X259" s="24"/>
    </row>
    <row r="260" spans="24:24" ht="15.75" customHeight="1" x14ac:dyDescent="0.2">
      <c r="X260" s="24"/>
    </row>
    <row r="261" spans="24:24" ht="15.75" customHeight="1" x14ac:dyDescent="0.2">
      <c r="X261" s="24"/>
    </row>
    <row r="262" spans="24:24" ht="15.75" customHeight="1" x14ac:dyDescent="0.2">
      <c r="X262" s="24"/>
    </row>
    <row r="263" spans="24:24" ht="15.75" customHeight="1" x14ac:dyDescent="0.2">
      <c r="X263" s="24"/>
    </row>
    <row r="264" spans="24:24" ht="15.75" customHeight="1" x14ac:dyDescent="0.2">
      <c r="X264" s="24"/>
    </row>
    <row r="265" spans="24:24" ht="15.75" customHeight="1" x14ac:dyDescent="0.2">
      <c r="X265" s="24"/>
    </row>
    <row r="266" spans="24:24" ht="15.75" customHeight="1" x14ac:dyDescent="0.2">
      <c r="X266" s="24"/>
    </row>
    <row r="267" spans="24:24" ht="15.75" customHeight="1" x14ac:dyDescent="0.2">
      <c r="X267" s="24"/>
    </row>
    <row r="268" spans="24:24" ht="15.75" customHeight="1" x14ac:dyDescent="0.2">
      <c r="X268" s="24"/>
    </row>
    <row r="269" spans="24:24" ht="15.75" customHeight="1" x14ac:dyDescent="0.2">
      <c r="X269" s="24"/>
    </row>
    <row r="270" spans="24:24" ht="15.75" customHeight="1" x14ac:dyDescent="0.2">
      <c r="X270" s="24"/>
    </row>
    <row r="271" spans="24:24" ht="15.75" customHeight="1" x14ac:dyDescent="0.2">
      <c r="X271" s="24"/>
    </row>
    <row r="272" spans="24:24" ht="15.75" customHeight="1" x14ac:dyDescent="0.2">
      <c r="X272" s="24"/>
    </row>
    <row r="273" spans="24:24" ht="15.75" customHeight="1" x14ac:dyDescent="0.2">
      <c r="X273" s="24"/>
    </row>
    <row r="274" spans="24:24" ht="15.75" customHeight="1" x14ac:dyDescent="0.2">
      <c r="X274" s="24"/>
    </row>
    <row r="275" spans="24:24" ht="15.75" customHeight="1" x14ac:dyDescent="0.2">
      <c r="X275" s="24"/>
    </row>
    <row r="276" spans="24:24" ht="15.75" customHeight="1" x14ac:dyDescent="0.2">
      <c r="X276" s="24"/>
    </row>
    <row r="277" spans="24:24" ht="15.75" customHeight="1" x14ac:dyDescent="0.2">
      <c r="X277" s="24"/>
    </row>
    <row r="278" spans="24:24" ht="15.75" customHeight="1" x14ac:dyDescent="0.2">
      <c r="X278" s="24"/>
    </row>
    <row r="279" spans="24:24" ht="15.75" customHeight="1" x14ac:dyDescent="0.2">
      <c r="X279" s="24"/>
    </row>
    <row r="280" spans="24:24" ht="15.75" customHeight="1" x14ac:dyDescent="0.2">
      <c r="X280" s="24"/>
    </row>
    <row r="281" spans="24:24" ht="15.75" customHeight="1" x14ac:dyDescent="0.2">
      <c r="X281" s="24"/>
    </row>
    <row r="282" spans="24:24" ht="15.75" customHeight="1" x14ac:dyDescent="0.2">
      <c r="X282" s="24"/>
    </row>
    <row r="283" spans="24:24" ht="15.75" customHeight="1" x14ac:dyDescent="0.2">
      <c r="X283" s="24"/>
    </row>
    <row r="284" spans="24:24" ht="15.75" customHeight="1" x14ac:dyDescent="0.2">
      <c r="X284" s="24"/>
    </row>
    <row r="285" spans="24:24" ht="15.75" customHeight="1" x14ac:dyDescent="0.2">
      <c r="X285" s="24"/>
    </row>
    <row r="286" spans="24:24" ht="15.75" customHeight="1" x14ac:dyDescent="0.2">
      <c r="X286" s="24"/>
    </row>
    <row r="287" spans="24:24" ht="15.75" customHeight="1" x14ac:dyDescent="0.2">
      <c r="X287" s="24"/>
    </row>
    <row r="288" spans="24:24" ht="15.75" customHeight="1" x14ac:dyDescent="0.2">
      <c r="X288" s="24"/>
    </row>
    <row r="289" spans="24:24" ht="15.75" customHeight="1" x14ac:dyDescent="0.2">
      <c r="X289" s="24"/>
    </row>
    <row r="290" spans="24:24" ht="15.75" customHeight="1" x14ac:dyDescent="0.2">
      <c r="X290" s="24"/>
    </row>
    <row r="291" spans="24:24" ht="15.75" customHeight="1" x14ac:dyDescent="0.2">
      <c r="X291" s="24"/>
    </row>
    <row r="292" spans="24:24" ht="15.75" customHeight="1" x14ac:dyDescent="0.2">
      <c r="X292" s="24"/>
    </row>
    <row r="293" spans="24:24" ht="15.75" customHeight="1" x14ac:dyDescent="0.2">
      <c r="X293" s="24"/>
    </row>
    <row r="294" spans="24:24" ht="15.75" customHeight="1" x14ac:dyDescent="0.2">
      <c r="X294" s="24"/>
    </row>
    <row r="295" spans="24:24" ht="15.75" customHeight="1" x14ac:dyDescent="0.2">
      <c r="X295" s="24"/>
    </row>
    <row r="296" spans="24:24" ht="15.75" customHeight="1" x14ac:dyDescent="0.2">
      <c r="X296" s="24"/>
    </row>
    <row r="297" spans="24:24" ht="15.75" customHeight="1" x14ac:dyDescent="0.2">
      <c r="X297" s="24"/>
    </row>
    <row r="298" spans="24:24" ht="15.75" customHeight="1" x14ac:dyDescent="0.2">
      <c r="X298" s="24"/>
    </row>
    <row r="299" spans="24:24" ht="15.75" customHeight="1" x14ac:dyDescent="0.2">
      <c r="X299" s="24"/>
    </row>
    <row r="300" spans="24:24" ht="15.75" customHeight="1" x14ac:dyDescent="0.2">
      <c r="X300" s="24"/>
    </row>
    <row r="301" spans="24:24" ht="15.75" customHeight="1" x14ac:dyDescent="0.2">
      <c r="X301" s="24"/>
    </row>
    <row r="302" spans="24:24" ht="15.75" customHeight="1" x14ac:dyDescent="0.2">
      <c r="X302" s="24"/>
    </row>
    <row r="303" spans="24:24" ht="15.75" customHeight="1" x14ac:dyDescent="0.2">
      <c r="X303" s="24"/>
    </row>
    <row r="304" spans="24:24" ht="15.75" customHeight="1" x14ac:dyDescent="0.2">
      <c r="X304" s="24"/>
    </row>
    <row r="305" spans="24:24" ht="15.75" customHeight="1" x14ac:dyDescent="0.2">
      <c r="X305" s="24"/>
    </row>
    <row r="306" spans="24:24" ht="15.75" customHeight="1" x14ac:dyDescent="0.2">
      <c r="X306" s="24"/>
    </row>
    <row r="307" spans="24:24" ht="15.75" customHeight="1" x14ac:dyDescent="0.2">
      <c r="X307" s="24"/>
    </row>
    <row r="308" spans="24:24" ht="15.75" customHeight="1" x14ac:dyDescent="0.2">
      <c r="X308" s="24"/>
    </row>
    <row r="309" spans="24:24" ht="15.75" customHeight="1" x14ac:dyDescent="0.2">
      <c r="X309" s="24"/>
    </row>
    <row r="310" spans="24:24" ht="15.75" customHeight="1" x14ac:dyDescent="0.2">
      <c r="X310" s="24"/>
    </row>
    <row r="311" spans="24:24" ht="15.75" customHeight="1" x14ac:dyDescent="0.2">
      <c r="X311" s="24"/>
    </row>
    <row r="312" spans="24:24" ht="15.75" customHeight="1" x14ac:dyDescent="0.2">
      <c r="X312" s="24"/>
    </row>
    <row r="313" spans="24:24" ht="15.75" customHeight="1" x14ac:dyDescent="0.2">
      <c r="X313" s="24"/>
    </row>
    <row r="314" spans="24:24" ht="15.75" customHeight="1" x14ac:dyDescent="0.2">
      <c r="X314" s="24"/>
    </row>
    <row r="315" spans="24:24" ht="15.75" customHeight="1" x14ac:dyDescent="0.2">
      <c r="X315" s="24"/>
    </row>
    <row r="316" spans="24:24" ht="15.75" customHeight="1" x14ac:dyDescent="0.2">
      <c r="X316" s="24"/>
    </row>
    <row r="317" spans="24:24" ht="15.75" customHeight="1" x14ac:dyDescent="0.2">
      <c r="X317" s="24"/>
    </row>
    <row r="318" spans="24:24" ht="15.75" customHeight="1" x14ac:dyDescent="0.2">
      <c r="X318" s="24"/>
    </row>
    <row r="319" spans="24:24" ht="15.75" customHeight="1" x14ac:dyDescent="0.2">
      <c r="X319" s="24"/>
    </row>
    <row r="320" spans="24:24" ht="15.75" customHeight="1" x14ac:dyDescent="0.2">
      <c r="X320" s="24"/>
    </row>
    <row r="321" spans="24:24" ht="15.75" customHeight="1" x14ac:dyDescent="0.2">
      <c r="X321" s="24"/>
    </row>
    <row r="322" spans="24:24" ht="15.75" customHeight="1" x14ac:dyDescent="0.2">
      <c r="X322" s="24"/>
    </row>
    <row r="323" spans="24:24" ht="15.75" customHeight="1" x14ac:dyDescent="0.2">
      <c r="X323" s="24"/>
    </row>
    <row r="324" spans="24:24" ht="15.75" customHeight="1" x14ac:dyDescent="0.2">
      <c r="X324" s="24"/>
    </row>
    <row r="325" spans="24:24" ht="15.75" customHeight="1" x14ac:dyDescent="0.2">
      <c r="X325" s="24"/>
    </row>
    <row r="326" spans="24:24" ht="15.75" customHeight="1" x14ac:dyDescent="0.2">
      <c r="X326" s="24"/>
    </row>
    <row r="327" spans="24:24" ht="15.75" customHeight="1" x14ac:dyDescent="0.2">
      <c r="X327" s="24"/>
    </row>
    <row r="328" spans="24:24" ht="15.75" customHeight="1" x14ac:dyDescent="0.2">
      <c r="X328" s="24"/>
    </row>
    <row r="329" spans="24:24" ht="15.75" customHeight="1" x14ac:dyDescent="0.2">
      <c r="X329" s="24"/>
    </row>
    <row r="330" spans="24:24" ht="15.75" customHeight="1" x14ac:dyDescent="0.2">
      <c r="X330" s="24"/>
    </row>
    <row r="331" spans="24:24" ht="15.75" customHeight="1" x14ac:dyDescent="0.2">
      <c r="X331" s="24"/>
    </row>
    <row r="332" spans="24:24" ht="15.75" customHeight="1" x14ac:dyDescent="0.2">
      <c r="X332" s="24"/>
    </row>
    <row r="333" spans="24:24" ht="15.75" customHeight="1" x14ac:dyDescent="0.2">
      <c r="X333" s="24"/>
    </row>
    <row r="334" spans="24:24" ht="15.75" customHeight="1" x14ac:dyDescent="0.2">
      <c r="X334" s="24"/>
    </row>
    <row r="335" spans="24:24" ht="15.75" customHeight="1" x14ac:dyDescent="0.2">
      <c r="X335" s="24"/>
    </row>
    <row r="336" spans="24:24" ht="15.75" customHeight="1" x14ac:dyDescent="0.2">
      <c r="X336" s="24"/>
    </row>
    <row r="337" spans="24:24" ht="15.75" customHeight="1" x14ac:dyDescent="0.2">
      <c r="X337" s="24"/>
    </row>
    <row r="338" spans="24:24" ht="15.75" customHeight="1" x14ac:dyDescent="0.2">
      <c r="X338" s="24"/>
    </row>
    <row r="339" spans="24:24" ht="15.75" customHeight="1" x14ac:dyDescent="0.2">
      <c r="X339" s="24"/>
    </row>
    <row r="340" spans="24:24" ht="15.75" customHeight="1" x14ac:dyDescent="0.2">
      <c r="X340" s="24"/>
    </row>
    <row r="341" spans="24:24" ht="15.75" customHeight="1" x14ac:dyDescent="0.2">
      <c r="X341" s="24"/>
    </row>
    <row r="342" spans="24:24" ht="15.75" customHeight="1" x14ac:dyDescent="0.2">
      <c r="X342" s="24"/>
    </row>
    <row r="343" spans="24:24" ht="15.75" customHeight="1" x14ac:dyDescent="0.2">
      <c r="X343" s="24"/>
    </row>
    <row r="344" spans="24:24" ht="15.75" customHeight="1" x14ac:dyDescent="0.2">
      <c r="X344" s="24"/>
    </row>
    <row r="345" spans="24:24" ht="15.75" customHeight="1" x14ac:dyDescent="0.2">
      <c r="X345" s="24"/>
    </row>
    <row r="346" spans="24:24" ht="15.75" customHeight="1" x14ac:dyDescent="0.2">
      <c r="X346" s="24"/>
    </row>
    <row r="347" spans="24:24" ht="15.75" customHeight="1" x14ac:dyDescent="0.2">
      <c r="X347" s="24"/>
    </row>
    <row r="348" spans="24:24" ht="15.75" customHeight="1" x14ac:dyDescent="0.2">
      <c r="X348" s="24"/>
    </row>
    <row r="349" spans="24:24" ht="15.75" customHeight="1" x14ac:dyDescent="0.2">
      <c r="X349" s="24"/>
    </row>
    <row r="350" spans="24:24" ht="15.75" customHeight="1" x14ac:dyDescent="0.2">
      <c r="X350" s="24"/>
    </row>
    <row r="351" spans="24:24" ht="15.75" customHeight="1" x14ac:dyDescent="0.2">
      <c r="X351" s="24"/>
    </row>
    <row r="352" spans="24:24" ht="15.75" customHeight="1" x14ac:dyDescent="0.2">
      <c r="X352" s="24"/>
    </row>
    <row r="353" spans="24:24" ht="15.75" customHeight="1" x14ac:dyDescent="0.2">
      <c r="X353" s="24"/>
    </row>
    <row r="354" spans="24:24" ht="15.75" customHeight="1" x14ac:dyDescent="0.2">
      <c r="X354" s="24"/>
    </row>
    <row r="355" spans="24:24" ht="15.75" customHeight="1" x14ac:dyDescent="0.2">
      <c r="X355" s="24"/>
    </row>
    <row r="356" spans="24:24" ht="15.75" customHeight="1" x14ac:dyDescent="0.2">
      <c r="X356" s="24"/>
    </row>
    <row r="357" spans="24:24" ht="15.75" customHeight="1" x14ac:dyDescent="0.2">
      <c r="X357" s="24"/>
    </row>
    <row r="358" spans="24:24" ht="15.75" customHeight="1" x14ac:dyDescent="0.2">
      <c r="X358" s="24"/>
    </row>
    <row r="359" spans="24:24" ht="15.75" customHeight="1" x14ac:dyDescent="0.2">
      <c r="X359" s="24"/>
    </row>
    <row r="360" spans="24:24" ht="15.75" customHeight="1" x14ac:dyDescent="0.2">
      <c r="X360" s="24"/>
    </row>
    <row r="361" spans="24:24" ht="15.75" customHeight="1" x14ac:dyDescent="0.2">
      <c r="X361" s="24"/>
    </row>
    <row r="362" spans="24:24" ht="15.75" customHeight="1" x14ac:dyDescent="0.2">
      <c r="X362" s="24"/>
    </row>
    <row r="363" spans="24:24" ht="15.75" customHeight="1" x14ac:dyDescent="0.2">
      <c r="X363" s="24"/>
    </row>
    <row r="364" spans="24:24" ht="15.75" customHeight="1" x14ac:dyDescent="0.2">
      <c r="X364" s="24"/>
    </row>
    <row r="365" spans="24:24" ht="15.75" customHeight="1" x14ac:dyDescent="0.2">
      <c r="X365" s="24"/>
    </row>
    <row r="366" spans="24:24" ht="15.75" customHeight="1" x14ac:dyDescent="0.2">
      <c r="X366" s="24"/>
    </row>
    <row r="367" spans="24:24" ht="15.75" customHeight="1" x14ac:dyDescent="0.2">
      <c r="X367" s="24"/>
    </row>
    <row r="368" spans="24:24" ht="15.75" customHeight="1" x14ac:dyDescent="0.2">
      <c r="X368" s="24"/>
    </row>
    <row r="369" spans="24:24" ht="15.75" customHeight="1" x14ac:dyDescent="0.2">
      <c r="X369" s="24"/>
    </row>
    <row r="370" spans="24:24" ht="15.75" customHeight="1" x14ac:dyDescent="0.2">
      <c r="X370" s="24"/>
    </row>
    <row r="371" spans="24:24" ht="15.75" customHeight="1" x14ac:dyDescent="0.2">
      <c r="X371" s="24"/>
    </row>
    <row r="372" spans="24:24" ht="15.75" customHeight="1" x14ac:dyDescent="0.2">
      <c r="X372" s="24"/>
    </row>
    <row r="373" spans="24:24" ht="15.75" customHeight="1" x14ac:dyDescent="0.2">
      <c r="X373" s="24"/>
    </row>
    <row r="374" spans="24:24" ht="15.75" customHeight="1" x14ac:dyDescent="0.2">
      <c r="X374" s="24"/>
    </row>
    <row r="375" spans="24:24" ht="15.75" customHeight="1" x14ac:dyDescent="0.2">
      <c r="X375" s="24"/>
    </row>
    <row r="376" spans="24:24" ht="15.75" customHeight="1" x14ac:dyDescent="0.2">
      <c r="X376" s="24"/>
    </row>
    <row r="377" spans="24:24" ht="15.75" customHeight="1" x14ac:dyDescent="0.2">
      <c r="X377" s="24"/>
    </row>
    <row r="378" spans="24:24" ht="15.75" customHeight="1" x14ac:dyDescent="0.2">
      <c r="X378" s="24"/>
    </row>
    <row r="379" spans="24:24" ht="15.75" customHeight="1" x14ac:dyDescent="0.2">
      <c r="X379" s="24"/>
    </row>
    <row r="380" spans="24:24" ht="15.75" customHeight="1" x14ac:dyDescent="0.2">
      <c r="X380" s="24"/>
    </row>
    <row r="381" spans="24:24" ht="15.75" customHeight="1" x14ac:dyDescent="0.2">
      <c r="X381" s="24"/>
    </row>
    <row r="382" spans="24:24" ht="15.75" customHeight="1" x14ac:dyDescent="0.2">
      <c r="X382" s="24"/>
    </row>
    <row r="383" spans="24:24" ht="15.75" customHeight="1" x14ac:dyDescent="0.2">
      <c r="X383" s="24"/>
    </row>
    <row r="384" spans="24:24" ht="15.75" customHeight="1" x14ac:dyDescent="0.2">
      <c r="X384" s="24"/>
    </row>
    <row r="385" spans="24:24" ht="15.75" customHeight="1" x14ac:dyDescent="0.2">
      <c r="X385" s="24"/>
    </row>
    <row r="386" spans="24:24" ht="15.75" customHeight="1" x14ac:dyDescent="0.2">
      <c r="X386" s="24"/>
    </row>
    <row r="387" spans="24:24" ht="15.75" customHeight="1" x14ac:dyDescent="0.2">
      <c r="X387" s="24"/>
    </row>
    <row r="388" spans="24:24" ht="15.75" customHeight="1" x14ac:dyDescent="0.2">
      <c r="X388" s="24"/>
    </row>
    <row r="389" spans="24:24" ht="15.75" customHeight="1" x14ac:dyDescent="0.2">
      <c r="X389" s="24"/>
    </row>
    <row r="390" spans="24:24" ht="15.75" customHeight="1" x14ac:dyDescent="0.2">
      <c r="X390" s="24"/>
    </row>
    <row r="391" spans="24:24" ht="15.75" customHeight="1" x14ac:dyDescent="0.2">
      <c r="X391" s="24"/>
    </row>
    <row r="392" spans="24:24" ht="15.75" customHeight="1" x14ac:dyDescent="0.2">
      <c r="X392" s="24"/>
    </row>
    <row r="393" spans="24:24" ht="15.75" customHeight="1" x14ac:dyDescent="0.2">
      <c r="X393" s="24"/>
    </row>
    <row r="394" spans="24:24" ht="15.75" customHeight="1" x14ac:dyDescent="0.2">
      <c r="X394" s="24"/>
    </row>
    <row r="395" spans="24:24" ht="15.75" customHeight="1" x14ac:dyDescent="0.2">
      <c r="X395" s="24"/>
    </row>
    <row r="396" spans="24:24" ht="15.75" customHeight="1" x14ac:dyDescent="0.2">
      <c r="X396" s="24"/>
    </row>
    <row r="397" spans="24:24" ht="15.75" customHeight="1" x14ac:dyDescent="0.2">
      <c r="X397" s="24"/>
    </row>
    <row r="398" spans="24:24" ht="15.75" customHeight="1" x14ac:dyDescent="0.2">
      <c r="X398" s="24"/>
    </row>
    <row r="399" spans="24:24" ht="15.75" customHeight="1" x14ac:dyDescent="0.2">
      <c r="X399" s="24"/>
    </row>
    <row r="400" spans="24:24" ht="15.75" customHeight="1" x14ac:dyDescent="0.2">
      <c r="X400" s="24"/>
    </row>
    <row r="401" spans="24:24" ht="15.75" customHeight="1" x14ac:dyDescent="0.2">
      <c r="X401" s="24"/>
    </row>
    <row r="402" spans="24:24" ht="15.75" customHeight="1" x14ac:dyDescent="0.2">
      <c r="X402" s="24"/>
    </row>
    <row r="403" spans="24:24" ht="15.75" customHeight="1" x14ac:dyDescent="0.2">
      <c r="X403" s="24"/>
    </row>
    <row r="404" spans="24:24" ht="15.75" customHeight="1" x14ac:dyDescent="0.2">
      <c r="X404" s="24"/>
    </row>
    <row r="405" spans="24:24" ht="15.75" customHeight="1" x14ac:dyDescent="0.2">
      <c r="X405" s="24"/>
    </row>
    <row r="406" spans="24:24" ht="15.75" customHeight="1" x14ac:dyDescent="0.2">
      <c r="X406" s="24"/>
    </row>
    <row r="407" spans="24:24" ht="15.75" customHeight="1" x14ac:dyDescent="0.2">
      <c r="X407" s="24"/>
    </row>
    <row r="408" spans="24:24" ht="15.75" customHeight="1" x14ac:dyDescent="0.2">
      <c r="X408" s="24"/>
    </row>
    <row r="409" spans="24:24" ht="15.75" customHeight="1" x14ac:dyDescent="0.2">
      <c r="X409" s="24"/>
    </row>
    <row r="410" spans="24:24" ht="15.75" customHeight="1" x14ac:dyDescent="0.2">
      <c r="X410" s="24"/>
    </row>
    <row r="411" spans="24:24" ht="15.75" customHeight="1" x14ac:dyDescent="0.2">
      <c r="X411" s="24"/>
    </row>
    <row r="412" spans="24:24" ht="15.75" customHeight="1" x14ac:dyDescent="0.2">
      <c r="X412" s="24"/>
    </row>
    <row r="413" spans="24:24" ht="15.75" customHeight="1" x14ac:dyDescent="0.2">
      <c r="X413" s="24"/>
    </row>
    <row r="414" spans="24:24" ht="15.75" customHeight="1" x14ac:dyDescent="0.2">
      <c r="X414" s="24"/>
    </row>
    <row r="415" spans="24:24" ht="15.75" customHeight="1" x14ac:dyDescent="0.2">
      <c r="X415" s="24"/>
    </row>
    <row r="416" spans="24:24" ht="15.75" customHeight="1" x14ac:dyDescent="0.2">
      <c r="X416" s="24"/>
    </row>
    <row r="417" spans="24:24" ht="15.75" customHeight="1" x14ac:dyDescent="0.2">
      <c r="X417" s="24"/>
    </row>
    <row r="418" spans="24:24" ht="15.75" customHeight="1" x14ac:dyDescent="0.2">
      <c r="X418" s="24"/>
    </row>
    <row r="419" spans="24:24" ht="15.75" customHeight="1" x14ac:dyDescent="0.2">
      <c r="X419" s="24"/>
    </row>
    <row r="420" spans="24:24" ht="15.75" customHeight="1" x14ac:dyDescent="0.2">
      <c r="X420" s="24"/>
    </row>
    <row r="421" spans="24:24" ht="15.75" customHeight="1" x14ac:dyDescent="0.2">
      <c r="X421" s="24"/>
    </row>
    <row r="422" spans="24:24" ht="15.75" customHeight="1" x14ac:dyDescent="0.2">
      <c r="X422" s="24"/>
    </row>
    <row r="423" spans="24:24" ht="15.75" customHeight="1" x14ac:dyDescent="0.2">
      <c r="X423" s="24"/>
    </row>
    <row r="424" spans="24:24" ht="15.75" customHeight="1" x14ac:dyDescent="0.2">
      <c r="X424" s="24"/>
    </row>
    <row r="425" spans="24:24" ht="15.75" customHeight="1" x14ac:dyDescent="0.2">
      <c r="X425" s="24"/>
    </row>
    <row r="426" spans="24:24" ht="15.75" customHeight="1" x14ac:dyDescent="0.2">
      <c r="X426" s="24"/>
    </row>
    <row r="427" spans="24:24" ht="15.75" customHeight="1" x14ac:dyDescent="0.2">
      <c r="X427" s="24"/>
    </row>
    <row r="428" spans="24:24" ht="15.75" customHeight="1" x14ac:dyDescent="0.2">
      <c r="X428" s="24"/>
    </row>
    <row r="429" spans="24:24" ht="15.75" customHeight="1" x14ac:dyDescent="0.2">
      <c r="X429" s="24"/>
    </row>
    <row r="430" spans="24:24" ht="15.75" customHeight="1" x14ac:dyDescent="0.2">
      <c r="X430" s="24"/>
    </row>
    <row r="431" spans="24:24" ht="15.75" customHeight="1" x14ac:dyDescent="0.2">
      <c r="X431" s="24"/>
    </row>
    <row r="432" spans="24:24" ht="15.75" customHeight="1" x14ac:dyDescent="0.2">
      <c r="X432" s="24"/>
    </row>
    <row r="433" spans="24:24" ht="15.75" customHeight="1" x14ac:dyDescent="0.2">
      <c r="X433" s="24"/>
    </row>
    <row r="434" spans="24:24" ht="15.75" customHeight="1" x14ac:dyDescent="0.2">
      <c r="X434" s="24"/>
    </row>
    <row r="435" spans="24:24" ht="15.75" customHeight="1" x14ac:dyDescent="0.2">
      <c r="X435" s="24"/>
    </row>
    <row r="436" spans="24:24" ht="15.75" customHeight="1" x14ac:dyDescent="0.2">
      <c r="X436" s="24"/>
    </row>
    <row r="437" spans="24:24" ht="15.75" customHeight="1" x14ac:dyDescent="0.2">
      <c r="X437" s="24"/>
    </row>
    <row r="438" spans="24:24" ht="15.75" customHeight="1" x14ac:dyDescent="0.2">
      <c r="X438" s="24"/>
    </row>
    <row r="439" spans="24:24" ht="15.75" customHeight="1" x14ac:dyDescent="0.2">
      <c r="X439" s="24"/>
    </row>
    <row r="440" spans="24:24" ht="15.75" customHeight="1" x14ac:dyDescent="0.2">
      <c r="X440" s="24"/>
    </row>
    <row r="441" spans="24:24" ht="15.75" customHeight="1" x14ac:dyDescent="0.2">
      <c r="X441" s="24"/>
    </row>
    <row r="442" spans="24:24" ht="15.75" customHeight="1" x14ac:dyDescent="0.2">
      <c r="X442" s="24"/>
    </row>
    <row r="443" spans="24:24" ht="15.75" customHeight="1" x14ac:dyDescent="0.2">
      <c r="X443" s="24"/>
    </row>
    <row r="444" spans="24:24" ht="15.75" customHeight="1" x14ac:dyDescent="0.2">
      <c r="X444" s="24"/>
    </row>
    <row r="445" spans="24:24" ht="15.75" customHeight="1" x14ac:dyDescent="0.2">
      <c r="X445" s="24"/>
    </row>
    <row r="446" spans="24:24" ht="15.75" customHeight="1" x14ac:dyDescent="0.2">
      <c r="X446" s="24"/>
    </row>
    <row r="447" spans="24:24" ht="15.75" customHeight="1" x14ac:dyDescent="0.2">
      <c r="X447" s="24"/>
    </row>
    <row r="448" spans="24:24" ht="15.75" customHeight="1" x14ac:dyDescent="0.2">
      <c r="X448" s="24"/>
    </row>
    <row r="449" spans="24:24" ht="15.75" customHeight="1" x14ac:dyDescent="0.2">
      <c r="X449" s="24"/>
    </row>
    <row r="450" spans="24:24" ht="15.75" customHeight="1" x14ac:dyDescent="0.2">
      <c r="X450" s="24"/>
    </row>
    <row r="451" spans="24:24" ht="15.75" customHeight="1" x14ac:dyDescent="0.2">
      <c r="X451" s="24"/>
    </row>
    <row r="452" spans="24:24" ht="15.75" customHeight="1" x14ac:dyDescent="0.2">
      <c r="X452" s="24"/>
    </row>
    <row r="453" spans="24:24" ht="15.75" customHeight="1" x14ac:dyDescent="0.2">
      <c r="X453" s="24"/>
    </row>
    <row r="454" spans="24:24" ht="15.75" customHeight="1" x14ac:dyDescent="0.2">
      <c r="X454" s="24"/>
    </row>
    <row r="455" spans="24:24" ht="15.75" customHeight="1" x14ac:dyDescent="0.2">
      <c r="X455" s="24"/>
    </row>
    <row r="456" spans="24:24" ht="15.75" customHeight="1" x14ac:dyDescent="0.2">
      <c r="X456" s="24"/>
    </row>
    <row r="457" spans="24:24" ht="15.75" customHeight="1" x14ac:dyDescent="0.2">
      <c r="X457" s="24"/>
    </row>
    <row r="458" spans="24:24" ht="15.75" customHeight="1" x14ac:dyDescent="0.2">
      <c r="X458" s="24"/>
    </row>
    <row r="459" spans="24:24" ht="15.75" customHeight="1" x14ac:dyDescent="0.2">
      <c r="X459" s="24"/>
    </row>
    <row r="460" spans="24:24" ht="15.75" customHeight="1" x14ac:dyDescent="0.2">
      <c r="X460" s="24"/>
    </row>
    <row r="461" spans="24:24" ht="15.75" customHeight="1" x14ac:dyDescent="0.2">
      <c r="X461" s="24"/>
    </row>
    <row r="462" spans="24:24" ht="15.75" customHeight="1" x14ac:dyDescent="0.2">
      <c r="X462" s="24"/>
    </row>
    <row r="463" spans="24:24" ht="15.75" customHeight="1" x14ac:dyDescent="0.2">
      <c r="X463" s="24"/>
    </row>
    <row r="464" spans="24:24" ht="15.75" customHeight="1" x14ac:dyDescent="0.2">
      <c r="X464" s="24"/>
    </row>
    <row r="465" spans="24:24" ht="15.75" customHeight="1" x14ac:dyDescent="0.2">
      <c r="X465" s="24"/>
    </row>
    <row r="466" spans="24:24" ht="15.75" customHeight="1" x14ac:dyDescent="0.2">
      <c r="X466" s="24"/>
    </row>
    <row r="467" spans="24:24" ht="15.75" customHeight="1" x14ac:dyDescent="0.2">
      <c r="X467" s="24"/>
    </row>
    <row r="468" spans="24:24" ht="15.75" customHeight="1" x14ac:dyDescent="0.2">
      <c r="X468" s="24"/>
    </row>
    <row r="469" spans="24:24" ht="15.75" customHeight="1" x14ac:dyDescent="0.2">
      <c r="X469" s="24"/>
    </row>
    <row r="470" spans="24:24" ht="15.75" customHeight="1" x14ac:dyDescent="0.2">
      <c r="X470" s="24"/>
    </row>
    <row r="471" spans="24:24" ht="15.75" customHeight="1" x14ac:dyDescent="0.2">
      <c r="X471" s="24"/>
    </row>
    <row r="472" spans="24:24" ht="15.75" customHeight="1" x14ac:dyDescent="0.2">
      <c r="X472" s="24"/>
    </row>
    <row r="473" spans="24:24" ht="15.75" customHeight="1" x14ac:dyDescent="0.2">
      <c r="X473" s="24"/>
    </row>
    <row r="474" spans="24:24" ht="15.75" customHeight="1" x14ac:dyDescent="0.2">
      <c r="X474" s="24"/>
    </row>
    <row r="475" spans="24:24" ht="15.75" customHeight="1" x14ac:dyDescent="0.2">
      <c r="X475" s="24"/>
    </row>
    <row r="476" spans="24:24" ht="15.75" customHeight="1" x14ac:dyDescent="0.2">
      <c r="X476" s="24"/>
    </row>
    <row r="477" spans="24:24" ht="15.75" customHeight="1" x14ac:dyDescent="0.2">
      <c r="X477" s="24"/>
    </row>
    <row r="478" spans="24:24" ht="15.75" customHeight="1" x14ac:dyDescent="0.2">
      <c r="X478" s="24"/>
    </row>
    <row r="479" spans="24:24" ht="15.75" customHeight="1" x14ac:dyDescent="0.2">
      <c r="X479" s="24"/>
    </row>
    <row r="480" spans="24:24" ht="15.75" customHeight="1" x14ac:dyDescent="0.2">
      <c r="X480" s="24"/>
    </row>
    <row r="481" spans="24:24" ht="15.75" customHeight="1" x14ac:dyDescent="0.2">
      <c r="X481" s="24"/>
    </row>
    <row r="482" spans="24:24" ht="15.75" customHeight="1" x14ac:dyDescent="0.2">
      <c r="X482" s="24"/>
    </row>
    <row r="483" spans="24:24" ht="15.75" customHeight="1" x14ac:dyDescent="0.2">
      <c r="X483" s="24"/>
    </row>
    <row r="484" spans="24:24" ht="15.75" customHeight="1" x14ac:dyDescent="0.2">
      <c r="X484" s="24"/>
    </row>
    <row r="485" spans="24:24" ht="15.75" customHeight="1" x14ac:dyDescent="0.2">
      <c r="X485" s="24"/>
    </row>
    <row r="486" spans="24:24" ht="15.75" customHeight="1" x14ac:dyDescent="0.2">
      <c r="X486" s="24"/>
    </row>
    <row r="487" spans="24:24" ht="15.75" customHeight="1" x14ac:dyDescent="0.2">
      <c r="X487" s="24"/>
    </row>
    <row r="488" spans="24:24" ht="15.75" customHeight="1" x14ac:dyDescent="0.2">
      <c r="X488" s="24"/>
    </row>
    <row r="489" spans="24:24" ht="15.75" customHeight="1" x14ac:dyDescent="0.2">
      <c r="X489" s="24"/>
    </row>
    <row r="490" spans="24:24" ht="15.75" customHeight="1" x14ac:dyDescent="0.2">
      <c r="X490" s="24"/>
    </row>
    <row r="491" spans="24:24" ht="15.75" customHeight="1" x14ac:dyDescent="0.2">
      <c r="X491" s="24"/>
    </row>
    <row r="492" spans="24:24" ht="15.75" customHeight="1" x14ac:dyDescent="0.2">
      <c r="X492" s="24"/>
    </row>
    <row r="493" spans="24:24" ht="15.75" customHeight="1" x14ac:dyDescent="0.2">
      <c r="X493" s="24"/>
    </row>
    <row r="494" spans="24:24" ht="15.75" customHeight="1" x14ac:dyDescent="0.2">
      <c r="X494" s="24"/>
    </row>
    <row r="495" spans="24:24" ht="15.75" customHeight="1" x14ac:dyDescent="0.2">
      <c r="X495" s="24"/>
    </row>
    <row r="496" spans="24:24" ht="15.75" customHeight="1" x14ac:dyDescent="0.2">
      <c r="X496" s="24"/>
    </row>
    <row r="497" spans="24:24" ht="15.75" customHeight="1" x14ac:dyDescent="0.2">
      <c r="X497" s="24"/>
    </row>
    <row r="498" spans="24:24" ht="15.75" customHeight="1" x14ac:dyDescent="0.2">
      <c r="X498" s="24"/>
    </row>
    <row r="499" spans="24:24" ht="15.75" customHeight="1" x14ac:dyDescent="0.2">
      <c r="X499" s="24"/>
    </row>
    <row r="500" spans="24:24" ht="15.75" customHeight="1" x14ac:dyDescent="0.2">
      <c r="X500" s="24"/>
    </row>
    <row r="501" spans="24:24" ht="15.75" customHeight="1" x14ac:dyDescent="0.2">
      <c r="X501" s="24"/>
    </row>
    <row r="502" spans="24:24" ht="15.75" customHeight="1" x14ac:dyDescent="0.2">
      <c r="X502" s="24"/>
    </row>
    <row r="503" spans="24:24" ht="15.75" customHeight="1" x14ac:dyDescent="0.2">
      <c r="X503" s="24"/>
    </row>
    <row r="504" spans="24:24" ht="15.75" customHeight="1" x14ac:dyDescent="0.2">
      <c r="X504" s="24"/>
    </row>
    <row r="505" spans="24:24" ht="15.75" customHeight="1" x14ac:dyDescent="0.2">
      <c r="X505" s="24"/>
    </row>
    <row r="506" spans="24:24" ht="15.75" customHeight="1" x14ac:dyDescent="0.2">
      <c r="X506" s="24"/>
    </row>
    <row r="507" spans="24:24" ht="15.75" customHeight="1" x14ac:dyDescent="0.2">
      <c r="X507" s="24"/>
    </row>
    <row r="508" spans="24:24" ht="15.75" customHeight="1" x14ac:dyDescent="0.2">
      <c r="X508" s="24"/>
    </row>
    <row r="509" spans="24:24" ht="15.75" customHeight="1" x14ac:dyDescent="0.2">
      <c r="X509" s="24"/>
    </row>
    <row r="510" spans="24:24" ht="15.75" customHeight="1" x14ac:dyDescent="0.2">
      <c r="X510" s="24"/>
    </row>
    <row r="511" spans="24:24" ht="15.75" customHeight="1" x14ac:dyDescent="0.2">
      <c r="X511" s="24"/>
    </row>
    <row r="512" spans="24:24" ht="15.75" customHeight="1" x14ac:dyDescent="0.2">
      <c r="X512" s="24"/>
    </row>
    <row r="513" spans="24:24" ht="15.75" customHeight="1" x14ac:dyDescent="0.2">
      <c r="X513" s="24"/>
    </row>
    <row r="514" spans="24:24" ht="15.75" customHeight="1" x14ac:dyDescent="0.2">
      <c r="X514" s="24"/>
    </row>
    <row r="515" spans="24:24" ht="15.75" customHeight="1" x14ac:dyDescent="0.2">
      <c r="X515" s="24"/>
    </row>
    <row r="516" spans="24:24" ht="15.75" customHeight="1" x14ac:dyDescent="0.2">
      <c r="X516" s="24"/>
    </row>
    <row r="517" spans="24:24" ht="15.75" customHeight="1" x14ac:dyDescent="0.2">
      <c r="X517" s="24"/>
    </row>
    <row r="518" spans="24:24" ht="15.75" customHeight="1" x14ac:dyDescent="0.2">
      <c r="X518" s="24"/>
    </row>
    <row r="519" spans="24:24" ht="15.75" customHeight="1" x14ac:dyDescent="0.2">
      <c r="X519" s="24"/>
    </row>
    <row r="520" spans="24:24" ht="15.75" customHeight="1" x14ac:dyDescent="0.2">
      <c r="X520" s="24"/>
    </row>
    <row r="521" spans="24:24" ht="15.75" customHeight="1" x14ac:dyDescent="0.2">
      <c r="X521" s="24"/>
    </row>
    <row r="522" spans="24:24" ht="15.75" customHeight="1" x14ac:dyDescent="0.2">
      <c r="X522" s="24"/>
    </row>
    <row r="523" spans="24:24" ht="15.75" customHeight="1" x14ac:dyDescent="0.2">
      <c r="X523" s="24"/>
    </row>
    <row r="524" spans="24:24" ht="15.75" customHeight="1" x14ac:dyDescent="0.2">
      <c r="X524" s="24"/>
    </row>
    <row r="525" spans="24:24" ht="15.75" customHeight="1" x14ac:dyDescent="0.2">
      <c r="X525" s="24"/>
    </row>
    <row r="526" spans="24:24" ht="15.75" customHeight="1" x14ac:dyDescent="0.2">
      <c r="X526" s="24"/>
    </row>
    <row r="527" spans="24:24" ht="15.75" customHeight="1" x14ac:dyDescent="0.2">
      <c r="X527" s="24"/>
    </row>
    <row r="528" spans="24:24" ht="15.75" customHeight="1" x14ac:dyDescent="0.2">
      <c r="X528" s="24"/>
    </row>
    <row r="529" spans="24:24" ht="15.75" customHeight="1" x14ac:dyDescent="0.2">
      <c r="X529" s="24"/>
    </row>
    <row r="530" spans="24:24" ht="15.75" customHeight="1" x14ac:dyDescent="0.2">
      <c r="X530" s="24"/>
    </row>
    <row r="531" spans="24:24" ht="15.75" customHeight="1" x14ac:dyDescent="0.2">
      <c r="X531" s="24"/>
    </row>
    <row r="532" spans="24:24" ht="15.75" customHeight="1" x14ac:dyDescent="0.2">
      <c r="X532" s="24"/>
    </row>
    <row r="533" spans="24:24" ht="15.75" customHeight="1" x14ac:dyDescent="0.2">
      <c r="X533" s="24"/>
    </row>
    <row r="534" spans="24:24" ht="15.75" customHeight="1" x14ac:dyDescent="0.2">
      <c r="X534" s="24"/>
    </row>
    <row r="535" spans="24:24" ht="15.75" customHeight="1" x14ac:dyDescent="0.2">
      <c r="X535" s="24"/>
    </row>
    <row r="536" spans="24:24" ht="15.75" customHeight="1" x14ac:dyDescent="0.2">
      <c r="X536" s="24"/>
    </row>
    <row r="537" spans="24:24" ht="15.75" customHeight="1" x14ac:dyDescent="0.2">
      <c r="X537" s="24"/>
    </row>
    <row r="538" spans="24:24" ht="15.75" customHeight="1" x14ac:dyDescent="0.2">
      <c r="X538" s="24"/>
    </row>
    <row r="539" spans="24:24" ht="15.75" customHeight="1" x14ac:dyDescent="0.2">
      <c r="X539" s="24"/>
    </row>
    <row r="540" spans="24:24" ht="15.75" customHeight="1" x14ac:dyDescent="0.2">
      <c r="X540" s="24"/>
    </row>
    <row r="541" spans="24:24" ht="15.75" customHeight="1" x14ac:dyDescent="0.2">
      <c r="X541" s="24"/>
    </row>
    <row r="542" spans="24:24" ht="15.75" customHeight="1" x14ac:dyDescent="0.2">
      <c r="X542" s="24"/>
    </row>
    <row r="543" spans="24:24" ht="15.75" customHeight="1" x14ac:dyDescent="0.2">
      <c r="X543" s="24"/>
    </row>
    <row r="544" spans="24:24" ht="15.75" customHeight="1" x14ac:dyDescent="0.2">
      <c r="X544" s="24"/>
    </row>
    <row r="545" spans="24:24" ht="15.75" customHeight="1" x14ac:dyDescent="0.2">
      <c r="X545" s="24"/>
    </row>
    <row r="546" spans="24:24" ht="15.75" customHeight="1" x14ac:dyDescent="0.2">
      <c r="X546" s="24"/>
    </row>
    <row r="547" spans="24:24" ht="15.75" customHeight="1" x14ac:dyDescent="0.2">
      <c r="X547" s="24"/>
    </row>
    <row r="548" spans="24:24" ht="15.75" customHeight="1" x14ac:dyDescent="0.2">
      <c r="X548" s="24"/>
    </row>
    <row r="549" spans="24:24" ht="15.75" customHeight="1" x14ac:dyDescent="0.2">
      <c r="X549" s="24"/>
    </row>
    <row r="550" spans="24:24" ht="15.75" customHeight="1" x14ac:dyDescent="0.2">
      <c r="X550" s="24"/>
    </row>
    <row r="551" spans="24:24" ht="15.75" customHeight="1" x14ac:dyDescent="0.2">
      <c r="X551" s="24"/>
    </row>
    <row r="552" spans="24:24" ht="15.75" customHeight="1" x14ac:dyDescent="0.2">
      <c r="X552" s="24"/>
    </row>
    <row r="553" spans="24:24" ht="15.75" customHeight="1" x14ac:dyDescent="0.2">
      <c r="X553" s="24"/>
    </row>
    <row r="554" spans="24:24" ht="15.75" customHeight="1" x14ac:dyDescent="0.2">
      <c r="X554" s="24"/>
    </row>
    <row r="555" spans="24:24" ht="15.75" customHeight="1" x14ac:dyDescent="0.2">
      <c r="X555" s="24"/>
    </row>
    <row r="556" spans="24:24" ht="15.75" customHeight="1" x14ac:dyDescent="0.2">
      <c r="X556" s="24"/>
    </row>
    <row r="557" spans="24:24" ht="15.75" customHeight="1" x14ac:dyDescent="0.2">
      <c r="X557" s="24"/>
    </row>
    <row r="558" spans="24:24" ht="15.75" customHeight="1" x14ac:dyDescent="0.2">
      <c r="X558" s="24"/>
    </row>
    <row r="559" spans="24:24" ht="15.75" customHeight="1" x14ac:dyDescent="0.2">
      <c r="X559" s="24"/>
    </row>
    <row r="560" spans="24:24" ht="15.75" customHeight="1" x14ac:dyDescent="0.2">
      <c r="X560" s="24"/>
    </row>
    <row r="561" spans="24:24" ht="15.75" customHeight="1" x14ac:dyDescent="0.2">
      <c r="X561" s="24"/>
    </row>
    <row r="562" spans="24:24" ht="15.75" customHeight="1" x14ac:dyDescent="0.2">
      <c r="X562" s="24"/>
    </row>
    <row r="563" spans="24:24" ht="15.75" customHeight="1" x14ac:dyDescent="0.2">
      <c r="X563" s="24"/>
    </row>
    <row r="564" spans="24:24" ht="15.75" customHeight="1" x14ac:dyDescent="0.2">
      <c r="X564" s="24"/>
    </row>
    <row r="565" spans="24:24" ht="15.75" customHeight="1" x14ac:dyDescent="0.2">
      <c r="X565" s="24"/>
    </row>
    <row r="566" spans="24:24" ht="15.75" customHeight="1" x14ac:dyDescent="0.2">
      <c r="X566" s="24"/>
    </row>
    <row r="567" spans="24:24" ht="15.75" customHeight="1" x14ac:dyDescent="0.2">
      <c r="X567" s="24"/>
    </row>
    <row r="568" spans="24:24" ht="15.75" customHeight="1" x14ac:dyDescent="0.2">
      <c r="X568" s="24"/>
    </row>
    <row r="569" spans="24:24" ht="15.75" customHeight="1" x14ac:dyDescent="0.2">
      <c r="X569" s="24"/>
    </row>
    <row r="570" spans="24:24" ht="15.75" customHeight="1" x14ac:dyDescent="0.2">
      <c r="X570" s="24"/>
    </row>
    <row r="571" spans="24:24" ht="15.75" customHeight="1" x14ac:dyDescent="0.2">
      <c r="X571" s="24"/>
    </row>
    <row r="572" spans="24:24" ht="15.75" customHeight="1" x14ac:dyDescent="0.2">
      <c r="X572" s="24"/>
    </row>
    <row r="573" spans="24:24" ht="15.75" customHeight="1" x14ac:dyDescent="0.2">
      <c r="X573" s="24"/>
    </row>
    <row r="574" spans="24:24" ht="15.75" customHeight="1" x14ac:dyDescent="0.2">
      <c r="X574" s="24"/>
    </row>
    <row r="575" spans="24:24" ht="15.75" customHeight="1" x14ac:dyDescent="0.2">
      <c r="X575" s="24"/>
    </row>
    <row r="576" spans="24:24" ht="15.75" customHeight="1" x14ac:dyDescent="0.2">
      <c r="X576" s="24"/>
    </row>
    <row r="577" spans="24:24" ht="15.75" customHeight="1" x14ac:dyDescent="0.2">
      <c r="X577" s="24"/>
    </row>
    <row r="578" spans="24:24" ht="15.75" customHeight="1" x14ac:dyDescent="0.2">
      <c r="X578" s="24"/>
    </row>
    <row r="579" spans="24:24" ht="15.75" customHeight="1" x14ac:dyDescent="0.2">
      <c r="X579" s="24"/>
    </row>
    <row r="580" spans="24:24" ht="15.75" customHeight="1" x14ac:dyDescent="0.2">
      <c r="X580" s="24"/>
    </row>
    <row r="581" spans="24:24" ht="15.75" customHeight="1" x14ac:dyDescent="0.2">
      <c r="X581" s="24"/>
    </row>
    <row r="582" spans="24:24" ht="15.75" customHeight="1" x14ac:dyDescent="0.2">
      <c r="X582" s="24"/>
    </row>
    <row r="583" spans="24:24" ht="15.75" customHeight="1" x14ac:dyDescent="0.2">
      <c r="X583" s="24"/>
    </row>
    <row r="584" spans="24:24" ht="15.75" customHeight="1" x14ac:dyDescent="0.2">
      <c r="X584" s="24"/>
    </row>
    <row r="585" spans="24:24" ht="15.75" customHeight="1" x14ac:dyDescent="0.2">
      <c r="X585" s="24"/>
    </row>
    <row r="586" spans="24:24" ht="15.75" customHeight="1" x14ac:dyDescent="0.2">
      <c r="X586" s="24"/>
    </row>
    <row r="587" spans="24:24" ht="15.75" customHeight="1" x14ac:dyDescent="0.2">
      <c r="X587" s="24"/>
    </row>
    <row r="588" spans="24:24" ht="15.75" customHeight="1" x14ac:dyDescent="0.2">
      <c r="X588" s="24"/>
    </row>
    <row r="589" spans="24:24" ht="15.75" customHeight="1" x14ac:dyDescent="0.2">
      <c r="X589" s="24"/>
    </row>
    <row r="590" spans="24:24" ht="15.75" customHeight="1" x14ac:dyDescent="0.2">
      <c r="X590" s="24"/>
    </row>
    <row r="591" spans="24:24" ht="15.75" customHeight="1" x14ac:dyDescent="0.2">
      <c r="X591" s="24"/>
    </row>
    <row r="592" spans="24:24" ht="15.75" customHeight="1" x14ac:dyDescent="0.2">
      <c r="X592" s="24"/>
    </row>
    <row r="593" spans="24:24" ht="15.75" customHeight="1" x14ac:dyDescent="0.2">
      <c r="X593" s="24"/>
    </row>
    <row r="594" spans="24:24" ht="15.75" customHeight="1" x14ac:dyDescent="0.2">
      <c r="X594" s="24"/>
    </row>
    <row r="595" spans="24:24" ht="15.75" customHeight="1" x14ac:dyDescent="0.2">
      <c r="X595" s="24"/>
    </row>
    <row r="596" spans="24:24" ht="15.75" customHeight="1" x14ac:dyDescent="0.2">
      <c r="X596" s="24"/>
    </row>
    <row r="597" spans="24:24" ht="15.75" customHeight="1" x14ac:dyDescent="0.2">
      <c r="X597" s="24"/>
    </row>
    <row r="598" spans="24:24" ht="15.75" customHeight="1" x14ac:dyDescent="0.2">
      <c r="X598" s="24"/>
    </row>
    <row r="599" spans="24:24" ht="15.75" customHeight="1" x14ac:dyDescent="0.2">
      <c r="X599" s="24"/>
    </row>
    <row r="600" spans="24:24" ht="15.75" customHeight="1" x14ac:dyDescent="0.2">
      <c r="X600" s="24"/>
    </row>
    <row r="601" spans="24:24" ht="15.75" customHeight="1" x14ac:dyDescent="0.2">
      <c r="X601" s="24"/>
    </row>
    <row r="602" spans="24:24" ht="15.75" customHeight="1" x14ac:dyDescent="0.2">
      <c r="X602" s="24"/>
    </row>
    <row r="603" spans="24:24" ht="15.75" customHeight="1" x14ac:dyDescent="0.2">
      <c r="X603" s="24"/>
    </row>
    <row r="604" spans="24:24" ht="15.75" customHeight="1" x14ac:dyDescent="0.2">
      <c r="X604" s="24"/>
    </row>
    <row r="605" spans="24:24" ht="15.75" customHeight="1" x14ac:dyDescent="0.2">
      <c r="X605" s="24"/>
    </row>
    <row r="606" spans="24:24" ht="15.75" customHeight="1" x14ac:dyDescent="0.2">
      <c r="X606" s="24"/>
    </row>
    <row r="607" spans="24:24" ht="15.75" customHeight="1" x14ac:dyDescent="0.2">
      <c r="X607" s="24"/>
    </row>
    <row r="608" spans="24:24" ht="15.75" customHeight="1" x14ac:dyDescent="0.2">
      <c r="X608" s="24"/>
    </row>
    <row r="609" spans="24:24" ht="15.75" customHeight="1" x14ac:dyDescent="0.2">
      <c r="X609" s="24"/>
    </row>
    <row r="610" spans="24:24" ht="15.75" customHeight="1" x14ac:dyDescent="0.2">
      <c r="X610" s="24"/>
    </row>
    <row r="611" spans="24:24" ht="15.75" customHeight="1" x14ac:dyDescent="0.2">
      <c r="X611" s="24"/>
    </row>
    <row r="612" spans="24:24" ht="15.75" customHeight="1" x14ac:dyDescent="0.2">
      <c r="X612" s="24"/>
    </row>
    <row r="613" spans="24:24" ht="15.75" customHeight="1" x14ac:dyDescent="0.2">
      <c r="X613" s="24"/>
    </row>
    <row r="614" spans="24:24" ht="15.75" customHeight="1" x14ac:dyDescent="0.2">
      <c r="X614" s="24"/>
    </row>
    <row r="615" spans="24:24" ht="15.75" customHeight="1" x14ac:dyDescent="0.2">
      <c r="X615" s="24"/>
    </row>
    <row r="616" spans="24:24" ht="15.75" customHeight="1" x14ac:dyDescent="0.2">
      <c r="X616" s="24"/>
    </row>
    <row r="617" spans="24:24" ht="15.75" customHeight="1" x14ac:dyDescent="0.2">
      <c r="X617" s="24"/>
    </row>
    <row r="618" spans="24:24" ht="15.75" customHeight="1" x14ac:dyDescent="0.2">
      <c r="X618" s="24"/>
    </row>
    <row r="619" spans="24:24" ht="15.75" customHeight="1" x14ac:dyDescent="0.2">
      <c r="X619" s="24"/>
    </row>
    <row r="620" spans="24:24" ht="15.75" customHeight="1" x14ac:dyDescent="0.2">
      <c r="X620" s="24"/>
    </row>
    <row r="621" spans="24:24" ht="15.75" customHeight="1" x14ac:dyDescent="0.2">
      <c r="X621" s="24"/>
    </row>
    <row r="622" spans="24:24" ht="15.75" customHeight="1" x14ac:dyDescent="0.2">
      <c r="X622" s="24"/>
    </row>
    <row r="623" spans="24:24" ht="15.75" customHeight="1" x14ac:dyDescent="0.2">
      <c r="X623" s="24"/>
    </row>
    <row r="624" spans="24:24" ht="15.75" customHeight="1" x14ac:dyDescent="0.2">
      <c r="X624" s="24"/>
    </row>
    <row r="625" spans="24:24" ht="15.75" customHeight="1" x14ac:dyDescent="0.2">
      <c r="X625" s="24"/>
    </row>
    <row r="626" spans="24:24" ht="15.75" customHeight="1" x14ac:dyDescent="0.2">
      <c r="X626" s="24"/>
    </row>
    <row r="627" spans="24:24" ht="15.75" customHeight="1" x14ac:dyDescent="0.2">
      <c r="X627" s="24"/>
    </row>
    <row r="628" spans="24:24" ht="15.75" customHeight="1" x14ac:dyDescent="0.2">
      <c r="X628" s="24"/>
    </row>
    <row r="629" spans="24:24" ht="15.75" customHeight="1" x14ac:dyDescent="0.2">
      <c r="X629" s="24"/>
    </row>
    <row r="630" spans="24:24" ht="15.75" customHeight="1" x14ac:dyDescent="0.2">
      <c r="X630" s="24"/>
    </row>
    <row r="631" spans="24:24" ht="15.75" customHeight="1" x14ac:dyDescent="0.2">
      <c r="X631" s="24"/>
    </row>
    <row r="632" spans="24:24" ht="15.75" customHeight="1" x14ac:dyDescent="0.2">
      <c r="X632" s="24"/>
    </row>
    <row r="633" spans="24:24" ht="15.75" customHeight="1" x14ac:dyDescent="0.2">
      <c r="X633" s="24"/>
    </row>
    <row r="634" spans="24:24" ht="15.75" customHeight="1" x14ac:dyDescent="0.2">
      <c r="X634" s="24"/>
    </row>
    <row r="635" spans="24:24" ht="15.75" customHeight="1" x14ac:dyDescent="0.2">
      <c r="X635" s="24"/>
    </row>
    <row r="636" spans="24:24" ht="15.75" customHeight="1" x14ac:dyDescent="0.2">
      <c r="X636" s="24"/>
    </row>
    <row r="637" spans="24:24" ht="15.75" customHeight="1" x14ac:dyDescent="0.2">
      <c r="X637" s="24"/>
    </row>
    <row r="638" spans="24:24" ht="15.75" customHeight="1" x14ac:dyDescent="0.2">
      <c r="X638" s="24"/>
    </row>
    <row r="639" spans="24:24" ht="15.75" customHeight="1" x14ac:dyDescent="0.2">
      <c r="X639" s="24"/>
    </row>
    <row r="640" spans="24:24" ht="15.75" customHeight="1" x14ac:dyDescent="0.2">
      <c r="X640" s="24"/>
    </row>
    <row r="641" spans="24:24" ht="15.75" customHeight="1" x14ac:dyDescent="0.2">
      <c r="X641" s="24"/>
    </row>
    <row r="642" spans="24:24" ht="15.75" customHeight="1" x14ac:dyDescent="0.2">
      <c r="X642" s="24"/>
    </row>
    <row r="643" spans="24:24" ht="15.75" customHeight="1" x14ac:dyDescent="0.2">
      <c r="X643" s="24"/>
    </row>
    <row r="644" spans="24:24" ht="15.75" customHeight="1" x14ac:dyDescent="0.2">
      <c r="X644" s="24"/>
    </row>
    <row r="645" spans="24:24" ht="15.75" customHeight="1" x14ac:dyDescent="0.2">
      <c r="X645" s="24"/>
    </row>
    <row r="646" spans="24:24" ht="15.75" customHeight="1" x14ac:dyDescent="0.2">
      <c r="X646" s="24"/>
    </row>
    <row r="647" spans="24:24" ht="15.75" customHeight="1" x14ac:dyDescent="0.2">
      <c r="X647" s="24"/>
    </row>
    <row r="648" spans="24:24" ht="15.75" customHeight="1" x14ac:dyDescent="0.2">
      <c r="X648" s="24"/>
    </row>
    <row r="649" spans="24:24" ht="15.75" customHeight="1" x14ac:dyDescent="0.2">
      <c r="X649" s="24"/>
    </row>
    <row r="650" spans="24:24" ht="15.75" customHeight="1" x14ac:dyDescent="0.2">
      <c r="X650" s="24"/>
    </row>
    <row r="651" spans="24:24" ht="15.75" customHeight="1" x14ac:dyDescent="0.2">
      <c r="X651" s="24"/>
    </row>
    <row r="652" spans="24:24" ht="15.75" customHeight="1" x14ac:dyDescent="0.2">
      <c r="X652" s="24"/>
    </row>
    <row r="653" spans="24:24" ht="15.75" customHeight="1" x14ac:dyDescent="0.2">
      <c r="X653" s="24"/>
    </row>
    <row r="654" spans="24:24" ht="15.75" customHeight="1" x14ac:dyDescent="0.2">
      <c r="X654" s="24"/>
    </row>
    <row r="655" spans="24:24" ht="15.75" customHeight="1" x14ac:dyDescent="0.2">
      <c r="X655" s="24"/>
    </row>
    <row r="656" spans="24:24" ht="15.75" customHeight="1" x14ac:dyDescent="0.2">
      <c r="X656" s="24"/>
    </row>
    <row r="657" spans="24:24" ht="15.75" customHeight="1" x14ac:dyDescent="0.2">
      <c r="X657" s="24"/>
    </row>
    <row r="658" spans="24:24" ht="15.75" customHeight="1" x14ac:dyDescent="0.2">
      <c r="X658" s="24"/>
    </row>
    <row r="659" spans="24:24" ht="15.75" customHeight="1" x14ac:dyDescent="0.2">
      <c r="X659" s="24"/>
    </row>
    <row r="660" spans="24:24" ht="15.75" customHeight="1" x14ac:dyDescent="0.2">
      <c r="X660" s="24"/>
    </row>
    <row r="661" spans="24:24" ht="15.75" customHeight="1" x14ac:dyDescent="0.2">
      <c r="X661" s="24"/>
    </row>
    <row r="662" spans="24:24" ht="15.75" customHeight="1" x14ac:dyDescent="0.2">
      <c r="X662" s="24"/>
    </row>
    <row r="663" spans="24:24" ht="15.75" customHeight="1" x14ac:dyDescent="0.2">
      <c r="X663" s="24"/>
    </row>
    <row r="664" spans="24:24" ht="15.75" customHeight="1" x14ac:dyDescent="0.2">
      <c r="X664" s="24"/>
    </row>
    <row r="665" spans="24:24" ht="15.75" customHeight="1" x14ac:dyDescent="0.2">
      <c r="X665" s="24"/>
    </row>
    <row r="666" spans="24:24" ht="15.75" customHeight="1" x14ac:dyDescent="0.2">
      <c r="X666" s="24"/>
    </row>
    <row r="667" spans="24:24" ht="15.75" customHeight="1" x14ac:dyDescent="0.2">
      <c r="X667" s="24"/>
    </row>
    <row r="668" spans="24:24" ht="15.75" customHeight="1" x14ac:dyDescent="0.2">
      <c r="X668" s="24"/>
    </row>
    <row r="669" spans="24:24" ht="15.75" customHeight="1" x14ac:dyDescent="0.2">
      <c r="X669" s="24"/>
    </row>
    <row r="670" spans="24:24" ht="15.75" customHeight="1" x14ac:dyDescent="0.2">
      <c r="X670" s="24"/>
    </row>
    <row r="671" spans="24:24" ht="15.75" customHeight="1" x14ac:dyDescent="0.2">
      <c r="X671" s="24"/>
    </row>
    <row r="672" spans="24:24" ht="15.75" customHeight="1" x14ac:dyDescent="0.2">
      <c r="X672" s="24"/>
    </row>
    <row r="673" spans="24:24" ht="15.75" customHeight="1" x14ac:dyDescent="0.2">
      <c r="X673" s="24"/>
    </row>
    <row r="674" spans="24:24" ht="15.75" customHeight="1" x14ac:dyDescent="0.2">
      <c r="X674" s="24"/>
    </row>
    <row r="675" spans="24:24" ht="15.75" customHeight="1" x14ac:dyDescent="0.2">
      <c r="X675" s="24"/>
    </row>
    <row r="676" spans="24:24" ht="15.75" customHeight="1" x14ac:dyDescent="0.2">
      <c r="X676" s="24"/>
    </row>
    <row r="677" spans="24:24" ht="15.75" customHeight="1" x14ac:dyDescent="0.2">
      <c r="X677" s="24"/>
    </row>
    <row r="678" spans="24:24" ht="15.75" customHeight="1" x14ac:dyDescent="0.2">
      <c r="X678" s="24"/>
    </row>
    <row r="679" spans="24:24" ht="15.75" customHeight="1" x14ac:dyDescent="0.2">
      <c r="X679" s="24"/>
    </row>
    <row r="680" spans="24:24" ht="15.75" customHeight="1" x14ac:dyDescent="0.2">
      <c r="X680" s="24"/>
    </row>
    <row r="681" spans="24:24" ht="15.75" customHeight="1" x14ac:dyDescent="0.2">
      <c r="X681" s="24"/>
    </row>
    <row r="682" spans="24:24" ht="15.75" customHeight="1" x14ac:dyDescent="0.2">
      <c r="X682" s="24"/>
    </row>
    <row r="683" spans="24:24" ht="15.75" customHeight="1" x14ac:dyDescent="0.2">
      <c r="X683" s="24"/>
    </row>
    <row r="684" spans="24:24" ht="15.75" customHeight="1" x14ac:dyDescent="0.2">
      <c r="X684" s="24"/>
    </row>
    <row r="685" spans="24:24" ht="15.75" customHeight="1" x14ac:dyDescent="0.2">
      <c r="X685" s="24"/>
    </row>
    <row r="686" spans="24:24" ht="15.75" customHeight="1" x14ac:dyDescent="0.2">
      <c r="X686" s="24"/>
    </row>
    <row r="687" spans="24:24" ht="15.75" customHeight="1" x14ac:dyDescent="0.2">
      <c r="X687" s="24"/>
    </row>
    <row r="688" spans="24:24" ht="15.75" customHeight="1" x14ac:dyDescent="0.2">
      <c r="X688" s="24"/>
    </row>
    <row r="689" spans="24:24" ht="15.75" customHeight="1" x14ac:dyDescent="0.2">
      <c r="X689" s="24"/>
    </row>
    <row r="690" spans="24:24" ht="15.75" customHeight="1" x14ac:dyDescent="0.2">
      <c r="X690" s="24"/>
    </row>
    <row r="691" spans="24:24" ht="15.75" customHeight="1" x14ac:dyDescent="0.2">
      <c r="X691" s="24"/>
    </row>
    <row r="692" spans="24:24" ht="15.75" customHeight="1" x14ac:dyDescent="0.2">
      <c r="X692" s="24"/>
    </row>
    <row r="693" spans="24:24" ht="15.75" customHeight="1" x14ac:dyDescent="0.2">
      <c r="X693" s="24"/>
    </row>
    <row r="694" spans="24:24" ht="15.75" customHeight="1" x14ac:dyDescent="0.2">
      <c r="X694" s="24"/>
    </row>
    <row r="695" spans="24:24" ht="15.75" customHeight="1" x14ac:dyDescent="0.2">
      <c r="X695" s="24"/>
    </row>
    <row r="696" spans="24:24" ht="15.75" customHeight="1" x14ac:dyDescent="0.2">
      <c r="X696" s="24"/>
    </row>
    <row r="697" spans="24:24" ht="15.75" customHeight="1" x14ac:dyDescent="0.2">
      <c r="X697" s="24"/>
    </row>
    <row r="698" spans="24:24" ht="15.75" customHeight="1" x14ac:dyDescent="0.2">
      <c r="X698" s="24"/>
    </row>
    <row r="699" spans="24:24" ht="15.75" customHeight="1" x14ac:dyDescent="0.2">
      <c r="X699" s="24"/>
    </row>
    <row r="700" spans="24:24" ht="15.75" customHeight="1" x14ac:dyDescent="0.2">
      <c r="X700" s="24"/>
    </row>
    <row r="701" spans="24:24" ht="15.75" customHeight="1" x14ac:dyDescent="0.2">
      <c r="X701" s="24"/>
    </row>
    <row r="702" spans="24:24" ht="15.75" customHeight="1" x14ac:dyDescent="0.2">
      <c r="X702" s="24"/>
    </row>
    <row r="703" spans="24:24" ht="15.75" customHeight="1" x14ac:dyDescent="0.2">
      <c r="X703" s="24"/>
    </row>
    <row r="704" spans="24:24" ht="15.75" customHeight="1" x14ac:dyDescent="0.2">
      <c r="X704" s="24"/>
    </row>
    <row r="705" spans="24:24" ht="15.75" customHeight="1" x14ac:dyDescent="0.2">
      <c r="X705" s="24"/>
    </row>
    <row r="706" spans="24:24" ht="15.75" customHeight="1" x14ac:dyDescent="0.2">
      <c r="X706" s="24"/>
    </row>
    <row r="707" spans="24:24" ht="15.75" customHeight="1" x14ac:dyDescent="0.2">
      <c r="X707" s="24"/>
    </row>
    <row r="708" spans="24:24" ht="15.75" customHeight="1" x14ac:dyDescent="0.2">
      <c r="X708" s="24"/>
    </row>
    <row r="709" spans="24:24" ht="15.75" customHeight="1" x14ac:dyDescent="0.2">
      <c r="X709" s="24"/>
    </row>
    <row r="710" spans="24:24" ht="15.75" customHeight="1" x14ac:dyDescent="0.2">
      <c r="X710" s="24"/>
    </row>
    <row r="711" spans="24:24" ht="15.75" customHeight="1" x14ac:dyDescent="0.2">
      <c r="X711" s="24"/>
    </row>
    <row r="712" spans="24:24" ht="15.75" customHeight="1" x14ac:dyDescent="0.2">
      <c r="X712" s="24"/>
    </row>
    <row r="713" spans="24:24" ht="15.75" customHeight="1" x14ac:dyDescent="0.2">
      <c r="X713" s="24"/>
    </row>
    <row r="714" spans="24:24" ht="15.75" customHeight="1" x14ac:dyDescent="0.2">
      <c r="X714" s="24"/>
    </row>
    <row r="715" spans="24:24" ht="15.75" customHeight="1" x14ac:dyDescent="0.2">
      <c r="X715" s="24"/>
    </row>
    <row r="716" spans="24:24" ht="15.75" customHeight="1" x14ac:dyDescent="0.2">
      <c r="X716" s="24"/>
    </row>
    <row r="717" spans="24:24" ht="15.75" customHeight="1" x14ac:dyDescent="0.2">
      <c r="X717" s="24"/>
    </row>
    <row r="718" spans="24:24" ht="15.75" customHeight="1" x14ac:dyDescent="0.2">
      <c r="X718" s="24"/>
    </row>
    <row r="719" spans="24:24" ht="15.75" customHeight="1" x14ac:dyDescent="0.2">
      <c r="X719" s="24"/>
    </row>
    <row r="720" spans="24:24" ht="15.75" customHeight="1" x14ac:dyDescent="0.2">
      <c r="X720" s="24"/>
    </row>
    <row r="721" spans="24:24" ht="15.75" customHeight="1" x14ac:dyDescent="0.2">
      <c r="X721" s="24"/>
    </row>
    <row r="722" spans="24:24" ht="15.75" customHeight="1" x14ac:dyDescent="0.2">
      <c r="X722" s="24"/>
    </row>
    <row r="723" spans="24:24" ht="15.75" customHeight="1" x14ac:dyDescent="0.2">
      <c r="X723" s="24"/>
    </row>
    <row r="724" spans="24:24" ht="15.75" customHeight="1" x14ac:dyDescent="0.2">
      <c r="X724" s="24"/>
    </row>
    <row r="725" spans="24:24" ht="15.75" customHeight="1" x14ac:dyDescent="0.2">
      <c r="X725" s="24"/>
    </row>
    <row r="726" spans="24:24" ht="15.75" customHeight="1" x14ac:dyDescent="0.2">
      <c r="X726" s="24"/>
    </row>
    <row r="727" spans="24:24" ht="15.75" customHeight="1" x14ac:dyDescent="0.2">
      <c r="X727" s="24"/>
    </row>
    <row r="728" spans="24:24" ht="15.75" customHeight="1" x14ac:dyDescent="0.2">
      <c r="X728" s="24"/>
    </row>
    <row r="729" spans="24:24" ht="15.75" customHeight="1" x14ac:dyDescent="0.2">
      <c r="X729" s="24"/>
    </row>
    <row r="730" spans="24:24" ht="15.75" customHeight="1" x14ac:dyDescent="0.2">
      <c r="X730" s="24"/>
    </row>
    <row r="731" spans="24:24" ht="15.75" customHeight="1" x14ac:dyDescent="0.2">
      <c r="X731" s="24"/>
    </row>
    <row r="732" spans="24:24" ht="15.75" customHeight="1" x14ac:dyDescent="0.2">
      <c r="X732" s="24"/>
    </row>
    <row r="733" spans="24:24" ht="15.75" customHeight="1" x14ac:dyDescent="0.2">
      <c r="X733" s="24"/>
    </row>
    <row r="734" spans="24:24" ht="15.75" customHeight="1" x14ac:dyDescent="0.2">
      <c r="X734" s="24"/>
    </row>
    <row r="735" spans="24:24" ht="15.75" customHeight="1" x14ac:dyDescent="0.2">
      <c r="X735" s="24"/>
    </row>
    <row r="736" spans="24:24" ht="15.75" customHeight="1" x14ac:dyDescent="0.2">
      <c r="X736" s="24"/>
    </row>
    <row r="737" spans="24:24" ht="15.75" customHeight="1" x14ac:dyDescent="0.2">
      <c r="X737" s="24"/>
    </row>
    <row r="738" spans="24:24" ht="15.75" customHeight="1" x14ac:dyDescent="0.2">
      <c r="X738" s="24"/>
    </row>
    <row r="739" spans="24:24" ht="15.75" customHeight="1" x14ac:dyDescent="0.2">
      <c r="X739" s="24"/>
    </row>
    <row r="740" spans="24:24" ht="15.75" customHeight="1" x14ac:dyDescent="0.2">
      <c r="X740" s="24"/>
    </row>
    <row r="741" spans="24:24" ht="15.75" customHeight="1" x14ac:dyDescent="0.2">
      <c r="X741" s="24"/>
    </row>
    <row r="742" spans="24:24" ht="15.75" customHeight="1" x14ac:dyDescent="0.2">
      <c r="X742" s="24"/>
    </row>
    <row r="743" spans="24:24" ht="15.75" customHeight="1" x14ac:dyDescent="0.2">
      <c r="X743" s="24"/>
    </row>
    <row r="744" spans="24:24" ht="15.75" customHeight="1" x14ac:dyDescent="0.2">
      <c r="X744" s="24"/>
    </row>
    <row r="745" spans="24:24" ht="15.75" customHeight="1" x14ac:dyDescent="0.2">
      <c r="X745" s="24"/>
    </row>
    <row r="746" spans="24:24" ht="15.75" customHeight="1" x14ac:dyDescent="0.2">
      <c r="X746" s="24"/>
    </row>
    <row r="747" spans="24:24" ht="15.75" customHeight="1" x14ac:dyDescent="0.2">
      <c r="X747" s="24"/>
    </row>
    <row r="748" spans="24:24" ht="15.75" customHeight="1" x14ac:dyDescent="0.2">
      <c r="X748" s="24"/>
    </row>
    <row r="749" spans="24:24" ht="15.75" customHeight="1" x14ac:dyDescent="0.2">
      <c r="X749" s="24"/>
    </row>
    <row r="750" spans="24:24" ht="15.75" customHeight="1" x14ac:dyDescent="0.2">
      <c r="X750" s="24"/>
    </row>
    <row r="751" spans="24:24" ht="15.75" customHeight="1" x14ac:dyDescent="0.2">
      <c r="X751" s="24"/>
    </row>
    <row r="752" spans="24:24" ht="15.75" customHeight="1" x14ac:dyDescent="0.2">
      <c r="X752" s="24"/>
    </row>
    <row r="753" spans="24:24" ht="15.75" customHeight="1" x14ac:dyDescent="0.2">
      <c r="X753" s="24"/>
    </row>
    <row r="754" spans="24:24" ht="15.75" customHeight="1" x14ac:dyDescent="0.2">
      <c r="X754" s="24"/>
    </row>
    <row r="755" spans="24:24" ht="15.75" customHeight="1" x14ac:dyDescent="0.2">
      <c r="X755" s="24"/>
    </row>
    <row r="756" spans="24:24" ht="15.75" customHeight="1" x14ac:dyDescent="0.2">
      <c r="X756" s="24"/>
    </row>
    <row r="757" spans="24:24" ht="15.75" customHeight="1" x14ac:dyDescent="0.2">
      <c r="X757" s="24"/>
    </row>
    <row r="758" spans="24:24" ht="15.75" customHeight="1" x14ac:dyDescent="0.2">
      <c r="X758" s="24"/>
    </row>
    <row r="759" spans="24:24" ht="15.75" customHeight="1" x14ac:dyDescent="0.2">
      <c r="X759" s="24"/>
    </row>
    <row r="760" spans="24:24" ht="15.75" customHeight="1" x14ac:dyDescent="0.2">
      <c r="X760" s="24"/>
    </row>
    <row r="761" spans="24:24" ht="15.75" customHeight="1" x14ac:dyDescent="0.2">
      <c r="X761" s="24"/>
    </row>
    <row r="762" spans="24:24" ht="15.75" customHeight="1" x14ac:dyDescent="0.2">
      <c r="X762" s="24"/>
    </row>
    <row r="763" spans="24:24" ht="15.75" customHeight="1" x14ac:dyDescent="0.2">
      <c r="X763" s="24"/>
    </row>
    <row r="764" spans="24:24" ht="15.75" customHeight="1" x14ac:dyDescent="0.2">
      <c r="X764" s="24"/>
    </row>
    <row r="765" spans="24:24" ht="15.75" customHeight="1" x14ac:dyDescent="0.2">
      <c r="X765" s="24"/>
    </row>
    <row r="766" spans="24:24" ht="15.75" customHeight="1" x14ac:dyDescent="0.2">
      <c r="X766" s="24"/>
    </row>
    <row r="767" spans="24:24" ht="15.75" customHeight="1" x14ac:dyDescent="0.2">
      <c r="X767" s="24"/>
    </row>
    <row r="768" spans="24:24" ht="15.75" customHeight="1" x14ac:dyDescent="0.2">
      <c r="X768" s="24"/>
    </row>
    <row r="769" spans="24:24" ht="15.75" customHeight="1" x14ac:dyDescent="0.2">
      <c r="X769" s="24"/>
    </row>
    <row r="770" spans="24:24" ht="15.75" customHeight="1" x14ac:dyDescent="0.2">
      <c r="X770" s="24"/>
    </row>
    <row r="771" spans="24:24" ht="15.75" customHeight="1" x14ac:dyDescent="0.2">
      <c r="X771" s="24"/>
    </row>
    <row r="772" spans="24:24" ht="15.75" customHeight="1" x14ac:dyDescent="0.2">
      <c r="X772" s="24"/>
    </row>
    <row r="773" spans="24:24" ht="15.75" customHeight="1" x14ac:dyDescent="0.2">
      <c r="X773" s="24"/>
    </row>
    <row r="774" spans="24:24" ht="15.75" customHeight="1" x14ac:dyDescent="0.2">
      <c r="X774" s="24"/>
    </row>
    <row r="775" spans="24:24" ht="15.75" customHeight="1" x14ac:dyDescent="0.2">
      <c r="X775" s="24"/>
    </row>
    <row r="776" spans="24:24" ht="15.75" customHeight="1" x14ac:dyDescent="0.2">
      <c r="X776" s="24"/>
    </row>
    <row r="777" spans="24:24" ht="15.75" customHeight="1" x14ac:dyDescent="0.2">
      <c r="X777" s="24"/>
    </row>
    <row r="778" spans="24:24" ht="15.75" customHeight="1" x14ac:dyDescent="0.2">
      <c r="X778" s="24"/>
    </row>
    <row r="779" spans="24:24" ht="15.75" customHeight="1" x14ac:dyDescent="0.2">
      <c r="X779" s="24"/>
    </row>
    <row r="780" spans="24:24" ht="15.75" customHeight="1" x14ac:dyDescent="0.2">
      <c r="X780" s="24"/>
    </row>
    <row r="781" spans="24:24" ht="15.75" customHeight="1" x14ac:dyDescent="0.2">
      <c r="X781" s="24"/>
    </row>
    <row r="782" spans="24:24" ht="15.75" customHeight="1" x14ac:dyDescent="0.2">
      <c r="X782" s="24"/>
    </row>
    <row r="783" spans="24:24" ht="15.75" customHeight="1" x14ac:dyDescent="0.2">
      <c r="X783" s="24"/>
    </row>
    <row r="784" spans="24:24" ht="15.75" customHeight="1" x14ac:dyDescent="0.2">
      <c r="X784" s="24"/>
    </row>
    <row r="785" spans="24:24" ht="15.75" customHeight="1" x14ac:dyDescent="0.2">
      <c r="X785" s="24"/>
    </row>
    <row r="786" spans="24:24" ht="15.75" customHeight="1" x14ac:dyDescent="0.2">
      <c r="X786" s="24"/>
    </row>
    <row r="787" spans="24:24" ht="15.75" customHeight="1" x14ac:dyDescent="0.2">
      <c r="X787" s="24"/>
    </row>
    <row r="788" spans="24:24" ht="15.75" customHeight="1" x14ac:dyDescent="0.2">
      <c r="X788" s="24"/>
    </row>
    <row r="789" spans="24:24" ht="15.75" customHeight="1" x14ac:dyDescent="0.2">
      <c r="X789" s="24"/>
    </row>
    <row r="790" spans="24:24" ht="15.75" customHeight="1" x14ac:dyDescent="0.2">
      <c r="X790" s="24"/>
    </row>
    <row r="791" spans="24:24" ht="15.75" customHeight="1" x14ac:dyDescent="0.2">
      <c r="X791" s="24"/>
    </row>
    <row r="792" spans="24:24" ht="15.75" customHeight="1" x14ac:dyDescent="0.2">
      <c r="X792" s="24"/>
    </row>
    <row r="793" spans="24:24" ht="15.75" customHeight="1" x14ac:dyDescent="0.2">
      <c r="X793" s="24"/>
    </row>
    <row r="794" spans="24:24" ht="15.75" customHeight="1" x14ac:dyDescent="0.2">
      <c r="X794" s="24"/>
    </row>
    <row r="795" spans="24:24" ht="15.75" customHeight="1" x14ac:dyDescent="0.2">
      <c r="X795" s="24"/>
    </row>
    <row r="796" spans="24:24" ht="15.75" customHeight="1" x14ac:dyDescent="0.2">
      <c r="X796" s="24"/>
    </row>
    <row r="797" spans="24:24" ht="15.75" customHeight="1" x14ac:dyDescent="0.2">
      <c r="X797" s="24"/>
    </row>
    <row r="798" spans="24:24" ht="15.75" customHeight="1" x14ac:dyDescent="0.2">
      <c r="X798" s="24"/>
    </row>
    <row r="799" spans="24:24" ht="15.75" customHeight="1" x14ac:dyDescent="0.2">
      <c r="X799" s="24"/>
    </row>
    <row r="800" spans="24:24" ht="15.75" customHeight="1" x14ac:dyDescent="0.2">
      <c r="X800" s="24"/>
    </row>
    <row r="801" spans="24:24" ht="15.75" customHeight="1" x14ac:dyDescent="0.2">
      <c r="X801" s="24"/>
    </row>
    <row r="802" spans="24:24" ht="15.75" customHeight="1" x14ac:dyDescent="0.2">
      <c r="X802" s="24"/>
    </row>
    <row r="803" spans="24:24" ht="15.75" customHeight="1" x14ac:dyDescent="0.2">
      <c r="X803" s="24"/>
    </row>
    <row r="804" spans="24:24" ht="15.75" customHeight="1" x14ac:dyDescent="0.2">
      <c r="X804" s="24"/>
    </row>
    <row r="805" spans="24:24" ht="15.75" customHeight="1" x14ac:dyDescent="0.2">
      <c r="X805" s="24"/>
    </row>
    <row r="806" spans="24:24" ht="15.75" customHeight="1" x14ac:dyDescent="0.2">
      <c r="X806" s="24"/>
    </row>
    <row r="807" spans="24:24" ht="15.75" customHeight="1" x14ac:dyDescent="0.2">
      <c r="X807" s="24"/>
    </row>
    <row r="808" spans="24:24" ht="15.75" customHeight="1" x14ac:dyDescent="0.2">
      <c r="X808" s="24"/>
    </row>
    <row r="809" spans="24:24" ht="15.75" customHeight="1" x14ac:dyDescent="0.2">
      <c r="X809" s="24"/>
    </row>
    <row r="810" spans="24:24" ht="15.75" customHeight="1" x14ac:dyDescent="0.2">
      <c r="X810" s="24"/>
    </row>
    <row r="811" spans="24:24" ht="15.75" customHeight="1" x14ac:dyDescent="0.2">
      <c r="X811" s="24"/>
    </row>
    <row r="812" spans="24:24" ht="15.75" customHeight="1" x14ac:dyDescent="0.2">
      <c r="X812" s="24"/>
    </row>
    <row r="813" spans="24:24" ht="15.75" customHeight="1" x14ac:dyDescent="0.2">
      <c r="X813" s="24"/>
    </row>
    <row r="814" spans="24:24" ht="15.75" customHeight="1" x14ac:dyDescent="0.2">
      <c r="X814" s="24"/>
    </row>
    <row r="815" spans="24:24" ht="15.75" customHeight="1" x14ac:dyDescent="0.2">
      <c r="X815" s="24"/>
    </row>
    <row r="816" spans="24:24" ht="15.75" customHeight="1" x14ac:dyDescent="0.2">
      <c r="X816" s="24"/>
    </row>
    <row r="817" spans="24:24" ht="15.75" customHeight="1" x14ac:dyDescent="0.2">
      <c r="X817" s="24"/>
    </row>
    <row r="818" spans="24:24" ht="15.75" customHeight="1" x14ac:dyDescent="0.2">
      <c r="X818" s="24"/>
    </row>
    <row r="819" spans="24:24" ht="15.75" customHeight="1" x14ac:dyDescent="0.2">
      <c r="X819" s="24"/>
    </row>
    <row r="820" spans="24:24" ht="15.75" customHeight="1" x14ac:dyDescent="0.2">
      <c r="X820" s="24"/>
    </row>
    <row r="821" spans="24:24" ht="15.75" customHeight="1" x14ac:dyDescent="0.2">
      <c r="X821" s="24"/>
    </row>
    <row r="822" spans="24:24" ht="15.75" customHeight="1" x14ac:dyDescent="0.2">
      <c r="X822" s="24"/>
    </row>
    <row r="823" spans="24:24" ht="15.75" customHeight="1" x14ac:dyDescent="0.2">
      <c r="X823" s="24"/>
    </row>
    <row r="824" spans="24:24" ht="15.75" customHeight="1" x14ac:dyDescent="0.2">
      <c r="X824" s="24"/>
    </row>
    <row r="825" spans="24:24" ht="15.75" customHeight="1" x14ac:dyDescent="0.2">
      <c r="X825" s="24"/>
    </row>
    <row r="826" spans="24:24" ht="15.75" customHeight="1" x14ac:dyDescent="0.2">
      <c r="X826" s="24"/>
    </row>
    <row r="827" spans="24:24" ht="15.75" customHeight="1" x14ac:dyDescent="0.2">
      <c r="X827" s="24"/>
    </row>
    <row r="828" spans="24:24" ht="15.75" customHeight="1" x14ac:dyDescent="0.2">
      <c r="X828" s="24"/>
    </row>
    <row r="829" spans="24:24" ht="15.75" customHeight="1" x14ac:dyDescent="0.2">
      <c r="X829" s="24"/>
    </row>
    <row r="830" spans="24:24" ht="15.75" customHeight="1" x14ac:dyDescent="0.2">
      <c r="X830" s="24"/>
    </row>
    <row r="831" spans="24:24" ht="15.75" customHeight="1" x14ac:dyDescent="0.2">
      <c r="X831" s="24"/>
    </row>
    <row r="832" spans="24:24" ht="15.75" customHeight="1" x14ac:dyDescent="0.2">
      <c r="X832" s="24"/>
    </row>
    <row r="833" spans="24:24" ht="15.75" customHeight="1" x14ac:dyDescent="0.2">
      <c r="X833" s="24"/>
    </row>
    <row r="834" spans="24:24" ht="15.75" customHeight="1" x14ac:dyDescent="0.2">
      <c r="X834" s="24"/>
    </row>
    <row r="835" spans="24:24" ht="15.75" customHeight="1" x14ac:dyDescent="0.2">
      <c r="X835" s="24"/>
    </row>
    <row r="836" spans="24:24" ht="15.75" customHeight="1" x14ac:dyDescent="0.2">
      <c r="X836" s="24"/>
    </row>
    <row r="837" spans="24:24" ht="15.75" customHeight="1" x14ac:dyDescent="0.2">
      <c r="X837" s="24"/>
    </row>
    <row r="838" spans="24:24" ht="15.75" customHeight="1" x14ac:dyDescent="0.2">
      <c r="X838" s="24"/>
    </row>
    <row r="839" spans="24:24" ht="15.75" customHeight="1" x14ac:dyDescent="0.2">
      <c r="X839" s="24"/>
    </row>
    <row r="840" spans="24:24" ht="15.75" customHeight="1" x14ac:dyDescent="0.2">
      <c r="X840" s="24"/>
    </row>
    <row r="841" spans="24:24" ht="15.75" customHeight="1" x14ac:dyDescent="0.2">
      <c r="X841" s="24"/>
    </row>
    <row r="842" spans="24:24" ht="15.75" customHeight="1" x14ac:dyDescent="0.2">
      <c r="X842" s="24"/>
    </row>
    <row r="843" spans="24:24" ht="15.75" customHeight="1" x14ac:dyDescent="0.2">
      <c r="X843" s="24"/>
    </row>
    <row r="844" spans="24:24" ht="15.75" customHeight="1" x14ac:dyDescent="0.2">
      <c r="X844" s="24"/>
    </row>
    <row r="845" spans="24:24" ht="15.75" customHeight="1" x14ac:dyDescent="0.2">
      <c r="X845" s="24"/>
    </row>
    <row r="846" spans="24:24" ht="15.75" customHeight="1" x14ac:dyDescent="0.2">
      <c r="X846" s="24"/>
    </row>
    <row r="847" spans="24:24" ht="15.75" customHeight="1" x14ac:dyDescent="0.2">
      <c r="X847" s="24"/>
    </row>
    <row r="848" spans="24:24" ht="15.75" customHeight="1" x14ac:dyDescent="0.2">
      <c r="X848" s="24"/>
    </row>
    <row r="849" spans="24:24" ht="15.75" customHeight="1" x14ac:dyDescent="0.2">
      <c r="X849" s="24"/>
    </row>
    <row r="850" spans="24:24" ht="15.75" customHeight="1" x14ac:dyDescent="0.2">
      <c r="X850" s="24"/>
    </row>
    <row r="851" spans="24:24" ht="15.75" customHeight="1" x14ac:dyDescent="0.2">
      <c r="X851" s="24"/>
    </row>
    <row r="852" spans="24:24" ht="15.75" customHeight="1" x14ac:dyDescent="0.2">
      <c r="X852" s="24"/>
    </row>
    <row r="853" spans="24:24" ht="15.75" customHeight="1" x14ac:dyDescent="0.2">
      <c r="X853" s="24"/>
    </row>
    <row r="854" spans="24:24" ht="15.75" customHeight="1" x14ac:dyDescent="0.2">
      <c r="X854" s="24"/>
    </row>
    <row r="855" spans="24:24" ht="15.75" customHeight="1" x14ac:dyDescent="0.2">
      <c r="X855" s="24"/>
    </row>
    <row r="856" spans="24:24" ht="15.75" customHeight="1" x14ac:dyDescent="0.2">
      <c r="X856" s="24"/>
    </row>
    <row r="857" spans="24:24" ht="15.75" customHeight="1" x14ac:dyDescent="0.2">
      <c r="X857" s="24"/>
    </row>
    <row r="858" spans="24:24" ht="15.75" customHeight="1" x14ac:dyDescent="0.2">
      <c r="X858" s="24"/>
    </row>
    <row r="859" spans="24:24" ht="15.75" customHeight="1" x14ac:dyDescent="0.2">
      <c r="X859" s="24"/>
    </row>
    <row r="860" spans="24:24" ht="15.75" customHeight="1" x14ac:dyDescent="0.2">
      <c r="X860" s="24"/>
    </row>
    <row r="861" spans="24:24" ht="15.75" customHeight="1" x14ac:dyDescent="0.2">
      <c r="X861" s="24"/>
    </row>
    <row r="862" spans="24:24" ht="15.75" customHeight="1" x14ac:dyDescent="0.2">
      <c r="X862" s="24"/>
    </row>
    <row r="863" spans="24:24" ht="15.75" customHeight="1" x14ac:dyDescent="0.2">
      <c r="X863" s="24"/>
    </row>
    <row r="864" spans="24:24" ht="15.75" customHeight="1" x14ac:dyDescent="0.2">
      <c r="X864" s="24"/>
    </row>
    <row r="865" spans="24:24" ht="15.75" customHeight="1" x14ac:dyDescent="0.2">
      <c r="X865" s="24"/>
    </row>
    <row r="866" spans="24:24" ht="15.75" customHeight="1" x14ac:dyDescent="0.2">
      <c r="X866" s="24"/>
    </row>
    <row r="867" spans="24:24" ht="15.75" customHeight="1" x14ac:dyDescent="0.2">
      <c r="X867" s="24"/>
    </row>
    <row r="868" spans="24:24" ht="15.75" customHeight="1" x14ac:dyDescent="0.2">
      <c r="X868" s="24"/>
    </row>
    <row r="869" spans="24:24" ht="15.75" customHeight="1" x14ac:dyDescent="0.2">
      <c r="X869" s="24"/>
    </row>
    <row r="870" spans="24:24" ht="15.75" customHeight="1" x14ac:dyDescent="0.2">
      <c r="X870" s="24"/>
    </row>
    <row r="871" spans="24:24" ht="15.75" customHeight="1" x14ac:dyDescent="0.2">
      <c r="X871" s="24"/>
    </row>
    <row r="872" spans="24:24" ht="15.75" customHeight="1" x14ac:dyDescent="0.2">
      <c r="X872" s="24"/>
    </row>
    <row r="873" spans="24:24" ht="15.75" customHeight="1" x14ac:dyDescent="0.2">
      <c r="X873" s="24"/>
    </row>
    <row r="874" spans="24:24" ht="15.75" customHeight="1" x14ac:dyDescent="0.2">
      <c r="X874" s="24"/>
    </row>
    <row r="875" spans="24:24" ht="15.75" customHeight="1" x14ac:dyDescent="0.2">
      <c r="X875" s="24"/>
    </row>
    <row r="876" spans="24:24" ht="15.75" customHeight="1" x14ac:dyDescent="0.2">
      <c r="X876" s="24"/>
    </row>
    <row r="877" spans="24:24" ht="15.75" customHeight="1" x14ac:dyDescent="0.2">
      <c r="X877" s="24"/>
    </row>
    <row r="878" spans="24:24" ht="15.75" customHeight="1" x14ac:dyDescent="0.2">
      <c r="X878" s="24"/>
    </row>
    <row r="879" spans="24:24" ht="15.75" customHeight="1" x14ac:dyDescent="0.2">
      <c r="X879" s="24"/>
    </row>
    <row r="880" spans="24:24" ht="15.75" customHeight="1" x14ac:dyDescent="0.2">
      <c r="X880" s="24"/>
    </row>
    <row r="881" spans="24:24" ht="15.75" customHeight="1" x14ac:dyDescent="0.2">
      <c r="X881" s="24"/>
    </row>
    <row r="882" spans="24:24" ht="15.75" customHeight="1" x14ac:dyDescent="0.2">
      <c r="X882" s="24"/>
    </row>
    <row r="883" spans="24:24" ht="15.75" customHeight="1" x14ac:dyDescent="0.2">
      <c r="X883" s="24"/>
    </row>
    <row r="884" spans="24:24" ht="15.75" customHeight="1" x14ac:dyDescent="0.2">
      <c r="X884" s="24"/>
    </row>
    <row r="885" spans="24:24" ht="15.75" customHeight="1" x14ac:dyDescent="0.2">
      <c r="X885" s="24"/>
    </row>
    <row r="886" spans="24:24" ht="15.75" customHeight="1" x14ac:dyDescent="0.2">
      <c r="X886" s="24"/>
    </row>
    <row r="887" spans="24:24" ht="15.75" customHeight="1" x14ac:dyDescent="0.2">
      <c r="X887" s="24"/>
    </row>
    <row r="888" spans="24:24" ht="15.75" customHeight="1" x14ac:dyDescent="0.2">
      <c r="X888" s="24"/>
    </row>
    <row r="889" spans="24:24" ht="15.75" customHeight="1" x14ac:dyDescent="0.2">
      <c r="X889" s="24"/>
    </row>
    <row r="890" spans="24:24" ht="15.75" customHeight="1" x14ac:dyDescent="0.2">
      <c r="X890" s="24"/>
    </row>
    <row r="891" spans="24:24" ht="15.75" customHeight="1" x14ac:dyDescent="0.2">
      <c r="X891" s="24"/>
    </row>
    <row r="892" spans="24:24" ht="15.75" customHeight="1" x14ac:dyDescent="0.2">
      <c r="X892" s="24"/>
    </row>
    <row r="893" spans="24:24" ht="15.75" customHeight="1" x14ac:dyDescent="0.2">
      <c r="X893" s="24"/>
    </row>
    <row r="894" spans="24:24" ht="15.75" customHeight="1" x14ac:dyDescent="0.2">
      <c r="X894" s="24"/>
    </row>
    <row r="895" spans="24:24" ht="15.75" customHeight="1" x14ac:dyDescent="0.2">
      <c r="X895" s="24"/>
    </row>
    <row r="896" spans="24:24" ht="15.75" customHeight="1" x14ac:dyDescent="0.2">
      <c r="X896" s="24"/>
    </row>
    <row r="897" spans="24:24" ht="15.75" customHeight="1" x14ac:dyDescent="0.2">
      <c r="X897" s="24"/>
    </row>
    <row r="898" spans="24:24" ht="15.75" customHeight="1" x14ac:dyDescent="0.2">
      <c r="X898" s="24"/>
    </row>
    <row r="899" spans="24:24" ht="15.75" customHeight="1" x14ac:dyDescent="0.2">
      <c r="X899" s="24"/>
    </row>
    <row r="900" spans="24:24" ht="15.75" customHeight="1" x14ac:dyDescent="0.2">
      <c r="X900" s="24"/>
    </row>
    <row r="901" spans="24:24" ht="15.75" customHeight="1" x14ac:dyDescent="0.2">
      <c r="X901" s="24"/>
    </row>
    <row r="902" spans="24:24" ht="15.75" customHeight="1" x14ac:dyDescent="0.2">
      <c r="X902" s="24"/>
    </row>
    <row r="903" spans="24:24" ht="15.75" customHeight="1" x14ac:dyDescent="0.2">
      <c r="X903" s="24"/>
    </row>
    <row r="904" spans="24:24" ht="15.75" customHeight="1" x14ac:dyDescent="0.2">
      <c r="X904" s="24"/>
    </row>
    <row r="905" spans="24:24" ht="15.75" customHeight="1" x14ac:dyDescent="0.2">
      <c r="X905" s="24"/>
    </row>
    <row r="906" spans="24:24" ht="15.75" customHeight="1" x14ac:dyDescent="0.2">
      <c r="X906" s="24"/>
    </row>
    <row r="907" spans="24:24" ht="15.75" customHeight="1" x14ac:dyDescent="0.2">
      <c r="X907" s="24"/>
    </row>
    <row r="908" spans="24:24" ht="15.75" customHeight="1" x14ac:dyDescent="0.2">
      <c r="X908" s="24"/>
    </row>
    <row r="909" spans="24:24" ht="15.75" customHeight="1" x14ac:dyDescent="0.2">
      <c r="X909" s="24"/>
    </row>
    <row r="910" spans="24:24" ht="15.75" customHeight="1" x14ac:dyDescent="0.2">
      <c r="X910" s="24"/>
    </row>
    <row r="911" spans="24:24" ht="15.75" customHeight="1" x14ac:dyDescent="0.2">
      <c r="X911" s="24"/>
    </row>
    <row r="912" spans="24:24" ht="15.75" customHeight="1" x14ac:dyDescent="0.2">
      <c r="X912" s="24"/>
    </row>
    <row r="913" spans="24:24" ht="15.75" customHeight="1" x14ac:dyDescent="0.2">
      <c r="X913" s="24"/>
    </row>
    <row r="914" spans="24:24" ht="15.75" customHeight="1" x14ac:dyDescent="0.2">
      <c r="X914" s="24"/>
    </row>
    <row r="915" spans="24:24" ht="15.75" customHeight="1" x14ac:dyDescent="0.2">
      <c r="X915" s="24"/>
    </row>
    <row r="916" spans="24:24" ht="15.75" customHeight="1" x14ac:dyDescent="0.2">
      <c r="X916" s="24"/>
    </row>
    <row r="917" spans="24:24" ht="15.75" customHeight="1" x14ac:dyDescent="0.2">
      <c r="X917" s="24"/>
    </row>
    <row r="918" spans="24:24" ht="15.75" customHeight="1" x14ac:dyDescent="0.2">
      <c r="X918" s="24"/>
    </row>
    <row r="919" spans="24:24" ht="15.75" customHeight="1" x14ac:dyDescent="0.2">
      <c r="X919" s="24"/>
    </row>
    <row r="920" spans="24:24" ht="15.75" customHeight="1" x14ac:dyDescent="0.2">
      <c r="X920" s="24"/>
    </row>
    <row r="921" spans="24:24" ht="15.75" customHeight="1" x14ac:dyDescent="0.2">
      <c r="X921" s="24"/>
    </row>
    <row r="922" spans="24:24" ht="15.75" customHeight="1" x14ac:dyDescent="0.2">
      <c r="X922" s="24"/>
    </row>
    <row r="923" spans="24:24" ht="15.75" customHeight="1" x14ac:dyDescent="0.2">
      <c r="X923" s="24"/>
    </row>
    <row r="924" spans="24:24" ht="15.75" customHeight="1" x14ac:dyDescent="0.2">
      <c r="X924" s="24"/>
    </row>
    <row r="925" spans="24:24" ht="15.75" customHeight="1" x14ac:dyDescent="0.2">
      <c r="X925" s="24"/>
    </row>
    <row r="926" spans="24:24" ht="15.75" customHeight="1" x14ac:dyDescent="0.2">
      <c r="X926" s="24"/>
    </row>
    <row r="927" spans="24:24" ht="15.75" customHeight="1" x14ac:dyDescent="0.2">
      <c r="X927" s="24"/>
    </row>
    <row r="928" spans="24:24" ht="15.75" customHeight="1" x14ac:dyDescent="0.2">
      <c r="X928" s="24"/>
    </row>
    <row r="929" spans="24:24" ht="15.75" customHeight="1" x14ac:dyDescent="0.2">
      <c r="X929" s="24"/>
    </row>
    <row r="930" spans="24:24" ht="15.75" customHeight="1" x14ac:dyDescent="0.2">
      <c r="X930" s="24"/>
    </row>
    <row r="931" spans="24:24" ht="15.75" customHeight="1" x14ac:dyDescent="0.2">
      <c r="X931" s="24"/>
    </row>
    <row r="932" spans="24:24" ht="15.75" customHeight="1" x14ac:dyDescent="0.2">
      <c r="X932" s="24"/>
    </row>
    <row r="933" spans="24:24" ht="15.75" customHeight="1" x14ac:dyDescent="0.2">
      <c r="X933" s="24"/>
    </row>
    <row r="934" spans="24:24" ht="15.75" customHeight="1" x14ac:dyDescent="0.2">
      <c r="X934" s="24"/>
    </row>
    <row r="935" spans="24:24" ht="15.75" customHeight="1" x14ac:dyDescent="0.2">
      <c r="X935" s="24"/>
    </row>
    <row r="936" spans="24:24" ht="15.75" customHeight="1" x14ac:dyDescent="0.2">
      <c r="X936" s="24"/>
    </row>
    <row r="937" spans="24:24" ht="15.75" customHeight="1" x14ac:dyDescent="0.2">
      <c r="X937" s="24"/>
    </row>
    <row r="938" spans="24:24" ht="15.75" customHeight="1" x14ac:dyDescent="0.2">
      <c r="X938" s="24"/>
    </row>
    <row r="939" spans="24:24" ht="15.75" customHeight="1" x14ac:dyDescent="0.2">
      <c r="X939" s="24"/>
    </row>
    <row r="940" spans="24:24" ht="15.75" customHeight="1" x14ac:dyDescent="0.2">
      <c r="X940" s="24"/>
    </row>
    <row r="941" spans="24:24" ht="15.75" customHeight="1" x14ac:dyDescent="0.2">
      <c r="X941" s="24"/>
    </row>
    <row r="942" spans="24:24" ht="15.75" customHeight="1" x14ac:dyDescent="0.2">
      <c r="X942" s="24"/>
    </row>
    <row r="943" spans="24:24" ht="15.75" customHeight="1" x14ac:dyDescent="0.2">
      <c r="X943" s="24"/>
    </row>
    <row r="944" spans="24:24" ht="15.75" customHeight="1" x14ac:dyDescent="0.2">
      <c r="X944" s="24"/>
    </row>
    <row r="945" spans="24:24" ht="15.75" customHeight="1" x14ac:dyDescent="0.2">
      <c r="X945" s="24"/>
    </row>
    <row r="946" spans="24:24" ht="15.75" customHeight="1" x14ac:dyDescent="0.2">
      <c r="X946" s="24"/>
    </row>
    <row r="947" spans="24:24" ht="15.75" customHeight="1" x14ac:dyDescent="0.2">
      <c r="X947" s="24"/>
    </row>
    <row r="948" spans="24:24" ht="15.75" customHeight="1" x14ac:dyDescent="0.2">
      <c r="X948" s="24"/>
    </row>
    <row r="949" spans="24:24" ht="15.75" customHeight="1" x14ac:dyDescent="0.2">
      <c r="X949" s="24"/>
    </row>
    <row r="950" spans="24:24" ht="15.75" customHeight="1" x14ac:dyDescent="0.2">
      <c r="X950" s="24"/>
    </row>
    <row r="951" spans="24:24" ht="15.75" customHeight="1" x14ac:dyDescent="0.2">
      <c r="X951" s="24"/>
    </row>
    <row r="952" spans="24:24" ht="15.75" customHeight="1" x14ac:dyDescent="0.2">
      <c r="X952" s="24"/>
    </row>
    <row r="953" spans="24:24" ht="15.75" customHeight="1" x14ac:dyDescent="0.2">
      <c r="X953" s="24"/>
    </row>
    <row r="954" spans="24:24" ht="15.75" customHeight="1" x14ac:dyDescent="0.2">
      <c r="X954" s="24"/>
    </row>
    <row r="955" spans="24:24" ht="15.75" customHeight="1" x14ac:dyDescent="0.2">
      <c r="X955" s="24"/>
    </row>
    <row r="956" spans="24:24" ht="15.75" customHeight="1" x14ac:dyDescent="0.2">
      <c r="X956" s="24"/>
    </row>
    <row r="957" spans="24:24" ht="15.75" customHeight="1" x14ac:dyDescent="0.2">
      <c r="X957" s="24"/>
    </row>
    <row r="958" spans="24:24" ht="15.75" customHeight="1" x14ac:dyDescent="0.2">
      <c r="X958" s="24"/>
    </row>
    <row r="959" spans="24:24" ht="15.75" customHeight="1" x14ac:dyDescent="0.2">
      <c r="X959" s="24"/>
    </row>
    <row r="960" spans="24:24" ht="15.75" customHeight="1" x14ac:dyDescent="0.2">
      <c r="X960" s="24"/>
    </row>
    <row r="961" spans="24:24" ht="15.75" customHeight="1" x14ac:dyDescent="0.2">
      <c r="X961" s="24"/>
    </row>
    <row r="962" spans="24:24" ht="15.75" customHeight="1" x14ac:dyDescent="0.2">
      <c r="X962" s="24"/>
    </row>
    <row r="963" spans="24:24" ht="15.75" customHeight="1" x14ac:dyDescent="0.2">
      <c r="X963" s="24"/>
    </row>
    <row r="964" spans="24:24" ht="15.75" customHeight="1" x14ac:dyDescent="0.2">
      <c r="X964" s="24"/>
    </row>
    <row r="965" spans="24:24" ht="15.75" customHeight="1" x14ac:dyDescent="0.2">
      <c r="X965" s="24"/>
    </row>
    <row r="966" spans="24:24" ht="15.75" customHeight="1" x14ac:dyDescent="0.2">
      <c r="X966" s="24"/>
    </row>
    <row r="967" spans="24:24" ht="15.75" customHeight="1" x14ac:dyDescent="0.2">
      <c r="X967" s="24"/>
    </row>
    <row r="968" spans="24:24" ht="15.75" customHeight="1" x14ac:dyDescent="0.2">
      <c r="X968" s="24"/>
    </row>
    <row r="969" spans="24:24" ht="15.75" customHeight="1" x14ac:dyDescent="0.2">
      <c r="X969" s="24"/>
    </row>
    <row r="970" spans="24:24" ht="15.75" customHeight="1" x14ac:dyDescent="0.2">
      <c r="X970" s="24"/>
    </row>
    <row r="971" spans="24:24" ht="15.75" customHeight="1" x14ac:dyDescent="0.2">
      <c r="X971" s="24"/>
    </row>
    <row r="972" spans="24:24" ht="15.75" customHeight="1" x14ac:dyDescent="0.2">
      <c r="X972" s="24"/>
    </row>
    <row r="973" spans="24:24" ht="15.75" customHeight="1" x14ac:dyDescent="0.2">
      <c r="X973" s="24"/>
    </row>
    <row r="974" spans="24:24" ht="15.75" customHeight="1" x14ac:dyDescent="0.2">
      <c r="X974" s="24"/>
    </row>
    <row r="975" spans="24:24" ht="15.75" customHeight="1" x14ac:dyDescent="0.2">
      <c r="X975" s="24"/>
    </row>
    <row r="976" spans="24:24" ht="15.75" customHeight="1" x14ac:dyDescent="0.2">
      <c r="X976" s="24"/>
    </row>
    <row r="977" spans="24:24" ht="15.75" customHeight="1" x14ac:dyDescent="0.2">
      <c r="X977" s="24"/>
    </row>
    <row r="978" spans="24:24" ht="15.75" customHeight="1" x14ac:dyDescent="0.2">
      <c r="X978" s="24"/>
    </row>
    <row r="979" spans="24:24" ht="15.75" customHeight="1" x14ac:dyDescent="0.2">
      <c r="X979" s="24"/>
    </row>
    <row r="980" spans="24:24" ht="15.75" customHeight="1" x14ac:dyDescent="0.2">
      <c r="X980" s="24"/>
    </row>
    <row r="981" spans="24:24" ht="15.75" customHeight="1" x14ac:dyDescent="0.2">
      <c r="X981" s="24"/>
    </row>
    <row r="982" spans="24:24" ht="15.75" customHeight="1" x14ac:dyDescent="0.2">
      <c r="X982" s="24"/>
    </row>
    <row r="983" spans="24:24" ht="15.75" customHeight="1" x14ac:dyDescent="0.2">
      <c r="X983" s="24"/>
    </row>
    <row r="984" spans="24:24" ht="15.75" customHeight="1" x14ac:dyDescent="0.2">
      <c r="X984" s="24"/>
    </row>
    <row r="985" spans="24:24" ht="15.75" customHeight="1" x14ac:dyDescent="0.2">
      <c r="X985" s="24"/>
    </row>
    <row r="986" spans="24:24" ht="15.75" customHeight="1" x14ac:dyDescent="0.2">
      <c r="X986" s="24"/>
    </row>
    <row r="987" spans="24:24" ht="15.75" customHeight="1" x14ac:dyDescent="0.2">
      <c r="X987" s="24"/>
    </row>
    <row r="988" spans="24:24" ht="15.75" customHeight="1" x14ac:dyDescent="0.2">
      <c r="X988" s="24"/>
    </row>
    <row r="989" spans="24:24" ht="15.75" customHeight="1" x14ac:dyDescent="0.2">
      <c r="X989" s="24"/>
    </row>
    <row r="990" spans="24:24" ht="15.75" customHeight="1" x14ac:dyDescent="0.2">
      <c r="X990" s="24"/>
    </row>
    <row r="991" spans="24:24" ht="15.75" customHeight="1" x14ac:dyDescent="0.2">
      <c r="X991" s="24"/>
    </row>
  </sheetData>
  <mergeCells count="6">
    <mergeCell ref="A1:D4"/>
    <mergeCell ref="E1:T4"/>
    <mergeCell ref="U1:X2"/>
    <mergeCell ref="U3:X4"/>
    <mergeCell ref="A5:D5"/>
    <mergeCell ref="E5:X5"/>
  </mergeCells>
  <dataValidations count="1">
    <dataValidation type="list" allowBlank="1" showErrorMessage="1" sqref="E7:W7" xr:uid="{00000000-0002-0000-0400-000000000000}">
      <formula1>"SI,NO"</formula1>
    </dataValidation>
  </dataValidations>
  <pageMargins left="0.51181102362204722" right="0.70866141732283472" top="1.1417322834645669" bottom="0.74803149606299213" header="0" footer="0"/>
  <pageSetup orientation="landscape" r:id="rId1"/>
  <headerFooter>
    <oddHeader>&amp;C Matriz de Riesgos</oddHeader>
  </headerFooter>
  <colBreaks count="1" manualBreakCount="1">
    <brk id="4" man="1"/>
  </colBreaks>
  <drawing r:id="rId2"/>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K972"/>
  <sheetViews>
    <sheetView showGridLines="0" topLeftCell="R6" zoomScale="70" zoomScaleNormal="70" workbookViewId="0">
      <selection activeCell="X21" sqref="X21:X25"/>
    </sheetView>
  </sheetViews>
  <sheetFormatPr baseColWidth="10" defaultColWidth="12.625" defaultRowHeight="15" customHeight="1" x14ac:dyDescent="0.2"/>
  <cols>
    <col min="1" max="1" width="4.75" style="228" customWidth="1"/>
    <col min="2" max="2" width="18.125" style="228" customWidth="1"/>
    <col min="3" max="3" width="56.25" style="228" customWidth="1"/>
    <col min="4" max="4" width="26.25" style="228" customWidth="1"/>
    <col min="5" max="5" width="10.625" style="228" customWidth="1"/>
    <col min="6" max="6" width="17.25" style="228" customWidth="1"/>
    <col min="7" max="7" width="12.875" style="228" customWidth="1"/>
    <col min="8" max="8" width="5.375" style="228" customWidth="1"/>
    <col min="9" max="9" width="14" style="228" customWidth="1"/>
    <col min="10" max="10" width="12.75" style="228" customWidth="1"/>
    <col min="11" max="11" width="28.75" style="441" customWidth="1"/>
    <col min="12" max="12" width="41" style="228" customWidth="1"/>
    <col min="13" max="13" width="13.75" style="228" customWidth="1"/>
    <col min="14" max="14" width="15" style="228" customWidth="1"/>
    <col min="15" max="15" width="19.25" style="228" customWidth="1"/>
    <col min="16" max="16" width="18.875" style="228" customWidth="1"/>
    <col min="17" max="17" width="12" style="228" customWidth="1"/>
    <col min="18" max="18" width="12.625" style="228" customWidth="1"/>
    <col min="19" max="20" width="13.625" style="228" customWidth="1"/>
    <col min="21" max="21" width="17.5" style="228" customWidth="1"/>
    <col min="22" max="22" width="12.125" style="228" customWidth="1"/>
    <col min="23" max="23" width="13.875" style="228" customWidth="1"/>
    <col min="24" max="24" width="14.375" style="228" customWidth="1"/>
    <col min="25" max="25" width="35.75" style="228" customWidth="1"/>
    <col min="26" max="26" width="24.25" style="228" customWidth="1"/>
    <col min="27" max="28" width="10.875" style="228" customWidth="1"/>
    <col min="29" max="29" width="31.125" style="228" customWidth="1"/>
    <col min="30" max="33" width="22.5" style="228" customWidth="1"/>
    <col min="34" max="35" width="18.5" style="228" customWidth="1"/>
    <col min="36" max="36" width="39.5" style="228" customWidth="1"/>
    <col min="37" max="37" width="59.375" style="228" customWidth="1"/>
    <col min="38" max="16384" width="12.625" style="228"/>
  </cols>
  <sheetData>
    <row r="1" spans="1:37" ht="14.25" x14ac:dyDescent="0.2">
      <c r="A1" s="1392"/>
      <c r="B1" s="1200"/>
      <c r="C1" s="1201"/>
      <c r="D1" s="1393" t="s">
        <v>55</v>
      </c>
      <c r="E1" s="1200"/>
      <c r="F1" s="1200"/>
      <c r="G1" s="1200"/>
      <c r="H1" s="1200"/>
      <c r="I1" s="1200"/>
      <c r="J1" s="1200"/>
      <c r="K1" s="1200"/>
      <c r="L1" s="1200"/>
      <c r="M1" s="1200"/>
      <c r="N1" s="1200"/>
      <c r="O1" s="1200"/>
      <c r="P1" s="1200"/>
      <c r="Q1" s="1200"/>
      <c r="R1" s="1200"/>
      <c r="S1" s="1200"/>
      <c r="T1" s="1200"/>
      <c r="U1" s="1200"/>
      <c r="V1" s="1200"/>
      <c r="W1" s="1200"/>
      <c r="X1" s="1200"/>
      <c r="Y1" s="1200"/>
      <c r="Z1" s="1200"/>
      <c r="AA1" s="1200"/>
      <c r="AB1" s="1200"/>
      <c r="AC1" s="1200"/>
      <c r="AD1" s="1200"/>
      <c r="AE1" s="1200"/>
      <c r="AF1" s="1200"/>
      <c r="AG1" s="1200"/>
      <c r="AH1" s="1200"/>
      <c r="AI1" s="1200"/>
      <c r="AJ1" s="1201"/>
      <c r="AK1" s="1394" t="s">
        <v>35</v>
      </c>
    </row>
    <row r="2" spans="1:37" ht="14.25" x14ac:dyDescent="0.2">
      <c r="A2" s="1202"/>
      <c r="B2" s="1203"/>
      <c r="C2" s="1198"/>
      <c r="D2" s="1202"/>
      <c r="E2" s="1203"/>
      <c r="F2" s="1203"/>
      <c r="G2" s="1203"/>
      <c r="H2" s="1203"/>
      <c r="I2" s="1203"/>
      <c r="J2" s="1203"/>
      <c r="K2" s="1203"/>
      <c r="L2" s="1203"/>
      <c r="M2" s="1203"/>
      <c r="N2" s="1203"/>
      <c r="O2" s="1203"/>
      <c r="P2" s="1203"/>
      <c r="Q2" s="1203"/>
      <c r="R2" s="1203"/>
      <c r="S2" s="1203"/>
      <c r="T2" s="1203"/>
      <c r="U2" s="1203"/>
      <c r="V2" s="1203"/>
      <c r="W2" s="1203"/>
      <c r="X2" s="1203"/>
      <c r="Y2" s="1203"/>
      <c r="Z2" s="1203"/>
      <c r="AA2" s="1203"/>
      <c r="AB2" s="1203"/>
      <c r="AC2" s="1203"/>
      <c r="AD2" s="1203"/>
      <c r="AE2" s="1203"/>
      <c r="AF2" s="1203"/>
      <c r="AG2" s="1203"/>
      <c r="AH2" s="1203"/>
      <c r="AI2" s="1203"/>
      <c r="AJ2" s="1198"/>
      <c r="AK2" s="1208"/>
    </row>
    <row r="3" spans="1:37" ht="14.25" x14ac:dyDescent="0.2">
      <c r="A3" s="1202"/>
      <c r="B3" s="1203"/>
      <c r="C3" s="1198"/>
      <c r="D3" s="1202"/>
      <c r="E3" s="1203"/>
      <c r="F3" s="1203"/>
      <c r="G3" s="1203"/>
      <c r="H3" s="1203"/>
      <c r="I3" s="1203"/>
      <c r="J3" s="1203"/>
      <c r="K3" s="1203"/>
      <c r="L3" s="1203"/>
      <c r="M3" s="1203"/>
      <c r="N3" s="1203"/>
      <c r="O3" s="1203"/>
      <c r="P3" s="1203"/>
      <c r="Q3" s="1203"/>
      <c r="R3" s="1203"/>
      <c r="S3" s="1203"/>
      <c r="T3" s="1203"/>
      <c r="U3" s="1203"/>
      <c r="V3" s="1203"/>
      <c r="W3" s="1203"/>
      <c r="X3" s="1203"/>
      <c r="Y3" s="1203"/>
      <c r="Z3" s="1203"/>
      <c r="AA3" s="1203"/>
      <c r="AB3" s="1203"/>
      <c r="AC3" s="1203"/>
      <c r="AD3" s="1203"/>
      <c r="AE3" s="1203"/>
      <c r="AF3" s="1203"/>
      <c r="AG3" s="1203"/>
      <c r="AH3" s="1203"/>
      <c r="AI3" s="1203"/>
      <c r="AJ3" s="1198"/>
      <c r="AK3" s="1394" t="s">
        <v>56</v>
      </c>
    </row>
    <row r="4" spans="1:37" ht="14.25" x14ac:dyDescent="0.2">
      <c r="A4" s="1202"/>
      <c r="B4" s="1243"/>
      <c r="C4" s="1198"/>
      <c r="D4" s="1202"/>
      <c r="E4" s="1243"/>
      <c r="F4" s="1243"/>
      <c r="G4" s="1243"/>
      <c r="H4" s="1243"/>
      <c r="I4" s="1243"/>
      <c r="J4" s="1243"/>
      <c r="K4" s="1243"/>
      <c r="L4" s="1243"/>
      <c r="M4" s="1243"/>
      <c r="N4" s="1243"/>
      <c r="O4" s="1243"/>
      <c r="P4" s="1243"/>
      <c r="Q4" s="1243"/>
      <c r="R4" s="1243"/>
      <c r="S4" s="1243"/>
      <c r="T4" s="1243"/>
      <c r="U4" s="1243"/>
      <c r="V4" s="1243"/>
      <c r="W4" s="1243"/>
      <c r="X4" s="1243"/>
      <c r="Y4" s="1243"/>
      <c r="Z4" s="1243"/>
      <c r="AA4" s="1243"/>
      <c r="AB4" s="1243"/>
      <c r="AC4" s="1243"/>
      <c r="AD4" s="1243"/>
      <c r="AE4" s="1243"/>
      <c r="AF4" s="1243"/>
      <c r="AG4" s="1243"/>
      <c r="AH4" s="1243"/>
      <c r="AI4" s="1243"/>
      <c r="AJ4" s="1198"/>
      <c r="AK4" s="1259"/>
    </row>
    <row r="5" spans="1:37" ht="18.75" customHeight="1" x14ac:dyDescent="0.25">
      <c r="A5" s="1229" t="s">
        <v>57</v>
      </c>
      <c r="B5" s="1225"/>
      <c r="C5" s="1225"/>
      <c r="D5" s="1225"/>
      <c r="E5" s="1225"/>
      <c r="F5" s="1225"/>
      <c r="G5" s="1225"/>
      <c r="H5" s="1225"/>
      <c r="I5" s="1225"/>
      <c r="J5" s="245"/>
      <c r="K5" s="1230" t="s">
        <v>58</v>
      </c>
      <c r="L5" s="1225"/>
      <c r="M5" s="1225"/>
      <c r="N5" s="1225"/>
      <c r="O5" s="1225"/>
      <c r="P5" s="1225"/>
      <c r="Q5" s="1230" t="s">
        <v>59</v>
      </c>
      <c r="R5" s="1225"/>
      <c r="S5" s="1225"/>
      <c r="T5" s="1225"/>
      <c r="U5" s="1225"/>
      <c r="V5" s="1225"/>
      <c r="W5" s="1225"/>
      <c r="X5" s="1225"/>
      <c r="Y5" s="1230" t="s">
        <v>60</v>
      </c>
      <c r="Z5" s="1225"/>
      <c r="AA5" s="1225"/>
      <c r="AB5" s="1225"/>
      <c r="AC5" s="1225"/>
      <c r="AD5" s="1230" t="s">
        <v>61</v>
      </c>
      <c r="AE5" s="1225"/>
      <c r="AF5" s="1225"/>
      <c r="AG5" s="1225"/>
      <c r="AH5" s="1225"/>
      <c r="AI5" s="1225"/>
      <c r="AJ5" s="246" t="s">
        <v>62</v>
      </c>
      <c r="AK5" s="246" t="s">
        <v>63</v>
      </c>
    </row>
    <row r="6" spans="1:37" ht="51" x14ac:dyDescent="0.2">
      <c r="A6" s="247" t="s">
        <v>44</v>
      </c>
      <c r="B6" s="247" t="s">
        <v>64</v>
      </c>
      <c r="C6" s="247" t="s">
        <v>65</v>
      </c>
      <c r="D6" s="248" t="s">
        <v>66</v>
      </c>
      <c r="E6" s="247" t="s">
        <v>67</v>
      </c>
      <c r="F6" s="247" t="s">
        <v>68</v>
      </c>
      <c r="G6" s="248" t="s">
        <v>69</v>
      </c>
      <c r="H6" s="248" t="s">
        <v>70</v>
      </c>
      <c r="I6" s="247" t="s">
        <v>71</v>
      </c>
      <c r="J6" s="247" t="s">
        <v>72</v>
      </c>
      <c r="K6" s="430" t="s">
        <v>73</v>
      </c>
      <c r="L6" s="247" t="s">
        <v>74</v>
      </c>
      <c r="M6" s="249" t="s">
        <v>75</v>
      </c>
      <c r="N6" s="247" t="s">
        <v>76</v>
      </c>
      <c r="O6" s="247" t="s">
        <v>77</v>
      </c>
      <c r="P6" s="247" t="s">
        <v>78</v>
      </c>
      <c r="Q6" s="247" t="s">
        <v>79</v>
      </c>
      <c r="R6" s="247" t="s">
        <v>80</v>
      </c>
      <c r="S6" s="247" t="s">
        <v>67</v>
      </c>
      <c r="T6" s="247" t="s">
        <v>70</v>
      </c>
      <c r="U6" s="247" t="s">
        <v>81</v>
      </c>
      <c r="V6" s="247" t="s">
        <v>82</v>
      </c>
      <c r="W6" s="247" t="s">
        <v>83</v>
      </c>
      <c r="X6" s="247" t="s">
        <v>84</v>
      </c>
      <c r="Y6" s="247" t="s">
        <v>85</v>
      </c>
      <c r="Z6" s="247" t="s">
        <v>86</v>
      </c>
      <c r="AA6" s="247" t="s">
        <v>87</v>
      </c>
      <c r="AB6" s="247" t="s">
        <v>88</v>
      </c>
      <c r="AC6" s="247" t="s">
        <v>89</v>
      </c>
      <c r="AD6" s="247" t="s">
        <v>90</v>
      </c>
      <c r="AE6" s="247" t="s">
        <v>91</v>
      </c>
      <c r="AF6" s="247" t="s">
        <v>92</v>
      </c>
      <c r="AG6" s="247" t="s">
        <v>91</v>
      </c>
      <c r="AH6" s="247" t="s">
        <v>93</v>
      </c>
      <c r="AI6" s="247" t="s">
        <v>91</v>
      </c>
      <c r="AJ6" s="247" t="s">
        <v>94</v>
      </c>
      <c r="AK6" s="247" t="s">
        <v>95</v>
      </c>
    </row>
    <row r="7" spans="1:37" ht="138" customHeight="1" x14ac:dyDescent="0.2">
      <c r="A7" s="1239" t="e">
        <f>#REF!</f>
        <v>#REF!</v>
      </c>
      <c r="B7" s="1232" t="e">
        <f>#REF!</f>
        <v>#REF!</v>
      </c>
      <c r="C7" s="1479" t="e">
        <f>#REF!</f>
        <v>#REF!</v>
      </c>
      <c r="D7" s="1401" t="s">
        <v>223</v>
      </c>
      <c r="E7" s="1231">
        <f>IF(D7="Selecciona un descriptor de frecuencia."," ",IF(D7="","",VLOOKUP(D7,[7]Datos!$G$8:$J$12,2,FALSE)))</f>
        <v>2</v>
      </c>
      <c r="F7" s="1231" t="str">
        <f>IF(D7="Selecciona un descriptor de frecuencia."," ",IF(D7="","",VLOOKUP(D7,[7]Datos!$G$8:$J$12,3,FALSE)))</f>
        <v>Improbable</v>
      </c>
      <c r="G7" s="1233" t="s">
        <v>204</v>
      </c>
      <c r="H7" s="1239">
        <f>IF(G7="","",VLOOKUP(G7,[7]Datos!$K$8:$L$12,2,FALSE))</f>
        <v>3</v>
      </c>
      <c r="I7" s="1234" t="str">
        <f>IF(D7="Selecciona un descriptor de frecuencia."," ",IF(G7="Selecciona un descriptor de impacto."," ",IF(E7+H7=" ","",IF(E7="","",VLOOKUP(E7,[7]Datos!$U$8:$Z$12,MATCH(H7,[7]Datos!$V$7:$Z$7,0)+1,FALSE)))))</f>
        <v>MODERADO</v>
      </c>
      <c r="J7" s="1233" t="s">
        <v>122</v>
      </c>
      <c r="K7" s="431" t="s">
        <v>739</v>
      </c>
      <c r="L7" s="431" t="s">
        <v>740</v>
      </c>
      <c r="M7" s="251">
        <f>[7]Controles!T10</f>
        <v>100</v>
      </c>
      <c r="N7" s="251" t="str">
        <f>[7]Controles!AB10</f>
        <v>No</v>
      </c>
      <c r="O7" s="252">
        <f>[7]Controles!W10</f>
        <v>1</v>
      </c>
      <c r="P7" s="252">
        <f>[7]Controles!X10</f>
        <v>0</v>
      </c>
      <c r="Q7" s="1240">
        <f>SUM(O7:O11)</f>
        <v>4</v>
      </c>
      <c r="R7" s="1240">
        <f>SUM(P7:P11)</f>
        <v>1</v>
      </c>
      <c r="S7" s="1238">
        <f t="shared" ref="S7" si="0">IF(D7="Selecciona un descriptor de frecuencia."," ",IF(ROUNDUP(E7-Q7,0)&lt;0,1,ROUNDUP(E7-Q7,0)))</f>
        <v>1</v>
      </c>
      <c r="T7" s="1238">
        <f t="shared" ref="T7" si="1">IF(G7="Selecciona un descriptor de impacto."," ",IF(ROUNDUP(H7-R7,0)&lt;0,1,ROUNDUP(H7-R7,0)))</f>
        <v>2</v>
      </c>
      <c r="U7" s="1237" t="str">
        <f>IF(D7="Selecciona un descriptor de frecuencia."," ",VLOOKUP(S7,[7]Datos!$H$8:$I$12,2,FALSE))</f>
        <v>Rara vez</v>
      </c>
      <c r="V7" s="1237" t="str">
        <f>IF(G7="Selecciona un descriptor de impacto."," ",VLOOKUP(T7,[7]Datos!$L$8:$M$12,2,FALSE))</f>
        <v>Menor</v>
      </c>
      <c r="W7" s="1234" t="str">
        <f>IF(S7=" "," ",VLOOKUP(S7,[7]Datos!$U$8:$Z$12,MATCH(T7,[7]Datos!$V$7:$Z$7,0)+1,FALSE))</f>
        <v>BAJO</v>
      </c>
      <c r="X7" s="1233" t="s">
        <v>202</v>
      </c>
      <c r="Y7" s="253" t="s">
        <v>741</v>
      </c>
      <c r="Z7" s="258" t="s">
        <v>742</v>
      </c>
      <c r="AA7" s="255">
        <v>44197</v>
      </c>
      <c r="AB7" s="255">
        <v>45291</v>
      </c>
      <c r="AC7" s="258"/>
      <c r="AD7" s="260"/>
      <c r="AE7" s="260"/>
      <c r="AF7" s="260"/>
      <c r="AG7" s="260"/>
      <c r="AH7" s="260"/>
      <c r="AI7" s="260"/>
      <c r="AJ7" s="260"/>
      <c r="AK7" s="260"/>
    </row>
    <row r="8" spans="1:37" ht="114" customHeight="1" x14ac:dyDescent="0.2">
      <c r="A8" s="1225"/>
      <c r="B8" s="1225"/>
      <c r="C8" s="1225"/>
      <c r="D8" s="1480"/>
      <c r="E8" s="1225"/>
      <c r="F8" s="1225"/>
      <c r="G8" s="1225"/>
      <c r="H8" s="1225"/>
      <c r="I8" s="1225"/>
      <c r="J8" s="1225"/>
      <c r="K8" s="250" t="s">
        <v>743</v>
      </c>
      <c r="L8" s="250" t="s">
        <v>744</v>
      </c>
      <c r="M8" s="251">
        <f>[7]Controles!T11</f>
        <v>100</v>
      </c>
      <c r="N8" s="251" t="str">
        <f>[7]Controles!AB11</f>
        <v>No</v>
      </c>
      <c r="O8" s="252">
        <f>[7]Controles!W11</f>
        <v>1</v>
      </c>
      <c r="P8" s="252">
        <f>[7]Controles!X11</f>
        <v>0</v>
      </c>
      <c r="Q8" s="1225"/>
      <c r="R8" s="1225"/>
      <c r="S8" s="1225"/>
      <c r="T8" s="1225"/>
      <c r="U8" s="1225"/>
      <c r="V8" s="1225"/>
      <c r="W8" s="1225"/>
      <c r="X8" s="1225"/>
      <c r="Y8" s="432" t="s">
        <v>745</v>
      </c>
      <c r="Z8" s="259" t="s">
        <v>742</v>
      </c>
      <c r="AA8" s="433">
        <v>44197</v>
      </c>
      <c r="AB8" s="433">
        <v>44561</v>
      </c>
      <c r="AC8" s="391"/>
      <c r="AD8" s="260"/>
      <c r="AE8" s="260"/>
      <c r="AF8" s="260"/>
      <c r="AG8" s="260"/>
      <c r="AH8" s="260"/>
      <c r="AI8" s="260"/>
      <c r="AJ8" s="260"/>
      <c r="AK8" s="260"/>
    </row>
    <row r="9" spans="1:37" ht="128.25" customHeight="1" x14ac:dyDescent="0.2">
      <c r="A9" s="1225"/>
      <c r="B9" s="1225"/>
      <c r="C9" s="1225"/>
      <c r="D9" s="1480"/>
      <c r="E9" s="1225"/>
      <c r="F9" s="1225"/>
      <c r="G9" s="1225"/>
      <c r="H9" s="1225"/>
      <c r="I9" s="1225"/>
      <c r="J9" s="1225"/>
      <c r="K9" s="250" t="s">
        <v>746</v>
      </c>
      <c r="L9" s="250" t="s">
        <v>747</v>
      </c>
      <c r="M9" s="251">
        <f>[7]Controles!T12</f>
        <v>100</v>
      </c>
      <c r="N9" s="251" t="str">
        <f>[7]Controles!AB12</f>
        <v>No</v>
      </c>
      <c r="O9" s="252">
        <f>[7]Controles!W12</f>
        <v>1</v>
      </c>
      <c r="P9" s="252">
        <f>[7]Controles!X12</f>
        <v>0</v>
      </c>
      <c r="Q9" s="1225"/>
      <c r="R9" s="1225"/>
      <c r="S9" s="1225"/>
      <c r="T9" s="1225"/>
      <c r="U9" s="1225"/>
      <c r="V9" s="1225"/>
      <c r="W9" s="1225"/>
      <c r="X9" s="1225"/>
      <c r="Y9" s="257"/>
      <c r="Z9" s="391"/>
      <c r="AA9" s="255"/>
      <c r="AB9" s="255"/>
      <c r="AC9" s="258"/>
      <c r="AD9" s="260"/>
      <c r="AE9" s="260"/>
      <c r="AF9" s="260"/>
      <c r="AG9" s="260"/>
      <c r="AH9" s="260"/>
      <c r="AI9" s="260"/>
      <c r="AJ9" s="260"/>
      <c r="AK9" s="260"/>
    </row>
    <row r="10" spans="1:37" ht="117.75" customHeight="1" x14ac:dyDescent="0.2">
      <c r="A10" s="1225"/>
      <c r="B10" s="1225"/>
      <c r="C10" s="1225"/>
      <c r="D10" s="1480"/>
      <c r="E10" s="1225"/>
      <c r="F10" s="1225"/>
      <c r="G10" s="1225"/>
      <c r="H10" s="1225"/>
      <c r="I10" s="1225"/>
      <c r="J10" s="1225"/>
      <c r="K10" s="250" t="s">
        <v>748</v>
      </c>
      <c r="L10" s="250" t="s">
        <v>749</v>
      </c>
      <c r="M10" s="251">
        <f>[7]Controles!T13</f>
        <v>100</v>
      </c>
      <c r="N10" s="251" t="str">
        <f>[7]Controles!AB13</f>
        <v>No</v>
      </c>
      <c r="O10" s="252">
        <f>[7]Controles!W13</f>
        <v>1</v>
      </c>
      <c r="P10" s="252">
        <f>[7]Controles!X13</f>
        <v>0</v>
      </c>
      <c r="Q10" s="1225"/>
      <c r="R10" s="1225"/>
      <c r="S10" s="1225"/>
      <c r="T10" s="1225"/>
      <c r="U10" s="1225"/>
      <c r="V10" s="1225"/>
      <c r="W10" s="1225"/>
      <c r="X10" s="1225"/>
      <c r="Y10" s="257"/>
      <c r="Z10" s="258"/>
      <c r="AA10" s="255"/>
      <c r="AB10" s="255"/>
      <c r="AC10" s="258"/>
      <c r="AD10" s="260"/>
      <c r="AE10" s="260"/>
      <c r="AF10" s="260"/>
      <c r="AG10" s="260"/>
      <c r="AH10" s="260"/>
      <c r="AI10" s="260"/>
      <c r="AJ10" s="260"/>
      <c r="AK10" s="260"/>
    </row>
    <row r="11" spans="1:37" ht="165" customHeight="1" x14ac:dyDescent="0.2">
      <c r="A11" s="1225"/>
      <c r="B11" s="1225"/>
      <c r="C11" s="1225"/>
      <c r="D11" s="1480"/>
      <c r="E11" s="1225"/>
      <c r="F11" s="1225"/>
      <c r="G11" s="1225"/>
      <c r="H11" s="1225"/>
      <c r="I11" s="1225"/>
      <c r="J11" s="1225"/>
      <c r="K11" s="250" t="s">
        <v>750</v>
      </c>
      <c r="L11" s="250" t="s">
        <v>751</v>
      </c>
      <c r="M11" s="251">
        <f>[7]Controles!T14</f>
        <v>100</v>
      </c>
      <c r="N11" s="251" t="str">
        <f>[7]Controles!AB14</f>
        <v>SI</v>
      </c>
      <c r="O11" s="252">
        <f>[7]Controles!W14</f>
        <v>0</v>
      </c>
      <c r="P11" s="252">
        <f>[7]Controles!X14</f>
        <v>1</v>
      </c>
      <c r="Q11" s="1225"/>
      <c r="R11" s="1225"/>
      <c r="S11" s="1225"/>
      <c r="T11" s="1225"/>
      <c r="U11" s="1225"/>
      <c r="V11" s="1225"/>
      <c r="W11" s="1225"/>
      <c r="X11" s="1225"/>
      <c r="Y11" s="257"/>
      <c r="Z11" s="258"/>
      <c r="AA11" s="255"/>
      <c r="AB11" s="255"/>
      <c r="AC11" s="258"/>
      <c r="AD11" s="260"/>
      <c r="AE11" s="260"/>
      <c r="AF11" s="260"/>
      <c r="AG11" s="260"/>
      <c r="AH11" s="260"/>
      <c r="AI11" s="260"/>
      <c r="AJ11" s="260"/>
      <c r="AK11" s="260"/>
    </row>
    <row r="12" spans="1:37" ht="136.5" customHeight="1" x14ac:dyDescent="0.2">
      <c r="A12" s="1239" t="e">
        <f>#REF!</f>
        <v>#REF!</v>
      </c>
      <c r="B12" s="1232" t="e">
        <f>#REF!</f>
        <v>#REF!</v>
      </c>
      <c r="C12" s="1481" t="s">
        <v>752</v>
      </c>
      <c r="D12" s="1233" t="s">
        <v>236</v>
      </c>
      <c r="E12" s="1231">
        <f>IF(D12="Selecciona un descriptor de frecuencia."," ",IF(D12="","",VLOOKUP(D12,[7]Datos!$G$8:$J$12,2,FALSE)))</f>
        <v>1</v>
      </c>
      <c r="F12" s="1231" t="str">
        <f>IF(D12="Selecciona un descriptor de frecuencia."," ",IF(D12="","",VLOOKUP(D12,[7]Datos!$G$8:$J$12,3,FALSE)))</f>
        <v>Rara vez</v>
      </c>
      <c r="G12" s="1233" t="s">
        <v>184</v>
      </c>
      <c r="H12" s="1239">
        <f>IF(G12="","",VLOOKUP(G12,[7]Datos!$K$8:$L$12,2,FALSE))</f>
        <v>5</v>
      </c>
      <c r="I12" s="1234" t="str">
        <f>IF(D12="Selecciona un descriptor de frecuencia."," ",IF(G12="Selecciona un descriptor de impacto."," ",IF(E12+H12=" ","",IF(E12="","",VLOOKUP(E12,[7]Datos!$U$8:$Z$12,MATCH(H12,[7]Datos!$V$7:$Z$7,0)+1,FALSE)))))</f>
        <v>EXTREMO</v>
      </c>
      <c r="J12" s="1233" t="s">
        <v>122</v>
      </c>
      <c r="K12" s="250" t="s">
        <v>753</v>
      </c>
      <c r="L12" s="250" t="s">
        <v>754</v>
      </c>
      <c r="M12" s="251">
        <f>[7]Controles!T14</f>
        <v>100</v>
      </c>
      <c r="N12" s="251" t="str">
        <f>[7]Controles!AB14</f>
        <v>SI</v>
      </c>
      <c r="O12" s="252">
        <f>[7]Controles!W14</f>
        <v>0</v>
      </c>
      <c r="P12" s="252">
        <f>[7]Controles!X14</f>
        <v>1</v>
      </c>
      <c r="Q12" s="1240">
        <f>SUM(O12:O16)</f>
        <v>3</v>
      </c>
      <c r="R12" s="1240">
        <f>SUM(P12:P16)</f>
        <v>2</v>
      </c>
      <c r="S12" s="1238">
        <f t="shared" ref="S12" si="2">IF(D12="Selecciona un descriptor de frecuencia."," ",IF(ROUNDUP(E12-Q12,0)&lt;0,1,ROUNDUP(E12-Q12,0)))</f>
        <v>1</v>
      </c>
      <c r="T12" s="1238">
        <f t="shared" ref="T12" si="3">IF(G12="Selecciona un descriptor de impacto."," ",IF(ROUNDUP(H12-R12,0)&lt;0,1,ROUNDUP(H12-R12,0)))</f>
        <v>3</v>
      </c>
      <c r="U12" s="1237" t="str">
        <f>IF(D12="Selecciona un descriptor de frecuencia."," ",VLOOKUP(S12,[7]Datos!$H$8:$I$12,2,FALSE))</f>
        <v>Rara vez</v>
      </c>
      <c r="V12" s="1237" t="str">
        <f>IF(G12="Selecciona un descriptor de impacto."," ",VLOOKUP(T12,[7]Datos!$L$8:$M$12,2,FALSE))</f>
        <v>Moderado</v>
      </c>
      <c r="W12" s="1234" t="str">
        <f>IF(S12=" "," ",VLOOKUP(S12,[7]Datos!$U$8:$Z$12,MATCH(T12,[7]Datos!$V$7:$Z$7,0)+1,FALSE))</f>
        <v>MODERADO</v>
      </c>
      <c r="X12" s="1233" t="s">
        <v>202</v>
      </c>
      <c r="Y12" s="253" t="s">
        <v>755</v>
      </c>
      <c r="Z12" s="258" t="s">
        <v>742</v>
      </c>
      <c r="AA12" s="255">
        <v>44197</v>
      </c>
      <c r="AB12" s="255">
        <v>44561</v>
      </c>
      <c r="AC12" s="258"/>
      <c r="AD12" s="260"/>
      <c r="AE12" s="260"/>
      <c r="AF12" s="260"/>
      <c r="AG12" s="260"/>
      <c r="AH12" s="260"/>
      <c r="AI12" s="260"/>
      <c r="AJ12" s="260"/>
      <c r="AK12" s="260"/>
    </row>
    <row r="13" spans="1:37" ht="129.75" customHeight="1" x14ac:dyDescent="0.2">
      <c r="A13" s="1225"/>
      <c r="B13" s="1225"/>
      <c r="C13" s="1225"/>
      <c r="D13" s="1225"/>
      <c r="E13" s="1225"/>
      <c r="F13" s="1225"/>
      <c r="G13" s="1225"/>
      <c r="H13" s="1225"/>
      <c r="I13" s="1225"/>
      <c r="J13" s="1225"/>
      <c r="K13" s="250" t="s">
        <v>756</v>
      </c>
      <c r="L13" s="250" t="s">
        <v>757</v>
      </c>
      <c r="M13" s="251">
        <f>[7]Controles!T15</f>
        <v>100</v>
      </c>
      <c r="N13" s="251" t="str">
        <f>[7]Controles!AB15</f>
        <v>SI</v>
      </c>
      <c r="O13" s="252">
        <f>[7]Controles!W15</f>
        <v>0</v>
      </c>
      <c r="P13" s="252">
        <f>[7]Controles!X15</f>
        <v>1</v>
      </c>
      <c r="Q13" s="1225"/>
      <c r="R13" s="1225"/>
      <c r="S13" s="1225"/>
      <c r="T13" s="1225"/>
      <c r="U13" s="1225"/>
      <c r="V13" s="1225"/>
      <c r="W13" s="1225"/>
      <c r="X13" s="1225"/>
      <c r="Y13" s="432" t="s">
        <v>758</v>
      </c>
      <c r="Z13" s="258" t="s">
        <v>742</v>
      </c>
      <c r="AA13" s="255">
        <v>44197</v>
      </c>
      <c r="AB13" s="255">
        <v>44561</v>
      </c>
      <c r="AC13" s="391"/>
      <c r="AD13" s="260"/>
      <c r="AE13" s="260"/>
      <c r="AF13" s="260"/>
      <c r="AG13" s="260"/>
      <c r="AH13" s="260"/>
      <c r="AI13" s="260"/>
      <c r="AJ13" s="260"/>
      <c r="AK13" s="260"/>
    </row>
    <row r="14" spans="1:37" ht="151.5" customHeight="1" x14ac:dyDescent="0.2">
      <c r="A14" s="1225"/>
      <c r="B14" s="1225"/>
      <c r="C14" s="1225"/>
      <c r="D14" s="1225"/>
      <c r="E14" s="1225"/>
      <c r="F14" s="1225"/>
      <c r="G14" s="1225"/>
      <c r="H14" s="1225"/>
      <c r="I14" s="1225"/>
      <c r="J14" s="1225"/>
      <c r="K14" s="250" t="s">
        <v>759</v>
      </c>
      <c r="L14" s="250" t="s">
        <v>760</v>
      </c>
      <c r="M14" s="251">
        <f>[7]Controles!T16</f>
        <v>100</v>
      </c>
      <c r="N14" s="251" t="str">
        <f>[7]Controles!AB16</f>
        <v>No</v>
      </c>
      <c r="O14" s="252">
        <f>[7]Controles!W16</f>
        <v>1</v>
      </c>
      <c r="P14" s="252">
        <f>[7]Controles!X16</f>
        <v>0</v>
      </c>
      <c r="Q14" s="1225"/>
      <c r="R14" s="1225"/>
      <c r="S14" s="1225"/>
      <c r="T14" s="1225"/>
      <c r="U14" s="1225"/>
      <c r="V14" s="1225"/>
      <c r="W14" s="1225"/>
      <c r="X14" s="1225"/>
      <c r="Y14" s="257"/>
      <c r="Z14" s="391"/>
      <c r="AA14" s="255"/>
      <c r="AB14" s="255"/>
      <c r="AC14" s="258"/>
      <c r="AD14" s="260"/>
      <c r="AE14" s="260"/>
      <c r="AF14" s="260"/>
      <c r="AG14" s="260"/>
      <c r="AH14" s="260"/>
      <c r="AI14" s="260"/>
      <c r="AJ14" s="260"/>
      <c r="AK14" s="260"/>
    </row>
    <row r="15" spans="1:37" ht="202.5" customHeight="1" x14ac:dyDescent="0.2">
      <c r="A15" s="1225"/>
      <c r="B15" s="1225"/>
      <c r="C15" s="1225"/>
      <c r="D15" s="1225"/>
      <c r="E15" s="1225"/>
      <c r="F15" s="1225"/>
      <c r="G15" s="1225"/>
      <c r="H15" s="1225"/>
      <c r="I15" s="1225"/>
      <c r="J15" s="1225"/>
      <c r="K15" s="250" t="s">
        <v>761</v>
      </c>
      <c r="L15" s="250" t="s">
        <v>762</v>
      </c>
      <c r="M15" s="251">
        <f>[7]Controles!T17</f>
        <v>100</v>
      </c>
      <c r="N15" s="251" t="str">
        <f>[7]Controles!AB17</f>
        <v>No</v>
      </c>
      <c r="O15" s="252">
        <f>[7]Controles!W17</f>
        <v>1</v>
      </c>
      <c r="P15" s="252">
        <f>[7]Controles!X17</f>
        <v>0</v>
      </c>
      <c r="Q15" s="1225"/>
      <c r="R15" s="1225"/>
      <c r="S15" s="1225"/>
      <c r="T15" s="1225"/>
      <c r="U15" s="1225"/>
      <c r="V15" s="1225"/>
      <c r="W15" s="1225"/>
      <c r="X15" s="1225"/>
      <c r="Y15" s="257"/>
      <c r="Z15" s="258"/>
      <c r="AA15" s="255"/>
      <c r="AB15" s="255"/>
      <c r="AC15" s="258"/>
      <c r="AD15" s="260"/>
      <c r="AE15" s="260"/>
      <c r="AF15" s="260"/>
      <c r="AG15" s="260"/>
      <c r="AH15" s="260"/>
      <c r="AI15" s="260"/>
      <c r="AJ15" s="260"/>
      <c r="AK15" s="260"/>
    </row>
    <row r="16" spans="1:37" ht="136.5" customHeight="1" x14ac:dyDescent="0.2">
      <c r="A16" s="1225"/>
      <c r="B16" s="1225"/>
      <c r="C16" s="1225"/>
      <c r="D16" s="1225"/>
      <c r="E16" s="1225"/>
      <c r="F16" s="1225"/>
      <c r="G16" s="1225"/>
      <c r="H16" s="1225"/>
      <c r="I16" s="1225"/>
      <c r="J16" s="1225"/>
      <c r="K16" s="250" t="s">
        <v>750</v>
      </c>
      <c r="L16" s="262" t="s">
        <v>751</v>
      </c>
      <c r="M16" s="251">
        <f>[7]Controles!T18</f>
        <v>100</v>
      </c>
      <c r="N16" s="251" t="str">
        <f>[7]Controles!AB18</f>
        <v>No</v>
      </c>
      <c r="O16" s="252">
        <f>[7]Controles!W18</f>
        <v>1</v>
      </c>
      <c r="P16" s="252">
        <f>[7]Controles!X18</f>
        <v>0</v>
      </c>
      <c r="Q16" s="1225"/>
      <c r="R16" s="1225"/>
      <c r="S16" s="1225"/>
      <c r="T16" s="1225"/>
      <c r="U16" s="1225"/>
      <c r="V16" s="1225"/>
      <c r="W16" s="1225"/>
      <c r="X16" s="1225"/>
      <c r="Y16" s="257"/>
      <c r="Z16" s="258"/>
      <c r="AA16" s="255"/>
      <c r="AB16" s="255"/>
      <c r="AC16" s="258"/>
      <c r="AD16" s="260"/>
      <c r="AE16" s="260"/>
      <c r="AF16" s="260"/>
      <c r="AG16" s="260"/>
      <c r="AH16" s="260"/>
      <c r="AI16" s="260"/>
      <c r="AJ16" s="260"/>
      <c r="AK16" s="260"/>
    </row>
    <row r="17" spans="1:37" ht="198.75" customHeight="1" x14ac:dyDescent="0.2">
      <c r="A17" s="1239" t="e">
        <f>#REF!</f>
        <v>#REF!</v>
      </c>
      <c r="B17" s="1232" t="e">
        <f>#REF!</f>
        <v>#REF!</v>
      </c>
      <c r="C17" s="1482" t="s">
        <v>730</v>
      </c>
      <c r="D17" s="1233" t="s">
        <v>236</v>
      </c>
      <c r="E17" s="1231">
        <f>IF(D17="Selecciona un descriptor de frecuencia."," ",IF(D17="","",VLOOKUP(D17,[7]Datos!$G$8:$J$12,2,FALSE)))</f>
        <v>1</v>
      </c>
      <c r="F17" s="1231" t="str">
        <f>IF(D17="Selecciona un descriptor de frecuencia."," ",IF(D17="","",VLOOKUP(D17,[7]Datos!$G$8:$J$12,3,FALSE)))</f>
        <v>Rara vez</v>
      </c>
      <c r="G17" s="1233" t="s">
        <v>199</v>
      </c>
      <c r="H17" s="1239">
        <f>IF(G17="","",VLOOKUP(G17,[7]Datos!$K$8:$L$12,2,FALSE))</f>
        <v>4</v>
      </c>
      <c r="I17" s="1234" t="str">
        <f>IF(D17="Selecciona un descriptor de frecuencia."," ",IF(G17="Selecciona un descriptor de impacto."," ",IF(E17+H17=" ","",IF(E17="","",VLOOKUP(E17,[7]Datos!$U$8:$Z$12,MATCH(H17,[7]Datos!$V$7:$Z$7,0)+1,FALSE)))))</f>
        <v>ALTO</v>
      </c>
      <c r="J17" s="1233" t="s">
        <v>122</v>
      </c>
      <c r="K17" s="250" t="s">
        <v>763</v>
      </c>
      <c r="L17" s="250" t="s">
        <v>764</v>
      </c>
      <c r="M17" s="251">
        <f>[7]Controles!T19</f>
        <v>100</v>
      </c>
      <c r="N17" s="251" t="str">
        <f>[7]Controles!AB19</f>
        <v>SI</v>
      </c>
      <c r="O17" s="252">
        <f>[7]Controles!W19</f>
        <v>0</v>
      </c>
      <c r="P17" s="252">
        <f>[7]Controles!X19</f>
        <v>1</v>
      </c>
      <c r="Q17" s="1240">
        <f>SUM(O17:O20)</f>
        <v>3</v>
      </c>
      <c r="R17" s="1240">
        <f>SUM(P17:P20)</f>
        <v>1</v>
      </c>
      <c r="S17" s="1238">
        <f t="shared" ref="S17" si="4">IF(D17="Selecciona un descriptor de frecuencia."," ",IF(ROUNDUP(E17-Q17,0)&lt;0,1,ROUNDUP(E17-Q17,0)))</f>
        <v>1</v>
      </c>
      <c r="T17" s="1238">
        <f t="shared" ref="T17" si="5">IF(G17="Selecciona un descriptor de impacto."," ",IF(ROUNDUP(H17-R17,0)&lt;0,1,ROUNDUP(H17-R17,0)))</f>
        <v>3</v>
      </c>
      <c r="U17" s="1237" t="str">
        <f>IF(D17="Selecciona un descriptor de frecuencia."," ",VLOOKUP(S17,[7]Datos!$H$8:$I$12,2,FALSE))</f>
        <v>Rara vez</v>
      </c>
      <c r="V17" s="1237" t="str">
        <f>IF(G17="Selecciona un descriptor de impacto."," ",VLOOKUP(T17,[7]Datos!$L$8:$M$12,2,FALSE))</f>
        <v>Moderado</v>
      </c>
      <c r="W17" s="1234" t="str">
        <f>IF(S17=" "," ",VLOOKUP(S17,[7]Datos!$U$8:$Z$12,MATCH(T17,[7]Datos!$V$7:$Z$7,0)+1,FALSE))</f>
        <v>MODERADO</v>
      </c>
      <c r="X17" s="1233" t="s">
        <v>202</v>
      </c>
      <c r="Y17" s="253" t="s">
        <v>765</v>
      </c>
      <c r="Z17" s="254" t="s">
        <v>742</v>
      </c>
      <c r="AA17" s="255">
        <v>44197</v>
      </c>
      <c r="AB17" s="255">
        <v>44561</v>
      </c>
      <c r="AC17" s="258"/>
      <c r="AD17" s="260"/>
      <c r="AE17" s="260"/>
      <c r="AF17" s="260"/>
      <c r="AG17" s="260"/>
      <c r="AH17" s="260"/>
      <c r="AI17" s="260"/>
      <c r="AJ17" s="260"/>
      <c r="AK17" s="260"/>
    </row>
    <row r="18" spans="1:37" ht="117" customHeight="1" x14ac:dyDescent="0.2">
      <c r="A18" s="1225"/>
      <c r="B18" s="1225"/>
      <c r="C18" s="1225"/>
      <c r="D18" s="1225"/>
      <c r="E18" s="1225"/>
      <c r="F18" s="1225"/>
      <c r="G18" s="1225"/>
      <c r="H18" s="1225"/>
      <c r="I18" s="1225"/>
      <c r="J18" s="1225"/>
      <c r="K18" s="250" t="s">
        <v>766</v>
      </c>
      <c r="L18" s="250" t="s">
        <v>767</v>
      </c>
      <c r="M18" s="251">
        <f>[7]Controles!T20</f>
        <v>100</v>
      </c>
      <c r="N18" s="251" t="str">
        <f>[7]Controles!AB20</f>
        <v>No</v>
      </c>
      <c r="O18" s="252">
        <f>[7]Controles!W20</f>
        <v>1</v>
      </c>
      <c r="P18" s="252">
        <f>[7]Controles!X20</f>
        <v>0</v>
      </c>
      <c r="Q18" s="1225"/>
      <c r="R18" s="1225"/>
      <c r="S18" s="1225"/>
      <c r="T18" s="1225"/>
      <c r="U18" s="1225"/>
      <c r="V18" s="1225"/>
      <c r="W18" s="1225"/>
      <c r="X18" s="1225"/>
      <c r="Y18" s="390"/>
      <c r="Z18" s="391"/>
      <c r="AA18" s="255"/>
      <c r="AB18" s="255"/>
      <c r="AC18" s="391"/>
      <c r="AD18" s="260"/>
      <c r="AE18" s="260"/>
      <c r="AF18" s="260"/>
      <c r="AG18" s="260"/>
      <c r="AH18" s="260"/>
      <c r="AI18" s="260"/>
      <c r="AJ18" s="260"/>
      <c r="AK18" s="260"/>
    </row>
    <row r="19" spans="1:37" ht="116.25" customHeight="1" x14ac:dyDescent="0.2">
      <c r="A19" s="1225"/>
      <c r="B19" s="1225"/>
      <c r="C19" s="1225"/>
      <c r="D19" s="1225"/>
      <c r="E19" s="1225"/>
      <c r="F19" s="1225"/>
      <c r="G19" s="1225"/>
      <c r="H19" s="1225"/>
      <c r="I19" s="1225"/>
      <c r="J19" s="1225"/>
      <c r="K19" s="250" t="s">
        <v>768</v>
      </c>
      <c r="L19" s="250" t="s">
        <v>769</v>
      </c>
      <c r="M19" s="251">
        <f>[7]Controles!T21</f>
        <v>100</v>
      </c>
      <c r="N19" s="251" t="str">
        <f>[7]Controles!AB21</f>
        <v>No</v>
      </c>
      <c r="O19" s="252">
        <f>[7]Controles!W21</f>
        <v>1</v>
      </c>
      <c r="P19" s="252">
        <f>[7]Controles!X21</f>
        <v>0</v>
      </c>
      <c r="Q19" s="1225"/>
      <c r="R19" s="1225"/>
      <c r="S19" s="1225"/>
      <c r="T19" s="1225"/>
      <c r="U19" s="1225"/>
      <c r="V19" s="1225"/>
      <c r="W19" s="1225"/>
      <c r="X19" s="1225"/>
      <c r="Y19" s="257"/>
      <c r="Z19" s="391"/>
      <c r="AA19" s="255"/>
      <c r="AB19" s="255"/>
      <c r="AC19" s="258"/>
      <c r="AD19" s="260"/>
      <c r="AE19" s="260"/>
      <c r="AF19" s="260"/>
      <c r="AG19" s="260"/>
      <c r="AH19" s="260"/>
      <c r="AI19" s="260"/>
      <c r="AJ19" s="260"/>
      <c r="AK19" s="260"/>
    </row>
    <row r="20" spans="1:37" ht="218.25" customHeight="1" x14ac:dyDescent="0.2">
      <c r="A20" s="1225"/>
      <c r="B20" s="1225"/>
      <c r="C20" s="1225"/>
      <c r="D20" s="1225"/>
      <c r="E20" s="1225"/>
      <c r="F20" s="1225"/>
      <c r="G20" s="1225"/>
      <c r="H20" s="1225"/>
      <c r="I20" s="1225"/>
      <c r="J20" s="1225"/>
      <c r="K20" s="250" t="s">
        <v>770</v>
      </c>
      <c r="L20" s="250" t="s">
        <v>771</v>
      </c>
      <c r="M20" s="251">
        <f>[7]Controles!T22</f>
        <v>100</v>
      </c>
      <c r="N20" s="251" t="str">
        <f>[7]Controles!AB22</f>
        <v>No</v>
      </c>
      <c r="O20" s="252">
        <f>[7]Controles!W22</f>
        <v>1</v>
      </c>
      <c r="P20" s="252">
        <f>[7]Controles!X22</f>
        <v>0</v>
      </c>
      <c r="Q20" s="1225"/>
      <c r="R20" s="1225"/>
      <c r="S20" s="1225"/>
      <c r="T20" s="1225"/>
      <c r="U20" s="1225"/>
      <c r="V20" s="1225"/>
      <c r="W20" s="1225"/>
      <c r="X20" s="1225"/>
      <c r="Y20" s="257"/>
      <c r="Z20" s="258"/>
      <c r="AA20" s="255"/>
      <c r="AB20" s="255"/>
      <c r="AC20" s="258"/>
      <c r="AD20" s="260"/>
      <c r="AE20" s="260"/>
      <c r="AF20" s="260"/>
      <c r="AG20" s="260"/>
      <c r="AH20" s="260"/>
      <c r="AI20" s="260"/>
      <c r="AJ20" s="260"/>
      <c r="AK20" s="260"/>
    </row>
    <row r="21" spans="1:37" ht="102.75" customHeight="1" x14ac:dyDescent="0.2">
      <c r="A21" s="1239" t="e">
        <f>#REF!</f>
        <v>#REF!</v>
      </c>
      <c r="B21" s="1232" t="e">
        <f>#REF!</f>
        <v>#REF!</v>
      </c>
      <c r="C21" s="1483" t="s">
        <v>772</v>
      </c>
      <c r="D21" s="1233" t="s">
        <v>236</v>
      </c>
      <c r="E21" s="1231">
        <f>IF(D21="Selecciona un descriptor de frecuencia."," ",IF(D21="","",VLOOKUP(D21,[7]Datos!$G$8:$J$12,2,FALSE)))</f>
        <v>1</v>
      </c>
      <c r="F21" s="1231" t="str">
        <f>IF(D21="Selecciona un descriptor de frecuencia."," ",IF(D21="","",VLOOKUP(D21,[7]Datos!$G$8:$J$12,3,FALSE)))</f>
        <v>Rara vez</v>
      </c>
      <c r="G21" s="1233" t="s">
        <v>184</v>
      </c>
      <c r="H21" s="1239">
        <f>IF(G21="","",VLOOKUP(G21,[7]Datos!$K$8:$L$12,2,FALSE))</f>
        <v>5</v>
      </c>
      <c r="I21" s="1234" t="str">
        <f>IF(D21="Selecciona un descriptor de frecuencia."," ",IF(G21="Selecciona un descriptor de impacto."," ",IF(E21+H21=" ","",IF(E21="","",VLOOKUP(E21,[7]Datos!$U$8:$Z$12,MATCH(H21,[7]Datos!$V$7:$Z$7,0)+1,FALSE)))))</f>
        <v>EXTREMO</v>
      </c>
      <c r="J21" s="1233" t="s">
        <v>122</v>
      </c>
      <c r="K21" s="250" t="s">
        <v>773</v>
      </c>
      <c r="L21" s="250" t="s">
        <v>774</v>
      </c>
      <c r="M21" s="251">
        <f>[7]Controles!T23</f>
        <v>100</v>
      </c>
      <c r="N21" s="251" t="str">
        <f>[7]Controles!AB23</f>
        <v>No</v>
      </c>
      <c r="O21" s="252">
        <f>[7]Controles!W23</f>
        <v>1</v>
      </c>
      <c r="P21" s="252">
        <f>[7]Controles!X23</f>
        <v>0</v>
      </c>
      <c r="Q21" s="1240">
        <f>SUM(O21:O25)</f>
        <v>4</v>
      </c>
      <c r="R21" s="1240">
        <f>SUM(P21:P25)</f>
        <v>2</v>
      </c>
      <c r="S21" s="1238">
        <f t="shared" ref="S21" si="6">IF(D21="Selecciona un descriptor de frecuencia."," ",IF(ROUNDUP(E21-Q21,0)&lt;0,1,ROUNDUP(E21-Q21,0)))</f>
        <v>1</v>
      </c>
      <c r="T21" s="1238">
        <f t="shared" ref="T21" si="7">IF(G21="Selecciona un descriptor de impacto."," ",IF(ROUNDUP(H21-R21,0)&lt;0,1,ROUNDUP(H21-R21,0)))</f>
        <v>3</v>
      </c>
      <c r="U21" s="1237" t="str">
        <f>IF(D21="Selecciona un descriptor de frecuencia."," ",VLOOKUP(S21,[7]Datos!$H$8:$I$12,2,FALSE))</f>
        <v>Rara vez</v>
      </c>
      <c r="V21" s="1237" t="str">
        <f>IF(G21="Selecciona un descriptor de impacto."," ",VLOOKUP(T21,[7]Datos!$L$8:$M$12,2,FALSE))</f>
        <v>Moderado</v>
      </c>
      <c r="W21" s="1234" t="str">
        <f>IF(S21=" "," ",VLOOKUP(S21,[7]Datos!$U$8:$Z$12,MATCH(T21,[7]Datos!$V$7:$Z$7,0)+1,FALSE))</f>
        <v>MODERADO</v>
      </c>
      <c r="X21" s="1233" t="s">
        <v>202</v>
      </c>
      <c r="Y21" s="253" t="s">
        <v>775</v>
      </c>
      <c r="Z21" s="259" t="s">
        <v>742</v>
      </c>
      <c r="AA21" s="255">
        <v>44197</v>
      </c>
      <c r="AB21" s="255">
        <v>44561</v>
      </c>
      <c r="AC21" s="258"/>
      <c r="AD21" s="260"/>
      <c r="AE21" s="260"/>
      <c r="AF21" s="260"/>
      <c r="AG21" s="260"/>
      <c r="AH21" s="260"/>
      <c r="AI21" s="260"/>
      <c r="AJ21" s="260"/>
      <c r="AK21" s="260"/>
    </row>
    <row r="22" spans="1:37" ht="93.75" customHeight="1" x14ac:dyDescent="0.2">
      <c r="A22" s="1225"/>
      <c r="B22" s="1225"/>
      <c r="C22" s="1225"/>
      <c r="D22" s="1225"/>
      <c r="E22" s="1225"/>
      <c r="F22" s="1225"/>
      <c r="G22" s="1225"/>
      <c r="H22" s="1225"/>
      <c r="I22" s="1225"/>
      <c r="J22" s="1225"/>
      <c r="K22" s="250" t="s">
        <v>776</v>
      </c>
      <c r="L22" s="250" t="s">
        <v>777</v>
      </c>
      <c r="M22" s="251">
        <f>[7]Controles!T24</f>
        <v>100</v>
      </c>
      <c r="N22" s="251" t="str">
        <f>[7]Controles!AB24</f>
        <v>No</v>
      </c>
      <c r="O22" s="252">
        <f>[7]Controles!W24</f>
        <v>1</v>
      </c>
      <c r="P22" s="252">
        <f>[7]Controles!X24</f>
        <v>0</v>
      </c>
      <c r="Q22" s="1225"/>
      <c r="R22" s="1225"/>
      <c r="S22" s="1225"/>
      <c r="T22" s="1225"/>
      <c r="U22" s="1225"/>
      <c r="V22" s="1225"/>
      <c r="W22" s="1225"/>
      <c r="X22" s="1225"/>
      <c r="Y22" s="390"/>
      <c r="Z22" s="391"/>
      <c r="AA22" s="255"/>
      <c r="AB22" s="255"/>
      <c r="AC22" s="391"/>
      <c r="AD22" s="260"/>
      <c r="AE22" s="260"/>
      <c r="AF22" s="260"/>
      <c r="AG22" s="260"/>
      <c r="AH22" s="260"/>
      <c r="AI22" s="260"/>
      <c r="AJ22" s="260"/>
      <c r="AK22" s="260"/>
    </row>
    <row r="23" spans="1:37" ht="84.75" customHeight="1" x14ac:dyDescent="0.2">
      <c r="A23" s="1225"/>
      <c r="B23" s="1225"/>
      <c r="C23" s="1225"/>
      <c r="D23" s="1225"/>
      <c r="E23" s="1225"/>
      <c r="F23" s="1225"/>
      <c r="G23" s="1225"/>
      <c r="H23" s="1225"/>
      <c r="I23" s="1225"/>
      <c r="J23" s="1225"/>
      <c r="K23" s="250" t="s">
        <v>778</v>
      </c>
      <c r="L23" s="253" t="s">
        <v>779</v>
      </c>
      <c r="M23" s="251">
        <f>[7]Controles!T25</f>
        <v>100</v>
      </c>
      <c r="N23" s="251" t="str">
        <f>[7]Controles!AB25</f>
        <v>No</v>
      </c>
      <c r="O23" s="252">
        <f>[7]Controles!W25</f>
        <v>1</v>
      </c>
      <c r="P23" s="252">
        <f>[7]Controles!X25</f>
        <v>0</v>
      </c>
      <c r="Q23" s="1225"/>
      <c r="R23" s="1225"/>
      <c r="S23" s="1225"/>
      <c r="T23" s="1225"/>
      <c r="U23" s="1225"/>
      <c r="V23" s="1225"/>
      <c r="W23" s="1225"/>
      <c r="X23" s="1225"/>
      <c r="Y23" s="257"/>
      <c r="Z23" s="391"/>
      <c r="AA23" s="255"/>
      <c r="AB23" s="255"/>
      <c r="AC23" s="258"/>
      <c r="AD23" s="260"/>
      <c r="AE23" s="260"/>
      <c r="AF23" s="260"/>
      <c r="AG23" s="260"/>
      <c r="AH23" s="260"/>
      <c r="AI23" s="260"/>
      <c r="AJ23" s="260"/>
      <c r="AK23" s="260"/>
    </row>
    <row r="24" spans="1:37" ht="192.75" customHeight="1" x14ac:dyDescent="0.2">
      <c r="A24" s="1225"/>
      <c r="B24" s="1225"/>
      <c r="C24" s="1225"/>
      <c r="D24" s="1225"/>
      <c r="E24" s="1225"/>
      <c r="F24" s="1225"/>
      <c r="G24" s="1225"/>
      <c r="H24" s="1225"/>
      <c r="I24" s="1225"/>
      <c r="J24" s="1225"/>
      <c r="K24" s="250" t="s">
        <v>763</v>
      </c>
      <c r="L24" s="250" t="s">
        <v>764</v>
      </c>
      <c r="M24" s="251">
        <f>[7]Controles!T26</f>
        <v>100</v>
      </c>
      <c r="N24" s="251" t="str">
        <f>[7]Controles!AB26</f>
        <v>SI</v>
      </c>
      <c r="O24" s="252">
        <f>[7]Controles!W26</f>
        <v>0</v>
      </c>
      <c r="P24" s="252">
        <f>[7]Controles!X26</f>
        <v>1</v>
      </c>
      <c r="Q24" s="1225"/>
      <c r="R24" s="1225"/>
      <c r="S24" s="1225"/>
      <c r="T24" s="1225"/>
      <c r="U24" s="1225"/>
      <c r="V24" s="1225"/>
      <c r="W24" s="1225"/>
      <c r="X24" s="1225"/>
      <c r="Y24" s="257"/>
      <c r="Z24" s="258"/>
      <c r="AA24" s="255"/>
      <c r="AB24" s="255"/>
      <c r="AC24" s="258"/>
      <c r="AD24" s="260"/>
      <c r="AE24" s="260"/>
      <c r="AF24" s="260"/>
      <c r="AG24" s="260"/>
      <c r="AH24" s="260"/>
      <c r="AI24" s="260"/>
      <c r="AJ24" s="260"/>
      <c r="AK24" s="260"/>
    </row>
    <row r="25" spans="1:37" ht="145.5" customHeight="1" x14ac:dyDescent="0.2">
      <c r="A25" s="1225"/>
      <c r="B25" s="1225"/>
      <c r="C25" s="1225"/>
      <c r="D25" s="1225"/>
      <c r="E25" s="1225"/>
      <c r="F25" s="1225"/>
      <c r="G25" s="1225"/>
      <c r="H25" s="1225"/>
      <c r="I25" s="1225"/>
      <c r="J25" s="1225"/>
      <c r="K25" s="250" t="s">
        <v>780</v>
      </c>
      <c r="L25" s="253" t="s">
        <v>781</v>
      </c>
      <c r="M25" s="251">
        <f>[7]Controles!T27</f>
        <v>100</v>
      </c>
      <c r="N25" s="251" t="str">
        <f>[7]Controles!AB27</f>
        <v>No</v>
      </c>
      <c r="O25" s="252">
        <f>[7]Controles!W27</f>
        <v>1</v>
      </c>
      <c r="P25" s="252">
        <f>[7]Controles!X27</f>
        <v>1</v>
      </c>
      <c r="Q25" s="1225"/>
      <c r="R25" s="1225"/>
      <c r="S25" s="1225"/>
      <c r="T25" s="1225"/>
      <c r="U25" s="1225"/>
      <c r="V25" s="1225"/>
      <c r="W25" s="1225"/>
      <c r="X25" s="1225"/>
      <c r="Y25" s="257"/>
      <c r="Z25" s="258"/>
      <c r="AA25" s="255"/>
      <c r="AB25" s="255"/>
      <c r="AC25" s="258"/>
      <c r="AD25" s="260"/>
      <c r="AE25" s="260"/>
      <c r="AF25" s="260"/>
      <c r="AG25" s="260"/>
      <c r="AH25" s="260"/>
      <c r="AI25" s="260"/>
      <c r="AJ25" s="260"/>
      <c r="AK25" s="260"/>
    </row>
    <row r="26" spans="1:37" ht="83.25" customHeight="1" x14ac:dyDescent="0.2">
      <c r="A26" s="1239">
        <v>5</v>
      </c>
      <c r="B26" s="1232" t="e">
        <f>#REF!</f>
        <v>#REF!</v>
      </c>
      <c r="C26" s="1232" t="e">
        <f>#REF!</f>
        <v>#REF!</v>
      </c>
      <c r="D26" s="1233" t="s">
        <v>236</v>
      </c>
      <c r="E26" s="1231">
        <f>IF(D26="Selecciona un descriptor de frecuencia."," ",IF(D26="","",VLOOKUP(D26,[7]Datos!$G$8:$J$12,2,FALSE)))</f>
        <v>1</v>
      </c>
      <c r="F26" s="1231" t="str">
        <f>IF(D26="Selecciona un descriptor de frecuencia."," ",IF(D26="","",VLOOKUP(D26,[7]Datos!$G$8:$J$12,3,FALSE)))</f>
        <v>Rara vez</v>
      </c>
      <c r="G26" s="1233" t="s">
        <v>199</v>
      </c>
      <c r="H26" s="1239">
        <f>IF(G26="","",VLOOKUP(G26,[7]Datos!$K$8:$L$12,2,FALSE))</f>
        <v>4</v>
      </c>
      <c r="I26" s="1234" t="str">
        <f>IF(D26="Selecciona un descriptor de frecuencia."," ",IF(G26="Selecciona un descriptor de impacto."," ",IF(E26+H26=" ","",IF(E26="","",VLOOKUP(E26,[7]Datos!$U$8:$Z$12,MATCH(H26,[7]Datos!$V$7:$Z$7,0)+1,FALSE)))))</f>
        <v>ALTO</v>
      </c>
      <c r="J26" s="1233"/>
      <c r="K26" s="434" t="s">
        <v>782</v>
      </c>
      <c r="L26" s="435" t="s">
        <v>783</v>
      </c>
      <c r="M26" s="251">
        <f>[7]Controles!T28</f>
        <v>100</v>
      </c>
      <c r="N26" s="251" t="str">
        <f>[7]Controles!AB28</f>
        <v>SI</v>
      </c>
      <c r="O26" s="252">
        <f>[7]Controles!W28</f>
        <v>0</v>
      </c>
      <c r="P26" s="252">
        <f>[7]Controles!X28</f>
        <v>1</v>
      </c>
      <c r="Q26" s="1240">
        <f>SUM(O26:O29)</f>
        <v>3</v>
      </c>
      <c r="R26" s="1240">
        <f>SUM(P26:P29)</f>
        <v>1</v>
      </c>
      <c r="S26" s="1238">
        <f>IF(D26="Selecciona un descriptor de frecuencia."," ",IF(ROUNDUP(E26-Q26,0)&lt;0,1,ROUNDUP(E26-Q26,0)))</f>
        <v>1</v>
      </c>
      <c r="T26" s="1238">
        <f>IF(G26="Selecciona un descriptor de impacto."," ",IF(ROUNDUP(H26-R26,0)&lt;0,1,ROUNDUP(H26-R26,0)))</f>
        <v>3</v>
      </c>
      <c r="U26" s="1237" t="str">
        <f>IF(D26="Selecciona un descriptor de frecuencia."," ",VLOOKUP(S26,[7]Datos!$H$8:$I$12,2,FALSE))</f>
        <v>Rara vez</v>
      </c>
      <c r="V26" s="1237" t="str">
        <f>IF(G26="Selecciona un descriptor de impacto."," ",VLOOKUP(T26,[7]Datos!$L$8:$M$12,2,FALSE))</f>
        <v>Moderado</v>
      </c>
      <c r="W26" s="1234" t="str">
        <f>IF(S26=" "," ",VLOOKUP(S26,[7]Datos!$U$8:$Z$12,MATCH(T26,[7]Datos!$V$7:$Z$7,0)+1,FALSE))</f>
        <v>MODERADO</v>
      </c>
      <c r="X26" s="1233" t="s">
        <v>202</v>
      </c>
      <c r="Y26" s="436" t="s">
        <v>784</v>
      </c>
      <c r="Z26" s="259" t="s">
        <v>742</v>
      </c>
      <c r="AA26" s="255">
        <v>44197</v>
      </c>
      <c r="AB26" s="255">
        <v>44561</v>
      </c>
      <c r="AC26" s="258"/>
      <c r="AD26" s="260"/>
      <c r="AE26" s="260"/>
      <c r="AF26" s="260"/>
      <c r="AG26" s="260"/>
      <c r="AH26" s="260"/>
      <c r="AI26" s="260"/>
      <c r="AJ26" s="260"/>
      <c r="AK26" s="260"/>
    </row>
    <row r="27" spans="1:37" ht="90.75" customHeight="1" x14ac:dyDescent="0.2">
      <c r="A27" s="1225"/>
      <c r="B27" s="1225"/>
      <c r="C27" s="1225"/>
      <c r="D27" s="1225"/>
      <c r="E27" s="1225"/>
      <c r="F27" s="1225"/>
      <c r="G27" s="1225"/>
      <c r="H27" s="1225"/>
      <c r="I27" s="1225"/>
      <c r="J27" s="1225"/>
      <c r="K27" s="435" t="s">
        <v>785</v>
      </c>
      <c r="L27" s="437" t="s">
        <v>786</v>
      </c>
      <c r="M27" s="251">
        <f>[7]Controles!T29</f>
        <v>100</v>
      </c>
      <c r="N27" s="251" t="str">
        <f>[7]Controles!AB29</f>
        <v>No</v>
      </c>
      <c r="O27" s="252">
        <f>[7]Controles!W29</f>
        <v>1</v>
      </c>
      <c r="P27" s="252">
        <f>[7]Controles!X29</f>
        <v>0</v>
      </c>
      <c r="Q27" s="1225"/>
      <c r="R27" s="1225"/>
      <c r="S27" s="1225"/>
      <c r="T27" s="1225"/>
      <c r="U27" s="1225"/>
      <c r="V27" s="1225"/>
      <c r="W27" s="1225"/>
      <c r="X27" s="1225"/>
      <c r="Y27" s="438" t="s">
        <v>787</v>
      </c>
      <c r="Z27" s="259" t="s">
        <v>742</v>
      </c>
      <c r="AA27" s="255">
        <v>44197</v>
      </c>
      <c r="AB27" s="255">
        <v>44561</v>
      </c>
      <c r="AC27" s="391"/>
      <c r="AD27" s="260"/>
      <c r="AE27" s="260"/>
      <c r="AF27" s="260"/>
      <c r="AG27" s="260"/>
      <c r="AH27" s="260"/>
      <c r="AI27" s="260"/>
      <c r="AJ27" s="260"/>
      <c r="AK27" s="260"/>
    </row>
    <row r="28" spans="1:37" ht="57.75" customHeight="1" x14ac:dyDescent="0.2">
      <c r="A28" s="1225"/>
      <c r="B28" s="1225"/>
      <c r="C28" s="1225"/>
      <c r="D28" s="1225"/>
      <c r="E28" s="1225"/>
      <c r="F28" s="1225"/>
      <c r="G28" s="1225"/>
      <c r="H28" s="1225"/>
      <c r="I28" s="1225"/>
      <c r="J28" s="1225"/>
      <c r="K28" s="434" t="s">
        <v>788</v>
      </c>
      <c r="L28" s="437" t="s">
        <v>789</v>
      </c>
      <c r="M28" s="251">
        <f>[7]Controles!T30</f>
        <v>100</v>
      </c>
      <c r="N28" s="251" t="str">
        <f>[7]Controles!AB30</f>
        <v>No</v>
      </c>
      <c r="O28" s="252">
        <f>[7]Controles!W30</f>
        <v>1</v>
      </c>
      <c r="P28" s="252">
        <f>[7]Controles!X30</f>
        <v>0</v>
      </c>
      <c r="Q28" s="1225"/>
      <c r="R28" s="1225"/>
      <c r="S28" s="1225"/>
      <c r="T28" s="1225"/>
      <c r="U28" s="1225"/>
      <c r="V28" s="1225"/>
      <c r="W28" s="1225"/>
      <c r="X28" s="1225"/>
      <c r="Y28" s="439" t="s">
        <v>790</v>
      </c>
      <c r="Z28" s="259" t="s">
        <v>742</v>
      </c>
      <c r="AA28" s="255">
        <v>44197</v>
      </c>
      <c r="AB28" s="255">
        <v>44561</v>
      </c>
      <c r="AC28" s="258"/>
      <c r="AD28" s="260"/>
      <c r="AE28" s="260"/>
      <c r="AF28" s="260"/>
      <c r="AG28" s="260"/>
      <c r="AH28" s="260"/>
      <c r="AI28" s="260"/>
      <c r="AJ28" s="260"/>
      <c r="AK28" s="260"/>
    </row>
    <row r="29" spans="1:37" ht="78.75" customHeight="1" x14ac:dyDescent="0.2">
      <c r="A29" s="1225"/>
      <c r="B29" s="1225"/>
      <c r="C29" s="1225"/>
      <c r="D29" s="1225"/>
      <c r="E29" s="1225"/>
      <c r="F29" s="1225"/>
      <c r="G29" s="1225"/>
      <c r="H29" s="1225"/>
      <c r="I29" s="1225"/>
      <c r="J29" s="1225"/>
      <c r="K29" s="434" t="s">
        <v>791</v>
      </c>
      <c r="L29" s="437" t="s">
        <v>792</v>
      </c>
      <c r="M29" s="251">
        <f>[7]Controles!T31</f>
        <v>100</v>
      </c>
      <c r="N29" s="251" t="str">
        <f>[7]Controles!AB31</f>
        <v>No</v>
      </c>
      <c r="O29" s="252">
        <f>[7]Controles!W31</f>
        <v>1</v>
      </c>
      <c r="P29" s="252">
        <f>[7]Controles!X31</f>
        <v>0</v>
      </c>
      <c r="Q29" s="1225"/>
      <c r="R29" s="1225"/>
      <c r="S29" s="1225"/>
      <c r="T29" s="1225"/>
      <c r="U29" s="1225"/>
      <c r="V29" s="1225"/>
      <c r="W29" s="1225"/>
      <c r="X29" s="1225"/>
      <c r="Y29" s="257"/>
      <c r="Z29" s="258"/>
      <c r="AA29" s="255"/>
      <c r="AB29" s="255"/>
      <c r="AC29" s="258"/>
      <c r="AD29" s="260"/>
      <c r="AE29" s="260"/>
      <c r="AF29" s="260"/>
      <c r="AG29" s="260"/>
      <c r="AH29" s="260"/>
      <c r="AI29" s="260"/>
      <c r="AJ29" s="260"/>
      <c r="AK29" s="260"/>
    </row>
    <row r="30" spans="1:37" ht="15.75" customHeight="1" x14ac:dyDescent="0.25">
      <c r="A30" s="244"/>
      <c r="C30" s="263"/>
      <c r="D30" s="264"/>
      <c r="E30" s="244"/>
      <c r="F30" s="244"/>
      <c r="G30" s="244"/>
      <c r="H30" s="244"/>
      <c r="K30" s="440"/>
      <c r="S30" s="244"/>
    </row>
    <row r="31" spans="1:37" ht="15.75" customHeight="1" x14ac:dyDescent="0.25">
      <c r="A31" s="244"/>
      <c r="C31" s="263"/>
      <c r="D31" s="264"/>
      <c r="E31" s="244"/>
      <c r="F31" s="244"/>
      <c r="G31" s="244"/>
      <c r="H31" s="244"/>
      <c r="K31" s="440"/>
      <c r="S31" s="244"/>
    </row>
    <row r="32" spans="1:37" ht="15.75" customHeight="1" x14ac:dyDescent="0.25">
      <c r="A32" s="244"/>
      <c r="C32" s="263"/>
      <c r="D32" s="264"/>
      <c r="E32" s="244"/>
      <c r="F32" s="244"/>
      <c r="G32" s="244"/>
      <c r="H32" s="244"/>
      <c r="K32" s="440"/>
      <c r="S32" s="244"/>
    </row>
    <row r="33" spans="1:19" ht="15.75" customHeight="1" x14ac:dyDescent="0.25">
      <c r="A33" s="244"/>
      <c r="C33" s="263"/>
      <c r="D33" s="264"/>
      <c r="E33" s="244"/>
      <c r="F33" s="244"/>
      <c r="G33" s="244"/>
      <c r="H33" s="244"/>
      <c r="K33" s="440"/>
      <c r="S33" s="244"/>
    </row>
    <row r="34" spans="1:19" ht="15.75" customHeight="1" x14ac:dyDescent="0.25">
      <c r="A34" s="244"/>
      <c r="C34" s="263"/>
      <c r="D34" s="264"/>
      <c r="E34" s="244"/>
      <c r="F34" s="244"/>
      <c r="G34" s="244"/>
      <c r="H34" s="244"/>
      <c r="K34" s="440"/>
      <c r="S34" s="244"/>
    </row>
    <row r="35" spans="1:19" ht="15.75" customHeight="1" x14ac:dyDescent="0.25">
      <c r="A35" s="244"/>
      <c r="C35" s="263"/>
      <c r="D35" s="264"/>
      <c r="E35" s="244"/>
      <c r="F35" s="244"/>
      <c r="G35" s="244"/>
      <c r="H35" s="244"/>
      <c r="K35" s="440"/>
      <c r="S35" s="244"/>
    </row>
    <row r="36" spans="1:19" ht="15.75" customHeight="1" x14ac:dyDescent="0.25">
      <c r="A36" s="244"/>
      <c r="C36" s="263"/>
      <c r="D36" s="264"/>
      <c r="E36" s="244"/>
      <c r="F36" s="244"/>
      <c r="G36" s="244"/>
      <c r="H36" s="244"/>
      <c r="K36" s="440"/>
      <c r="S36" s="244"/>
    </row>
    <row r="37" spans="1:19" ht="15.75" customHeight="1" x14ac:dyDescent="0.25">
      <c r="A37" s="244"/>
      <c r="C37" s="263"/>
      <c r="D37" s="264"/>
      <c r="E37" s="244"/>
      <c r="F37" s="244"/>
      <c r="G37" s="244"/>
      <c r="H37" s="244"/>
      <c r="K37" s="440"/>
      <c r="S37" s="244"/>
    </row>
    <row r="38" spans="1:19" ht="15.75" customHeight="1" x14ac:dyDescent="0.25">
      <c r="A38" s="244"/>
      <c r="C38" s="263"/>
      <c r="D38" s="264"/>
      <c r="E38" s="244"/>
      <c r="F38" s="244"/>
      <c r="G38" s="244"/>
      <c r="H38" s="244"/>
      <c r="K38" s="440"/>
      <c r="S38" s="244"/>
    </row>
    <row r="39" spans="1:19" ht="15.75" customHeight="1" x14ac:dyDescent="0.25">
      <c r="A39" s="244"/>
      <c r="C39" s="263"/>
      <c r="D39" s="264"/>
      <c r="E39" s="244"/>
      <c r="F39" s="244"/>
      <c r="G39" s="244"/>
      <c r="H39" s="244"/>
      <c r="K39" s="440"/>
      <c r="S39" s="244"/>
    </row>
    <row r="40" spans="1:19" ht="15.75" customHeight="1" x14ac:dyDescent="0.25">
      <c r="A40" s="244"/>
      <c r="C40" s="263"/>
      <c r="D40" s="264"/>
      <c r="E40" s="244"/>
      <c r="F40" s="244"/>
      <c r="G40" s="244"/>
      <c r="H40" s="244"/>
      <c r="K40" s="440"/>
      <c r="S40" s="244"/>
    </row>
    <row r="41" spans="1:19" ht="15.75" customHeight="1" x14ac:dyDescent="0.25">
      <c r="A41" s="244"/>
      <c r="C41" s="263"/>
      <c r="D41" s="264"/>
      <c r="E41" s="244"/>
      <c r="F41" s="244"/>
      <c r="G41" s="244"/>
      <c r="H41" s="244"/>
      <c r="K41" s="440"/>
      <c r="S41" s="244"/>
    </row>
    <row r="42" spans="1:19" ht="15.75" customHeight="1" x14ac:dyDescent="0.25">
      <c r="A42" s="244"/>
      <c r="C42" s="263"/>
      <c r="D42" s="264"/>
      <c r="E42" s="244"/>
      <c r="F42" s="244"/>
      <c r="G42" s="244"/>
      <c r="H42" s="244"/>
      <c r="K42" s="440"/>
      <c r="S42" s="244"/>
    </row>
    <row r="43" spans="1:19" ht="15.75" customHeight="1" x14ac:dyDescent="0.25">
      <c r="A43" s="244"/>
      <c r="C43" s="263"/>
      <c r="D43" s="264"/>
      <c r="E43" s="244"/>
      <c r="F43" s="244"/>
      <c r="G43" s="244"/>
      <c r="H43" s="244"/>
      <c r="K43" s="440"/>
      <c r="S43" s="244"/>
    </row>
    <row r="44" spans="1:19" ht="15.75" customHeight="1" x14ac:dyDescent="0.25">
      <c r="A44" s="244"/>
      <c r="C44" s="263"/>
      <c r="D44" s="264"/>
      <c r="E44" s="244"/>
      <c r="F44" s="244"/>
      <c r="G44" s="244"/>
      <c r="H44" s="244"/>
      <c r="K44" s="440"/>
      <c r="S44" s="244"/>
    </row>
    <row r="45" spans="1:19" ht="15.75" customHeight="1" x14ac:dyDescent="0.25">
      <c r="A45" s="244"/>
      <c r="C45" s="263"/>
      <c r="D45" s="264"/>
      <c r="E45" s="244"/>
      <c r="F45" s="244"/>
      <c r="G45" s="244"/>
      <c r="H45" s="244"/>
      <c r="K45" s="440"/>
      <c r="S45" s="244"/>
    </row>
    <row r="46" spans="1:19" ht="15.75" customHeight="1" x14ac:dyDescent="0.25">
      <c r="A46" s="244"/>
      <c r="C46" s="263"/>
      <c r="D46" s="264"/>
      <c r="E46" s="244"/>
      <c r="F46" s="244"/>
      <c r="G46" s="244"/>
      <c r="H46" s="244"/>
      <c r="K46" s="440"/>
      <c r="S46" s="244"/>
    </row>
    <row r="47" spans="1:19" ht="15.75" customHeight="1" x14ac:dyDescent="0.25">
      <c r="A47" s="244"/>
      <c r="C47" s="263"/>
      <c r="D47" s="264"/>
      <c r="E47" s="244"/>
      <c r="F47" s="244"/>
      <c r="G47" s="244"/>
      <c r="H47" s="244"/>
      <c r="K47" s="440"/>
      <c r="S47" s="244"/>
    </row>
    <row r="48" spans="1:19" ht="15.75" customHeight="1" x14ac:dyDescent="0.25">
      <c r="A48" s="244"/>
      <c r="C48" s="263"/>
      <c r="D48" s="264"/>
      <c r="E48" s="244"/>
      <c r="F48" s="244"/>
      <c r="G48" s="244"/>
      <c r="H48" s="244"/>
      <c r="K48" s="440"/>
      <c r="S48" s="244"/>
    </row>
    <row r="49" spans="1:19" ht="15.75" customHeight="1" x14ac:dyDescent="0.25">
      <c r="A49" s="244"/>
      <c r="C49" s="263"/>
      <c r="D49" s="264"/>
      <c r="E49" s="244"/>
      <c r="F49" s="244"/>
      <c r="G49" s="244"/>
      <c r="H49" s="244"/>
      <c r="K49" s="440"/>
      <c r="S49" s="244"/>
    </row>
    <row r="50" spans="1:19" ht="15.75" customHeight="1" x14ac:dyDescent="0.25">
      <c r="A50" s="244"/>
      <c r="C50" s="263"/>
      <c r="D50" s="264"/>
      <c r="E50" s="244"/>
      <c r="F50" s="244"/>
      <c r="G50" s="244"/>
      <c r="H50" s="244"/>
      <c r="K50" s="440"/>
      <c r="S50" s="244"/>
    </row>
    <row r="51" spans="1:19" ht="15.75" customHeight="1" x14ac:dyDescent="0.25">
      <c r="A51" s="244"/>
      <c r="C51" s="263"/>
      <c r="D51" s="264"/>
      <c r="E51" s="244"/>
      <c r="F51" s="244"/>
      <c r="G51" s="244"/>
      <c r="H51" s="244"/>
      <c r="K51" s="440"/>
      <c r="S51" s="244"/>
    </row>
    <row r="52" spans="1:19" ht="15.75" customHeight="1" x14ac:dyDescent="0.25">
      <c r="A52" s="244"/>
      <c r="C52" s="263"/>
      <c r="D52" s="264"/>
      <c r="E52" s="244"/>
      <c r="F52" s="244"/>
      <c r="G52" s="244"/>
      <c r="H52" s="244"/>
      <c r="K52" s="440"/>
      <c r="S52" s="244"/>
    </row>
    <row r="53" spans="1:19" ht="15.75" customHeight="1" x14ac:dyDescent="0.25">
      <c r="A53" s="244"/>
      <c r="C53" s="263"/>
      <c r="D53" s="264"/>
      <c r="E53" s="244"/>
      <c r="F53" s="244"/>
      <c r="G53" s="244"/>
      <c r="H53" s="244"/>
      <c r="K53" s="440"/>
      <c r="S53" s="244"/>
    </row>
    <row r="54" spans="1:19" ht="15.75" customHeight="1" x14ac:dyDescent="0.25">
      <c r="A54" s="244"/>
      <c r="C54" s="263"/>
      <c r="D54" s="264"/>
      <c r="E54" s="244"/>
      <c r="F54" s="244"/>
      <c r="G54" s="244"/>
      <c r="H54" s="244"/>
      <c r="K54" s="440"/>
      <c r="S54" s="244"/>
    </row>
    <row r="55" spans="1:19" ht="15.75" customHeight="1" x14ac:dyDescent="0.25">
      <c r="A55" s="244"/>
      <c r="C55" s="263"/>
      <c r="D55" s="264"/>
      <c r="E55" s="244"/>
      <c r="F55" s="244"/>
      <c r="G55" s="244"/>
      <c r="H55" s="244"/>
      <c r="K55" s="440"/>
      <c r="S55" s="244"/>
    </row>
    <row r="56" spans="1:19" ht="15.75" customHeight="1" x14ac:dyDescent="0.25">
      <c r="A56" s="244"/>
      <c r="C56" s="263"/>
      <c r="D56" s="264"/>
      <c r="E56" s="244"/>
      <c r="F56" s="244"/>
      <c r="G56" s="244"/>
      <c r="H56" s="244"/>
      <c r="K56" s="440"/>
      <c r="S56" s="244"/>
    </row>
    <row r="57" spans="1:19" ht="15.75" customHeight="1" x14ac:dyDescent="0.25">
      <c r="A57" s="244"/>
      <c r="C57" s="263"/>
      <c r="D57" s="264"/>
      <c r="E57" s="244"/>
      <c r="F57" s="244"/>
      <c r="G57" s="244"/>
      <c r="H57" s="244"/>
      <c r="K57" s="440"/>
      <c r="S57" s="244"/>
    </row>
    <row r="58" spans="1:19" ht="15.75" customHeight="1" x14ac:dyDescent="0.25">
      <c r="A58" s="244"/>
      <c r="C58" s="263"/>
      <c r="D58" s="264"/>
      <c r="E58" s="244"/>
      <c r="F58" s="244"/>
      <c r="G58" s="244"/>
      <c r="H58" s="244"/>
      <c r="K58" s="440"/>
      <c r="S58" s="244"/>
    </row>
    <row r="59" spans="1:19" ht="15.75" customHeight="1" x14ac:dyDescent="0.25">
      <c r="A59" s="244"/>
      <c r="C59" s="263"/>
      <c r="D59" s="264"/>
      <c r="E59" s="244"/>
      <c r="F59" s="244"/>
      <c r="G59" s="244"/>
      <c r="H59" s="244"/>
      <c r="K59" s="440"/>
      <c r="S59" s="244"/>
    </row>
    <row r="60" spans="1:19" ht="15.75" customHeight="1" x14ac:dyDescent="0.25">
      <c r="A60" s="244"/>
      <c r="C60" s="263"/>
      <c r="D60" s="264"/>
      <c r="E60" s="244"/>
      <c r="F60" s="244"/>
      <c r="G60" s="244"/>
      <c r="H60" s="244"/>
      <c r="K60" s="440"/>
      <c r="S60" s="244"/>
    </row>
    <row r="61" spans="1:19" ht="15.75" customHeight="1" x14ac:dyDescent="0.25">
      <c r="A61" s="244"/>
      <c r="C61" s="263"/>
      <c r="D61" s="264"/>
      <c r="E61" s="244"/>
      <c r="F61" s="244"/>
      <c r="G61" s="244"/>
      <c r="H61" s="244"/>
      <c r="K61" s="440"/>
      <c r="S61" s="244"/>
    </row>
    <row r="62" spans="1:19" ht="15.75" customHeight="1" x14ac:dyDescent="0.25">
      <c r="A62" s="244"/>
      <c r="C62" s="263"/>
      <c r="D62" s="264"/>
      <c r="E62" s="244"/>
      <c r="F62" s="244"/>
      <c r="G62" s="244"/>
      <c r="H62" s="244"/>
      <c r="K62" s="440"/>
      <c r="S62" s="244"/>
    </row>
    <row r="63" spans="1:19" ht="15.75" customHeight="1" x14ac:dyDescent="0.25">
      <c r="A63" s="244"/>
      <c r="C63" s="263"/>
      <c r="D63" s="264"/>
      <c r="E63" s="244"/>
      <c r="F63" s="244"/>
      <c r="G63" s="244"/>
      <c r="H63" s="244"/>
      <c r="K63" s="440"/>
      <c r="S63" s="244"/>
    </row>
    <row r="64" spans="1:19" ht="15.75" customHeight="1" x14ac:dyDescent="0.25">
      <c r="A64" s="244"/>
      <c r="C64" s="263"/>
      <c r="D64" s="264"/>
      <c r="E64" s="244"/>
      <c r="F64" s="244"/>
      <c r="G64" s="244"/>
      <c r="H64" s="244"/>
      <c r="K64" s="440"/>
      <c r="S64" s="244"/>
    </row>
    <row r="65" spans="1:19" ht="15.75" customHeight="1" x14ac:dyDescent="0.25">
      <c r="A65" s="244"/>
      <c r="C65" s="263"/>
      <c r="D65" s="264"/>
      <c r="E65" s="244"/>
      <c r="F65" s="244"/>
      <c r="G65" s="244"/>
      <c r="H65" s="244"/>
      <c r="K65" s="440"/>
      <c r="S65" s="244"/>
    </row>
    <row r="66" spans="1:19" ht="15.75" customHeight="1" x14ac:dyDescent="0.25">
      <c r="A66" s="244"/>
      <c r="C66" s="263"/>
      <c r="D66" s="264"/>
      <c r="E66" s="244"/>
      <c r="F66" s="244"/>
      <c r="G66" s="244"/>
      <c r="H66" s="244"/>
      <c r="K66" s="440"/>
      <c r="S66" s="244"/>
    </row>
    <row r="67" spans="1:19" ht="15.75" customHeight="1" x14ac:dyDescent="0.25">
      <c r="A67" s="244"/>
      <c r="C67" s="263"/>
      <c r="D67" s="264"/>
      <c r="E67" s="244"/>
      <c r="F67" s="244"/>
      <c r="G67" s="244"/>
      <c r="H67" s="244"/>
      <c r="K67" s="440"/>
      <c r="S67" s="244"/>
    </row>
    <row r="68" spans="1:19" ht="15.75" customHeight="1" x14ac:dyDescent="0.25">
      <c r="A68" s="244"/>
      <c r="C68" s="263"/>
      <c r="D68" s="264"/>
      <c r="E68" s="244"/>
      <c r="F68" s="244"/>
      <c r="G68" s="244"/>
      <c r="H68" s="244"/>
      <c r="K68" s="440"/>
      <c r="S68" s="244"/>
    </row>
    <row r="69" spans="1:19" ht="15.75" customHeight="1" x14ac:dyDescent="0.25">
      <c r="A69" s="244"/>
      <c r="C69" s="263"/>
      <c r="D69" s="264"/>
      <c r="E69" s="244"/>
      <c r="F69" s="244"/>
      <c r="G69" s="244"/>
      <c r="H69" s="244"/>
      <c r="K69" s="440"/>
      <c r="S69" s="244"/>
    </row>
    <row r="70" spans="1:19" ht="15.75" customHeight="1" x14ac:dyDescent="0.25">
      <c r="A70" s="244"/>
      <c r="C70" s="263"/>
      <c r="D70" s="264"/>
      <c r="E70" s="244"/>
      <c r="F70" s="244"/>
      <c r="G70" s="244"/>
      <c r="H70" s="244"/>
      <c r="K70" s="440"/>
      <c r="S70" s="244"/>
    </row>
    <row r="71" spans="1:19" ht="15.75" customHeight="1" x14ac:dyDescent="0.25">
      <c r="A71" s="244"/>
      <c r="C71" s="263"/>
      <c r="D71" s="264"/>
      <c r="E71" s="244"/>
      <c r="F71" s="244"/>
      <c r="G71" s="244"/>
      <c r="H71" s="244"/>
      <c r="K71" s="440"/>
      <c r="S71" s="244"/>
    </row>
    <row r="72" spans="1:19" ht="15.75" customHeight="1" x14ac:dyDescent="0.25">
      <c r="A72" s="244"/>
      <c r="C72" s="263"/>
      <c r="D72" s="264"/>
      <c r="E72" s="244"/>
      <c r="F72" s="244"/>
      <c r="G72" s="244"/>
      <c r="H72" s="244"/>
      <c r="K72" s="440"/>
      <c r="S72" s="244"/>
    </row>
    <row r="73" spans="1:19" ht="15.75" customHeight="1" x14ac:dyDescent="0.25">
      <c r="A73" s="244"/>
      <c r="C73" s="263"/>
      <c r="D73" s="264"/>
      <c r="E73" s="244"/>
      <c r="F73" s="244"/>
      <c r="G73" s="244"/>
      <c r="H73" s="244"/>
      <c r="K73" s="440"/>
      <c r="S73" s="244"/>
    </row>
    <row r="74" spans="1:19" ht="15.75" customHeight="1" x14ac:dyDescent="0.25">
      <c r="A74" s="244"/>
      <c r="C74" s="263"/>
      <c r="D74" s="264"/>
      <c r="E74" s="244"/>
      <c r="F74" s="244"/>
      <c r="G74" s="244"/>
      <c r="H74" s="244"/>
      <c r="K74" s="440"/>
      <c r="S74" s="244"/>
    </row>
    <row r="75" spans="1:19" ht="15.75" customHeight="1" x14ac:dyDescent="0.25">
      <c r="A75" s="244"/>
      <c r="C75" s="263"/>
      <c r="D75" s="264"/>
      <c r="E75" s="244"/>
      <c r="F75" s="244"/>
      <c r="G75" s="244"/>
      <c r="H75" s="244"/>
      <c r="K75" s="440"/>
      <c r="S75" s="244"/>
    </row>
    <row r="76" spans="1:19" ht="15.75" customHeight="1" x14ac:dyDescent="0.25">
      <c r="A76" s="244"/>
      <c r="C76" s="263"/>
      <c r="D76" s="264"/>
      <c r="E76" s="244"/>
      <c r="F76" s="244"/>
      <c r="G76" s="244"/>
      <c r="H76" s="244"/>
      <c r="K76" s="440"/>
      <c r="S76" s="244"/>
    </row>
    <row r="77" spans="1:19" ht="15.75" customHeight="1" x14ac:dyDescent="0.25">
      <c r="A77" s="244"/>
      <c r="C77" s="263"/>
      <c r="D77" s="264"/>
      <c r="E77" s="244"/>
      <c r="F77" s="244"/>
      <c r="G77" s="244"/>
      <c r="H77" s="244"/>
      <c r="K77" s="440"/>
      <c r="S77" s="244"/>
    </row>
    <row r="78" spans="1:19" ht="15.75" customHeight="1" x14ac:dyDescent="0.25">
      <c r="A78" s="244"/>
      <c r="C78" s="263"/>
      <c r="D78" s="264"/>
      <c r="E78" s="244"/>
      <c r="F78" s="244"/>
      <c r="G78" s="244"/>
      <c r="H78" s="244"/>
      <c r="K78" s="440"/>
      <c r="S78" s="244"/>
    </row>
    <row r="79" spans="1:19" ht="15.75" customHeight="1" x14ac:dyDescent="0.25">
      <c r="A79" s="244"/>
      <c r="C79" s="263"/>
      <c r="D79" s="264"/>
      <c r="E79" s="244"/>
      <c r="F79" s="244"/>
      <c r="G79" s="244"/>
      <c r="H79" s="244"/>
      <c r="K79" s="440"/>
      <c r="S79" s="244"/>
    </row>
    <row r="80" spans="1:19" ht="15.75" customHeight="1" x14ac:dyDescent="0.25">
      <c r="A80" s="244"/>
      <c r="C80" s="263"/>
      <c r="D80" s="264"/>
      <c r="E80" s="244"/>
      <c r="F80" s="244"/>
      <c r="G80" s="244"/>
      <c r="H80" s="244"/>
      <c r="K80" s="440"/>
      <c r="S80" s="244"/>
    </row>
    <row r="81" spans="1:19" ht="15.75" customHeight="1" x14ac:dyDescent="0.25">
      <c r="A81" s="244"/>
      <c r="C81" s="263"/>
      <c r="D81" s="264"/>
      <c r="E81" s="244"/>
      <c r="F81" s="244"/>
      <c r="G81" s="244"/>
      <c r="H81" s="244"/>
      <c r="K81" s="440"/>
      <c r="S81" s="244"/>
    </row>
    <row r="82" spans="1:19" ht="15.75" customHeight="1" x14ac:dyDescent="0.25">
      <c r="A82" s="244"/>
      <c r="C82" s="263"/>
      <c r="D82" s="264"/>
      <c r="E82" s="244"/>
      <c r="F82" s="244"/>
      <c r="G82" s="244"/>
      <c r="H82" s="244"/>
      <c r="K82" s="440"/>
      <c r="S82" s="244"/>
    </row>
    <row r="83" spans="1:19" ht="15.75" customHeight="1" x14ac:dyDescent="0.25">
      <c r="A83" s="244"/>
      <c r="C83" s="263"/>
      <c r="D83" s="264"/>
      <c r="E83" s="244"/>
      <c r="F83" s="244"/>
      <c r="G83" s="244"/>
      <c r="H83" s="244"/>
      <c r="K83" s="440"/>
      <c r="S83" s="244"/>
    </row>
    <row r="84" spans="1:19" ht="15.75" customHeight="1" x14ac:dyDescent="0.25">
      <c r="A84" s="244"/>
      <c r="C84" s="263"/>
      <c r="D84" s="264"/>
      <c r="E84" s="244"/>
      <c r="F84" s="244"/>
      <c r="G84" s="244"/>
      <c r="H84" s="244"/>
      <c r="K84" s="440"/>
      <c r="S84" s="244"/>
    </row>
    <row r="85" spans="1:19" ht="15.75" customHeight="1" x14ac:dyDescent="0.25">
      <c r="A85" s="244"/>
      <c r="C85" s="263"/>
      <c r="D85" s="264"/>
      <c r="E85" s="244"/>
      <c r="F85" s="244"/>
      <c r="G85" s="244"/>
      <c r="H85" s="244"/>
      <c r="K85" s="440"/>
      <c r="S85" s="244"/>
    </row>
    <row r="86" spans="1:19" ht="15.75" customHeight="1" x14ac:dyDescent="0.25">
      <c r="A86" s="244"/>
      <c r="C86" s="263"/>
      <c r="D86" s="264"/>
      <c r="E86" s="244"/>
      <c r="F86" s="244"/>
      <c r="G86" s="244"/>
      <c r="H86" s="244"/>
      <c r="K86" s="440"/>
      <c r="S86" s="244"/>
    </row>
    <row r="87" spans="1:19" ht="15.75" customHeight="1" x14ac:dyDescent="0.25">
      <c r="A87" s="244"/>
      <c r="C87" s="263"/>
      <c r="D87" s="264"/>
      <c r="E87" s="244"/>
      <c r="F87" s="244"/>
      <c r="G87" s="244"/>
      <c r="H87" s="244"/>
      <c r="K87" s="440"/>
      <c r="S87" s="244"/>
    </row>
    <row r="88" spans="1:19" ht="15.75" customHeight="1" x14ac:dyDescent="0.25">
      <c r="A88" s="244"/>
      <c r="C88" s="263"/>
      <c r="D88" s="264"/>
      <c r="E88" s="244"/>
      <c r="F88" s="244"/>
      <c r="G88" s="244"/>
      <c r="H88" s="244"/>
      <c r="K88" s="440"/>
      <c r="S88" s="244"/>
    </row>
    <row r="89" spans="1:19" ht="15.75" customHeight="1" x14ac:dyDescent="0.25">
      <c r="A89" s="244"/>
      <c r="C89" s="263"/>
      <c r="D89" s="264"/>
      <c r="E89" s="244"/>
      <c r="F89" s="244"/>
      <c r="G89" s="244"/>
      <c r="H89" s="244"/>
      <c r="K89" s="440"/>
      <c r="S89" s="244"/>
    </row>
    <row r="90" spans="1:19" ht="15.75" customHeight="1" x14ac:dyDescent="0.25">
      <c r="A90" s="244"/>
      <c r="C90" s="263"/>
      <c r="D90" s="264"/>
      <c r="E90" s="244"/>
      <c r="F90" s="244"/>
      <c r="G90" s="244"/>
      <c r="H90" s="244"/>
      <c r="K90" s="440"/>
      <c r="S90" s="244"/>
    </row>
    <row r="91" spans="1:19" ht="15.75" customHeight="1" x14ac:dyDescent="0.25">
      <c r="A91" s="244"/>
      <c r="C91" s="263"/>
      <c r="D91" s="264"/>
      <c r="E91" s="244"/>
      <c r="F91" s="244"/>
      <c r="G91" s="244"/>
      <c r="H91" s="244"/>
      <c r="K91" s="440"/>
      <c r="S91" s="244"/>
    </row>
    <row r="92" spans="1:19" ht="15.75" customHeight="1" x14ac:dyDescent="0.25">
      <c r="A92" s="244"/>
      <c r="C92" s="263"/>
      <c r="D92" s="264"/>
      <c r="E92" s="244"/>
      <c r="F92" s="244"/>
      <c r="G92" s="244"/>
      <c r="H92" s="244"/>
      <c r="K92" s="440"/>
      <c r="S92" s="244"/>
    </row>
    <row r="93" spans="1:19" ht="15.75" customHeight="1" x14ac:dyDescent="0.25">
      <c r="A93" s="244"/>
      <c r="C93" s="263"/>
      <c r="D93" s="264"/>
      <c r="E93" s="244"/>
      <c r="F93" s="244"/>
      <c r="G93" s="244"/>
      <c r="H93" s="244"/>
      <c r="K93" s="440"/>
      <c r="S93" s="244"/>
    </row>
    <row r="94" spans="1:19" ht="15.75" customHeight="1" x14ac:dyDescent="0.25">
      <c r="A94" s="244"/>
      <c r="C94" s="263"/>
      <c r="D94" s="264"/>
      <c r="E94" s="244"/>
      <c r="F94" s="244"/>
      <c r="G94" s="244"/>
      <c r="H94" s="244"/>
      <c r="K94" s="440"/>
      <c r="S94" s="244"/>
    </row>
    <row r="95" spans="1:19" ht="15.75" customHeight="1" x14ac:dyDescent="0.25">
      <c r="A95" s="244"/>
      <c r="C95" s="263"/>
      <c r="D95" s="264"/>
      <c r="E95" s="244"/>
      <c r="F95" s="244"/>
      <c r="G95" s="244"/>
      <c r="H95" s="244"/>
      <c r="K95" s="440"/>
      <c r="S95" s="244"/>
    </row>
    <row r="96" spans="1:19" ht="15.75" customHeight="1" x14ac:dyDescent="0.25">
      <c r="A96" s="244"/>
      <c r="C96" s="263"/>
      <c r="D96" s="264"/>
      <c r="E96" s="244"/>
      <c r="F96" s="244"/>
      <c r="G96" s="244"/>
      <c r="H96" s="244"/>
      <c r="K96" s="440"/>
      <c r="S96" s="244"/>
    </row>
    <row r="97" spans="1:19" ht="15.75" customHeight="1" x14ac:dyDescent="0.25">
      <c r="A97" s="244"/>
      <c r="C97" s="263"/>
      <c r="D97" s="264"/>
      <c r="E97" s="244"/>
      <c r="F97" s="244"/>
      <c r="G97" s="244"/>
      <c r="H97" s="244"/>
      <c r="K97" s="440"/>
      <c r="S97" s="244"/>
    </row>
    <row r="98" spans="1:19" ht="15.75" customHeight="1" x14ac:dyDescent="0.25">
      <c r="A98" s="244"/>
      <c r="C98" s="263"/>
      <c r="D98" s="264"/>
      <c r="E98" s="244"/>
      <c r="F98" s="244"/>
      <c r="G98" s="244"/>
      <c r="H98" s="244"/>
      <c r="K98" s="440"/>
      <c r="S98" s="244"/>
    </row>
    <row r="99" spans="1:19" ht="15.75" customHeight="1" x14ac:dyDescent="0.25">
      <c r="A99" s="244"/>
      <c r="C99" s="263"/>
      <c r="D99" s="264"/>
      <c r="E99" s="244"/>
      <c r="F99" s="244"/>
      <c r="G99" s="244"/>
      <c r="H99" s="244"/>
      <c r="K99" s="440"/>
      <c r="S99" s="244"/>
    </row>
    <row r="100" spans="1:19" ht="15.75" customHeight="1" x14ac:dyDescent="0.25">
      <c r="A100" s="244"/>
      <c r="C100" s="263"/>
      <c r="D100" s="264"/>
      <c r="E100" s="244"/>
      <c r="F100" s="244"/>
      <c r="G100" s="244"/>
      <c r="H100" s="244"/>
      <c r="K100" s="440"/>
      <c r="S100" s="244"/>
    </row>
    <row r="101" spans="1:19" ht="15.75" customHeight="1" x14ac:dyDescent="0.25">
      <c r="A101" s="244"/>
      <c r="C101" s="263"/>
      <c r="D101" s="264"/>
      <c r="E101" s="244"/>
      <c r="F101" s="244"/>
      <c r="G101" s="244"/>
      <c r="H101" s="244"/>
      <c r="K101" s="440"/>
      <c r="S101" s="244"/>
    </row>
    <row r="102" spans="1:19" ht="15.75" customHeight="1" x14ac:dyDescent="0.25">
      <c r="A102" s="244"/>
      <c r="C102" s="263"/>
      <c r="D102" s="264"/>
      <c r="E102" s="244"/>
      <c r="F102" s="244"/>
      <c r="G102" s="244"/>
      <c r="H102" s="244"/>
      <c r="K102" s="440"/>
      <c r="S102" s="244"/>
    </row>
    <row r="103" spans="1:19" ht="15.75" customHeight="1" x14ac:dyDescent="0.25">
      <c r="A103" s="244"/>
      <c r="C103" s="263"/>
      <c r="D103" s="264"/>
      <c r="E103" s="244"/>
      <c r="F103" s="244"/>
      <c r="G103" s="244"/>
      <c r="H103" s="244"/>
      <c r="K103" s="440"/>
      <c r="S103" s="244"/>
    </row>
    <row r="104" spans="1:19" ht="15.75" customHeight="1" x14ac:dyDescent="0.25">
      <c r="A104" s="244"/>
      <c r="C104" s="263"/>
      <c r="D104" s="264"/>
      <c r="E104" s="244"/>
      <c r="F104" s="244"/>
      <c r="G104" s="244"/>
      <c r="H104" s="244"/>
      <c r="K104" s="440"/>
      <c r="S104" s="244"/>
    </row>
    <row r="105" spans="1:19" ht="15.75" customHeight="1" x14ac:dyDescent="0.25">
      <c r="A105" s="244"/>
      <c r="C105" s="263"/>
      <c r="D105" s="264"/>
      <c r="E105" s="244"/>
      <c r="F105" s="244"/>
      <c r="G105" s="244"/>
      <c r="H105" s="244"/>
      <c r="K105" s="440"/>
      <c r="S105" s="244"/>
    </row>
    <row r="106" spans="1:19" ht="15.75" customHeight="1" x14ac:dyDescent="0.25">
      <c r="A106" s="244"/>
      <c r="C106" s="263"/>
      <c r="D106" s="264"/>
      <c r="E106" s="244"/>
      <c r="F106" s="244"/>
      <c r="G106" s="244"/>
      <c r="H106" s="244"/>
      <c r="K106" s="440"/>
      <c r="S106" s="244"/>
    </row>
    <row r="107" spans="1:19" ht="15.75" customHeight="1" x14ac:dyDescent="0.25">
      <c r="A107" s="244"/>
      <c r="C107" s="263"/>
      <c r="D107" s="264"/>
      <c r="E107" s="244"/>
      <c r="F107" s="244"/>
      <c r="G107" s="244"/>
      <c r="H107" s="244"/>
      <c r="K107" s="440"/>
      <c r="S107" s="244"/>
    </row>
    <row r="108" spans="1:19" ht="15.75" customHeight="1" x14ac:dyDescent="0.25">
      <c r="A108" s="244"/>
      <c r="C108" s="263"/>
      <c r="D108" s="264"/>
      <c r="E108" s="244"/>
      <c r="F108" s="244"/>
      <c r="G108" s="244"/>
      <c r="H108" s="244"/>
      <c r="K108" s="440"/>
      <c r="S108" s="244"/>
    </row>
    <row r="109" spans="1:19" ht="15.75" customHeight="1" x14ac:dyDescent="0.25">
      <c r="A109" s="244"/>
      <c r="C109" s="263"/>
      <c r="D109" s="264"/>
      <c r="E109" s="244"/>
      <c r="F109" s="244"/>
      <c r="G109" s="244"/>
      <c r="H109" s="244"/>
      <c r="K109" s="440"/>
      <c r="S109" s="244"/>
    </row>
    <row r="110" spans="1:19" ht="15.75" customHeight="1" x14ac:dyDescent="0.25">
      <c r="A110" s="244"/>
      <c r="C110" s="263"/>
      <c r="D110" s="264"/>
      <c r="E110" s="244"/>
      <c r="F110" s="244"/>
      <c r="G110" s="244"/>
      <c r="H110" s="244"/>
      <c r="K110" s="440"/>
      <c r="S110" s="244"/>
    </row>
    <row r="111" spans="1:19" ht="15.75" customHeight="1" x14ac:dyDescent="0.25">
      <c r="A111" s="244"/>
      <c r="C111" s="263"/>
      <c r="D111" s="264"/>
      <c r="E111" s="244"/>
      <c r="F111" s="244"/>
      <c r="G111" s="244"/>
      <c r="H111" s="244"/>
      <c r="K111" s="440"/>
      <c r="S111" s="244"/>
    </row>
    <row r="112" spans="1:19" ht="15.75" customHeight="1" x14ac:dyDescent="0.25">
      <c r="A112" s="244"/>
      <c r="C112" s="263"/>
      <c r="D112" s="264"/>
      <c r="E112" s="244"/>
      <c r="F112" s="244"/>
      <c r="G112" s="244"/>
      <c r="H112" s="244"/>
      <c r="K112" s="440"/>
      <c r="S112" s="244"/>
    </row>
    <row r="113" spans="1:19" ht="15.75" customHeight="1" x14ac:dyDescent="0.25">
      <c r="A113" s="244"/>
      <c r="C113" s="263"/>
      <c r="D113" s="264"/>
      <c r="E113" s="244"/>
      <c r="F113" s="244"/>
      <c r="G113" s="244"/>
      <c r="H113" s="244"/>
      <c r="K113" s="440"/>
      <c r="S113" s="244"/>
    </row>
    <row r="114" spans="1:19" ht="15.75" customHeight="1" x14ac:dyDescent="0.25">
      <c r="A114" s="244"/>
      <c r="C114" s="263"/>
      <c r="D114" s="264"/>
      <c r="E114" s="244"/>
      <c r="F114" s="244"/>
      <c r="G114" s="244"/>
      <c r="H114" s="244"/>
      <c r="K114" s="440"/>
      <c r="S114" s="244"/>
    </row>
    <row r="115" spans="1:19" ht="15.75" customHeight="1" x14ac:dyDescent="0.25">
      <c r="A115" s="244"/>
      <c r="C115" s="263"/>
      <c r="D115" s="264"/>
      <c r="E115" s="244"/>
      <c r="F115" s="244"/>
      <c r="G115" s="244"/>
      <c r="H115" s="244"/>
      <c r="K115" s="440"/>
      <c r="S115" s="244"/>
    </row>
    <row r="116" spans="1:19" ht="15.75" customHeight="1" x14ac:dyDescent="0.25">
      <c r="A116" s="244"/>
      <c r="C116" s="263"/>
      <c r="D116" s="264"/>
      <c r="E116" s="244"/>
      <c r="F116" s="244"/>
      <c r="G116" s="244"/>
      <c r="H116" s="244"/>
      <c r="K116" s="440"/>
      <c r="S116" s="244"/>
    </row>
    <row r="117" spans="1:19" ht="15.75" customHeight="1" x14ac:dyDescent="0.25">
      <c r="A117" s="244"/>
      <c r="C117" s="263"/>
      <c r="D117" s="264"/>
      <c r="E117" s="244"/>
      <c r="F117" s="244"/>
      <c r="G117" s="244"/>
      <c r="H117" s="244"/>
      <c r="K117" s="440"/>
      <c r="S117" s="244"/>
    </row>
    <row r="118" spans="1:19" ht="15.75" customHeight="1" x14ac:dyDescent="0.25">
      <c r="A118" s="244"/>
      <c r="C118" s="263"/>
      <c r="D118" s="264"/>
      <c r="E118" s="244"/>
      <c r="F118" s="244"/>
      <c r="G118" s="244"/>
      <c r="H118" s="244"/>
      <c r="K118" s="440"/>
      <c r="S118" s="244"/>
    </row>
    <row r="119" spans="1:19" ht="15.75" customHeight="1" x14ac:dyDescent="0.25">
      <c r="A119" s="244"/>
      <c r="C119" s="263"/>
      <c r="D119" s="264"/>
      <c r="E119" s="244"/>
      <c r="F119" s="244"/>
      <c r="G119" s="244"/>
      <c r="H119" s="244"/>
      <c r="K119" s="440"/>
      <c r="S119" s="244"/>
    </row>
    <row r="120" spans="1:19" ht="15.75" customHeight="1" x14ac:dyDescent="0.25">
      <c r="A120" s="244"/>
      <c r="C120" s="263"/>
      <c r="D120" s="264"/>
      <c r="E120" s="244"/>
      <c r="F120" s="244"/>
      <c r="G120" s="244"/>
      <c r="H120" s="244"/>
      <c r="K120" s="440"/>
      <c r="S120" s="244"/>
    </row>
    <row r="121" spans="1:19" ht="15.75" customHeight="1" x14ac:dyDescent="0.25">
      <c r="A121" s="244"/>
      <c r="C121" s="263"/>
      <c r="D121" s="264"/>
      <c r="E121" s="244"/>
      <c r="F121" s="244"/>
      <c r="G121" s="244"/>
      <c r="H121" s="244"/>
      <c r="K121" s="440"/>
      <c r="S121" s="244"/>
    </row>
    <row r="122" spans="1:19" ht="15.75" customHeight="1" x14ac:dyDescent="0.25">
      <c r="A122" s="244"/>
      <c r="C122" s="263"/>
      <c r="D122" s="264"/>
      <c r="E122" s="244"/>
      <c r="F122" s="244"/>
      <c r="G122" s="244"/>
      <c r="H122" s="244"/>
      <c r="K122" s="440"/>
      <c r="S122" s="244"/>
    </row>
    <row r="123" spans="1:19" ht="15.75" customHeight="1" x14ac:dyDescent="0.25">
      <c r="A123" s="244"/>
      <c r="C123" s="263"/>
      <c r="D123" s="264"/>
      <c r="E123" s="244"/>
      <c r="F123" s="244"/>
      <c r="G123" s="244"/>
      <c r="H123" s="244"/>
      <c r="K123" s="440"/>
      <c r="S123" s="244"/>
    </row>
    <row r="124" spans="1:19" ht="15.75" customHeight="1" x14ac:dyDescent="0.25">
      <c r="A124" s="244"/>
      <c r="C124" s="263"/>
      <c r="D124" s="264"/>
      <c r="E124" s="244"/>
      <c r="F124" s="244"/>
      <c r="G124" s="244"/>
      <c r="H124" s="244"/>
      <c r="K124" s="440"/>
      <c r="S124" s="244"/>
    </row>
    <row r="125" spans="1:19" ht="15.75" customHeight="1" x14ac:dyDescent="0.25">
      <c r="A125" s="244"/>
      <c r="C125" s="263"/>
      <c r="D125" s="264"/>
      <c r="E125" s="244"/>
      <c r="F125" s="244"/>
      <c r="G125" s="244"/>
      <c r="H125" s="244"/>
      <c r="K125" s="440"/>
      <c r="S125" s="244"/>
    </row>
    <row r="126" spans="1:19" ht="15.75" customHeight="1" x14ac:dyDescent="0.25">
      <c r="A126" s="244"/>
      <c r="C126" s="263"/>
      <c r="D126" s="264"/>
      <c r="E126" s="244"/>
      <c r="F126" s="244"/>
      <c r="G126" s="244"/>
      <c r="H126" s="244"/>
      <c r="K126" s="440"/>
      <c r="S126" s="244"/>
    </row>
    <row r="127" spans="1:19" ht="15.75" customHeight="1" x14ac:dyDescent="0.25">
      <c r="A127" s="244"/>
      <c r="C127" s="263"/>
      <c r="D127" s="264"/>
      <c r="E127" s="244"/>
      <c r="F127" s="244"/>
      <c r="G127" s="244"/>
      <c r="H127" s="244"/>
      <c r="K127" s="440"/>
      <c r="S127" s="244"/>
    </row>
    <row r="128" spans="1:19" ht="15.75" customHeight="1" x14ac:dyDescent="0.25">
      <c r="A128" s="244"/>
      <c r="C128" s="263"/>
      <c r="D128" s="264"/>
      <c r="E128" s="244"/>
      <c r="F128" s="244"/>
      <c r="G128" s="244"/>
      <c r="H128" s="244"/>
      <c r="K128" s="440"/>
      <c r="S128" s="244"/>
    </row>
    <row r="129" spans="1:19" ht="15.75" customHeight="1" x14ac:dyDescent="0.25">
      <c r="A129" s="244"/>
      <c r="C129" s="263"/>
      <c r="D129" s="264"/>
      <c r="E129" s="244"/>
      <c r="F129" s="244"/>
      <c r="G129" s="244"/>
      <c r="H129" s="244"/>
      <c r="K129" s="440"/>
      <c r="S129" s="244"/>
    </row>
    <row r="130" spans="1:19" ht="15.75" customHeight="1" x14ac:dyDescent="0.25">
      <c r="A130" s="244"/>
      <c r="C130" s="263"/>
      <c r="D130" s="264"/>
      <c r="E130" s="244"/>
      <c r="F130" s="244"/>
      <c r="G130" s="244"/>
      <c r="H130" s="244"/>
      <c r="K130" s="440"/>
      <c r="S130" s="244"/>
    </row>
    <row r="131" spans="1:19" ht="15.75" customHeight="1" x14ac:dyDescent="0.25">
      <c r="A131" s="244"/>
      <c r="C131" s="263"/>
      <c r="D131" s="264"/>
      <c r="E131" s="244"/>
      <c r="F131" s="244"/>
      <c r="G131" s="244"/>
      <c r="H131" s="244"/>
      <c r="K131" s="440"/>
      <c r="S131" s="244"/>
    </row>
    <row r="132" spans="1:19" ht="15.75" customHeight="1" x14ac:dyDescent="0.25">
      <c r="A132" s="244"/>
      <c r="C132" s="263"/>
      <c r="D132" s="264"/>
      <c r="E132" s="244"/>
      <c r="F132" s="244"/>
      <c r="G132" s="244"/>
      <c r="H132" s="244"/>
      <c r="K132" s="440"/>
      <c r="S132" s="244"/>
    </row>
    <row r="133" spans="1:19" ht="15.75" customHeight="1" x14ac:dyDescent="0.25">
      <c r="A133" s="244"/>
      <c r="C133" s="263"/>
      <c r="D133" s="264"/>
      <c r="E133" s="244"/>
      <c r="F133" s="244"/>
      <c r="G133" s="244"/>
      <c r="H133" s="244"/>
      <c r="K133" s="440"/>
      <c r="S133" s="244"/>
    </row>
    <row r="134" spans="1:19" ht="15.75" customHeight="1" x14ac:dyDescent="0.25">
      <c r="A134" s="244"/>
      <c r="C134" s="263"/>
      <c r="D134" s="264"/>
      <c r="E134" s="244"/>
      <c r="F134" s="244"/>
      <c r="G134" s="244"/>
      <c r="H134" s="244"/>
      <c r="K134" s="440"/>
      <c r="S134" s="244"/>
    </row>
    <row r="135" spans="1:19" ht="15.75" customHeight="1" x14ac:dyDescent="0.25">
      <c r="A135" s="244"/>
      <c r="C135" s="263"/>
      <c r="D135" s="264"/>
      <c r="E135" s="244"/>
      <c r="F135" s="244"/>
      <c r="G135" s="244"/>
      <c r="H135" s="244"/>
      <c r="K135" s="440"/>
      <c r="S135" s="244"/>
    </row>
    <row r="136" spans="1:19" ht="15.75" customHeight="1" x14ac:dyDescent="0.25">
      <c r="A136" s="244"/>
      <c r="C136" s="263"/>
      <c r="D136" s="264"/>
      <c r="E136" s="244"/>
      <c r="F136" s="244"/>
      <c r="G136" s="244"/>
      <c r="H136" s="244"/>
      <c r="K136" s="440"/>
      <c r="S136" s="244"/>
    </row>
    <row r="137" spans="1:19" ht="15.75" customHeight="1" x14ac:dyDescent="0.25">
      <c r="A137" s="244"/>
      <c r="C137" s="263"/>
      <c r="D137" s="264"/>
      <c r="E137" s="244"/>
      <c r="F137" s="244"/>
      <c r="G137" s="244"/>
      <c r="H137" s="244"/>
      <c r="K137" s="440"/>
      <c r="S137" s="244"/>
    </row>
    <row r="138" spans="1:19" ht="15.75" customHeight="1" x14ac:dyDescent="0.25">
      <c r="A138" s="244"/>
      <c r="C138" s="263"/>
      <c r="D138" s="264"/>
      <c r="E138" s="244"/>
      <c r="F138" s="244"/>
      <c r="G138" s="244"/>
      <c r="H138" s="244"/>
      <c r="K138" s="440"/>
      <c r="S138" s="244"/>
    </row>
    <row r="139" spans="1:19" ht="15.75" customHeight="1" x14ac:dyDescent="0.25">
      <c r="A139" s="244"/>
      <c r="C139" s="263"/>
      <c r="D139" s="264"/>
      <c r="E139" s="244"/>
      <c r="F139" s="244"/>
      <c r="G139" s="244"/>
      <c r="H139" s="244"/>
      <c r="K139" s="440"/>
      <c r="S139" s="244"/>
    </row>
    <row r="140" spans="1:19" ht="15.75" customHeight="1" x14ac:dyDescent="0.25">
      <c r="A140" s="244"/>
      <c r="C140" s="263"/>
      <c r="D140" s="264"/>
      <c r="E140" s="244"/>
      <c r="F140" s="244"/>
      <c r="G140" s="244"/>
      <c r="H140" s="244"/>
      <c r="K140" s="440"/>
      <c r="S140" s="244"/>
    </row>
    <row r="141" spans="1:19" ht="15.75" customHeight="1" x14ac:dyDescent="0.25">
      <c r="A141" s="244"/>
      <c r="C141" s="263"/>
      <c r="D141" s="264"/>
      <c r="E141" s="244"/>
      <c r="F141" s="244"/>
      <c r="G141" s="244"/>
      <c r="H141" s="244"/>
      <c r="K141" s="440"/>
      <c r="S141" s="244"/>
    </row>
    <row r="142" spans="1:19" ht="15.75" customHeight="1" x14ac:dyDescent="0.25">
      <c r="A142" s="244"/>
      <c r="C142" s="263"/>
      <c r="D142" s="264"/>
      <c r="E142" s="244"/>
      <c r="F142" s="244"/>
      <c r="G142" s="244"/>
      <c r="H142" s="244"/>
      <c r="K142" s="440"/>
      <c r="S142" s="244"/>
    </row>
    <row r="143" spans="1:19" ht="15.75" customHeight="1" x14ac:dyDescent="0.25">
      <c r="A143" s="244"/>
      <c r="C143" s="263"/>
      <c r="D143" s="264"/>
      <c r="E143" s="244"/>
      <c r="F143" s="244"/>
      <c r="G143" s="244"/>
      <c r="H143" s="244"/>
      <c r="K143" s="440"/>
      <c r="S143" s="244"/>
    </row>
    <row r="144" spans="1:19" ht="15.75" customHeight="1" x14ac:dyDescent="0.25">
      <c r="A144" s="244"/>
      <c r="C144" s="263"/>
      <c r="D144" s="264"/>
      <c r="E144" s="244"/>
      <c r="F144" s="244"/>
      <c r="G144" s="244"/>
      <c r="H144" s="244"/>
      <c r="K144" s="440"/>
      <c r="S144" s="244"/>
    </row>
    <row r="145" spans="1:19" ht="15.75" customHeight="1" x14ac:dyDescent="0.25">
      <c r="A145" s="244"/>
      <c r="C145" s="263"/>
      <c r="D145" s="264"/>
      <c r="E145" s="244"/>
      <c r="F145" s="244"/>
      <c r="G145" s="244"/>
      <c r="H145" s="244"/>
      <c r="K145" s="440"/>
      <c r="S145" s="244"/>
    </row>
    <row r="146" spans="1:19" ht="15.75" customHeight="1" x14ac:dyDescent="0.25">
      <c r="A146" s="244"/>
      <c r="C146" s="263"/>
      <c r="D146" s="264"/>
      <c r="E146" s="244"/>
      <c r="F146" s="244"/>
      <c r="G146" s="244"/>
      <c r="H146" s="244"/>
      <c r="K146" s="440"/>
      <c r="S146" s="244"/>
    </row>
    <row r="147" spans="1:19" ht="15.75" customHeight="1" x14ac:dyDescent="0.25">
      <c r="A147" s="244"/>
      <c r="C147" s="263"/>
      <c r="D147" s="264"/>
      <c r="E147" s="244"/>
      <c r="F147" s="244"/>
      <c r="G147" s="244"/>
      <c r="H147" s="244"/>
      <c r="K147" s="440"/>
      <c r="S147" s="244"/>
    </row>
    <row r="148" spans="1:19" ht="15.75" customHeight="1" x14ac:dyDescent="0.25">
      <c r="A148" s="244"/>
      <c r="C148" s="263"/>
      <c r="D148" s="264"/>
      <c r="E148" s="244"/>
      <c r="F148" s="244"/>
      <c r="G148" s="244"/>
      <c r="H148" s="244"/>
      <c r="K148" s="440"/>
      <c r="S148" s="244"/>
    </row>
    <row r="149" spans="1:19" ht="15.75" customHeight="1" x14ac:dyDescent="0.25">
      <c r="A149" s="244"/>
      <c r="C149" s="263"/>
      <c r="D149" s="264"/>
      <c r="E149" s="244"/>
      <c r="F149" s="244"/>
      <c r="G149" s="244"/>
      <c r="H149" s="244"/>
      <c r="K149" s="440"/>
      <c r="S149" s="244"/>
    </row>
    <row r="150" spans="1:19" ht="15.75" customHeight="1" x14ac:dyDescent="0.25">
      <c r="A150" s="244"/>
      <c r="C150" s="263"/>
      <c r="D150" s="264"/>
      <c r="E150" s="244"/>
      <c r="F150" s="244"/>
      <c r="G150" s="244"/>
      <c r="H150" s="244"/>
      <c r="K150" s="440"/>
      <c r="S150" s="244"/>
    </row>
    <row r="151" spans="1:19" ht="15.75" customHeight="1" x14ac:dyDescent="0.25">
      <c r="A151" s="244"/>
      <c r="C151" s="263"/>
      <c r="D151" s="264"/>
      <c r="E151" s="244"/>
      <c r="F151" s="244"/>
      <c r="G151" s="244"/>
      <c r="H151" s="244"/>
      <c r="K151" s="440"/>
      <c r="S151" s="244"/>
    </row>
    <row r="152" spans="1:19" ht="15.75" customHeight="1" x14ac:dyDescent="0.25">
      <c r="A152" s="244"/>
      <c r="C152" s="263"/>
      <c r="D152" s="264"/>
      <c r="E152" s="244"/>
      <c r="F152" s="244"/>
      <c r="G152" s="244"/>
      <c r="H152" s="244"/>
      <c r="K152" s="440"/>
      <c r="S152" s="244"/>
    </row>
    <row r="153" spans="1:19" ht="15.75" customHeight="1" x14ac:dyDescent="0.25">
      <c r="A153" s="244"/>
      <c r="C153" s="263"/>
      <c r="D153" s="264"/>
      <c r="E153" s="244"/>
      <c r="F153" s="244"/>
      <c r="G153" s="244"/>
      <c r="H153" s="244"/>
      <c r="K153" s="440"/>
      <c r="S153" s="244"/>
    </row>
    <row r="154" spans="1:19" ht="15.75" customHeight="1" x14ac:dyDescent="0.25">
      <c r="A154" s="244"/>
      <c r="C154" s="263"/>
      <c r="D154" s="264"/>
      <c r="E154" s="244"/>
      <c r="F154" s="244"/>
      <c r="G154" s="244"/>
      <c r="H154" s="244"/>
      <c r="K154" s="440"/>
      <c r="S154" s="244"/>
    </row>
    <row r="155" spans="1:19" ht="15.75" customHeight="1" x14ac:dyDescent="0.25">
      <c r="A155" s="244"/>
      <c r="C155" s="263"/>
      <c r="D155" s="264"/>
      <c r="E155" s="244"/>
      <c r="F155" s="244"/>
      <c r="G155" s="244"/>
      <c r="H155" s="244"/>
      <c r="K155" s="440"/>
      <c r="S155" s="244"/>
    </row>
    <row r="156" spans="1:19" ht="15.75" customHeight="1" x14ac:dyDescent="0.25">
      <c r="A156" s="244"/>
      <c r="C156" s="263"/>
      <c r="D156" s="264"/>
      <c r="E156" s="244"/>
      <c r="F156" s="244"/>
      <c r="G156" s="244"/>
      <c r="H156" s="244"/>
      <c r="K156" s="440"/>
      <c r="S156" s="244"/>
    </row>
    <row r="157" spans="1:19" ht="15.75" customHeight="1" x14ac:dyDescent="0.25">
      <c r="A157" s="244"/>
      <c r="C157" s="263"/>
      <c r="D157" s="264"/>
      <c r="E157" s="244"/>
      <c r="F157" s="244"/>
      <c r="G157" s="244"/>
      <c r="H157" s="244"/>
      <c r="K157" s="440"/>
      <c r="S157" s="244"/>
    </row>
    <row r="158" spans="1:19" ht="15.75" customHeight="1" x14ac:dyDescent="0.25">
      <c r="A158" s="244"/>
      <c r="C158" s="263"/>
      <c r="D158" s="264"/>
      <c r="E158" s="244"/>
      <c r="F158" s="244"/>
      <c r="G158" s="244"/>
      <c r="H158" s="244"/>
      <c r="K158" s="440"/>
      <c r="S158" s="244"/>
    </row>
    <row r="159" spans="1:19" ht="15.75" customHeight="1" x14ac:dyDescent="0.25">
      <c r="A159" s="244"/>
      <c r="C159" s="263"/>
      <c r="D159" s="264"/>
      <c r="E159" s="244"/>
      <c r="F159" s="244"/>
      <c r="G159" s="244"/>
      <c r="H159" s="244"/>
      <c r="K159" s="440"/>
      <c r="S159" s="244"/>
    </row>
    <row r="160" spans="1:19" ht="15.75" customHeight="1" x14ac:dyDescent="0.25">
      <c r="A160" s="244"/>
      <c r="C160" s="263"/>
      <c r="D160" s="264"/>
      <c r="E160" s="244"/>
      <c r="F160" s="244"/>
      <c r="G160" s="244"/>
      <c r="H160" s="244"/>
      <c r="K160" s="440"/>
      <c r="S160" s="244"/>
    </row>
    <row r="161" spans="1:19" ht="15.75" customHeight="1" x14ac:dyDescent="0.25">
      <c r="A161" s="244"/>
      <c r="C161" s="263"/>
      <c r="D161" s="264"/>
      <c r="E161" s="244"/>
      <c r="F161" s="244"/>
      <c r="G161" s="244"/>
      <c r="H161" s="244"/>
      <c r="K161" s="440"/>
      <c r="S161" s="244"/>
    </row>
    <row r="162" spans="1:19" ht="15.75" customHeight="1" x14ac:dyDescent="0.25">
      <c r="A162" s="244"/>
      <c r="C162" s="263"/>
      <c r="D162" s="264"/>
      <c r="E162" s="244"/>
      <c r="F162" s="244"/>
      <c r="G162" s="244"/>
      <c r="H162" s="244"/>
      <c r="K162" s="440"/>
      <c r="S162" s="244"/>
    </row>
    <row r="163" spans="1:19" ht="15.75" customHeight="1" x14ac:dyDescent="0.25">
      <c r="A163" s="244"/>
      <c r="C163" s="263"/>
      <c r="D163" s="264"/>
      <c r="E163" s="244"/>
      <c r="F163" s="244"/>
      <c r="G163" s="244"/>
      <c r="H163" s="244"/>
      <c r="K163" s="440"/>
      <c r="S163" s="244"/>
    </row>
    <row r="164" spans="1:19" ht="15.75" customHeight="1" x14ac:dyDescent="0.25">
      <c r="A164" s="244"/>
      <c r="C164" s="263"/>
      <c r="D164" s="264"/>
      <c r="E164" s="244"/>
      <c r="F164" s="244"/>
      <c r="G164" s="244"/>
      <c r="H164" s="244"/>
      <c r="K164" s="440"/>
      <c r="S164" s="244"/>
    </row>
    <row r="165" spans="1:19" ht="15.75" customHeight="1" x14ac:dyDescent="0.25">
      <c r="A165" s="244"/>
      <c r="C165" s="263"/>
      <c r="D165" s="264"/>
      <c r="E165" s="244"/>
      <c r="F165" s="244"/>
      <c r="G165" s="244"/>
      <c r="H165" s="244"/>
      <c r="K165" s="440"/>
      <c r="S165" s="244"/>
    </row>
    <row r="166" spans="1:19" ht="15.75" customHeight="1" x14ac:dyDescent="0.25">
      <c r="A166" s="244"/>
      <c r="C166" s="263"/>
      <c r="D166" s="264"/>
      <c r="E166" s="244"/>
      <c r="F166" s="244"/>
      <c r="G166" s="244"/>
      <c r="H166" s="244"/>
      <c r="K166" s="440"/>
      <c r="S166" s="244"/>
    </row>
    <row r="167" spans="1:19" ht="15.75" customHeight="1" x14ac:dyDescent="0.25">
      <c r="A167" s="244"/>
      <c r="C167" s="263"/>
      <c r="D167" s="264"/>
      <c r="E167" s="244"/>
      <c r="F167" s="244"/>
      <c r="G167" s="244"/>
      <c r="H167" s="244"/>
      <c r="K167" s="440"/>
      <c r="S167" s="244"/>
    </row>
    <row r="168" spans="1:19" ht="15.75" customHeight="1" x14ac:dyDescent="0.25">
      <c r="A168" s="244"/>
      <c r="C168" s="263"/>
      <c r="D168" s="264"/>
      <c r="E168" s="244"/>
      <c r="F168" s="244"/>
      <c r="G168" s="244"/>
      <c r="H168" s="244"/>
      <c r="K168" s="440"/>
      <c r="S168" s="244"/>
    </row>
    <row r="169" spans="1:19" ht="15.75" customHeight="1" x14ac:dyDescent="0.25">
      <c r="A169" s="244"/>
      <c r="C169" s="263"/>
      <c r="D169" s="264"/>
      <c r="E169" s="244"/>
      <c r="F169" s="244"/>
      <c r="G169" s="244"/>
      <c r="H169" s="244"/>
      <c r="K169" s="440"/>
      <c r="S169" s="244"/>
    </row>
    <row r="170" spans="1:19" ht="15.75" customHeight="1" x14ac:dyDescent="0.25">
      <c r="A170" s="244"/>
      <c r="C170" s="263"/>
      <c r="D170" s="264"/>
      <c r="E170" s="244"/>
      <c r="F170" s="244"/>
      <c r="G170" s="244"/>
      <c r="H170" s="244"/>
      <c r="K170" s="440"/>
      <c r="S170" s="244"/>
    </row>
    <row r="171" spans="1:19" ht="15.75" customHeight="1" x14ac:dyDescent="0.25">
      <c r="A171" s="244"/>
      <c r="C171" s="263"/>
      <c r="D171" s="264"/>
      <c r="E171" s="244"/>
      <c r="F171" s="244"/>
      <c r="G171" s="244"/>
      <c r="H171" s="244"/>
      <c r="K171" s="440"/>
      <c r="S171" s="244"/>
    </row>
    <row r="172" spans="1:19" ht="15.75" customHeight="1" x14ac:dyDescent="0.25">
      <c r="A172" s="244"/>
      <c r="C172" s="263"/>
      <c r="D172" s="264"/>
      <c r="E172" s="244"/>
      <c r="F172" s="244"/>
      <c r="G172" s="244"/>
      <c r="H172" s="244"/>
      <c r="K172" s="440"/>
      <c r="S172" s="244"/>
    </row>
    <row r="173" spans="1:19" ht="15.75" customHeight="1" x14ac:dyDescent="0.25">
      <c r="A173" s="244"/>
      <c r="C173" s="263"/>
      <c r="D173" s="264"/>
      <c r="E173" s="244"/>
      <c r="F173" s="244"/>
      <c r="G173" s="244"/>
      <c r="H173" s="244"/>
      <c r="K173" s="440"/>
      <c r="S173" s="244"/>
    </row>
    <row r="174" spans="1:19" ht="15.75" customHeight="1" x14ac:dyDescent="0.25">
      <c r="A174" s="244"/>
      <c r="C174" s="263"/>
      <c r="D174" s="264"/>
      <c r="E174" s="244"/>
      <c r="F174" s="244"/>
      <c r="G174" s="244"/>
      <c r="H174" s="244"/>
      <c r="K174" s="440"/>
      <c r="S174" s="244"/>
    </row>
    <row r="175" spans="1:19" ht="15.75" customHeight="1" x14ac:dyDescent="0.25">
      <c r="A175" s="244"/>
      <c r="C175" s="263"/>
      <c r="D175" s="264"/>
      <c r="E175" s="244"/>
      <c r="F175" s="244"/>
      <c r="G175" s="244"/>
      <c r="H175" s="244"/>
      <c r="K175" s="440"/>
      <c r="S175" s="244"/>
    </row>
    <row r="176" spans="1:19" ht="15.75" customHeight="1" x14ac:dyDescent="0.25">
      <c r="A176" s="244"/>
      <c r="C176" s="263"/>
      <c r="D176" s="264"/>
      <c r="E176" s="244"/>
      <c r="F176" s="244"/>
      <c r="G176" s="244"/>
      <c r="H176" s="244"/>
      <c r="K176" s="440"/>
      <c r="S176" s="244"/>
    </row>
    <row r="177" spans="1:19" ht="15.75" customHeight="1" x14ac:dyDescent="0.25">
      <c r="A177" s="244"/>
      <c r="C177" s="263"/>
      <c r="D177" s="264"/>
      <c r="E177" s="244"/>
      <c r="F177" s="244"/>
      <c r="G177" s="244"/>
      <c r="H177" s="244"/>
      <c r="K177" s="440"/>
      <c r="S177" s="244"/>
    </row>
    <row r="178" spans="1:19" ht="15.75" customHeight="1" x14ac:dyDescent="0.25">
      <c r="A178" s="244"/>
      <c r="C178" s="263"/>
      <c r="D178" s="264"/>
      <c r="E178" s="244"/>
      <c r="F178" s="244"/>
      <c r="G178" s="244"/>
      <c r="H178" s="244"/>
      <c r="K178" s="440"/>
      <c r="S178" s="244"/>
    </row>
    <row r="179" spans="1:19" ht="15.75" customHeight="1" x14ac:dyDescent="0.25">
      <c r="A179" s="244"/>
      <c r="C179" s="263"/>
      <c r="D179" s="264"/>
      <c r="E179" s="244"/>
      <c r="F179" s="244"/>
      <c r="G179" s="244"/>
      <c r="H179" s="244"/>
      <c r="K179" s="440"/>
      <c r="S179" s="244"/>
    </row>
    <row r="180" spans="1:19" ht="15.75" customHeight="1" x14ac:dyDescent="0.25">
      <c r="A180" s="244"/>
      <c r="C180" s="263"/>
      <c r="D180" s="264"/>
      <c r="E180" s="244"/>
      <c r="F180" s="244"/>
      <c r="G180" s="244"/>
      <c r="H180" s="244"/>
      <c r="K180" s="440"/>
      <c r="S180" s="244"/>
    </row>
    <row r="181" spans="1:19" ht="15.75" customHeight="1" x14ac:dyDescent="0.25">
      <c r="A181" s="244"/>
      <c r="C181" s="263"/>
      <c r="D181" s="264"/>
      <c r="E181" s="244"/>
      <c r="F181" s="244"/>
      <c r="G181" s="244"/>
      <c r="H181" s="244"/>
      <c r="K181" s="440"/>
      <c r="S181" s="244"/>
    </row>
    <row r="182" spans="1:19" ht="15.75" customHeight="1" x14ac:dyDescent="0.25">
      <c r="A182" s="244"/>
      <c r="C182" s="263"/>
      <c r="D182" s="264"/>
      <c r="E182" s="244"/>
      <c r="F182" s="244"/>
      <c r="G182" s="244"/>
      <c r="H182" s="244"/>
      <c r="K182" s="440"/>
      <c r="S182" s="244"/>
    </row>
    <row r="183" spans="1:19" ht="15.75" customHeight="1" x14ac:dyDescent="0.25">
      <c r="A183" s="244"/>
      <c r="C183" s="263"/>
      <c r="D183" s="264"/>
      <c r="E183" s="244"/>
      <c r="F183" s="244"/>
      <c r="G183" s="244"/>
      <c r="H183" s="244"/>
      <c r="K183" s="440"/>
      <c r="S183" s="244"/>
    </row>
    <row r="184" spans="1:19" ht="15.75" customHeight="1" x14ac:dyDescent="0.25">
      <c r="A184" s="244"/>
      <c r="C184" s="263"/>
      <c r="D184" s="264"/>
      <c r="E184" s="244"/>
      <c r="F184" s="244"/>
      <c r="G184" s="244"/>
      <c r="H184" s="244"/>
      <c r="K184" s="440"/>
      <c r="S184" s="244"/>
    </row>
    <row r="185" spans="1:19" ht="15.75" customHeight="1" x14ac:dyDescent="0.25">
      <c r="A185" s="244"/>
      <c r="C185" s="263"/>
      <c r="D185" s="264"/>
      <c r="E185" s="244"/>
      <c r="F185" s="244"/>
      <c r="G185" s="244"/>
      <c r="H185" s="244"/>
      <c r="K185" s="440"/>
      <c r="S185" s="244"/>
    </row>
    <row r="186" spans="1:19" ht="15.75" customHeight="1" x14ac:dyDescent="0.25">
      <c r="A186" s="244"/>
      <c r="C186" s="263"/>
      <c r="D186" s="264"/>
      <c r="E186" s="244"/>
      <c r="F186" s="244"/>
      <c r="G186" s="244"/>
      <c r="H186" s="244"/>
      <c r="K186" s="440"/>
      <c r="S186" s="244"/>
    </row>
    <row r="187" spans="1:19" ht="15.75" customHeight="1" x14ac:dyDescent="0.25">
      <c r="A187" s="244"/>
      <c r="C187" s="263"/>
      <c r="D187" s="264"/>
      <c r="E187" s="244"/>
      <c r="F187" s="244"/>
      <c r="G187" s="244"/>
      <c r="H187" s="244"/>
      <c r="K187" s="440"/>
      <c r="S187" s="244"/>
    </row>
    <row r="188" spans="1:19" ht="15.75" customHeight="1" x14ac:dyDescent="0.25">
      <c r="A188" s="244"/>
      <c r="C188" s="263"/>
      <c r="D188" s="264"/>
      <c r="E188" s="244"/>
      <c r="F188" s="244"/>
      <c r="G188" s="244"/>
      <c r="H188" s="244"/>
      <c r="K188" s="440"/>
      <c r="S188" s="244"/>
    </row>
    <row r="189" spans="1:19" ht="15.75" customHeight="1" x14ac:dyDescent="0.25">
      <c r="A189" s="244"/>
      <c r="C189" s="263"/>
      <c r="D189" s="264"/>
      <c r="E189" s="244"/>
      <c r="F189" s="244"/>
      <c r="G189" s="244"/>
      <c r="H189" s="244"/>
      <c r="K189" s="440"/>
      <c r="S189" s="244"/>
    </row>
    <row r="190" spans="1:19" ht="15.75" customHeight="1" x14ac:dyDescent="0.25">
      <c r="A190" s="244"/>
      <c r="C190" s="263"/>
      <c r="D190" s="264"/>
      <c r="E190" s="244"/>
      <c r="F190" s="244"/>
      <c r="G190" s="244"/>
      <c r="H190" s="244"/>
      <c r="K190" s="440"/>
      <c r="S190" s="244"/>
    </row>
    <row r="191" spans="1:19" ht="15.75" customHeight="1" x14ac:dyDescent="0.25">
      <c r="A191" s="244"/>
      <c r="C191" s="263"/>
      <c r="D191" s="264"/>
      <c r="E191" s="244"/>
      <c r="F191" s="244"/>
      <c r="G191" s="244"/>
      <c r="H191" s="244"/>
      <c r="K191" s="440"/>
      <c r="S191" s="244"/>
    </row>
    <row r="192" spans="1:19" ht="15.75" customHeight="1" x14ac:dyDescent="0.25">
      <c r="A192" s="244"/>
      <c r="C192" s="263"/>
      <c r="D192" s="264"/>
      <c r="E192" s="244"/>
      <c r="F192" s="244"/>
      <c r="G192" s="244"/>
      <c r="H192" s="244"/>
      <c r="K192" s="440"/>
      <c r="S192" s="244"/>
    </row>
    <row r="193" spans="1:19" ht="15.75" customHeight="1" x14ac:dyDescent="0.25">
      <c r="A193" s="244"/>
      <c r="C193" s="263"/>
      <c r="D193" s="264"/>
      <c r="E193" s="244"/>
      <c r="F193" s="244"/>
      <c r="G193" s="244"/>
      <c r="H193" s="244"/>
      <c r="K193" s="440"/>
      <c r="S193" s="244"/>
    </row>
    <row r="194" spans="1:19" ht="15.75" customHeight="1" x14ac:dyDescent="0.25">
      <c r="A194" s="244"/>
      <c r="C194" s="263"/>
      <c r="D194" s="264"/>
      <c r="E194" s="244"/>
      <c r="F194" s="244"/>
      <c r="G194" s="244"/>
      <c r="H194" s="244"/>
      <c r="K194" s="440"/>
      <c r="S194" s="244"/>
    </row>
    <row r="195" spans="1:19" ht="15.75" customHeight="1" x14ac:dyDescent="0.25">
      <c r="A195" s="244"/>
      <c r="C195" s="263"/>
      <c r="D195" s="264"/>
      <c r="E195" s="244"/>
      <c r="F195" s="244"/>
      <c r="G195" s="244"/>
      <c r="H195" s="244"/>
      <c r="K195" s="440"/>
      <c r="S195" s="244"/>
    </row>
    <row r="196" spans="1:19" ht="15.75" customHeight="1" x14ac:dyDescent="0.25">
      <c r="A196" s="244"/>
      <c r="C196" s="263"/>
      <c r="D196" s="264"/>
      <c r="E196" s="244"/>
      <c r="F196" s="244"/>
      <c r="G196" s="244"/>
      <c r="H196" s="244"/>
      <c r="K196" s="440"/>
      <c r="S196" s="244"/>
    </row>
    <row r="197" spans="1:19" ht="15.75" customHeight="1" x14ac:dyDescent="0.25">
      <c r="A197" s="244"/>
      <c r="C197" s="263"/>
      <c r="D197" s="264"/>
      <c r="E197" s="244"/>
      <c r="F197" s="244"/>
      <c r="G197" s="244"/>
      <c r="H197" s="244"/>
      <c r="K197" s="440"/>
      <c r="S197" s="244"/>
    </row>
    <row r="198" spans="1:19" ht="15.75" customHeight="1" x14ac:dyDescent="0.25">
      <c r="A198" s="244"/>
      <c r="C198" s="263"/>
      <c r="D198" s="264"/>
      <c r="E198" s="244"/>
      <c r="F198" s="244"/>
      <c r="G198" s="244"/>
      <c r="H198" s="244"/>
      <c r="K198" s="440"/>
      <c r="S198" s="244"/>
    </row>
    <row r="199" spans="1:19" ht="15.75" customHeight="1" x14ac:dyDescent="0.25">
      <c r="A199" s="244"/>
      <c r="C199" s="263"/>
      <c r="D199" s="264"/>
      <c r="E199" s="244"/>
      <c r="F199" s="244"/>
      <c r="G199" s="244"/>
      <c r="H199" s="244"/>
      <c r="K199" s="440"/>
      <c r="S199" s="244"/>
    </row>
    <row r="200" spans="1:19" ht="15.75" customHeight="1" x14ac:dyDescent="0.25">
      <c r="A200" s="244"/>
      <c r="C200" s="263"/>
      <c r="D200" s="264"/>
      <c r="E200" s="244"/>
      <c r="F200" s="244"/>
      <c r="G200" s="244"/>
      <c r="H200" s="244"/>
      <c r="K200" s="440"/>
      <c r="S200" s="244"/>
    </row>
    <row r="201" spans="1:19" ht="15.75" customHeight="1" x14ac:dyDescent="0.25">
      <c r="A201" s="244"/>
      <c r="C201" s="263"/>
      <c r="D201" s="264"/>
      <c r="E201" s="244"/>
      <c r="F201" s="244"/>
      <c r="G201" s="244"/>
      <c r="H201" s="244"/>
      <c r="K201" s="440"/>
      <c r="S201" s="244"/>
    </row>
    <row r="202" spans="1:19" ht="15.75" customHeight="1" x14ac:dyDescent="0.25">
      <c r="A202" s="244"/>
      <c r="C202" s="263"/>
      <c r="D202" s="264"/>
      <c r="E202" s="244"/>
      <c r="F202" s="244"/>
      <c r="G202" s="244"/>
      <c r="H202" s="244"/>
      <c r="K202" s="440"/>
      <c r="S202" s="244"/>
    </row>
    <row r="203" spans="1:19" ht="15.75" customHeight="1" x14ac:dyDescent="0.25">
      <c r="A203" s="244"/>
      <c r="C203" s="263"/>
      <c r="D203" s="264"/>
      <c r="E203" s="244"/>
      <c r="F203" s="244"/>
      <c r="G203" s="244"/>
      <c r="H203" s="244"/>
      <c r="K203" s="440"/>
      <c r="S203" s="244"/>
    </row>
    <row r="204" spans="1:19" ht="15.75" customHeight="1" x14ac:dyDescent="0.25">
      <c r="A204" s="244"/>
      <c r="C204" s="263"/>
      <c r="D204" s="264"/>
      <c r="E204" s="244"/>
      <c r="F204" s="244"/>
      <c r="G204" s="244"/>
      <c r="H204" s="244"/>
      <c r="K204" s="440"/>
      <c r="S204" s="244"/>
    </row>
    <row r="205" spans="1:19" ht="15.75" customHeight="1" x14ac:dyDescent="0.25">
      <c r="A205" s="244"/>
      <c r="C205" s="263"/>
      <c r="D205" s="264"/>
      <c r="E205" s="244"/>
      <c r="F205" s="244"/>
      <c r="G205" s="244"/>
      <c r="H205" s="244"/>
      <c r="K205" s="440"/>
      <c r="S205" s="244"/>
    </row>
    <row r="206" spans="1:19" ht="15.75" customHeight="1" x14ac:dyDescent="0.25">
      <c r="A206" s="244"/>
      <c r="C206" s="263"/>
      <c r="D206" s="264"/>
      <c r="E206" s="244"/>
      <c r="F206" s="244"/>
      <c r="G206" s="244"/>
      <c r="H206" s="244"/>
      <c r="K206" s="440"/>
      <c r="S206" s="244"/>
    </row>
    <row r="207" spans="1:19" ht="15.75" customHeight="1" x14ac:dyDescent="0.25">
      <c r="A207" s="244"/>
      <c r="C207" s="263"/>
      <c r="D207" s="264"/>
      <c r="E207" s="244"/>
      <c r="F207" s="244"/>
      <c r="G207" s="244"/>
      <c r="H207" s="244"/>
      <c r="K207" s="440"/>
      <c r="S207" s="244"/>
    </row>
    <row r="208" spans="1:19" ht="15.75" customHeight="1" x14ac:dyDescent="0.25">
      <c r="A208" s="244"/>
      <c r="C208" s="263"/>
      <c r="D208" s="264"/>
      <c r="E208" s="244"/>
      <c r="F208" s="244"/>
      <c r="G208" s="244"/>
      <c r="H208" s="244"/>
      <c r="K208" s="440"/>
      <c r="S208" s="244"/>
    </row>
    <row r="209" spans="1:19" ht="15.75" customHeight="1" x14ac:dyDescent="0.25">
      <c r="A209" s="244"/>
      <c r="C209" s="263"/>
      <c r="D209" s="264"/>
      <c r="E209" s="244"/>
      <c r="F209" s="244"/>
      <c r="G209" s="244"/>
      <c r="H209" s="244"/>
      <c r="K209" s="440"/>
      <c r="S209" s="244"/>
    </row>
    <row r="210" spans="1:19" ht="15.75" customHeight="1" x14ac:dyDescent="0.25">
      <c r="A210" s="244"/>
      <c r="C210" s="263"/>
      <c r="D210" s="264"/>
      <c r="E210" s="244"/>
      <c r="F210" s="244"/>
      <c r="G210" s="244"/>
      <c r="H210" s="244"/>
      <c r="K210" s="440"/>
      <c r="S210" s="244"/>
    </row>
    <row r="211" spans="1:19" ht="15.75" customHeight="1" x14ac:dyDescent="0.25">
      <c r="A211" s="244"/>
      <c r="C211" s="263"/>
      <c r="D211" s="264"/>
      <c r="E211" s="244"/>
      <c r="F211" s="244"/>
      <c r="G211" s="244"/>
      <c r="H211" s="244"/>
      <c r="K211" s="440"/>
      <c r="S211" s="244"/>
    </row>
    <row r="212" spans="1:19" ht="15.75" customHeight="1" x14ac:dyDescent="0.25">
      <c r="A212" s="244"/>
      <c r="C212" s="263"/>
      <c r="D212" s="264"/>
      <c r="E212" s="244"/>
      <c r="F212" s="244"/>
      <c r="G212" s="244"/>
      <c r="H212" s="244"/>
      <c r="K212" s="440"/>
      <c r="S212" s="244"/>
    </row>
    <row r="213" spans="1:19" ht="15.75" customHeight="1" x14ac:dyDescent="0.25">
      <c r="A213" s="244"/>
      <c r="C213" s="263"/>
      <c r="D213" s="264"/>
      <c r="E213" s="244"/>
      <c r="F213" s="244"/>
      <c r="G213" s="244"/>
      <c r="H213" s="244"/>
      <c r="K213" s="440"/>
      <c r="S213" s="244"/>
    </row>
    <row r="214" spans="1:19" ht="15.75" customHeight="1" x14ac:dyDescent="0.25">
      <c r="A214" s="244"/>
      <c r="C214" s="263"/>
      <c r="D214" s="264"/>
      <c r="E214" s="244"/>
      <c r="F214" s="244"/>
      <c r="G214" s="244"/>
      <c r="H214" s="244"/>
      <c r="K214" s="440"/>
      <c r="S214" s="244"/>
    </row>
    <row r="215" spans="1:19" ht="15.75" customHeight="1" x14ac:dyDescent="0.25">
      <c r="A215" s="244"/>
      <c r="C215" s="263"/>
      <c r="D215" s="264"/>
      <c r="E215" s="244"/>
      <c r="F215" s="244"/>
      <c r="G215" s="244"/>
      <c r="H215" s="244"/>
      <c r="K215" s="440"/>
      <c r="S215" s="244"/>
    </row>
    <row r="216" spans="1:19" ht="15.75" customHeight="1" x14ac:dyDescent="0.25">
      <c r="A216" s="244"/>
      <c r="C216" s="263"/>
      <c r="D216" s="264"/>
      <c r="E216" s="244"/>
      <c r="F216" s="244"/>
      <c r="G216" s="244"/>
      <c r="H216" s="244"/>
      <c r="K216" s="440"/>
      <c r="S216" s="244"/>
    </row>
    <row r="217" spans="1:19" ht="15.75" customHeight="1" x14ac:dyDescent="0.25">
      <c r="A217" s="244"/>
      <c r="C217" s="263"/>
      <c r="D217" s="264"/>
      <c r="E217" s="244"/>
      <c r="F217" s="244"/>
      <c r="G217" s="244"/>
      <c r="H217" s="244"/>
      <c r="K217" s="440"/>
      <c r="S217" s="244"/>
    </row>
    <row r="218" spans="1:19" ht="15.75" customHeight="1" x14ac:dyDescent="0.25">
      <c r="A218" s="244"/>
      <c r="C218" s="263"/>
      <c r="D218" s="264"/>
      <c r="E218" s="244"/>
      <c r="F218" s="244"/>
      <c r="G218" s="244"/>
      <c r="H218" s="244"/>
      <c r="K218" s="440"/>
      <c r="S218" s="244"/>
    </row>
    <row r="219" spans="1:19" ht="15.75" customHeight="1" x14ac:dyDescent="0.25">
      <c r="A219" s="244"/>
      <c r="C219" s="263"/>
      <c r="D219" s="264"/>
      <c r="E219" s="244"/>
      <c r="F219" s="244"/>
      <c r="G219" s="244"/>
      <c r="H219" s="244"/>
      <c r="K219" s="440"/>
      <c r="S219" s="244"/>
    </row>
    <row r="220" spans="1:19" ht="15.75" customHeight="1" x14ac:dyDescent="0.25">
      <c r="A220" s="244"/>
      <c r="C220" s="263"/>
      <c r="D220" s="264"/>
      <c r="E220" s="244"/>
      <c r="F220" s="244"/>
      <c r="G220" s="244"/>
      <c r="H220" s="244"/>
      <c r="K220" s="440"/>
      <c r="S220" s="244"/>
    </row>
    <row r="221" spans="1:19" ht="15.75" customHeight="1" x14ac:dyDescent="0.25">
      <c r="A221" s="244"/>
      <c r="C221" s="263"/>
      <c r="D221" s="264"/>
      <c r="E221" s="244"/>
      <c r="F221" s="244"/>
      <c r="G221" s="244"/>
      <c r="H221" s="244"/>
      <c r="K221" s="440"/>
      <c r="S221" s="244"/>
    </row>
    <row r="222" spans="1:19" ht="15.75" customHeight="1" x14ac:dyDescent="0.25">
      <c r="A222" s="244"/>
      <c r="C222" s="263"/>
      <c r="D222" s="264"/>
      <c r="E222" s="244"/>
      <c r="F222" s="244"/>
      <c r="G222" s="244"/>
      <c r="H222" s="244"/>
      <c r="K222" s="440"/>
      <c r="S222" s="244"/>
    </row>
    <row r="223" spans="1:19" ht="15.75" customHeight="1" x14ac:dyDescent="0.25">
      <c r="A223" s="244"/>
      <c r="C223" s="263"/>
      <c r="D223" s="264"/>
      <c r="E223" s="244"/>
      <c r="F223" s="244"/>
      <c r="G223" s="244"/>
      <c r="H223" s="244"/>
      <c r="K223" s="440"/>
      <c r="S223" s="244"/>
    </row>
    <row r="224" spans="1:19" ht="15.75" customHeight="1" x14ac:dyDescent="0.25">
      <c r="A224" s="244"/>
      <c r="C224" s="263"/>
      <c r="D224" s="264"/>
      <c r="E224" s="244"/>
      <c r="F224" s="244"/>
      <c r="G224" s="244"/>
      <c r="H224" s="244"/>
      <c r="K224" s="440"/>
      <c r="S224" s="244"/>
    </row>
    <row r="225" spans="1:19" ht="15.75" customHeight="1" x14ac:dyDescent="0.25">
      <c r="A225" s="244"/>
      <c r="C225" s="263"/>
      <c r="D225" s="264"/>
      <c r="E225" s="244"/>
      <c r="F225" s="244"/>
      <c r="G225" s="244"/>
      <c r="H225" s="244"/>
      <c r="K225" s="440"/>
      <c r="S225" s="244"/>
    </row>
    <row r="226" spans="1:19" ht="15.75" customHeight="1" x14ac:dyDescent="0.25">
      <c r="A226" s="244"/>
      <c r="C226" s="263"/>
      <c r="D226" s="264"/>
      <c r="E226" s="244"/>
      <c r="F226" s="244"/>
      <c r="G226" s="244"/>
      <c r="H226" s="244"/>
      <c r="K226" s="440"/>
      <c r="S226" s="244"/>
    </row>
    <row r="227" spans="1:19" ht="15.75" customHeight="1" x14ac:dyDescent="0.25">
      <c r="A227" s="244"/>
      <c r="C227" s="263"/>
      <c r="D227" s="264"/>
      <c r="E227" s="244"/>
      <c r="F227" s="244"/>
      <c r="G227" s="244"/>
      <c r="H227" s="244"/>
      <c r="K227" s="440"/>
      <c r="S227" s="244"/>
    </row>
    <row r="228" spans="1:19" ht="15.75" customHeight="1" x14ac:dyDescent="0.25">
      <c r="A228" s="244"/>
      <c r="C228" s="263"/>
      <c r="D228" s="264"/>
      <c r="E228" s="244"/>
      <c r="F228" s="244"/>
      <c r="G228" s="244"/>
      <c r="H228" s="244"/>
      <c r="K228" s="440"/>
      <c r="S228" s="244"/>
    </row>
    <row r="229" spans="1:19" ht="15.75" customHeight="1" x14ac:dyDescent="0.25">
      <c r="A229" s="244"/>
      <c r="C229" s="263"/>
      <c r="D229" s="264"/>
      <c r="E229" s="244"/>
      <c r="F229" s="244"/>
      <c r="G229" s="244"/>
      <c r="H229" s="244"/>
      <c r="K229" s="440"/>
      <c r="S229" s="244"/>
    </row>
    <row r="230" spans="1:19" ht="15.75" customHeight="1" x14ac:dyDescent="0.25">
      <c r="A230" s="244"/>
      <c r="C230" s="263"/>
      <c r="D230" s="264"/>
      <c r="E230" s="244"/>
      <c r="F230" s="244"/>
      <c r="G230" s="244"/>
      <c r="H230" s="244"/>
      <c r="K230" s="440"/>
      <c r="S230" s="244"/>
    </row>
    <row r="231" spans="1:19" ht="15.75" customHeight="1" x14ac:dyDescent="0.25">
      <c r="A231" s="244"/>
      <c r="C231" s="263"/>
      <c r="D231" s="264"/>
      <c r="E231" s="244"/>
      <c r="F231" s="244"/>
      <c r="G231" s="244"/>
      <c r="H231" s="244"/>
      <c r="K231" s="440"/>
      <c r="S231" s="244"/>
    </row>
    <row r="232" spans="1:19" ht="15.75" customHeight="1" x14ac:dyDescent="0.25">
      <c r="A232" s="244"/>
      <c r="C232" s="263"/>
      <c r="D232" s="264"/>
      <c r="E232" s="244"/>
      <c r="F232" s="244"/>
      <c r="G232" s="244"/>
      <c r="H232" s="244"/>
      <c r="K232" s="440"/>
      <c r="S232" s="244"/>
    </row>
    <row r="233" spans="1:19" ht="15.75" customHeight="1" x14ac:dyDescent="0.25">
      <c r="A233" s="244"/>
      <c r="C233" s="263"/>
      <c r="D233" s="264"/>
      <c r="E233" s="244"/>
      <c r="F233" s="244"/>
      <c r="G233" s="244"/>
      <c r="H233" s="244"/>
      <c r="K233" s="440"/>
      <c r="S233" s="244"/>
    </row>
    <row r="234" spans="1:19" ht="15.75" customHeight="1" x14ac:dyDescent="0.25">
      <c r="A234" s="244"/>
      <c r="C234" s="263"/>
      <c r="D234" s="264"/>
      <c r="E234" s="244"/>
      <c r="F234" s="244"/>
      <c r="G234" s="244"/>
      <c r="H234" s="244"/>
      <c r="K234" s="440"/>
      <c r="S234" s="244"/>
    </row>
    <row r="235" spans="1:19" ht="15.75" customHeight="1" x14ac:dyDescent="0.25">
      <c r="A235" s="244"/>
      <c r="C235" s="263"/>
      <c r="D235" s="264"/>
      <c r="E235" s="244"/>
      <c r="F235" s="244"/>
      <c r="G235" s="244"/>
      <c r="H235" s="244"/>
      <c r="K235" s="440"/>
      <c r="S235" s="244"/>
    </row>
    <row r="236" spans="1:19" ht="15.75" customHeight="1" x14ac:dyDescent="0.25">
      <c r="A236" s="244"/>
      <c r="C236" s="263"/>
      <c r="D236" s="264"/>
      <c r="E236" s="244"/>
      <c r="F236" s="244"/>
      <c r="G236" s="244"/>
      <c r="H236" s="244"/>
      <c r="K236" s="440"/>
      <c r="S236" s="244"/>
    </row>
    <row r="237" spans="1:19" ht="15.75" customHeight="1" x14ac:dyDescent="0.25">
      <c r="A237" s="244"/>
      <c r="C237" s="263"/>
      <c r="D237" s="264"/>
      <c r="E237" s="244"/>
      <c r="F237" s="244"/>
      <c r="G237" s="244"/>
      <c r="H237" s="244"/>
      <c r="K237" s="440"/>
      <c r="S237" s="244"/>
    </row>
    <row r="238" spans="1:19" ht="15.75" customHeight="1" x14ac:dyDescent="0.25">
      <c r="A238" s="244"/>
      <c r="C238" s="263"/>
      <c r="D238" s="264"/>
      <c r="E238" s="244"/>
      <c r="F238" s="244"/>
      <c r="G238" s="244"/>
      <c r="H238" s="244"/>
      <c r="K238" s="440"/>
      <c r="S238" s="244"/>
    </row>
    <row r="239" spans="1:19" ht="15.75" customHeight="1" x14ac:dyDescent="0.25">
      <c r="A239" s="244"/>
      <c r="C239" s="263"/>
      <c r="D239" s="264"/>
      <c r="E239" s="244"/>
      <c r="F239" s="244"/>
      <c r="G239" s="244"/>
      <c r="H239" s="244"/>
      <c r="K239" s="440"/>
      <c r="S239" s="244"/>
    </row>
    <row r="240" spans="1:19" ht="15.75" customHeight="1" x14ac:dyDescent="0.25">
      <c r="A240" s="244"/>
      <c r="C240" s="263"/>
      <c r="D240" s="264"/>
      <c r="E240" s="244"/>
      <c r="F240" s="244"/>
      <c r="G240" s="244"/>
      <c r="H240" s="244"/>
      <c r="K240" s="440"/>
      <c r="S240" s="244"/>
    </row>
    <row r="241" spans="1:19" ht="15.75" customHeight="1" x14ac:dyDescent="0.25">
      <c r="A241" s="244"/>
      <c r="C241" s="263"/>
      <c r="D241" s="264"/>
      <c r="E241" s="244"/>
      <c r="F241" s="244"/>
      <c r="G241" s="244"/>
      <c r="H241" s="244"/>
      <c r="K241" s="440"/>
      <c r="S241" s="244"/>
    </row>
    <row r="242" spans="1:19" ht="15.75" customHeight="1" x14ac:dyDescent="0.25">
      <c r="A242" s="244"/>
      <c r="C242" s="263"/>
      <c r="D242" s="264"/>
      <c r="E242" s="244"/>
      <c r="F242" s="244"/>
      <c r="G242" s="244"/>
      <c r="H242" s="244"/>
      <c r="K242" s="440"/>
      <c r="S242" s="244"/>
    </row>
    <row r="243" spans="1:19" ht="15.75" customHeight="1" x14ac:dyDescent="0.25">
      <c r="A243" s="244"/>
      <c r="C243" s="263"/>
      <c r="D243" s="264"/>
      <c r="E243" s="244"/>
      <c r="F243" s="244"/>
      <c r="G243" s="244"/>
      <c r="H243" s="244"/>
      <c r="K243" s="440"/>
      <c r="S243" s="244"/>
    </row>
    <row r="244" spans="1:19" ht="15.75" customHeight="1" x14ac:dyDescent="0.25">
      <c r="A244" s="244"/>
      <c r="C244" s="263"/>
      <c r="D244" s="264"/>
      <c r="E244" s="244"/>
      <c r="F244" s="244"/>
      <c r="G244" s="244"/>
      <c r="H244" s="244"/>
      <c r="K244" s="440"/>
      <c r="S244" s="244"/>
    </row>
    <row r="245" spans="1:19" ht="15.75" customHeight="1" x14ac:dyDescent="0.25">
      <c r="A245" s="244"/>
      <c r="C245" s="263"/>
      <c r="D245" s="264"/>
      <c r="E245" s="244"/>
      <c r="F245" s="244"/>
      <c r="G245" s="244"/>
      <c r="H245" s="244"/>
      <c r="K245" s="440"/>
      <c r="S245" s="244"/>
    </row>
    <row r="246" spans="1:19" ht="15.75" customHeight="1" x14ac:dyDescent="0.25">
      <c r="A246" s="244"/>
      <c r="C246" s="263"/>
      <c r="D246" s="264"/>
      <c r="E246" s="244"/>
      <c r="F246" s="244"/>
      <c r="G246" s="244"/>
      <c r="H246" s="244"/>
      <c r="K246" s="440"/>
      <c r="S246" s="244"/>
    </row>
    <row r="247" spans="1:19" ht="15.75" customHeight="1" x14ac:dyDescent="0.25">
      <c r="A247" s="244"/>
      <c r="C247" s="263"/>
      <c r="D247" s="264"/>
      <c r="E247" s="244"/>
      <c r="F247" s="244"/>
      <c r="G247" s="244"/>
      <c r="H247" s="244"/>
      <c r="K247" s="440"/>
      <c r="S247" s="244"/>
    </row>
    <row r="248" spans="1:19" ht="15.75" customHeight="1" x14ac:dyDescent="0.25">
      <c r="A248" s="244"/>
      <c r="C248" s="263"/>
      <c r="D248" s="264"/>
      <c r="E248" s="244"/>
      <c r="F248" s="244"/>
      <c r="G248" s="244"/>
      <c r="H248" s="244"/>
      <c r="K248" s="440"/>
      <c r="S248" s="244"/>
    </row>
    <row r="249" spans="1:19" ht="15.75" customHeight="1" x14ac:dyDescent="0.25">
      <c r="A249" s="244"/>
      <c r="C249" s="263"/>
      <c r="D249" s="264"/>
      <c r="E249" s="244"/>
      <c r="F249" s="244"/>
      <c r="G249" s="244"/>
      <c r="H249" s="244"/>
      <c r="K249" s="440"/>
      <c r="S249" s="244"/>
    </row>
    <row r="250" spans="1:19" ht="15.75" customHeight="1" x14ac:dyDescent="0.25">
      <c r="A250" s="244"/>
      <c r="C250" s="263"/>
      <c r="D250" s="264"/>
      <c r="E250" s="244"/>
      <c r="F250" s="244"/>
      <c r="G250" s="244"/>
      <c r="H250" s="244"/>
      <c r="K250" s="440"/>
      <c r="S250" s="244"/>
    </row>
    <row r="251" spans="1:19" ht="15.75" customHeight="1" x14ac:dyDescent="0.25">
      <c r="A251" s="244"/>
      <c r="C251" s="263"/>
      <c r="D251" s="264"/>
      <c r="E251" s="244"/>
      <c r="F251" s="244"/>
      <c r="G251" s="244"/>
      <c r="H251" s="244"/>
      <c r="K251" s="440"/>
      <c r="S251" s="244"/>
    </row>
    <row r="252" spans="1:19" ht="15.75" customHeight="1" x14ac:dyDescent="0.25">
      <c r="A252" s="244"/>
      <c r="C252" s="263"/>
      <c r="D252" s="264"/>
      <c r="E252" s="244"/>
      <c r="F252" s="244"/>
      <c r="G252" s="244"/>
      <c r="H252" s="244"/>
      <c r="K252" s="440"/>
      <c r="S252" s="244"/>
    </row>
    <row r="253" spans="1:19" ht="15.75" customHeight="1" x14ac:dyDescent="0.25">
      <c r="A253" s="244"/>
      <c r="C253" s="263"/>
      <c r="D253" s="264"/>
      <c r="E253" s="244"/>
      <c r="F253" s="244"/>
      <c r="G253" s="244"/>
      <c r="H253" s="244"/>
      <c r="K253" s="440"/>
      <c r="S253" s="244"/>
    </row>
    <row r="254" spans="1:19" ht="15.75" customHeight="1" x14ac:dyDescent="0.25">
      <c r="A254" s="244"/>
      <c r="C254" s="263"/>
      <c r="D254" s="264"/>
      <c r="E254" s="244"/>
      <c r="F254" s="244"/>
      <c r="G254" s="244"/>
      <c r="H254" s="244"/>
      <c r="K254" s="440"/>
      <c r="S254" s="244"/>
    </row>
    <row r="255" spans="1:19" ht="15.75" customHeight="1" x14ac:dyDescent="0.25">
      <c r="A255" s="244"/>
      <c r="C255" s="263"/>
      <c r="D255" s="264"/>
      <c r="E255" s="244"/>
      <c r="F255" s="244"/>
      <c r="G255" s="244"/>
      <c r="H255" s="244"/>
      <c r="K255" s="440"/>
      <c r="S255" s="244"/>
    </row>
    <row r="256" spans="1:19" ht="15.75" customHeight="1" x14ac:dyDescent="0.25">
      <c r="A256" s="244"/>
      <c r="C256" s="263"/>
      <c r="D256" s="264"/>
      <c r="E256" s="244"/>
      <c r="F256" s="244"/>
      <c r="G256" s="244"/>
      <c r="H256" s="244"/>
      <c r="K256" s="440"/>
      <c r="S256" s="244"/>
    </row>
    <row r="257" spans="1:19" ht="15.75" customHeight="1" x14ac:dyDescent="0.25">
      <c r="A257" s="244"/>
      <c r="C257" s="263"/>
      <c r="D257" s="264"/>
      <c r="E257" s="244"/>
      <c r="F257" s="244"/>
      <c r="G257" s="244"/>
      <c r="H257" s="244"/>
      <c r="K257" s="440"/>
      <c r="S257" s="244"/>
    </row>
    <row r="258" spans="1:19" ht="15.75" customHeight="1" x14ac:dyDescent="0.25">
      <c r="A258" s="244"/>
      <c r="C258" s="263"/>
      <c r="D258" s="264"/>
      <c r="E258" s="244"/>
      <c r="F258" s="244"/>
      <c r="G258" s="244"/>
      <c r="H258" s="244"/>
      <c r="K258" s="440"/>
      <c r="S258" s="244"/>
    </row>
    <row r="259" spans="1:19" ht="15.75" customHeight="1" x14ac:dyDescent="0.25">
      <c r="A259" s="244"/>
      <c r="C259" s="263"/>
      <c r="D259" s="264"/>
      <c r="E259" s="244"/>
      <c r="F259" s="244"/>
      <c r="G259" s="244"/>
      <c r="H259" s="244"/>
      <c r="K259" s="440"/>
      <c r="S259" s="244"/>
    </row>
    <row r="260" spans="1:19" ht="15.75" customHeight="1" x14ac:dyDescent="0.25">
      <c r="A260" s="244"/>
      <c r="C260" s="263"/>
      <c r="D260" s="264"/>
      <c r="E260" s="244"/>
      <c r="F260" s="244"/>
      <c r="G260" s="244"/>
      <c r="H260" s="244"/>
      <c r="K260" s="440"/>
      <c r="S260" s="244"/>
    </row>
    <row r="261" spans="1:19" ht="15.75" customHeight="1" x14ac:dyDescent="0.25">
      <c r="A261" s="244"/>
      <c r="C261" s="263"/>
      <c r="D261" s="264"/>
      <c r="E261" s="244"/>
      <c r="F261" s="244"/>
      <c r="G261" s="244"/>
      <c r="H261" s="244"/>
      <c r="K261" s="440"/>
      <c r="S261" s="244"/>
    </row>
    <row r="262" spans="1:19" ht="15.75" customHeight="1" x14ac:dyDescent="0.25">
      <c r="A262" s="244"/>
      <c r="C262" s="263"/>
      <c r="D262" s="264"/>
      <c r="E262" s="244"/>
      <c r="F262" s="244"/>
      <c r="G262" s="244"/>
      <c r="H262" s="244"/>
      <c r="K262" s="440"/>
      <c r="S262" s="244"/>
    </row>
    <row r="263" spans="1:19" ht="15.75" customHeight="1" x14ac:dyDescent="0.25">
      <c r="A263" s="244"/>
      <c r="C263" s="263"/>
      <c r="D263" s="264"/>
      <c r="E263" s="244"/>
      <c r="F263" s="244"/>
      <c r="G263" s="244"/>
      <c r="H263" s="244"/>
      <c r="K263" s="440"/>
      <c r="S263" s="244"/>
    </row>
    <row r="264" spans="1:19" ht="15.75" customHeight="1" x14ac:dyDescent="0.25">
      <c r="A264" s="244"/>
      <c r="C264" s="263"/>
      <c r="D264" s="264"/>
      <c r="E264" s="244"/>
      <c r="F264" s="244"/>
      <c r="G264" s="244"/>
      <c r="H264" s="244"/>
      <c r="K264" s="440"/>
      <c r="S264" s="244"/>
    </row>
    <row r="265" spans="1:19" ht="15.75" customHeight="1" x14ac:dyDescent="0.25">
      <c r="A265" s="244"/>
      <c r="C265" s="263"/>
      <c r="D265" s="264"/>
      <c r="E265" s="244"/>
      <c r="F265" s="244"/>
      <c r="G265" s="244"/>
      <c r="H265" s="244"/>
      <c r="K265" s="440"/>
      <c r="S265" s="244"/>
    </row>
    <row r="266" spans="1:19" ht="15.75" customHeight="1" x14ac:dyDescent="0.25">
      <c r="A266" s="244"/>
      <c r="C266" s="263"/>
      <c r="D266" s="264"/>
      <c r="E266" s="244"/>
      <c r="F266" s="244"/>
      <c r="G266" s="244"/>
      <c r="H266" s="244"/>
      <c r="K266" s="440"/>
      <c r="S266" s="244"/>
    </row>
    <row r="267" spans="1:19" ht="15.75" customHeight="1" x14ac:dyDescent="0.25">
      <c r="A267" s="244"/>
      <c r="C267" s="263"/>
      <c r="D267" s="264"/>
      <c r="E267" s="244"/>
      <c r="F267" s="244"/>
      <c r="G267" s="244"/>
      <c r="H267" s="244"/>
      <c r="K267" s="440"/>
      <c r="S267" s="244"/>
    </row>
    <row r="268" spans="1:19" ht="15.75" customHeight="1" x14ac:dyDescent="0.25">
      <c r="A268" s="244"/>
      <c r="C268" s="263"/>
      <c r="D268" s="264"/>
      <c r="E268" s="244"/>
      <c r="F268" s="244"/>
      <c r="G268" s="244"/>
      <c r="H268" s="244"/>
      <c r="K268" s="440"/>
      <c r="S268" s="244"/>
    </row>
    <row r="269" spans="1:19" ht="15.75" customHeight="1" x14ac:dyDescent="0.25">
      <c r="A269" s="244"/>
      <c r="C269" s="263"/>
      <c r="D269" s="264"/>
      <c r="E269" s="244"/>
      <c r="F269" s="244"/>
      <c r="G269" s="244"/>
      <c r="H269" s="244"/>
      <c r="K269" s="440"/>
      <c r="S269" s="244"/>
    </row>
    <row r="270" spans="1:19" ht="15.75" customHeight="1" x14ac:dyDescent="0.25">
      <c r="A270" s="244"/>
      <c r="C270" s="263"/>
      <c r="D270" s="264"/>
      <c r="E270" s="244"/>
      <c r="F270" s="244"/>
      <c r="G270" s="244"/>
      <c r="H270" s="244"/>
      <c r="K270" s="440"/>
      <c r="S270" s="244"/>
    </row>
    <row r="271" spans="1:19" ht="15.75" customHeight="1" x14ac:dyDescent="0.25">
      <c r="A271" s="244"/>
      <c r="C271" s="263"/>
      <c r="D271" s="264"/>
      <c r="E271" s="244"/>
      <c r="F271" s="244"/>
      <c r="G271" s="244"/>
      <c r="H271" s="244"/>
      <c r="K271" s="440"/>
      <c r="S271" s="244"/>
    </row>
    <row r="272" spans="1:19" ht="15.75" customHeight="1" x14ac:dyDescent="0.25">
      <c r="A272" s="244"/>
      <c r="C272" s="263"/>
      <c r="D272" s="264"/>
      <c r="E272" s="244"/>
      <c r="F272" s="244"/>
      <c r="G272" s="244"/>
      <c r="H272" s="244"/>
      <c r="K272" s="440"/>
      <c r="S272" s="244"/>
    </row>
    <row r="273" spans="1:19" ht="15.75" customHeight="1" x14ac:dyDescent="0.25">
      <c r="A273" s="244"/>
      <c r="C273" s="263"/>
      <c r="D273" s="264"/>
      <c r="E273" s="244"/>
      <c r="F273" s="244"/>
      <c r="G273" s="244"/>
      <c r="H273" s="244"/>
      <c r="K273" s="440"/>
      <c r="S273" s="244"/>
    </row>
    <row r="274" spans="1:19" ht="15.75" customHeight="1" x14ac:dyDescent="0.25">
      <c r="A274" s="244"/>
      <c r="C274" s="263"/>
      <c r="D274" s="264"/>
      <c r="E274" s="244"/>
      <c r="F274" s="244"/>
      <c r="G274" s="244"/>
      <c r="H274" s="244"/>
      <c r="K274" s="440"/>
      <c r="S274" s="244"/>
    </row>
    <row r="275" spans="1:19" ht="15.75" customHeight="1" x14ac:dyDescent="0.25">
      <c r="A275" s="244"/>
      <c r="C275" s="263"/>
      <c r="D275" s="264"/>
      <c r="E275" s="244"/>
      <c r="F275" s="244"/>
      <c r="G275" s="244"/>
      <c r="H275" s="244"/>
      <c r="K275" s="440"/>
      <c r="S275" s="244"/>
    </row>
    <row r="276" spans="1:19" ht="15.75" customHeight="1" x14ac:dyDescent="0.25">
      <c r="A276" s="244"/>
      <c r="C276" s="263"/>
      <c r="D276" s="264"/>
      <c r="E276" s="244"/>
      <c r="F276" s="244"/>
      <c r="G276" s="244"/>
      <c r="H276" s="244"/>
      <c r="K276" s="440"/>
      <c r="S276" s="244"/>
    </row>
    <row r="277" spans="1:19" ht="15.75" customHeight="1" x14ac:dyDescent="0.25">
      <c r="A277" s="244"/>
      <c r="C277" s="263"/>
      <c r="D277" s="264"/>
      <c r="E277" s="244"/>
      <c r="F277" s="244"/>
      <c r="G277" s="244"/>
      <c r="H277" s="244"/>
      <c r="K277" s="440"/>
      <c r="S277" s="244"/>
    </row>
    <row r="278" spans="1:19" ht="15.75" customHeight="1" x14ac:dyDescent="0.25">
      <c r="A278" s="244"/>
      <c r="C278" s="263"/>
      <c r="D278" s="264"/>
      <c r="E278" s="244"/>
      <c r="F278" s="244"/>
      <c r="G278" s="244"/>
      <c r="H278" s="244"/>
      <c r="K278" s="440"/>
      <c r="S278" s="244"/>
    </row>
    <row r="279" spans="1:19" ht="15.75" customHeight="1" x14ac:dyDescent="0.25">
      <c r="A279" s="244"/>
      <c r="C279" s="263"/>
      <c r="D279" s="264"/>
      <c r="E279" s="244"/>
      <c r="F279" s="244"/>
      <c r="G279" s="244"/>
      <c r="H279" s="244"/>
      <c r="K279" s="440"/>
      <c r="S279" s="244"/>
    </row>
    <row r="280" spans="1:19" ht="15.75" customHeight="1" x14ac:dyDescent="0.25">
      <c r="A280" s="244"/>
      <c r="C280" s="263"/>
      <c r="D280" s="264"/>
      <c r="E280" s="244"/>
      <c r="F280" s="244"/>
      <c r="G280" s="244"/>
      <c r="H280" s="244"/>
      <c r="K280" s="440"/>
      <c r="S280" s="244"/>
    </row>
    <row r="281" spans="1:19" ht="15.75" customHeight="1" x14ac:dyDescent="0.25">
      <c r="A281" s="244"/>
      <c r="C281" s="263"/>
      <c r="D281" s="264"/>
      <c r="E281" s="244"/>
      <c r="F281" s="244"/>
      <c r="G281" s="244"/>
      <c r="H281" s="244"/>
      <c r="K281" s="440"/>
      <c r="S281" s="244"/>
    </row>
    <row r="282" spans="1:19" ht="15.75" customHeight="1" x14ac:dyDescent="0.25">
      <c r="A282" s="244"/>
      <c r="C282" s="263"/>
      <c r="D282" s="264"/>
      <c r="E282" s="244"/>
      <c r="F282" s="244"/>
      <c r="G282" s="244"/>
      <c r="H282" s="244"/>
      <c r="K282" s="440"/>
      <c r="S282" s="244"/>
    </row>
    <row r="283" spans="1:19" ht="15.75" customHeight="1" x14ac:dyDescent="0.25">
      <c r="A283" s="244"/>
      <c r="C283" s="263"/>
      <c r="D283" s="264"/>
      <c r="E283" s="244"/>
      <c r="F283" s="244"/>
      <c r="G283" s="244"/>
      <c r="H283" s="244"/>
      <c r="K283" s="440"/>
      <c r="S283" s="244"/>
    </row>
    <row r="284" spans="1:19" ht="15.75" customHeight="1" x14ac:dyDescent="0.25">
      <c r="A284" s="244"/>
      <c r="C284" s="263"/>
      <c r="D284" s="264"/>
      <c r="E284" s="244"/>
      <c r="F284" s="244"/>
      <c r="G284" s="244"/>
      <c r="H284" s="244"/>
      <c r="K284" s="440"/>
      <c r="S284" s="244"/>
    </row>
    <row r="285" spans="1:19" ht="15.75" customHeight="1" x14ac:dyDescent="0.25">
      <c r="A285" s="244"/>
      <c r="C285" s="263"/>
      <c r="D285" s="264"/>
      <c r="E285" s="244"/>
      <c r="F285" s="244"/>
      <c r="G285" s="244"/>
      <c r="H285" s="244"/>
      <c r="K285" s="440"/>
      <c r="S285" s="244"/>
    </row>
    <row r="286" spans="1:19" ht="15.75" customHeight="1" x14ac:dyDescent="0.25">
      <c r="A286" s="244"/>
      <c r="C286" s="263"/>
      <c r="D286" s="264"/>
      <c r="E286" s="244"/>
      <c r="F286" s="244"/>
      <c r="G286" s="244"/>
      <c r="H286" s="244"/>
      <c r="K286" s="440"/>
      <c r="S286" s="244"/>
    </row>
    <row r="287" spans="1:19" ht="15.75" customHeight="1" x14ac:dyDescent="0.25">
      <c r="A287" s="244"/>
      <c r="C287" s="263"/>
      <c r="D287" s="264"/>
      <c r="E287" s="244"/>
      <c r="F287" s="244"/>
      <c r="G287" s="244"/>
      <c r="H287" s="244"/>
      <c r="K287" s="440"/>
      <c r="S287" s="244"/>
    </row>
    <row r="288" spans="1:19" ht="15.75" customHeight="1" x14ac:dyDescent="0.25">
      <c r="A288" s="244"/>
      <c r="C288" s="263"/>
      <c r="D288" s="264"/>
      <c r="E288" s="244"/>
      <c r="F288" s="244"/>
      <c r="G288" s="244"/>
      <c r="H288" s="244"/>
      <c r="K288" s="440"/>
      <c r="S288" s="244"/>
    </row>
    <row r="289" spans="1:19" ht="15.75" customHeight="1" x14ac:dyDescent="0.25">
      <c r="A289" s="244"/>
      <c r="C289" s="263"/>
      <c r="D289" s="264"/>
      <c r="E289" s="244"/>
      <c r="F289" s="244"/>
      <c r="G289" s="244"/>
      <c r="H289" s="244"/>
      <c r="K289" s="440"/>
      <c r="S289" s="244"/>
    </row>
    <row r="290" spans="1:19" ht="15.75" customHeight="1" x14ac:dyDescent="0.25">
      <c r="A290" s="244"/>
      <c r="C290" s="263"/>
      <c r="D290" s="264"/>
      <c r="E290" s="244"/>
      <c r="F290" s="244"/>
      <c r="G290" s="244"/>
      <c r="H290" s="244"/>
      <c r="K290" s="440"/>
      <c r="S290" s="244"/>
    </row>
    <row r="291" spans="1:19" ht="15.75" customHeight="1" x14ac:dyDescent="0.25">
      <c r="A291" s="244"/>
      <c r="C291" s="263"/>
      <c r="D291" s="264"/>
      <c r="E291" s="244"/>
      <c r="F291" s="244"/>
      <c r="G291" s="244"/>
      <c r="H291" s="244"/>
      <c r="K291" s="440"/>
      <c r="S291" s="244"/>
    </row>
    <row r="292" spans="1:19" ht="15.75" customHeight="1" x14ac:dyDescent="0.25">
      <c r="A292" s="244"/>
      <c r="C292" s="263"/>
      <c r="D292" s="264"/>
      <c r="E292" s="244"/>
      <c r="F292" s="244"/>
      <c r="G292" s="244"/>
      <c r="H292" s="244"/>
      <c r="K292" s="440"/>
      <c r="S292" s="244"/>
    </row>
    <row r="293" spans="1:19" ht="15.75" customHeight="1" x14ac:dyDescent="0.25">
      <c r="A293" s="244"/>
      <c r="C293" s="263"/>
      <c r="D293" s="264"/>
      <c r="E293" s="244"/>
      <c r="F293" s="244"/>
      <c r="G293" s="244"/>
      <c r="H293" s="244"/>
      <c r="K293" s="440"/>
      <c r="S293" s="244"/>
    </row>
    <row r="294" spans="1:19" ht="15.75" customHeight="1" x14ac:dyDescent="0.25">
      <c r="A294" s="244"/>
      <c r="C294" s="263"/>
      <c r="D294" s="264"/>
      <c r="E294" s="244"/>
      <c r="F294" s="244"/>
      <c r="G294" s="244"/>
      <c r="H294" s="244"/>
      <c r="K294" s="440"/>
      <c r="S294" s="244"/>
    </row>
    <row r="295" spans="1:19" ht="15.75" customHeight="1" x14ac:dyDescent="0.25">
      <c r="A295" s="244"/>
      <c r="C295" s="263"/>
      <c r="D295" s="264"/>
      <c r="E295" s="244"/>
      <c r="F295" s="244"/>
      <c r="G295" s="244"/>
      <c r="H295" s="244"/>
      <c r="K295" s="440"/>
      <c r="S295" s="244"/>
    </row>
    <row r="296" spans="1:19" ht="15.75" customHeight="1" x14ac:dyDescent="0.25">
      <c r="A296" s="244"/>
      <c r="C296" s="263"/>
      <c r="D296" s="264"/>
      <c r="E296" s="244"/>
      <c r="F296" s="244"/>
      <c r="G296" s="244"/>
      <c r="H296" s="244"/>
      <c r="K296" s="440"/>
      <c r="S296" s="244"/>
    </row>
    <row r="297" spans="1:19" ht="15.75" customHeight="1" x14ac:dyDescent="0.25">
      <c r="A297" s="244"/>
      <c r="C297" s="263"/>
      <c r="D297" s="264"/>
      <c r="E297" s="244"/>
      <c r="F297" s="244"/>
      <c r="G297" s="244"/>
      <c r="H297" s="244"/>
      <c r="K297" s="440"/>
      <c r="S297" s="244"/>
    </row>
    <row r="298" spans="1:19" ht="15.75" customHeight="1" x14ac:dyDescent="0.25">
      <c r="A298" s="244"/>
      <c r="C298" s="263"/>
      <c r="D298" s="264"/>
      <c r="E298" s="244"/>
      <c r="F298" s="244"/>
      <c r="G298" s="244"/>
      <c r="H298" s="244"/>
      <c r="K298" s="440"/>
      <c r="S298" s="244"/>
    </row>
    <row r="299" spans="1:19" ht="15.75" customHeight="1" x14ac:dyDescent="0.25">
      <c r="A299" s="244"/>
      <c r="C299" s="263"/>
      <c r="D299" s="264"/>
      <c r="E299" s="244"/>
      <c r="F299" s="244"/>
      <c r="G299" s="244"/>
      <c r="H299" s="244"/>
      <c r="K299" s="440"/>
      <c r="S299" s="244"/>
    </row>
    <row r="300" spans="1:19" ht="15.75" customHeight="1" x14ac:dyDescent="0.25">
      <c r="A300" s="244"/>
      <c r="C300" s="263"/>
      <c r="D300" s="264"/>
      <c r="E300" s="244"/>
      <c r="F300" s="244"/>
      <c r="G300" s="244"/>
      <c r="H300" s="244"/>
      <c r="K300" s="440"/>
      <c r="S300" s="244"/>
    </row>
    <row r="301" spans="1:19" ht="15.75" customHeight="1" x14ac:dyDescent="0.25">
      <c r="A301" s="244"/>
      <c r="C301" s="263"/>
      <c r="D301" s="264"/>
      <c r="E301" s="244"/>
      <c r="F301" s="244"/>
      <c r="G301" s="244"/>
      <c r="H301" s="244"/>
      <c r="K301" s="440"/>
      <c r="S301" s="244"/>
    </row>
    <row r="302" spans="1:19" ht="15.75" customHeight="1" x14ac:dyDescent="0.25">
      <c r="A302" s="244"/>
      <c r="C302" s="263"/>
      <c r="D302" s="264"/>
      <c r="E302" s="244"/>
      <c r="F302" s="244"/>
      <c r="G302" s="244"/>
      <c r="H302" s="244"/>
      <c r="K302" s="440"/>
      <c r="S302" s="244"/>
    </row>
    <row r="303" spans="1:19" ht="15.75" customHeight="1" x14ac:dyDescent="0.25">
      <c r="A303" s="244"/>
      <c r="C303" s="263"/>
      <c r="D303" s="264"/>
      <c r="E303" s="244"/>
      <c r="F303" s="244"/>
      <c r="G303" s="244"/>
      <c r="H303" s="244"/>
      <c r="K303" s="440"/>
      <c r="S303" s="244"/>
    </row>
    <row r="304" spans="1:19" ht="15.75" customHeight="1" x14ac:dyDescent="0.25">
      <c r="A304" s="244"/>
      <c r="C304" s="263"/>
      <c r="D304" s="264"/>
      <c r="E304" s="244"/>
      <c r="F304" s="244"/>
      <c r="G304" s="244"/>
      <c r="H304" s="244"/>
      <c r="K304" s="440"/>
      <c r="S304" s="244"/>
    </row>
    <row r="305" spans="1:19" ht="15.75" customHeight="1" x14ac:dyDescent="0.25">
      <c r="A305" s="244"/>
      <c r="C305" s="263"/>
      <c r="D305" s="264"/>
      <c r="E305" s="244"/>
      <c r="F305" s="244"/>
      <c r="G305" s="244"/>
      <c r="H305" s="244"/>
      <c r="K305" s="440"/>
      <c r="S305" s="244"/>
    </row>
    <row r="306" spans="1:19" ht="15.75" customHeight="1" x14ac:dyDescent="0.25">
      <c r="A306" s="244"/>
      <c r="C306" s="263"/>
      <c r="D306" s="264"/>
      <c r="E306" s="244"/>
      <c r="F306" s="244"/>
      <c r="G306" s="244"/>
      <c r="H306" s="244"/>
      <c r="K306" s="440"/>
      <c r="S306" s="244"/>
    </row>
    <row r="307" spans="1:19" ht="15.75" customHeight="1" x14ac:dyDescent="0.25">
      <c r="A307" s="244"/>
      <c r="C307" s="263"/>
      <c r="D307" s="264"/>
      <c r="E307" s="244"/>
      <c r="F307" s="244"/>
      <c r="G307" s="244"/>
      <c r="H307" s="244"/>
      <c r="K307" s="440"/>
      <c r="S307" s="244"/>
    </row>
    <row r="308" spans="1:19" ht="15.75" customHeight="1" x14ac:dyDescent="0.25">
      <c r="A308" s="244"/>
      <c r="C308" s="263"/>
      <c r="D308" s="264"/>
      <c r="E308" s="244"/>
      <c r="F308" s="244"/>
      <c r="G308" s="244"/>
      <c r="H308" s="244"/>
      <c r="K308" s="440"/>
      <c r="S308" s="244"/>
    </row>
    <row r="309" spans="1:19" ht="15.75" customHeight="1" x14ac:dyDescent="0.25">
      <c r="A309" s="244"/>
      <c r="C309" s="263"/>
      <c r="D309" s="264"/>
      <c r="E309" s="244"/>
      <c r="F309" s="244"/>
      <c r="G309" s="244"/>
      <c r="H309" s="244"/>
      <c r="K309" s="440"/>
      <c r="S309" s="244"/>
    </row>
    <row r="310" spans="1:19" ht="15.75" customHeight="1" x14ac:dyDescent="0.25">
      <c r="A310" s="244"/>
      <c r="C310" s="263"/>
      <c r="D310" s="264"/>
      <c r="E310" s="244"/>
      <c r="F310" s="244"/>
      <c r="G310" s="244"/>
      <c r="H310" s="244"/>
      <c r="K310" s="440"/>
      <c r="S310" s="244"/>
    </row>
    <row r="311" spans="1:19" ht="15.75" customHeight="1" x14ac:dyDescent="0.25">
      <c r="A311" s="244"/>
      <c r="C311" s="263"/>
      <c r="D311" s="264"/>
      <c r="E311" s="244"/>
      <c r="F311" s="244"/>
      <c r="G311" s="244"/>
      <c r="H311" s="244"/>
      <c r="K311" s="440"/>
      <c r="S311" s="244"/>
    </row>
    <row r="312" spans="1:19" ht="15.75" customHeight="1" x14ac:dyDescent="0.25">
      <c r="A312" s="244"/>
      <c r="C312" s="263"/>
      <c r="D312" s="264"/>
      <c r="E312" s="244"/>
      <c r="F312" s="244"/>
      <c r="G312" s="244"/>
      <c r="H312" s="244"/>
      <c r="K312" s="440"/>
      <c r="S312" s="244"/>
    </row>
    <row r="313" spans="1:19" ht="15.75" customHeight="1" x14ac:dyDescent="0.25">
      <c r="A313" s="244"/>
      <c r="C313" s="263"/>
      <c r="D313" s="264"/>
      <c r="E313" s="244"/>
      <c r="F313" s="244"/>
      <c r="G313" s="244"/>
      <c r="H313" s="244"/>
      <c r="K313" s="440"/>
      <c r="S313" s="244"/>
    </row>
    <row r="314" spans="1:19" ht="15.75" customHeight="1" x14ac:dyDescent="0.25">
      <c r="A314" s="244"/>
      <c r="C314" s="263"/>
      <c r="D314" s="264"/>
      <c r="E314" s="244"/>
      <c r="F314" s="244"/>
      <c r="G314" s="244"/>
      <c r="H314" s="244"/>
      <c r="K314" s="440"/>
      <c r="S314" s="244"/>
    </row>
    <row r="315" spans="1:19" ht="15.75" customHeight="1" x14ac:dyDescent="0.25">
      <c r="A315" s="244"/>
      <c r="C315" s="263"/>
      <c r="D315" s="264"/>
      <c r="E315" s="244"/>
      <c r="F315" s="244"/>
      <c r="G315" s="244"/>
      <c r="H315" s="244"/>
      <c r="K315" s="440"/>
      <c r="S315" s="244"/>
    </row>
    <row r="316" spans="1:19" ht="15.75" customHeight="1" x14ac:dyDescent="0.25">
      <c r="A316" s="244"/>
      <c r="C316" s="263"/>
      <c r="D316" s="264"/>
      <c r="E316" s="244"/>
      <c r="F316" s="244"/>
      <c r="G316" s="244"/>
      <c r="H316" s="244"/>
      <c r="K316" s="440"/>
      <c r="S316" s="244"/>
    </row>
    <row r="317" spans="1:19" ht="15.75" customHeight="1" x14ac:dyDescent="0.25">
      <c r="A317" s="244"/>
      <c r="C317" s="263"/>
      <c r="D317" s="264"/>
      <c r="E317" s="244"/>
      <c r="F317" s="244"/>
      <c r="G317" s="244"/>
      <c r="H317" s="244"/>
      <c r="K317" s="440"/>
      <c r="S317" s="244"/>
    </row>
    <row r="318" spans="1:19" ht="15.75" customHeight="1" x14ac:dyDescent="0.25">
      <c r="A318" s="244"/>
      <c r="C318" s="263"/>
      <c r="D318" s="264"/>
      <c r="E318" s="244"/>
      <c r="F318" s="244"/>
      <c r="G318" s="244"/>
      <c r="H318" s="244"/>
      <c r="K318" s="440"/>
      <c r="S318" s="244"/>
    </row>
    <row r="319" spans="1:19" ht="15.75" customHeight="1" x14ac:dyDescent="0.25">
      <c r="A319" s="244"/>
      <c r="C319" s="263"/>
      <c r="D319" s="264"/>
      <c r="E319" s="244"/>
      <c r="F319" s="244"/>
      <c r="G319" s="244"/>
      <c r="H319" s="244"/>
      <c r="K319" s="440"/>
      <c r="S319" s="244"/>
    </row>
    <row r="320" spans="1:19" ht="15.75" customHeight="1" x14ac:dyDescent="0.25">
      <c r="A320" s="244"/>
      <c r="C320" s="263"/>
      <c r="D320" s="264"/>
      <c r="E320" s="244"/>
      <c r="F320" s="244"/>
      <c r="G320" s="244"/>
      <c r="H320" s="244"/>
      <c r="K320" s="440"/>
      <c r="S320" s="244"/>
    </row>
    <row r="321" spans="1:19" ht="15.75" customHeight="1" x14ac:dyDescent="0.25">
      <c r="A321" s="244"/>
      <c r="C321" s="263"/>
      <c r="D321" s="264"/>
      <c r="E321" s="244"/>
      <c r="F321" s="244"/>
      <c r="G321" s="244"/>
      <c r="H321" s="244"/>
      <c r="K321" s="440"/>
      <c r="S321" s="244"/>
    </row>
    <row r="322" spans="1:19" ht="15.75" customHeight="1" x14ac:dyDescent="0.25">
      <c r="A322" s="244"/>
      <c r="C322" s="263"/>
      <c r="D322" s="264"/>
      <c r="E322" s="244"/>
      <c r="F322" s="244"/>
      <c r="G322" s="244"/>
      <c r="H322" s="244"/>
      <c r="K322" s="440"/>
      <c r="S322" s="244"/>
    </row>
    <row r="323" spans="1:19" ht="15.75" customHeight="1" x14ac:dyDescent="0.25">
      <c r="A323" s="244"/>
      <c r="C323" s="263"/>
      <c r="D323" s="264"/>
      <c r="E323" s="244"/>
      <c r="F323" s="244"/>
      <c r="G323" s="244"/>
      <c r="H323" s="244"/>
      <c r="K323" s="440"/>
      <c r="S323" s="244"/>
    </row>
    <row r="324" spans="1:19" ht="15.75" customHeight="1" x14ac:dyDescent="0.25">
      <c r="A324" s="244"/>
      <c r="C324" s="263"/>
      <c r="D324" s="264"/>
      <c r="E324" s="244"/>
      <c r="F324" s="244"/>
      <c r="G324" s="244"/>
      <c r="H324" s="244"/>
      <c r="K324" s="440"/>
      <c r="S324" s="244"/>
    </row>
    <row r="325" spans="1:19" ht="15.75" customHeight="1" x14ac:dyDescent="0.25">
      <c r="A325" s="244"/>
      <c r="C325" s="263"/>
      <c r="D325" s="264"/>
      <c r="E325" s="244"/>
      <c r="F325" s="244"/>
      <c r="G325" s="244"/>
      <c r="H325" s="244"/>
      <c r="K325" s="440"/>
      <c r="S325" s="244"/>
    </row>
    <row r="326" spans="1:19" ht="15.75" customHeight="1" x14ac:dyDescent="0.25">
      <c r="A326" s="244"/>
      <c r="C326" s="263"/>
      <c r="D326" s="264"/>
      <c r="E326" s="244"/>
      <c r="F326" s="244"/>
      <c r="G326" s="244"/>
      <c r="H326" s="244"/>
      <c r="K326" s="440"/>
      <c r="S326" s="244"/>
    </row>
    <row r="327" spans="1:19" ht="15.75" customHeight="1" x14ac:dyDescent="0.25">
      <c r="A327" s="244"/>
      <c r="C327" s="263"/>
      <c r="D327" s="264"/>
      <c r="E327" s="244"/>
      <c r="F327" s="244"/>
      <c r="G327" s="244"/>
      <c r="H327" s="244"/>
      <c r="K327" s="440"/>
      <c r="S327" s="244"/>
    </row>
    <row r="328" spans="1:19" ht="15.75" customHeight="1" x14ac:dyDescent="0.25">
      <c r="A328" s="244"/>
      <c r="C328" s="263"/>
      <c r="D328" s="264"/>
      <c r="E328" s="244"/>
      <c r="F328" s="244"/>
      <c r="G328" s="244"/>
      <c r="H328" s="244"/>
      <c r="K328" s="440"/>
      <c r="S328" s="244"/>
    </row>
    <row r="329" spans="1:19" ht="15.75" customHeight="1" x14ac:dyDescent="0.25">
      <c r="A329" s="244"/>
      <c r="C329" s="263"/>
      <c r="D329" s="264"/>
      <c r="E329" s="244"/>
      <c r="F329" s="244"/>
      <c r="G329" s="244"/>
      <c r="H329" s="244"/>
      <c r="K329" s="440"/>
      <c r="S329" s="244"/>
    </row>
    <row r="330" spans="1:19" ht="15.75" customHeight="1" x14ac:dyDescent="0.25">
      <c r="A330" s="244"/>
      <c r="C330" s="263"/>
      <c r="D330" s="264"/>
      <c r="E330" s="244"/>
      <c r="F330" s="244"/>
      <c r="G330" s="244"/>
      <c r="H330" s="244"/>
      <c r="K330" s="440"/>
      <c r="S330" s="244"/>
    </row>
    <row r="331" spans="1:19" ht="15.75" customHeight="1" x14ac:dyDescent="0.25">
      <c r="A331" s="244"/>
      <c r="C331" s="263"/>
      <c r="D331" s="264"/>
      <c r="E331" s="244"/>
      <c r="F331" s="244"/>
      <c r="G331" s="244"/>
      <c r="H331" s="244"/>
      <c r="K331" s="440"/>
      <c r="S331" s="244"/>
    </row>
    <row r="332" spans="1:19" ht="15.75" customHeight="1" x14ac:dyDescent="0.25">
      <c r="A332" s="244"/>
      <c r="C332" s="263"/>
      <c r="D332" s="264"/>
      <c r="E332" s="244"/>
      <c r="F332" s="244"/>
      <c r="G332" s="244"/>
      <c r="H332" s="244"/>
      <c r="K332" s="440"/>
      <c r="S332" s="244"/>
    </row>
    <row r="333" spans="1:19" ht="15.75" customHeight="1" x14ac:dyDescent="0.25">
      <c r="A333" s="244"/>
      <c r="C333" s="263"/>
      <c r="D333" s="264"/>
      <c r="E333" s="244"/>
      <c r="F333" s="244"/>
      <c r="G333" s="244"/>
      <c r="H333" s="244"/>
      <c r="K333" s="440"/>
      <c r="S333" s="244"/>
    </row>
    <row r="334" spans="1:19" ht="15.75" customHeight="1" x14ac:dyDescent="0.25">
      <c r="A334" s="244"/>
      <c r="C334" s="263"/>
      <c r="D334" s="264"/>
      <c r="E334" s="244"/>
      <c r="F334" s="244"/>
      <c r="G334" s="244"/>
      <c r="H334" s="244"/>
      <c r="K334" s="440"/>
      <c r="S334" s="244"/>
    </row>
    <row r="335" spans="1:19" ht="15.75" customHeight="1" x14ac:dyDescent="0.25">
      <c r="A335" s="244"/>
      <c r="C335" s="263"/>
      <c r="D335" s="264"/>
      <c r="E335" s="244"/>
      <c r="F335" s="244"/>
      <c r="G335" s="244"/>
      <c r="H335" s="244"/>
      <c r="K335" s="440"/>
      <c r="S335" s="244"/>
    </row>
    <row r="336" spans="1:19" ht="15.75" customHeight="1" x14ac:dyDescent="0.25">
      <c r="A336" s="244"/>
      <c r="C336" s="263"/>
      <c r="D336" s="264"/>
      <c r="E336" s="244"/>
      <c r="F336" s="244"/>
      <c r="G336" s="244"/>
      <c r="H336" s="244"/>
      <c r="K336" s="440"/>
      <c r="S336" s="244"/>
    </row>
    <row r="337" spans="1:19" ht="15.75" customHeight="1" x14ac:dyDescent="0.25">
      <c r="A337" s="244"/>
      <c r="C337" s="263"/>
      <c r="D337" s="264"/>
      <c r="E337" s="244"/>
      <c r="F337" s="244"/>
      <c r="G337" s="244"/>
      <c r="H337" s="244"/>
      <c r="K337" s="440"/>
      <c r="S337" s="244"/>
    </row>
    <row r="338" spans="1:19" ht="15.75" customHeight="1" x14ac:dyDescent="0.25">
      <c r="A338" s="244"/>
      <c r="C338" s="263"/>
      <c r="D338" s="264"/>
      <c r="E338" s="244"/>
      <c r="F338" s="244"/>
      <c r="G338" s="244"/>
      <c r="H338" s="244"/>
      <c r="K338" s="440"/>
      <c r="S338" s="244"/>
    </row>
    <row r="339" spans="1:19" ht="15.75" customHeight="1" x14ac:dyDescent="0.25">
      <c r="A339" s="244"/>
      <c r="C339" s="263"/>
      <c r="D339" s="264"/>
      <c r="E339" s="244"/>
      <c r="F339" s="244"/>
      <c r="G339" s="244"/>
      <c r="H339" s="244"/>
      <c r="K339" s="440"/>
      <c r="S339" s="244"/>
    </row>
    <row r="340" spans="1:19" ht="15.75" customHeight="1" x14ac:dyDescent="0.25">
      <c r="A340" s="244"/>
      <c r="C340" s="263"/>
      <c r="D340" s="264"/>
      <c r="E340" s="244"/>
      <c r="F340" s="244"/>
      <c r="G340" s="244"/>
      <c r="H340" s="244"/>
      <c r="K340" s="440"/>
      <c r="S340" s="244"/>
    </row>
    <row r="341" spans="1:19" ht="15.75" customHeight="1" x14ac:dyDescent="0.25">
      <c r="A341" s="244"/>
      <c r="C341" s="263"/>
      <c r="D341" s="264"/>
      <c r="E341" s="244"/>
      <c r="F341" s="244"/>
      <c r="G341" s="244"/>
      <c r="H341" s="244"/>
      <c r="K341" s="440"/>
      <c r="S341" s="244"/>
    </row>
    <row r="342" spans="1:19" ht="15.75" customHeight="1" x14ac:dyDescent="0.25">
      <c r="A342" s="244"/>
      <c r="C342" s="263"/>
      <c r="D342" s="264"/>
      <c r="E342" s="244"/>
      <c r="F342" s="244"/>
      <c r="G342" s="244"/>
      <c r="H342" s="244"/>
      <c r="K342" s="440"/>
      <c r="S342" s="244"/>
    </row>
    <row r="343" spans="1:19" ht="15.75" customHeight="1" x14ac:dyDescent="0.25">
      <c r="A343" s="244"/>
      <c r="C343" s="263"/>
      <c r="D343" s="264"/>
      <c r="E343" s="244"/>
      <c r="F343" s="244"/>
      <c r="G343" s="244"/>
      <c r="H343" s="244"/>
      <c r="K343" s="440"/>
      <c r="S343" s="244"/>
    </row>
    <row r="344" spans="1:19" ht="15.75" customHeight="1" x14ac:dyDescent="0.25">
      <c r="A344" s="244"/>
      <c r="C344" s="263"/>
      <c r="D344" s="264"/>
      <c r="E344" s="244"/>
      <c r="F344" s="244"/>
      <c r="G344" s="244"/>
      <c r="H344" s="244"/>
      <c r="K344" s="440"/>
      <c r="S344" s="244"/>
    </row>
    <row r="345" spans="1:19" ht="15.75" customHeight="1" x14ac:dyDescent="0.25">
      <c r="A345" s="244"/>
      <c r="C345" s="263"/>
      <c r="D345" s="264"/>
      <c r="E345" s="244"/>
      <c r="F345" s="244"/>
      <c r="G345" s="244"/>
      <c r="H345" s="244"/>
      <c r="K345" s="440"/>
      <c r="S345" s="244"/>
    </row>
    <row r="346" spans="1:19" ht="15.75" customHeight="1" x14ac:dyDescent="0.25">
      <c r="A346" s="244"/>
      <c r="C346" s="263"/>
      <c r="D346" s="264"/>
      <c r="E346" s="244"/>
      <c r="F346" s="244"/>
      <c r="G346" s="244"/>
      <c r="H346" s="244"/>
      <c r="K346" s="440"/>
      <c r="S346" s="244"/>
    </row>
    <row r="347" spans="1:19" ht="15.75" customHeight="1" x14ac:dyDescent="0.25">
      <c r="A347" s="244"/>
      <c r="C347" s="263"/>
      <c r="D347" s="264"/>
      <c r="E347" s="244"/>
      <c r="F347" s="244"/>
      <c r="G347" s="244"/>
      <c r="H347" s="244"/>
      <c r="K347" s="440"/>
      <c r="S347" s="244"/>
    </row>
    <row r="348" spans="1:19" ht="15.75" customHeight="1" x14ac:dyDescent="0.25">
      <c r="A348" s="244"/>
      <c r="C348" s="263"/>
      <c r="D348" s="264"/>
      <c r="E348" s="244"/>
      <c r="F348" s="244"/>
      <c r="G348" s="244"/>
      <c r="H348" s="244"/>
      <c r="K348" s="440"/>
      <c r="S348" s="244"/>
    </row>
    <row r="349" spans="1:19" ht="15.75" customHeight="1" x14ac:dyDescent="0.25">
      <c r="A349" s="244"/>
      <c r="C349" s="263"/>
      <c r="D349" s="264"/>
      <c r="E349" s="244"/>
      <c r="F349" s="244"/>
      <c r="G349" s="244"/>
      <c r="H349" s="244"/>
      <c r="K349" s="440"/>
      <c r="S349" s="244"/>
    </row>
    <row r="350" spans="1:19" ht="15.75" customHeight="1" x14ac:dyDescent="0.25">
      <c r="A350" s="244"/>
      <c r="C350" s="263"/>
      <c r="D350" s="264"/>
      <c r="E350" s="244"/>
      <c r="F350" s="244"/>
      <c r="G350" s="244"/>
      <c r="H350" s="244"/>
      <c r="K350" s="440"/>
      <c r="S350" s="244"/>
    </row>
    <row r="351" spans="1:19" ht="15.75" customHeight="1" x14ac:dyDescent="0.25">
      <c r="A351" s="244"/>
      <c r="C351" s="263"/>
      <c r="D351" s="264"/>
      <c r="E351" s="244"/>
      <c r="F351" s="244"/>
      <c r="G351" s="244"/>
      <c r="H351" s="244"/>
      <c r="K351" s="440"/>
      <c r="S351" s="244"/>
    </row>
    <row r="352" spans="1:19" ht="15.75" customHeight="1" x14ac:dyDescent="0.25">
      <c r="A352" s="244"/>
      <c r="C352" s="263"/>
      <c r="D352" s="264"/>
      <c r="E352" s="244"/>
      <c r="F352" s="244"/>
      <c r="G352" s="244"/>
      <c r="H352" s="244"/>
      <c r="K352" s="440"/>
      <c r="S352" s="244"/>
    </row>
    <row r="353" spans="1:19" ht="15.75" customHeight="1" x14ac:dyDescent="0.25">
      <c r="A353" s="244"/>
      <c r="C353" s="263"/>
      <c r="D353" s="264"/>
      <c r="E353" s="244"/>
      <c r="F353" s="244"/>
      <c r="G353" s="244"/>
      <c r="H353" s="244"/>
      <c r="K353" s="440"/>
      <c r="S353" s="244"/>
    </row>
    <row r="354" spans="1:19" ht="15.75" customHeight="1" x14ac:dyDescent="0.25">
      <c r="A354" s="244"/>
      <c r="C354" s="263"/>
      <c r="D354" s="264"/>
      <c r="E354" s="244"/>
      <c r="F354" s="244"/>
      <c r="G354" s="244"/>
      <c r="H354" s="244"/>
      <c r="K354" s="440"/>
      <c r="S354" s="244"/>
    </row>
    <row r="355" spans="1:19" ht="15.75" customHeight="1" x14ac:dyDescent="0.25">
      <c r="A355" s="244"/>
      <c r="C355" s="263"/>
      <c r="D355" s="264"/>
      <c r="E355" s="244"/>
      <c r="F355" s="244"/>
      <c r="G355" s="244"/>
      <c r="H355" s="244"/>
      <c r="K355" s="440"/>
      <c r="S355" s="244"/>
    </row>
    <row r="356" spans="1:19" ht="15.75" customHeight="1" x14ac:dyDescent="0.25">
      <c r="A356" s="244"/>
      <c r="C356" s="263"/>
      <c r="D356" s="264"/>
      <c r="E356" s="244"/>
      <c r="F356" s="244"/>
      <c r="G356" s="244"/>
      <c r="H356" s="244"/>
      <c r="K356" s="440"/>
      <c r="S356" s="244"/>
    </row>
    <row r="357" spans="1:19" ht="15.75" customHeight="1" x14ac:dyDescent="0.25">
      <c r="A357" s="244"/>
      <c r="C357" s="263"/>
      <c r="D357" s="264"/>
      <c r="E357" s="244"/>
      <c r="F357" s="244"/>
      <c r="G357" s="244"/>
      <c r="H357" s="244"/>
      <c r="K357" s="440"/>
      <c r="S357" s="244"/>
    </row>
    <row r="358" spans="1:19" ht="15.75" customHeight="1" x14ac:dyDescent="0.25">
      <c r="A358" s="244"/>
      <c r="C358" s="263"/>
      <c r="D358" s="264"/>
      <c r="E358" s="244"/>
      <c r="F358" s="244"/>
      <c r="G358" s="244"/>
      <c r="H358" s="244"/>
      <c r="K358" s="440"/>
      <c r="S358" s="244"/>
    </row>
    <row r="359" spans="1:19" ht="15.75" customHeight="1" x14ac:dyDescent="0.25">
      <c r="A359" s="244"/>
      <c r="C359" s="263"/>
      <c r="D359" s="264"/>
      <c r="E359" s="244"/>
      <c r="F359" s="244"/>
      <c r="G359" s="244"/>
      <c r="H359" s="244"/>
      <c r="K359" s="440"/>
      <c r="S359" s="244"/>
    </row>
    <row r="360" spans="1:19" ht="15.75" customHeight="1" x14ac:dyDescent="0.25">
      <c r="A360" s="244"/>
      <c r="C360" s="263"/>
      <c r="D360" s="264"/>
      <c r="E360" s="244"/>
      <c r="F360" s="244"/>
      <c r="G360" s="244"/>
      <c r="H360" s="244"/>
      <c r="K360" s="440"/>
      <c r="S360" s="244"/>
    </row>
    <row r="361" spans="1:19" ht="15.75" customHeight="1" x14ac:dyDescent="0.25">
      <c r="A361" s="244"/>
      <c r="C361" s="263"/>
      <c r="D361" s="264"/>
      <c r="E361" s="244"/>
      <c r="F361" s="244"/>
      <c r="G361" s="244"/>
      <c r="H361" s="244"/>
      <c r="K361" s="440"/>
      <c r="S361" s="244"/>
    </row>
    <row r="362" spans="1:19" ht="15.75" customHeight="1" x14ac:dyDescent="0.25">
      <c r="A362" s="244"/>
      <c r="C362" s="263"/>
      <c r="D362" s="264"/>
      <c r="E362" s="244"/>
      <c r="F362" s="244"/>
      <c r="G362" s="244"/>
      <c r="H362" s="244"/>
      <c r="K362" s="440"/>
      <c r="S362" s="244"/>
    </row>
    <row r="363" spans="1:19" ht="15.75" customHeight="1" x14ac:dyDescent="0.25">
      <c r="A363" s="244"/>
      <c r="C363" s="263"/>
      <c r="D363" s="264"/>
      <c r="E363" s="244"/>
      <c r="F363" s="244"/>
      <c r="G363" s="244"/>
      <c r="H363" s="244"/>
      <c r="K363" s="440"/>
      <c r="S363" s="244"/>
    </row>
    <row r="364" spans="1:19" ht="15.75" customHeight="1" x14ac:dyDescent="0.25">
      <c r="A364" s="244"/>
      <c r="C364" s="263"/>
      <c r="D364" s="264"/>
      <c r="E364" s="244"/>
      <c r="F364" s="244"/>
      <c r="G364" s="244"/>
      <c r="H364" s="244"/>
      <c r="K364" s="440"/>
      <c r="S364" s="244"/>
    </row>
    <row r="365" spans="1:19" ht="15.75" customHeight="1" x14ac:dyDescent="0.25">
      <c r="A365" s="244"/>
      <c r="C365" s="263"/>
      <c r="D365" s="264"/>
      <c r="E365" s="244"/>
      <c r="F365" s="244"/>
      <c r="G365" s="244"/>
      <c r="H365" s="244"/>
      <c r="K365" s="440"/>
      <c r="S365" s="244"/>
    </row>
    <row r="366" spans="1:19" ht="15.75" customHeight="1" x14ac:dyDescent="0.25">
      <c r="A366" s="244"/>
      <c r="C366" s="263"/>
      <c r="D366" s="264"/>
      <c r="E366" s="244"/>
      <c r="F366" s="244"/>
      <c r="G366" s="244"/>
      <c r="H366" s="244"/>
      <c r="K366" s="440"/>
      <c r="S366" s="244"/>
    </row>
    <row r="367" spans="1:19" ht="15.75" customHeight="1" x14ac:dyDescent="0.25">
      <c r="A367" s="244"/>
      <c r="C367" s="263"/>
      <c r="D367" s="264"/>
      <c r="E367" s="244"/>
      <c r="F367" s="244"/>
      <c r="G367" s="244"/>
      <c r="H367" s="244"/>
      <c r="K367" s="440"/>
      <c r="S367" s="244"/>
    </row>
    <row r="368" spans="1:19" ht="15.75" customHeight="1" x14ac:dyDescent="0.25">
      <c r="A368" s="244"/>
      <c r="C368" s="263"/>
      <c r="D368" s="264"/>
      <c r="E368" s="244"/>
      <c r="F368" s="244"/>
      <c r="G368" s="244"/>
      <c r="H368" s="244"/>
      <c r="K368" s="440"/>
      <c r="S368" s="244"/>
    </row>
    <row r="369" spans="1:19" ht="15.75" customHeight="1" x14ac:dyDescent="0.25">
      <c r="A369" s="244"/>
      <c r="C369" s="263"/>
      <c r="D369" s="264"/>
      <c r="E369" s="244"/>
      <c r="F369" s="244"/>
      <c r="G369" s="244"/>
      <c r="H369" s="244"/>
      <c r="K369" s="440"/>
      <c r="S369" s="244"/>
    </row>
    <row r="370" spans="1:19" ht="15.75" customHeight="1" x14ac:dyDescent="0.25">
      <c r="A370" s="244"/>
      <c r="C370" s="263"/>
      <c r="D370" s="264"/>
      <c r="E370" s="244"/>
      <c r="F370" s="244"/>
      <c r="G370" s="244"/>
      <c r="H370" s="244"/>
      <c r="K370" s="440"/>
      <c r="S370" s="244"/>
    </row>
    <row r="371" spans="1:19" ht="15.75" customHeight="1" x14ac:dyDescent="0.25">
      <c r="A371" s="244"/>
      <c r="C371" s="263"/>
      <c r="D371" s="264"/>
      <c r="E371" s="244"/>
      <c r="F371" s="244"/>
      <c r="G371" s="244"/>
      <c r="H371" s="244"/>
      <c r="K371" s="440"/>
      <c r="S371" s="244"/>
    </row>
    <row r="372" spans="1:19" ht="15.75" customHeight="1" x14ac:dyDescent="0.25">
      <c r="A372" s="244"/>
      <c r="C372" s="263"/>
      <c r="D372" s="264"/>
      <c r="E372" s="244"/>
      <c r="F372" s="244"/>
      <c r="G372" s="244"/>
      <c r="H372" s="244"/>
      <c r="K372" s="440"/>
      <c r="S372" s="244"/>
    </row>
    <row r="373" spans="1:19" ht="15.75" customHeight="1" x14ac:dyDescent="0.25">
      <c r="A373" s="244"/>
      <c r="C373" s="263"/>
      <c r="D373" s="264"/>
      <c r="E373" s="244"/>
      <c r="F373" s="244"/>
      <c r="G373" s="244"/>
      <c r="H373" s="244"/>
      <c r="K373" s="440"/>
      <c r="S373" s="244"/>
    </row>
    <row r="374" spans="1:19" ht="15.75" customHeight="1" x14ac:dyDescent="0.25">
      <c r="A374" s="244"/>
      <c r="C374" s="263"/>
      <c r="D374" s="264"/>
      <c r="E374" s="244"/>
      <c r="F374" s="244"/>
      <c r="G374" s="244"/>
      <c r="H374" s="244"/>
      <c r="K374" s="440"/>
      <c r="S374" s="244"/>
    </row>
    <row r="375" spans="1:19" ht="15.75" customHeight="1" x14ac:dyDescent="0.25">
      <c r="A375" s="244"/>
      <c r="C375" s="263"/>
      <c r="D375" s="264"/>
      <c r="E375" s="244"/>
      <c r="F375" s="244"/>
      <c r="G375" s="244"/>
      <c r="H375" s="244"/>
      <c r="K375" s="440"/>
      <c r="S375" s="244"/>
    </row>
    <row r="376" spans="1:19" ht="15.75" customHeight="1" x14ac:dyDescent="0.25">
      <c r="A376" s="244"/>
      <c r="C376" s="263"/>
      <c r="D376" s="264"/>
      <c r="E376" s="244"/>
      <c r="F376" s="244"/>
      <c r="G376" s="244"/>
      <c r="H376" s="244"/>
      <c r="K376" s="440"/>
      <c r="S376" s="244"/>
    </row>
    <row r="377" spans="1:19" ht="15.75" customHeight="1" x14ac:dyDescent="0.25">
      <c r="A377" s="244"/>
      <c r="C377" s="263"/>
      <c r="D377" s="264"/>
      <c r="E377" s="244"/>
      <c r="F377" s="244"/>
      <c r="G377" s="244"/>
      <c r="H377" s="244"/>
      <c r="K377" s="440"/>
      <c r="S377" s="244"/>
    </row>
    <row r="378" spans="1:19" ht="15.75" customHeight="1" x14ac:dyDescent="0.25">
      <c r="A378" s="244"/>
      <c r="C378" s="263"/>
      <c r="D378" s="264"/>
      <c r="E378" s="244"/>
      <c r="F378" s="244"/>
      <c r="G378" s="244"/>
      <c r="H378" s="244"/>
      <c r="K378" s="440"/>
      <c r="S378" s="244"/>
    </row>
    <row r="379" spans="1:19" ht="15.75" customHeight="1" x14ac:dyDescent="0.25">
      <c r="A379" s="244"/>
      <c r="C379" s="263"/>
      <c r="D379" s="264"/>
      <c r="E379" s="244"/>
      <c r="F379" s="244"/>
      <c r="G379" s="244"/>
      <c r="H379" s="244"/>
      <c r="K379" s="440"/>
      <c r="S379" s="244"/>
    </row>
    <row r="380" spans="1:19" ht="15.75" customHeight="1" x14ac:dyDescent="0.25">
      <c r="A380" s="244"/>
      <c r="C380" s="263"/>
      <c r="D380" s="264"/>
      <c r="E380" s="244"/>
      <c r="F380" s="244"/>
      <c r="G380" s="244"/>
      <c r="H380" s="244"/>
      <c r="K380" s="440"/>
      <c r="S380" s="244"/>
    </row>
    <row r="381" spans="1:19" ht="15.75" customHeight="1" x14ac:dyDescent="0.25">
      <c r="A381" s="244"/>
      <c r="C381" s="263"/>
      <c r="D381" s="264"/>
      <c r="E381" s="244"/>
      <c r="F381" s="244"/>
      <c r="G381" s="244"/>
      <c r="H381" s="244"/>
      <c r="K381" s="440"/>
      <c r="S381" s="244"/>
    </row>
    <row r="382" spans="1:19" ht="15.75" customHeight="1" x14ac:dyDescent="0.25">
      <c r="A382" s="244"/>
      <c r="C382" s="263"/>
      <c r="D382" s="264"/>
      <c r="E382" s="244"/>
      <c r="F382" s="244"/>
      <c r="G382" s="244"/>
      <c r="H382" s="244"/>
      <c r="K382" s="440"/>
      <c r="S382" s="244"/>
    </row>
    <row r="383" spans="1:19" ht="15.75" customHeight="1" x14ac:dyDescent="0.25">
      <c r="A383" s="244"/>
      <c r="C383" s="263"/>
      <c r="D383" s="264"/>
      <c r="E383" s="244"/>
      <c r="F383" s="244"/>
      <c r="G383" s="244"/>
      <c r="H383" s="244"/>
      <c r="K383" s="440"/>
      <c r="S383" s="244"/>
    </row>
    <row r="384" spans="1:19" ht="15.75" customHeight="1" x14ac:dyDescent="0.25">
      <c r="A384" s="244"/>
      <c r="C384" s="263"/>
      <c r="D384" s="264"/>
      <c r="E384" s="244"/>
      <c r="F384" s="244"/>
      <c r="G384" s="244"/>
      <c r="H384" s="244"/>
      <c r="K384" s="440"/>
      <c r="S384" s="244"/>
    </row>
    <row r="385" spans="1:19" ht="15.75" customHeight="1" x14ac:dyDescent="0.25">
      <c r="A385" s="244"/>
      <c r="C385" s="263"/>
      <c r="D385" s="264"/>
      <c r="E385" s="244"/>
      <c r="F385" s="244"/>
      <c r="G385" s="244"/>
      <c r="H385" s="244"/>
      <c r="K385" s="440"/>
      <c r="S385" s="244"/>
    </row>
    <row r="386" spans="1:19" ht="15.75" customHeight="1" x14ac:dyDescent="0.25">
      <c r="A386" s="244"/>
      <c r="C386" s="263"/>
      <c r="D386" s="264"/>
      <c r="E386" s="244"/>
      <c r="F386" s="244"/>
      <c r="G386" s="244"/>
      <c r="H386" s="244"/>
      <c r="K386" s="440"/>
      <c r="S386" s="244"/>
    </row>
    <row r="387" spans="1:19" ht="15.75" customHeight="1" x14ac:dyDescent="0.25">
      <c r="A387" s="244"/>
      <c r="C387" s="263"/>
      <c r="D387" s="264"/>
      <c r="E387" s="244"/>
      <c r="F387" s="244"/>
      <c r="G387" s="244"/>
      <c r="H387" s="244"/>
      <c r="K387" s="440"/>
      <c r="S387" s="244"/>
    </row>
    <row r="388" spans="1:19" ht="15.75" customHeight="1" x14ac:dyDescent="0.25">
      <c r="A388" s="244"/>
      <c r="C388" s="263"/>
      <c r="D388" s="264"/>
      <c r="E388" s="244"/>
      <c r="F388" s="244"/>
      <c r="G388" s="244"/>
      <c r="H388" s="244"/>
      <c r="K388" s="440"/>
      <c r="S388" s="244"/>
    </row>
    <row r="389" spans="1:19" ht="15.75" customHeight="1" x14ac:dyDescent="0.25">
      <c r="A389" s="244"/>
      <c r="C389" s="263"/>
      <c r="D389" s="264"/>
      <c r="E389" s="244"/>
      <c r="F389" s="244"/>
      <c r="G389" s="244"/>
      <c r="H389" s="244"/>
      <c r="K389" s="440"/>
      <c r="S389" s="244"/>
    </row>
    <row r="390" spans="1:19" ht="15.75" customHeight="1" x14ac:dyDescent="0.25">
      <c r="A390" s="244"/>
      <c r="C390" s="263"/>
      <c r="D390" s="264"/>
      <c r="E390" s="244"/>
      <c r="F390" s="244"/>
      <c r="G390" s="244"/>
      <c r="H390" s="244"/>
      <c r="K390" s="440"/>
      <c r="S390" s="244"/>
    </row>
    <row r="391" spans="1:19" ht="15.75" customHeight="1" x14ac:dyDescent="0.25">
      <c r="A391" s="244"/>
      <c r="C391" s="263"/>
      <c r="D391" s="264"/>
      <c r="E391" s="244"/>
      <c r="F391" s="244"/>
      <c r="G391" s="244"/>
      <c r="H391" s="244"/>
      <c r="K391" s="440"/>
      <c r="S391" s="244"/>
    </row>
    <row r="392" spans="1:19" ht="15.75" customHeight="1" x14ac:dyDescent="0.25">
      <c r="A392" s="244"/>
      <c r="C392" s="263"/>
      <c r="D392" s="264"/>
      <c r="E392" s="244"/>
      <c r="F392" s="244"/>
      <c r="G392" s="244"/>
      <c r="H392" s="244"/>
      <c r="K392" s="440"/>
      <c r="S392" s="244"/>
    </row>
    <row r="393" spans="1:19" ht="15.75" customHeight="1" x14ac:dyDescent="0.25">
      <c r="A393" s="244"/>
      <c r="C393" s="263"/>
      <c r="D393" s="264"/>
      <c r="E393" s="244"/>
      <c r="F393" s="244"/>
      <c r="G393" s="244"/>
      <c r="H393" s="244"/>
      <c r="K393" s="440"/>
      <c r="S393" s="244"/>
    </row>
    <row r="394" spans="1:19" ht="15.75" customHeight="1" x14ac:dyDescent="0.25">
      <c r="A394" s="244"/>
      <c r="C394" s="263"/>
      <c r="D394" s="264"/>
      <c r="E394" s="244"/>
      <c r="F394" s="244"/>
      <c r="G394" s="244"/>
      <c r="H394" s="244"/>
      <c r="K394" s="440"/>
      <c r="S394" s="244"/>
    </row>
    <row r="395" spans="1:19" ht="15.75" customHeight="1" x14ac:dyDescent="0.25">
      <c r="A395" s="244"/>
      <c r="C395" s="263"/>
      <c r="D395" s="264"/>
      <c r="E395" s="244"/>
      <c r="F395" s="244"/>
      <c r="G395" s="244"/>
      <c r="H395" s="244"/>
      <c r="K395" s="440"/>
      <c r="S395" s="244"/>
    </row>
    <row r="396" spans="1:19" ht="15.75" customHeight="1" x14ac:dyDescent="0.25">
      <c r="A396" s="244"/>
      <c r="C396" s="263"/>
      <c r="D396" s="264"/>
      <c r="E396" s="244"/>
      <c r="F396" s="244"/>
      <c r="G396" s="244"/>
      <c r="H396" s="244"/>
      <c r="K396" s="440"/>
      <c r="S396" s="244"/>
    </row>
    <row r="397" spans="1:19" ht="15.75" customHeight="1" x14ac:dyDescent="0.25">
      <c r="A397" s="244"/>
      <c r="C397" s="263"/>
      <c r="D397" s="264"/>
      <c r="E397" s="244"/>
      <c r="F397" s="244"/>
      <c r="G397" s="244"/>
      <c r="H397" s="244"/>
      <c r="K397" s="440"/>
      <c r="S397" s="244"/>
    </row>
    <row r="398" spans="1:19" ht="15.75" customHeight="1" x14ac:dyDescent="0.25">
      <c r="A398" s="244"/>
      <c r="C398" s="263"/>
      <c r="D398" s="264"/>
      <c r="E398" s="244"/>
      <c r="F398" s="244"/>
      <c r="G398" s="244"/>
      <c r="H398" s="244"/>
      <c r="K398" s="440"/>
      <c r="S398" s="244"/>
    </row>
    <row r="399" spans="1:19" ht="15.75" customHeight="1" x14ac:dyDescent="0.25">
      <c r="A399" s="244"/>
      <c r="C399" s="263"/>
      <c r="D399" s="264"/>
      <c r="E399" s="244"/>
      <c r="F399" s="244"/>
      <c r="G399" s="244"/>
      <c r="H399" s="244"/>
      <c r="K399" s="440"/>
      <c r="S399" s="244"/>
    </row>
    <row r="400" spans="1:19" ht="15.75" customHeight="1" x14ac:dyDescent="0.25">
      <c r="A400" s="244"/>
      <c r="C400" s="263"/>
      <c r="D400" s="264"/>
      <c r="E400" s="244"/>
      <c r="F400" s="244"/>
      <c r="G400" s="244"/>
      <c r="H400" s="244"/>
      <c r="K400" s="440"/>
      <c r="S400" s="244"/>
    </row>
    <row r="401" spans="1:19" ht="15.75" customHeight="1" x14ac:dyDescent="0.25">
      <c r="A401" s="244"/>
      <c r="C401" s="263"/>
      <c r="D401" s="264"/>
      <c r="E401" s="244"/>
      <c r="F401" s="244"/>
      <c r="G401" s="244"/>
      <c r="H401" s="244"/>
      <c r="K401" s="440"/>
      <c r="S401" s="244"/>
    </row>
    <row r="402" spans="1:19" ht="15.75" customHeight="1" x14ac:dyDescent="0.25">
      <c r="A402" s="244"/>
      <c r="C402" s="263"/>
      <c r="D402" s="264"/>
      <c r="E402" s="244"/>
      <c r="F402" s="244"/>
      <c r="G402" s="244"/>
      <c r="H402" s="244"/>
      <c r="K402" s="440"/>
      <c r="S402" s="244"/>
    </row>
    <row r="403" spans="1:19" ht="15.75" customHeight="1" x14ac:dyDescent="0.25">
      <c r="A403" s="244"/>
      <c r="C403" s="263"/>
      <c r="D403" s="264"/>
      <c r="E403" s="244"/>
      <c r="F403" s="244"/>
      <c r="G403" s="244"/>
      <c r="H403" s="244"/>
      <c r="K403" s="440"/>
      <c r="S403" s="244"/>
    </row>
    <row r="404" spans="1:19" ht="15.75" customHeight="1" x14ac:dyDescent="0.25">
      <c r="A404" s="244"/>
      <c r="C404" s="263"/>
      <c r="D404" s="264"/>
      <c r="E404" s="244"/>
      <c r="F404" s="244"/>
      <c r="G404" s="244"/>
      <c r="H404" s="244"/>
      <c r="K404" s="440"/>
      <c r="S404" s="244"/>
    </row>
    <row r="405" spans="1:19" ht="15.75" customHeight="1" x14ac:dyDescent="0.25">
      <c r="A405" s="244"/>
      <c r="C405" s="263"/>
      <c r="D405" s="264"/>
      <c r="E405" s="244"/>
      <c r="F405" s="244"/>
      <c r="G405" s="244"/>
      <c r="H405" s="244"/>
      <c r="K405" s="440"/>
      <c r="S405" s="244"/>
    </row>
    <row r="406" spans="1:19" ht="15.75" customHeight="1" x14ac:dyDescent="0.25">
      <c r="A406" s="244"/>
      <c r="C406" s="263"/>
      <c r="D406" s="264"/>
      <c r="E406" s="244"/>
      <c r="F406" s="244"/>
      <c r="G406" s="244"/>
      <c r="H406" s="244"/>
      <c r="K406" s="440"/>
      <c r="S406" s="244"/>
    </row>
    <row r="407" spans="1:19" ht="15.75" customHeight="1" x14ac:dyDescent="0.25">
      <c r="A407" s="244"/>
      <c r="C407" s="263"/>
      <c r="D407" s="264"/>
      <c r="E407" s="244"/>
      <c r="F407" s="244"/>
      <c r="G407" s="244"/>
      <c r="H407" s="244"/>
      <c r="K407" s="440"/>
      <c r="S407" s="244"/>
    </row>
    <row r="408" spans="1:19" ht="15.75" customHeight="1" x14ac:dyDescent="0.25">
      <c r="A408" s="244"/>
      <c r="C408" s="263"/>
      <c r="D408" s="264"/>
      <c r="E408" s="244"/>
      <c r="F408" s="244"/>
      <c r="G408" s="244"/>
      <c r="H408" s="244"/>
      <c r="K408" s="440"/>
      <c r="S408" s="244"/>
    </row>
    <row r="409" spans="1:19" ht="15.75" customHeight="1" x14ac:dyDescent="0.25">
      <c r="A409" s="244"/>
      <c r="C409" s="263"/>
      <c r="D409" s="264"/>
      <c r="E409" s="244"/>
      <c r="F409" s="244"/>
      <c r="G409" s="244"/>
      <c r="H409" s="244"/>
      <c r="K409" s="440"/>
      <c r="S409" s="244"/>
    </row>
    <row r="410" spans="1:19" ht="15.75" customHeight="1" x14ac:dyDescent="0.25">
      <c r="A410" s="244"/>
      <c r="C410" s="263"/>
      <c r="D410" s="264"/>
      <c r="E410" s="244"/>
      <c r="F410" s="244"/>
      <c r="G410" s="244"/>
      <c r="H410" s="244"/>
      <c r="K410" s="440"/>
      <c r="S410" s="244"/>
    </row>
    <row r="411" spans="1:19" ht="15.75" customHeight="1" x14ac:dyDescent="0.25">
      <c r="A411" s="244"/>
      <c r="C411" s="263"/>
      <c r="D411" s="264"/>
      <c r="E411" s="244"/>
      <c r="F411" s="244"/>
      <c r="G411" s="244"/>
      <c r="H411" s="244"/>
      <c r="K411" s="440"/>
      <c r="S411" s="244"/>
    </row>
    <row r="412" spans="1:19" ht="15.75" customHeight="1" x14ac:dyDescent="0.25">
      <c r="A412" s="244"/>
      <c r="C412" s="263"/>
      <c r="D412" s="264"/>
      <c r="E412" s="244"/>
      <c r="F412" s="244"/>
      <c r="G412" s="244"/>
      <c r="H412" s="244"/>
      <c r="K412" s="440"/>
      <c r="S412" s="244"/>
    </row>
    <row r="413" spans="1:19" ht="15.75" customHeight="1" x14ac:dyDescent="0.25">
      <c r="A413" s="244"/>
      <c r="C413" s="263"/>
      <c r="D413" s="264"/>
      <c r="E413" s="244"/>
      <c r="F413" s="244"/>
      <c r="G413" s="244"/>
      <c r="H413" s="244"/>
      <c r="K413" s="440"/>
      <c r="S413" s="244"/>
    </row>
    <row r="414" spans="1:19" ht="15.75" customHeight="1" x14ac:dyDescent="0.25">
      <c r="A414" s="244"/>
      <c r="C414" s="263"/>
      <c r="D414" s="264"/>
      <c r="E414" s="244"/>
      <c r="F414" s="244"/>
      <c r="G414" s="244"/>
      <c r="H414" s="244"/>
      <c r="K414" s="440"/>
      <c r="S414" s="244"/>
    </row>
    <row r="415" spans="1:19" ht="15.75" customHeight="1" x14ac:dyDescent="0.25">
      <c r="A415" s="244"/>
      <c r="C415" s="263"/>
      <c r="D415" s="264"/>
      <c r="E415" s="244"/>
      <c r="F415" s="244"/>
      <c r="G415" s="244"/>
      <c r="H415" s="244"/>
      <c r="K415" s="440"/>
      <c r="S415" s="244"/>
    </row>
    <row r="416" spans="1:19" ht="15.75" customHeight="1" x14ac:dyDescent="0.25">
      <c r="A416" s="244"/>
      <c r="C416" s="263"/>
      <c r="D416" s="264"/>
      <c r="E416" s="244"/>
      <c r="F416" s="244"/>
      <c r="G416" s="244"/>
      <c r="H416" s="244"/>
      <c r="K416" s="440"/>
      <c r="S416" s="244"/>
    </row>
    <row r="417" spans="1:19" ht="15.75" customHeight="1" x14ac:dyDescent="0.25">
      <c r="A417" s="244"/>
      <c r="C417" s="263"/>
      <c r="D417" s="264"/>
      <c r="E417" s="244"/>
      <c r="F417" s="244"/>
      <c r="G417" s="244"/>
      <c r="H417" s="244"/>
      <c r="K417" s="440"/>
      <c r="S417" s="244"/>
    </row>
    <row r="418" spans="1:19" ht="15.75" customHeight="1" x14ac:dyDescent="0.25">
      <c r="A418" s="244"/>
      <c r="C418" s="263"/>
      <c r="D418" s="264"/>
      <c r="E418" s="244"/>
      <c r="F418" s="244"/>
      <c r="G418" s="244"/>
      <c r="H418" s="244"/>
      <c r="K418" s="440"/>
      <c r="S418" s="244"/>
    </row>
    <row r="419" spans="1:19" ht="15.75" customHeight="1" x14ac:dyDescent="0.25">
      <c r="A419" s="244"/>
      <c r="C419" s="263"/>
      <c r="D419" s="264"/>
      <c r="E419" s="244"/>
      <c r="F419" s="244"/>
      <c r="G419" s="244"/>
      <c r="H419" s="244"/>
      <c r="K419" s="440"/>
      <c r="S419" s="244"/>
    </row>
    <row r="420" spans="1:19" ht="15.75" customHeight="1" x14ac:dyDescent="0.25">
      <c r="A420" s="244"/>
      <c r="C420" s="263"/>
      <c r="D420" s="264"/>
      <c r="E420" s="244"/>
      <c r="F420" s="244"/>
      <c r="G420" s="244"/>
      <c r="H420" s="244"/>
      <c r="K420" s="440"/>
      <c r="S420" s="244"/>
    </row>
    <row r="421" spans="1:19" ht="15.75" customHeight="1" x14ac:dyDescent="0.25">
      <c r="A421" s="244"/>
      <c r="C421" s="263"/>
      <c r="D421" s="264"/>
      <c r="E421" s="244"/>
      <c r="F421" s="244"/>
      <c r="G421" s="244"/>
      <c r="H421" s="244"/>
      <c r="K421" s="440"/>
      <c r="S421" s="244"/>
    </row>
    <row r="422" spans="1:19" ht="15.75" customHeight="1" x14ac:dyDescent="0.25">
      <c r="A422" s="244"/>
      <c r="C422" s="263"/>
      <c r="D422" s="264"/>
      <c r="E422" s="244"/>
      <c r="F422" s="244"/>
      <c r="G422" s="244"/>
      <c r="H422" s="244"/>
      <c r="K422" s="440"/>
      <c r="S422" s="244"/>
    </row>
    <row r="423" spans="1:19" ht="15.75" customHeight="1" x14ac:dyDescent="0.25">
      <c r="A423" s="244"/>
      <c r="C423" s="263"/>
      <c r="D423" s="264"/>
      <c r="E423" s="244"/>
      <c r="F423" s="244"/>
      <c r="G423" s="244"/>
      <c r="H423" s="244"/>
      <c r="K423" s="440"/>
      <c r="S423" s="244"/>
    </row>
    <row r="424" spans="1:19" ht="15.75" customHeight="1" x14ac:dyDescent="0.25">
      <c r="A424" s="244"/>
      <c r="C424" s="263"/>
      <c r="D424" s="264"/>
      <c r="E424" s="244"/>
      <c r="F424" s="244"/>
      <c r="G424" s="244"/>
      <c r="H424" s="244"/>
      <c r="K424" s="440"/>
      <c r="S424" s="244"/>
    </row>
    <row r="425" spans="1:19" ht="15.75" customHeight="1" x14ac:dyDescent="0.25">
      <c r="A425" s="244"/>
      <c r="C425" s="263"/>
      <c r="D425" s="264"/>
      <c r="E425" s="244"/>
      <c r="F425" s="244"/>
      <c r="G425" s="244"/>
      <c r="H425" s="244"/>
      <c r="K425" s="440"/>
      <c r="S425" s="244"/>
    </row>
    <row r="426" spans="1:19" ht="15.75" customHeight="1" x14ac:dyDescent="0.25">
      <c r="A426" s="244"/>
      <c r="C426" s="263"/>
      <c r="D426" s="264"/>
      <c r="E426" s="244"/>
      <c r="F426" s="244"/>
      <c r="G426" s="244"/>
      <c r="H426" s="244"/>
      <c r="K426" s="440"/>
      <c r="S426" s="244"/>
    </row>
    <row r="427" spans="1:19" ht="15.75" customHeight="1" x14ac:dyDescent="0.25">
      <c r="A427" s="244"/>
      <c r="C427" s="263"/>
      <c r="D427" s="264"/>
      <c r="E427" s="244"/>
      <c r="F427" s="244"/>
      <c r="G427" s="244"/>
      <c r="H427" s="244"/>
      <c r="K427" s="440"/>
      <c r="S427" s="244"/>
    </row>
    <row r="428" spans="1:19" ht="15.75" customHeight="1" x14ac:dyDescent="0.25">
      <c r="A428" s="244"/>
      <c r="C428" s="263"/>
      <c r="D428" s="264"/>
      <c r="E428" s="244"/>
      <c r="F428" s="244"/>
      <c r="G428" s="244"/>
      <c r="H428" s="244"/>
      <c r="K428" s="440"/>
      <c r="S428" s="244"/>
    </row>
    <row r="429" spans="1:19" ht="15.75" customHeight="1" x14ac:dyDescent="0.25">
      <c r="A429" s="244"/>
      <c r="C429" s="263"/>
      <c r="D429" s="264"/>
      <c r="E429" s="244"/>
      <c r="F429" s="244"/>
      <c r="G429" s="244"/>
      <c r="H429" s="244"/>
      <c r="K429" s="440"/>
      <c r="S429" s="244"/>
    </row>
    <row r="430" spans="1:19" ht="15.75" customHeight="1" x14ac:dyDescent="0.25">
      <c r="A430" s="244"/>
      <c r="C430" s="263"/>
      <c r="D430" s="264"/>
      <c r="E430" s="244"/>
      <c r="F430" s="244"/>
      <c r="G430" s="244"/>
      <c r="H430" s="244"/>
      <c r="K430" s="440"/>
      <c r="S430" s="244"/>
    </row>
    <row r="431" spans="1:19" ht="15.75" customHeight="1" x14ac:dyDescent="0.25">
      <c r="A431" s="244"/>
      <c r="C431" s="263"/>
      <c r="D431" s="264"/>
      <c r="E431" s="244"/>
      <c r="F431" s="244"/>
      <c r="G431" s="244"/>
      <c r="H431" s="244"/>
      <c r="K431" s="440"/>
      <c r="S431" s="244"/>
    </row>
    <row r="432" spans="1:19" ht="15.75" customHeight="1" x14ac:dyDescent="0.25">
      <c r="A432" s="244"/>
      <c r="C432" s="263"/>
      <c r="D432" s="264"/>
      <c r="E432" s="244"/>
      <c r="F432" s="244"/>
      <c r="G432" s="244"/>
      <c r="H432" s="244"/>
      <c r="K432" s="440"/>
      <c r="S432" s="244"/>
    </row>
    <row r="433" spans="1:19" ht="15.75" customHeight="1" x14ac:dyDescent="0.25">
      <c r="A433" s="244"/>
      <c r="C433" s="263"/>
      <c r="D433" s="264"/>
      <c r="E433" s="244"/>
      <c r="F433" s="244"/>
      <c r="G433" s="244"/>
      <c r="H433" s="244"/>
      <c r="K433" s="440"/>
      <c r="S433" s="244"/>
    </row>
    <row r="434" spans="1:19" ht="15.75" customHeight="1" x14ac:dyDescent="0.25">
      <c r="A434" s="244"/>
      <c r="C434" s="263"/>
      <c r="D434" s="264"/>
      <c r="E434" s="244"/>
      <c r="F434" s="244"/>
      <c r="G434" s="244"/>
      <c r="H434" s="244"/>
      <c r="K434" s="440"/>
      <c r="S434" s="244"/>
    </row>
    <row r="435" spans="1:19" ht="15.75" customHeight="1" x14ac:dyDescent="0.25">
      <c r="A435" s="244"/>
      <c r="C435" s="263"/>
      <c r="D435" s="264"/>
      <c r="E435" s="244"/>
      <c r="F435" s="244"/>
      <c r="G435" s="244"/>
      <c r="H435" s="244"/>
      <c r="K435" s="440"/>
      <c r="S435" s="244"/>
    </row>
    <row r="436" spans="1:19" ht="15.75" customHeight="1" x14ac:dyDescent="0.25">
      <c r="A436" s="244"/>
      <c r="C436" s="263"/>
      <c r="D436" s="264"/>
      <c r="E436" s="244"/>
      <c r="F436" s="244"/>
      <c r="G436" s="244"/>
      <c r="H436" s="244"/>
      <c r="K436" s="440"/>
      <c r="S436" s="244"/>
    </row>
    <row r="437" spans="1:19" ht="15.75" customHeight="1" x14ac:dyDescent="0.25">
      <c r="A437" s="244"/>
      <c r="C437" s="263"/>
      <c r="D437" s="264"/>
      <c r="E437" s="244"/>
      <c r="F437" s="244"/>
      <c r="G437" s="244"/>
      <c r="H437" s="244"/>
      <c r="K437" s="440"/>
      <c r="S437" s="244"/>
    </row>
    <row r="438" spans="1:19" ht="15.75" customHeight="1" x14ac:dyDescent="0.25">
      <c r="A438" s="244"/>
      <c r="C438" s="263"/>
      <c r="D438" s="264"/>
      <c r="E438" s="244"/>
      <c r="F438" s="244"/>
      <c r="G438" s="244"/>
      <c r="H438" s="244"/>
      <c r="K438" s="440"/>
      <c r="S438" s="244"/>
    </row>
    <row r="439" spans="1:19" ht="15.75" customHeight="1" x14ac:dyDescent="0.25">
      <c r="A439" s="244"/>
      <c r="C439" s="263"/>
      <c r="D439" s="264"/>
      <c r="E439" s="244"/>
      <c r="F439" s="244"/>
      <c r="G439" s="244"/>
      <c r="H439" s="244"/>
      <c r="K439" s="440"/>
      <c r="S439" s="244"/>
    </row>
    <row r="440" spans="1:19" ht="15.75" customHeight="1" x14ac:dyDescent="0.25">
      <c r="A440" s="244"/>
      <c r="C440" s="263"/>
      <c r="D440" s="264"/>
      <c r="E440" s="244"/>
      <c r="F440" s="244"/>
      <c r="G440" s="244"/>
      <c r="H440" s="244"/>
      <c r="K440" s="440"/>
      <c r="S440" s="244"/>
    </row>
    <row r="441" spans="1:19" ht="15.75" customHeight="1" x14ac:dyDescent="0.25">
      <c r="A441" s="244"/>
      <c r="C441" s="263"/>
      <c r="D441" s="264"/>
      <c r="E441" s="244"/>
      <c r="F441" s="244"/>
      <c r="G441" s="244"/>
      <c r="H441" s="244"/>
      <c r="K441" s="440"/>
      <c r="S441" s="244"/>
    </row>
    <row r="442" spans="1:19" ht="15.75" customHeight="1" x14ac:dyDescent="0.25">
      <c r="A442" s="244"/>
      <c r="C442" s="263"/>
      <c r="D442" s="264"/>
      <c r="E442" s="244"/>
      <c r="F442" s="244"/>
      <c r="G442" s="244"/>
      <c r="H442" s="244"/>
      <c r="K442" s="440"/>
      <c r="S442" s="244"/>
    </row>
    <row r="443" spans="1:19" ht="15.75" customHeight="1" x14ac:dyDescent="0.25">
      <c r="A443" s="244"/>
      <c r="C443" s="263"/>
      <c r="D443" s="264"/>
      <c r="E443" s="244"/>
      <c r="F443" s="244"/>
      <c r="G443" s="244"/>
      <c r="H443" s="244"/>
      <c r="K443" s="440"/>
      <c r="S443" s="244"/>
    </row>
    <row r="444" spans="1:19" ht="15.75" customHeight="1" x14ac:dyDescent="0.25">
      <c r="A444" s="244"/>
      <c r="C444" s="263"/>
      <c r="D444" s="264"/>
      <c r="E444" s="244"/>
      <c r="F444" s="244"/>
      <c r="G444" s="244"/>
      <c r="H444" s="244"/>
      <c r="K444" s="440"/>
      <c r="S444" s="244"/>
    </row>
    <row r="445" spans="1:19" ht="15.75" customHeight="1" x14ac:dyDescent="0.25">
      <c r="A445" s="244"/>
      <c r="C445" s="263"/>
      <c r="D445" s="264"/>
      <c r="E445" s="244"/>
      <c r="F445" s="244"/>
      <c r="G445" s="244"/>
      <c r="H445" s="244"/>
      <c r="K445" s="440"/>
      <c r="S445" s="244"/>
    </row>
    <row r="446" spans="1:19" ht="15.75" customHeight="1" x14ac:dyDescent="0.25">
      <c r="A446" s="244"/>
      <c r="C446" s="263"/>
      <c r="D446" s="264"/>
      <c r="E446" s="244"/>
      <c r="F446" s="244"/>
      <c r="G446" s="244"/>
      <c r="H446" s="244"/>
      <c r="K446" s="440"/>
      <c r="S446" s="244"/>
    </row>
    <row r="447" spans="1:19" ht="15.75" customHeight="1" x14ac:dyDescent="0.25">
      <c r="A447" s="244"/>
      <c r="C447" s="263"/>
      <c r="D447" s="264"/>
      <c r="E447" s="244"/>
      <c r="F447" s="244"/>
      <c r="G447" s="244"/>
      <c r="H447" s="244"/>
      <c r="K447" s="440"/>
      <c r="S447" s="244"/>
    </row>
    <row r="448" spans="1:19" ht="15.75" customHeight="1" x14ac:dyDescent="0.25">
      <c r="A448" s="244"/>
      <c r="C448" s="263"/>
      <c r="D448" s="264"/>
      <c r="E448" s="244"/>
      <c r="F448" s="244"/>
      <c r="G448" s="244"/>
      <c r="H448" s="244"/>
      <c r="K448" s="440"/>
      <c r="S448" s="244"/>
    </row>
    <row r="449" spans="1:19" ht="15.75" customHeight="1" x14ac:dyDescent="0.25">
      <c r="A449" s="244"/>
      <c r="C449" s="263"/>
      <c r="D449" s="264"/>
      <c r="E449" s="244"/>
      <c r="F449" s="244"/>
      <c r="G449" s="244"/>
      <c r="H449" s="244"/>
      <c r="K449" s="440"/>
      <c r="S449" s="244"/>
    </row>
    <row r="450" spans="1:19" ht="15.75" customHeight="1" x14ac:dyDescent="0.25">
      <c r="A450" s="244"/>
      <c r="C450" s="263"/>
      <c r="D450" s="264"/>
      <c r="E450" s="244"/>
      <c r="F450" s="244"/>
      <c r="G450" s="244"/>
      <c r="H450" s="244"/>
      <c r="K450" s="440"/>
      <c r="S450" s="244"/>
    </row>
    <row r="451" spans="1:19" ht="15.75" customHeight="1" x14ac:dyDescent="0.25">
      <c r="A451" s="244"/>
      <c r="C451" s="263"/>
      <c r="D451" s="264"/>
      <c r="E451" s="244"/>
      <c r="F451" s="244"/>
      <c r="G451" s="244"/>
      <c r="H451" s="244"/>
      <c r="K451" s="440"/>
      <c r="S451" s="244"/>
    </row>
    <row r="452" spans="1:19" ht="15.75" customHeight="1" x14ac:dyDescent="0.25">
      <c r="A452" s="244"/>
      <c r="C452" s="263"/>
      <c r="D452" s="264"/>
      <c r="E452" s="244"/>
      <c r="F452" s="244"/>
      <c r="G452" s="244"/>
      <c r="H452" s="244"/>
      <c r="K452" s="440"/>
      <c r="S452" s="244"/>
    </row>
    <row r="453" spans="1:19" ht="15.75" customHeight="1" x14ac:dyDescent="0.25">
      <c r="A453" s="244"/>
      <c r="C453" s="263"/>
      <c r="D453" s="264"/>
      <c r="E453" s="244"/>
      <c r="F453" s="244"/>
      <c r="G453" s="244"/>
      <c r="H453" s="244"/>
      <c r="K453" s="440"/>
      <c r="S453" s="244"/>
    </row>
    <row r="454" spans="1:19" ht="15.75" customHeight="1" x14ac:dyDescent="0.25">
      <c r="A454" s="244"/>
      <c r="C454" s="263"/>
      <c r="D454" s="264"/>
      <c r="E454" s="244"/>
      <c r="F454" s="244"/>
      <c r="G454" s="244"/>
      <c r="H454" s="244"/>
      <c r="K454" s="440"/>
      <c r="S454" s="244"/>
    </row>
    <row r="455" spans="1:19" ht="15.75" customHeight="1" x14ac:dyDescent="0.25">
      <c r="A455" s="244"/>
      <c r="C455" s="263"/>
      <c r="D455" s="264"/>
      <c r="E455" s="244"/>
      <c r="F455" s="244"/>
      <c r="G455" s="244"/>
      <c r="H455" s="244"/>
      <c r="K455" s="440"/>
      <c r="S455" s="244"/>
    </row>
    <row r="456" spans="1:19" ht="15.75" customHeight="1" x14ac:dyDescent="0.25">
      <c r="A456" s="244"/>
      <c r="C456" s="263"/>
      <c r="D456" s="264"/>
      <c r="E456" s="244"/>
      <c r="F456" s="244"/>
      <c r="G456" s="244"/>
      <c r="H456" s="244"/>
      <c r="K456" s="440"/>
      <c r="S456" s="244"/>
    </row>
    <row r="457" spans="1:19" ht="15.75" customHeight="1" x14ac:dyDescent="0.25">
      <c r="A457" s="244"/>
      <c r="C457" s="263"/>
      <c r="D457" s="264"/>
      <c r="E457" s="244"/>
      <c r="F457" s="244"/>
      <c r="G457" s="244"/>
      <c r="H457" s="244"/>
      <c r="K457" s="440"/>
      <c r="S457" s="244"/>
    </row>
    <row r="458" spans="1:19" ht="15.75" customHeight="1" x14ac:dyDescent="0.25">
      <c r="A458" s="244"/>
      <c r="C458" s="263"/>
      <c r="D458" s="264"/>
      <c r="E458" s="244"/>
      <c r="F458" s="244"/>
      <c r="G458" s="244"/>
      <c r="H458" s="244"/>
      <c r="K458" s="440"/>
      <c r="S458" s="244"/>
    </row>
    <row r="459" spans="1:19" ht="15.75" customHeight="1" x14ac:dyDescent="0.25">
      <c r="A459" s="244"/>
      <c r="C459" s="263"/>
      <c r="D459" s="264"/>
      <c r="E459" s="244"/>
      <c r="F459" s="244"/>
      <c r="G459" s="244"/>
      <c r="H459" s="244"/>
      <c r="K459" s="440"/>
      <c r="S459" s="244"/>
    </row>
    <row r="460" spans="1:19" ht="15.75" customHeight="1" x14ac:dyDescent="0.25">
      <c r="A460" s="244"/>
      <c r="C460" s="263"/>
      <c r="D460" s="264"/>
      <c r="E460" s="244"/>
      <c r="F460" s="244"/>
      <c r="G460" s="244"/>
      <c r="H460" s="244"/>
      <c r="K460" s="440"/>
      <c r="S460" s="244"/>
    </row>
    <row r="461" spans="1:19" ht="15.75" customHeight="1" x14ac:dyDescent="0.25">
      <c r="A461" s="244"/>
      <c r="C461" s="263"/>
      <c r="D461" s="264"/>
      <c r="E461" s="244"/>
      <c r="F461" s="244"/>
      <c r="G461" s="244"/>
      <c r="H461" s="244"/>
      <c r="K461" s="440"/>
      <c r="S461" s="244"/>
    </row>
    <row r="462" spans="1:19" ht="15.75" customHeight="1" x14ac:dyDescent="0.25">
      <c r="A462" s="244"/>
      <c r="C462" s="263"/>
      <c r="D462" s="264"/>
      <c r="E462" s="244"/>
      <c r="F462" s="244"/>
      <c r="G462" s="244"/>
      <c r="H462" s="244"/>
      <c r="K462" s="440"/>
      <c r="S462" s="244"/>
    </row>
    <row r="463" spans="1:19" ht="15.75" customHeight="1" x14ac:dyDescent="0.25">
      <c r="A463" s="244"/>
      <c r="C463" s="263"/>
      <c r="D463" s="264"/>
      <c r="E463" s="244"/>
      <c r="F463" s="244"/>
      <c r="G463" s="244"/>
      <c r="H463" s="244"/>
      <c r="K463" s="440"/>
      <c r="S463" s="244"/>
    </row>
    <row r="464" spans="1:19" ht="15.75" customHeight="1" x14ac:dyDescent="0.25">
      <c r="A464" s="244"/>
      <c r="C464" s="263"/>
      <c r="D464" s="264"/>
      <c r="E464" s="244"/>
      <c r="F464" s="244"/>
      <c r="G464" s="244"/>
      <c r="H464" s="244"/>
      <c r="K464" s="440"/>
      <c r="S464" s="244"/>
    </row>
    <row r="465" spans="1:19" ht="15.75" customHeight="1" x14ac:dyDescent="0.25">
      <c r="A465" s="244"/>
      <c r="C465" s="263"/>
      <c r="D465" s="264"/>
      <c r="E465" s="244"/>
      <c r="F465" s="244"/>
      <c r="G465" s="244"/>
      <c r="H465" s="244"/>
      <c r="K465" s="440"/>
      <c r="S465" s="244"/>
    </row>
    <row r="466" spans="1:19" ht="15.75" customHeight="1" x14ac:dyDescent="0.25">
      <c r="A466" s="244"/>
      <c r="C466" s="263"/>
      <c r="D466" s="264"/>
      <c r="E466" s="244"/>
      <c r="F466" s="244"/>
      <c r="G466" s="244"/>
      <c r="H466" s="244"/>
      <c r="K466" s="440"/>
      <c r="S466" s="244"/>
    </row>
    <row r="467" spans="1:19" ht="15.75" customHeight="1" x14ac:dyDescent="0.25">
      <c r="A467" s="244"/>
      <c r="C467" s="263"/>
      <c r="D467" s="264"/>
      <c r="E467" s="244"/>
      <c r="F467" s="244"/>
      <c r="G467" s="244"/>
      <c r="H467" s="244"/>
      <c r="K467" s="440"/>
      <c r="S467" s="244"/>
    </row>
    <row r="468" spans="1:19" ht="15.75" customHeight="1" x14ac:dyDescent="0.25">
      <c r="A468" s="244"/>
      <c r="C468" s="263"/>
      <c r="D468" s="264"/>
      <c r="E468" s="244"/>
      <c r="F468" s="244"/>
      <c r="G468" s="244"/>
      <c r="H468" s="244"/>
      <c r="K468" s="440"/>
      <c r="S468" s="244"/>
    </row>
    <row r="469" spans="1:19" ht="15.75" customHeight="1" x14ac:dyDescent="0.25">
      <c r="A469" s="244"/>
      <c r="C469" s="263"/>
      <c r="D469" s="264"/>
      <c r="E469" s="244"/>
      <c r="F469" s="244"/>
      <c r="G469" s="244"/>
      <c r="H469" s="244"/>
      <c r="K469" s="440"/>
      <c r="S469" s="244"/>
    </row>
    <row r="470" spans="1:19" ht="15.75" customHeight="1" x14ac:dyDescent="0.25">
      <c r="A470" s="244"/>
      <c r="C470" s="263"/>
      <c r="D470" s="264"/>
      <c r="E470" s="244"/>
      <c r="F470" s="244"/>
      <c r="G470" s="244"/>
      <c r="H470" s="244"/>
      <c r="K470" s="440"/>
      <c r="S470" s="244"/>
    </row>
    <row r="471" spans="1:19" ht="15.75" customHeight="1" x14ac:dyDescent="0.25">
      <c r="A471" s="244"/>
      <c r="C471" s="263"/>
      <c r="D471" s="264"/>
      <c r="E471" s="244"/>
      <c r="F471" s="244"/>
      <c r="G471" s="244"/>
      <c r="H471" s="244"/>
      <c r="K471" s="440"/>
      <c r="S471" s="244"/>
    </row>
    <row r="472" spans="1:19" ht="15.75" customHeight="1" x14ac:dyDescent="0.25">
      <c r="A472" s="244"/>
      <c r="C472" s="263"/>
      <c r="D472" s="264"/>
      <c r="E472" s="244"/>
      <c r="F472" s="244"/>
      <c r="G472" s="244"/>
      <c r="H472" s="244"/>
      <c r="K472" s="440"/>
      <c r="S472" s="244"/>
    </row>
    <row r="473" spans="1:19" ht="15.75" customHeight="1" x14ac:dyDescent="0.25">
      <c r="A473" s="244"/>
      <c r="C473" s="263"/>
      <c r="D473" s="264"/>
      <c r="E473" s="244"/>
      <c r="F473" s="244"/>
      <c r="G473" s="244"/>
      <c r="H473" s="244"/>
      <c r="K473" s="440"/>
      <c r="S473" s="244"/>
    </row>
    <row r="474" spans="1:19" ht="15.75" customHeight="1" x14ac:dyDescent="0.25">
      <c r="A474" s="244"/>
      <c r="C474" s="263"/>
      <c r="D474" s="264"/>
      <c r="E474" s="244"/>
      <c r="F474" s="244"/>
      <c r="G474" s="244"/>
      <c r="H474" s="244"/>
      <c r="K474" s="440"/>
      <c r="S474" s="244"/>
    </row>
    <row r="475" spans="1:19" ht="15.75" customHeight="1" x14ac:dyDescent="0.25">
      <c r="A475" s="244"/>
      <c r="C475" s="263"/>
      <c r="D475" s="264"/>
      <c r="E475" s="244"/>
      <c r="F475" s="244"/>
      <c r="G475" s="244"/>
      <c r="H475" s="244"/>
      <c r="K475" s="440"/>
      <c r="S475" s="244"/>
    </row>
    <row r="476" spans="1:19" ht="15.75" customHeight="1" x14ac:dyDescent="0.25">
      <c r="A476" s="244"/>
      <c r="C476" s="263"/>
      <c r="D476" s="264"/>
      <c r="E476" s="244"/>
      <c r="F476" s="244"/>
      <c r="G476" s="244"/>
      <c r="H476" s="244"/>
      <c r="K476" s="440"/>
      <c r="S476" s="244"/>
    </row>
    <row r="477" spans="1:19" ht="15.75" customHeight="1" x14ac:dyDescent="0.25">
      <c r="A477" s="244"/>
      <c r="C477" s="263"/>
      <c r="D477" s="264"/>
      <c r="E477" s="244"/>
      <c r="F477" s="244"/>
      <c r="G477" s="244"/>
      <c r="H477" s="244"/>
      <c r="K477" s="440"/>
      <c r="S477" s="244"/>
    </row>
    <row r="478" spans="1:19" ht="15.75" customHeight="1" x14ac:dyDescent="0.25">
      <c r="A478" s="244"/>
      <c r="C478" s="263"/>
      <c r="D478" s="264"/>
      <c r="E478" s="244"/>
      <c r="F478" s="244"/>
      <c r="G478" s="244"/>
      <c r="H478" s="244"/>
      <c r="K478" s="440"/>
      <c r="S478" s="244"/>
    </row>
    <row r="479" spans="1:19" ht="15.75" customHeight="1" x14ac:dyDescent="0.25">
      <c r="A479" s="244"/>
      <c r="C479" s="263"/>
      <c r="D479" s="264"/>
      <c r="E479" s="244"/>
      <c r="F479" s="244"/>
      <c r="G479" s="244"/>
      <c r="H479" s="244"/>
      <c r="K479" s="440"/>
      <c r="S479" s="244"/>
    </row>
    <row r="480" spans="1:19" ht="15.75" customHeight="1" x14ac:dyDescent="0.25">
      <c r="A480" s="244"/>
      <c r="C480" s="263"/>
      <c r="D480" s="264"/>
      <c r="E480" s="244"/>
      <c r="F480" s="244"/>
      <c r="G480" s="244"/>
      <c r="H480" s="244"/>
      <c r="K480" s="440"/>
      <c r="S480" s="244"/>
    </row>
    <row r="481" spans="1:19" ht="15.75" customHeight="1" x14ac:dyDescent="0.25">
      <c r="A481" s="244"/>
      <c r="C481" s="263"/>
      <c r="D481" s="264"/>
      <c r="E481" s="244"/>
      <c r="F481" s="244"/>
      <c r="G481" s="244"/>
      <c r="H481" s="244"/>
      <c r="K481" s="440"/>
      <c r="S481" s="244"/>
    </row>
    <row r="482" spans="1:19" ht="15.75" customHeight="1" x14ac:dyDescent="0.25">
      <c r="A482" s="244"/>
      <c r="C482" s="263"/>
      <c r="D482" s="264"/>
      <c r="E482" s="244"/>
      <c r="F482" s="244"/>
      <c r="G482" s="244"/>
      <c r="H482" s="244"/>
      <c r="K482" s="440"/>
      <c r="S482" s="244"/>
    </row>
    <row r="483" spans="1:19" ht="15.75" customHeight="1" x14ac:dyDescent="0.25">
      <c r="A483" s="244"/>
      <c r="C483" s="263"/>
      <c r="D483" s="264"/>
      <c r="E483" s="244"/>
      <c r="F483" s="244"/>
      <c r="G483" s="244"/>
      <c r="H483" s="244"/>
      <c r="K483" s="440"/>
      <c r="S483" s="244"/>
    </row>
    <row r="484" spans="1:19" ht="15.75" customHeight="1" x14ac:dyDescent="0.25">
      <c r="A484" s="244"/>
      <c r="C484" s="263"/>
      <c r="D484" s="264"/>
      <c r="E484" s="244"/>
      <c r="F484" s="244"/>
      <c r="G484" s="244"/>
      <c r="H484" s="244"/>
      <c r="K484" s="440"/>
      <c r="S484" s="244"/>
    </row>
    <row r="485" spans="1:19" ht="15.75" customHeight="1" x14ac:dyDescent="0.25">
      <c r="A485" s="244"/>
      <c r="C485" s="263"/>
      <c r="D485" s="264"/>
      <c r="E485" s="244"/>
      <c r="F485" s="244"/>
      <c r="G485" s="244"/>
      <c r="H485" s="244"/>
      <c r="K485" s="440"/>
      <c r="S485" s="244"/>
    </row>
    <row r="486" spans="1:19" ht="15.75" customHeight="1" x14ac:dyDescent="0.25">
      <c r="A486" s="244"/>
      <c r="C486" s="263"/>
      <c r="D486" s="264"/>
      <c r="E486" s="244"/>
      <c r="F486" s="244"/>
      <c r="G486" s="244"/>
      <c r="H486" s="244"/>
      <c r="K486" s="440"/>
      <c r="S486" s="244"/>
    </row>
    <row r="487" spans="1:19" ht="15.75" customHeight="1" x14ac:dyDescent="0.25">
      <c r="A487" s="244"/>
      <c r="C487" s="263"/>
      <c r="D487" s="264"/>
      <c r="E487" s="244"/>
      <c r="F487" s="244"/>
      <c r="G487" s="244"/>
      <c r="H487" s="244"/>
      <c r="K487" s="440"/>
      <c r="S487" s="244"/>
    </row>
    <row r="488" spans="1:19" ht="15.75" customHeight="1" x14ac:dyDescent="0.25">
      <c r="A488" s="244"/>
      <c r="C488" s="263"/>
      <c r="D488" s="264"/>
      <c r="E488" s="244"/>
      <c r="F488" s="244"/>
      <c r="G488" s="244"/>
      <c r="H488" s="244"/>
      <c r="K488" s="440"/>
      <c r="S488" s="244"/>
    </row>
    <row r="489" spans="1:19" ht="15.75" customHeight="1" x14ac:dyDescent="0.25">
      <c r="A489" s="244"/>
      <c r="C489" s="263"/>
      <c r="D489" s="264"/>
      <c r="E489" s="244"/>
      <c r="F489" s="244"/>
      <c r="G489" s="244"/>
      <c r="H489" s="244"/>
      <c r="K489" s="440"/>
      <c r="S489" s="244"/>
    </row>
    <row r="490" spans="1:19" ht="15.75" customHeight="1" x14ac:dyDescent="0.25">
      <c r="A490" s="244"/>
      <c r="C490" s="263"/>
      <c r="D490" s="264"/>
      <c r="E490" s="244"/>
      <c r="F490" s="244"/>
      <c r="G490" s="244"/>
      <c r="H490" s="244"/>
      <c r="K490" s="440"/>
      <c r="S490" s="244"/>
    </row>
    <row r="491" spans="1:19" ht="15.75" customHeight="1" x14ac:dyDescent="0.25">
      <c r="A491" s="244"/>
      <c r="C491" s="263"/>
      <c r="D491" s="264"/>
      <c r="E491" s="244"/>
      <c r="F491" s="244"/>
      <c r="G491" s="244"/>
      <c r="H491" s="244"/>
      <c r="K491" s="440"/>
      <c r="S491" s="244"/>
    </row>
    <row r="492" spans="1:19" ht="15.75" customHeight="1" x14ac:dyDescent="0.25">
      <c r="A492" s="244"/>
      <c r="C492" s="263"/>
      <c r="D492" s="264"/>
      <c r="E492" s="244"/>
      <c r="F492" s="244"/>
      <c r="G492" s="244"/>
      <c r="H492" s="244"/>
      <c r="K492" s="440"/>
      <c r="S492" s="244"/>
    </row>
    <row r="493" spans="1:19" ht="15.75" customHeight="1" x14ac:dyDescent="0.25">
      <c r="A493" s="244"/>
      <c r="C493" s="263"/>
      <c r="D493" s="264"/>
      <c r="E493" s="244"/>
      <c r="F493" s="244"/>
      <c r="G493" s="244"/>
      <c r="H493" s="244"/>
      <c r="K493" s="440"/>
      <c r="S493" s="244"/>
    </row>
    <row r="494" spans="1:19" ht="15.75" customHeight="1" x14ac:dyDescent="0.25">
      <c r="A494" s="244"/>
      <c r="C494" s="263"/>
      <c r="D494" s="264"/>
      <c r="E494" s="244"/>
      <c r="F494" s="244"/>
      <c r="G494" s="244"/>
      <c r="H494" s="244"/>
      <c r="K494" s="440"/>
      <c r="S494" s="244"/>
    </row>
    <row r="495" spans="1:19" ht="15.75" customHeight="1" x14ac:dyDescent="0.25">
      <c r="A495" s="244"/>
      <c r="C495" s="263"/>
      <c r="D495" s="264"/>
      <c r="E495" s="244"/>
      <c r="F495" s="244"/>
      <c r="G495" s="244"/>
      <c r="H495" s="244"/>
      <c r="K495" s="440"/>
      <c r="S495" s="244"/>
    </row>
    <row r="496" spans="1:19" ht="15.75" customHeight="1" x14ac:dyDescent="0.25">
      <c r="A496" s="244"/>
      <c r="C496" s="263"/>
      <c r="D496" s="264"/>
      <c r="E496" s="244"/>
      <c r="F496" s="244"/>
      <c r="G496" s="244"/>
      <c r="H496" s="244"/>
      <c r="K496" s="440"/>
      <c r="S496" s="244"/>
    </row>
    <row r="497" spans="1:19" ht="15.75" customHeight="1" x14ac:dyDescent="0.25">
      <c r="A497" s="244"/>
      <c r="C497" s="263"/>
      <c r="D497" s="264"/>
      <c r="E497" s="244"/>
      <c r="F497" s="244"/>
      <c r="G497" s="244"/>
      <c r="H497" s="244"/>
      <c r="K497" s="440"/>
      <c r="S497" s="244"/>
    </row>
    <row r="498" spans="1:19" ht="15.75" customHeight="1" x14ac:dyDescent="0.25">
      <c r="A498" s="244"/>
      <c r="C498" s="263"/>
      <c r="D498" s="264"/>
      <c r="E498" s="244"/>
      <c r="F498" s="244"/>
      <c r="G498" s="244"/>
      <c r="H498" s="244"/>
      <c r="K498" s="440"/>
      <c r="S498" s="244"/>
    </row>
    <row r="499" spans="1:19" ht="15.75" customHeight="1" x14ac:dyDescent="0.25">
      <c r="A499" s="244"/>
      <c r="C499" s="263"/>
      <c r="D499" s="264"/>
      <c r="E499" s="244"/>
      <c r="F499" s="244"/>
      <c r="G499" s="244"/>
      <c r="H499" s="244"/>
      <c r="K499" s="440"/>
      <c r="S499" s="244"/>
    </row>
    <row r="500" spans="1:19" ht="15.75" customHeight="1" x14ac:dyDescent="0.25">
      <c r="A500" s="244"/>
      <c r="C500" s="263"/>
      <c r="D500" s="264"/>
      <c r="E500" s="244"/>
      <c r="F500" s="244"/>
      <c r="G500" s="244"/>
      <c r="H500" s="244"/>
      <c r="K500" s="440"/>
      <c r="S500" s="244"/>
    </row>
    <row r="501" spans="1:19" ht="15.75" customHeight="1" x14ac:dyDescent="0.25">
      <c r="A501" s="244"/>
      <c r="C501" s="263"/>
      <c r="D501" s="264"/>
      <c r="E501" s="244"/>
      <c r="F501" s="244"/>
      <c r="G501" s="244"/>
      <c r="H501" s="244"/>
      <c r="K501" s="440"/>
      <c r="S501" s="244"/>
    </row>
    <row r="502" spans="1:19" ht="15.75" customHeight="1" x14ac:dyDescent="0.25">
      <c r="A502" s="244"/>
      <c r="C502" s="263"/>
      <c r="D502" s="264"/>
      <c r="E502" s="244"/>
      <c r="F502" s="244"/>
      <c r="G502" s="244"/>
      <c r="H502" s="244"/>
      <c r="K502" s="440"/>
      <c r="S502" s="244"/>
    </row>
    <row r="503" spans="1:19" ht="15.75" customHeight="1" x14ac:dyDescent="0.25">
      <c r="A503" s="244"/>
      <c r="C503" s="263"/>
      <c r="D503" s="264"/>
      <c r="E503" s="244"/>
      <c r="F503" s="244"/>
      <c r="G503" s="244"/>
      <c r="H503" s="244"/>
      <c r="K503" s="440"/>
      <c r="S503" s="244"/>
    </row>
    <row r="504" spans="1:19" ht="15.75" customHeight="1" x14ac:dyDescent="0.25">
      <c r="A504" s="244"/>
      <c r="C504" s="263"/>
      <c r="D504" s="264"/>
      <c r="E504" s="244"/>
      <c r="F504" s="244"/>
      <c r="G504" s="244"/>
      <c r="H504" s="244"/>
      <c r="K504" s="440"/>
      <c r="S504" s="244"/>
    </row>
    <row r="505" spans="1:19" ht="15.75" customHeight="1" x14ac:dyDescent="0.25">
      <c r="A505" s="244"/>
      <c r="C505" s="263"/>
      <c r="D505" s="264"/>
      <c r="E505" s="244"/>
      <c r="F505" s="244"/>
      <c r="G505" s="244"/>
      <c r="H505" s="244"/>
      <c r="K505" s="440"/>
      <c r="S505" s="244"/>
    </row>
    <row r="506" spans="1:19" ht="15.75" customHeight="1" x14ac:dyDescent="0.25">
      <c r="A506" s="244"/>
      <c r="C506" s="263"/>
      <c r="D506" s="264"/>
      <c r="E506" s="244"/>
      <c r="F506" s="244"/>
      <c r="G506" s="244"/>
      <c r="H506" s="244"/>
      <c r="K506" s="440"/>
      <c r="S506" s="244"/>
    </row>
    <row r="507" spans="1:19" ht="15.75" customHeight="1" x14ac:dyDescent="0.25">
      <c r="A507" s="244"/>
      <c r="C507" s="263"/>
      <c r="D507" s="264"/>
      <c r="E507" s="244"/>
      <c r="F507" s="244"/>
      <c r="G507" s="244"/>
      <c r="H507" s="244"/>
      <c r="K507" s="440"/>
      <c r="S507" s="244"/>
    </row>
    <row r="508" spans="1:19" ht="15.75" customHeight="1" x14ac:dyDescent="0.25">
      <c r="A508" s="244"/>
      <c r="C508" s="263"/>
      <c r="D508" s="264"/>
      <c r="E508" s="244"/>
      <c r="F508" s="244"/>
      <c r="G508" s="244"/>
      <c r="H508" s="244"/>
      <c r="K508" s="440"/>
      <c r="S508" s="244"/>
    </row>
    <row r="509" spans="1:19" ht="15.75" customHeight="1" x14ac:dyDescent="0.25">
      <c r="A509" s="244"/>
      <c r="C509" s="263"/>
      <c r="D509" s="264"/>
      <c r="E509" s="244"/>
      <c r="F509" s="244"/>
      <c r="G509" s="244"/>
      <c r="H509" s="244"/>
      <c r="K509" s="440"/>
      <c r="S509" s="244"/>
    </row>
    <row r="510" spans="1:19" ht="15.75" customHeight="1" x14ac:dyDescent="0.25">
      <c r="A510" s="244"/>
      <c r="C510" s="263"/>
      <c r="D510" s="264"/>
      <c r="E510" s="244"/>
      <c r="F510" s="244"/>
      <c r="G510" s="244"/>
      <c r="H510" s="244"/>
      <c r="K510" s="440"/>
      <c r="S510" s="244"/>
    </row>
    <row r="511" spans="1:19" ht="15.75" customHeight="1" x14ac:dyDescent="0.25">
      <c r="A511" s="244"/>
      <c r="C511" s="263"/>
      <c r="D511" s="264"/>
      <c r="E511" s="244"/>
      <c r="F511" s="244"/>
      <c r="G511" s="244"/>
      <c r="H511" s="244"/>
      <c r="K511" s="440"/>
      <c r="S511" s="244"/>
    </row>
    <row r="512" spans="1:19" ht="15.75" customHeight="1" x14ac:dyDescent="0.25">
      <c r="A512" s="244"/>
      <c r="C512" s="263"/>
      <c r="D512" s="264"/>
      <c r="E512" s="244"/>
      <c r="F512" s="244"/>
      <c r="G512" s="244"/>
      <c r="H512" s="244"/>
      <c r="K512" s="440"/>
      <c r="S512" s="244"/>
    </row>
    <row r="513" spans="1:19" ht="15.75" customHeight="1" x14ac:dyDescent="0.25">
      <c r="A513" s="244"/>
      <c r="C513" s="263"/>
      <c r="D513" s="264"/>
      <c r="E513" s="244"/>
      <c r="F513" s="244"/>
      <c r="G513" s="244"/>
      <c r="H513" s="244"/>
      <c r="K513" s="440"/>
      <c r="S513" s="244"/>
    </row>
    <row r="514" spans="1:19" ht="15.75" customHeight="1" x14ac:dyDescent="0.25">
      <c r="A514" s="244"/>
      <c r="C514" s="263"/>
      <c r="D514" s="264"/>
      <c r="E514" s="244"/>
      <c r="F514" s="244"/>
      <c r="G514" s="244"/>
      <c r="H514" s="244"/>
      <c r="K514" s="440"/>
      <c r="S514" s="244"/>
    </row>
    <row r="515" spans="1:19" ht="15.75" customHeight="1" x14ac:dyDescent="0.25">
      <c r="A515" s="244"/>
      <c r="C515" s="263"/>
      <c r="D515" s="264"/>
      <c r="E515" s="244"/>
      <c r="F515" s="244"/>
      <c r="G515" s="244"/>
      <c r="H515" s="244"/>
      <c r="K515" s="440"/>
      <c r="S515" s="244"/>
    </row>
    <row r="516" spans="1:19" ht="15.75" customHeight="1" x14ac:dyDescent="0.25">
      <c r="A516" s="244"/>
      <c r="C516" s="263"/>
      <c r="D516" s="264"/>
      <c r="E516" s="244"/>
      <c r="F516" s="244"/>
      <c r="G516" s="244"/>
      <c r="H516" s="244"/>
      <c r="K516" s="440"/>
      <c r="S516" s="244"/>
    </row>
    <row r="517" spans="1:19" ht="15.75" customHeight="1" x14ac:dyDescent="0.25">
      <c r="A517" s="244"/>
      <c r="C517" s="263"/>
      <c r="D517" s="264"/>
      <c r="E517" s="244"/>
      <c r="F517" s="244"/>
      <c r="G517" s="244"/>
      <c r="H517" s="244"/>
      <c r="K517" s="440"/>
      <c r="S517" s="244"/>
    </row>
    <row r="518" spans="1:19" ht="15.75" customHeight="1" x14ac:dyDescent="0.25">
      <c r="A518" s="244"/>
      <c r="C518" s="263"/>
      <c r="D518" s="264"/>
      <c r="E518" s="244"/>
      <c r="F518" s="244"/>
      <c r="G518" s="244"/>
      <c r="H518" s="244"/>
      <c r="K518" s="440"/>
      <c r="S518" s="244"/>
    </row>
    <row r="519" spans="1:19" ht="15.75" customHeight="1" x14ac:dyDescent="0.25">
      <c r="A519" s="244"/>
      <c r="C519" s="263"/>
      <c r="D519" s="264"/>
      <c r="E519" s="244"/>
      <c r="F519" s="244"/>
      <c r="G519" s="244"/>
      <c r="H519" s="244"/>
      <c r="K519" s="440"/>
      <c r="S519" s="244"/>
    </row>
    <row r="520" spans="1:19" ht="15.75" customHeight="1" x14ac:dyDescent="0.25">
      <c r="A520" s="244"/>
      <c r="C520" s="263"/>
      <c r="D520" s="264"/>
      <c r="E520" s="244"/>
      <c r="F520" s="244"/>
      <c r="G520" s="244"/>
      <c r="H520" s="244"/>
      <c r="K520" s="440"/>
      <c r="S520" s="244"/>
    </row>
    <row r="521" spans="1:19" ht="15.75" customHeight="1" x14ac:dyDescent="0.25">
      <c r="A521" s="244"/>
      <c r="C521" s="263"/>
      <c r="D521" s="264"/>
      <c r="E521" s="244"/>
      <c r="F521" s="244"/>
      <c r="G521" s="244"/>
      <c r="H521" s="244"/>
      <c r="K521" s="440"/>
      <c r="S521" s="244"/>
    </row>
    <row r="522" spans="1:19" ht="15.75" customHeight="1" x14ac:dyDescent="0.25">
      <c r="A522" s="244"/>
      <c r="C522" s="263"/>
      <c r="D522" s="264"/>
      <c r="E522" s="244"/>
      <c r="F522" s="244"/>
      <c r="G522" s="244"/>
      <c r="H522" s="244"/>
      <c r="K522" s="440"/>
      <c r="S522" s="244"/>
    </row>
    <row r="523" spans="1:19" ht="15.75" customHeight="1" x14ac:dyDescent="0.25">
      <c r="A523" s="244"/>
      <c r="C523" s="263"/>
      <c r="D523" s="264"/>
      <c r="E523" s="244"/>
      <c r="F523" s="244"/>
      <c r="G523" s="244"/>
      <c r="H523" s="244"/>
      <c r="K523" s="440"/>
      <c r="S523" s="244"/>
    </row>
    <row r="524" spans="1:19" ht="15.75" customHeight="1" x14ac:dyDescent="0.25">
      <c r="A524" s="244"/>
      <c r="C524" s="263"/>
      <c r="D524" s="264"/>
      <c r="E524" s="244"/>
      <c r="F524" s="244"/>
      <c r="G524" s="244"/>
      <c r="H524" s="244"/>
      <c r="K524" s="440"/>
      <c r="S524" s="244"/>
    </row>
    <row r="525" spans="1:19" ht="15.75" customHeight="1" x14ac:dyDescent="0.25">
      <c r="A525" s="244"/>
      <c r="C525" s="263"/>
      <c r="D525" s="264"/>
      <c r="E525" s="244"/>
      <c r="F525" s="244"/>
      <c r="G525" s="244"/>
      <c r="H525" s="244"/>
      <c r="K525" s="440"/>
      <c r="S525" s="244"/>
    </row>
    <row r="526" spans="1:19" ht="15.75" customHeight="1" x14ac:dyDescent="0.25">
      <c r="A526" s="244"/>
      <c r="C526" s="263"/>
      <c r="D526" s="264"/>
      <c r="E526" s="244"/>
      <c r="F526" s="244"/>
      <c r="G526" s="244"/>
      <c r="H526" s="244"/>
      <c r="K526" s="440"/>
      <c r="S526" s="244"/>
    </row>
    <row r="527" spans="1:19" ht="15.75" customHeight="1" x14ac:dyDescent="0.25">
      <c r="A527" s="244"/>
      <c r="C527" s="263"/>
      <c r="D527" s="264"/>
      <c r="E527" s="244"/>
      <c r="F527" s="244"/>
      <c r="G527" s="244"/>
      <c r="H527" s="244"/>
      <c r="K527" s="440"/>
      <c r="S527" s="244"/>
    </row>
    <row r="528" spans="1:19" ht="15.75" customHeight="1" x14ac:dyDescent="0.25">
      <c r="A528" s="244"/>
      <c r="C528" s="263"/>
      <c r="D528" s="264"/>
      <c r="E528" s="244"/>
      <c r="F528" s="244"/>
      <c r="G528" s="244"/>
      <c r="H528" s="244"/>
      <c r="K528" s="440"/>
      <c r="S528" s="244"/>
    </row>
    <row r="529" spans="1:19" ht="15.75" customHeight="1" x14ac:dyDescent="0.25">
      <c r="A529" s="244"/>
      <c r="C529" s="263"/>
      <c r="D529" s="264"/>
      <c r="E529" s="244"/>
      <c r="F529" s="244"/>
      <c r="G529" s="244"/>
      <c r="H529" s="244"/>
      <c r="K529" s="440"/>
      <c r="S529" s="244"/>
    </row>
    <row r="530" spans="1:19" ht="15.75" customHeight="1" x14ac:dyDescent="0.25">
      <c r="A530" s="244"/>
      <c r="C530" s="263"/>
      <c r="D530" s="264"/>
      <c r="E530" s="244"/>
      <c r="F530" s="244"/>
      <c r="G530" s="244"/>
      <c r="H530" s="244"/>
      <c r="K530" s="440"/>
      <c r="S530" s="244"/>
    </row>
    <row r="531" spans="1:19" ht="15.75" customHeight="1" x14ac:dyDescent="0.25">
      <c r="A531" s="244"/>
      <c r="C531" s="263"/>
      <c r="D531" s="264"/>
      <c r="E531" s="244"/>
      <c r="F531" s="244"/>
      <c r="G531" s="244"/>
      <c r="H531" s="244"/>
      <c r="K531" s="440"/>
      <c r="S531" s="244"/>
    </row>
    <row r="532" spans="1:19" ht="15.75" customHeight="1" x14ac:dyDescent="0.25">
      <c r="A532" s="244"/>
      <c r="C532" s="263"/>
      <c r="D532" s="264"/>
      <c r="E532" s="244"/>
      <c r="F532" s="244"/>
      <c r="G532" s="244"/>
      <c r="H532" s="244"/>
      <c r="K532" s="440"/>
      <c r="S532" s="244"/>
    </row>
    <row r="533" spans="1:19" ht="15.75" customHeight="1" x14ac:dyDescent="0.25">
      <c r="A533" s="244"/>
      <c r="C533" s="263"/>
      <c r="D533" s="264"/>
      <c r="E533" s="244"/>
      <c r="F533" s="244"/>
      <c r="G533" s="244"/>
      <c r="H533" s="244"/>
      <c r="K533" s="440"/>
      <c r="S533" s="244"/>
    </row>
    <row r="534" spans="1:19" ht="15.75" customHeight="1" x14ac:dyDescent="0.25">
      <c r="A534" s="244"/>
      <c r="C534" s="263"/>
      <c r="D534" s="264"/>
      <c r="E534" s="244"/>
      <c r="F534" s="244"/>
      <c r="G534" s="244"/>
      <c r="H534" s="244"/>
      <c r="K534" s="440"/>
      <c r="S534" s="244"/>
    </row>
    <row r="535" spans="1:19" ht="15.75" customHeight="1" x14ac:dyDescent="0.25">
      <c r="A535" s="244"/>
      <c r="C535" s="263"/>
      <c r="D535" s="264"/>
      <c r="E535" s="244"/>
      <c r="F535" s="244"/>
      <c r="G535" s="244"/>
      <c r="H535" s="244"/>
      <c r="K535" s="440"/>
      <c r="S535" s="244"/>
    </row>
    <row r="536" spans="1:19" ht="15.75" customHeight="1" x14ac:dyDescent="0.25">
      <c r="A536" s="244"/>
      <c r="C536" s="263"/>
      <c r="D536" s="264"/>
      <c r="E536" s="244"/>
      <c r="F536" s="244"/>
      <c r="G536" s="244"/>
      <c r="H536" s="244"/>
      <c r="K536" s="440"/>
      <c r="S536" s="244"/>
    </row>
    <row r="537" spans="1:19" ht="15.75" customHeight="1" x14ac:dyDescent="0.25">
      <c r="A537" s="244"/>
      <c r="C537" s="263"/>
      <c r="D537" s="264"/>
      <c r="E537" s="244"/>
      <c r="F537" s="244"/>
      <c r="G537" s="244"/>
      <c r="H537" s="244"/>
      <c r="K537" s="440"/>
      <c r="S537" s="244"/>
    </row>
    <row r="538" spans="1:19" ht="15.75" customHeight="1" x14ac:dyDescent="0.25">
      <c r="A538" s="244"/>
      <c r="C538" s="263"/>
      <c r="D538" s="264"/>
      <c r="E538" s="244"/>
      <c r="F538" s="244"/>
      <c r="G538" s="244"/>
      <c r="H538" s="244"/>
      <c r="K538" s="440"/>
      <c r="S538" s="244"/>
    </row>
    <row r="539" spans="1:19" ht="15.75" customHeight="1" x14ac:dyDescent="0.25">
      <c r="A539" s="244"/>
      <c r="C539" s="263"/>
      <c r="D539" s="264"/>
      <c r="E539" s="244"/>
      <c r="F539" s="244"/>
      <c r="G539" s="244"/>
      <c r="H539" s="244"/>
      <c r="K539" s="440"/>
      <c r="S539" s="244"/>
    </row>
    <row r="540" spans="1:19" ht="15.75" customHeight="1" x14ac:dyDescent="0.25">
      <c r="A540" s="244"/>
      <c r="C540" s="263"/>
      <c r="D540" s="264"/>
      <c r="E540" s="244"/>
      <c r="F540" s="244"/>
      <c r="G540" s="244"/>
      <c r="H540" s="244"/>
      <c r="K540" s="440"/>
      <c r="S540" s="244"/>
    </row>
    <row r="541" spans="1:19" ht="15.75" customHeight="1" x14ac:dyDescent="0.25">
      <c r="A541" s="244"/>
      <c r="C541" s="263"/>
      <c r="D541" s="264"/>
      <c r="E541" s="244"/>
      <c r="F541" s="244"/>
      <c r="G541" s="244"/>
      <c r="H541" s="244"/>
      <c r="K541" s="440"/>
      <c r="S541" s="244"/>
    </row>
    <row r="542" spans="1:19" ht="15.75" customHeight="1" x14ac:dyDescent="0.25">
      <c r="A542" s="244"/>
      <c r="C542" s="263"/>
      <c r="D542" s="264"/>
      <c r="E542" s="244"/>
      <c r="F542" s="244"/>
      <c r="G542" s="244"/>
      <c r="H542" s="244"/>
      <c r="K542" s="440"/>
      <c r="S542" s="244"/>
    </row>
    <row r="543" spans="1:19" ht="15.75" customHeight="1" x14ac:dyDescent="0.25">
      <c r="A543" s="244"/>
      <c r="C543" s="263"/>
      <c r="D543" s="264"/>
      <c r="E543" s="244"/>
      <c r="F543" s="244"/>
      <c r="G543" s="244"/>
      <c r="H543" s="244"/>
      <c r="K543" s="440"/>
      <c r="S543" s="244"/>
    </row>
    <row r="544" spans="1:19" ht="15.75" customHeight="1" x14ac:dyDescent="0.25">
      <c r="A544" s="244"/>
      <c r="C544" s="263"/>
      <c r="D544" s="264"/>
      <c r="E544" s="244"/>
      <c r="F544" s="244"/>
      <c r="G544" s="244"/>
      <c r="H544" s="244"/>
      <c r="K544" s="440"/>
      <c r="S544" s="244"/>
    </row>
    <row r="545" spans="1:19" ht="15.75" customHeight="1" x14ac:dyDescent="0.25">
      <c r="A545" s="244"/>
      <c r="C545" s="263"/>
      <c r="D545" s="264"/>
      <c r="E545" s="244"/>
      <c r="F545" s="244"/>
      <c r="G545" s="244"/>
      <c r="H545" s="244"/>
      <c r="K545" s="440"/>
      <c r="S545" s="244"/>
    </row>
    <row r="546" spans="1:19" ht="15.75" customHeight="1" x14ac:dyDescent="0.25">
      <c r="A546" s="244"/>
      <c r="C546" s="263"/>
      <c r="D546" s="264"/>
      <c r="E546" s="244"/>
      <c r="F546" s="244"/>
      <c r="G546" s="244"/>
      <c r="H546" s="244"/>
      <c r="K546" s="440"/>
      <c r="S546" s="244"/>
    </row>
    <row r="547" spans="1:19" ht="15.75" customHeight="1" x14ac:dyDescent="0.25">
      <c r="A547" s="244"/>
      <c r="C547" s="263"/>
      <c r="D547" s="264"/>
      <c r="E547" s="244"/>
      <c r="F547" s="244"/>
      <c r="G547" s="244"/>
      <c r="H547" s="244"/>
      <c r="K547" s="440"/>
      <c r="S547" s="244"/>
    </row>
    <row r="548" spans="1:19" ht="15.75" customHeight="1" x14ac:dyDescent="0.25">
      <c r="A548" s="244"/>
      <c r="C548" s="263"/>
      <c r="D548" s="264"/>
      <c r="E548" s="244"/>
      <c r="F548" s="244"/>
      <c r="G548" s="244"/>
      <c r="H548" s="244"/>
      <c r="K548" s="440"/>
      <c r="S548" s="244"/>
    </row>
    <row r="549" spans="1:19" ht="15.75" customHeight="1" x14ac:dyDescent="0.25">
      <c r="A549" s="244"/>
      <c r="C549" s="263"/>
      <c r="D549" s="264"/>
      <c r="E549" s="244"/>
      <c r="F549" s="244"/>
      <c r="G549" s="244"/>
      <c r="H549" s="244"/>
      <c r="K549" s="440"/>
      <c r="S549" s="244"/>
    </row>
    <row r="550" spans="1:19" ht="15.75" customHeight="1" x14ac:dyDescent="0.25">
      <c r="A550" s="244"/>
      <c r="C550" s="263"/>
      <c r="D550" s="264"/>
      <c r="E550" s="244"/>
      <c r="F550" s="244"/>
      <c r="G550" s="244"/>
      <c r="H550" s="244"/>
      <c r="K550" s="440"/>
      <c r="S550" s="244"/>
    </row>
    <row r="551" spans="1:19" ht="15.75" customHeight="1" x14ac:dyDescent="0.25">
      <c r="A551" s="244"/>
      <c r="C551" s="263"/>
      <c r="D551" s="264"/>
      <c r="E551" s="244"/>
      <c r="F551" s="244"/>
      <c r="G551" s="244"/>
      <c r="H551" s="244"/>
      <c r="K551" s="440"/>
      <c r="S551" s="244"/>
    </row>
    <row r="552" spans="1:19" ht="15.75" customHeight="1" x14ac:dyDescent="0.25">
      <c r="A552" s="244"/>
      <c r="C552" s="263"/>
      <c r="D552" s="264"/>
      <c r="E552" s="244"/>
      <c r="F552" s="244"/>
      <c r="G552" s="244"/>
      <c r="H552" s="244"/>
      <c r="K552" s="440"/>
      <c r="S552" s="244"/>
    </row>
    <row r="553" spans="1:19" ht="15.75" customHeight="1" x14ac:dyDescent="0.25">
      <c r="A553" s="244"/>
      <c r="C553" s="263"/>
      <c r="D553" s="264"/>
      <c r="E553" s="244"/>
      <c r="F553" s="244"/>
      <c r="G553" s="244"/>
      <c r="H553" s="244"/>
      <c r="K553" s="440"/>
      <c r="S553" s="244"/>
    </row>
    <row r="554" spans="1:19" ht="15.75" customHeight="1" x14ac:dyDescent="0.25">
      <c r="A554" s="244"/>
      <c r="C554" s="263"/>
      <c r="D554" s="264"/>
      <c r="E554" s="244"/>
      <c r="F554" s="244"/>
      <c r="G554" s="244"/>
      <c r="H554" s="244"/>
      <c r="K554" s="440"/>
      <c r="S554" s="244"/>
    </row>
    <row r="555" spans="1:19" ht="15.75" customHeight="1" x14ac:dyDescent="0.25">
      <c r="A555" s="244"/>
      <c r="C555" s="263"/>
      <c r="D555" s="264"/>
      <c r="E555" s="244"/>
      <c r="F555" s="244"/>
      <c r="G555" s="244"/>
      <c r="H555" s="244"/>
      <c r="K555" s="440"/>
      <c r="S555" s="244"/>
    </row>
    <row r="556" spans="1:19" ht="15.75" customHeight="1" x14ac:dyDescent="0.25">
      <c r="A556" s="244"/>
      <c r="C556" s="263"/>
      <c r="D556" s="264"/>
      <c r="E556" s="244"/>
      <c r="F556" s="244"/>
      <c r="G556" s="244"/>
      <c r="H556" s="244"/>
      <c r="K556" s="440"/>
      <c r="S556" s="244"/>
    </row>
    <row r="557" spans="1:19" ht="15.75" customHeight="1" x14ac:dyDescent="0.25">
      <c r="A557" s="244"/>
      <c r="C557" s="263"/>
      <c r="D557" s="264"/>
      <c r="E557" s="244"/>
      <c r="F557" s="244"/>
      <c r="G557" s="244"/>
      <c r="H557" s="244"/>
      <c r="K557" s="440"/>
      <c r="S557" s="244"/>
    </row>
    <row r="558" spans="1:19" ht="15.75" customHeight="1" x14ac:dyDescent="0.25">
      <c r="A558" s="244"/>
      <c r="C558" s="263"/>
      <c r="D558" s="264"/>
      <c r="E558" s="244"/>
      <c r="F558" s="244"/>
      <c r="G558" s="244"/>
      <c r="H558" s="244"/>
      <c r="K558" s="440"/>
      <c r="S558" s="244"/>
    </row>
    <row r="559" spans="1:19" ht="15.75" customHeight="1" x14ac:dyDescent="0.25">
      <c r="A559" s="244"/>
      <c r="C559" s="263"/>
      <c r="D559" s="264"/>
      <c r="E559" s="244"/>
      <c r="F559" s="244"/>
      <c r="G559" s="244"/>
      <c r="H559" s="244"/>
      <c r="K559" s="440"/>
      <c r="S559" s="244"/>
    </row>
    <row r="560" spans="1:19" ht="15.75" customHeight="1" x14ac:dyDescent="0.25">
      <c r="A560" s="244"/>
      <c r="C560" s="263"/>
      <c r="D560" s="264"/>
      <c r="E560" s="244"/>
      <c r="F560" s="244"/>
      <c r="G560" s="244"/>
      <c r="H560" s="244"/>
      <c r="K560" s="440"/>
      <c r="S560" s="244"/>
    </row>
    <row r="561" spans="1:19" ht="15.75" customHeight="1" x14ac:dyDescent="0.25">
      <c r="A561" s="244"/>
      <c r="C561" s="263"/>
      <c r="D561" s="264"/>
      <c r="E561" s="244"/>
      <c r="F561" s="244"/>
      <c r="G561" s="244"/>
      <c r="H561" s="244"/>
      <c r="K561" s="440"/>
      <c r="S561" s="244"/>
    </row>
    <row r="562" spans="1:19" ht="15.75" customHeight="1" x14ac:dyDescent="0.25">
      <c r="A562" s="244"/>
      <c r="C562" s="263"/>
      <c r="D562" s="264"/>
      <c r="E562" s="244"/>
      <c r="F562" s="244"/>
      <c r="G562" s="244"/>
      <c r="H562" s="244"/>
      <c r="K562" s="440"/>
      <c r="S562" s="244"/>
    </row>
    <row r="563" spans="1:19" ht="15.75" customHeight="1" x14ac:dyDescent="0.25">
      <c r="A563" s="244"/>
      <c r="C563" s="263"/>
      <c r="D563" s="264"/>
      <c r="E563" s="244"/>
      <c r="F563" s="244"/>
      <c r="G563" s="244"/>
      <c r="H563" s="244"/>
      <c r="K563" s="440"/>
      <c r="S563" s="244"/>
    </row>
    <row r="564" spans="1:19" ht="15.75" customHeight="1" x14ac:dyDescent="0.25">
      <c r="A564" s="244"/>
      <c r="C564" s="263"/>
      <c r="D564" s="264"/>
      <c r="E564" s="244"/>
      <c r="F564" s="244"/>
      <c r="G564" s="244"/>
      <c r="H564" s="244"/>
      <c r="K564" s="440"/>
      <c r="S564" s="244"/>
    </row>
    <row r="565" spans="1:19" ht="15.75" customHeight="1" x14ac:dyDescent="0.25">
      <c r="A565" s="244"/>
      <c r="C565" s="263"/>
      <c r="D565" s="264"/>
      <c r="E565" s="244"/>
      <c r="F565" s="244"/>
      <c r="G565" s="244"/>
      <c r="H565" s="244"/>
      <c r="K565" s="440"/>
      <c r="S565" s="244"/>
    </row>
    <row r="566" spans="1:19" ht="15.75" customHeight="1" x14ac:dyDescent="0.25">
      <c r="A566" s="244"/>
      <c r="C566" s="263"/>
      <c r="D566" s="264"/>
      <c r="E566" s="244"/>
      <c r="F566" s="244"/>
      <c r="G566" s="244"/>
      <c r="H566" s="244"/>
      <c r="K566" s="440"/>
      <c r="S566" s="244"/>
    </row>
    <row r="567" spans="1:19" ht="15.75" customHeight="1" x14ac:dyDescent="0.25">
      <c r="A567" s="244"/>
      <c r="C567" s="263"/>
      <c r="D567" s="264"/>
      <c r="E567" s="244"/>
      <c r="F567" s="244"/>
      <c r="G567" s="244"/>
      <c r="H567" s="244"/>
      <c r="K567" s="440"/>
      <c r="S567" s="244"/>
    </row>
    <row r="568" spans="1:19" ht="15.75" customHeight="1" x14ac:dyDescent="0.25">
      <c r="A568" s="244"/>
      <c r="C568" s="263"/>
      <c r="D568" s="264"/>
      <c r="E568" s="244"/>
      <c r="F568" s="244"/>
      <c r="G568" s="244"/>
      <c r="H568" s="244"/>
      <c r="K568" s="440"/>
      <c r="S568" s="244"/>
    </row>
    <row r="569" spans="1:19" ht="15.75" customHeight="1" x14ac:dyDescent="0.25">
      <c r="A569" s="244"/>
      <c r="C569" s="263"/>
      <c r="D569" s="264"/>
      <c r="E569" s="244"/>
      <c r="F569" s="244"/>
      <c r="G569" s="244"/>
      <c r="H569" s="244"/>
      <c r="K569" s="440"/>
      <c r="S569" s="244"/>
    </row>
    <row r="570" spans="1:19" ht="15.75" customHeight="1" x14ac:dyDescent="0.25">
      <c r="A570" s="244"/>
      <c r="C570" s="263"/>
      <c r="D570" s="264"/>
      <c r="E570" s="244"/>
      <c r="F570" s="244"/>
      <c r="G570" s="244"/>
      <c r="H570" s="244"/>
      <c r="K570" s="440"/>
      <c r="S570" s="244"/>
    </row>
    <row r="571" spans="1:19" ht="15.75" customHeight="1" x14ac:dyDescent="0.25">
      <c r="A571" s="244"/>
      <c r="C571" s="263"/>
      <c r="D571" s="264"/>
      <c r="E571" s="244"/>
      <c r="F571" s="244"/>
      <c r="G571" s="244"/>
      <c r="H571" s="244"/>
      <c r="K571" s="440"/>
      <c r="S571" s="244"/>
    </row>
    <row r="572" spans="1:19" ht="15.75" customHeight="1" x14ac:dyDescent="0.25">
      <c r="A572" s="244"/>
      <c r="C572" s="263"/>
      <c r="D572" s="264"/>
      <c r="E572" s="244"/>
      <c r="F572" s="244"/>
      <c r="G572" s="244"/>
      <c r="H572" s="244"/>
      <c r="K572" s="440"/>
      <c r="S572" s="244"/>
    </row>
    <row r="573" spans="1:19" ht="15.75" customHeight="1" x14ac:dyDescent="0.25">
      <c r="A573" s="244"/>
      <c r="C573" s="263"/>
      <c r="D573" s="264"/>
      <c r="E573" s="244"/>
      <c r="F573" s="244"/>
      <c r="G573" s="244"/>
      <c r="H573" s="244"/>
      <c r="K573" s="440"/>
      <c r="S573" s="244"/>
    </row>
    <row r="574" spans="1:19" ht="15.75" customHeight="1" x14ac:dyDescent="0.25">
      <c r="A574" s="244"/>
      <c r="C574" s="263"/>
      <c r="D574" s="264"/>
      <c r="E574" s="244"/>
      <c r="F574" s="244"/>
      <c r="G574" s="244"/>
      <c r="H574" s="244"/>
      <c r="K574" s="440"/>
      <c r="S574" s="244"/>
    </row>
    <row r="575" spans="1:19" ht="15.75" customHeight="1" x14ac:dyDescent="0.25">
      <c r="A575" s="244"/>
      <c r="C575" s="263"/>
      <c r="D575" s="264"/>
      <c r="E575" s="244"/>
      <c r="F575" s="244"/>
      <c r="G575" s="244"/>
      <c r="H575" s="244"/>
      <c r="K575" s="440"/>
      <c r="S575" s="244"/>
    </row>
    <row r="576" spans="1:19" ht="15.75" customHeight="1" x14ac:dyDescent="0.25">
      <c r="A576" s="244"/>
      <c r="C576" s="263"/>
      <c r="D576" s="264"/>
      <c r="E576" s="244"/>
      <c r="F576" s="244"/>
      <c r="G576" s="244"/>
      <c r="H576" s="244"/>
      <c r="K576" s="440"/>
      <c r="S576" s="244"/>
    </row>
    <row r="577" spans="1:19" ht="15.75" customHeight="1" x14ac:dyDescent="0.25">
      <c r="A577" s="244"/>
      <c r="C577" s="263"/>
      <c r="D577" s="264"/>
      <c r="E577" s="244"/>
      <c r="F577" s="244"/>
      <c r="G577" s="244"/>
      <c r="H577" s="244"/>
      <c r="K577" s="440"/>
      <c r="S577" s="244"/>
    </row>
    <row r="578" spans="1:19" ht="15.75" customHeight="1" x14ac:dyDescent="0.25">
      <c r="A578" s="244"/>
      <c r="C578" s="263"/>
      <c r="D578" s="264"/>
      <c r="E578" s="244"/>
      <c r="F578" s="244"/>
      <c r="G578" s="244"/>
      <c r="H578" s="244"/>
      <c r="K578" s="440"/>
      <c r="S578" s="244"/>
    </row>
    <row r="579" spans="1:19" ht="15.75" customHeight="1" x14ac:dyDescent="0.25">
      <c r="A579" s="244"/>
      <c r="C579" s="263"/>
      <c r="D579" s="264"/>
      <c r="E579" s="244"/>
      <c r="F579" s="244"/>
      <c r="G579" s="244"/>
      <c r="H579" s="244"/>
      <c r="K579" s="440"/>
      <c r="S579" s="244"/>
    </row>
    <row r="580" spans="1:19" ht="15.75" customHeight="1" x14ac:dyDescent="0.25">
      <c r="A580" s="244"/>
      <c r="C580" s="263"/>
      <c r="D580" s="264"/>
      <c r="E580" s="244"/>
      <c r="F580" s="244"/>
      <c r="G580" s="244"/>
      <c r="H580" s="244"/>
      <c r="K580" s="440"/>
      <c r="S580" s="244"/>
    </row>
    <row r="581" spans="1:19" ht="15.75" customHeight="1" x14ac:dyDescent="0.25">
      <c r="A581" s="244"/>
      <c r="C581" s="263"/>
      <c r="D581" s="264"/>
      <c r="E581" s="244"/>
      <c r="F581" s="244"/>
      <c r="G581" s="244"/>
      <c r="H581" s="244"/>
      <c r="K581" s="440"/>
      <c r="S581" s="244"/>
    </row>
    <row r="582" spans="1:19" ht="15.75" customHeight="1" x14ac:dyDescent="0.25">
      <c r="A582" s="244"/>
      <c r="C582" s="263"/>
      <c r="D582" s="264"/>
      <c r="E582" s="244"/>
      <c r="F582" s="244"/>
      <c r="G582" s="244"/>
      <c r="H582" s="244"/>
      <c r="K582" s="440"/>
      <c r="S582" s="244"/>
    </row>
    <row r="583" spans="1:19" ht="15.75" customHeight="1" x14ac:dyDescent="0.25">
      <c r="A583" s="244"/>
      <c r="C583" s="263"/>
      <c r="D583" s="264"/>
      <c r="E583" s="244"/>
      <c r="F583" s="244"/>
      <c r="G583" s="244"/>
      <c r="H583" s="244"/>
      <c r="K583" s="440"/>
      <c r="S583" s="244"/>
    </row>
    <row r="584" spans="1:19" ht="15.75" customHeight="1" x14ac:dyDescent="0.25">
      <c r="A584" s="244"/>
      <c r="C584" s="263"/>
      <c r="D584" s="264"/>
      <c r="E584" s="244"/>
      <c r="F584" s="244"/>
      <c r="G584" s="244"/>
      <c r="H584" s="244"/>
      <c r="K584" s="440"/>
      <c r="S584" s="244"/>
    </row>
    <row r="585" spans="1:19" ht="15.75" customHeight="1" x14ac:dyDescent="0.25">
      <c r="A585" s="244"/>
      <c r="C585" s="263"/>
      <c r="D585" s="264"/>
      <c r="E585" s="244"/>
      <c r="F585" s="244"/>
      <c r="G585" s="244"/>
      <c r="H585" s="244"/>
      <c r="K585" s="440"/>
      <c r="S585" s="244"/>
    </row>
    <row r="586" spans="1:19" ht="15.75" customHeight="1" x14ac:dyDescent="0.25">
      <c r="A586" s="244"/>
      <c r="C586" s="263"/>
      <c r="D586" s="264"/>
      <c r="E586" s="244"/>
      <c r="F586" s="244"/>
      <c r="G586" s="244"/>
      <c r="H586" s="244"/>
      <c r="K586" s="440"/>
      <c r="S586" s="244"/>
    </row>
    <row r="587" spans="1:19" ht="15.75" customHeight="1" x14ac:dyDescent="0.25">
      <c r="A587" s="244"/>
      <c r="C587" s="263"/>
      <c r="D587" s="264"/>
      <c r="E587" s="244"/>
      <c r="F587" s="244"/>
      <c r="G587" s="244"/>
      <c r="H587" s="244"/>
      <c r="K587" s="440"/>
      <c r="S587" s="244"/>
    </row>
    <row r="588" spans="1:19" ht="15.75" customHeight="1" x14ac:dyDescent="0.25">
      <c r="A588" s="244"/>
      <c r="C588" s="263"/>
      <c r="D588" s="264"/>
      <c r="E588" s="244"/>
      <c r="F588" s="244"/>
      <c r="G588" s="244"/>
      <c r="H588" s="244"/>
      <c r="K588" s="440"/>
      <c r="S588" s="244"/>
    </row>
    <row r="589" spans="1:19" ht="15.75" customHeight="1" x14ac:dyDescent="0.25">
      <c r="A589" s="244"/>
      <c r="C589" s="263"/>
      <c r="D589" s="264"/>
      <c r="E589" s="244"/>
      <c r="F589" s="244"/>
      <c r="G589" s="244"/>
      <c r="H589" s="244"/>
      <c r="K589" s="440"/>
      <c r="S589" s="244"/>
    </row>
    <row r="590" spans="1:19" ht="15.75" customHeight="1" x14ac:dyDescent="0.25">
      <c r="A590" s="244"/>
      <c r="C590" s="263"/>
      <c r="D590" s="264"/>
      <c r="E590" s="244"/>
      <c r="F590" s="244"/>
      <c r="G590" s="244"/>
      <c r="H590" s="244"/>
      <c r="K590" s="440"/>
      <c r="S590" s="244"/>
    </row>
    <row r="591" spans="1:19" ht="15.75" customHeight="1" x14ac:dyDescent="0.25">
      <c r="A591" s="244"/>
      <c r="C591" s="263"/>
      <c r="D591" s="264"/>
      <c r="E591" s="244"/>
      <c r="F591" s="244"/>
      <c r="G591" s="244"/>
      <c r="H591" s="244"/>
      <c r="K591" s="440"/>
      <c r="S591" s="244"/>
    </row>
    <row r="592" spans="1:19" ht="15.75" customHeight="1" x14ac:dyDescent="0.25">
      <c r="A592" s="244"/>
      <c r="C592" s="263"/>
      <c r="D592" s="264"/>
      <c r="E592" s="244"/>
      <c r="F592" s="244"/>
      <c r="G592" s="244"/>
      <c r="H592" s="244"/>
      <c r="K592" s="440"/>
      <c r="S592" s="244"/>
    </row>
    <row r="593" spans="1:19" ht="15.75" customHeight="1" x14ac:dyDescent="0.25">
      <c r="A593" s="244"/>
      <c r="C593" s="263"/>
      <c r="D593" s="264"/>
      <c r="E593" s="244"/>
      <c r="F593" s="244"/>
      <c r="G593" s="244"/>
      <c r="H593" s="244"/>
      <c r="K593" s="440"/>
      <c r="S593" s="244"/>
    </row>
    <row r="594" spans="1:19" ht="15.75" customHeight="1" x14ac:dyDescent="0.25">
      <c r="A594" s="244"/>
      <c r="C594" s="263"/>
      <c r="D594" s="264"/>
      <c r="E594" s="244"/>
      <c r="F594" s="244"/>
      <c r="G594" s="244"/>
      <c r="H594" s="244"/>
      <c r="K594" s="440"/>
      <c r="S594" s="244"/>
    </row>
    <row r="595" spans="1:19" ht="15.75" customHeight="1" x14ac:dyDescent="0.25">
      <c r="A595" s="244"/>
      <c r="C595" s="263"/>
      <c r="D595" s="264"/>
      <c r="E595" s="244"/>
      <c r="F595" s="244"/>
      <c r="G595" s="244"/>
      <c r="H595" s="244"/>
      <c r="K595" s="440"/>
      <c r="S595" s="244"/>
    </row>
    <row r="596" spans="1:19" ht="15.75" customHeight="1" x14ac:dyDescent="0.25">
      <c r="A596" s="244"/>
      <c r="C596" s="263"/>
      <c r="D596" s="264"/>
      <c r="E596" s="244"/>
      <c r="F596" s="244"/>
      <c r="G596" s="244"/>
      <c r="H596" s="244"/>
      <c r="K596" s="440"/>
      <c r="S596" s="244"/>
    </row>
    <row r="597" spans="1:19" ht="15.75" customHeight="1" x14ac:dyDescent="0.25">
      <c r="A597" s="244"/>
      <c r="C597" s="263"/>
      <c r="D597" s="264"/>
      <c r="E597" s="244"/>
      <c r="F597" s="244"/>
      <c r="G597" s="244"/>
      <c r="H597" s="244"/>
      <c r="K597" s="440"/>
      <c r="S597" s="244"/>
    </row>
    <row r="598" spans="1:19" ht="15.75" customHeight="1" x14ac:dyDescent="0.25">
      <c r="A598" s="244"/>
      <c r="C598" s="263"/>
      <c r="D598" s="264"/>
      <c r="E598" s="244"/>
      <c r="F598" s="244"/>
      <c r="G598" s="244"/>
      <c r="H598" s="244"/>
      <c r="K598" s="440"/>
      <c r="S598" s="244"/>
    </row>
    <row r="599" spans="1:19" ht="15.75" customHeight="1" x14ac:dyDescent="0.25">
      <c r="A599" s="244"/>
      <c r="C599" s="263"/>
      <c r="D599" s="264"/>
      <c r="E599" s="244"/>
      <c r="F599" s="244"/>
      <c r="G599" s="244"/>
      <c r="H599" s="244"/>
      <c r="K599" s="440"/>
      <c r="S599" s="244"/>
    </row>
    <row r="600" spans="1:19" ht="15.75" customHeight="1" x14ac:dyDescent="0.25">
      <c r="A600" s="244"/>
      <c r="C600" s="263"/>
      <c r="D600" s="264"/>
      <c r="E600" s="244"/>
      <c r="F600" s="244"/>
      <c r="G600" s="244"/>
      <c r="H600" s="244"/>
      <c r="K600" s="440"/>
      <c r="S600" s="244"/>
    </row>
    <row r="601" spans="1:19" ht="15.75" customHeight="1" x14ac:dyDescent="0.25">
      <c r="A601" s="244"/>
      <c r="C601" s="263"/>
      <c r="D601" s="264"/>
      <c r="E601" s="244"/>
      <c r="F601" s="244"/>
      <c r="G601" s="244"/>
      <c r="H601" s="244"/>
      <c r="K601" s="440"/>
      <c r="S601" s="244"/>
    </row>
    <row r="602" spans="1:19" ht="15.75" customHeight="1" x14ac:dyDescent="0.25">
      <c r="A602" s="244"/>
      <c r="C602" s="263"/>
      <c r="D602" s="264"/>
      <c r="E602" s="244"/>
      <c r="F602" s="244"/>
      <c r="G602" s="244"/>
      <c r="H602" s="244"/>
      <c r="K602" s="440"/>
      <c r="S602" s="244"/>
    </row>
    <row r="603" spans="1:19" ht="15.75" customHeight="1" x14ac:dyDescent="0.25">
      <c r="A603" s="244"/>
      <c r="C603" s="263"/>
      <c r="D603" s="264"/>
      <c r="E603" s="244"/>
      <c r="F603" s="244"/>
      <c r="G603" s="244"/>
      <c r="H603" s="244"/>
      <c r="K603" s="440"/>
      <c r="S603" s="244"/>
    </row>
    <row r="604" spans="1:19" ht="15.75" customHeight="1" x14ac:dyDescent="0.25">
      <c r="A604" s="244"/>
      <c r="C604" s="263"/>
      <c r="D604" s="264"/>
      <c r="E604" s="244"/>
      <c r="F604" s="244"/>
      <c r="G604" s="244"/>
      <c r="H604" s="244"/>
      <c r="K604" s="440"/>
      <c r="S604" s="244"/>
    </row>
    <row r="605" spans="1:19" ht="15.75" customHeight="1" x14ac:dyDescent="0.25">
      <c r="A605" s="244"/>
      <c r="C605" s="263"/>
      <c r="D605" s="264"/>
      <c r="E605" s="244"/>
      <c r="F605" s="244"/>
      <c r="G605" s="244"/>
      <c r="H605" s="244"/>
      <c r="K605" s="440"/>
      <c r="S605" s="244"/>
    </row>
    <row r="606" spans="1:19" ht="15.75" customHeight="1" x14ac:dyDescent="0.25">
      <c r="A606" s="244"/>
      <c r="C606" s="263"/>
      <c r="D606" s="264"/>
      <c r="E606" s="244"/>
      <c r="F606" s="244"/>
      <c r="G606" s="244"/>
      <c r="H606" s="244"/>
      <c r="K606" s="440"/>
      <c r="S606" s="244"/>
    </row>
    <row r="607" spans="1:19" ht="15.75" customHeight="1" x14ac:dyDescent="0.25">
      <c r="A607" s="244"/>
      <c r="C607" s="263"/>
      <c r="D607" s="264"/>
      <c r="E607" s="244"/>
      <c r="F607" s="244"/>
      <c r="G607" s="244"/>
      <c r="H607" s="244"/>
      <c r="K607" s="440"/>
      <c r="S607" s="244"/>
    </row>
    <row r="608" spans="1:19" ht="15.75" customHeight="1" x14ac:dyDescent="0.25">
      <c r="A608" s="244"/>
      <c r="C608" s="263"/>
      <c r="D608" s="264"/>
      <c r="E608" s="244"/>
      <c r="F608" s="244"/>
      <c r="G608" s="244"/>
      <c r="H608" s="244"/>
      <c r="K608" s="440"/>
      <c r="S608" s="244"/>
    </row>
    <row r="609" spans="1:19" ht="15.75" customHeight="1" x14ac:dyDescent="0.25">
      <c r="A609" s="244"/>
      <c r="C609" s="263"/>
      <c r="D609" s="264"/>
      <c r="E609" s="244"/>
      <c r="F609" s="244"/>
      <c r="G609" s="244"/>
      <c r="H609" s="244"/>
      <c r="K609" s="440"/>
      <c r="S609" s="244"/>
    </row>
    <row r="610" spans="1:19" ht="15.75" customHeight="1" x14ac:dyDescent="0.25">
      <c r="A610" s="244"/>
      <c r="C610" s="263"/>
      <c r="D610" s="264"/>
      <c r="E610" s="244"/>
      <c r="F610" s="244"/>
      <c r="G610" s="244"/>
      <c r="H610" s="244"/>
      <c r="K610" s="440"/>
      <c r="S610" s="244"/>
    </row>
    <row r="611" spans="1:19" ht="15.75" customHeight="1" x14ac:dyDescent="0.25">
      <c r="A611" s="244"/>
      <c r="C611" s="263"/>
      <c r="D611" s="264"/>
      <c r="E611" s="244"/>
      <c r="F611" s="244"/>
      <c r="G611" s="244"/>
      <c r="H611" s="244"/>
      <c r="K611" s="440"/>
      <c r="S611" s="244"/>
    </row>
    <row r="612" spans="1:19" ht="15.75" customHeight="1" x14ac:dyDescent="0.25">
      <c r="A612" s="244"/>
      <c r="C612" s="263"/>
      <c r="D612" s="264"/>
      <c r="E612" s="244"/>
      <c r="F612" s="244"/>
      <c r="G612" s="244"/>
      <c r="H612" s="244"/>
      <c r="K612" s="440"/>
      <c r="S612" s="244"/>
    </row>
    <row r="613" spans="1:19" ht="15.75" customHeight="1" x14ac:dyDescent="0.25">
      <c r="A613" s="244"/>
      <c r="C613" s="263"/>
      <c r="D613" s="264"/>
      <c r="E613" s="244"/>
      <c r="F613" s="244"/>
      <c r="G613" s="244"/>
      <c r="H613" s="244"/>
      <c r="K613" s="440"/>
      <c r="S613" s="244"/>
    </row>
    <row r="614" spans="1:19" ht="15.75" customHeight="1" x14ac:dyDescent="0.25">
      <c r="A614" s="244"/>
      <c r="C614" s="263"/>
      <c r="D614" s="264"/>
      <c r="E614" s="244"/>
      <c r="F614" s="244"/>
      <c r="G614" s="244"/>
      <c r="H614" s="244"/>
      <c r="K614" s="440"/>
      <c r="S614" s="244"/>
    </row>
    <row r="615" spans="1:19" ht="15.75" customHeight="1" x14ac:dyDescent="0.25">
      <c r="A615" s="244"/>
      <c r="C615" s="263"/>
      <c r="D615" s="264"/>
      <c r="E615" s="244"/>
      <c r="F615" s="244"/>
      <c r="G615" s="244"/>
      <c r="H615" s="244"/>
      <c r="K615" s="440"/>
      <c r="S615" s="244"/>
    </row>
    <row r="616" spans="1:19" ht="15.75" customHeight="1" x14ac:dyDescent="0.25">
      <c r="A616" s="244"/>
      <c r="C616" s="263"/>
      <c r="D616" s="264"/>
      <c r="E616" s="244"/>
      <c r="F616" s="244"/>
      <c r="G616" s="244"/>
      <c r="H616" s="244"/>
      <c r="K616" s="440"/>
      <c r="S616" s="244"/>
    </row>
    <row r="617" spans="1:19" ht="15.75" customHeight="1" x14ac:dyDescent="0.25">
      <c r="A617" s="244"/>
      <c r="C617" s="263"/>
      <c r="D617" s="264"/>
      <c r="E617" s="244"/>
      <c r="F617" s="244"/>
      <c r="G617" s="244"/>
      <c r="H617" s="244"/>
      <c r="K617" s="440"/>
      <c r="S617" s="244"/>
    </row>
    <row r="618" spans="1:19" ht="15.75" customHeight="1" x14ac:dyDescent="0.25">
      <c r="A618" s="244"/>
      <c r="C618" s="263"/>
      <c r="D618" s="264"/>
      <c r="E618" s="244"/>
      <c r="F618" s="244"/>
      <c r="G618" s="244"/>
      <c r="H618" s="244"/>
      <c r="K618" s="440"/>
      <c r="S618" s="244"/>
    </row>
    <row r="619" spans="1:19" ht="15.75" customHeight="1" x14ac:dyDescent="0.25">
      <c r="A619" s="244"/>
      <c r="C619" s="263"/>
      <c r="D619" s="264"/>
      <c r="E619" s="244"/>
      <c r="F619" s="244"/>
      <c r="G619" s="244"/>
      <c r="H619" s="244"/>
      <c r="K619" s="440"/>
      <c r="S619" s="244"/>
    </row>
    <row r="620" spans="1:19" ht="15.75" customHeight="1" x14ac:dyDescent="0.25">
      <c r="A620" s="244"/>
      <c r="C620" s="263"/>
      <c r="D620" s="264"/>
      <c r="E620" s="244"/>
      <c r="F620" s="244"/>
      <c r="G620" s="244"/>
      <c r="H620" s="244"/>
      <c r="K620" s="440"/>
      <c r="S620" s="244"/>
    </row>
    <row r="621" spans="1:19" ht="15.75" customHeight="1" x14ac:dyDescent="0.25">
      <c r="A621" s="244"/>
      <c r="C621" s="263"/>
      <c r="D621" s="264"/>
      <c r="E621" s="244"/>
      <c r="F621" s="244"/>
      <c r="G621" s="244"/>
      <c r="H621" s="244"/>
      <c r="K621" s="440"/>
      <c r="S621" s="244"/>
    </row>
    <row r="622" spans="1:19" ht="15.75" customHeight="1" x14ac:dyDescent="0.25">
      <c r="A622" s="244"/>
      <c r="C622" s="263"/>
      <c r="D622" s="264"/>
      <c r="E622" s="244"/>
      <c r="F622" s="244"/>
      <c r="G622" s="244"/>
      <c r="H622" s="244"/>
      <c r="K622" s="440"/>
      <c r="S622" s="244"/>
    </row>
    <row r="623" spans="1:19" ht="15.75" customHeight="1" x14ac:dyDescent="0.25">
      <c r="A623" s="244"/>
      <c r="C623" s="263"/>
      <c r="D623" s="264"/>
      <c r="E623" s="244"/>
      <c r="F623" s="244"/>
      <c r="G623" s="244"/>
      <c r="H623" s="244"/>
      <c r="K623" s="440"/>
      <c r="S623" s="244"/>
    </row>
    <row r="624" spans="1:19" ht="15.75" customHeight="1" x14ac:dyDescent="0.25">
      <c r="A624" s="244"/>
      <c r="C624" s="263"/>
      <c r="D624" s="264"/>
      <c r="E624" s="244"/>
      <c r="F624" s="244"/>
      <c r="G624" s="244"/>
      <c r="H624" s="244"/>
      <c r="K624" s="440"/>
      <c r="S624" s="244"/>
    </row>
    <row r="625" spans="1:19" ht="15.75" customHeight="1" x14ac:dyDescent="0.25">
      <c r="A625" s="244"/>
      <c r="C625" s="263"/>
      <c r="D625" s="264"/>
      <c r="E625" s="244"/>
      <c r="F625" s="244"/>
      <c r="G625" s="244"/>
      <c r="H625" s="244"/>
      <c r="K625" s="440"/>
      <c r="S625" s="244"/>
    </row>
    <row r="626" spans="1:19" ht="15.75" customHeight="1" x14ac:dyDescent="0.25">
      <c r="A626" s="244"/>
      <c r="C626" s="263"/>
      <c r="D626" s="264"/>
      <c r="E626" s="244"/>
      <c r="F626" s="244"/>
      <c r="G626" s="244"/>
      <c r="H626" s="244"/>
      <c r="K626" s="440"/>
      <c r="S626" s="244"/>
    </row>
    <row r="627" spans="1:19" ht="15.75" customHeight="1" x14ac:dyDescent="0.25">
      <c r="A627" s="244"/>
      <c r="C627" s="263"/>
      <c r="D627" s="264"/>
      <c r="E627" s="244"/>
      <c r="F627" s="244"/>
      <c r="G627" s="244"/>
      <c r="H627" s="244"/>
      <c r="K627" s="440"/>
      <c r="S627" s="244"/>
    </row>
    <row r="628" spans="1:19" ht="15.75" customHeight="1" x14ac:dyDescent="0.25">
      <c r="A628" s="244"/>
      <c r="C628" s="263"/>
      <c r="D628" s="264"/>
      <c r="E628" s="244"/>
      <c r="F628" s="244"/>
      <c r="G628" s="244"/>
      <c r="H628" s="244"/>
      <c r="K628" s="440"/>
      <c r="S628" s="244"/>
    </row>
    <row r="629" spans="1:19" ht="15.75" customHeight="1" x14ac:dyDescent="0.25">
      <c r="A629" s="244"/>
      <c r="C629" s="263"/>
      <c r="D629" s="264"/>
      <c r="E629" s="244"/>
      <c r="F629" s="244"/>
      <c r="G629" s="244"/>
      <c r="H629" s="244"/>
      <c r="K629" s="440"/>
      <c r="S629" s="244"/>
    </row>
    <row r="630" spans="1:19" ht="15.75" customHeight="1" x14ac:dyDescent="0.25">
      <c r="A630" s="244"/>
      <c r="C630" s="263"/>
      <c r="D630" s="264"/>
      <c r="E630" s="244"/>
      <c r="F630" s="244"/>
      <c r="G630" s="244"/>
      <c r="H630" s="244"/>
      <c r="K630" s="440"/>
      <c r="S630" s="244"/>
    </row>
    <row r="631" spans="1:19" ht="15.75" customHeight="1" x14ac:dyDescent="0.25">
      <c r="A631" s="244"/>
      <c r="C631" s="263"/>
      <c r="D631" s="264"/>
      <c r="E631" s="244"/>
      <c r="F631" s="244"/>
      <c r="G631" s="244"/>
      <c r="H631" s="244"/>
      <c r="K631" s="440"/>
      <c r="S631" s="244"/>
    </row>
    <row r="632" spans="1:19" ht="15.75" customHeight="1" x14ac:dyDescent="0.25">
      <c r="A632" s="244"/>
      <c r="C632" s="263"/>
      <c r="D632" s="264"/>
      <c r="E632" s="244"/>
      <c r="F632" s="244"/>
      <c r="G632" s="244"/>
      <c r="H632" s="244"/>
      <c r="K632" s="440"/>
      <c r="S632" s="244"/>
    </row>
    <row r="633" spans="1:19" ht="15.75" customHeight="1" x14ac:dyDescent="0.25">
      <c r="A633" s="244"/>
      <c r="C633" s="263"/>
      <c r="D633" s="264"/>
      <c r="E633" s="244"/>
      <c r="F633" s="244"/>
      <c r="G633" s="244"/>
      <c r="H633" s="244"/>
      <c r="K633" s="440"/>
      <c r="S633" s="244"/>
    </row>
    <row r="634" spans="1:19" ht="15.75" customHeight="1" x14ac:dyDescent="0.25">
      <c r="A634" s="244"/>
      <c r="C634" s="263"/>
      <c r="D634" s="264"/>
      <c r="E634" s="244"/>
      <c r="F634" s="244"/>
      <c r="G634" s="244"/>
      <c r="H634" s="244"/>
      <c r="K634" s="440"/>
      <c r="S634" s="244"/>
    </row>
    <row r="635" spans="1:19" ht="15.75" customHeight="1" x14ac:dyDescent="0.25">
      <c r="A635" s="244"/>
      <c r="C635" s="263"/>
      <c r="D635" s="264"/>
      <c r="E635" s="244"/>
      <c r="F635" s="244"/>
      <c r="G635" s="244"/>
      <c r="H635" s="244"/>
      <c r="K635" s="440"/>
      <c r="S635" s="244"/>
    </row>
    <row r="636" spans="1:19" ht="15.75" customHeight="1" x14ac:dyDescent="0.25">
      <c r="A636" s="244"/>
      <c r="C636" s="263"/>
      <c r="D636" s="264"/>
      <c r="E636" s="244"/>
      <c r="F636" s="244"/>
      <c r="G636" s="244"/>
      <c r="H636" s="244"/>
      <c r="K636" s="440"/>
      <c r="S636" s="244"/>
    </row>
    <row r="637" spans="1:19" ht="15.75" customHeight="1" x14ac:dyDescent="0.25">
      <c r="A637" s="244"/>
      <c r="C637" s="263"/>
      <c r="D637" s="264"/>
      <c r="E637" s="244"/>
      <c r="F637" s="244"/>
      <c r="G637" s="244"/>
      <c r="H637" s="244"/>
      <c r="K637" s="440"/>
      <c r="S637" s="244"/>
    </row>
    <row r="638" spans="1:19" ht="15.75" customHeight="1" x14ac:dyDescent="0.25">
      <c r="A638" s="244"/>
      <c r="C638" s="263"/>
      <c r="D638" s="264"/>
      <c r="E638" s="244"/>
      <c r="F638" s="244"/>
      <c r="G638" s="244"/>
      <c r="H638" s="244"/>
      <c r="K638" s="440"/>
      <c r="S638" s="244"/>
    </row>
    <row r="639" spans="1:19" ht="15.75" customHeight="1" x14ac:dyDescent="0.25">
      <c r="A639" s="244"/>
      <c r="C639" s="263"/>
      <c r="D639" s="264"/>
      <c r="E639" s="244"/>
      <c r="F639" s="244"/>
      <c r="G639" s="244"/>
      <c r="H639" s="244"/>
      <c r="K639" s="440"/>
      <c r="S639" s="244"/>
    </row>
    <row r="640" spans="1:19" ht="15.75" customHeight="1" x14ac:dyDescent="0.25">
      <c r="A640" s="244"/>
      <c r="C640" s="263"/>
      <c r="D640" s="264"/>
      <c r="E640" s="244"/>
      <c r="F640" s="244"/>
      <c r="G640" s="244"/>
      <c r="H640" s="244"/>
      <c r="K640" s="440"/>
      <c r="S640" s="244"/>
    </row>
    <row r="641" spans="1:19" ht="15.75" customHeight="1" x14ac:dyDescent="0.25">
      <c r="A641" s="244"/>
      <c r="C641" s="263"/>
      <c r="D641" s="264"/>
      <c r="E641" s="244"/>
      <c r="F641" s="244"/>
      <c r="G641" s="244"/>
      <c r="H641" s="244"/>
      <c r="K641" s="440"/>
      <c r="S641" s="244"/>
    </row>
    <row r="642" spans="1:19" ht="15.75" customHeight="1" x14ac:dyDescent="0.25">
      <c r="A642" s="244"/>
      <c r="C642" s="263"/>
      <c r="D642" s="264"/>
      <c r="E642" s="244"/>
      <c r="F642" s="244"/>
      <c r="G642" s="244"/>
      <c r="H642" s="244"/>
      <c r="K642" s="440"/>
      <c r="S642" s="244"/>
    </row>
    <row r="643" spans="1:19" ht="15.75" customHeight="1" x14ac:dyDescent="0.25">
      <c r="A643" s="244"/>
      <c r="C643" s="263"/>
      <c r="D643" s="264"/>
      <c r="E643" s="244"/>
      <c r="F643" s="244"/>
      <c r="G643" s="244"/>
      <c r="H643" s="244"/>
      <c r="K643" s="440"/>
      <c r="S643" s="244"/>
    </row>
    <row r="644" spans="1:19" ht="15.75" customHeight="1" x14ac:dyDescent="0.25">
      <c r="A644" s="244"/>
      <c r="C644" s="263"/>
      <c r="D644" s="264"/>
      <c r="E644" s="244"/>
      <c r="F644" s="244"/>
      <c r="G644" s="244"/>
      <c r="H644" s="244"/>
      <c r="K644" s="440"/>
      <c r="S644" s="244"/>
    </row>
    <row r="645" spans="1:19" ht="15.75" customHeight="1" x14ac:dyDescent="0.25">
      <c r="A645" s="244"/>
      <c r="C645" s="263"/>
      <c r="D645" s="264"/>
      <c r="E645" s="244"/>
      <c r="F645" s="244"/>
      <c r="G645" s="244"/>
      <c r="H645" s="244"/>
      <c r="K645" s="440"/>
      <c r="S645" s="244"/>
    </row>
    <row r="646" spans="1:19" ht="15.75" customHeight="1" x14ac:dyDescent="0.25">
      <c r="A646" s="244"/>
      <c r="C646" s="263"/>
      <c r="D646" s="264"/>
      <c r="E646" s="244"/>
      <c r="F646" s="244"/>
      <c r="G646" s="244"/>
      <c r="H646" s="244"/>
      <c r="K646" s="440"/>
      <c r="S646" s="244"/>
    </row>
    <row r="647" spans="1:19" ht="15.75" customHeight="1" x14ac:dyDescent="0.25">
      <c r="A647" s="244"/>
      <c r="C647" s="263"/>
      <c r="D647" s="264"/>
      <c r="E647" s="244"/>
      <c r="F647" s="244"/>
      <c r="G647" s="244"/>
      <c r="H647" s="244"/>
      <c r="K647" s="440"/>
      <c r="S647" s="244"/>
    </row>
    <row r="648" spans="1:19" ht="15.75" customHeight="1" x14ac:dyDescent="0.25">
      <c r="A648" s="244"/>
      <c r="C648" s="263"/>
      <c r="D648" s="264"/>
      <c r="E648" s="244"/>
      <c r="F648" s="244"/>
      <c r="G648" s="244"/>
      <c r="H648" s="244"/>
      <c r="K648" s="440"/>
      <c r="S648" s="244"/>
    </row>
    <row r="649" spans="1:19" ht="15.75" customHeight="1" x14ac:dyDescent="0.25">
      <c r="A649" s="244"/>
      <c r="C649" s="263"/>
      <c r="D649" s="264"/>
      <c r="E649" s="244"/>
      <c r="F649" s="244"/>
      <c r="G649" s="244"/>
      <c r="H649" s="244"/>
      <c r="K649" s="440"/>
      <c r="S649" s="244"/>
    </row>
    <row r="650" spans="1:19" ht="15.75" customHeight="1" x14ac:dyDescent="0.25">
      <c r="A650" s="244"/>
      <c r="C650" s="263"/>
      <c r="D650" s="264"/>
      <c r="E650" s="244"/>
      <c r="F650" s="244"/>
      <c r="G650" s="244"/>
      <c r="H650" s="244"/>
      <c r="K650" s="440"/>
      <c r="S650" s="244"/>
    </row>
    <row r="651" spans="1:19" ht="15.75" customHeight="1" x14ac:dyDescent="0.25">
      <c r="A651" s="244"/>
      <c r="C651" s="263"/>
      <c r="D651" s="264"/>
      <c r="E651" s="244"/>
      <c r="F651" s="244"/>
      <c r="G651" s="244"/>
      <c r="H651" s="244"/>
      <c r="K651" s="440"/>
      <c r="S651" s="244"/>
    </row>
    <row r="652" spans="1:19" ht="15.75" customHeight="1" x14ac:dyDescent="0.25">
      <c r="A652" s="244"/>
      <c r="C652" s="263"/>
      <c r="D652" s="264"/>
      <c r="E652" s="244"/>
      <c r="F652" s="244"/>
      <c r="G652" s="244"/>
      <c r="H652" s="244"/>
      <c r="K652" s="440"/>
      <c r="S652" s="244"/>
    </row>
    <row r="653" spans="1:19" ht="15.75" customHeight="1" x14ac:dyDescent="0.25">
      <c r="A653" s="244"/>
      <c r="C653" s="263"/>
      <c r="D653" s="264"/>
      <c r="E653" s="244"/>
      <c r="F653" s="244"/>
      <c r="G653" s="244"/>
      <c r="H653" s="244"/>
      <c r="K653" s="440"/>
      <c r="S653" s="244"/>
    </row>
    <row r="654" spans="1:19" ht="15.75" customHeight="1" x14ac:dyDescent="0.25">
      <c r="A654" s="244"/>
      <c r="C654" s="263"/>
      <c r="D654" s="264"/>
      <c r="E654" s="244"/>
      <c r="F654" s="244"/>
      <c r="G654" s="244"/>
      <c r="H654" s="244"/>
      <c r="K654" s="440"/>
      <c r="S654" s="244"/>
    </row>
    <row r="655" spans="1:19" ht="15.75" customHeight="1" x14ac:dyDescent="0.25">
      <c r="A655" s="244"/>
      <c r="C655" s="263"/>
      <c r="D655" s="264"/>
      <c r="E655" s="244"/>
      <c r="F655" s="244"/>
      <c r="G655" s="244"/>
      <c r="H655" s="244"/>
      <c r="K655" s="440"/>
      <c r="S655" s="244"/>
    </row>
    <row r="656" spans="1:19" ht="15.75" customHeight="1" x14ac:dyDescent="0.25">
      <c r="A656" s="244"/>
      <c r="C656" s="263"/>
      <c r="D656" s="264"/>
      <c r="E656" s="244"/>
      <c r="F656" s="244"/>
      <c r="G656" s="244"/>
      <c r="H656" s="244"/>
      <c r="K656" s="440"/>
      <c r="S656" s="244"/>
    </row>
    <row r="657" spans="1:19" ht="15.75" customHeight="1" x14ac:dyDescent="0.25">
      <c r="A657" s="244"/>
      <c r="C657" s="263"/>
      <c r="D657" s="264"/>
      <c r="E657" s="244"/>
      <c r="F657" s="244"/>
      <c r="G657" s="244"/>
      <c r="H657" s="244"/>
      <c r="K657" s="440"/>
      <c r="S657" s="244"/>
    </row>
    <row r="658" spans="1:19" ht="15.75" customHeight="1" x14ac:dyDescent="0.25">
      <c r="A658" s="244"/>
      <c r="C658" s="263"/>
      <c r="D658" s="264"/>
      <c r="E658" s="244"/>
      <c r="F658" s="244"/>
      <c r="G658" s="244"/>
      <c r="H658" s="244"/>
      <c r="K658" s="440"/>
      <c r="S658" s="244"/>
    </row>
    <row r="659" spans="1:19" ht="15.75" customHeight="1" x14ac:dyDescent="0.25">
      <c r="A659" s="244"/>
      <c r="C659" s="263"/>
      <c r="D659" s="264"/>
      <c r="E659" s="244"/>
      <c r="F659" s="244"/>
      <c r="G659" s="244"/>
      <c r="H659" s="244"/>
      <c r="K659" s="440"/>
      <c r="S659" s="244"/>
    </row>
    <row r="660" spans="1:19" ht="15.75" customHeight="1" x14ac:dyDescent="0.25">
      <c r="A660" s="244"/>
      <c r="C660" s="263"/>
      <c r="D660" s="264"/>
      <c r="E660" s="244"/>
      <c r="F660" s="244"/>
      <c r="G660" s="244"/>
      <c r="H660" s="244"/>
      <c r="K660" s="440"/>
      <c r="S660" s="244"/>
    </row>
    <row r="661" spans="1:19" ht="15.75" customHeight="1" x14ac:dyDescent="0.25">
      <c r="A661" s="244"/>
      <c r="C661" s="263"/>
      <c r="D661" s="264"/>
      <c r="E661" s="244"/>
      <c r="F661" s="244"/>
      <c r="G661" s="244"/>
      <c r="H661" s="244"/>
      <c r="K661" s="440"/>
      <c r="S661" s="244"/>
    </row>
    <row r="662" spans="1:19" ht="15.75" customHeight="1" x14ac:dyDescent="0.25">
      <c r="A662" s="244"/>
      <c r="C662" s="263"/>
      <c r="D662" s="264"/>
      <c r="E662" s="244"/>
      <c r="F662" s="244"/>
      <c r="G662" s="244"/>
      <c r="H662" s="244"/>
      <c r="K662" s="440"/>
      <c r="S662" s="244"/>
    </row>
    <row r="663" spans="1:19" ht="15.75" customHeight="1" x14ac:dyDescent="0.25">
      <c r="A663" s="244"/>
      <c r="C663" s="263"/>
      <c r="D663" s="264"/>
      <c r="E663" s="244"/>
      <c r="F663" s="244"/>
      <c r="G663" s="244"/>
      <c r="H663" s="244"/>
      <c r="K663" s="440"/>
      <c r="S663" s="244"/>
    </row>
    <row r="664" spans="1:19" ht="15.75" customHeight="1" x14ac:dyDescent="0.25">
      <c r="A664" s="244"/>
      <c r="C664" s="263"/>
      <c r="D664" s="264"/>
      <c r="E664" s="244"/>
      <c r="F664" s="244"/>
      <c r="G664" s="244"/>
      <c r="H664" s="244"/>
      <c r="K664" s="440"/>
      <c r="S664" s="244"/>
    </row>
    <row r="665" spans="1:19" ht="15.75" customHeight="1" x14ac:dyDescent="0.25">
      <c r="A665" s="244"/>
      <c r="C665" s="263"/>
      <c r="D665" s="264"/>
      <c r="E665" s="244"/>
      <c r="F665" s="244"/>
      <c r="G665" s="244"/>
      <c r="H665" s="244"/>
      <c r="K665" s="440"/>
      <c r="S665" s="244"/>
    </row>
    <row r="666" spans="1:19" ht="15.75" customHeight="1" x14ac:dyDescent="0.25">
      <c r="A666" s="244"/>
      <c r="C666" s="263"/>
      <c r="D666" s="264"/>
      <c r="E666" s="244"/>
      <c r="F666" s="244"/>
      <c r="G666" s="244"/>
      <c r="H666" s="244"/>
      <c r="K666" s="440"/>
      <c r="S666" s="244"/>
    </row>
    <row r="667" spans="1:19" ht="15.75" customHeight="1" x14ac:dyDescent="0.25">
      <c r="A667" s="244"/>
      <c r="C667" s="263"/>
      <c r="D667" s="264"/>
      <c r="E667" s="244"/>
      <c r="F667" s="244"/>
      <c r="G667" s="244"/>
      <c r="H667" s="244"/>
      <c r="K667" s="440"/>
      <c r="S667" s="244"/>
    </row>
    <row r="668" spans="1:19" ht="15.75" customHeight="1" x14ac:dyDescent="0.25">
      <c r="A668" s="244"/>
      <c r="C668" s="263"/>
      <c r="D668" s="264"/>
      <c r="E668" s="244"/>
      <c r="F668" s="244"/>
      <c r="G668" s="244"/>
      <c r="H668" s="244"/>
      <c r="K668" s="440"/>
      <c r="S668" s="244"/>
    </row>
    <row r="669" spans="1:19" ht="15.75" customHeight="1" x14ac:dyDescent="0.25">
      <c r="A669" s="244"/>
      <c r="C669" s="263"/>
      <c r="D669" s="264"/>
      <c r="E669" s="244"/>
      <c r="F669" s="244"/>
      <c r="G669" s="244"/>
      <c r="H669" s="244"/>
      <c r="K669" s="440"/>
      <c r="S669" s="244"/>
    </row>
    <row r="670" spans="1:19" ht="15.75" customHeight="1" x14ac:dyDescent="0.25">
      <c r="A670" s="244"/>
      <c r="C670" s="263"/>
      <c r="D670" s="264"/>
      <c r="E670" s="244"/>
      <c r="F670" s="244"/>
      <c r="G670" s="244"/>
      <c r="H670" s="244"/>
      <c r="K670" s="440"/>
      <c r="S670" s="244"/>
    </row>
    <row r="671" spans="1:19" ht="15.75" customHeight="1" x14ac:dyDescent="0.25">
      <c r="A671" s="244"/>
      <c r="C671" s="263"/>
      <c r="D671" s="264"/>
      <c r="E671" s="244"/>
      <c r="F671" s="244"/>
      <c r="G671" s="244"/>
      <c r="H671" s="244"/>
      <c r="K671" s="440"/>
      <c r="S671" s="244"/>
    </row>
    <row r="672" spans="1:19" ht="15.75" customHeight="1" x14ac:dyDescent="0.25">
      <c r="A672" s="244"/>
      <c r="C672" s="263"/>
      <c r="D672" s="264"/>
      <c r="E672" s="244"/>
      <c r="F672" s="244"/>
      <c r="G672" s="244"/>
      <c r="H672" s="244"/>
      <c r="K672" s="440"/>
      <c r="S672" s="244"/>
    </row>
    <row r="673" spans="1:19" ht="15.75" customHeight="1" x14ac:dyDescent="0.25">
      <c r="A673" s="244"/>
      <c r="C673" s="263"/>
      <c r="D673" s="264"/>
      <c r="E673" s="244"/>
      <c r="F673" s="244"/>
      <c r="G673" s="244"/>
      <c r="H673" s="244"/>
      <c r="K673" s="440"/>
      <c r="S673" s="244"/>
    </row>
    <row r="674" spans="1:19" ht="15.75" customHeight="1" x14ac:dyDescent="0.25">
      <c r="A674" s="244"/>
      <c r="C674" s="263"/>
      <c r="D674" s="264"/>
      <c r="E674" s="244"/>
      <c r="F674" s="244"/>
      <c r="G674" s="244"/>
      <c r="H674" s="244"/>
      <c r="K674" s="440"/>
      <c r="S674" s="244"/>
    </row>
    <row r="675" spans="1:19" ht="15.75" customHeight="1" x14ac:dyDescent="0.25">
      <c r="A675" s="244"/>
      <c r="C675" s="263"/>
      <c r="D675" s="264"/>
      <c r="E675" s="244"/>
      <c r="F675" s="244"/>
      <c r="G675" s="244"/>
      <c r="H675" s="244"/>
      <c r="K675" s="440"/>
      <c r="S675" s="244"/>
    </row>
    <row r="676" spans="1:19" ht="15.75" customHeight="1" x14ac:dyDescent="0.25">
      <c r="A676" s="244"/>
      <c r="C676" s="263"/>
      <c r="D676" s="264"/>
      <c r="E676" s="244"/>
      <c r="F676" s="244"/>
      <c r="G676" s="244"/>
      <c r="H676" s="244"/>
      <c r="K676" s="440"/>
      <c r="S676" s="244"/>
    </row>
    <row r="677" spans="1:19" ht="15.75" customHeight="1" x14ac:dyDescent="0.25">
      <c r="A677" s="244"/>
      <c r="C677" s="263"/>
      <c r="D677" s="264"/>
      <c r="E677" s="244"/>
      <c r="F677" s="244"/>
      <c r="G677" s="244"/>
      <c r="H677" s="244"/>
      <c r="K677" s="440"/>
      <c r="S677" s="244"/>
    </row>
    <row r="678" spans="1:19" ht="15.75" customHeight="1" x14ac:dyDescent="0.25">
      <c r="A678" s="244"/>
      <c r="C678" s="263"/>
      <c r="D678" s="264"/>
      <c r="E678" s="244"/>
      <c r="F678" s="244"/>
      <c r="G678" s="244"/>
      <c r="H678" s="244"/>
      <c r="K678" s="440"/>
      <c r="S678" s="244"/>
    </row>
    <row r="679" spans="1:19" ht="15.75" customHeight="1" x14ac:dyDescent="0.25">
      <c r="A679" s="244"/>
      <c r="C679" s="263"/>
      <c r="D679" s="264"/>
      <c r="E679" s="244"/>
      <c r="F679" s="244"/>
      <c r="G679" s="244"/>
      <c r="H679" s="244"/>
      <c r="K679" s="440"/>
      <c r="S679" s="244"/>
    </row>
    <row r="680" spans="1:19" ht="15.75" customHeight="1" x14ac:dyDescent="0.25">
      <c r="A680" s="244"/>
      <c r="C680" s="263"/>
      <c r="D680" s="264"/>
      <c r="E680" s="244"/>
      <c r="F680" s="244"/>
      <c r="G680" s="244"/>
      <c r="H680" s="244"/>
      <c r="K680" s="440"/>
      <c r="S680" s="244"/>
    </row>
    <row r="681" spans="1:19" ht="15.75" customHeight="1" x14ac:dyDescent="0.25">
      <c r="A681" s="244"/>
      <c r="C681" s="263"/>
      <c r="D681" s="264"/>
      <c r="E681" s="244"/>
      <c r="F681" s="244"/>
      <c r="G681" s="244"/>
      <c r="H681" s="244"/>
      <c r="K681" s="440"/>
      <c r="S681" s="244"/>
    </row>
    <row r="682" spans="1:19" ht="15.75" customHeight="1" x14ac:dyDescent="0.25">
      <c r="A682" s="244"/>
      <c r="C682" s="263"/>
      <c r="D682" s="264"/>
      <c r="E682" s="244"/>
      <c r="F682" s="244"/>
      <c r="G682" s="244"/>
      <c r="H682" s="244"/>
      <c r="K682" s="440"/>
      <c r="S682" s="244"/>
    </row>
    <row r="683" spans="1:19" ht="15.75" customHeight="1" x14ac:dyDescent="0.25">
      <c r="A683" s="244"/>
      <c r="C683" s="263"/>
      <c r="D683" s="264"/>
      <c r="E683" s="244"/>
      <c r="F683" s="244"/>
      <c r="G683" s="244"/>
      <c r="H683" s="244"/>
      <c r="K683" s="440"/>
      <c r="S683" s="244"/>
    </row>
    <row r="684" spans="1:19" ht="15.75" customHeight="1" x14ac:dyDescent="0.25">
      <c r="A684" s="244"/>
      <c r="C684" s="263"/>
      <c r="D684" s="264"/>
      <c r="E684" s="244"/>
      <c r="F684" s="244"/>
      <c r="G684" s="244"/>
      <c r="H684" s="244"/>
      <c r="K684" s="440"/>
      <c r="S684" s="244"/>
    </row>
    <row r="685" spans="1:19" ht="15.75" customHeight="1" x14ac:dyDescent="0.25">
      <c r="A685" s="244"/>
      <c r="C685" s="263"/>
      <c r="D685" s="264"/>
      <c r="E685" s="244"/>
      <c r="F685" s="244"/>
      <c r="G685" s="244"/>
      <c r="H685" s="244"/>
      <c r="K685" s="440"/>
      <c r="S685" s="244"/>
    </row>
    <row r="686" spans="1:19" ht="15.75" customHeight="1" x14ac:dyDescent="0.25">
      <c r="A686" s="244"/>
      <c r="C686" s="263"/>
      <c r="D686" s="264"/>
      <c r="E686" s="244"/>
      <c r="F686" s="244"/>
      <c r="G686" s="244"/>
      <c r="H686" s="244"/>
      <c r="K686" s="440"/>
      <c r="S686" s="244"/>
    </row>
    <row r="687" spans="1:19" ht="15.75" customHeight="1" x14ac:dyDescent="0.25">
      <c r="A687" s="244"/>
      <c r="C687" s="263"/>
      <c r="D687" s="264"/>
      <c r="E687" s="244"/>
      <c r="F687" s="244"/>
      <c r="G687" s="244"/>
      <c r="H687" s="244"/>
      <c r="K687" s="440"/>
      <c r="S687" s="244"/>
    </row>
    <row r="688" spans="1:19" ht="15.75" customHeight="1" x14ac:dyDescent="0.25">
      <c r="A688" s="244"/>
      <c r="C688" s="263"/>
      <c r="D688" s="264"/>
      <c r="E688" s="244"/>
      <c r="F688" s="244"/>
      <c r="G688" s="244"/>
      <c r="H688" s="244"/>
      <c r="K688" s="440"/>
      <c r="S688" s="244"/>
    </row>
    <row r="689" spans="1:19" ht="15.75" customHeight="1" x14ac:dyDescent="0.25">
      <c r="A689" s="244"/>
      <c r="C689" s="263"/>
      <c r="D689" s="264"/>
      <c r="E689" s="244"/>
      <c r="F689" s="244"/>
      <c r="G689" s="244"/>
      <c r="H689" s="244"/>
      <c r="K689" s="440"/>
      <c r="S689" s="244"/>
    </row>
    <row r="690" spans="1:19" ht="15.75" customHeight="1" x14ac:dyDescent="0.25">
      <c r="A690" s="244"/>
      <c r="C690" s="263"/>
      <c r="D690" s="264"/>
      <c r="E690" s="244"/>
      <c r="F690" s="244"/>
      <c r="G690" s="244"/>
      <c r="H690" s="244"/>
      <c r="K690" s="440"/>
      <c r="S690" s="244"/>
    </row>
    <row r="691" spans="1:19" ht="15.75" customHeight="1" x14ac:dyDescent="0.25">
      <c r="A691" s="244"/>
      <c r="C691" s="263"/>
      <c r="D691" s="264"/>
      <c r="E691" s="244"/>
      <c r="F691" s="244"/>
      <c r="G691" s="244"/>
      <c r="H691" s="244"/>
      <c r="K691" s="440"/>
      <c r="S691" s="244"/>
    </row>
    <row r="692" spans="1:19" ht="15.75" customHeight="1" x14ac:dyDescent="0.25">
      <c r="A692" s="244"/>
      <c r="C692" s="263"/>
      <c r="D692" s="264"/>
      <c r="E692" s="244"/>
      <c r="F692" s="244"/>
      <c r="G692" s="244"/>
      <c r="H692" s="244"/>
      <c r="K692" s="440"/>
      <c r="S692" s="244"/>
    </row>
    <row r="693" spans="1:19" ht="15.75" customHeight="1" x14ac:dyDescent="0.25">
      <c r="A693" s="244"/>
      <c r="C693" s="263"/>
      <c r="D693" s="264"/>
      <c r="E693" s="244"/>
      <c r="F693" s="244"/>
      <c r="G693" s="244"/>
      <c r="H693" s="244"/>
      <c r="K693" s="440"/>
      <c r="S693" s="244"/>
    </row>
    <row r="694" spans="1:19" ht="15.75" customHeight="1" x14ac:dyDescent="0.25">
      <c r="A694" s="244"/>
      <c r="C694" s="263"/>
      <c r="D694" s="264"/>
      <c r="E694" s="244"/>
      <c r="F694" s="244"/>
      <c r="G694" s="244"/>
      <c r="H694" s="244"/>
      <c r="K694" s="440"/>
      <c r="S694" s="244"/>
    </row>
    <row r="695" spans="1:19" ht="15.75" customHeight="1" x14ac:dyDescent="0.25">
      <c r="A695" s="244"/>
      <c r="C695" s="263"/>
      <c r="D695" s="264"/>
      <c r="E695" s="244"/>
      <c r="F695" s="244"/>
      <c r="G695" s="244"/>
      <c r="H695" s="244"/>
      <c r="K695" s="440"/>
      <c r="S695" s="244"/>
    </row>
    <row r="696" spans="1:19" ht="15.75" customHeight="1" x14ac:dyDescent="0.25">
      <c r="A696" s="244"/>
      <c r="C696" s="263"/>
      <c r="D696" s="264"/>
      <c r="E696" s="244"/>
      <c r="F696" s="244"/>
      <c r="G696" s="244"/>
      <c r="H696" s="244"/>
      <c r="K696" s="440"/>
      <c r="S696" s="244"/>
    </row>
    <row r="697" spans="1:19" ht="15.75" customHeight="1" x14ac:dyDescent="0.25">
      <c r="A697" s="244"/>
      <c r="C697" s="263"/>
      <c r="D697" s="264"/>
      <c r="E697" s="244"/>
      <c r="F697" s="244"/>
      <c r="G697" s="244"/>
      <c r="H697" s="244"/>
      <c r="K697" s="440"/>
      <c r="S697" s="244"/>
    </row>
    <row r="698" spans="1:19" ht="15.75" customHeight="1" x14ac:dyDescent="0.25">
      <c r="A698" s="244"/>
      <c r="C698" s="263"/>
      <c r="D698" s="264"/>
      <c r="E698" s="244"/>
      <c r="F698" s="244"/>
      <c r="G698" s="244"/>
      <c r="H698" s="244"/>
      <c r="K698" s="440"/>
      <c r="S698" s="244"/>
    </row>
    <row r="699" spans="1:19" ht="15.75" customHeight="1" x14ac:dyDescent="0.25">
      <c r="A699" s="244"/>
      <c r="C699" s="263"/>
      <c r="D699" s="264"/>
      <c r="E699" s="244"/>
      <c r="F699" s="244"/>
      <c r="G699" s="244"/>
      <c r="H699" s="244"/>
      <c r="K699" s="440"/>
      <c r="S699" s="244"/>
    </row>
    <row r="700" spans="1:19" ht="15.75" customHeight="1" x14ac:dyDescent="0.25">
      <c r="A700" s="244"/>
      <c r="C700" s="263"/>
      <c r="D700" s="264"/>
      <c r="E700" s="244"/>
      <c r="F700" s="244"/>
      <c r="G700" s="244"/>
      <c r="H700" s="244"/>
      <c r="K700" s="440"/>
      <c r="S700" s="244"/>
    </row>
    <row r="701" spans="1:19" ht="15.75" customHeight="1" x14ac:dyDescent="0.25">
      <c r="A701" s="244"/>
      <c r="C701" s="263"/>
      <c r="D701" s="264"/>
      <c r="E701" s="244"/>
      <c r="F701" s="244"/>
      <c r="G701" s="244"/>
      <c r="H701" s="244"/>
      <c r="K701" s="440"/>
      <c r="S701" s="244"/>
    </row>
    <row r="702" spans="1:19" ht="15.75" customHeight="1" x14ac:dyDescent="0.25">
      <c r="A702" s="244"/>
      <c r="C702" s="263"/>
      <c r="D702" s="264"/>
      <c r="E702" s="244"/>
      <c r="F702" s="244"/>
      <c r="G702" s="244"/>
      <c r="H702" s="244"/>
      <c r="K702" s="440"/>
      <c r="S702" s="244"/>
    </row>
    <row r="703" spans="1:19" ht="15.75" customHeight="1" x14ac:dyDescent="0.25">
      <c r="A703" s="244"/>
      <c r="C703" s="263"/>
      <c r="D703" s="264"/>
      <c r="E703" s="244"/>
      <c r="F703" s="244"/>
      <c r="G703" s="244"/>
      <c r="H703" s="244"/>
      <c r="K703" s="440"/>
      <c r="S703" s="244"/>
    </row>
    <row r="704" spans="1:19" ht="15.75" customHeight="1" x14ac:dyDescent="0.25">
      <c r="A704" s="244"/>
      <c r="C704" s="263"/>
      <c r="D704" s="264"/>
      <c r="E704" s="244"/>
      <c r="F704" s="244"/>
      <c r="G704" s="244"/>
      <c r="H704" s="244"/>
      <c r="K704" s="440"/>
      <c r="S704" s="244"/>
    </row>
    <row r="705" spans="1:19" ht="15.75" customHeight="1" x14ac:dyDescent="0.25">
      <c r="A705" s="244"/>
      <c r="C705" s="263"/>
      <c r="D705" s="264"/>
      <c r="E705" s="244"/>
      <c r="F705" s="244"/>
      <c r="G705" s="244"/>
      <c r="H705" s="244"/>
      <c r="K705" s="440"/>
      <c r="S705" s="244"/>
    </row>
    <row r="706" spans="1:19" ht="15.75" customHeight="1" x14ac:dyDescent="0.25">
      <c r="A706" s="244"/>
      <c r="C706" s="263"/>
      <c r="D706" s="264"/>
      <c r="E706" s="244"/>
      <c r="F706" s="244"/>
      <c r="G706" s="244"/>
      <c r="H706" s="244"/>
      <c r="K706" s="440"/>
      <c r="S706" s="244"/>
    </row>
    <row r="707" spans="1:19" ht="15.75" customHeight="1" x14ac:dyDescent="0.25">
      <c r="A707" s="244"/>
      <c r="C707" s="263"/>
      <c r="D707" s="264"/>
      <c r="E707" s="244"/>
      <c r="F707" s="244"/>
      <c r="G707" s="244"/>
      <c r="H707" s="244"/>
      <c r="K707" s="440"/>
      <c r="S707" s="244"/>
    </row>
    <row r="708" spans="1:19" ht="15.75" customHeight="1" x14ac:dyDescent="0.25">
      <c r="A708" s="244"/>
      <c r="C708" s="263"/>
      <c r="D708" s="264"/>
      <c r="E708" s="244"/>
      <c r="F708" s="244"/>
      <c r="G708" s="244"/>
      <c r="H708" s="244"/>
      <c r="K708" s="440"/>
      <c r="S708" s="244"/>
    </row>
    <row r="709" spans="1:19" ht="15.75" customHeight="1" x14ac:dyDescent="0.25">
      <c r="A709" s="244"/>
      <c r="C709" s="263"/>
      <c r="D709" s="264"/>
      <c r="E709" s="244"/>
      <c r="F709" s="244"/>
      <c r="G709" s="244"/>
      <c r="H709" s="244"/>
      <c r="K709" s="440"/>
      <c r="S709" s="244"/>
    </row>
    <row r="710" spans="1:19" ht="15.75" customHeight="1" x14ac:dyDescent="0.25">
      <c r="A710" s="244"/>
      <c r="C710" s="263"/>
      <c r="D710" s="264"/>
      <c r="E710" s="244"/>
      <c r="F710" s="244"/>
      <c r="G710" s="244"/>
      <c r="H710" s="244"/>
      <c r="K710" s="440"/>
      <c r="S710" s="244"/>
    </row>
    <row r="711" spans="1:19" ht="15.75" customHeight="1" x14ac:dyDescent="0.25">
      <c r="A711" s="244"/>
      <c r="C711" s="263"/>
      <c r="D711" s="264"/>
      <c r="E711" s="244"/>
      <c r="F711" s="244"/>
      <c r="G711" s="244"/>
      <c r="H711" s="244"/>
      <c r="K711" s="440"/>
      <c r="S711" s="244"/>
    </row>
    <row r="712" spans="1:19" ht="15.75" customHeight="1" x14ac:dyDescent="0.25">
      <c r="A712" s="244"/>
      <c r="C712" s="263"/>
      <c r="D712" s="264"/>
      <c r="E712" s="244"/>
      <c r="F712" s="244"/>
      <c r="G712" s="244"/>
      <c r="H712" s="244"/>
      <c r="K712" s="440"/>
      <c r="S712" s="244"/>
    </row>
    <row r="713" spans="1:19" ht="15.75" customHeight="1" x14ac:dyDescent="0.25">
      <c r="A713" s="244"/>
      <c r="C713" s="263"/>
      <c r="D713" s="264"/>
      <c r="E713" s="244"/>
      <c r="F713" s="244"/>
      <c r="G713" s="244"/>
      <c r="H713" s="244"/>
      <c r="K713" s="440"/>
      <c r="S713" s="244"/>
    </row>
    <row r="714" spans="1:19" ht="15.75" customHeight="1" x14ac:dyDescent="0.25">
      <c r="A714" s="244"/>
      <c r="C714" s="263"/>
      <c r="D714" s="264"/>
      <c r="E714" s="244"/>
      <c r="F714" s="244"/>
      <c r="G714" s="244"/>
      <c r="H714" s="244"/>
      <c r="K714" s="440"/>
      <c r="S714" s="244"/>
    </row>
    <row r="715" spans="1:19" ht="15.75" customHeight="1" x14ac:dyDescent="0.25">
      <c r="A715" s="244"/>
      <c r="C715" s="263"/>
      <c r="D715" s="264"/>
      <c r="E715" s="244"/>
      <c r="F715" s="244"/>
      <c r="G715" s="244"/>
      <c r="H715" s="244"/>
      <c r="K715" s="440"/>
      <c r="S715" s="244"/>
    </row>
    <row r="716" spans="1:19" ht="15.75" customHeight="1" x14ac:dyDescent="0.25">
      <c r="A716" s="244"/>
      <c r="C716" s="263"/>
      <c r="D716" s="264"/>
      <c r="E716" s="244"/>
      <c r="F716" s="244"/>
      <c r="G716" s="244"/>
      <c r="H716" s="244"/>
      <c r="K716" s="440"/>
      <c r="S716" s="244"/>
    </row>
    <row r="717" spans="1:19" ht="15.75" customHeight="1" x14ac:dyDescent="0.25">
      <c r="A717" s="244"/>
      <c r="C717" s="263"/>
      <c r="D717" s="264"/>
      <c r="E717" s="244"/>
      <c r="F717" s="244"/>
      <c r="G717" s="244"/>
      <c r="H717" s="244"/>
      <c r="K717" s="440"/>
      <c r="S717" s="244"/>
    </row>
    <row r="718" spans="1:19" ht="15.75" customHeight="1" x14ac:dyDescent="0.25">
      <c r="A718" s="244"/>
      <c r="C718" s="263"/>
      <c r="D718" s="264"/>
      <c r="E718" s="244"/>
      <c r="F718" s="244"/>
      <c r="G718" s="244"/>
      <c r="H718" s="244"/>
      <c r="K718" s="440"/>
      <c r="S718" s="244"/>
    </row>
    <row r="719" spans="1:19" ht="15.75" customHeight="1" x14ac:dyDescent="0.25">
      <c r="A719" s="244"/>
      <c r="C719" s="263"/>
      <c r="D719" s="264"/>
      <c r="E719" s="244"/>
      <c r="F719" s="244"/>
      <c r="G719" s="244"/>
      <c r="H719" s="244"/>
      <c r="K719" s="440"/>
      <c r="S719" s="244"/>
    </row>
    <row r="720" spans="1:19" ht="15.75" customHeight="1" x14ac:dyDescent="0.25">
      <c r="A720" s="244"/>
      <c r="C720" s="263"/>
      <c r="D720" s="264"/>
      <c r="E720" s="244"/>
      <c r="F720" s="244"/>
      <c r="G720" s="244"/>
      <c r="H720" s="244"/>
      <c r="K720" s="440"/>
      <c r="S720" s="244"/>
    </row>
    <row r="721" spans="1:19" ht="15.75" customHeight="1" x14ac:dyDescent="0.25">
      <c r="A721" s="244"/>
      <c r="C721" s="263"/>
      <c r="D721" s="264"/>
      <c r="E721" s="244"/>
      <c r="F721" s="244"/>
      <c r="G721" s="244"/>
      <c r="H721" s="244"/>
      <c r="K721" s="440"/>
      <c r="S721" s="244"/>
    </row>
    <row r="722" spans="1:19" ht="15.75" customHeight="1" x14ac:dyDescent="0.25">
      <c r="A722" s="244"/>
      <c r="C722" s="263"/>
      <c r="D722" s="264"/>
      <c r="E722" s="244"/>
      <c r="F722" s="244"/>
      <c r="G722" s="244"/>
      <c r="H722" s="244"/>
      <c r="K722" s="440"/>
      <c r="S722" s="244"/>
    </row>
    <row r="723" spans="1:19" ht="15.75" customHeight="1" x14ac:dyDescent="0.25">
      <c r="A723" s="244"/>
      <c r="C723" s="263"/>
      <c r="D723" s="264"/>
      <c r="E723" s="244"/>
      <c r="F723" s="244"/>
      <c r="G723" s="244"/>
      <c r="H723" s="244"/>
      <c r="K723" s="440"/>
      <c r="S723" s="244"/>
    </row>
    <row r="724" spans="1:19" ht="15.75" customHeight="1" x14ac:dyDescent="0.25">
      <c r="A724" s="244"/>
      <c r="C724" s="263"/>
      <c r="D724" s="264"/>
      <c r="E724" s="244"/>
      <c r="F724" s="244"/>
      <c r="G724" s="244"/>
      <c r="H724" s="244"/>
      <c r="K724" s="440"/>
      <c r="S724" s="244"/>
    </row>
    <row r="725" spans="1:19" ht="15.75" customHeight="1" x14ac:dyDescent="0.25">
      <c r="A725" s="244"/>
      <c r="C725" s="263"/>
      <c r="D725" s="264"/>
      <c r="E725" s="244"/>
      <c r="F725" s="244"/>
      <c r="G725" s="244"/>
      <c r="H725" s="244"/>
      <c r="K725" s="440"/>
      <c r="S725" s="244"/>
    </row>
    <row r="726" spans="1:19" ht="15.75" customHeight="1" x14ac:dyDescent="0.25">
      <c r="A726" s="244"/>
      <c r="C726" s="263"/>
      <c r="D726" s="264"/>
      <c r="E726" s="244"/>
      <c r="F726" s="244"/>
      <c r="G726" s="244"/>
      <c r="H726" s="244"/>
      <c r="K726" s="440"/>
      <c r="S726" s="244"/>
    </row>
    <row r="727" spans="1:19" ht="15.75" customHeight="1" x14ac:dyDescent="0.25">
      <c r="A727" s="244"/>
      <c r="C727" s="263"/>
      <c r="D727" s="264"/>
      <c r="E727" s="244"/>
      <c r="F727" s="244"/>
      <c r="G727" s="244"/>
      <c r="H727" s="244"/>
      <c r="K727" s="440"/>
      <c r="S727" s="244"/>
    </row>
    <row r="728" spans="1:19" ht="15.75" customHeight="1" x14ac:dyDescent="0.25">
      <c r="A728" s="244"/>
      <c r="C728" s="263"/>
      <c r="D728" s="264"/>
      <c r="E728" s="244"/>
      <c r="F728" s="244"/>
      <c r="G728" s="244"/>
      <c r="H728" s="244"/>
      <c r="K728" s="440"/>
      <c r="S728" s="244"/>
    </row>
    <row r="729" spans="1:19" ht="15.75" customHeight="1" x14ac:dyDescent="0.25">
      <c r="A729" s="244"/>
      <c r="C729" s="263"/>
      <c r="D729" s="264"/>
      <c r="E729" s="244"/>
      <c r="F729" s="244"/>
      <c r="G729" s="244"/>
      <c r="H729" s="244"/>
      <c r="K729" s="440"/>
      <c r="S729" s="244"/>
    </row>
    <row r="730" spans="1:19" ht="15.75" customHeight="1" x14ac:dyDescent="0.25">
      <c r="A730" s="244"/>
      <c r="C730" s="263"/>
      <c r="D730" s="264"/>
      <c r="E730" s="244"/>
      <c r="F730" s="244"/>
      <c r="G730" s="244"/>
      <c r="H730" s="244"/>
      <c r="K730" s="440"/>
      <c r="S730" s="244"/>
    </row>
    <row r="731" spans="1:19" ht="15.75" customHeight="1" x14ac:dyDescent="0.25">
      <c r="A731" s="244"/>
      <c r="C731" s="263"/>
      <c r="D731" s="264"/>
      <c r="E731" s="244"/>
      <c r="F731" s="244"/>
      <c r="G731" s="244"/>
      <c r="H731" s="244"/>
      <c r="K731" s="440"/>
      <c r="S731" s="244"/>
    </row>
    <row r="732" spans="1:19" ht="15.75" customHeight="1" x14ac:dyDescent="0.25">
      <c r="A732" s="244"/>
      <c r="C732" s="263"/>
      <c r="D732" s="264"/>
      <c r="E732" s="244"/>
      <c r="F732" s="244"/>
      <c r="G732" s="244"/>
      <c r="H732" s="244"/>
      <c r="K732" s="440"/>
      <c r="S732" s="244"/>
    </row>
    <row r="733" spans="1:19" ht="15.75" customHeight="1" x14ac:dyDescent="0.25">
      <c r="A733" s="244"/>
      <c r="C733" s="263"/>
      <c r="D733" s="264"/>
      <c r="E733" s="244"/>
      <c r="F733" s="244"/>
      <c r="G733" s="244"/>
      <c r="H733" s="244"/>
      <c r="K733" s="440"/>
      <c r="S733" s="244"/>
    </row>
    <row r="734" spans="1:19" ht="15.75" customHeight="1" x14ac:dyDescent="0.25">
      <c r="A734" s="244"/>
      <c r="C734" s="263"/>
      <c r="D734" s="264"/>
      <c r="E734" s="244"/>
      <c r="F734" s="244"/>
      <c r="G734" s="244"/>
      <c r="H734" s="244"/>
      <c r="K734" s="440"/>
      <c r="S734" s="244"/>
    </row>
    <row r="735" spans="1:19" ht="15.75" customHeight="1" x14ac:dyDescent="0.25">
      <c r="A735" s="244"/>
      <c r="C735" s="263"/>
      <c r="D735" s="264"/>
      <c r="E735" s="244"/>
      <c r="F735" s="244"/>
      <c r="G735" s="244"/>
      <c r="H735" s="244"/>
      <c r="K735" s="440"/>
      <c r="S735" s="244"/>
    </row>
    <row r="736" spans="1:19" ht="15.75" customHeight="1" x14ac:dyDescent="0.25">
      <c r="A736" s="244"/>
      <c r="C736" s="263"/>
      <c r="D736" s="264"/>
      <c r="E736" s="244"/>
      <c r="F736" s="244"/>
      <c r="G736" s="244"/>
      <c r="H736" s="244"/>
      <c r="K736" s="440"/>
      <c r="S736" s="244"/>
    </row>
    <row r="737" spans="1:19" ht="15.75" customHeight="1" x14ac:dyDescent="0.25">
      <c r="A737" s="244"/>
      <c r="C737" s="263"/>
      <c r="D737" s="264"/>
      <c r="E737" s="244"/>
      <c r="F737" s="244"/>
      <c r="G737" s="244"/>
      <c r="H737" s="244"/>
      <c r="K737" s="440"/>
      <c r="S737" s="244"/>
    </row>
    <row r="738" spans="1:19" ht="15.75" customHeight="1" x14ac:dyDescent="0.25">
      <c r="A738" s="244"/>
      <c r="C738" s="263"/>
      <c r="D738" s="264"/>
      <c r="E738" s="244"/>
      <c r="F738" s="244"/>
      <c r="G738" s="244"/>
      <c r="H738" s="244"/>
      <c r="K738" s="440"/>
      <c r="S738" s="244"/>
    </row>
    <row r="739" spans="1:19" ht="15.75" customHeight="1" x14ac:dyDescent="0.25">
      <c r="A739" s="244"/>
      <c r="C739" s="263"/>
      <c r="D739" s="264"/>
      <c r="E739" s="244"/>
      <c r="F739" s="244"/>
      <c r="G739" s="244"/>
      <c r="H739" s="244"/>
      <c r="K739" s="440"/>
      <c r="S739" s="244"/>
    </row>
    <row r="740" spans="1:19" ht="15.75" customHeight="1" x14ac:dyDescent="0.25">
      <c r="A740" s="244"/>
      <c r="C740" s="263"/>
      <c r="D740" s="264"/>
      <c r="E740" s="244"/>
      <c r="F740" s="244"/>
      <c r="G740" s="244"/>
      <c r="H740" s="244"/>
      <c r="K740" s="440"/>
      <c r="S740" s="244"/>
    </row>
    <row r="741" spans="1:19" ht="15.75" customHeight="1" x14ac:dyDescent="0.25">
      <c r="A741" s="244"/>
      <c r="C741" s="263"/>
      <c r="D741" s="264"/>
      <c r="E741" s="244"/>
      <c r="F741" s="244"/>
      <c r="G741" s="244"/>
      <c r="H741" s="244"/>
      <c r="K741" s="440"/>
      <c r="S741" s="244"/>
    </row>
    <row r="742" spans="1:19" ht="15.75" customHeight="1" x14ac:dyDescent="0.25">
      <c r="A742" s="244"/>
      <c r="C742" s="263"/>
      <c r="D742" s="264"/>
      <c r="E742" s="244"/>
      <c r="F742" s="244"/>
      <c r="G742" s="244"/>
      <c r="H742" s="244"/>
      <c r="K742" s="440"/>
      <c r="S742" s="244"/>
    </row>
    <row r="743" spans="1:19" ht="15.75" customHeight="1" x14ac:dyDescent="0.25">
      <c r="A743" s="244"/>
      <c r="C743" s="263"/>
      <c r="D743" s="264"/>
      <c r="E743" s="244"/>
      <c r="F743" s="244"/>
      <c r="G743" s="244"/>
      <c r="H743" s="244"/>
      <c r="K743" s="440"/>
      <c r="S743" s="244"/>
    </row>
    <row r="744" spans="1:19" ht="15.75" customHeight="1" x14ac:dyDescent="0.25">
      <c r="A744" s="244"/>
      <c r="C744" s="263"/>
      <c r="D744" s="264"/>
      <c r="E744" s="244"/>
      <c r="F744" s="244"/>
      <c r="G744" s="244"/>
      <c r="H744" s="244"/>
      <c r="K744" s="440"/>
      <c r="S744" s="244"/>
    </row>
    <row r="745" spans="1:19" ht="15.75" customHeight="1" x14ac:dyDescent="0.25">
      <c r="A745" s="244"/>
      <c r="C745" s="263"/>
      <c r="D745" s="264"/>
      <c r="E745" s="244"/>
      <c r="F745" s="244"/>
      <c r="G745" s="244"/>
      <c r="H745" s="244"/>
      <c r="K745" s="440"/>
      <c r="S745" s="244"/>
    </row>
    <row r="746" spans="1:19" ht="15.75" customHeight="1" x14ac:dyDescent="0.25">
      <c r="A746" s="244"/>
      <c r="C746" s="263"/>
      <c r="D746" s="264"/>
      <c r="E746" s="244"/>
      <c r="F746" s="244"/>
      <c r="G746" s="244"/>
      <c r="H746" s="244"/>
      <c r="K746" s="440"/>
      <c r="S746" s="244"/>
    </row>
    <row r="747" spans="1:19" ht="15.75" customHeight="1" x14ac:dyDescent="0.25">
      <c r="A747" s="244"/>
      <c r="C747" s="263"/>
      <c r="D747" s="264"/>
      <c r="E747" s="244"/>
      <c r="F747" s="244"/>
      <c r="G747" s="244"/>
      <c r="H747" s="244"/>
      <c r="K747" s="440"/>
      <c r="S747" s="244"/>
    </row>
    <row r="748" spans="1:19" ht="15.75" customHeight="1" x14ac:dyDescent="0.25">
      <c r="A748" s="244"/>
      <c r="C748" s="263"/>
      <c r="D748" s="264"/>
      <c r="E748" s="244"/>
      <c r="F748" s="244"/>
      <c r="G748" s="244"/>
      <c r="H748" s="244"/>
      <c r="K748" s="440"/>
      <c r="S748" s="244"/>
    </row>
    <row r="749" spans="1:19" ht="15.75" customHeight="1" x14ac:dyDescent="0.25">
      <c r="A749" s="244"/>
      <c r="C749" s="263"/>
      <c r="D749" s="264"/>
      <c r="E749" s="244"/>
      <c r="F749" s="244"/>
      <c r="G749" s="244"/>
      <c r="H749" s="244"/>
      <c r="K749" s="440"/>
      <c r="S749" s="244"/>
    </row>
    <row r="750" spans="1:19" ht="15.75" customHeight="1" x14ac:dyDescent="0.25">
      <c r="A750" s="244"/>
      <c r="C750" s="263"/>
      <c r="D750" s="264"/>
      <c r="E750" s="244"/>
      <c r="F750" s="244"/>
      <c r="G750" s="244"/>
      <c r="H750" s="244"/>
      <c r="K750" s="440"/>
      <c r="S750" s="244"/>
    </row>
    <row r="751" spans="1:19" ht="15.75" customHeight="1" x14ac:dyDescent="0.25">
      <c r="A751" s="244"/>
      <c r="C751" s="263"/>
      <c r="D751" s="264"/>
      <c r="E751" s="244"/>
      <c r="F751" s="244"/>
      <c r="G751" s="244"/>
      <c r="H751" s="244"/>
      <c r="K751" s="440"/>
      <c r="S751" s="244"/>
    </row>
    <row r="752" spans="1:19" ht="15.75" customHeight="1" x14ac:dyDescent="0.25">
      <c r="A752" s="244"/>
      <c r="C752" s="263"/>
      <c r="D752" s="264"/>
      <c r="E752" s="244"/>
      <c r="F752" s="244"/>
      <c r="G752" s="244"/>
      <c r="H752" s="244"/>
      <c r="K752" s="440"/>
      <c r="S752" s="244"/>
    </row>
    <row r="753" spans="1:19" ht="15.75" customHeight="1" x14ac:dyDescent="0.25">
      <c r="A753" s="244"/>
      <c r="C753" s="263"/>
      <c r="D753" s="264"/>
      <c r="E753" s="244"/>
      <c r="F753" s="244"/>
      <c r="G753" s="244"/>
      <c r="H753" s="244"/>
      <c r="K753" s="440"/>
      <c r="S753" s="244"/>
    </row>
    <row r="754" spans="1:19" ht="15.75" customHeight="1" x14ac:dyDescent="0.25">
      <c r="A754" s="244"/>
      <c r="C754" s="263"/>
      <c r="D754" s="264"/>
      <c r="E754" s="244"/>
      <c r="F754" s="244"/>
      <c r="G754" s="244"/>
      <c r="H754" s="244"/>
      <c r="K754" s="440"/>
      <c r="S754" s="244"/>
    </row>
    <row r="755" spans="1:19" ht="15.75" customHeight="1" x14ac:dyDescent="0.25">
      <c r="A755" s="244"/>
      <c r="C755" s="263"/>
      <c r="D755" s="264"/>
      <c r="E755" s="244"/>
      <c r="F755" s="244"/>
      <c r="G755" s="244"/>
      <c r="H755" s="244"/>
      <c r="K755" s="440"/>
      <c r="S755" s="244"/>
    </row>
    <row r="756" spans="1:19" ht="15.75" customHeight="1" x14ac:dyDescent="0.25">
      <c r="A756" s="244"/>
      <c r="C756" s="263"/>
      <c r="D756" s="264"/>
      <c r="E756" s="244"/>
      <c r="F756" s="244"/>
      <c r="G756" s="244"/>
      <c r="H756" s="244"/>
      <c r="K756" s="440"/>
      <c r="S756" s="244"/>
    </row>
    <row r="757" spans="1:19" ht="15.75" customHeight="1" x14ac:dyDescent="0.25">
      <c r="A757" s="244"/>
      <c r="C757" s="263"/>
      <c r="D757" s="264"/>
      <c r="E757" s="244"/>
      <c r="F757" s="244"/>
      <c r="G757" s="244"/>
      <c r="H757" s="244"/>
      <c r="K757" s="440"/>
      <c r="S757" s="244"/>
    </row>
    <row r="758" spans="1:19" ht="15.75" customHeight="1" x14ac:dyDescent="0.25">
      <c r="A758" s="244"/>
      <c r="C758" s="263"/>
      <c r="D758" s="264"/>
      <c r="E758" s="244"/>
      <c r="F758" s="244"/>
      <c r="G758" s="244"/>
      <c r="H758" s="244"/>
      <c r="K758" s="440"/>
      <c r="S758" s="244"/>
    </row>
    <row r="759" spans="1:19" ht="15.75" customHeight="1" x14ac:dyDescent="0.25">
      <c r="A759" s="244"/>
      <c r="C759" s="263"/>
      <c r="D759" s="264"/>
      <c r="E759" s="244"/>
      <c r="F759" s="244"/>
      <c r="G759" s="244"/>
      <c r="H759" s="244"/>
      <c r="K759" s="440"/>
      <c r="S759" s="244"/>
    </row>
    <row r="760" spans="1:19" ht="15.75" customHeight="1" x14ac:dyDescent="0.25">
      <c r="A760" s="244"/>
      <c r="C760" s="263"/>
      <c r="D760" s="264"/>
      <c r="E760" s="244"/>
      <c r="F760" s="244"/>
      <c r="G760" s="244"/>
      <c r="H760" s="244"/>
      <c r="K760" s="440"/>
      <c r="S760" s="244"/>
    </row>
    <row r="761" spans="1:19" ht="15.75" customHeight="1" x14ac:dyDescent="0.25">
      <c r="A761" s="244"/>
      <c r="C761" s="263"/>
      <c r="D761" s="264"/>
      <c r="E761" s="244"/>
      <c r="F761" s="244"/>
      <c r="G761" s="244"/>
      <c r="H761" s="244"/>
      <c r="K761" s="440"/>
      <c r="S761" s="244"/>
    </row>
    <row r="762" spans="1:19" ht="15.75" customHeight="1" x14ac:dyDescent="0.25">
      <c r="A762" s="244"/>
      <c r="C762" s="263"/>
      <c r="D762" s="264"/>
      <c r="E762" s="244"/>
      <c r="F762" s="244"/>
      <c r="G762" s="244"/>
      <c r="H762" s="244"/>
      <c r="K762" s="440"/>
      <c r="S762" s="244"/>
    </row>
    <row r="763" spans="1:19" ht="15.75" customHeight="1" x14ac:dyDescent="0.25">
      <c r="A763" s="244"/>
      <c r="C763" s="263"/>
      <c r="D763" s="264"/>
      <c r="E763" s="244"/>
      <c r="F763" s="244"/>
      <c r="G763" s="244"/>
      <c r="H763" s="244"/>
      <c r="K763" s="440"/>
      <c r="S763" s="244"/>
    </row>
    <row r="764" spans="1:19" ht="15.75" customHeight="1" x14ac:dyDescent="0.25">
      <c r="A764" s="244"/>
      <c r="C764" s="263"/>
      <c r="D764" s="264"/>
      <c r="E764" s="244"/>
      <c r="F764" s="244"/>
      <c r="G764" s="244"/>
      <c r="H764" s="244"/>
      <c r="K764" s="440"/>
      <c r="S764" s="244"/>
    </row>
    <row r="765" spans="1:19" ht="15.75" customHeight="1" x14ac:dyDescent="0.25">
      <c r="A765" s="244"/>
      <c r="C765" s="263"/>
      <c r="D765" s="264"/>
      <c r="E765" s="244"/>
      <c r="F765" s="244"/>
      <c r="G765" s="244"/>
      <c r="H765" s="244"/>
      <c r="K765" s="440"/>
      <c r="S765" s="244"/>
    </row>
    <row r="766" spans="1:19" ht="15.75" customHeight="1" x14ac:dyDescent="0.25">
      <c r="A766" s="244"/>
      <c r="C766" s="263"/>
      <c r="D766" s="264"/>
      <c r="E766" s="244"/>
      <c r="F766" s="244"/>
      <c r="G766" s="244"/>
      <c r="H766" s="244"/>
      <c r="K766" s="440"/>
      <c r="S766" s="244"/>
    </row>
    <row r="767" spans="1:19" ht="15.75" customHeight="1" x14ac:dyDescent="0.25">
      <c r="A767" s="244"/>
      <c r="C767" s="263"/>
      <c r="D767" s="264"/>
      <c r="E767" s="244"/>
      <c r="F767" s="244"/>
      <c r="G767" s="244"/>
      <c r="H767" s="244"/>
      <c r="K767" s="440"/>
      <c r="S767" s="244"/>
    </row>
    <row r="768" spans="1:19" ht="15.75" customHeight="1" x14ac:dyDescent="0.25">
      <c r="A768" s="244"/>
      <c r="C768" s="263"/>
      <c r="D768" s="264"/>
      <c r="E768" s="244"/>
      <c r="F768" s="244"/>
      <c r="G768" s="244"/>
      <c r="H768" s="244"/>
      <c r="K768" s="440"/>
      <c r="S768" s="244"/>
    </row>
    <row r="769" spans="1:19" ht="15.75" customHeight="1" x14ac:dyDescent="0.25">
      <c r="A769" s="244"/>
      <c r="C769" s="263"/>
      <c r="D769" s="264"/>
      <c r="E769" s="244"/>
      <c r="F769" s="244"/>
      <c r="G769" s="244"/>
      <c r="H769" s="244"/>
      <c r="K769" s="440"/>
      <c r="S769" s="244"/>
    </row>
    <row r="770" spans="1:19" ht="15.75" customHeight="1" x14ac:dyDescent="0.25">
      <c r="A770" s="244"/>
      <c r="C770" s="263"/>
      <c r="D770" s="264"/>
      <c r="E770" s="244"/>
      <c r="F770" s="244"/>
      <c r="G770" s="244"/>
      <c r="H770" s="244"/>
      <c r="K770" s="440"/>
      <c r="S770" s="244"/>
    </row>
    <row r="771" spans="1:19" ht="15.75" customHeight="1" x14ac:dyDescent="0.25">
      <c r="A771" s="244"/>
      <c r="C771" s="263"/>
      <c r="D771" s="264"/>
      <c r="E771" s="244"/>
      <c r="F771" s="244"/>
      <c r="G771" s="244"/>
      <c r="H771" s="244"/>
      <c r="K771" s="440"/>
      <c r="S771" s="244"/>
    </row>
    <row r="772" spans="1:19" ht="15.75" customHeight="1" x14ac:dyDescent="0.25">
      <c r="A772" s="244"/>
      <c r="C772" s="263"/>
      <c r="D772" s="264"/>
      <c r="E772" s="244"/>
      <c r="F772" s="244"/>
      <c r="G772" s="244"/>
      <c r="H772" s="244"/>
      <c r="K772" s="440"/>
      <c r="S772" s="244"/>
    </row>
    <row r="773" spans="1:19" ht="15.75" customHeight="1" x14ac:dyDescent="0.25">
      <c r="A773" s="244"/>
      <c r="C773" s="263"/>
      <c r="D773" s="264"/>
      <c r="E773" s="244"/>
      <c r="F773" s="244"/>
      <c r="G773" s="244"/>
      <c r="H773" s="244"/>
      <c r="K773" s="440"/>
      <c r="S773" s="244"/>
    </row>
    <row r="774" spans="1:19" ht="15.75" customHeight="1" x14ac:dyDescent="0.25">
      <c r="A774" s="244"/>
      <c r="C774" s="263"/>
      <c r="D774" s="264"/>
      <c r="E774" s="244"/>
      <c r="F774" s="244"/>
      <c r="G774" s="244"/>
      <c r="H774" s="244"/>
      <c r="K774" s="440"/>
      <c r="S774" s="244"/>
    </row>
    <row r="775" spans="1:19" ht="15.75" customHeight="1" x14ac:dyDescent="0.25">
      <c r="A775" s="244"/>
      <c r="C775" s="263"/>
      <c r="D775" s="264"/>
      <c r="E775" s="244"/>
      <c r="F775" s="244"/>
      <c r="G775" s="244"/>
      <c r="H775" s="244"/>
      <c r="K775" s="440"/>
      <c r="S775" s="244"/>
    </row>
    <row r="776" spans="1:19" ht="15.75" customHeight="1" x14ac:dyDescent="0.25">
      <c r="A776" s="244"/>
      <c r="C776" s="263"/>
      <c r="D776" s="264"/>
      <c r="E776" s="244"/>
      <c r="F776" s="244"/>
      <c r="G776" s="244"/>
      <c r="H776" s="244"/>
      <c r="K776" s="440"/>
      <c r="S776" s="244"/>
    </row>
    <row r="777" spans="1:19" ht="15.75" customHeight="1" x14ac:dyDescent="0.25">
      <c r="A777" s="244"/>
      <c r="C777" s="263"/>
      <c r="D777" s="264"/>
      <c r="E777" s="244"/>
      <c r="F777" s="244"/>
      <c r="G777" s="244"/>
      <c r="H777" s="244"/>
      <c r="K777" s="440"/>
      <c r="S777" s="244"/>
    </row>
    <row r="778" spans="1:19" ht="15.75" customHeight="1" x14ac:dyDescent="0.25">
      <c r="A778" s="244"/>
      <c r="C778" s="263"/>
      <c r="D778" s="264"/>
      <c r="E778" s="244"/>
      <c r="F778" s="244"/>
      <c r="G778" s="244"/>
      <c r="H778" s="244"/>
      <c r="K778" s="440"/>
      <c r="S778" s="244"/>
    </row>
    <row r="779" spans="1:19" ht="15.75" customHeight="1" x14ac:dyDescent="0.25">
      <c r="A779" s="244"/>
      <c r="C779" s="263"/>
      <c r="D779" s="264"/>
      <c r="E779" s="244"/>
      <c r="F779" s="244"/>
      <c r="G779" s="244"/>
      <c r="H779" s="244"/>
      <c r="K779" s="440"/>
      <c r="S779" s="244"/>
    </row>
    <row r="780" spans="1:19" ht="15.75" customHeight="1" x14ac:dyDescent="0.25">
      <c r="A780" s="244"/>
      <c r="C780" s="263"/>
      <c r="D780" s="264"/>
      <c r="E780" s="244"/>
      <c r="F780" s="244"/>
      <c r="G780" s="244"/>
      <c r="H780" s="244"/>
      <c r="K780" s="440"/>
      <c r="S780" s="244"/>
    </row>
    <row r="781" spans="1:19" ht="15.75" customHeight="1" x14ac:dyDescent="0.25">
      <c r="A781" s="244"/>
      <c r="C781" s="263"/>
      <c r="D781" s="264"/>
      <c r="E781" s="244"/>
      <c r="F781" s="244"/>
      <c r="G781" s="244"/>
      <c r="H781" s="244"/>
      <c r="K781" s="440"/>
      <c r="S781" s="244"/>
    </row>
    <row r="782" spans="1:19" ht="15.75" customHeight="1" x14ac:dyDescent="0.25">
      <c r="A782" s="244"/>
      <c r="C782" s="263"/>
      <c r="D782" s="264"/>
      <c r="E782" s="244"/>
      <c r="F782" s="244"/>
      <c r="G782" s="244"/>
      <c r="H782" s="244"/>
      <c r="K782" s="440"/>
      <c r="S782" s="244"/>
    </row>
    <row r="783" spans="1:19" ht="15.75" customHeight="1" x14ac:dyDescent="0.25">
      <c r="A783" s="244"/>
      <c r="C783" s="263"/>
      <c r="D783" s="264"/>
      <c r="E783" s="244"/>
      <c r="F783" s="244"/>
      <c r="G783" s="244"/>
      <c r="H783" s="244"/>
      <c r="K783" s="440"/>
      <c r="S783" s="244"/>
    </row>
    <row r="784" spans="1:19" ht="15.75" customHeight="1" x14ac:dyDescent="0.25">
      <c r="A784" s="244"/>
      <c r="C784" s="263"/>
      <c r="D784" s="264"/>
      <c r="E784" s="244"/>
      <c r="F784" s="244"/>
      <c r="G784" s="244"/>
      <c r="H784" s="244"/>
      <c r="K784" s="440"/>
      <c r="S784" s="244"/>
    </row>
    <row r="785" spans="1:19" ht="15.75" customHeight="1" x14ac:dyDescent="0.25">
      <c r="A785" s="244"/>
      <c r="C785" s="263"/>
      <c r="D785" s="264"/>
      <c r="E785" s="244"/>
      <c r="F785" s="244"/>
      <c r="G785" s="244"/>
      <c r="H785" s="244"/>
      <c r="K785" s="440"/>
      <c r="S785" s="244"/>
    </row>
    <row r="786" spans="1:19" ht="15.75" customHeight="1" x14ac:dyDescent="0.25">
      <c r="A786" s="244"/>
      <c r="C786" s="263"/>
      <c r="D786" s="264"/>
      <c r="E786" s="244"/>
      <c r="F786" s="244"/>
      <c r="G786" s="244"/>
      <c r="H786" s="244"/>
      <c r="K786" s="440"/>
      <c r="S786" s="244"/>
    </row>
    <row r="787" spans="1:19" ht="15.75" customHeight="1" x14ac:dyDescent="0.25">
      <c r="A787" s="244"/>
      <c r="C787" s="263"/>
      <c r="D787" s="264"/>
      <c r="E787" s="244"/>
      <c r="F787" s="244"/>
      <c r="G787" s="244"/>
      <c r="H787" s="244"/>
      <c r="K787" s="440"/>
      <c r="S787" s="244"/>
    </row>
    <row r="788" spans="1:19" ht="15.75" customHeight="1" x14ac:dyDescent="0.25">
      <c r="A788" s="244"/>
      <c r="C788" s="263"/>
      <c r="D788" s="264"/>
      <c r="E788" s="244"/>
      <c r="F788" s="244"/>
      <c r="G788" s="244"/>
      <c r="H788" s="244"/>
      <c r="K788" s="440"/>
      <c r="S788" s="244"/>
    </row>
    <row r="789" spans="1:19" ht="15.75" customHeight="1" x14ac:dyDescent="0.25">
      <c r="A789" s="244"/>
      <c r="C789" s="263"/>
      <c r="D789" s="264"/>
      <c r="E789" s="244"/>
      <c r="F789" s="244"/>
      <c r="G789" s="244"/>
      <c r="H789" s="244"/>
      <c r="K789" s="440"/>
      <c r="S789" s="244"/>
    </row>
    <row r="790" spans="1:19" ht="15.75" customHeight="1" x14ac:dyDescent="0.25">
      <c r="A790" s="244"/>
      <c r="C790" s="263"/>
      <c r="D790" s="264"/>
      <c r="E790" s="244"/>
      <c r="F790" s="244"/>
      <c r="G790" s="244"/>
      <c r="H790" s="244"/>
      <c r="K790" s="440"/>
      <c r="S790" s="244"/>
    </row>
    <row r="791" spans="1:19" ht="15.75" customHeight="1" x14ac:dyDescent="0.25">
      <c r="A791" s="244"/>
      <c r="C791" s="263"/>
      <c r="D791" s="264"/>
      <c r="E791" s="244"/>
      <c r="F791" s="244"/>
      <c r="G791" s="244"/>
      <c r="H791" s="244"/>
      <c r="K791" s="440"/>
      <c r="S791" s="244"/>
    </row>
    <row r="792" spans="1:19" ht="15.75" customHeight="1" x14ac:dyDescent="0.25">
      <c r="A792" s="244"/>
      <c r="C792" s="263"/>
      <c r="D792" s="264"/>
      <c r="E792" s="244"/>
      <c r="F792" s="244"/>
      <c r="G792" s="244"/>
      <c r="H792" s="244"/>
      <c r="K792" s="440"/>
      <c r="S792" s="244"/>
    </row>
    <row r="793" spans="1:19" ht="15.75" customHeight="1" x14ac:dyDescent="0.25">
      <c r="A793" s="244"/>
      <c r="C793" s="263"/>
      <c r="D793" s="264"/>
      <c r="E793" s="244"/>
      <c r="F793" s="244"/>
      <c r="G793" s="244"/>
      <c r="H793" s="244"/>
      <c r="K793" s="440"/>
      <c r="S793" s="244"/>
    </row>
    <row r="794" spans="1:19" ht="15.75" customHeight="1" x14ac:dyDescent="0.25">
      <c r="A794" s="244"/>
      <c r="C794" s="263"/>
      <c r="D794" s="264"/>
      <c r="E794" s="244"/>
      <c r="F794" s="244"/>
      <c r="G794" s="244"/>
      <c r="H794" s="244"/>
      <c r="K794" s="440"/>
      <c r="S794" s="244"/>
    </row>
    <row r="795" spans="1:19" ht="15.75" customHeight="1" x14ac:dyDescent="0.25">
      <c r="A795" s="244"/>
      <c r="C795" s="263"/>
      <c r="D795" s="264"/>
      <c r="E795" s="244"/>
      <c r="F795" s="244"/>
      <c r="G795" s="244"/>
      <c r="H795" s="244"/>
      <c r="K795" s="440"/>
      <c r="S795" s="244"/>
    </row>
    <row r="796" spans="1:19" ht="15.75" customHeight="1" x14ac:dyDescent="0.25">
      <c r="A796" s="244"/>
      <c r="C796" s="263"/>
      <c r="D796" s="264"/>
      <c r="E796" s="244"/>
      <c r="F796" s="244"/>
      <c r="G796" s="244"/>
      <c r="H796" s="244"/>
      <c r="K796" s="440"/>
      <c r="S796" s="244"/>
    </row>
    <row r="797" spans="1:19" ht="15.75" customHeight="1" x14ac:dyDescent="0.25">
      <c r="A797" s="244"/>
      <c r="C797" s="263"/>
      <c r="D797" s="264"/>
      <c r="E797" s="244"/>
      <c r="F797" s="244"/>
      <c r="G797" s="244"/>
      <c r="H797" s="244"/>
      <c r="K797" s="440"/>
      <c r="S797" s="244"/>
    </row>
    <row r="798" spans="1:19" ht="15.75" customHeight="1" x14ac:dyDescent="0.25">
      <c r="A798" s="244"/>
      <c r="C798" s="263"/>
      <c r="D798" s="264"/>
      <c r="E798" s="244"/>
      <c r="F798" s="244"/>
      <c r="G798" s="244"/>
      <c r="H798" s="244"/>
      <c r="K798" s="440"/>
      <c r="S798" s="244"/>
    </row>
    <row r="799" spans="1:19" ht="15.75" customHeight="1" x14ac:dyDescent="0.25">
      <c r="A799" s="244"/>
      <c r="C799" s="263"/>
      <c r="D799" s="264"/>
      <c r="E799" s="244"/>
      <c r="F799" s="244"/>
      <c r="G799" s="244"/>
      <c r="H799" s="244"/>
      <c r="K799" s="440"/>
      <c r="S799" s="244"/>
    </row>
    <row r="800" spans="1:19" ht="15.75" customHeight="1" x14ac:dyDescent="0.25">
      <c r="A800" s="244"/>
      <c r="C800" s="263"/>
      <c r="D800" s="264"/>
      <c r="E800" s="244"/>
      <c r="F800" s="244"/>
      <c r="G800" s="244"/>
      <c r="H800" s="244"/>
      <c r="K800" s="440"/>
      <c r="S800" s="244"/>
    </row>
    <row r="801" spans="1:19" ht="15.75" customHeight="1" x14ac:dyDescent="0.25">
      <c r="A801" s="244"/>
      <c r="C801" s="263"/>
      <c r="D801" s="264"/>
      <c r="E801" s="244"/>
      <c r="F801" s="244"/>
      <c r="G801" s="244"/>
      <c r="H801" s="244"/>
      <c r="K801" s="440"/>
      <c r="S801" s="244"/>
    </row>
    <row r="802" spans="1:19" ht="15.75" customHeight="1" x14ac:dyDescent="0.25">
      <c r="A802" s="244"/>
      <c r="C802" s="263"/>
      <c r="D802" s="264"/>
      <c r="E802" s="244"/>
      <c r="F802" s="244"/>
      <c r="G802" s="244"/>
      <c r="H802" s="244"/>
      <c r="K802" s="440"/>
      <c r="S802" s="244"/>
    </row>
    <row r="803" spans="1:19" ht="15.75" customHeight="1" x14ac:dyDescent="0.25">
      <c r="A803" s="244"/>
      <c r="C803" s="263"/>
      <c r="D803" s="264"/>
      <c r="E803" s="244"/>
      <c r="F803" s="244"/>
      <c r="G803" s="244"/>
      <c r="H803" s="244"/>
      <c r="K803" s="440"/>
      <c r="S803" s="244"/>
    </row>
    <row r="804" spans="1:19" ht="15.75" customHeight="1" x14ac:dyDescent="0.25">
      <c r="A804" s="244"/>
      <c r="C804" s="263"/>
      <c r="D804" s="264"/>
      <c r="E804" s="244"/>
      <c r="F804" s="244"/>
      <c r="G804" s="244"/>
      <c r="H804" s="244"/>
      <c r="K804" s="440"/>
      <c r="S804" s="244"/>
    </row>
    <row r="805" spans="1:19" ht="15.75" customHeight="1" x14ac:dyDescent="0.25">
      <c r="A805" s="244"/>
      <c r="C805" s="263"/>
      <c r="D805" s="264"/>
      <c r="E805" s="244"/>
      <c r="F805" s="244"/>
      <c r="G805" s="244"/>
      <c r="H805" s="244"/>
      <c r="K805" s="440"/>
      <c r="S805" s="244"/>
    </row>
    <row r="806" spans="1:19" ht="15.75" customHeight="1" x14ac:dyDescent="0.25">
      <c r="A806" s="244"/>
      <c r="C806" s="263"/>
      <c r="D806" s="264"/>
      <c r="E806" s="244"/>
      <c r="F806" s="244"/>
      <c r="G806" s="244"/>
      <c r="H806" s="244"/>
      <c r="K806" s="440"/>
      <c r="S806" s="244"/>
    </row>
    <row r="807" spans="1:19" ht="15.75" customHeight="1" x14ac:dyDescent="0.25">
      <c r="A807" s="244"/>
      <c r="C807" s="263"/>
      <c r="D807" s="264"/>
      <c r="E807" s="244"/>
      <c r="F807" s="244"/>
      <c r="G807" s="244"/>
      <c r="H807" s="244"/>
      <c r="K807" s="440"/>
      <c r="S807" s="244"/>
    </row>
    <row r="808" spans="1:19" ht="15.75" customHeight="1" x14ac:dyDescent="0.25">
      <c r="A808" s="244"/>
      <c r="C808" s="263"/>
      <c r="D808" s="264"/>
      <c r="E808" s="244"/>
      <c r="F808" s="244"/>
      <c r="G808" s="244"/>
      <c r="H808" s="244"/>
      <c r="K808" s="440"/>
      <c r="S808" s="244"/>
    </row>
    <row r="809" spans="1:19" ht="15.75" customHeight="1" x14ac:dyDescent="0.25">
      <c r="A809" s="244"/>
      <c r="C809" s="263"/>
      <c r="D809" s="264"/>
      <c r="E809" s="244"/>
      <c r="F809" s="244"/>
      <c r="G809" s="244"/>
      <c r="H809" s="244"/>
      <c r="K809" s="440"/>
      <c r="S809" s="244"/>
    </row>
    <row r="810" spans="1:19" ht="15.75" customHeight="1" x14ac:dyDescent="0.25">
      <c r="A810" s="244"/>
      <c r="C810" s="263"/>
      <c r="D810" s="264"/>
      <c r="E810" s="244"/>
      <c r="F810" s="244"/>
      <c r="G810" s="244"/>
      <c r="H810" s="244"/>
      <c r="K810" s="440"/>
      <c r="S810" s="244"/>
    </row>
    <row r="811" spans="1:19" ht="15.75" customHeight="1" x14ac:dyDescent="0.25">
      <c r="A811" s="244"/>
      <c r="C811" s="263"/>
      <c r="D811" s="264"/>
      <c r="E811" s="244"/>
      <c r="F811" s="244"/>
      <c r="G811" s="244"/>
      <c r="H811" s="244"/>
      <c r="K811" s="440"/>
      <c r="S811" s="244"/>
    </row>
    <row r="812" spans="1:19" ht="15.75" customHeight="1" x14ac:dyDescent="0.25">
      <c r="A812" s="244"/>
      <c r="C812" s="263"/>
      <c r="D812" s="264"/>
      <c r="E812" s="244"/>
      <c r="F812" s="244"/>
      <c r="G812" s="244"/>
      <c r="H812" s="244"/>
      <c r="K812" s="440"/>
      <c r="S812" s="244"/>
    </row>
    <row r="813" spans="1:19" ht="15.75" customHeight="1" x14ac:dyDescent="0.25">
      <c r="A813" s="244"/>
      <c r="C813" s="263"/>
      <c r="D813" s="264"/>
      <c r="E813" s="244"/>
      <c r="F813" s="244"/>
      <c r="G813" s="244"/>
      <c r="H813" s="244"/>
      <c r="K813" s="440"/>
      <c r="S813" s="244"/>
    </row>
    <row r="814" spans="1:19" ht="15.75" customHeight="1" x14ac:dyDescent="0.25">
      <c r="A814" s="244"/>
      <c r="C814" s="263"/>
      <c r="D814" s="264"/>
      <c r="E814" s="244"/>
      <c r="F814" s="244"/>
      <c r="G814" s="244"/>
      <c r="H814" s="244"/>
      <c r="K814" s="440"/>
      <c r="S814" s="244"/>
    </row>
    <row r="815" spans="1:19" ht="15.75" customHeight="1" x14ac:dyDescent="0.25">
      <c r="A815" s="244"/>
      <c r="C815" s="263"/>
      <c r="D815" s="264"/>
      <c r="E815" s="244"/>
      <c r="F815" s="244"/>
      <c r="G815" s="244"/>
      <c r="H815" s="244"/>
      <c r="K815" s="440"/>
      <c r="S815" s="244"/>
    </row>
    <row r="816" spans="1:19" ht="15.75" customHeight="1" x14ac:dyDescent="0.25">
      <c r="A816" s="244"/>
      <c r="C816" s="263"/>
      <c r="D816" s="264"/>
      <c r="E816" s="244"/>
      <c r="F816" s="244"/>
      <c r="G816" s="244"/>
      <c r="H816" s="244"/>
      <c r="K816" s="440"/>
      <c r="S816" s="244"/>
    </row>
    <row r="817" spans="1:19" ht="15.75" customHeight="1" x14ac:dyDescent="0.25">
      <c r="A817" s="244"/>
      <c r="C817" s="263"/>
      <c r="D817" s="264"/>
      <c r="E817" s="244"/>
      <c r="F817" s="244"/>
      <c r="G817" s="244"/>
      <c r="H817" s="244"/>
      <c r="K817" s="440"/>
      <c r="S817" s="244"/>
    </row>
    <row r="818" spans="1:19" ht="15.75" customHeight="1" x14ac:dyDescent="0.25">
      <c r="A818" s="244"/>
      <c r="C818" s="263"/>
      <c r="D818" s="264"/>
      <c r="E818" s="244"/>
      <c r="F818" s="244"/>
      <c r="G818" s="244"/>
      <c r="H818" s="244"/>
      <c r="K818" s="440"/>
      <c r="S818" s="244"/>
    </row>
    <row r="819" spans="1:19" ht="15.75" customHeight="1" x14ac:dyDescent="0.25">
      <c r="A819" s="244"/>
      <c r="C819" s="263"/>
      <c r="D819" s="264"/>
      <c r="E819" s="244"/>
      <c r="F819" s="244"/>
      <c r="G819" s="244"/>
      <c r="H819" s="244"/>
      <c r="K819" s="440"/>
      <c r="S819" s="244"/>
    </row>
    <row r="820" spans="1:19" ht="15.75" customHeight="1" x14ac:dyDescent="0.25">
      <c r="A820" s="244"/>
      <c r="C820" s="263"/>
      <c r="D820" s="264"/>
      <c r="E820" s="244"/>
      <c r="F820" s="244"/>
      <c r="G820" s="244"/>
      <c r="H820" s="244"/>
      <c r="K820" s="440"/>
      <c r="S820" s="244"/>
    </row>
    <row r="821" spans="1:19" ht="15.75" customHeight="1" x14ac:dyDescent="0.25">
      <c r="A821" s="244"/>
      <c r="C821" s="263"/>
      <c r="D821" s="264"/>
      <c r="E821" s="244"/>
      <c r="F821" s="244"/>
      <c r="G821" s="244"/>
      <c r="H821" s="244"/>
      <c r="K821" s="440"/>
      <c r="S821" s="244"/>
    </row>
    <row r="822" spans="1:19" ht="15.75" customHeight="1" x14ac:dyDescent="0.25">
      <c r="A822" s="244"/>
      <c r="C822" s="263"/>
      <c r="D822" s="264"/>
      <c r="E822" s="244"/>
      <c r="F822" s="244"/>
      <c r="G822" s="244"/>
      <c r="H822" s="244"/>
      <c r="K822" s="440"/>
      <c r="S822" s="244"/>
    </row>
    <row r="823" spans="1:19" ht="15.75" customHeight="1" x14ac:dyDescent="0.25">
      <c r="A823" s="244"/>
      <c r="C823" s="263"/>
      <c r="D823" s="264"/>
      <c r="E823" s="244"/>
      <c r="F823" s="244"/>
      <c r="G823" s="244"/>
      <c r="H823" s="244"/>
      <c r="K823" s="440"/>
      <c r="S823" s="244"/>
    </row>
    <row r="824" spans="1:19" ht="15.75" customHeight="1" x14ac:dyDescent="0.25">
      <c r="A824" s="244"/>
      <c r="C824" s="263"/>
      <c r="D824" s="264"/>
      <c r="E824" s="244"/>
      <c r="F824" s="244"/>
      <c r="G824" s="244"/>
      <c r="H824" s="244"/>
      <c r="K824" s="440"/>
      <c r="S824" s="244"/>
    </row>
    <row r="825" spans="1:19" ht="15.75" customHeight="1" x14ac:dyDescent="0.25">
      <c r="A825" s="244"/>
      <c r="C825" s="263"/>
      <c r="D825" s="264"/>
      <c r="E825" s="244"/>
      <c r="F825" s="244"/>
      <c r="G825" s="244"/>
      <c r="H825" s="244"/>
      <c r="K825" s="440"/>
      <c r="S825" s="244"/>
    </row>
    <row r="826" spans="1:19" ht="15.75" customHeight="1" x14ac:dyDescent="0.25">
      <c r="A826" s="244"/>
      <c r="C826" s="263"/>
      <c r="D826" s="264"/>
      <c r="E826" s="244"/>
      <c r="F826" s="244"/>
      <c r="G826" s="244"/>
      <c r="H826" s="244"/>
      <c r="K826" s="440"/>
      <c r="S826" s="244"/>
    </row>
    <row r="827" spans="1:19" ht="15.75" customHeight="1" x14ac:dyDescent="0.25">
      <c r="A827" s="244"/>
      <c r="C827" s="263"/>
      <c r="D827" s="264"/>
      <c r="E827" s="244"/>
      <c r="F827" s="244"/>
      <c r="G827" s="244"/>
      <c r="H827" s="244"/>
      <c r="K827" s="440"/>
      <c r="S827" s="244"/>
    </row>
    <row r="828" spans="1:19" ht="15.75" customHeight="1" x14ac:dyDescent="0.25">
      <c r="A828" s="244"/>
      <c r="C828" s="263"/>
      <c r="D828" s="264"/>
      <c r="E828" s="244"/>
      <c r="F828" s="244"/>
      <c r="G828" s="244"/>
      <c r="H828" s="244"/>
      <c r="K828" s="440"/>
      <c r="S828" s="244"/>
    </row>
    <row r="829" spans="1:19" ht="15.75" customHeight="1" x14ac:dyDescent="0.25">
      <c r="A829" s="244"/>
      <c r="C829" s="263"/>
      <c r="D829" s="264"/>
      <c r="E829" s="244"/>
      <c r="F829" s="244"/>
      <c r="G829" s="244"/>
      <c r="H829" s="244"/>
      <c r="K829" s="440"/>
      <c r="S829" s="244"/>
    </row>
    <row r="830" spans="1:19" ht="15.75" customHeight="1" x14ac:dyDescent="0.25">
      <c r="A830" s="244"/>
      <c r="C830" s="263"/>
      <c r="D830" s="264"/>
      <c r="E830" s="244"/>
      <c r="F830" s="244"/>
      <c r="G830" s="244"/>
      <c r="H830" s="244"/>
      <c r="K830" s="440"/>
      <c r="S830" s="244"/>
    </row>
    <row r="831" spans="1:19" ht="15.75" customHeight="1" x14ac:dyDescent="0.25">
      <c r="A831" s="244"/>
      <c r="C831" s="263"/>
      <c r="D831" s="264"/>
      <c r="E831" s="244"/>
      <c r="F831" s="244"/>
      <c r="G831" s="244"/>
      <c r="H831" s="244"/>
      <c r="K831" s="440"/>
      <c r="S831" s="244"/>
    </row>
    <row r="832" spans="1:19" ht="15.75" customHeight="1" x14ac:dyDescent="0.25">
      <c r="A832" s="244"/>
      <c r="C832" s="263"/>
      <c r="D832" s="264"/>
      <c r="E832" s="244"/>
      <c r="F832" s="244"/>
      <c r="G832" s="244"/>
      <c r="H832" s="244"/>
      <c r="K832" s="440"/>
      <c r="S832" s="244"/>
    </row>
    <row r="833" spans="1:19" ht="15.75" customHeight="1" x14ac:dyDescent="0.25">
      <c r="A833" s="244"/>
      <c r="C833" s="263"/>
      <c r="D833" s="264"/>
      <c r="E833" s="244"/>
      <c r="F833" s="244"/>
      <c r="G833" s="244"/>
      <c r="H833" s="244"/>
      <c r="K833" s="440"/>
      <c r="S833" s="244"/>
    </row>
    <row r="834" spans="1:19" ht="15.75" customHeight="1" x14ac:dyDescent="0.25">
      <c r="A834" s="244"/>
      <c r="C834" s="263"/>
      <c r="D834" s="264"/>
      <c r="E834" s="244"/>
      <c r="F834" s="244"/>
      <c r="G834" s="244"/>
      <c r="H834" s="244"/>
      <c r="K834" s="440"/>
      <c r="S834" s="244"/>
    </row>
    <row r="835" spans="1:19" ht="15.75" customHeight="1" x14ac:dyDescent="0.25">
      <c r="A835" s="244"/>
      <c r="C835" s="263"/>
      <c r="D835" s="264"/>
      <c r="E835" s="244"/>
      <c r="F835" s="244"/>
      <c r="G835" s="244"/>
      <c r="H835" s="244"/>
      <c r="K835" s="440"/>
      <c r="S835" s="244"/>
    </row>
    <row r="836" spans="1:19" ht="15.75" customHeight="1" x14ac:dyDescent="0.25">
      <c r="A836" s="244"/>
      <c r="C836" s="263"/>
      <c r="D836" s="264"/>
      <c r="E836" s="244"/>
      <c r="F836" s="244"/>
      <c r="G836" s="244"/>
      <c r="H836" s="244"/>
      <c r="K836" s="440"/>
      <c r="S836" s="244"/>
    </row>
    <row r="837" spans="1:19" ht="15.75" customHeight="1" x14ac:dyDescent="0.25">
      <c r="A837" s="244"/>
      <c r="C837" s="263"/>
      <c r="D837" s="264"/>
      <c r="E837" s="244"/>
      <c r="F837" s="244"/>
      <c r="G837" s="244"/>
      <c r="H837" s="244"/>
      <c r="K837" s="440"/>
      <c r="S837" s="244"/>
    </row>
    <row r="838" spans="1:19" ht="15.75" customHeight="1" x14ac:dyDescent="0.25">
      <c r="A838" s="244"/>
      <c r="C838" s="263"/>
      <c r="D838" s="264"/>
      <c r="E838" s="244"/>
      <c r="F838" s="244"/>
      <c r="G838" s="244"/>
      <c r="H838" s="244"/>
      <c r="K838" s="440"/>
      <c r="S838" s="244"/>
    </row>
    <row r="839" spans="1:19" ht="15.75" customHeight="1" x14ac:dyDescent="0.25">
      <c r="A839" s="244"/>
      <c r="C839" s="263"/>
      <c r="D839" s="264"/>
      <c r="E839" s="244"/>
      <c r="F839" s="244"/>
      <c r="G839" s="244"/>
      <c r="H839" s="244"/>
      <c r="K839" s="440"/>
      <c r="S839" s="244"/>
    </row>
    <row r="840" spans="1:19" ht="15.75" customHeight="1" x14ac:dyDescent="0.25">
      <c r="A840" s="244"/>
      <c r="C840" s="263"/>
      <c r="D840" s="264"/>
      <c r="E840" s="244"/>
      <c r="F840" s="244"/>
      <c r="G840" s="244"/>
      <c r="H840" s="244"/>
      <c r="K840" s="440"/>
      <c r="S840" s="244"/>
    </row>
    <row r="841" spans="1:19" ht="15.75" customHeight="1" x14ac:dyDescent="0.25">
      <c r="A841" s="244"/>
      <c r="C841" s="263"/>
      <c r="D841" s="264"/>
      <c r="E841" s="244"/>
      <c r="F841" s="244"/>
      <c r="G841" s="244"/>
      <c r="H841" s="244"/>
      <c r="K841" s="440"/>
      <c r="S841" s="244"/>
    </row>
    <row r="842" spans="1:19" ht="15.75" customHeight="1" x14ac:dyDescent="0.25">
      <c r="A842" s="244"/>
      <c r="C842" s="263"/>
      <c r="D842" s="264"/>
      <c r="E842" s="244"/>
      <c r="F842" s="244"/>
      <c r="G842" s="244"/>
      <c r="H842" s="244"/>
      <c r="K842" s="440"/>
      <c r="S842" s="244"/>
    </row>
    <row r="843" spans="1:19" ht="15.75" customHeight="1" x14ac:dyDescent="0.25">
      <c r="A843" s="244"/>
      <c r="C843" s="263"/>
      <c r="D843" s="264"/>
      <c r="E843" s="244"/>
      <c r="F843" s="244"/>
      <c r="G843" s="244"/>
      <c r="H843" s="244"/>
      <c r="K843" s="440"/>
      <c r="S843" s="244"/>
    </row>
    <row r="844" spans="1:19" ht="15.75" customHeight="1" x14ac:dyDescent="0.25">
      <c r="A844" s="244"/>
      <c r="C844" s="263"/>
      <c r="D844" s="264"/>
      <c r="E844" s="244"/>
      <c r="F844" s="244"/>
      <c r="G844" s="244"/>
      <c r="H844" s="244"/>
      <c r="K844" s="440"/>
      <c r="S844" s="244"/>
    </row>
    <row r="845" spans="1:19" ht="15.75" customHeight="1" x14ac:dyDescent="0.25">
      <c r="A845" s="244"/>
      <c r="C845" s="263"/>
      <c r="D845" s="264"/>
      <c r="E845" s="244"/>
      <c r="F845" s="244"/>
      <c r="G845" s="244"/>
      <c r="H845" s="244"/>
      <c r="K845" s="440"/>
      <c r="S845" s="244"/>
    </row>
    <row r="846" spans="1:19" ht="15.75" customHeight="1" x14ac:dyDescent="0.25">
      <c r="A846" s="244"/>
      <c r="C846" s="263"/>
      <c r="D846" s="264"/>
      <c r="E846" s="244"/>
      <c r="F846" s="244"/>
      <c r="G846" s="244"/>
      <c r="H846" s="244"/>
      <c r="K846" s="440"/>
      <c r="S846" s="244"/>
    </row>
    <row r="847" spans="1:19" ht="15.75" customHeight="1" x14ac:dyDescent="0.25">
      <c r="A847" s="244"/>
      <c r="C847" s="263"/>
      <c r="D847" s="264"/>
      <c r="E847" s="244"/>
      <c r="F847" s="244"/>
      <c r="G847" s="244"/>
      <c r="H847" s="244"/>
      <c r="K847" s="440"/>
      <c r="S847" s="244"/>
    </row>
    <row r="848" spans="1:19" ht="15.75" customHeight="1" x14ac:dyDescent="0.25">
      <c r="A848" s="244"/>
      <c r="C848" s="263"/>
      <c r="D848" s="264"/>
      <c r="E848" s="244"/>
      <c r="F848" s="244"/>
      <c r="G848" s="244"/>
      <c r="H848" s="244"/>
      <c r="K848" s="440"/>
      <c r="S848" s="244"/>
    </row>
    <row r="849" spans="1:19" ht="15.75" customHeight="1" x14ac:dyDescent="0.25">
      <c r="A849" s="244"/>
      <c r="C849" s="263"/>
      <c r="D849" s="264"/>
      <c r="E849" s="244"/>
      <c r="F849" s="244"/>
      <c r="G849" s="244"/>
      <c r="H849" s="244"/>
      <c r="K849" s="440"/>
      <c r="S849" s="244"/>
    </row>
    <row r="850" spans="1:19" ht="15.75" customHeight="1" x14ac:dyDescent="0.25">
      <c r="A850" s="244"/>
      <c r="C850" s="263"/>
      <c r="D850" s="264"/>
      <c r="E850" s="244"/>
      <c r="F850" s="244"/>
      <c r="G850" s="244"/>
      <c r="H850" s="244"/>
      <c r="K850" s="440"/>
      <c r="S850" s="244"/>
    </row>
    <row r="851" spans="1:19" ht="15.75" customHeight="1" x14ac:dyDescent="0.25">
      <c r="A851" s="244"/>
      <c r="C851" s="263"/>
      <c r="D851" s="264"/>
      <c r="E851" s="244"/>
      <c r="F851" s="244"/>
      <c r="G851" s="244"/>
      <c r="H851" s="244"/>
      <c r="K851" s="440"/>
      <c r="S851" s="244"/>
    </row>
    <row r="852" spans="1:19" ht="15.75" customHeight="1" x14ac:dyDescent="0.25">
      <c r="A852" s="244"/>
      <c r="C852" s="263"/>
      <c r="D852" s="264"/>
      <c r="E852" s="244"/>
      <c r="F852" s="244"/>
      <c r="G852" s="244"/>
      <c r="H852" s="244"/>
      <c r="K852" s="440"/>
      <c r="S852" s="244"/>
    </row>
    <row r="853" spans="1:19" ht="15.75" customHeight="1" x14ac:dyDescent="0.25">
      <c r="A853" s="244"/>
      <c r="C853" s="263"/>
      <c r="D853" s="264"/>
      <c r="E853" s="244"/>
      <c r="F853" s="244"/>
      <c r="G853" s="244"/>
      <c r="H853" s="244"/>
      <c r="K853" s="440"/>
      <c r="S853" s="244"/>
    </row>
    <row r="854" spans="1:19" ht="15.75" customHeight="1" x14ac:dyDescent="0.25">
      <c r="A854" s="244"/>
      <c r="C854" s="263"/>
      <c r="D854" s="264"/>
      <c r="E854" s="244"/>
      <c r="F854" s="244"/>
      <c r="G854" s="244"/>
      <c r="H854" s="244"/>
      <c r="K854" s="440"/>
      <c r="S854" s="244"/>
    </row>
    <row r="855" spans="1:19" ht="15.75" customHeight="1" x14ac:dyDescent="0.25">
      <c r="A855" s="244"/>
      <c r="C855" s="263"/>
      <c r="D855" s="264"/>
      <c r="E855" s="244"/>
      <c r="F855" s="244"/>
      <c r="G855" s="244"/>
      <c r="H855" s="244"/>
      <c r="K855" s="440"/>
      <c r="S855" s="244"/>
    </row>
    <row r="856" spans="1:19" ht="15.75" customHeight="1" x14ac:dyDescent="0.25">
      <c r="A856" s="244"/>
      <c r="C856" s="263"/>
      <c r="D856" s="264"/>
      <c r="E856" s="244"/>
      <c r="F856" s="244"/>
      <c r="G856" s="244"/>
      <c r="H856" s="244"/>
      <c r="K856" s="440"/>
      <c r="S856" s="244"/>
    </row>
    <row r="857" spans="1:19" ht="15.75" customHeight="1" x14ac:dyDescent="0.25">
      <c r="A857" s="244"/>
      <c r="C857" s="263"/>
      <c r="D857" s="264"/>
      <c r="E857" s="244"/>
      <c r="F857" s="244"/>
      <c r="G857" s="244"/>
      <c r="H857" s="244"/>
      <c r="K857" s="440"/>
      <c r="S857" s="244"/>
    </row>
    <row r="858" spans="1:19" ht="15.75" customHeight="1" x14ac:dyDescent="0.25">
      <c r="A858" s="244"/>
      <c r="C858" s="263"/>
      <c r="D858" s="264"/>
      <c r="E858" s="244"/>
      <c r="F858" s="244"/>
      <c r="G858" s="244"/>
      <c r="H858" s="244"/>
      <c r="K858" s="440"/>
      <c r="S858" s="244"/>
    </row>
    <row r="859" spans="1:19" ht="15.75" customHeight="1" x14ac:dyDescent="0.25">
      <c r="A859" s="244"/>
      <c r="C859" s="263"/>
      <c r="D859" s="264"/>
      <c r="E859" s="244"/>
      <c r="F859" s="244"/>
      <c r="G859" s="244"/>
      <c r="H859" s="244"/>
      <c r="K859" s="440"/>
      <c r="S859" s="244"/>
    </row>
    <row r="860" spans="1:19" ht="15.75" customHeight="1" x14ac:dyDescent="0.25">
      <c r="A860" s="244"/>
      <c r="C860" s="263"/>
      <c r="D860" s="264"/>
      <c r="E860" s="244"/>
      <c r="F860" s="244"/>
      <c r="G860" s="244"/>
      <c r="H860" s="244"/>
      <c r="K860" s="440"/>
      <c r="S860" s="244"/>
    </row>
    <row r="861" spans="1:19" ht="15.75" customHeight="1" x14ac:dyDescent="0.25">
      <c r="A861" s="244"/>
      <c r="C861" s="263"/>
      <c r="D861" s="264"/>
      <c r="E861" s="244"/>
      <c r="F861" s="244"/>
      <c r="G861" s="244"/>
      <c r="H861" s="244"/>
      <c r="K861" s="440"/>
      <c r="S861" s="244"/>
    </row>
    <row r="862" spans="1:19" ht="15.75" customHeight="1" x14ac:dyDescent="0.25">
      <c r="A862" s="244"/>
      <c r="C862" s="263"/>
      <c r="D862" s="264"/>
      <c r="E862" s="244"/>
      <c r="F862" s="244"/>
      <c r="G862" s="244"/>
      <c r="H862" s="244"/>
      <c r="K862" s="440"/>
      <c r="S862" s="244"/>
    </row>
    <row r="863" spans="1:19" ht="15.75" customHeight="1" x14ac:dyDescent="0.25">
      <c r="A863" s="244"/>
      <c r="C863" s="263"/>
      <c r="D863" s="264"/>
      <c r="E863" s="244"/>
      <c r="F863" s="244"/>
      <c r="G863" s="244"/>
      <c r="H863" s="244"/>
      <c r="K863" s="440"/>
      <c r="S863" s="244"/>
    </row>
    <row r="864" spans="1:19" ht="15.75" customHeight="1" x14ac:dyDescent="0.25">
      <c r="A864" s="244"/>
      <c r="C864" s="263"/>
      <c r="D864" s="264"/>
      <c r="E864" s="244"/>
      <c r="F864" s="244"/>
      <c r="G864" s="244"/>
      <c r="H864" s="244"/>
      <c r="K864" s="440"/>
      <c r="S864" s="244"/>
    </row>
    <row r="865" spans="1:19" ht="15.75" customHeight="1" x14ac:dyDescent="0.25">
      <c r="A865" s="244"/>
      <c r="C865" s="263"/>
      <c r="D865" s="264"/>
      <c r="E865" s="244"/>
      <c r="F865" s="244"/>
      <c r="G865" s="244"/>
      <c r="H865" s="244"/>
      <c r="K865" s="440"/>
      <c r="S865" s="244"/>
    </row>
    <row r="866" spans="1:19" ht="15.75" customHeight="1" x14ac:dyDescent="0.25">
      <c r="A866" s="244"/>
      <c r="C866" s="263"/>
      <c r="D866" s="264"/>
      <c r="E866" s="244"/>
      <c r="F866" s="244"/>
      <c r="G866" s="244"/>
      <c r="H866" s="244"/>
      <c r="K866" s="440"/>
      <c r="S866" s="244"/>
    </row>
    <row r="867" spans="1:19" ht="15.75" customHeight="1" x14ac:dyDescent="0.25">
      <c r="A867" s="244"/>
      <c r="C867" s="263"/>
      <c r="D867" s="264"/>
      <c r="E867" s="244"/>
      <c r="F867" s="244"/>
      <c r="G867" s="244"/>
      <c r="H867" s="244"/>
      <c r="K867" s="440"/>
      <c r="S867" s="244"/>
    </row>
    <row r="868" spans="1:19" ht="15.75" customHeight="1" x14ac:dyDescent="0.25">
      <c r="A868" s="244"/>
      <c r="C868" s="263"/>
      <c r="D868" s="264"/>
      <c r="E868" s="244"/>
      <c r="F868" s="244"/>
      <c r="G868" s="244"/>
      <c r="H868" s="244"/>
      <c r="K868" s="440"/>
      <c r="S868" s="244"/>
    </row>
    <row r="869" spans="1:19" ht="15.75" customHeight="1" x14ac:dyDescent="0.25">
      <c r="A869" s="244"/>
      <c r="C869" s="263"/>
      <c r="D869" s="264"/>
      <c r="E869" s="244"/>
      <c r="F869" s="244"/>
      <c r="G869" s="244"/>
      <c r="H869" s="244"/>
      <c r="K869" s="440"/>
      <c r="S869" s="244"/>
    </row>
    <row r="870" spans="1:19" ht="15.75" customHeight="1" x14ac:dyDescent="0.25">
      <c r="A870" s="244"/>
      <c r="C870" s="263"/>
      <c r="D870" s="264"/>
      <c r="E870" s="244"/>
      <c r="F870" s="244"/>
      <c r="G870" s="244"/>
      <c r="H870" s="244"/>
      <c r="K870" s="440"/>
      <c r="S870" s="244"/>
    </row>
    <row r="871" spans="1:19" ht="15.75" customHeight="1" x14ac:dyDescent="0.25">
      <c r="A871" s="244"/>
      <c r="C871" s="263"/>
      <c r="D871" s="264"/>
      <c r="E871" s="244"/>
      <c r="F871" s="244"/>
      <c r="G871" s="244"/>
      <c r="H871" s="244"/>
      <c r="K871" s="440"/>
      <c r="S871" s="244"/>
    </row>
    <row r="872" spans="1:19" ht="15.75" customHeight="1" x14ac:dyDescent="0.25">
      <c r="A872" s="244"/>
      <c r="C872" s="263"/>
      <c r="D872" s="264"/>
      <c r="E872" s="244"/>
      <c r="F872" s="244"/>
      <c r="G872" s="244"/>
      <c r="H872" s="244"/>
      <c r="K872" s="440"/>
      <c r="S872" s="244"/>
    </row>
    <row r="873" spans="1:19" ht="15.75" customHeight="1" x14ac:dyDescent="0.25">
      <c r="A873" s="244"/>
      <c r="C873" s="263"/>
      <c r="D873" s="264"/>
      <c r="E873" s="244"/>
      <c r="F873" s="244"/>
      <c r="G873" s="244"/>
      <c r="H873" s="244"/>
      <c r="K873" s="440"/>
      <c r="S873" s="244"/>
    </row>
    <row r="874" spans="1:19" ht="15.75" customHeight="1" x14ac:dyDescent="0.25">
      <c r="A874" s="244"/>
      <c r="C874" s="263"/>
      <c r="D874" s="264"/>
      <c r="E874" s="244"/>
      <c r="F874" s="244"/>
      <c r="G874" s="244"/>
      <c r="H874" s="244"/>
      <c r="K874" s="440"/>
      <c r="S874" s="244"/>
    </row>
    <row r="875" spans="1:19" ht="15.75" customHeight="1" x14ac:dyDescent="0.25">
      <c r="A875" s="244"/>
      <c r="C875" s="263"/>
      <c r="D875" s="264"/>
      <c r="E875" s="244"/>
      <c r="F875" s="244"/>
      <c r="G875" s="244"/>
      <c r="H875" s="244"/>
      <c r="K875" s="440"/>
      <c r="S875" s="244"/>
    </row>
    <row r="876" spans="1:19" ht="15.75" customHeight="1" x14ac:dyDescent="0.25">
      <c r="A876" s="244"/>
      <c r="C876" s="263"/>
      <c r="D876" s="264"/>
      <c r="E876" s="244"/>
      <c r="F876" s="244"/>
      <c r="G876" s="244"/>
      <c r="H876" s="244"/>
      <c r="K876" s="440"/>
      <c r="S876" s="244"/>
    </row>
    <row r="877" spans="1:19" ht="15.75" customHeight="1" x14ac:dyDescent="0.25">
      <c r="A877" s="244"/>
      <c r="C877" s="263"/>
      <c r="D877" s="264"/>
      <c r="E877" s="244"/>
      <c r="F877" s="244"/>
      <c r="G877" s="244"/>
      <c r="H877" s="244"/>
      <c r="K877" s="440"/>
      <c r="S877" s="244"/>
    </row>
    <row r="878" spans="1:19" ht="15.75" customHeight="1" x14ac:dyDescent="0.25">
      <c r="A878" s="244"/>
      <c r="C878" s="263"/>
      <c r="D878" s="264"/>
      <c r="E878" s="244"/>
      <c r="F878" s="244"/>
      <c r="G878" s="244"/>
      <c r="H878" s="244"/>
      <c r="K878" s="440"/>
      <c r="S878" s="244"/>
    </row>
    <row r="879" spans="1:19" ht="15.75" customHeight="1" x14ac:dyDescent="0.25">
      <c r="A879" s="244"/>
      <c r="C879" s="263"/>
      <c r="D879" s="264"/>
      <c r="E879" s="244"/>
      <c r="F879" s="244"/>
      <c r="G879" s="244"/>
      <c r="H879" s="244"/>
      <c r="K879" s="440"/>
      <c r="S879" s="244"/>
    </row>
    <row r="880" spans="1:19" ht="15.75" customHeight="1" x14ac:dyDescent="0.25">
      <c r="A880" s="244"/>
      <c r="C880" s="263"/>
      <c r="D880" s="264"/>
      <c r="E880" s="244"/>
      <c r="F880" s="244"/>
      <c r="G880" s="244"/>
      <c r="H880" s="244"/>
      <c r="K880" s="440"/>
      <c r="S880" s="244"/>
    </row>
    <row r="881" spans="1:19" ht="15.75" customHeight="1" x14ac:dyDescent="0.25">
      <c r="A881" s="244"/>
      <c r="C881" s="263"/>
      <c r="D881" s="264"/>
      <c r="E881" s="244"/>
      <c r="F881" s="244"/>
      <c r="G881" s="244"/>
      <c r="H881" s="244"/>
      <c r="K881" s="440"/>
      <c r="S881" s="244"/>
    </row>
    <row r="882" spans="1:19" ht="15.75" customHeight="1" x14ac:dyDescent="0.25">
      <c r="A882" s="244"/>
      <c r="C882" s="263"/>
      <c r="D882" s="264"/>
      <c r="E882" s="244"/>
      <c r="F882" s="244"/>
      <c r="G882" s="244"/>
      <c r="H882" s="244"/>
      <c r="K882" s="440"/>
      <c r="S882" s="244"/>
    </row>
    <row r="883" spans="1:19" ht="15.75" customHeight="1" x14ac:dyDescent="0.25">
      <c r="A883" s="244"/>
      <c r="C883" s="263"/>
      <c r="D883" s="264"/>
      <c r="E883" s="244"/>
      <c r="F883" s="244"/>
      <c r="G883" s="244"/>
      <c r="H883" s="244"/>
      <c r="K883" s="440"/>
      <c r="S883" s="244"/>
    </row>
    <row r="884" spans="1:19" ht="15.75" customHeight="1" x14ac:dyDescent="0.25">
      <c r="A884" s="244"/>
      <c r="C884" s="263"/>
      <c r="D884" s="264"/>
      <c r="E884" s="244"/>
      <c r="F884" s="244"/>
      <c r="G884" s="244"/>
      <c r="H884" s="244"/>
      <c r="K884" s="440"/>
      <c r="S884" s="244"/>
    </row>
    <row r="885" spans="1:19" ht="15.75" customHeight="1" x14ac:dyDescent="0.25">
      <c r="A885" s="244"/>
      <c r="C885" s="263"/>
      <c r="D885" s="264"/>
      <c r="E885" s="244"/>
      <c r="F885" s="244"/>
      <c r="G885" s="244"/>
      <c r="H885" s="244"/>
      <c r="K885" s="440"/>
      <c r="S885" s="244"/>
    </row>
    <row r="886" spans="1:19" ht="15.75" customHeight="1" x14ac:dyDescent="0.25">
      <c r="A886" s="244"/>
      <c r="C886" s="263"/>
      <c r="D886" s="264"/>
      <c r="E886" s="244"/>
      <c r="F886" s="244"/>
      <c r="G886" s="244"/>
      <c r="H886" s="244"/>
      <c r="K886" s="440"/>
      <c r="S886" s="244"/>
    </row>
    <row r="887" spans="1:19" ht="15.75" customHeight="1" x14ac:dyDescent="0.25">
      <c r="A887" s="244"/>
      <c r="C887" s="263"/>
      <c r="D887" s="264"/>
      <c r="E887" s="244"/>
      <c r="F887" s="244"/>
      <c r="G887" s="244"/>
      <c r="H887" s="244"/>
      <c r="K887" s="440"/>
      <c r="S887" s="244"/>
    </row>
    <row r="888" spans="1:19" ht="15.75" customHeight="1" x14ac:dyDescent="0.25">
      <c r="A888" s="244"/>
      <c r="C888" s="263"/>
      <c r="D888" s="264"/>
      <c r="E888" s="244"/>
      <c r="F888" s="244"/>
      <c r="G888" s="244"/>
      <c r="H888" s="244"/>
      <c r="K888" s="440"/>
      <c r="S888" s="244"/>
    </row>
    <row r="889" spans="1:19" ht="15.75" customHeight="1" x14ac:dyDescent="0.25">
      <c r="A889" s="244"/>
      <c r="C889" s="263"/>
      <c r="D889" s="264"/>
      <c r="E889" s="244"/>
      <c r="F889" s="244"/>
      <c r="G889" s="244"/>
      <c r="H889" s="244"/>
      <c r="K889" s="440"/>
      <c r="S889" s="244"/>
    </row>
    <row r="890" spans="1:19" ht="15.75" customHeight="1" x14ac:dyDescent="0.25">
      <c r="A890" s="244"/>
      <c r="C890" s="263"/>
      <c r="D890" s="264"/>
      <c r="E890" s="244"/>
      <c r="F890" s="244"/>
      <c r="G890" s="244"/>
      <c r="H890" s="244"/>
      <c r="K890" s="440"/>
      <c r="S890" s="244"/>
    </row>
    <row r="891" spans="1:19" ht="15.75" customHeight="1" x14ac:dyDescent="0.25">
      <c r="A891" s="244"/>
      <c r="C891" s="263"/>
      <c r="D891" s="264"/>
      <c r="E891" s="244"/>
      <c r="F891" s="244"/>
      <c r="G891" s="244"/>
      <c r="H891" s="244"/>
      <c r="K891" s="440"/>
      <c r="S891" s="244"/>
    </row>
    <row r="892" spans="1:19" ht="15.75" customHeight="1" x14ac:dyDescent="0.25">
      <c r="A892" s="244"/>
      <c r="C892" s="263"/>
      <c r="D892" s="264"/>
      <c r="E892" s="244"/>
      <c r="F892" s="244"/>
      <c r="G892" s="244"/>
      <c r="H892" s="244"/>
      <c r="K892" s="440"/>
      <c r="S892" s="244"/>
    </row>
    <row r="893" spans="1:19" ht="15.75" customHeight="1" x14ac:dyDescent="0.25">
      <c r="A893" s="244"/>
      <c r="C893" s="263"/>
      <c r="D893" s="264"/>
      <c r="E893" s="244"/>
      <c r="F893" s="244"/>
      <c r="G893" s="244"/>
      <c r="H893" s="244"/>
      <c r="K893" s="440"/>
      <c r="S893" s="244"/>
    </row>
    <row r="894" spans="1:19" ht="15.75" customHeight="1" x14ac:dyDescent="0.25">
      <c r="A894" s="244"/>
      <c r="C894" s="263"/>
      <c r="D894" s="264"/>
      <c r="E894" s="244"/>
      <c r="F894" s="244"/>
      <c r="G894" s="244"/>
      <c r="H894" s="244"/>
      <c r="K894" s="440"/>
      <c r="S894" s="244"/>
    </row>
    <row r="895" spans="1:19" ht="15.75" customHeight="1" x14ac:dyDescent="0.25">
      <c r="A895" s="244"/>
      <c r="C895" s="263"/>
      <c r="D895" s="264"/>
      <c r="E895" s="244"/>
      <c r="F895" s="244"/>
      <c r="G895" s="244"/>
      <c r="H895" s="244"/>
      <c r="K895" s="440"/>
      <c r="S895" s="244"/>
    </row>
    <row r="896" spans="1:19" ht="15.75" customHeight="1" x14ac:dyDescent="0.25">
      <c r="A896" s="244"/>
      <c r="C896" s="263"/>
      <c r="D896" s="264"/>
      <c r="E896" s="244"/>
      <c r="F896" s="244"/>
      <c r="G896" s="244"/>
      <c r="H896" s="244"/>
      <c r="K896" s="440"/>
      <c r="S896" s="244"/>
    </row>
    <row r="897" spans="1:19" ht="15.75" customHeight="1" x14ac:dyDescent="0.25">
      <c r="A897" s="244"/>
      <c r="C897" s="263"/>
      <c r="D897" s="264"/>
      <c r="E897" s="244"/>
      <c r="F897" s="244"/>
      <c r="G897" s="244"/>
      <c r="H897" s="244"/>
      <c r="K897" s="440"/>
      <c r="S897" s="244"/>
    </row>
    <row r="898" spans="1:19" ht="15.75" customHeight="1" x14ac:dyDescent="0.25">
      <c r="A898" s="244"/>
      <c r="C898" s="263"/>
      <c r="D898" s="264"/>
      <c r="E898" s="244"/>
      <c r="F898" s="244"/>
      <c r="G898" s="244"/>
      <c r="H898" s="244"/>
      <c r="K898" s="440"/>
      <c r="S898" s="244"/>
    </row>
    <row r="899" spans="1:19" ht="15.75" customHeight="1" x14ac:dyDescent="0.25">
      <c r="A899" s="244"/>
      <c r="C899" s="263"/>
      <c r="D899" s="264"/>
      <c r="E899" s="244"/>
      <c r="F899" s="244"/>
      <c r="G899" s="244"/>
      <c r="H899" s="244"/>
      <c r="K899" s="440"/>
      <c r="S899" s="244"/>
    </row>
    <row r="900" spans="1:19" ht="15.75" customHeight="1" x14ac:dyDescent="0.25">
      <c r="A900" s="244"/>
      <c r="C900" s="263"/>
      <c r="D900" s="264"/>
      <c r="E900" s="244"/>
      <c r="F900" s="244"/>
      <c r="G900" s="244"/>
      <c r="H900" s="244"/>
      <c r="K900" s="440"/>
      <c r="S900" s="244"/>
    </row>
    <row r="901" spans="1:19" ht="15.75" customHeight="1" x14ac:dyDescent="0.25">
      <c r="A901" s="244"/>
      <c r="C901" s="263"/>
      <c r="D901" s="264"/>
      <c r="E901" s="244"/>
      <c r="F901" s="244"/>
      <c r="G901" s="244"/>
      <c r="H901" s="244"/>
      <c r="K901" s="440"/>
      <c r="S901" s="244"/>
    </row>
    <row r="902" spans="1:19" ht="15.75" customHeight="1" x14ac:dyDescent="0.25">
      <c r="A902" s="244"/>
      <c r="C902" s="263"/>
      <c r="D902" s="264"/>
      <c r="E902" s="244"/>
      <c r="F902" s="244"/>
      <c r="G902" s="244"/>
      <c r="H902" s="244"/>
      <c r="K902" s="440"/>
      <c r="S902" s="244"/>
    </row>
    <row r="903" spans="1:19" ht="15.75" customHeight="1" x14ac:dyDescent="0.25">
      <c r="A903" s="244"/>
      <c r="C903" s="263"/>
      <c r="D903" s="264"/>
      <c r="E903" s="244"/>
      <c r="F903" s="244"/>
      <c r="G903" s="244"/>
      <c r="H903" s="244"/>
      <c r="K903" s="440"/>
      <c r="S903" s="244"/>
    </row>
    <row r="904" spans="1:19" ht="15.75" customHeight="1" x14ac:dyDescent="0.25">
      <c r="A904" s="244"/>
      <c r="C904" s="263"/>
      <c r="D904" s="264"/>
      <c r="E904" s="244"/>
      <c r="F904" s="244"/>
      <c r="G904" s="244"/>
      <c r="H904" s="244"/>
      <c r="K904" s="440"/>
      <c r="S904" s="244"/>
    </row>
    <row r="905" spans="1:19" ht="15.75" customHeight="1" x14ac:dyDescent="0.25">
      <c r="A905" s="244"/>
      <c r="C905" s="263"/>
      <c r="D905" s="264"/>
      <c r="E905" s="244"/>
      <c r="F905" s="244"/>
      <c r="G905" s="244"/>
      <c r="H905" s="244"/>
      <c r="K905" s="440"/>
      <c r="S905" s="244"/>
    </row>
    <row r="906" spans="1:19" ht="15.75" customHeight="1" x14ac:dyDescent="0.25">
      <c r="A906" s="244"/>
      <c r="C906" s="263"/>
      <c r="D906" s="264"/>
      <c r="E906" s="244"/>
      <c r="F906" s="244"/>
      <c r="G906" s="244"/>
      <c r="H906" s="244"/>
      <c r="K906" s="440"/>
      <c r="S906" s="244"/>
    </row>
    <row r="907" spans="1:19" ht="15.75" customHeight="1" x14ac:dyDescent="0.25">
      <c r="A907" s="244"/>
      <c r="C907" s="263"/>
      <c r="D907" s="264"/>
      <c r="E907" s="244"/>
      <c r="F907" s="244"/>
      <c r="G907" s="244"/>
      <c r="H907" s="244"/>
      <c r="K907" s="440"/>
      <c r="S907" s="244"/>
    </row>
    <row r="908" spans="1:19" ht="15.75" customHeight="1" x14ac:dyDescent="0.25">
      <c r="A908" s="244"/>
      <c r="C908" s="263"/>
      <c r="D908" s="264"/>
      <c r="E908" s="244"/>
      <c r="F908" s="244"/>
      <c r="G908" s="244"/>
      <c r="H908" s="244"/>
      <c r="K908" s="440"/>
      <c r="S908" s="244"/>
    </row>
    <row r="909" spans="1:19" ht="15.75" customHeight="1" x14ac:dyDescent="0.25">
      <c r="A909" s="244"/>
      <c r="C909" s="263"/>
      <c r="D909" s="264"/>
      <c r="E909" s="244"/>
      <c r="F909" s="244"/>
      <c r="G909" s="244"/>
      <c r="H909" s="244"/>
      <c r="K909" s="440"/>
      <c r="S909" s="244"/>
    </row>
    <row r="910" spans="1:19" ht="15.75" customHeight="1" x14ac:dyDescent="0.25">
      <c r="A910" s="244"/>
      <c r="C910" s="263"/>
      <c r="D910" s="264"/>
      <c r="E910" s="244"/>
      <c r="F910" s="244"/>
      <c r="G910" s="244"/>
      <c r="H910" s="244"/>
      <c r="K910" s="440"/>
      <c r="S910" s="244"/>
    </row>
    <row r="911" spans="1:19" ht="15.75" customHeight="1" x14ac:dyDescent="0.25">
      <c r="A911" s="244"/>
      <c r="C911" s="263"/>
      <c r="D911" s="264"/>
      <c r="E911" s="244"/>
      <c r="F911" s="244"/>
      <c r="G911" s="244"/>
      <c r="H911" s="244"/>
      <c r="K911" s="440"/>
      <c r="S911" s="244"/>
    </row>
    <row r="912" spans="1:19" ht="15.75" customHeight="1" x14ac:dyDescent="0.25">
      <c r="A912" s="244"/>
      <c r="C912" s="263"/>
      <c r="D912" s="264"/>
      <c r="E912" s="244"/>
      <c r="F912" s="244"/>
      <c r="G912" s="244"/>
      <c r="H912" s="244"/>
      <c r="K912" s="440"/>
      <c r="S912" s="244"/>
    </row>
    <row r="913" spans="1:19" ht="15.75" customHeight="1" x14ac:dyDescent="0.25">
      <c r="A913" s="244"/>
      <c r="C913" s="263"/>
      <c r="D913" s="264"/>
      <c r="E913" s="244"/>
      <c r="F913" s="244"/>
      <c r="G913" s="244"/>
      <c r="H913" s="244"/>
      <c r="K913" s="440"/>
      <c r="S913" s="244"/>
    </row>
    <row r="914" spans="1:19" ht="15.75" customHeight="1" x14ac:dyDescent="0.25">
      <c r="A914" s="244"/>
      <c r="C914" s="263"/>
      <c r="D914" s="264"/>
      <c r="E914" s="244"/>
      <c r="F914" s="244"/>
      <c r="G914" s="244"/>
      <c r="H914" s="244"/>
      <c r="K914" s="440"/>
      <c r="S914" s="244"/>
    </row>
    <row r="915" spans="1:19" ht="15.75" customHeight="1" x14ac:dyDescent="0.25">
      <c r="A915" s="244"/>
      <c r="C915" s="263"/>
      <c r="D915" s="264"/>
      <c r="E915" s="244"/>
      <c r="F915" s="244"/>
      <c r="G915" s="244"/>
      <c r="H915" s="244"/>
      <c r="K915" s="440"/>
      <c r="S915" s="244"/>
    </row>
    <row r="916" spans="1:19" ht="15.75" customHeight="1" x14ac:dyDescent="0.25">
      <c r="A916" s="244"/>
      <c r="C916" s="263"/>
      <c r="D916" s="264"/>
      <c r="E916" s="244"/>
      <c r="F916" s="244"/>
      <c r="G916" s="244"/>
      <c r="H916" s="244"/>
      <c r="K916" s="440"/>
      <c r="S916" s="244"/>
    </row>
    <row r="917" spans="1:19" ht="15.75" customHeight="1" x14ac:dyDescent="0.25">
      <c r="A917" s="244"/>
      <c r="C917" s="263"/>
      <c r="D917" s="264"/>
      <c r="E917" s="244"/>
      <c r="F917" s="244"/>
      <c r="G917" s="244"/>
      <c r="H917" s="244"/>
      <c r="K917" s="440"/>
      <c r="S917" s="244"/>
    </row>
    <row r="918" spans="1:19" ht="15.75" customHeight="1" x14ac:dyDescent="0.25">
      <c r="A918" s="244"/>
      <c r="C918" s="263"/>
      <c r="D918" s="264"/>
      <c r="E918" s="244"/>
      <c r="F918" s="244"/>
      <c r="G918" s="244"/>
      <c r="H918" s="244"/>
      <c r="K918" s="440"/>
      <c r="S918" s="244"/>
    </row>
    <row r="919" spans="1:19" ht="15.75" customHeight="1" x14ac:dyDescent="0.25">
      <c r="A919" s="244"/>
      <c r="C919" s="263"/>
      <c r="D919" s="264"/>
      <c r="E919" s="244"/>
      <c r="F919" s="244"/>
      <c r="G919" s="244"/>
      <c r="H919" s="244"/>
      <c r="K919" s="440"/>
      <c r="S919" s="244"/>
    </row>
    <row r="920" spans="1:19" ht="15.75" customHeight="1" x14ac:dyDescent="0.25">
      <c r="A920" s="244"/>
      <c r="C920" s="263"/>
      <c r="D920" s="264"/>
      <c r="E920" s="244"/>
      <c r="F920" s="244"/>
      <c r="G920" s="244"/>
      <c r="H920" s="244"/>
      <c r="K920" s="440"/>
      <c r="S920" s="244"/>
    </row>
    <row r="921" spans="1:19" ht="15.75" customHeight="1" x14ac:dyDescent="0.25">
      <c r="A921" s="244"/>
      <c r="C921" s="263"/>
      <c r="D921" s="264"/>
      <c r="E921" s="244"/>
      <c r="F921" s="244"/>
      <c r="G921" s="244"/>
      <c r="H921" s="244"/>
      <c r="K921" s="440"/>
      <c r="S921" s="244"/>
    </row>
    <row r="922" spans="1:19" ht="15.75" customHeight="1" x14ac:dyDescent="0.25">
      <c r="A922" s="244"/>
      <c r="C922" s="263"/>
      <c r="D922" s="264"/>
      <c r="E922" s="244"/>
      <c r="F922" s="244"/>
      <c r="G922" s="244"/>
      <c r="H922" s="244"/>
      <c r="K922" s="440"/>
      <c r="S922" s="244"/>
    </row>
    <row r="923" spans="1:19" ht="15.75" customHeight="1" x14ac:dyDescent="0.25">
      <c r="A923" s="244"/>
      <c r="C923" s="263"/>
      <c r="D923" s="264"/>
      <c r="E923" s="244"/>
      <c r="F923" s="244"/>
      <c r="G923" s="244"/>
      <c r="H923" s="244"/>
      <c r="K923" s="440"/>
      <c r="S923" s="244"/>
    </row>
    <row r="924" spans="1:19" ht="15.75" customHeight="1" x14ac:dyDescent="0.25">
      <c r="A924" s="244"/>
      <c r="C924" s="263"/>
      <c r="D924" s="264"/>
      <c r="E924" s="244"/>
      <c r="F924" s="244"/>
      <c r="G924" s="244"/>
      <c r="H924" s="244"/>
      <c r="K924" s="440"/>
      <c r="S924" s="244"/>
    </row>
    <row r="925" spans="1:19" ht="15.75" customHeight="1" x14ac:dyDescent="0.25">
      <c r="A925" s="244"/>
      <c r="C925" s="263"/>
      <c r="D925" s="264"/>
      <c r="E925" s="244"/>
      <c r="F925" s="244"/>
      <c r="G925" s="244"/>
      <c r="H925" s="244"/>
      <c r="K925" s="440"/>
      <c r="S925" s="244"/>
    </row>
    <row r="926" spans="1:19" ht="15.75" customHeight="1" x14ac:dyDescent="0.25">
      <c r="A926" s="244"/>
      <c r="C926" s="263"/>
      <c r="D926" s="264"/>
      <c r="E926" s="244"/>
      <c r="F926" s="244"/>
      <c r="G926" s="244"/>
      <c r="H926" s="244"/>
      <c r="K926" s="440"/>
      <c r="S926" s="244"/>
    </row>
    <row r="927" spans="1:19" ht="15.75" customHeight="1" x14ac:dyDescent="0.25">
      <c r="A927" s="244"/>
      <c r="C927" s="263"/>
      <c r="D927" s="264"/>
      <c r="E927" s="244"/>
      <c r="F927" s="244"/>
      <c r="G927" s="244"/>
      <c r="H927" s="244"/>
      <c r="K927" s="440"/>
      <c r="S927" s="244"/>
    </row>
    <row r="928" spans="1:19" ht="15.75" customHeight="1" x14ac:dyDescent="0.25">
      <c r="A928" s="244"/>
      <c r="C928" s="263"/>
      <c r="D928" s="264"/>
      <c r="E928" s="244"/>
      <c r="F928" s="244"/>
      <c r="G928" s="244"/>
      <c r="H928" s="244"/>
      <c r="K928" s="440"/>
      <c r="S928" s="244"/>
    </row>
    <row r="929" spans="1:19" ht="15.75" customHeight="1" x14ac:dyDescent="0.25">
      <c r="A929" s="244"/>
      <c r="C929" s="263"/>
      <c r="D929" s="264"/>
      <c r="E929" s="244"/>
      <c r="F929" s="244"/>
      <c r="G929" s="244"/>
      <c r="H929" s="244"/>
      <c r="K929" s="440"/>
      <c r="S929" s="244"/>
    </row>
    <row r="930" spans="1:19" ht="15.75" customHeight="1" x14ac:dyDescent="0.25">
      <c r="A930" s="244"/>
      <c r="C930" s="263"/>
      <c r="D930" s="264"/>
      <c r="E930" s="244"/>
      <c r="F930" s="244"/>
      <c r="G930" s="244"/>
      <c r="H930" s="244"/>
      <c r="K930" s="440"/>
      <c r="S930" s="244"/>
    </row>
    <row r="931" spans="1:19" ht="15.75" customHeight="1" x14ac:dyDescent="0.25">
      <c r="A931" s="244"/>
      <c r="C931" s="263"/>
      <c r="D931" s="264"/>
      <c r="E931" s="244"/>
      <c r="F931" s="244"/>
      <c r="G931" s="244"/>
      <c r="H931" s="244"/>
      <c r="K931" s="440"/>
      <c r="S931" s="244"/>
    </row>
    <row r="932" spans="1:19" ht="15.75" customHeight="1" x14ac:dyDescent="0.25">
      <c r="A932" s="244"/>
      <c r="C932" s="263"/>
      <c r="D932" s="264"/>
      <c r="E932" s="244"/>
      <c r="F932" s="244"/>
      <c r="G932" s="244"/>
      <c r="H932" s="244"/>
      <c r="K932" s="440"/>
      <c r="S932" s="244"/>
    </row>
    <row r="933" spans="1:19" ht="15.75" customHeight="1" x14ac:dyDescent="0.25">
      <c r="A933" s="244"/>
      <c r="C933" s="263"/>
      <c r="D933" s="264"/>
      <c r="E933" s="244"/>
      <c r="F933" s="244"/>
      <c r="G933" s="244"/>
      <c r="H933" s="244"/>
      <c r="K933" s="440"/>
      <c r="S933" s="244"/>
    </row>
    <row r="934" spans="1:19" ht="15.75" customHeight="1" x14ac:dyDescent="0.25">
      <c r="A934" s="244"/>
      <c r="C934" s="263"/>
      <c r="D934" s="264"/>
      <c r="E934" s="244"/>
      <c r="F934" s="244"/>
      <c r="G934" s="244"/>
      <c r="H934" s="244"/>
      <c r="K934" s="440"/>
      <c r="S934" s="244"/>
    </row>
    <row r="935" spans="1:19" ht="15.75" customHeight="1" x14ac:dyDescent="0.25">
      <c r="A935" s="244"/>
      <c r="C935" s="263"/>
      <c r="D935" s="264"/>
      <c r="E935" s="244"/>
      <c r="F935" s="244"/>
      <c r="G935" s="244"/>
      <c r="H935" s="244"/>
      <c r="K935" s="440"/>
      <c r="S935" s="244"/>
    </row>
    <row r="936" spans="1:19" ht="15.75" customHeight="1" x14ac:dyDescent="0.25">
      <c r="A936" s="244"/>
      <c r="C936" s="263"/>
      <c r="D936" s="264"/>
      <c r="E936" s="244"/>
      <c r="F936" s="244"/>
      <c r="G936" s="244"/>
      <c r="H936" s="244"/>
      <c r="K936" s="440"/>
      <c r="S936" s="244"/>
    </row>
    <row r="937" spans="1:19" ht="15.75" customHeight="1" x14ac:dyDescent="0.25">
      <c r="A937" s="244"/>
      <c r="C937" s="263"/>
      <c r="D937" s="264"/>
      <c r="E937" s="244"/>
      <c r="F937" s="244"/>
      <c r="G937" s="244"/>
      <c r="H937" s="244"/>
      <c r="K937" s="440"/>
      <c r="S937" s="244"/>
    </row>
    <row r="938" spans="1:19" ht="15.75" customHeight="1" x14ac:dyDescent="0.25">
      <c r="A938" s="244"/>
      <c r="C938" s="263"/>
      <c r="D938" s="264"/>
      <c r="E938" s="244"/>
      <c r="F938" s="244"/>
      <c r="G938" s="244"/>
      <c r="H938" s="244"/>
      <c r="K938" s="440"/>
      <c r="S938" s="244"/>
    </row>
    <row r="939" spans="1:19" ht="15.75" customHeight="1" x14ac:dyDescent="0.25">
      <c r="A939" s="244"/>
      <c r="C939" s="263"/>
      <c r="D939" s="264"/>
      <c r="E939" s="244"/>
      <c r="F939" s="244"/>
      <c r="G939" s="244"/>
      <c r="H939" s="244"/>
      <c r="K939" s="440"/>
      <c r="S939" s="244"/>
    </row>
    <row r="940" spans="1:19" ht="15.75" customHeight="1" x14ac:dyDescent="0.25">
      <c r="A940" s="244"/>
      <c r="C940" s="263"/>
      <c r="D940" s="264"/>
      <c r="E940" s="244"/>
      <c r="F940" s="244"/>
      <c r="G940" s="244"/>
      <c r="H940" s="244"/>
      <c r="K940" s="440"/>
      <c r="S940" s="244"/>
    </row>
    <row r="941" spans="1:19" ht="15.75" customHeight="1" x14ac:dyDescent="0.25">
      <c r="A941" s="244"/>
      <c r="C941" s="263"/>
      <c r="D941" s="264"/>
      <c r="E941" s="244"/>
      <c r="F941" s="244"/>
      <c r="G941" s="244"/>
      <c r="H941" s="244"/>
      <c r="K941" s="440"/>
      <c r="S941" s="244"/>
    </row>
    <row r="942" spans="1:19" ht="15.75" customHeight="1" x14ac:dyDescent="0.25">
      <c r="A942" s="244"/>
      <c r="C942" s="263"/>
      <c r="D942" s="264"/>
      <c r="E942" s="244"/>
      <c r="F942" s="244"/>
      <c r="G942" s="244"/>
      <c r="H942" s="244"/>
      <c r="K942" s="440"/>
      <c r="S942" s="244"/>
    </row>
    <row r="943" spans="1:19" ht="15.75" customHeight="1" x14ac:dyDescent="0.25">
      <c r="A943" s="244"/>
      <c r="C943" s="263"/>
      <c r="D943" s="264"/>
      <c r="E943" s="244"/>
      <c r="F943" s="244"/>
      <c r="G943" s="244"/>
      <c r="H943" s="244"/>
      <c r="K943" s="440"/>
      <c r="S943" s="244"/>
    </row>
    <row r="944" spans="1:19" ht="15.75" customHeight="1" x14ac:dyDescent="0.25">
      <c r="A944" s="244"/>
      <c r="C944" s="263"/>
      <c r="D944" s="264"/>
      <c r="E944" s="244"/>
      <c r="F944" s="244"/>
      <c r="G944" s="244"/>
      <c r="H944" s="244"/>
      <c r="K944" s="440"/>
      <c r="S944" s="244"/>
    </row>
    <row r="945" spans="1:19" ht="15.75" customHeight="1" x14ac:dyDescent="0.25">
      <c r="A945" s="244"/>
      <c r="C945" s="263"/>
      <c r="D945" s="264"/>
      <c r="E945" s="244"/>
      <c r="F945" s="244"/>
      <c r="G945" s="244"/>
      <c r="H945" s="244"/>
      <c r="K945" s="440"/>
      <c r="S945" s="244"/>
    </row>
    <row r="946" spans="1:19" ht="15.75" customHeight="1" x14ac:dyDescent="0.25">
      <c r="A946" s="244"/>
      <c r="C946" s="263"/>
      <c r="D946" s="264"/>
      <c r="E946" s="244"/>
      <c r="F946" s="244"/>
      <c r="G946" s="244"/>
      <c r="H946" s="244"/>
      <c r="K946" s="440"/>
      <c r="S946" s="244"/>
    </row>
    <row r="947" spans="1:19" ht="15.75" customHeight="1" x14ac:dyDescent="0.25">
      <c r="A947" s="244"/>
      <c r="C947" s="263"/>
      <c r="D947" s="264"/>
      <c r="E947" s="244"/>
      <c r="F947" s="244"/>
      <c r="G947" s="244"/>
      <c r="H947" s="244"/>
      <c r="K947" s="440"/>
      <c r="S947" s="244"/>
    </row>
    <row r="948" spans="1:19" ht="15.75" customHeight="1" x14ac:dyDescent="0.25">
      <c r="A948" s="244"/>
      <c r="C948" s="263"/>
      <c r="D948" s="264"/>
      <c r="E948" s="244"/>
      <c r="F948" s="244"/>
      <c r="G948" s="244"/>
      <c r="H948" s="244"/>
      <c r="K948" s="440"/>
      <c r="S948" s="244"/>
    </row>
    <row r="949" spans="1:19" ht="15.75" customHeight="1" x14ac:dyDescent="0.25">
      <c r="A949" s="244"/>
      <c r="C949" s="263"/>
      <c r="D949" s="264"/>
      <c r="E949" s="244"/>
      <c r="F949" s="244"/>
      <c r="G949" s="244"/>
      <c r="H949" s="244"/>
      <c r="K949" s="440"/>
      <c r="S949" s="244"/>
    </row>
    <row r="950" spans="1:19" ht="15.75" customHeight="1" x14ac:dyDescent="0.25">
      <c r="A950" s="244"/>
      <c r="C950" s="263"/>
      <c r="D950" s="264"/>
      <c r="E950" s="244"/>
      <c r="F950" s="244"/>
      <c r="G950" s="244"/>
      <c r="H950" s="244"/>
      <c r="K950" s="440"/>
      <c r="S950" s="244"/>
    </row>
    <row r="951" spans="1:19" ht="15.75" customHeight="1" x14ac:dyDescent="0.25">
      <c r="A951" s="244"/>
      <c r="C951" s="263"/>
      <c r="D951" s="264"/>
      <c r="E951" s="244"/>
      <c r="F951" s="244"/>
      <c r="G951" s="244"/>
      <c r="H951" s="244"/>
      <c r="K951" s="440"/>
      <c r="S951" s="244"/>
    </row>
    <row r="952" spans="1:19" ht="15.75" customHeight="1" x14ac:dyDescent="0.25">
      <c r="A952" s="244"/>
      <c r="C952" s="263"/>
      <c r="D952" s="264"/>
      <c r="E952" s="244"/>
      <c r="F952" s="244"/>
      <c r="G952" s="244"/>
      <c r="H952" s="244"/>
      <c r="K952" s="440"/>
      <c r="S952" s="244"/>
    </row>
    <row r="953" spans="1:19" ht="15.75" customHeight="1" x14ac:dyDescent="0.25">
      <c r="A953" s="244"/>
      <c r="C953" s="263"/>
      <c r="D953" s="264"/>
      <c r="E953" s="244"/>
      <c r="F953" s="244"/>
      <c r="G953" s="244"/>
      <c r="H953" s="244"/>
      <c r="K953" s="440"/>
      <c r="S953" s="244"/>
    </row>
    <row r="954" spans="1:19" ht="15.75" customHeight="1" x14ac:dyDescent="0.25">
      <c r="A954" s="244"/>
      <c r="C954" s="263"/>
      <c r="D954" s="264"/>
      <c r="E954" s="244"/>
      <c r="F954" s="244"/>
      <c r="G954" s="244"/>
      <c r="H954" s="244"/>
      <c r="K954" s="440"/>
      <c r="S954" s="244"/>
    </row>
    <row r="955" spans="1:19" ht="15.75" customHeight="1" x14ac:dyDescent="0.25">
      <c r="A955" s="244"/>
      <c r="C955" s="263"/>
      <c r="D955" s="264"/>
      <c r="E955" s="244"/>
      <c r="F955" s="244"/>
      <c r="G955" s="244"/>
      <c r="H955" s="244"/>
      <c r="K955" s="440"/>
      <c r="S955" s="244"/>
    </row>
    <row r="956" spans="1:19" ht="15.75" customHeight="1" x14ac:dyDescent="0.25">
      <c r="A956" s="244"/>
      <c r="C956" s="263"/>
      <c r="D956" s="264"/>
      <c r="E956" s="244"/>
      <c r="F956" s="244"/>
      <c r="G956" s="244"/>
      <c r="H956" s="244"/>
      <c r="K956" s="440"/>
      <c r="S956" s="244"/>
    </row>
    <row r="957" spans="1:19" ht="15.75" customHeight="1" x14ac:dyDescent="0.25">
      <c r="A957" s="244"/>
      <c r="C957" s="263"/>
      <c r="D957" s="264"/>
      <c r="E957" s="244"/>
      <c r="F957" s="244"/>
      <c r="G957" s="244"/>
      <c r="H957" s="244"/>
      <c r="K957" s="440"/>
      <c r="S957" s="244"/>
    </row>
    <row r="958" spans="1:19" ht="15.75" customHeight="1" x14ac:dyDescent="0.25">
      <c r="A958" s="244"/>
      <c r="C958" s="263"/>
      <c r="D958" s="264"/>
      <c r="E958" s="244"/>
      <c r="F958" s="244"/>
      <c r="G958" s="244"/>
      <c r="H958" s="244"/>
      <c r="K958" s="440"/>
      <c r="S958" s="244"/>
    </row>
    <row r="959" spans="1:19" ht="15.75" customHeight="1" x14ac:dyDescent="0.25">
      <c r="A959" s="244"/>
      <c r="C959" s="263"/>
      <c r="D959" s="264"/>
      <c r="E959" s="244"/>
      <c r="F959" s="244"/>
      <c r="G959" s="244"/>
      <c r="H959" s="244"/>
      <c r="K959" s="440"/>
      <c r="S959" s="244"/>
    </row>
    <row r="960" spans="1:19" ht="15.75" customHeight="1" x14ac:dyDescent="0.25">
      <c r="A960" s="244"/>
      <c r="C960" s="263"/>
      <c r="D960" s="264"/>
      <c r="E960" s="244"/>
      <c r="F960" s="244"/>
      <c r="G960" s="244"/>
      <c r="H960" s="244"/>
      <c r="K960" s="440"/>
      <c r="S960" s="244"/>
    </row>
    <row r="961" spans="1:19" ht="15.75" customHeight="1" x14ac:dyDescent="0.25">
      <c r="A961" s="244"/>
      <c r="C961" s="263"/>
      <c r="D961" s="264"/>
      <c r="E961" s="244"/>
      <c r="F961" s="244"/>
      <c r="G961" s="244"/>
      <c r="H961" s="244"/>
      <c r="K961" s="440"/>
      <c r="S961" s="244"/>
    </row>
    <row r="962" spans="1:19" ht="15.75" customHeight="1" x14ac:dyDescent="0.25">
      <c r="A962" s="244"/>
      <c r="C962" s="263"/>
      <c r="D962" s="264"/>
      <c r="E962" s="244"/>
      <c r="F962" s="244"/>
      <c r="G962" s="244"/>
      <c r="H962" s="244"/>
      <c r="K962" s="440"/>
      <c r="S962" s="244"/>
    </row>
    <row r="963" spans="1:19" ht="15.75" customHeight="1" x14ac:dyDescent="0.25">
      <c r="A963" s="244"/>
      <c r="C963" s="263"/>
      <c r="D963" s="264"/>
      <c r="E963" s="244"/>
      <c r="F963" s="244"/>
      <c r="G963" s="244"/>
      <c r="H963" s="244"/>
      <c r="K963" s="440"/>
      <c r="S963" s="244"/>
    </row>
    <row r="964" spans="1:19" ht="15.75" customHeight="1" x14ac:dyDescent="0.25">
      <c r="A964" s="244"/>
      <c r="C964" s="263"/>
      <c r="D964" s="264"/>
      <c r="E964" s="244"/>
      <c r="F964" s="244"/>
      <c r="G964" s="244"/>
      <c r="H964" s="244"/>
      <c r="K964" s="440"/>
      <c r="S964" s="244"/>
    </row>
    <row r="965" spans="1:19" ht="15.75" customHeight="1" x14ac:dyDescent="0.25">
      <c r="A965" s="244"/>
      <c r="C965" s="263"/>
      <c r="D965" s="264"/>
      <c r="E965" s="244"/>
      <c r="F965" s="244"/>
      <c r="G965" s="244"/>
      <c r="H965" s="244"/>
      <c r="K965" s="440"/>
      <c r="S965" s="244"/>
    </row>
    <row r="966" spans="1:19" ht="15.75" customHeight="1" x14ac:dyDescent="0.25">
      <c r="A966" s="244"/>
      <c r="C966" s="263"/>
      <c r="D966" s="264"/>
      <c r="E966" s="244"/>
      <c r="F966" s="244"/>
      <c r="G966" s="244"/>
      <c r="H966" s="244"/>
      <c r="K966" s="440"/>
      <c r="S966" s="244"/>
    </row>
    <row r="967" spans="1:19" ht="15.75" customHeight="1" x14ac:dyDescent="0.25">
      <c r="A967" s="244"/>
      <c r="C967" s="263"/>
      <c r="D967" s="264"/>
      <c r="E967" s="244"/>
      <c r="F967" s="244"/>
      <c r="G967" s="244"/>
      <c r="H967" s="244"/>
      <c r="K967" s="440"/>
      <c r="S967" s="244"/>
    </row>
    <row r="968" spans="1:19" ht="15.75" customHeight="1" x14ac:dyDescent="0.25">
      <c r="A968" s="244"/>
      <c r="C968" s="263"/>
      <c r="D968" s="264"/>
      <c r="E968" s="244"/>
      <c r="F968" s="244"/>
      <c r="G968" s="244"/>
      <c r="H968" s="244"/>
      <c r="K968" s="440"/>
      <c r="S968" s="244"/>
    </row>
    <row r="969" spans="1:19" ht="15.75" customHeight="1" x14ac:dyDescent="0.25">
      <c r="A969" s="244"/>
      <c r="C969" s="263"/>
      <c r="D969" s="264"/>
      <c r="E969" s="244"/>
      <c r="F969" s="244"/>
      <c r="G969" s="244"/>
      <c r="H969" s="244"/>
      <c r="K969" s="440"/>
      <c r="S969" s="244"/>
    </row>
    <row r="970" spans="1:19" ht="15.75" customHeight="1" x14ac:dyDescent="0.25">
      <c r="A970" s="244"/>
      <c r="C970" s="263"/>
      <c r="D970" s="264"/>
      <c r="E970" s="244"/>
      <c r="F970" s="244"/>
      <c r="G970" s="244"/>
      <c r="H970" s="244"/>
      <c r="K970" s="440"/>
      <c r="S970" s="244"/>
    </row>
    <row r="971" spans="1:19" ht="15.75" customHeight="1" x14ac:dyDescent="0.25">
      <c r="A971" s="244"/>
      <c r="C971" s="263"/>
      <c r="D971" s="264"/>
      <c r="E971" s="244"/>
      <c r="F971" s="244"/>
      <c r="G971" s="244"/>
      <c r="H971" s="244"/>
      <c r="K971" s="440"/>
      <c r="S971" s="244"/>
    </row>
    <row r="972" spans="1:19" ht="15.75" customHeight="1" x14ac:dyDescent="0.25">
      <c r="A972" s="244"/>
      <c r="C972" s="263"/>
      <c r="D972" s="264"/>
      <c r="E972" s="244"/>
      <c r="F972" s="244"/>
      <c r="G972" s="244"/>
      <c r="H972" s="244"/>
      <c r="K972" s="440"/>
      <c r="S972" s="244"/>
    </row>
  </sheetData>
  <mergeCells count="99">
    <mergeCell ref="X26:X29"/>
    <mergeCell ref="G26:G29"/>
    <mergeCell ref="H26:H29"/>
    <mergeCell ref="I26:I29"/>
    <mergeCell ref="J26:J29"/>
    <mergeCell ref="Q26:Q29"/>
    <mergeCell ref="R26:R29"/>
    <mergeCell ref="S26:S29"/>
    <mergeCell ref="T26:T29"/>
    <mergeCell ref="U26:U29"/>
    <mergeCell ref="V26:V29"/>
    <mergeCell ref="W26:W29"/>
    <mergeCell ref="A26:A29"/>
    <mergeCell ref="B26:B29"/>
    <mergeCell ref="C26:C29"/>
    <mergeCell ref="D26:D29"/>
    <mergeCell ref="E26:E29"/>
    <mergeCell ref="F26:F29"/>
    <mergeCell ref="S21:S25"/>
    <mergeCell ref="T21:T25"/>
    <mergeCell ref="U21:U25"/>
    <mergeCell ref="V21:V25"/>
    <mergeCell ref="F21:F25"/>
    <mergeCell ref="W21:W25"/>
    <mergeCell ref="X21:X25"/>
    <mergeCell ref="G21:G25"/>
    <mergeCell ref="H21:H25"/>
    <mergeCell ref="I21:I25"/>
    <mergeCell ref="J21:J25"/>
    <mergeCell ref="Q21:Q25"/>
    <mergeCell ref="R21:R25"/>
    <mergeCell ref="A21:A25"/>
    <mergeCell ref="B21:B25"/>
    <mergeCell ref="C21:C25"/>
    <mergeCell ref="D21:D25"/>
    <mergeCell ref="E21:E25"/>
    <mergeCell ref="X17:X20"/>
    <mergeCell ref="G17:G20"/>
    <mergeCell ref="H17:H20"/>
    <mergeCell ref="I17:I20"/>
    <mergeCell ref="J17:J20"/>
    <mergeCell ref="Q17:Q20"/>
    <mergeCell ref="R17:R20"/>
    <mergeCell ref="S17:S20"/>
    <mergeCell ref="T17:T20"/>
    <mergeCell ref="U17:U20"/>
    <mergeCell ref="V17:V20"/>
    <mergeCell ref="W17:W20"/>
    <mergeCell ref="A17:A20"/>
    <mergeCell ref="B17:B20"/>
    <mergeCell ref="C17:C20"/>
    <mergeCell ref="D17:D20"/>
    <mergeCell ref="E17:E20"/>
    <mergeCell ref="F17:F20"/>
    <mergeCell ref="S12:S16"/>
    <mergeCell ref="T12:T16"/>
    <mergeCell ref="U12:U16"/>
    <mergeCell ref="V12:V16"/>
    <mergeCell ref="F12:F16"/>
    <mergeCell ref="X12:X16"/>
    <mergeCell ref="G12:G16"/>
    <mergeCell ref="H12:H16"/>
    <mergeCell ref="I12:I16"/>
    <mergeCell ref="J12:J16"/>
    <mergeCell ref="Q12:Q16"/>
    <mergeCell ref="R12:R16"/>
    <mergeCell ref="W12:W16"/>
    <mergeCell ref="R7:R11"/>
    <mergeCell ref="S7:S11"/>
    <mergeCell ref="T7:T11"/>
    <mergeCell ref="U7:U11"/>
    <mergeCell ref="V7:V11"/>
    <mergeCell ref="A12:A16"/>
    <mergeCell ref="B12:B16"/>
    <mergeCell ref="C12:C16"/>
    <mergeCell ref="D12:D16"/>
    <mergeCell ref="E12:E16"/>
    <mergeCell ref="AK1:AK2"/>
    <mergeCell ref="AK3:AK4"/>
    <mergeCell ref="A5:I5"/>
    <mergeCell ref="K5:P5"/>
    <mergeCell ref="Q5:X5"/>
    <mergeCell ref="Y5:AC5"/>
    <mergeCell ref="AD5:AI5"/>
    <mergeCell ref="X7:X11"/>
    <mergeCell ref="Q7:Q11"/>
    <mergeCell ref="F7:F11"/>
    <mergeCell ref="A1:C4"/>
    <mergeCell ref="D1:AJ4"/>
    <mergeCell ref="A7:A11"/>
    <mergeCell ref="B7:B11"/>
    <mergeCell ref="C7:C11"/>
    <mergeCell ref="D7:D11"/>
    <mergeCell ref="E7:E11"/>
    <mergeCell ref="W7:W11"/>
    <mergeCell ref="G7:G11"/>
    <mergeCell ref="H7:H11"/>
    <mergeCell ref="I7:I11"/>
    <mergeCell ref="J7:J11"/>
  </mergeCells>
  <conditionalFormatting sqref="I26:J26 W26:X26 I7:J7 I12:J12 I17:J17 I21:J21 W7:X7 W12:X12 W17:X17 W21:X21">
    <cfRule type="cellIs" dxfId="115" priority="1" operator="equal">
      <formula>"Extremo"</formula>
    </cfRule>
  </conditionalFormatting>
  <conditionalFormatting sqref="I26:J26 W26:X26 I7:J7 I12:J12 I17:J17 I21:J21 W7:X7 W12:X12 W17:X17 W21:X21">
    <cfRule type="cellIs" dxfId="114" priority="2" operator="equal">
      <formula>"Moderado"</formula>
    </cfRule>
  </conditionalFormatting>
  <conditionalFormatting sqref="I26:J26 W26:X26 I7:J7 I12:J12 I17:J17 I21:J21 W7:X7 W12:X12 W17:X17 W21:X21">
    <cfRule type="cellIs" dxfId="113" priority="3" operator="equal">
      <formula>"Bajo"</formula>
    </cfRule>
  </conditionalFormatting>
  <conditionalFormatting sqref="I26:J26 W26:X26 I7:J7 I12:J12 I17:J17 I21:J21 W7:X7 W12:X12 W17:X17 W21:X21">
    <cfRule type="cellIs" dxfId="112" priority="4" operator="equal">
      <formula>"Alto"</formula>
    </cfRule>
  </conditionalFormatting>
  <dataValidations count="1">
    <dataValidation type="list" allowBlank="1" showErrorMessage="1" sqref="J26 J7 J12 J17 J21" xr:uid="{00000000-0002-0000-3100-000000000000}">
      <formula1>"SI,NO"</formula1>
    </dataValidation>
  </dataValidations>
  <pageMargins left="7.874015748031496E-2" right="7.874015748031496E-2" top="1.1417322834645669" bottom="0.15748031496062992" header="0" footer="0"/>
  <pageSetup orientation="landscape" r:id="rId1"/>
  <headerFooter>
    <oddHeader>&amp;C Matriz de Riesgos</oddHeader>
  </headerFooter>
  <colBreaks count="2" manualBreakCount="2">
    <brk id="16" man="1"/>
    <brk id="29"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ErrorMessage="1" xr:uid="{00000000-0002-0000-3100-000001000000}">
          <x14:formula1>
            <xm:f>'C:\Users\sgomez.UPME\Documents\UPME 2020\Documents\Mapas de riesgos\[Mapa de riesgos PEI MINERIA.xlsx]Datos'!#REF!</xm:f>
          </x14:formula1>
          <xm:sqref>X7:X29 D26 D7 D12 D17 D21 G26 G7 G12 G17 G21</xm:sqref>
        </x14:dataValidation>
      </x14:dataValidation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BEAE25"/>
  </sheetPr>
  <dimension ref="A1:X991"/>
  <sheetViews>
    <sheetView showGridLines="0" topLeftCell="M1" workbookViewId="0">
      <selection activeCell="R7" sqref="R7"/>
    </sheetView>
  </sheetViews>
  <sheetFormatPr baseColWidth="10" defaultColWidth="12.625" defaultRowHeight="15" customHeight="1" x14ac:dyDescent="0.2"/>
  <cols>
    <col min="1" max="1" width="5.625" style="228" customWidth="1"/>
    <col min="2" max="2" width="21.625" style="228" customWidth="1"/>
    <col min="3" max="3" width="15.75" style="228" customWidth="1"/>
    <col min="4" max="4" width="17.875" style="228" customWidth="1"/>
    <col min="5" max="11" width="16.625" style="228" customWidth="1"/>
    <col min="12" max="12" width="21.375" style="228" customWidth="1"/>
    <col min="13" max="14" width="16.625" style="228" customWidth="1"/>
    <col min="15" max="15" width="18.5" style="228" customWidth="1"/>
    <col min="16" max="16" width="16.625" style="228" customWidth="1"/>
    <col min="17" max="23" width="13.75" style="228" customWidth="1"/>
    <col min="24" max="24" width="9.125" style="228" customWidth="1"/>
    <col min="25" max="26" width="9.375" style="228" customWidth="1"/>
    <col min="27" max="16384" width="12.625" style="228"/>
  </cols>
  <sheetData>
    <row r="1" spans="1:24" ht="15" customHeight="1" x14ac:dyDescent="0.2">
      <c r="A1" s="1241"/>
      <c r="B1" s="1200"/>
      <c r="C1" s="1200"/>
      <c r="D1" s="1201"/>
      <c r="E1" s="1242" t="s">
        <v>0</v>
      </c>
      <c r="F1" s="1200"/>
      <c r="G1" s="1200"/>
      <c r="H1" s="1200"/>
      <c r="I1" s="1200"/>
      <c r="J1" s="1200"/>
      <c r="K1" s="1200"/>
      <c r="L1" s="1200"/>
      <c r="M1" s="1200"/>
      <c r="N1" s="1200"/>
      <c r="O1" s="1200"/>
      <c r="P1" s="1200"/>
      <c r="Q1" s="1200"/>
      <c r="R1" s="1200"/>
      <c r="S1" s="1200"/>
      <c r="T1" s="1201"/>
      <c r="U1" s="1405" t="s">
        <v>98</v>
      </c>
      <c r="V1" s="1200"/>
      <c r="W1" s="1200"/>
      <c r="X1" s="1201"/>
    </row>
    <row r="2" spans="1:24" ht="15" customHeight="1" x14ac:dyDescent="0.2">
      <c r="A2" s="1202"/>
      <c r="B2" s="1203"/>
      <c r="C2" s="1203"/>
      <c r="D2" s="1198"/>
      <c r="E2" s="1202"/>
      <c r="F2" s="1203"/>
      <c r="G2" s="1203"/>
      <c r="H2" s="1203"/>
      <c r="I2" s="1203"/>
      <c r="J2" s="1203"/>
      <c r="K2" s="1203"/>
      <c r="L2" s="1203"/>
      <c r="M2" s="1203"/>
      <c r="N2" s="1203"/>
      <c r="O2" s="1203"/>
      <c r="P2" s="1203"/>
      <c r="Q2" s="1203"/>
      <c r="R2" s="1203"/>
      <c r="S2" s="1203"/>
      <c r="T2" s="1198"/>
      <c r="U2" s="1204"/>
      <c r="V2" s="1205"/>
      <c r="W2" s="1205"/>
      <c r="X2" s="1206"/>
    </row>
    <row r="3" spans="1:24" ht="15" customHeight="1" x14ac:dyDescent="0.2">
      <c r="A3" s="1202"/>
      <c r="B3" s="1203"/>
      <c r="C3" s="1203"/>
      <c r="D3" s="1198"/>
      <c r="E3" s="1202"/>
      <c r="F3" s="1203"/>
      <c r="G3" s="1203"/>
      <c r="H3" s="1203"/>
      <c r="I3" s="1203"/>
      <c r="J3" s="1203"/>
      <c r="K3" s="1203"/>
      <c r="L3" s="1203"/>
      <c r="M3" s="1203"/>
      <c r="N3" s="1203"/>
      <c r="O3" s="1203"/>
      <c r="P3" s="1203"/>
      <c r="Q3" s="1203"/>
      <c r="R3" s="1203"/>
      <c r="S3" s="1203"/>
      <c r="T3" s="1198"/>
      <c r="U3" s="1405" t="s">
        <v>99</v>
      </c>
      <c r="V3" s="1200"/>
      <c r="W3" s="1200"/>
      <c r="X3" s="1200"/>
    </row>
    <row r="4" spans="1:24" ht="15" customHeight="1" x14ac:dyDescent="0.2">
      <c r="A4" s="1202"/>
      <c r="B4" s="1203"/>
      <c r="C4" s="1203"/>
      <c r="D4" s="1198"/>
      <c r="E4" s="1202"/>
      <c r="F4" s="1203"/>
      <c r="G4" s="1203"/>
      <c r="H4" s="1203"/>
      <c r="I4" s="1203"/>
      <c r="J4" s="1203"/>
      <c r="K4" s="1203"/>
      <c r="L4" s="1203"/>
      <c r="M4" s="1203"/>
      <c r="N4" s="1203"/>
      <c r="O4" s="1203"/>
      <c r="P4" s="1203"/>
      <c r="Q4" s="1203"/>
      <c r="R4" s="1203"/>
      <c r="S4" s="1203"/>
      <c r="T4" s="1198"/>
      <c r="U4" s="1202"/>
      <c r="V4" s="1203"/>
      <c r="W4" s="1203"/>
      <c r="X4" s="1203"/>
    </row>
    <row r="5" spans="1:24" ht="15" customHeight="1" x14ac:dyDescent="0.25">
      <c r="A5" s="1245" t="s">
        <v>100</v>
      </c>
      <c r="B5" s="1205"/>
      <c r="C5" s="1205"/>
      <c r="D5" s="1206"/>
      <c r="E5" s="1222" t="s">
        <v>101</v>
      </c>
      <c r="F5" s="1218"/>
      <c r="G5" s="1218"/>
      <c r="H5" s="1218"/>
      <c r="I5" s="1218"/>
      <c r="J5" s="1218"/>
      <c r="K5" s="1218"/>
      <c r="L5" s="1218"/>
      <c r="M5" s="1218"/>
      <c r="N5" s="1218"/>
      <c r="O5" s="1218"/>
      <c r="P5" s="1218"/>
      <c r="Q5" s="1218"/>
      <c r="R5" s="1218"/>
      <c r="S5" s="1218"/>
      <c r="T5" s="1218"/>
      <c r="U5" s="1218"/>
      <c r="V5" s="1218"/>
      <c r="W5" s="1218"/>
      <c r="X5" s="1196"/>
    </row>
    <row r="6" spans="1:24" ht="114.75" customHeight="1" x14ac:dyDescent="0.2">
      <c r="A6" s="234" t="s">
        <v>44</v>
      </c>
      <c r="B6" s="266" t="s">
        <v>64</v>
      </c>
      <c r="C6" s="266" t="s">
        <v>70</v>
      </c>
      <c r="D6" s="266" t="s">
        <v>69</v>
      </c>
      <c r="E6" s="234" t="s">
        <v>102</v>
      </c>
      <c r="F6" s="234" t="s">
        <v>103</v>
      </c>
      <c r="G6" s="234" t="s">
        <v>104</v>
      </c>
      <c r="H6" s="234" t="s">
        <v>105</v>
      </c>
      <c r="I6" s="266" t="s">
        <v>106</v>
      </c>
      <c r="J6" s="266" t="s">
        <v>107</v>
      </c>
      <c r="K6" s="266" t="s">
        <v>108</v>
      </c>
      <c r="L6" s="266" t="s">
        <v>793</v>
      </c>
      <c r="M6" s="266" t="s">
        <v>110</v>
      </c>
      <c r="N6" s="266" t="s">
        <v>111</v>
      </c>
      <c r="O6" s="266" t="s">
        <v>112</v>
      </c>
      <c r="P6" s="266" t="s">
        <v>113</v>
      </c>
      <c r="Q6" s="266" t="s">
        <v>114</v>
      </c>
      <c r="R6" s="266" t="s">
        <v>115</v>
      </c>
      <c r="S6" s="266" t="s">
        <v>116</v>
      </c>
      <c r="T6" s="266" t="s">
        <v>117</v>
      </c>
      <c r="U6" s="266" t="s">
        <v>118</v>
      </c>
      <c r="V6" s="266" t="s">
        <v>119</v>
      </c>
      <c r="W6" s="266" t="s">
        <v>120</v>
      </c>
      <c r="X6" s="266" t="s">
        <v>121</v>
      </c>
    </row>
    <row r="7" spans="1:24" ht="135.75" customHeight="1" x14ac:dyDescent="0.2">
      <c r="A7" s="241" t="e">
        <f>#REF!</f>
        <v>#REF!</v>
      </c>
      <c r="B7" s="267" t="e">
        <f>#REF!</f>
        <v>#REF!</v>
      </c>
      <c r="C7" s="241">
        <f>IF(D7="PENDIENTE EVALUAR EL IMPACTO","PENDIENTE EVALUAR EL IMPACTO COLUMNAS H-W",VLOOKUP(D7,[7]Datos!$K$8:$L$12,2,FALSE))</f>
        <v>4</v>
      </c>
      <c r="D7" s="267" t="str">
        <f t="shared" ref="D7" si="0">IF(X7=0,"PENDIENTE EVALUAR EL IMPACTO",IF(X7&lt;=5,"MODERADO",IF(X7&lt;=11,"MAYOR","CATASTRÓFICO")))</f>
        <v>MAYOR</v>
      </c>
      <c r="E7" s="239" t="s">
        <v>122</v>
      </c>
      <c r="F7" s="239" t="s">
        <v>263</v>
      </c>
      <c r="G7" s="239" t="s">
        <v>263</v>
      </c>
      <c r="H7" s="239" t="s">
        <v>263</v>
      </c>
      <c r="I7" s="239" t="s">
        <v>122</v>
      </c>
      <c r="J7" s="239" t="s">
        <v>263</v>
      </c>
      <c r="K7" s="239" t="s">
        <v>263</v>
      </c>
      <c r="L7" s="239" t="s">
        <v>122</v>
      </c>
      <c r="M7" s="239" t="s">
        <v>263</v>
      </c>
      <c r="N7" s="239" t="s">
        <v>122</v>
      </c>
      <c r="O7" s="239" t="s">
        <v>122</v>
      </c>
      <c r="P7" s="239" t="s">
        <v>122</v>
      </c>
      <c r="Q7" s="239" t="s">
        <v>122</v>
      </c>
      <c r="R7" s="239" t="s">
        <v>122</v>
      </c>
      <c r="S7" s="239" t="s">
        <v>122</v>
      </c>
      <c r="T7" s="239" t="s">
        <v>263</v>
      </c>
      <c r="U7" s="239" t="s">
        <v>263</v>
      </c>
      <c r="V7" s="239" t="s">
        <v>122</v>
      </c>
      <c r="W7" s="239" t="s">
        <v>122</v>
      </c>
      <c r="X7" s="268">
        <f t="shared" ref="X7" si="1">COUNTIF(E7:W7,"SI")</f>
        <v>11</v>
      </c>
    </row>
    <row r="8" spans="1:24" x14ac:dyDescent="0.2">
      <c r="X8" s="244"/>
    </row>
    <row r="9" spans="1:24" x14ac:dyDescent="0.2">
      <c r="X9" s="244"/>
    </row>
    <row r="10" spans="1:24" x14ac:dyDescent="0.2">
      <c r="X10" s="244"/>
    </row>
    <row r="11" spans="1:24" x14ac:dyDescent="0.2">
      <c r="X11" s="244"/>
    </row>
    <row r="12" spans="1:24" ht="15.75" customHeight="1" x14ac:dyDescent="0.2">
      <c r="X12" s="244"/>
    </row>
    <row r="13" spans="1:24" ht="15.75" customHeight="1" x14ac:dyDescent="0.2">
      <c r="X13" s="244"/>
    </row>
    <row r="14" spans="1:24" ht="15.75" customHeight="1" x14ac:dyDescent="0.2">
      <c r="X14" s="244"/>
    </row>
    <row r="15" spans="1:24" ht="15.75" customHeight="1" x14ac:dyDescent="0.2">
      <c r="X15" s="244"/>
    </row>
    <row r="16" spans="1:24" ht="15.75" customHeight="1" x14ac:dyDescent="0.2">
      <c r="X16" s="244"/>
    </row>
    <row r="17" spans="24:24" ht="15.75" customHeight="1" x14ac:dyDescent="0.2">
      <c r="X17" s="244"/>
    </row>
    <row r="18" spans="24:24" ht="15.75" customHeight="1" x14ac:dyDescent="0.2">
      <c r="X18" s="244"/>
    </row>
    <row r="19" spans="24:24" ht="15.75" customHeight="1" x14ac:dyDescent="0.2">
      <c r="X19" s="244"/>
    </row>
    <row r="20" spans="24:24" ht="15.75" customHeight="1" x14ac:dyDescent="0.2">
      <c r="X20" s="244"/>
    </row>
    <row r="21" spans="24:24" ht="15.75" customHeight="1" x14ac:dyDescent="0.2">
      <c r="X21" s="244"/>
    </row>
    <row r="22" spans="24:24" ht="15.75" customHeight="1" x14ac:dyDescent="0.2">
      <c r="X22" s="244"/>
    </row>
    <row r="23" spans="24:24" ht="15.75" customHeight="1" x14ac:dyDescent="0.2">
      <c r="X23" s="244"/>
    </row>
    <row r="24" spans="24:24" ht="15.75" customHeight="1" x14ac:dyDescent="0.2">
      <c r="X24" s="244"/>
    </row>
    <row r="25" spans="24:24" ht="15.75" customHeight="1" x14ac:dyDescent="0.2">
      <c r="X25" s="244"/>
    </row>
    <row r="26" spans="24:24" ht="15.75" customHeight="1" x14ac:dyDescent="0.2">
      <c r="X26" s="244"/>
    </row>
    <row r="27" spans="24:24" ht="15.75" customHeight="1" x14ac:dyDescent="0.2">
      <c r="X27" s="244"/>
    </row>
    <row r="28" spans="24:24" ht="15.75" customHeight="1" x14ac:dyDescent="0.2">
      <c r="X28" s="244"/>
    </row>
    <row r="29" spans="24:24" ht="15.75" customHeight="1" x14ac:dyDescent="0.2">
      <c r="X29" s="244"/>
    </row>
    <row r="30" spans="24:24" ht="15.75" customHeight="1" x14ac:dyDescent="0.2">
      <c r="X30" s="244"/>
    </row>
    <row r="31" spans="24:24" ht="15.75" customHeight="1" x14ac:dyDescent="0.2">
      <c r="X31" s="244"/>
    </row>
    <row r="32" spans="24:24" ht="15.75" customHeight="1" x14ac:dyDescent="0.2">
      <c r="X32" s="244"/>
    </row>
    <row r="33" spans="24:24" ht="15.75" customHeight="1" x14ac:dyDescent="0.2">
      <c r="X33" s="244"/>
    </row>
    <row r="34" spans="24:24" ht="15.75" customHeight="1" x14ac:dyDescent="0.2">
      <c r="X34" s="244"/>
    </row>
    <row r="35" spans="24:24" ht="15.75" customHeight="1" x14ac:dyDescent="0.2">
      <c r="X35" s="244"/>
    </row>
    <row r="36" spans="24:24" ht="15.75" customHeight="1" x14ac:dyDescent="0.2">
      <c r="X36" s="244"/>
    </row>
    <row r="37" spans="24:24" ht="15.75" customHeight="1" x14ac:dyDescent="0.2">
      <c r="X37" s="244"/>
    </row>
    <row r="38" spans="24:24" ht="15.75" customHeight="1" x14ac:dyDescent="0.2">
      <c r="X38" s="244"/>
    </row>
    <row r="39" spans="24:24" ht="15.75" customHeight="1" x14ac:dyDescent="0.2">
      <c r="X39" s="244"/>
    </row>
    <row r="40" spans="24:24" ht="15.75" customHeight="1" x14ac:dyDescent="0.2">
      <c r="X40" s="244"/>
    </row>
    <row r="41" spans="24:24" ht="15.75" customHeight="1" x14ac:dyDescent="0.2">
      <c r="X41" s="244"/>
    </row>
    <row r="42" spans="24:24" ht="15.75" customHeight="1" x14ac:dyDescent="0.2">
      <c r="X42" s="244"/>
    </row>
    <row r="43" spans="24:24" ht="15.75" customHeight="1" x14ac:dyDescent="0.2">
      <c r="X43" s="244"/>
    </row>
    <row r="44" spans="24:24" ht="15.75" customHeight="1" x14ac:dyDescent="0.2">
      <c r="X44" s="244"/>
    </row>
    <row r="45" spans="24:24" ht="15.75" customHeight="1" x14ac:dyDescent="0.2">
      <c r="X45" s="244"/>
    </row>
    <row r="46" spans="24:24" ht="15.75" customHeight="1" x14ac:dyDescent="0.2">
      <c r="X46" s="244"/>
    </row>
    <row r="47" spans="24:24" ht="15.75" customHeight="1" x14ac:dyDescent="0.2">
      <c r="X47" s="244"/>
    </row>
    <row r="48" spans="24:24" ht="15.75" customHeight="1" x14ac:dyDescent="0.2">
      <c r="X48" s="244"/>
    </row>
    <row r="49" spans="24:24" ht="15.75" customHeight="1" x14ac:dyDescent="0.2">
      <c r="X49" s="244"/>
    </row>
    <row r="50" spans="24:24" ht="15.75" customHeight="1" x14ac:dyDescent="0.2">
      <c r="X50" s="244"/>
    </row>
    <row r="51" spans="24:24" ht="15.75" customHeight="1" x14ac:dyDescent="0.2">
      <c r="X51" s="244"/>
    </row>
    <row r="52" spans="24:24" ht="15.75" customHeight="1" x14ac:dyDescent="0.2">
      <c r="X52" s="244"/>
    </row>
    <row r="53" spans="24:24" ht="15.75" customHeight="1" x14ac:dyDescent="0.2">
      <c r="X53" s="244"/>
    </row>
    <row r="54" spans="24:24" ht="15.75" customHeight="1" x14ac:dyDescent="0.2">
      <c r="X54" s="244"/>
    </row>
    <row r="55" spans="24:24" ht="15.75" customHeight="1" x14ac:dyDescent="0.2">
      <c r="X55" s="244"/>
    </row>
    <row r="56" spans="24:24" ht="15.75" customHeight="1" x14ac:dyDescent="0.2">
      <c r="X56" s="244"/>
    </row>
    <row r="57" spans="24:24" ht="15.75" customHeight="1" x14ac:dyDescent="0.2">
      <c r="X57" s="244"/>
    </row>
    <row r="58" spans="24:24" ht="15.75" customHeight="1" x14ac:dyDescent="0.2">
      <c r="X58" s="244"/>
    </row>
    <row r="59" spans="24:24" ht="15.75" customHeight="1" x14ac:dyDescent="0.2">
      <c r="X59" s="244"/>
    </row>
    <row r="60" spans="24:24" ht="15.75" customHeight="1" x14ac:dyDescent="0.2">
      <c r="X60" s="244"/>
    </row>
    <row r="61" spans="24:24" ht="15.75" customHeight="1" x14ac:dyDescent="0.2">
      <c r="X61" s="244"/>
    </row>
    <row r="62" spans="24:24" ht="15.75" customHeight="1" x14ac:dyDescent="0.2">
      <c r="X62" s="244"/>
    </row>
    <row r="63" spans="24:24" ht="15.75" customHeight="1" x14ac:dyDescent="0.2">
      <c r="X63" s="244"/>
    </row>
    <row r="64" spans="24:24" ht="15.75" customHeight="1" x14ac:dyDescent="0.2">
      <c r="X64" s="244"/>
    </row>
    <row r="65" spans="24:24" ht="15.75" customHeight="1" x14ac:dyDescent="0.2">
      <c r="X65" s="244"/>
    </row>
    <row r="66" spans="24:24" ht="15.75" customHeight="1" x14ac:dyDescent="0.2">
      <c r="X66" s="244"/>
    </row>
    <row r="67" spans="24:24" ht="15.75" customHeight="1" x14ac:dyDescent="0.2">
      <c r="X67" s="244"/>
    </row>
    <row r="68" spans="24:24" ht="15.75" customHeight="1" x14ac:dyDescent="0.2">
      <c r="X68" s="244"/>
    </row>
    <row r="69" spans="24:24" ht="15.75" customHeight="1" x14ac:dyDescent="0.2">
      <c r="X69" s="244"/>
    </row>
    <row r="70" spans="24:24" ht="15.75" customHeight="1" x14ac:dyDescent="0.2">
      <c r="X70" s="244"/>
    </row>
    <row r="71" spans="24:24" ht="15.75" customHeight="1" x14ac:dyDescent="0.2">
      <c r="X71" s="244"/>
    </row>
    <row r="72" spans="24:24" ht="15.75" customHeight="1" x14ac:dyDescent="0.2">
      <c r="X72" s="244"/>
    </row>
    <row r="73" spans="24:24" ht="15.75" customHeight="1" x14ac:dyDescent="0.2">
      <c r="X73" s="244"/>
    </row>
    <row r="74" spans="24:24" ht="15.75" customHeight="1" x14ac:dyDescent="0.2">
      <c r="X74" s="244"/>
    </row>
    <row r="75" spans="24:24" ht="15.75" customHeight="1" x14ac:dyDescent="0.2">
      <c r="X75" s="244"/>
    </row>
    <row r="76" spans="24:24" ht="15.75" customHeight="1" x14ac:dyDescent="0.2">
      <c r="X76" s="244"/>
    </row>
    <row r="77" spans="24:24" ht="15.75" customHeight="1" x14ac:dyDescent="0.2">
      <c r="X77" s="244"/>
    </row>
    <row r="78" spans="24:24" ht="15.75" customHeight="1" x14ac:dyDescent="0.2">
      <c r="X78" s="244"/>
    </row>
    <row r="79" spans="24:24" ht="15.75" customHeight="1" x14ac:dyDescent="0.2">
      <c r="X79" s="244"/>
    </row>
    <row r="80" spans="24:24" ht="15.75" customHeight="1" x14ac:dyDescent="0.2">
      <c r="X80" s="244"/>
    </row>
    <row r="81" spans="24:24" ht="15.75" customHeight="1" x14ac:dyDescent="0.2">
      <c r="X81" s="244"/>
    </row>
    <row r="82" spans="24:24" ht="15.75" customHeight="1" x14ac:dyDescent="0.2">
      <c r="X82" s="244"/>
    </row>
    <row r="83" spans="24:24" ht="15.75" customHeight="1" x14ac:dyDescent="0.2">
      <c r="X83" s="244"/>
    </row>
    <row r="84" spans="24:24" ht="15.75" customHeight="1" x14ac:dyDescent="0.2">
      <c r="X84" s="244"/>
    </row>
    <row r="85" spans="24:24" ht="15.75" customHeight="1" x14ac:dyDescent="0.2">
      <c r="X85" s="244"/>
    </row>
    <row r="86" spans="24:24" ht="15.75" customHeight="1" x14ac:dyDescent="0.2">
      <c r="X86" s="244"/>
    </row>
    <row r="87" spans="24:24" ht="15.75" customHeight="1" x14ac:dyDescent="0.2">
      <c r="X87" s="244"/>
    </row>
    <row r="88" spans="24:24" ht="15.75" customHeight="1" x14ac:dyDescent="0.2">
      <c r="X88" s="244"/>
    </row>
    <row r="89" spans="24:24" ht="15.75" customHeight="1" x14ac:dyDescent="0.2">
      <c r="X89" s="244"/>
    </row>
    <row r="90" spans="24:24" ht="15.75" customHeight="1" x14ac:dyDescent="0.2">
      <c r="X90" s="244"/>
    </row>
    <row r="91" spans="24:24" ht="15.75" customHeight="1" x14ac:dyDescent="0.2">
      <c r="X91" s="244"/>
    </row>
    <row r="92" spans="24:24" ht="15.75" customHeight="1" x14ac:dyDescent="0.2">
      <c r="X92" s="244"/>
    </row>
    <row r="93" spans="24:24" ht="15.75" customHeight="1" x14ac:dyDescent="0.2">
      <c r="X93" s="244"/>
    </row>
    <row r="94" spans="24:24" ht="15.75" customHeight="1" x14ac:dyDescent="0.2">
      <c r="X94" s="244"/>
    </row>
    <row r="95" spans="24:24" ht="15.75" customHeight="1" x14ac:dyDescent="0.2">
      <c r="X95" s="244"/>
    </row>
    <row r="96" spans="24:24" ht="15.75" customHeight="1" x14ac:dyDescent="0.2">
      <c r="X96" s="244"/>
    </row>
    <row r="97" spans="24:24" ht="15.75" customHeight="1" x14ac:dyDescent="0.2">
      <c r="X97" s="244"/>
    </row>
    <row r="98" spans="24:24" ht="15.75" customHeight="1" x14ac:dyDescent="0.2">
      <c r="X98" s="244"/>
    </row>
    <row r="99" spans="24:24" ht="15.75" customHeight="1" x14ac:dyDescent="0.2">
      <c r="X99" s="244"/>
    </row>
    <row r="100" spans="24:24" ht="15.75" customHeight="1" x14ac:dyDescent="0.2">
      <c r="X100" s="244"/>
    </row>
    <row r="101" spans="24:24" ht="15.75" customHeight="1" x14ac:dyDescent="0.2">
      <c r="X101" s="244"/>
    </row>
    <row r="102" spans="24:24" ht="15.75" customHeight="1" x14ac:dyDescent="0.2">
      <c r="X102" s="244"/>
    </row>
    <row r="103" spans="24:24" ht="15.75" customHeight="1" x14ac:dyDescent="0.2">
      <c r="X103" s="244"/>
    </row>
    <row r="104" spans="24:24" ht="15.75" customHeight="1" x14ac:dyDescent="0.2">
      <c r="X104" s="244"/>
    </row>
    <row r="105" spans="24:24" ht="15.75" customHeight="1" x14ac:dyDescent="0.2">
      <c r="X105" s="244"/>
    </row>
    <row r="106" spans="24:24" ht="15.75" customHeight="1" x14ac:dyDescent="0.2">
      <c r="X106" s="244"/>
    </row>
    <row r="107" spans="24:24" ht="15.75" customHeight="1" x14ac:dyDescent="0.2">
      <c r="X107" s="244"/>
    </row>
    <row r="108" spans="24:24" ht="15.75" customHeight="1" x14ac:dyDescent="0.2">
      <c r="X108" s="244"/>
    </row>
    <row r="109" spans="24:24" ht="15.75" customHeight="1" x14ac:dyDescent="0.2">
      <c r="X109" s="244"/>
    </row>
    <row r="110" spans="24:24" ht="15.75" customHeight="1" x14ac:dyDescent="0.2">
      <c r="X110" s="244"/>
    </row>
    <row r="111" spans="24:24" ht="15.75" customHeight="1" x14ac:dyDescent="0.2">
      <c r="X111" s="244"/>
    </row>
    <row r="112" spans="24:24" ht="15.75" customHeight="1" x14ac:dyDescent="0.2">
      <c r="X112" s="244"/>
    </row>
    <row r="113" spans="24:24" ht="15.75" customHeight="1" x14ac:dyDescent="0.2">
      <c r="X113" s="244"/>
    </row>
    <row r="114" spans="24:24" ht="15.75" customHeight="1" x14ac:dyDescent="0.2">
      <c r="X114" s="244"/>
    </row>
    <row r="115" spans="24:24" ht="15.75" customHeight="1" x14ac:dyDescent="0.2">
      <c r="X115" s="244"/>
    </row>
    <row r="116" spans="24:24" ht="15.75" customHeight="1" x14ac:dyDescent="0.2">
      <c r="X116" s="244"/>
    </row>
    <row r="117" spans="24:24" ht="15.75" customHeight="1" x14ac:dyDescent="0.2">
      <c r="X117" s="244"/>
    </row>
    <row r="118" spans="24:24" ht="15.75" customHeight="1" x14ac:dyDescent="0.2">
      <c r="X118" s="244"/>
    </row>
    <row r="119" spans="24:24" ht="15.75" customHeight="1" x14ac:dyDescent="0.2">
      <c r="X119" s="244"/>
    </row>
    <row r="120" spans="24:24" ht="15.75" customHeight="1" x14ac:dyDescent="0.2">
      <c r="X120" s="244"/>
    </row>
    <row r="121" spans="24:24" ht="15.75" customHeight="1" x14ac:dyDescent="0.2">
      <c r="X121" s="244"/>
    </row>
    <row r="122" spans="24:24" ht="15.75" customHeight="1" x14ac:dyDescent="0.2">
      <c r="X122" s="244"/>
    </row>
    <row r="123" spans="24:24" ht="15.75" customHeight="1" x14ac:dyDescent="0.2">
      <c r="X123" s="244"/>
    </row>
    <row r="124" spans="24:24" ht="15.75" customHeight="1" x14ac:dyDescent="0.2">
      <c r="X124" s="244"/>
    </row>
    <row r="125" spans="24:24" ht="15.75" customHeight="1" x14ac:dyDescent="0.2">
      <c r="X125" s="244"/>
    </row>
    <row r="126" spans="24:24" ht="15.75" customHeight="1" x14ac:dyDescent="0.2">
      <c r="X126" s="244"/>
    </row>
    <row r="127" spans="24:24" ht="15.75" customHeight="1" x14ac:dyDescent="0.2">
      <c r="X127" s="244"/>
    </row>
    <row r="128" spans="24:24" ht="15.75" customHeight="1" x14ac:dyDescent="0.2">
      <c r="X128" s="244"/>
    </row>
    <row r="129" spans="24:24" ht="15.75" customHeight="1" x14ac:dyDescent="0.2">
      <c r="X129" s="244"/>
    </row>
    <row r="130" spans="24:24" ht="15.75" customHeight="1" x14ac:dyDescent="0.2">
      <c r="X130" s="244"/>
    </row>
    <row r="131" spans="24:24" ht="15.75" customHeight="1" x14ac:dyDescent="0.2">
      <c r="X131" s="244"/>
    </row>
    <row r="132" spans="24:24" ht="15.75" customHeight="1" x14ac:dyDescent="0.2">
      <c r="X132" s="244"/>
    </row>
    <row r="133" spans="24:24" ht="15.75" customHeight="1" x14ac:dyDescent="0.2">
      <c r="X133" s="244"/>
    </row>
    <row r="134" spans="24:24" ht="15.75" customHeight="1" x14ac:dyDescent="0.2">
      <c r="X134" s="244"/>
    </row>
    <row r="135" spans="24:24" ht="15.75" customHeight="1" x14ac:dyDescent="0.2">
      <c r="X135" s="244"/>
    </row>
    <row r="136" spans="24:24" ht="15.75" customHeight="1" x14ac:dyDescent="0.2">
      <c r="X136" s="244"/>
    </row>
    <row r="137" spans="24:24" ht="15.75" customHeight="1" x14ac:dyDescent="0.2">
      <c r="X137" s="244"/>
    </row>
    <row r="138" spans="24:24" ht="15.75" customHeight="1" x14ac:dyDescent="0.2">
      <c r="X138" s="244"/>
    </row>
    <row r="139" spans="24:24" ht="15.75" customHeight="1" x14ac:dyDescent="0.2">
      <c r="X139" s="244"/>
    </row>
    <row r="140" spans="24:24" ht="15.75" customHeight="1" x14ac:dyDescent="0.2">
      <c r="X140" s="244"/>
    </row>
    <row r="141" spans="24:24" ht="15.75" customHeight="1" x14ac:dyDescent="0.2">
      <c r="X141" s="244"/>
    </row>
    <row r="142" spans="24:24" ht="15.75" customHeight="1" x14ac:dyDescent="0.2">
      <c r="X142" s="244"/>
    </row>
    <row r="143" spans="24:24" ht="15.75" customHeight="1" x14ac:dyDescent="0.2">
      <c r="X143" s="244"/>
    </row>
    <row r="144" spans="24:24" ht="15.75" customHeight="1" x14ac:dyDescent="0.2">
      <c r="X144" s="244"/>
    </row>
    <row r="145" spans="24:24" ht="15.75" customHeight="1" x14ac:dyDescent="0.2">
      <c r="X145" s="244"/>
    </row>
    <row r="146" spans="24:24" ht="15.75" customHeight="1" x14ac:dyDescent="0.2">
      <c r="X146" s="244"/>
    </row>
    <row r="147" spans="24:24" ht="15.75" customHeight="1" x14ac:dyDescent="0.2">
      <c r="X147" s="244"/>
    </row>
    <row r="148" spans="24:24" ht="15.75" customHeight="1" x14ac:dyDescent="0.2">
      <c r="X148" s="244"/>
    </row>
    <row r="149" spans="24:24" ht="15.75" customHeight="1" x14ac:dyDescent="0.2">
      <c r="X149" s="244"/>
    </row>
    <row r="150" spans="24:24" ht="15.75" customHeight="1" x14ac:dyDescent="0.2">
      <c r="X150" s="244"/>
    </row>
    <row r="151" spans="24:24" ht="15.75" customHeight="1" x14ac:dyDescent="0.2">
      <c r="X151" s="244"/>
    </row>
    <row r="152" spans="24:24" ht="15.75" customHeight="1" x14ac:dyDescent="0.2">
      <c r="X152" s="244"/>
    </row>
    <row r="153" spans="24:24" ht="15.75" customHeight="1" x14ac:dyDescent="0.2">
      <c r="X153" s="244"/>
    </row>
    <row r="154" spans="24:24" ht="15.75" customHeight="1" x14ac:dyDescent="0.2">
      <c r="X154" s="244"/>
    </row>
    <row r="155" spans="24:24" ht="15.75" customHeight="1" x14ac:dyDescent="0.2">
      <c r="X155" s="244"/>
    </row>
    <row r="156" spans="24:24" ht="15.75" customHeight="1" x14ac:dyDescent="0.2">
      <c r="X156" s="244"/>
    </row>
    <row r="157" spans="24:24" ht="15.75" customHeight="1" x14ac:dyDescent="0.2">
      <c r="X157" s="244"/>
    </row>
    <row r="158" spans="24:24" ht="15.75" customHeight="1" x14ac:dyDescent="0.2">
      <c r="X158" s="244"/>
    </row>
    <row r="159" spans="24:24" ht="15.75" customHeight="1" x14ac:dyDescent="0.2">
      <c r="X159" s="244"/>
    </row>
    <row r="160" spans="24:24" ht="15.75" customHeight="1" x14ac:dyDescent="0.2">
      <c r="X160" s="244"/>
    </row>
    <row r="161" spans="24:24" ht="15.75" customHeight="1" x14ac:dyDescent="0.2">
      <c r="X161" s="244"/>
    </row>
    <row r="162" spans="24:24" ht="15.75" customHeight="1" x14ac:dyDescent="0.2">
      <c r="X162" s="244"/>
    </row>
    <row r="163" spans="24:24" ht="15.75" customHeight="1" x14ac:dyDescent="0.2">
      <c r="X163" s="244"/>
    </row>
    <row r="164" spans="24:24" ht="15.75" customHeight="1" x14ac:dyDescent="0.2">
      <c r="X164" s="244"/>
    </row>
    <row r="165" spans="24:24" ht="15.75" customHeight="1" x14ac:dyDescent="0.2">
      <c r="X165" s="244"/>
    </row>
    <row r="166" spans="24:24" ht="15.75" customHeight="1" x14ac:dyDescent="0.2">
      <c r="X166" s="244"/>
    </row>
    <row r="167" spans="24:24" ht="15.75" customHeight="1" x14ac:dyDescent="0.2">
      <c r="X167" s="244"/>
    </row>
    <row r="168" spans="24:24" ht="15.75" customHeight="1" x14ac:dyDescent="0.2">
      <c r="X168" s="244"/>
    </row>
    <row r="169" spans="24:24" ht="15.75" customHeight="1" x14ac:dyDescent="0.2">
      <c r="X169" s="244"/>
    </row>
    <row r="170" spans="24:24" ht="15.75" customHeight="1" x14ac:dyDescent="0.2">
      <c r="X170" s="244"/>
    </row>
    <row r="171" spans="24:24" ht="15.75" customHeight="1" x14ac:dyDescent="0.2">
      <c r="X171" s="244"/>
    </row>
    <row r="172" spans="24:24" ht="15.75" customHeight="1" x14ac:dyDescent="0.2">
      <c r="X172" s="244"/>
    </row>
    <row r="173" spans="24:24" ht="15.75" customHeight="1" x14ac:dyDescent="0.2">
      <c r="X173" s="244"/>
    </row>
    <row r="174" spans="24:24" ht="15.75" customHeight="1" x14ac:dyDescent="0.2">
      <c r="X174" s="244"/>
    </row>
    <row r="175" spans="24:24" ht="15.75" customHeight="1" x14ac:dyDescent="0.2">
      <c r="X175" s="244"/>
    </row>
    <row r="176" spans="24:24" ht="15.75" customHeight="1" x14ac:dyDescent="0.2">
      <c r="X176" s="244"/>
    </row>
    <row r="177" spans="24:24" ht="15.75" customHeight="1" x14ac:dyDescent="0.2">
      <c r="X177" s="244"/>
    </row>
    <row r="178" spans="24:24" ht="15.75" customHeight="1" x14ac:dyDescent="0.2">
      <c r="X178" s="244"/>
    </row>
    <row r="179" spans="24:24" ht="15.75" customHeight="1" x14ac:dyDescent="0.2">
      <c r="X179" s="244"/>
    </row>
    <row r="180" spans="24:24" ht="15.75" customHeight="1" x14ac:dyDescent="0.2">
      <c r="X180" s="244"/>
    </row>
    <row r="181" spans="24:24" ht="15.75" customHeight="1" x14ac:dyDescent="0.2">
      <c r="X181" s="244"/>
    </row>
    <row r="182" spans="24:24" ht="15.75" customHeight="1" x14ac:dyDescent="0.2">
      <c r="X182" s="244"/>
    </row>
    <row r="183" spans="24:24" ht="15.75" customHeight="1" x14ac:dyDescent="0.2">
      <c r="X183" s="244"/>
    </row>
    <row r="184" spans="24:24" ht="15.75" customHeight="1" x14ac:dyDescent="0.2">
      <c r="X184" s="244"/>
    </row>
    <row r="185" spans="24:24" ht="15.75" customHeight="1" x14ac:dyDescent="0.2">
      <c r="X185" s="244"/>
    </row>
    <row r="186" spans="24:24" ht="15.75" customHeight="1" x14ac:dyDescent="0.2">
      <c r="X186" s="244"/>
    </row>
    <row r="187" spans="24:24" ht="15.75" customHeight="1" x14ac:dyDescent="0.2">
      <c r="X187" s="244"/>
    </row>
    <row r="188" spans="24:24" ht="15.75" customHeight="1" x14ac:dyDescent="0.2">
      <c r="X188" s="244"/>
    </row>
    <row r="189" spans="24:24" ht="15.75" customHeight="1" x14ac:dyDescent="0.2">
      <c r="X189" s="244"/>
    </row>
    <row r="190" spans="24:24" ht="15.75" customHeight="1" x14ac:dyDescent="0.2">
      <c r="X190" s="244"/>
    </row>
    <row r="191" spans="24:24" ht="15.75" customHeight="1" x14ac:dyDescent="0.2">
      <c r="X191" s="244"/>
    </row>
    <row r="192" spans="24:24" ht="15.75" customHeight="1" x14ac:dyDescent="0.2">
      <c r="X192" s="244"/>
    </row>
    <row r="193" spans="24:24" ht="15.75" customHeight="1" x14ac:dyDescent="0.2">
      <c r="X193" s="244"/>
    </row>
    <row r="194" spans="24:24" ht="15.75" customHeight="1" x14ac:dyDescent="0.2">
      <c r="X194" s="244"/>
    </row>
    <row r="195" spans="24:24" ht="15.75" customHeight="1" x14ac:dyDescent="0.2">
      <c r="X195" s="244"/>
    </row>
    <row r="196" spans="24:24" ht="15.75" customHeight="1" x14ac:dyDescent="0.2">
      <c r="X196" s="244"/>
    </row>
    <row r="197" spans="24:24" ht="15.75" customHeight="1" x14ac:dyDescent="0.2">
      <c r="X197" s="244"/>
    </row>
    <row r="198" spans="24:24" ht="15.75" customHeight="1" x14ac:dyDescent="0.2">
      <c r="X198" s="244"/>
    </row>
    <row r="199" spans="24:24" ht="15.75" customHeight="1" x14ac:dyDescent="0.2">
      <c r="X199" s="244"/>
    </row>
    <row r="200" spans="24:24" ht="15.75" customHeight="1" x14ac:dyDescent="0.2">
      <c r="X200" s="244"/>
    </row>
    <row r="201" spans="24:24" ht="15.75" customHeight="1" x14ac:dyDescent="0.2">
      <c r="X201" s="244"/>
    </row>
    <row r="202" spans="24:24" ht="15.75" customHeight="1" x14ac:dyDescent="0.2">
      <c r="X202" s="244"/>
    </row>
    <row r="203" spans="24:24" ht="15.75" customHeight="1" x14ac:dyDescent="0.2">
      <c r="X203" s="244"/>
    </row>
    <row r="204" spans="24:24" ht="15.75" customHeight="1" x14ac:dyDescent="0.2">
      <c r="X204" s="244"/>
    </row>
    <row r="205" spans="24:24" ht="15.75" customHeight="1" x14ac:dyDescent="0.2">
      <c r="X205" s="244"/>
    </row>
    <row r="206" spans="24:24" ht="15.75" customHeight="1" x14ac:dyDescent="0.2">
      <c r="X206" s="244"/>
    </row>
    <row r="207" spans="24:24" ht="15.75" customHeight="1" x14ac:dyDescent="0.2">
      <c r="X207" s="244"/>
    </row>
    <row r="208" spans="24:24" ht="15.75" customHeight="1" x14ac:dyDescent="0.2">
      <c r="X208" s="244"/>
    </row>
    <row r="209" spans="24:24" ht="15.75" customHeight="1" x14ac:dyDescent="0.2">
      <c r="X209" s="244"/>
    </row>
    <row r="210" spans="24:24" ht="15.75" customHeight="1" x14ac:dyDescent="0.2">
      <c r="X210" s="244"/>
    </row>
    <row r="211" spans="24:24" ht="15.75" customHeight="1" x14ac:dyDescent="0.2">
      <c r="X211" s="244"/>
    </row>
    <row r="212" spans="24:24" ht="15.75" customHeight="1" x14ac:dyDescent="0.2">
      <c r="X212" s="244"/>
    </row>
    <row r="213" spans="24:24" ht="15.75" customHeight="1" x14ac:dyDescent="0.2">
      <c r="X213" s="244"/>
    </row>
    <row r="214" spans="24:24" ht="15.75" customHeight="1" x14ac:dyDescent="0.2">
      <c r="X214" s="244"/>
    </row>
    <row r="215" spans="24:24" ht="15.75" customHeight="1" x14ac:dyDescent="0.2">
      <c r="X215" s="244"/>
    </row>
    <row r="216" spans="24:24" ht="15.75" customHeight="1" x14ac:dyDescent="0.2">
      <c r="X216" s="244"/>
    </row>
    <row r="217" spans="24:24" ht="15.75" customHeight="1" x14ac:dyDescent="0.2">
      <c r="X217" s="244"/>
    </row>
    <row r="218" spans="24:24" ht="15.75" customHeight="1" x14ac:dyDescent="0.2">
      <c r="X218" s="244"/>
    </row>
    <row r="219" spans="24:24" ht="15.75" customHeight="1" x14ac:dyDescent="0.2">
      <c r="X219" s="244"/>
    </row>
    <row r="220" spans="24:24" ht="15.75" customHeight="1" x14ac:dyDescent="0.2">
      <c r="X220" s="244"/>
    </row>
    <row r="221" spans="24:24" ht="15.75" customHeight="1" x14ac:dyDescent="0.2">
      <c r="X221" s="244"/>
    </row>
    <row r="222" spans="24:24" ht="15.75" customHeight="1" x14ac:dyDescent="0.2">
      <c r="X222" s="244"/>
    </row>
    <row r="223" spans="24:24" ht="15.75" customHeight="1" x14ac:dyDescent="0.2">
      <c r="X223" s="244"/>
    </row>
    <row r="224" spans="24:24" ht="15.75" customHeight="1" x14ac:dyDescent="0.2">
      <c r="X224" s="244"/>
    </row>
    <row r="225" spans="24:24" ht="15.75" customHeight="1" x14ac:dyDescent="0.2">
      <c r="X225" s="244"/>
    </row>
    <row r="226" spans="24:24" ht="15.75" customHeight="1" x14ac:dyDescent="0.2">
      <c r="X226" s="244"/>
    </row>
    <row r="227" spans="24:24" ht="15.75" customHeight="1" x14ac:dyDescent="0.2">
      <c r="X227" s="244"/>
    </row>
    <row r="228" spans="24:24" ht="15.75" customHeight="1" x14ac:dyDescent="0.2">
      <c r="X228" s="244"/>
    </row>
    <row r="229" spans="24:24" ht="15.75" customHeight="1" x14ac:dyDescent="0.2">
      <c r="X229" s="244"/>
    </row>
    <row r="230" spans="24:24" ht="15.75" customHeight="1" x14ac:dyDescent="0.2">
      <c r="X230" s="244"/>
    </row>
    <row r="231" spans="24:24" ht="15.75" customHeight="1" x14ac:dyDescent="0.2">
      <c r="X231" s="244"/>
    </row>
    <row r="232" spans="24:24" ht="15.75" customHeight="1" x14ac:dyDescent="0.2">
      <c r="X232" s="244"/>
    </row>
    <row r="233" spans="24:24" ht="15.75" customHeight="1" x14ac:dyDescent="0.2">
      <c r="X233" s="244"/>
    </row>
    <row r="234" spans="24:24" ht="15.75" customHeight="1" x14ac:dyDescent="0.2">
      <c r="X234" s="244"/>
    </row>
    <row r="235" spans="24:24" ht="15.75" customHeight="1" x14ac:dyDescent="0.2">
      <c r="X235" s="244"/>
    </row>
    <row r="236" spans="24:24" ht="15.75" customHeight="1" x14ac:dyDescent="0.2">
      <c r="X236" s="244"/>
    </row>
    <row r="237" spans="24:24" ht="15.75" customHeight="1" x14ac:dyDescent="0.2">
      <c r="X237" s="244"/>
    </row>
    <row r="238" spans="24:24" ht="15.75" customHeight="1" x14ac:dyDescent="0.2">
      <c r="X238" s="244"/>
    </row>
    <row r="239" spans="24:24" ht="15.75" customHeight="1" x14ac:dyDescent="0.2">
      <c r="X239" s="244"/>
    </row>
    <row r="240" spans="24:24" ht="15.75" customHeight="1" x14ac:dyDescent="0.2">
      <c r="X240" s="244"/>
    </row>
    <row r="241" spans="24:24" ht="15.75" customHeight="1" x14ac:dyDescent="0.2">
      <c r="X241" s="244"/>
    </row>
    <row r="242" spans="24:24" ht="15.75" customHeight="1" x14ac:dyDescent="0.2">
      <c r="X242" s="244"/>
    </row>
    <row r="243" spans="24:24" ht="15.75" customHeight="1" x14ac:dyDescent="0.2">
      <c r="X243" s="244"/>
    </row>
    <row r="244" spans="24:24" ht="15.75" customHeight="1" x14ac:dyDescent="0.2">
      <c r="X244" s="244"/>
    </row>
    <row r="245" spans="24:24" ht="15.75" customHeight="1" x14ac:dyDescent="0.2">
      <c r="X245" s="244"/>
    </row>
    <row r="246" spans="24:24" ht="15.75" customHeight="1" x14ac:dyDescent="0.2">
      <c r="X246" s="244"/>
    </row>
    <row r="247" spans="24:24" ht="15.75" customHeight="1" x14ac:dyDescent="0.2">
      <c r="X247" s="244"/>
    </row>
    <row r="248" spans="24:24" ht="15.75" customHeight="1" x14ac:dyDescent="0.2">
      <c r="X248" s="244"/>
    </row>
    <row r="249" spans="24:24" ht="15.75" customHeight="1" x14ac:dyDescent="0.2">
      <c r="X249" s="244"/>
    </row>
    <row r="250" spans="24:24" ht="15.75" customHeight="1" x14ac:dyDescent="0.2">
      <c r="X250" s="244"/>
    </row>
    <row r="251" spans="24:24" ht="15.75" customHeight="1" x14ac:dyDescent="0.2">
      <c r="X251" s="244"/>
    </row>
    <row r="252" spans="24:24" ht="15.75" customHeight="1" x14ac:dyDescent="0.2">
      <c r="X252" s="244"/>
    </row>
    <row r="253" spans="24:24" ht="15.75" customHeight="1" x14ac:dyDescent="0.2">
      <c r="X253" s="244"/>
    </row>
    <row r="254" spans="24:24" ht="15.75" customHeight="1" x14ac:dyDescent="0.2">
      <c r="X254" s="244"/>
    </row>
    <row r="255" spans="24:24" ht="15.75" customHeight="1" x14ac:dyDescent="0.2">
      <c r="X255" s="244"/>
    </row>
    <row r="256" spans="24:24" ht="15.75" customHeight="1" x14ac:dyDescent="0.2">
      <c r="X256" s="244"/>
    </row>
    <row r="257" spans="24:24" ht="15.75" customHeight="1" x14ac:dyDescent="0.2">
      <c r="X257" s="244"/>
    </row>
    <row r="258" spans="24:24" ht="15.75" customHeight="1" x14ac:dyDescent="0.2">
      <c r="X258" s="244"/>
    </row>
    <row r="259" spans="24:24" ht="15.75" customHeight="1" x14ac:dyDescent="0.2">
      <c r="X259" s="244"/>
    </row>
    <row r="260" spans="24:24" ht="15.75" customHeight="1" x14ac:dyDescent="0.2">
      <c r="X260" s="244"/>
    </row>
    <row r="261" spans="24:24" ht="15.75" customHeight="1" x14ac:dyDescent="0.2">
      <c r="X261" s="244"/>
    </row>
    <row r="262" spans="24:24" ht="15.75" customHeight="1" x14ac:dyDescent="0.2">
      <c r="X262" s="244"/>
    </row>
    <row r="263" spans="24:24" ht="15.75" customHeight="1" x14ac:dyDescent="0.2">
      <c r="X263" s="244"/>
    </row>
    <row r="264" spans="24:24" ht="15.75" customHeight="1" x14ac:dyDescent="0.2">
      <c r="X264" s="244"/>
    </row>
    <row r="265" spans="24:24" ht="15.75" customHeight="1" x14ac:dyDescent="0.2">
      <c r="X265" s="244"/>
    </row>
    <row r="266" spans="24:24" ht="15.75" customHeight="1" x14ac:dyDescent="0.2">
      <c r="X266" s="244"/>
    </row>
    <row r="267" spans="24:24" ht="15.75" customHeight="1" x14ac:dyDescent="0.2">
      <c r="X267" s="244"/>
    </row>
    <row r="268" spans="24:24" ht="15.75" customHeight="1" x14ac:dyDescent="0.2">
      <c r="X268" s="244"/>
    </row>
    <row r="269" spans="24:24" ht="15.75" customHeight="1" x14ac:dyDescent="0.2">
      <c r="X269" s="244"/>
    </row>
    <row r="270" spans="24:24" ht="15.75" customHeight="1" x14ac:dyDescent="0.2">
      <c r="X270" s="244"/>
    </row>
    <row r="271" spans="24:24" ht="15.75" customHeight="1" x14ac:dyDescent="0.2">
      <c r="X271" s="244"/>
    </row>
    <row r="272" spans="24:24" ht="15.75" customHeight="1" x14ac:dyDescent="0.2">
      <c r="X272" s="244"/>
    </row>
    <row r="273" spans="24:24" ht="15.75" customHeight="1" x14ac:dyDescent="0.2">
      <c r="X273" s="244"/>
    </row>
    <row r="274" spans="24:24" ht="15.75" customHeight="1" x14ac:dyDescent="0.2">
      <c r="X274" s="244"/>
    </row>
    <row r="275" spans="24:24" ht="15.75" customHeight="1" x14ac:dyDescent="0.2">
      <c r="X275" s="244"/>
    </row>
    <row r="276" spans="24:24" ht="15.75" customHeight="1" x14ac:dyDescent="0.2">
      <c r="X276" s="244"/>
    </row>
    <row r="277" spans="24:24" ht="15.75" customHeight="1" x14ac:dyDescent="0.2">
      <c r="X277" s="244"/>
    </row>
    <row r="278" spans="24:24" ht="15.75" customHeight="1" x14ac:dyDescent="0.2">
      <c r="X278" s="244"/>
    </row>
    <row r="279" spans="24:24" ht="15.75" customHeight="1" x14ac:dyDescent="0.2">
      <c r="X279" s="244"/>
    </row>
    <row r="280" spans="24:24" ht="15.75" customHeight="1" x14ac:dyDescent="0.2">
      <c r="X280" s="244"/>
    </row>
    <row r="281" spans="24:24" ht="15.75" customHeight="1" x14ac:dyDescent="0.2">
      <c r="X281" s="244"/>
    </row>
    <row r="282" spans="24:24" ht="15.75" customHeight="1" x14ac:dyDescent="0.2">
      <c r="X282" s="244"/>
    </row>
    <row r="283" spans="24:24" ht="15.75" customHeight="1" x14ac:dyDescent="0.2">
      <c r="X283" s="244"/>
    </row>
    <row r="284" spans="24:24" ht="15.75" customHeight="1" x14ac:dyDescent="0.2">
      <c r="X284" s="244"/>
    </row>
    <row r="285" spans="24:24" ht="15.75" customHeight="1" x14ac:dyDescent="0.2">
      <c r="X285" s="244"/>
    </row>
    <row r="286" spans="24:24" ht="15.75" customHeight="1" x14ac:dyDescent="0.2">
      <c r="X286" s="244"/>
    </row>
    <row r="287" spans="24:24" ht="15.75" customHeight="1" x14ac:dyDescent="0.2">
      <c r="X287" s="244"/>
    </row>
    <row r="288" spans="24:24" ht="15.75" customHeight="1" x14ac:dyDescent="0.2">
      <c r="X288" s="244"/>
    </row>
    <row r="289" spans="24:24" ht="15.75" customHeight="1" x14ac:dyDescent="0.2">
      <c r="X289" s="244"/>
    </row>
    <row r="290" spans="24:24" ht="15.75" customHeight="1" x14ac:dyDescent="0.2">
      <c r="X290" s="244"/>
    </row>
    <row r="291" spans="24:24" ht="15.75" customHeight="1" x14ac:dyDescent="0.2">
      <c r="X291" s="244"/>
    </row>
    <row r="292" spans="24:24" ht="15.75" customHeight="1" x14ac:dyDescent="0.2">
      <c r="X292" s="244"/>
    </row>
    <row r="293" spans="24:24" ht="15.75" customHeight="1" x14ac:dyDescent="0.2">
      <c r="X293" s="244"/>
    </row>
    <row r="294" spans="24:24" ht="15.75" customHeight="1" x14ac:dyDescent="0.2">
      <c r="X294" s="244"/>
    </row>
    <row r="295" spans="24:24" ht="15.75" customHeight="1" x14ac:dyDescent="0.2">
      <c r="X295" s="244"/>
    </row>
    <row r="296" spans="24:24" ht="15.75" customHeight="1" x14ac:dyDescent="0.2">
      <c r="X296" s="244"/>
    </row>
    <row r="297" spans="24:24" ht="15.75" customHeight="1" x14ac:dyDescent="0.2">
      <c r="X297" s="244"/>
    </row>
    <row r="298" spans="24:24" ht="15.75" customHeight="1" x14ac:dyDescent="0.2">
      <c r="X298" s="244"/>
    </row>
    <row r="299" spans="24:24" ht="15.75" customHeight="1" x14ac:dyDescent="0.2">
      <c r="X299" s="244"/>
    </row>
    <row r="300" spans="24:24" ht="15.75" customHeight="1" x14ac:dyDescent="0.2">
      <c r="X300" s="244"/>
    </row>
    <row r="301" spans="24:24" ht="15.75" customHeight="1" x14ac:dyDescent="0.2">
      <c r="X301" s="244"/>
    </row>
    <row r="302" spans="24:24" ht="15.75" customHeight="1" x14ac:dyDescent="0.2">
      <c r="X302" s="244"/>
    </row>
    <row r="303" spans="24:24" ht="15.75" customHeight="1" x14ac:dyDescent="0.2">
      <c r="X303" s="244"/>
    </row>
    <row r="304" spans="24:24" ht="15.75" customHeight="1" x14ac:dyDescent="0.2">
      <c r="X304" s="244"/>
    </row>
    <row r="305" spans="24:24" ht="15.75" customHeight="1" x14ac:dyDescent="0.2">
      <c r="X305" s="244"/>
    </row>
    <row r="306" spans="24:24" ht="15.75" customHeight="1" x14ac:dyDescent="0.2">
      <c r="X306" s="244"/>
    </row>
    <row r="307" spans="24:24" ht="15.75" customHeight="1" x14ac:dyDescent="0.2">
      <c r="X307" s="244"/>
    </row>
    <row r="308" spans="24:24" ht="15.75" customHeight="1" x14ac:dyDescent="0.2">
      <c r="X308" s="244"/>
    </row>
    <row r="309" spans="24:24" ht="15.75" customHeight="1" x14ac:dyDescent="0.2">
      <c r="X309" s="244"/>
    </row>
    <row r="310" spans="24:24" ht="15.75" customHeight="1" x14ac:dyDescent="0.2">
      <c r="X310" s="244"/>
    </row>
    <row r="311" spans="24:24" ht="15.75" customHeight="1" x14ac:dyDescent="0.2">
      <c r="X311" s="244"/>
    </row>
    <row r="312" spans="24:24" ht="15.75" customHeight="1" x14ac:dyDescent="0.2">
      <c r="X312" s="244"/>
    </row>
    <row r="313" spans="24:24" ht="15.75" customHeight="1" x14ac:dyDescent="0.2">
      <c r="X313" s="244"/>
    </row>
    <row r="314" spans="24:24" ht="15.75" customHeight="1" x14ac:dyDescent="0.2">
      <c r="X314" s="244"/>
    </row>
    <row r="315" spans="24:24" ht="15.75" customHeight="1" x14ac:dyDescent="0.2">
      <c r="X315" s="244"/>
    </row>
    <row r="316" spans="24:24" ht="15.75" customHeight="1" x14ac:dyDescent="0.2">
      <c r="X316" s="244"/>
    </row>
    <row r="317" spans="24:24" ht="15.75" customHeight="1" x14ac:dyDescent="0.2">
      <c r="X317" s="244"/>
    </row>
    <row r="318" spans="24:24" ht="15.75" customHeight="1" x14ac:dyDescent="0.2">
      <c r="X318" s="244"/>
    </row>
    <row r="319" spans="24:24" ht="15.75" customHeight="1" x14ac:dyDescent="0.2">
      <c r="X319" s="244"/>
    </row>
    <row r="320" spans="24:24" ht="15.75" customHeight="1" x14ac:dyDescent="0.2">
      <c r="X320" s="244"/>
    </row>
    <row r="321" spans="24:24" ht="15.75" customHeight="1" x14ac:dyDescent="0.2">
      <c r="X321" s="244"/>
    </row>
    <row r="322" spans="24:24" ht="15.75" customHeight="1" x14ac:dyDescent="0.2">
      <c r="X322" s="244"/>
    </row>
    <row r="323" spans="24:24" ht="15.75" customHeight="1" x14ac:dyDescent="0.2">
      <c r="X323" s="244"/>
    </row>
    <row r="324" spans="24:24" ht="15.75" customHeight="1" x14ac:dyDescent="0.2">
      <c r="X324" s="244"/>
    </row>
    <row r="325" spans="24:24" ht="15.75" customHeight="1" x14ac:dyDescent="0.2">
      <c r="X325" s="244"/>
    </row>
    <row r="326" spans="24:24" ht="15.75" customHeight="1" x14ac:dyDescent="0.2">
      <c r="X326" s="244"/>
    </row>
    <row r="327" spans="24:24" ht="15.75" customHeight="1" x14ac:dyDescent="0.2">
      <c r="X327" s="244"/>
    </row>
    <row r="328" spans="24:24" ht="15.75" customHeight="1" x14ac:dyDescent="0.2">
      <c r="X328" s="244"/>
    </row>
    <row r="329" spans="24:24" ht="15.75" customHeight="1" x14ac:dyDescent="0.2">
      <c r="X329" s="244"/>
    </row>
    <row r="330" spans="24:24" ht="15.75" customHeight="1" x14ac:dyDescent="0.2">
      <c r="X330" s="244"/>
    </row>
    <row r="331" spans="24:24" ht="15.75" customHeight="1" x14ac:dyDescent="0.2">
      <c r="X331" s="244"/>
    </row>
    <row r="332" spans="24:24" ht="15.75" customHeight="1" x14ac:dyDescent="0.2">
      <c r="X332" s="244"/>
    </row>
    <row r="333" spans="24:24" ht="15.75" customHeight="1" x14ac:dyDescent="0.2">
      <c r="X333" s="244"/>
    </row>
    <row r="334" spans="24:24" ht="15.75" customHeight="1" x14ac:dyDescent="0.2">
      <c r="X334" s="244"/>
    </row>
    <row r="335" spans="24:24" ht="15.75" customHeight="1" x14ac:dyDescent="0.2">
      <c r="X335" s="244"/>
    </row>
    <row r="336" spans="24:24" ht="15.75" customHeight="1" x14ac:dyDescent="0.2">
      <c r="X336" s="244"/>
    </row>
    <row r="337" spans="24:24" ht="15.75" customHeight="1" x14ac:dyDescent="0.2">
      <c r="X337" s="244"/>
    </row>
    <row r="338" spans="24:24" ht="15.75" customHeight="1" x14ac:dyDescent="0.2">
      <c r="X338" s="244"/>
    </row>
    <row r="339" spans="24:24" ht="15.75" customHeight="1" x14ac:dyDescent="0.2">
      <c r="X339" s="244"/>
    </row>
    <row r="340" spans="24:24" ht="15.75" customHeight="1" x14ac:dyDescent="0.2">
      <c r="X340" s="244"/>
    </row>
    <row r="341" spans="24:24" ht="15.75" customHeight="1" x14ac:dyDescent="0.2">
      <c r="X341" s="244"/>
    </row>
    <row r="342" spans="24:24" ht="15.75" customHeight="1" x14ac:dyDescent="0.2">
      <c r="X342" s="244"/>
    </row>
    <row r="343" spans="24:24" ht="15.75" customHeight="1" x14ac:dyDescent="0.2">
      <c r="X343" s="244"/>
    </row>
    <row r="344" spans="24:24" ht="15.75" customHeight="1" x14ac:dyDescent="0.2">
      <c r="X344" s="244"/>
    </row>
    <row r="345" spans="24:24" ht="15.75" customHeight="1" x14ac:dyDescent="0.2">
      <c r="X345" s="244"/>
    </row>
    <row r="346" spans="24:24" ht="15.75" customHeight="1" x14ac:dyDescent="0.2">
      <c r="X346" s="244"/>
    </row>
    <row r="347" spans="24:24" ht="15.75" customHeight="1" x14ac:dyDescent="0.2">
      <c r="X347" s="244"/>
    </row>
    <row r="348" spans="24:24" ht="15.75" customHeight="1" x14ac:dyDescent="0.2">
      <c r="X348" s="244"/>
    </row>
    <row r="349" spans="24:24" ht="15.75" customHeight="1" x14ac:dyDescent="0.2">
      <c r="X349" s="244"/>
    </row>
    <row r="350" spans="24:24" ht="15.75" customHeight="1" x14ac:dyDescent="0.2">
      <c r="X350" s="244"/>
    </row>
    <row r="351" spans="24:24" ht="15.75" customHeight="1" x14ac:dyDescent="0.2">
      <c r="X351" s="244"/>
    </row>
    <row r="352" spans="24:24" ht="15.75" customHeight="1" x14ac:dyDescent="0.2">
      <c r="X352" s="244"/>
    </row>
    <row r="353" spans="24:24" ht="15.75" customHeight="1" x14ac:dyDescent="0.2">
      <c r="X353" s="244"/>
    </row>
    <row r="354" spans="24:24" ht="15.75" customHeight="1" x14ac:dyDescent="0.2">
      <c r="X354" s="244"/>
    </row>
    <row r="355" spans="24:24" ht="15.75" customHeight="1" x14ac:dyDescent="0.2">
      <c r="X355" s="244"/>
    </row>
    <row r="356" spans="24:24" ht="15.75" customHeight="1" x14ac:dyDescent="0.2">
      <c r="X356" s="244"/>
    </row>
    <row r="357" spans="24:24" ht="15.75" customHeight="1" x14ac:dyDescent="0.2">
      <c r="X357" s="244"/>
    </row>
    <row r="358" spans="24:24" ht="15.75" customHeight="1" x14ac:dyDescent="0.2">
      <c r="X358" s="244"/>
    </row>
    <row r="359" spans="24:24" ht="15.75" customHeight="1" x14ac:dyDescent="0.2">
      <c r="X359" s="244"/>
    </row>
    <row r="360" spans="24:24" ht="15.75" customHeight="1" x14ac:dyDescent="0.2">
      <c r="X360" s="244"/>
    </row>
    <row r="361" spans="24:24" ht="15.75" customHeight="1" x14ac:dyDescent="0.2">
      <c r="X361" s="244"/>
    </row>
    <row r="362" spans="24:24" ht="15.75" customHeight="1" x14ac:dyDescent="0.2">
      <c r="X362" s="244"/>
    </row>
    <row r="363" spans="24:24" ht="15.75" customHeight="1" x14ac:dyDescent="0.2">
      <c r="X363" s="244"/>
    </row>
    <row r="364" spans="24:24" ht="15.75" customHeight="1" x14ac:dyDescent="0.2">
      <c r="X364" s="244"/>
    </row>
    <row r="365" spans="24:24" ht="15.75" customHeight="1" x14ac:dyDescent="0.2">
      <c r="X365" s="244"/>
    </row>
    <row r="366" spans="24:24" ht="15.75" customHeight="1" x14ac:dyDescent="0.2">
      <c r="X366" s="244"/>
    </row>
    <row r="367" spans="24:24" ht="15.75" customHeight="1" x14ac:dyDescent="0.2">
      <c r="X367" s="244"/>
    </row>
    <row r="368" spans="24:24" ht="15.75" customHeight="1" x14ac:dyDescent="0.2">
      <c r="X368" s="244"/>
    </row>
    <row r="369" spans="24:24" ht="15.75" customHeight="1" x14ac:dyDescent="0.2">
      <c r="X369" s="244"/>
    </row>
    <row r="370" spans="24:24" ht="15.75" customHeight="1" x14ac:dyDescent="0.2">
      <c r="X370" s="244"/>
    </row>
    <row r="371" spans="24:24" ht="15.75" customHeight="1" x14ac:dyDescent="0.2">
      <c r="X371" s="244"/>
    </row>
    <row r="372" spans="24:24" ht="15.75" customHeight="1" x14ac:dyDescent="0.2">
      <c r="X372" s="244"/>
    </row>
    <row r="373" spans="24:24" ht="15.75" customHeight="1" x14ac:dyDescent="0.2">
      <c r="X373" s="244"/>
    </row>
    <row r="374" spans="24:24" ht="15.75" customHeight="1" x14ac:dyDescent="0.2">
      <c r="X374" s="244"/>
    </row>
    <row r="375" spans="24:24" ht="15.75" customHeight="1" x14ac:dyDescent="0.2">
      <c r="X375" s="244"/>
    </row>
    <row r="376" spans="24:24" ht="15.75" customHeight="1" x14ac:dyDescent="0.2">
      <c r="X376" s="244"/>
    </row>
    <row r="377" spans="24:24" ht="15.75" customHeight="1" x14ac:dyDescent="0.2">
      <c r="X377" s="244"/>
    </row>
    <row r="378" spans="24:24" ht="15.75" customHeight="1" x14ac:dyDescent="0.2">
      <c r="X378" s="244"/>
    </row>
    <row r="379" spans="24:24" ht="15.75" customHeight="1" x14ac:dyDescent="0.2">
      <c r="X379" s="244"/>
    </row>
    <row r="380" spans="24:24" ht="15.75" customHeight="1" x14ac:dyDescent="0.2">
      <c r="X380" s="244"/>
    </row>
    <row r="381" spans="24:24" ht="15.75" customHeight="1" x14ac:dyDescent="0.2">
      <c r="X381" s="244"/>
    </row>
    <row r="382" spans="24:24" ht="15.75" customHeight="1" x14ac:dyDescent="0.2">
      <c r="X382" s="244"/>
    </row>
    <row r="383" spans="24:24" ht="15.75" customHeight="1" x14ac:dyDescent="0.2">
      <c r="X383" s="244"/>
    </row>
    <row r="384" spans="24:24" ht="15.75" customHeight="1" x14ac:dyDescent="0.2">
      <c r="X384" s="244"/>
    </row>
    <row r="385" spans="24:24" ht="15.75" customHeight="1" x14ac:dyDescent="0.2">
      <c r="X385" s="244"/>
    </row>
    <row r="386" spans="24:24" ht="15.75" customHeight="1" x14ac:dyDescent="0.2">
      <c r="X386" s="244"/>
    </row>
    <row r="387" spans="24:24" ht="15.75" customHeight="1" x14ac:dyDescent="0.2">
      <c r="X387" s="244"/>
    </row>
    <row r="388" spans="24:24" ht="15.75" customHeight="1" x14ac:dyDescent="0.2">
      <c r="X388" s="244"/>
    </row>
    <row r="389" spans="24:24" ht="15.75" customHeight="1" x14ac:dyDescent="0.2">
      <c r="X389" s="244"/>
    </row>
    <row r="390" spans="24:24" ht="15.75" customHeight="1" x14ac:dyDescent="0.2">
      <c r="X390" s="244"/>
    </row>
    <row r="391" spans="24:24" ht="15.75" customHeight="1" x14ac:dyDescent="0.2">
      <c r="X391" s="244"/>
    </row>
    <row r="392" spans="24:24" ht="15.75" customHeight="1" x14ac:dyDescent="0.2">
      <c r="X392" s="244"/>
    </row>
    <row r="393" spans="24:24" ht="15.75" customHeight="1" x14ac:dyDescent="0.2">
      <c r="X393" s="244"/>
    </row>
    <row r="394" spans="24:24" ht="15.75" customHeight="1" x14ac:dyDescent="0.2">
      <c r="X394" s="244"/>
    </row>
    <row r="395" spans="24:24" ht="15.75" customHeight="1" x14ac:dyDescent="0.2">
      <c r="X395" s="244"/>
    </row>
    <row r="396" spans="24:24" ht="15.75" customHeight="1" x14ac:dyDescent="0.2">
      <c r="X396" s="244"/>
    </row>
    <row r="397" spans="24:24" ht="15.75" customHeight="1" x14ac:dyDescent="0.2">
      <c r="X397" s="244"/>
    </row>
    <row r="398" spans="24:24" ht="15.75" customHeight="1" x14ac:dyDescent="0.2">
      <c r="X398" s="244"/>
    </row>
    <row r="399" spans="24:24" ht="15.75" customHeight="1" x14ac:dyDescent="0.2">
      <c r="X399" s="244"/>
    </row>
    <row r="400" spans="24:24" ht="15.75" customHeight="1" x14ac:dyDescent="0.2">
      <c r="X400" s="244"/>
    </row>
    <row r="401" spans="24:24" ht="15.75" customHeight="1" x14ac:dyDescent="0.2">
      <c r="X401" s="244"/>
    </row>
    <row r="402" spans="24:24" ht="15.75" customHeight="1" x14ac:dyDescent="0.2">
      <c r="X402" s="244"/>
    </row>
    <row r="403" spans="24:24" ht="15.75" customHeight="1" x14ac:dyDescent="0.2">
      <c r="X403" s="244"/>
    </row>
    <row r="404" spans="24:24" ht="15.75" customHeight="1" x14ac:dyDescent="0.2">
      <c r="X404" s="244"/>
    </row>
    <row r="405" spans="24:24" ht="15.75" customHeight="1" x14ac:dyDescent="0.2">
      <c r="X405" s="244"/>
    </row>
    <row r="406" spans="24:24" ht="15.75" customHeight="1" x14ac:dyDescent="0.2">
      <c r="X406" s="244"/>
    </row>
    <row r="407" spans="24:24" ht="15.75" customHeight="1" x14ac:dyDescent="0.2">
      <c r="X407" s="244"/>
    </row>
    <row r="408" spans="24:24" ht="15.75" customHeight="1" x14ac:dyDescent="0.2">
      <c r="X408" s="244"/>
    </row>
    <row r="409" spans="24:24" ht="15.75" customHeight="1" x14ac:dyDescent="0.2">
      <c r="X409" s="244"/>
    </row>
    <row r="410" spans="24:24" ht="15.75" customHeight="1" x14ac:dyDescent="0.2">
      <c r="X410" s="244"/>
    </row>
    <row r="411" spans="24:24" ht="15.75" customHeight="1" x14ac:dyDescent="0.2">
      <c r="X411" s="244"/>
    </row>
    <row r="412" spans="24:24" ht="15.75" customHeight="1" x14ac:dyDescent="0.2">
      <c r="X412" s="244"/>
    </row>
    <row r="413" spans="24:24" ht="15.75" customHeight="1" x14ac:dyDescent="0.2">
      <c r="X413" s="244"/>
    </row>
    <row r="414" spans="24:24" ht="15.75" customHeight="1" x14ac:dyDescent="0.2">
      <c r="X414" s="244"/>
    </row>
    <row r="415" spans="24:24" ht="15.75" customHeight="1" x14ac:dyDescent="0.2">
      <c r="X415" s="244"/>
    </row>
    <row r="416" spans="24:24" ht="15.75" customHeight="1" x14ac:dyDescent="0.2">
      <c r="X416" s="244"/>
    </row>
    <row r="417" spans="24:24" ht="15.75" customHeight="1" x14ac:dyDescent="0.2">
      <c r="X417" s="244"/>
    </row>
    <row r="418" spans="24:24" ht="15.75" customHeight="1" x14ac:dyDescent="0.2">
      <c r="X418" s="244"/>
    </row>
    <row r="419" spans="24:24" ht="15.75" customHeight="1" x14ac:dyDescent="0.2">
      <c r="X419" s="244"/>
    </row>
    <row r="420" spans="24:24" ht="15.75" customHeight="1" x14ac:dyDescent="0.2">
      <c r="X420" s="244"/>
    </row>
    <row r="421" spans="24:24" ht="15.75" customHeight="1" x14ac:dyDescent="0.2">
      <c r="X421" s="244"/>
    </row>
    <row r="422" spans="24:24" ht="15.75" customHeight="1" x14ac:dyDescent="0.2">
      <c r="X422" s="244"/>
    </row>
    <row r="423" spans="24:24" ht="15.75" customHeight="1" x14ac:dyDescent="0.2">
      <c r="X423" s="244"/>
    </row>
    <row r="424" spans="24:24" ht="15.75" customHeight="1" x14ac:dyDescent="0.2">
      <c r="X424" s="244"/>
    </row>
    <row r="425" spans="24:24" ht="15.75" customHeight="1" x14ac:dyDescent="0.2">
      <c r="X425" s="244"/>
    </row>
    <row r="426" spans="24:24" ht="15.75" customHeight="1" x14ac:dyDescent="0.2">
      <c r="X426" s="244"/>
    </row>
    <row r="427" spans="24:24" ht="15.75" customHeight="1" x14ac:dyDescent="0.2">
      <c r="X427" s="244"/>
    </row>
    <row r="428" spans="24:24" ht="15.75" customHeight="1" x14ac:dyDescent="0.2">
      <c r="X428" s="244"/>
    </row>
    <row r="429" spans="24:24" ht="15.75" customHeight="1" x14ac:dyDescent="0.2">
      <c r="X429" s="244"/>
    </row>
    <row r="430" spans="24:24" ht="15.75" customHeight="1" x14ac:dyDescent="0.2">
      <c r="X430" s="244"/>
    </row>
    <row r="431" spans="24:24" ht="15.75" customHeight="1" x14ac:dyDescent="0.2">
      <c r="X431" s="244"/>
    </row>
    <row r="432" spans="24:24" ht="15.75" customHeight="1" x14ac:dyDescent="0.2">
      <c r="X432" s="244"/>
    </row>
    <row r="433" spans="24:24" ht="15.75" customHeight="1" x14ac:dyDescent="0.2">
      <c r="X433" s="244"/>
    </row>
    <row r="434" spans="24:24" ht="15.75" customHeight="1" x14ac:dyDescent="0.2">
      <c r="X434" s="244"/>
    </row>
    <row r="435" spans="24:24" ht="15.75" customHeight="1" x14ac:dyDescent="0.2">
      <c r="X435" s="244"/>
    </row>
    <row r="436" spans="24:24" ht="15.75" customHeight="1" x14ac:dyDescent="0.2">
      <c r="X436" s="244"/>
    </row>
    <row r="437" spans="24:24" ht="15.75" customHeight="1" x14ac:dyDescent="0.2">
      <c r="X437" s="244"/>
    </row>
    <row r="438" spans="24:24" ht="15.75" customHeight="1" x14ac:dyDescent="0.2">
      <c r="X438" s="244"/>
    </row>
    <row r="439" spans="24:24" ht="15.75" customHeight="1" x14ac:dyDescent="0.2">
      <c r="X439" s="244"/>
    </row>
    <row r="440" spans="24:24" ht="15.75" customHeight="1" x14ac:dyDescent="0.2">
      <c r="X440" s="244"/>
    </row>
    <row r="441" spans="24:24" ht="15.75" customHeight="1" x14ac:dyDescent="0.2">
      <c r="X441" s="244"/>
    </row>
    <row r="442" spans="24:24" ht="15.75" customHeight="1" x14ac:dyDescent="0.2">
      <c r="X442" s="244"/>
    </row>
    <row r="443" spans="24:24" ht="15.75" customHeight="1" x14ac:dyDescent="0.2">
      <c r="X443" s="244"/>
    </row>
    <row r="444" spans="24:24" ht="15.75" customHeight="1" x14ac:dyDescent="0.2">
      <c r="X444" s="244"/>
    </row>
    <row r="445" spans="24:24" ht="15.75" customHeight="1" x14ac:dyDescent="0.2">
      <c r="X445" s="244"/>
    </row>
    <row r="446" spans="24:24" ht="15.75" customHeight="1" x14ac:dyDescent="0.2">
      <c r="X446" s="244"/>
    </row>
    <row r="447" spans="24:24" ht="15.75" customHeight="1" x14ac:dyDescent="0.2">
      <c r="X447" s="244"/>
    </row>
    <row r="448" spans="24:24" ht="15.75" customHeight="1" x14ac:dyDescent="0.2">
      <c r="X448" s="244"/>
    </row>
    <row r="449" spans="24:24" ht="15.75" customHeight="1" x14ac:dyDescent="0.2">
      <c r="X449" s="244"/>
    </row>
    <row r="450" spans="24:24" ht="15.75" customHeight="1" x14ac:dyDescent="0.2">
      <c r="X450" s="244"/>
    </row>
    <row r="451" spans="24:24" ht="15.75" customHeight="1" x14ac:dyDescent="0.2">
      <c r="X451" s="244"/>
    </row>
    <row r="452" spans="24:24" ht="15.75" customHeight="1" x14ac:dyDescent="0.2">
      <c r="X452" s="244"/>
    </row>
    <row r="453" spans="24:24" ht="15.75" customHeight="1" x14ac:dyDescent="0.2">
      <c r="X453" s="244"/>
    </row>
    <row r="454" spans="24:24" ht="15.75" customHeight="1" x14ac:dyDescent="0.2">
      <c r="X454" s="244"/>
    </row>
    <row r="455" spans="24:24" ht="15.75" customHeight="1" x14ac:dyDescent="0.2">
      <c r="X455" s="244"/>
    </row>
    <row r="456" spans="24:24" ht="15.75" customHeight="1" x14ac:dyDescent="0.2">
      <c r="X456" s="244"/>
    </row>
    <row r="457" spans="24:24" ht="15.75" customHeight="1" x14ac:dyDescent="0.2">
      <c r="X457" s="244"/>
    </row>
    <row r="458" spans="24:24" ht="15.75" customHeight="1" x14ac:dyDescent="0.2">
      <c r="X458" s="244"/>
    </row>
    <row r="459" spans="24:24" ht="15.75" customHeight="1" x14ac:dyDescent="0.2">
      <c r="X459" s="244"/>
    </row>
    <row r="460" spans="24:24" ht="15.75" customHeight="1" x14ac:dyDescent="0.2">
      <c r="X460" s="244"/>
    </row>
    <row r="461" spans="24:24" ht="15.75" customHeight="1" x14ac:dyDescent="0.2">
      <c r="X461" s="244"/>
    </row>
    <row r="462" spans="24:24" ht="15.75" customHeight="1" x14ac:dyDescent="0.2">
      <c r="X462" s="244"/>
    </row>
    <row r="463" spans="24:24" ht="15.75" customHeight="1" x14ac:dyDescent="0.2">
      <c r="X463" s="244"/>
    </row>
    <row r="464" spans="24:24" ht="15.75" customHeight="1" x14ac:dyDescent="0.2">
      <c r="X464" s="244"/>
    </row>
    <row r="465" spans="24:24" ht="15.75" customHeight="1" x14ac:dyDescent="0.2">
      <c r="X465" s="244"/>
    </row>
    <row r="466" spans="24:24" ht="15.75" customHeight="1" x14ac:dyDescent="0.2">
      <c r="X466" s="244"/>
    </row>
    <row r="467" spans="24:24" ht="15.75" customHeight="1" x14ac:dyDescent="0.2">
      <c r="X467" s="244"/>
    </row>
    <row r="468" spans="24:24" ht="15.75" customHeight="1" x14ac:dyDescent="0.2">
      <c r="X468" s="244"/>
    </row>
    <row r="469" spans="24:24" ht="15.75" customHeight="1" x14ac:dyDescent="0.2">
      <c r="X469" s="244"/>
    </row>
    <row r="470" spans="24:24" ht="15.75" customHeight="1" x14ac:dyDescent="0.2">
      <c r="X470" s="244"/>
    </row>
    <row r="471" spans="24:24" ht="15.75" customHeight="1" x14ac:dyDescent="0.2">
      <c r="X471" s="244"/>
    </row>
    <row r="472" spans="24:24" ht="15.75" customHeight="1" x14ac:dyDescent="0.2">
      <c r="X472" s="244"/>
    </row>
    <row r="473" spans="24:24" ht="15.75" customHeight="1" x14ac:dyDescent="0.2">
      <c r="X473" s="244"/>
    </row>
    <row r="474" spans="24:24" ht="15.75" customHeight="1" x14ac:dyDescent="0.2">
      <c r="X474" s="244"/>
    </row>
    <row r="475" spans="24:24" ht="15.75" customHeight="1" x14ac:dyDescent="0.2">
      <c r="X475" s="244"/>
    </row>
    <row r="476" spans="24:24" ht="15.75" customHeight="1" x14ac:dyDescent="0.2">
      <c r="X476" s="244"/>
    </row>
    <row r="477" spans="24:24" ht="15.75" customHeight="1" x14ac:dyDescent="0.2">
      <c r="X477" s="244"/>
    </row>
    <row r="478" spans="24:24" ht="15.75" customHeight="1" x14ac:dyDescent="0.2">
      <c r="X478" s="244"/>
    </row>
    <row r="479" spans="24:24" ht="15.75" customHeight="1" x14ac:dyDescent="0.2">
      <c r="X479" s="244"/>
    </row>
    <row r="480" spans="24:24" ht="15.75" customHeight="1" x14ac:dyDescent="0.2">
      <c r="X480" s="244"/>
    </row>
    <row r="481" spans="24:24" ht="15.75" customHeight="1" x14ac:dyDescent="0.2">
      <c r="X481" s="244"/>
    </row>
    <row r="482" spans="24:24" ht="15.75" customHeight="1" x14ac:dyDescent="0.2">
      <c r="X482" s="244"/>
    </row>
    <row r="483" spans="24:24" ht="15.75" customHeight="1" x14ac:dyDescent="0.2">
      <c r="X483" s="244"/>
    </row>
    <row r="484" spans="24:24" ht="15.75" customHeight="1" x14ac:dyDescent="0.2">
      <c r="X484" s="244"/>
    </row>
    <row r="485" spans="24:24" ht="15.75" customHeight="1" x14ac:dyDescent="0.2">
      <c r="X485" s="244"/>
    </row>
    <row r="486" spans="24:24" ht="15.75" customHeight="1" x14ac:dyDescent="0.2">
      <c r="X486" s="244"/>
    </row>
    <row r="487" spans="24:24" ht="15.75" customHeight="1" x14ac:dyDescent="0.2">
      <c r="X487" s="244"/>
    </row>
    <row r="488" spans="24:24" ht="15.75" customHeight="1" x14ac:dyDescent="0.2">
      <c r="X488" s="244"/>
    </row>
    <row r="489" spans="24:24" ht="15.75" customHeight="1" x14ac:dyDescent="0.2">
      <c r="X489" s="244"/>
    </row>
    <row r="490" spans="24:24" ht="15.75" customHeight="1" x14ac:dyDescent="0.2">
      <c r="X490" s="244"/>
    </row>
    <row r="491" spans="24:24" ht="15.75" customHeight="1" x14ac:dyDescent="0.2">
      <c r="X491" s="244"/>
    </row>
    <row r="492" spans="24:24" ht="15.75" customHeight="1" x14ac:dyDescent="0.2">
      <c r="X492" s="244"/>
    </row>
    <row r="493" spans="24:24" ht="15.75" customHeight="1" x14ac:dyDescent="0.2">
      <c r="X493" s="244"/>
    </row>
    <row r="494" spans="24:24" ht="15.75" customHeight="1" x14ac:dyDescent="0.2">
      <c r="X494" s="244"/>
    </row>
    <row r="495" spans="24:24" ht="15.75" customHeight="1" x14ac:dyDescent="0.2">
      <c r="X495" s="244"/>
    </row>
    <row r="496" spans="24:24" ht="15.75" customHeight="1" x14ac:dyDescent="0.2">
      <c r="X496" s="244"/>
    </row>
    <row r="497" spans="24:24" ht="15.75" customHeight="1" x14ac:dyDescent="0.2">
      <c r="X497" s="244"/>
    </row>
    <row r="498" spans="24:24" ht="15.75" customHeight="1" x14ac:dyDescent="0.2">
      <c r="X498" s="244"/>
    </row>
    <row r="499" spans="24:24" ht="15.75" customHeight="1" x14ac:dyDescent="0.2">
      <c r="X499" s="244"/>
    </row>
    <row r="500" spans="24:24" ht="15.75" customHeight="1" x14ac:dyDescent="0.2">
      <c r="X500" s="244"/>
    </row>
    <row r="501" spans="24:24" ht="15.75" customHeight="1" x14ac:dyDescent="0.2">
      <c r="X501" s="244"/>
    </row>
    <row r="502" spans="24:24" ht="15.75" customHeight="1" x14ac:dyDescent="0.2">
      <c r="X502" s="244"/>
    </row>
    <row r="503" spans="24:24" ht="15.75" customHeight="1" x14ac:dyDescent="0.2">
      <c r="X503" s="244"/>
    </row>
    <row r="504" spans="24:24" ht="15.75" customHeight="1" x14ac:dyDescent="0.2">
      <c r="X504" s="244"/>
    </row>
    <row r="505" spans="24:24" ht="15.75" customHeight="1" x14ac:dyDescent="0.2">
      <c r="X505" s="244"/>
    </row>
    <row r="506" spans="24:24" ht="15.75" customHeight="1" x14ac:dyDescent="0.2">
      <c r="X506" s="244"/>
    </row>
    <row r="507" spans="24:24" ht="15.75" customHeight="1" x14ac:dyDescent="0.2">
      <c r="X507" s="244"/>
    </row>
    <row r="508" spans="24:24" ht="15.75" customHeight="1" x14ac:dyDescent="0.2">
      <c r="X508" s="244"/>
    </row>
    <row r="509" spans="24:24" ht="15.75" customHeight="1" x14ac:dyDescent="0.2">
      <c r="X509" s="244"/>
    </row>
    <row r="510" spans="24:24" ht="15.75" customHeight="1" x14ac:dyDescent="0.2">
      <c r="X510" s="244"/>
    </row>
    <row r="511" spans="24:24" ht="15.75" customHeight="1" x14ac:dyDescent="0.2">
      <c r="X511" s="244"/>
    </row>
    <row r="512" spans="24:24" ht="15.75" customHeight="1" x14ac:dyDescent="0.2">
      <c r="X512" s="244"/>
    </row>
    <row r="513" spans="24:24" ht="15.75" customHeight="1" x14ac:dyDescent="0.2">
      <c r="X513" s="244"/>
    </row>
    <row r="514" spans="24:24" ht="15.75" customHeight="1" x14ac:dyDescent="0.2">
      <c r="X514" s="244"/>
    </row>
    <row r="515" spans="24:24" ht="15.75" customHeight="1" x14ac:dyDescent="0.2">
      <c r="X515" s="244"/>
    </row>
    <row r="516" spans="24:24" ht="15.75" customHeight="1" x14ac:dyDescent="0.2">
      <c r="X516" s="244"/>
    </row>
    <row r="517" spans="24:24" ht="15.75" customHeight="1" x14ac:dyDescent="0.2">
      <c r="X517" s="244"/>
    </row>
    <row r="518" spans="24:24" ht="15.75" customHeight="1" x14ac:dyDescent="0.2">
      <c r="X518" s="244"/>
    </row>
    <row r="519" spans="24:24" ht="15.75" customHeight="1" x14ac:dyDescent="0.2">
      <c r="X519" s="244"/>
    </row>
    <row r="520" spans="24:24" ht="15.75" customHeight="1" x14ac:dyDescent="0.2">
      <c r="X520" s="244"/>
    </row>
    <row r="521" spans="24:24" ht="15.75" customHeight="1" x14ac:dyDescent="0.2">
      <c r="X521" s="244"/>
    </row>
    <row r="522" spans="24:24" ht="15.75" customHeight="1" x14ac:dyDescent="0.2">
      <c r="X522" s="244"/>
    </row>
    <row r="523" spans="24:24" ht="15.75" customHeight="1" x14ac:dyDescent="0.2">
      <c r="X523" s="244"/>
    </row>
    <row r="524" spans="24:24" ht="15.75" customHeight="1" x14ac:dyDescent="0.2">
      <c r="X524" s="244"/>
    </row>
    <row r="525" spans="24:24" ht="15.75" customHeight="1" x14ac:dyDescent="0.2">
      <c r="X525" s="244"/>
    </row>
    <row r="526" spans="24:24" ht="15.75" customHeight="1" x14ac:dyDescent="0.2">
      <c r="X526" s="244"/>
    </row>
    <row r="527" spans="24:24" ht="15.75" customHeight="1" x14ac:dyDescent="0.2">
      <c r="X527" s="244"/>
    </row>
    <row r="528" spans="24:24" ht="15.75" customHeight="1" x14ac:dyDescent="0.2">
      <c r="X528" s="244"/>
    </row>
    <row r="529" spans="24:24" ht="15.75" customHeight="1" x14ac:dyDescent="0.2">
      <c r="X529" s="244"/>
    </row>
    <row r="530" spans="24:24" ht="15.75" customHeight="1" x14ac:dyDescent="0.2">
      <c r="X530" s="244"/>
    </row>
    <row r="531" spans="24:24" ht="15.75" customHeight="1" x14ac:dyDescent="0.2">
      <c r="X531" s="244"/>
    </row>
    <row r="532" spans="24:24" ht="15.75" customHeight="1" x14ac:dyDescent="0.2">
      <c r="X532" s="244"/>
    </row>
    <row r="533" spans="24:24" ht="15.75" customHeight="1" x14ac:dyDescent="0.2">
      <c r="X533" s="244"/>
    </row>
    <row r="534" spans="24:24" ht="15.75" customHeight="1" x14ac:dyDescent="0.2">
      <c r="X534" s="244"/>
    </row>
    <row r="535" spans="24:24" ht="15.75" customHeight="1" x14ac:dyDescent="0.2">
      <c r="X535" s="244"/>
    </row>
    <row r="536" spans="24:24" ht="15.75" customHeight="1" x14ac:dyDescent="0.2">
      <c r="X536" s="244"/>
    </row>
    <row r="537" spans="24:24" ht="15.75" customHeight="1" x14ac:dyDescent="0.2">
      <c r="X537" s="244"/>
    </row>
    <row r="538" spans="24:24" ht="15.75" customHeight="1" x14ac:dyDescent="0.2">
      <c r="X538" s="244"/>
    </row>
    <row r="539" spans="24:24" ht="15.75" customHeight="1" x14ac:dyDescent="0.2">
      <c r="X539" s="244"/>
    </row>
    <row r="540" spans="24:24" ht="15.75" customHeight="1" x14ac:dyDescent="0.2">
      <c r="X540" s="244"/>
    </row>
    <row r="541" spans="24:24" ht="15.75" customHeight="1" x14ac:dyDescent="0.2">
      <c r="X541" s="244"/>
    </row>
    <row r="542" spans="24:24" ht="15.75" customHeight="1" x14ac:dyDescent="0.2">
      <c r="X542" s="244"/>
    </row>
    <row r="543" spans="24:24" ht="15.75" customHeight="1" x14ac:dyDescent="0.2">
      <c r="X543" s="244"/>
    </row>
    <row r="544" spans="24:24" ht="15.75" customHeight="1" x14ac:dyDescent="0.2">
      <c r="X544" s="244"/>
    </row>
    <row r="545" spans="24:24" ht="15.75" customHeight="1" x14ac:dyDescent="0.2">
      <c r="X545" s="244"/>
    </row>
    <row r="546" spans="24:24" ht="15.75" customHeight="1" x14ac:dyDescent="0.2">
      <c r="X546" s="244"/>
    </row>
    <row r="547" spans="24:24" ht="15.75" customHeight="1" x14ac:dyDescent="0.2">
      <c r="X547" s="244"/>
    </row>
    <row r="548" spans="24:24" ht="15.75" customHeight="1" x14ac:dyDescent="0.2">
      <c r="X548" s="244"/>
    </row>
    <row r="549" spans="24:24" ht="15.75" customHeight="1" x14ac:dyDescent="0.2">
      <c r="X549" s="244"/>
    </row>
    <row r="550" spans="24:24" ht="15.75" customHeight="1" x14ac:dyDescent="0.2">
      <c r="X550" s="244"/>
    </row>
    <row r="551" spans="24:24" ht="15.75" customHeight="1" x14ac:dyDescent="0.2">
      <c r="X551" s="244"/>
    </row>
    <row r="552" spans="24:24" ht="15.75" customHeight="1" x14ac:dyDescent="0.2">
      <c r="X552" s="244"/>
    </row>
    <row r="553" spans="24:24" ht="15.75" customHeight="1" x14ac:dyDescent="0.2">
      <c r="X553" s="244"/>
    </row>
    <row r="554" spans="24:24" ht="15.75" customHeight="1" x14ac:dyDescent="0.2">
      <c r="X554" s="244"/>
    </row>
    <row r="555" spans="24:24" ht="15.75" customHeight="1" x14ac:dyDescent="0.2">
      <c r="X555" s="244"/>
    </row>
    <row r="556" spans="24:24" ht="15.75" customHeight="1" x14ac:dyDescent="0.2">
      <c r="X556" s="244"/>
    </row>
    <row r="557" spans="24:24" ht="15.75" customHeight="1" x14ac:dyDescent="0.2">
      <c r="X557" s="244"/>
    </row>
    <row r="558" spans="24:24" ht="15.75" customHeight="1" x14ac:dyDescent="0.2">
      <c r="X558" s="244"/>
    </row>
    <row r="559" spans="24:24" ht="15.75" customHeight="1" x14ac:dyDescent="0.2">
      <c r="X559" s="244"/>
    </row>
    <row r="560" spans="24:24" ht="15.75" customHeight="1" x14ac:dyDescent="0.2">
      <c r="X560" s="244"/>
    </row>
    <row r="561" spans="24:24" ht="15.75" customHeight="1" x14ac:dyDescent="0.2">
      <c r="X561" s="244"/>
    </row>
    <row r="562" spans="24:24" ht="15.75" customHeight="1" x14ac:dyDescent="0.2">
      <c r="X562" s="244"/>
    </row>
    <row r="563" spans="24:24" ht="15.75" customHeight="1" x14ac:dyDescent="0.2">
      <c r="X563" s="244"/>
    </row>
    <row r="564" spans="24:24" ht="15.75" customHeight="1" x14ac:dyDescent="0.2">
      <c r="X564" s="244"/>
    </row>
    <row r="565" spans="24:24" ht="15.75" customHeight="1" x14ac:dyDescent="0.2">
      <c r="X565" s="244"/>
    </row>
    <row r="566" spans="24:24" ht="15.75" customHeight="1" x14ac:dyDescent="0.2">
      <c r="X566" s="244"/>
    </row>
    <row r="567" spans="24:24" ht="15.75" customHeight="1" x14ac:dyDescent="0.2">
      <c r="X567" s="244"/>
    </row>
    <row r="568" spans="24:24" ht="15.75" customHeight="1" x14ac:dyDescent="0.2">
      <c r="X568" s="244"/>
    </row>
    <row r="569" spans="24:24" ht="15.75" customHeight="1" x14ac:dyDescent="0.2">
      <c r="X569" s="244"/>
    </row>
    <row r="570" spans="24:24" ht="15.75" customHeight="1" x14ac:dyDescent="0.2">
      <c r="X570" s="244"/>
    </row>
    <row r="571" spans="24:24" ht="15.75" customHeight="1" x14ac:dyDescent="0.2">
      <c r="X571" s="244"/>
    </row>
    <row r="572" spans="24:24" ht="15.75" customHeight="1" x14ac:dyDescent="0.2">
      <c r="X572" s="244"/>
    </row>
    <row r="573" spans="24:24" ht="15.75" customHeight="1" x14ac:dyDescent="0.2">
      <c r="X573" s="244"/>
    </row>
    <row r="574" spans="24:24" ht="15.75" customHeight="1" x14ac:dyDescent="0.2">
      <c r="X574" s="244"/>
    </row>
    <row r="575" spans="24:24" ht="15.75" customHeight="1" x14ac:dyDescent="0.2">
      <c r="X575" s="244"/>
    </row>
    <row r="576" spans="24:24" ht="15.75" customHeight="1" x14ac:dyDescent="0.2">
      <c r="X576" s="244"/>
    </row>
    <row r="577" spans="24:24" ht="15.75" customHeight="1" x14ac:dyDescent="0.2">
      <c r="X577" s="244"/>
    </row>
    <row r="578" spans="24:24" ht="15.75" customHeight="1" x14ac:dyDescent="0.2">
      <c r="X578" s="244"/>
    </row>
    <row r="579" spans="24:24" ht="15.75" customHeight="1" x14ac:dyDescent="0.2">
      <c r="X579" s="244"/>
    </row>
    <row r="580" spans="24:24" ht="15.75" customHeight="1" x14ac:dyDescent="0.2">
      <c r="X580" s="244"/>
    </row>
    <row r="581" spans="24:24" ht="15.75" customHeight="1" x14ac:dyDescent="0.2">
      <c r="X581" s="244"/>
    </row>
    <row r="582" spans="24:24" ht="15.75" customHeight="1" x14ac:dyDescent="0.2">
      <c r="X582" s="244"/>
    </row>
    <row r="583" spans="24:24" ht="15.75" customHeight="1" x14ac:dyDescent="0.2">
      <c r="X583" s="244"/>
    </row>
    <row r="584" spans="24:24" ht="15.75" customHeight="1" x14ac:dyDescent="0.2">
      <c r="X584" s="244"/>
    </row>
    <row r="585" spans="24:24" ht="15.75" customHeight="1" x14ac:dyDescent="0.2">
      <c r="X585" s="244"/>
    </row>
    <row r="586" spans="24:24" ht="15.75" customHeight="1" x14ac:dyDescent="0.2">
      <c r="X586" s="244"/>
    </row>
    <row r="587" spans="24:24" ht="15.75" customHeight="1" x14ac:dyDescent="0.2">
      <c r="X587" s="244"/>
    </row>
    <row r="588" spans="24:24" ht="15.75" customHeight="1" x14ac:dyDescent="0.2">
      <c r="X588" s="244"/>
    </row>
    <row r="589" spans="24:24" ht="15.75" customHeight="1" x14ac:dyDescent="0.2">
      <c r="X589" s="244"/>
    </row>
    <row r="590" spans="24:24" ht="15.75" customHeight="1" x14ac:dyDescent="0.2">
      <c r="X590" s="244"/>
    </row>
    <row r="591" spans="24:24" ht="15.75" customHeight="1" x14ac:dyDescent="0.2">
      <c r="X591" s="244"/>
    </row>
    <row r="592" spans="24:24" ht="15.75" customHeight="1" x14ac:dyDescent="0.2">
      <c r="X592" s="244"/>
    </row>
    <row r="593" spans="24:24" ht="15.75" customHeight="1" x14ac:dyDescent="0.2">
      <c r="X593" s="244"/>
    </row>
    <row r="594" spans="24:24" ht="15.75" customHeight="1" x14ac:dyDescent="0.2">
      <c r="X594" s="244"/>
    </row>
    <row r="595" spans="24:24" ht="15.75" customHeight="1" x14ac:dyDescent="0.2">
      <c r="X595" s="244"/>
    </row>
    <row r="596" spans="24:24" ht="15.75" customHeight="1" x14ac:dyDescent="0.2">
      <c r="X596" s="244"/>
    </row>
    <row r="597" spans="24:24" ht="15.75" customHeight="1" x14ac:dyDescent="0.2">
      <c r="X597" s="244"/>
    </row>
    <row r="598" spans="24:24" ht="15.75" customHeight="1" x14ac:dyDescent="0.2">
      <c r="X598" s="244"/>
    </row>
    <row r="599" spans="24:24" ht="15.75" customHeight="1" x14ac:dyDescent="0.2">
      <c r="X599" s="244"/>
    </row>
    <row r="600" spans="24:24" ht="15.75" customHeight="1" x14ac:dyDescent="0.2">
      <c r="X600" s="244"/>
    </row>
    <row r="601" spans="24:24" ht="15.75" customHeight="1" x14ac:dyDescent="0.2">
      <c r="X601" s="244"/>
    </row>
    <row r="602" spans="24:24" ht="15.75" customHeight="1" x14ac:dyDescent="0.2">
      <c r="X602" s="244"/>
    </row>
    <row r="603" spans="24:24" ht="15.75" customHeight="1" x14ac:dyDescent="0.2">
      <c r="X603" s="244"/>
    </row>
    <row r="604" spans="24:24" ht="15.75" customHeight="1" x14ac:dyDescent="0.2">
      <c r="X604" s="244"/>
    </row>
    <row r="605" spans="24:24" ht="15.75" customHeight="1" x14ac:dyDescent="0.2">
      <c r="X605" s="244"/>
    </row>
    <row r="606" spans="24:24" ht="15.75" customHeight="1" x14ac:dyDescent="0.2">
      <c r="X606" s="244"/>
    </row>
    <row r="607" spans="24:24" ht="15.75" customHeight="1" x14ac:dyDescent="0.2">
      <c r="X607" s="244"/>
    </row>
    <row r="608" spans="24:24" ht="15.75" customHeight="1" x14ac:dyDescent="0.2">
      <c r="X608" s="244"/>
    </row>
    <row r="609" spans="24:24" ht="15.75" customHeight="1" x14ac:dyDescent="0.2">
      <c r="X609" s="244"/>
    </row>
    <row r="610" spans="24:24" ht="15.75" customHeight="1" x14ac:dyDescent="0.2">
      <c r="X610" s="244"/>
    </row>
    <row r="611" spans="24:24" ht="15.75" customHeight="1" x14ac:dyDescent="0.2">
      <c r="X611" s="244"/>
    </row>
    <row r="612" spans="24:24" ht="15.75" customHeight="1" x14ac:dyDescent="0.2">
      <c r="X612" s="244"/>
    </row>
    <row r="613" spans="24:24" ht="15.75" customHeight="1" x14ac:dyDescent="0.2">
      <c r="X613" s="244"/>
    </row>
    <row r="614" spans="24:24" ht="15.75" customHeight="1" x14ac:dyDescent="0.2">
      <c r="X614" s="244"/>
    </row>
    <row r="615" spans="24:24" ht="15.75" customHeight="1" x14ac:dyDescent="0.2">
      <c r="X615" s="244"/>
    </row>
    <row r="616" spans="24:24" ht="15.75" customHeight="1" x14ac:dyDescent="0.2">
      <c r="X616" s="244"/>
    </row>
    <row r="617" spans="24:24" ht="15.75" customHeight="1" x14ac:dyDescent="0.2">
      <c r="X617" s="244"/>
    </row>
    <row r="618" spans="24:24" ht="15.75" customHeight="1" x14ac:dyDescent="0.2">
      <c r="X618" s="244"/>
    </row>
    <row r="619" spans="24:24" ht="15.75" customHeight="1" x14ac:dyDescent="0.2">
      <c r="X619" s="244"/>
    </row>
    <row r="620" spans="24:24" ht="15.75" customHeight="1" x14ac:dyDescent="0.2">
      <c r="X620" s="244"/>
    </row>
    <row r="621" spans="24:24" ht="15.75" customHeight="1" x14ac:dyDescent="0.2">
      <c r="X621" s="244"/>
    </row>
    <row r="622" spans="24:24" ht="15.75" customHeight="1" x14ac:dyDescent="0.2">
      <c r="X622" s="244"/>
    </row>
    <row r="623" spans="24:24" ht="15.75" customHeight="1" x14ac:dyDescent="0.2">
      <c r="X623" s="244"/>
    </row>
    <row r="624" spans="24:24" ht="15.75" customHeight="1" x14ac:dyDescent="0.2">
      <c r="X624" s="244"/>
    </row>
    <row r="625" spans="24:24" ht="15.75" customHeight="1" x14ac:dyDescent="0.2">
      <c r="X625" s="244"/>
    </row>
    <row r="626" spans="24:24" ht="15.75" customHeight="1" x14ac:dyDescent="0.2">
      <c r="X626" s="244"/>
    </row>
    <row r="627" spans="24:24" ht="15.75" customHeight="1" x14ac:dyDescent="0.2">
      <c r="X627" s="244"/>
    </row>
    <row r="628" spans="24:24" ht="15.75" customHeight="1" x14ac:dyDescent="0.2">
      <c r="X628" s="244"/>
    </row>
    <row r="629" spans="24:24" ht="15.75" customHeight="1" x14ac:dyDescent="0.2">
      <c r="X629" s="244"/>
    </row>
    <row r="630" spans="24:24" ht="15.75" customHeight="1" x14ac:dyDescent="0.2">
      <c r="X630" s="244"/>
    </row>
    <row r="631" spans="24:24" ht="15.75" customHeight="1" x14ac:dyDescent="0.2">
      <c r="X631" s="244"/>
    </row>
    <row r="632" spans="24:24" ht="15.75" customHeight="1" x14ac:dyDescent="0.2">
      <c r="X632" s="244"/>
    </row>
    <row r="633" spans="24:24" ht="15.75" customHeight="1" x14ac:dyDescent="0.2">
      <c r="X633" s="244"/>
    </row>
    <row r="634" spans="24:24" ht="15.75" customHeight="1" x14ac:dyDescent="0.2">
      <c r="X634" s="244"/>
    </row>
    <row r="635" spans="24:24" ht="15.75" customHeight="1" x14ac:dyDescent="0.2">
      <c r="X635" s="244"/>
    </row>
    <row r="636" spans="24:24" ht="15.75" customHeight="1" x14ac:dyDescent="0.2">
      <c r="X636" s="244"/>
    </row>
    <row r="637" spans="24:24" ht="15.75" customHeight="1" x14ac:dyDescent="0.2">
      <c r="X637" s="244"/>
    </row>
    <row r="638" spans="24:24" ht="15.75" customHeight="1" x14ac:dyDescent="0.2">
      <c r="X638" s="244"/>
    </row>
    <row r="639" spans="24:24" ht="15.75" customHeight="1" x14ac:dyDescent="0.2">
      <c r="X639" s="244"/>
    </row>
    <row r="640" spans="24:24" ht="15.75" customHeight="1" x14ac:dyDescent="0.2">
      <c r="X640" s="244"/>
    </row>
    <row r="641" spans="24:24" ht="15.75" customHeight="1" x14ac:dyDescent="0.2">
      <c r="X641" s="244"/>
    </row>
    <row r="642" spans="24:24" ht="15.75" customHeight="1" x14ac:dyDescent="0.2">
      <c r="X642" s="244"/>
    </row>
    <row r="643" spans="24:24" ht="15.75" customHeight="1" x14ac:dyDescent="0.2">
      <c r="X643" s="244"/>
    </row>
    <row r="644" spans="24:24" ht="15.75" customHeight="1" x14ac:dyDescent="0.2">
      <c r="X644" s="244"/>
    </row>
    <row r="645" spans="24:24" ht="15.75" customHeight="1" x14ac:dyDescent="0.2">
      <c r="X645" s="244"/>
    </row>
    <row r="646" spans="24:24" ht="15.75" customHeight="1" x14ac:dyDescent="0.2">
      <c r="X646" s="244"/>
    </row>
    <row r="647" spans="24:24" ht="15.75" customHeight="1" x14ac:dyDescent="0.2">
      <c r="X647" s="244"/>
    </row>
    <row r="648" spans="24:24" ht="15.75" customHeight="1" x14ac:dyDescent="0.2">
      <c r="X648" s="244"/>
    </row>
    <row r="649" spans="24:24" ht="15.75" customHeight="1" x14ac:dyDescent="0.2">
      <c r="X649" s="244"/>
    </row>
    <row r="650" spans="24:24" ht="15.75" customHeight="1" x14ac:dyDescent="0.2">
      <c r="X650" s="244"/>
    </row>
    <row r="651" spans="24:24" ht="15.75" customHeight="1" x14ac:dyDescent="0.2">
      <c r="X651" s="244"/>
    </row>
    <row r="652" spans="24:24" ht="15.75" customHeight="1" x14ac:dyDescent="0.2">
      <c r="X652" s="244"/>
    </row>
    <row r="653" spans="24:24" ht="15.75" customHeight="1" x14ac:dyDescent="0.2">
      <c r="X653" s="244"/>
    </row>
    <row r="654" spans="24:24" ht="15.75" customHeight="1" x14ac:dyDescent="0.2">
      <c r="X654" s="244"/>
    </row>
    <row r="655" spans="24:24" ht="15.75" customHeight="1" x14ac:dyDescent="0.2">
      <c r="X655" s="244"/>
    </row>
    <row r="656" spans="24:24" ht="15.75" customHeight="1" x14ac:dyDescent="0.2">
      <c r="X656" s="244"/>
    </row>
    <row r="657" spans="24:24" ht="15.75" customHeight="1" x14ac:dyDescent="0.2">
      <c r="X657" s="244"/>
    </row>
    <row r="658" spans="24:24" ht="15.75" customHeight="1" x14ac:dyDescent="0.2">
      <c r="X658" s="244"/>
    </row>
    <row r="659" spans="24:24" ht="15.75" customHeight="1" x14ac:dyDescent="0.2">
      <c r="X659" s="244"/>
    </row>
    <row r="660" spans="24:24" ht="15.75" customHeight="1" x14ac:dyDescent="0.2">
      <c r="X660" s="244"/>
    </row>
    <row r="661" spans="24:24" ht="15.75" customHeight="1" x14ac:dyDescent="0.2">
      <c r="X661" s="244"/>
    </row>
    <row r="662" spans="24:24" ht="15.75" customHeight="1" x14ac:dyDescent="0.2">
      <c r="X662" s="244"/>
    </row>
    <row r="663" spans="24:24" ht="15.75" customHeight="1" x14ac:dyDescent="0.2">
      <c r="X663" s="244"/>
    </row>
    <row r="664" spans="24:24" ht="15.75" customHeight="1" x14ac:dyDescent="0.2">
      <c r="X664" s="244"/>
    </row>
    <row r="665" spans="24:24" ht="15.75" customHeight="1" x14ac:dyDescent="0.2">
      <c r="X665" s="244"/>
    </row>
    <row r="666" spans="24:24" ht="15.75" customHeight="1" x14ac:dyDescent="0.2">
      <c r="X666" s="244"/>
    </row>
    <row r="667" spans="24:24" ht="15.75" customHeight="1" x14ac:dyDescent="0.2">
      <c r="X667" s="244"/>
    </row>
    <row r="668" spans="24:24" ht="15.75" customHeight="1" x14ac:dyDescent="0.2">
      <c r="X668" s="244"/>
    </row>
    <row r="669" spans="24:24" ht="15.75" customHeight="1" x14ac:dyDescent="0.2">
      <c r="X669" s="244"/>
    </row>
    <row r="670" spans="24:24" ht="15.75" customHeight="1" x14ac:dyDescent="0.2">
      <c r="X670" s="244"/>
    </row>
    <row r="671" spans="24:24" ht="15.75" customHeight="1" x14ac:dyDescent="0.2">
      <c r="X671" s="244"/>
    </row>
    <row r="672" spans="24:24" ht="15.75" customHeight="1" x14ac:dyDescent="0.2">
      <c r="X672" s="244"/>
    </row>
    <row r="673" spans="24:24" ht="15.75" customHeight="1" x14ac:dyDescent="0.2">
      <c r="X673" s="244"/>
    </row>
    <row r="674" spans="24:24" ht="15.75" customHeight="1" x14ac:dyDescent="0.2">
      <c r="X674" s="244"/>
    </row>
    <row r="675" spans="24:24" ht="15.75" customHeight="1" x14ac:dyDescent="0.2">
      <c r="X675" s="244"/>
    </row>
    <row r="676" spans="24:24" ht="15.75" customHeight="1" x14ac:dyDescent="0.2">
      <c r="X676" s="244"/>
    </row>
    <row r="677" spans="24:24" ht="15.75" customHeight="1" x14ac:dyDescent="0.2">
      <c r="X677" s="244"/>
    </row>
    <row r="678" spans="24:24" ht="15.75" customHeight="1" x14ac:dyDescent="0.2">
      <c r="X678" s="244"/>
    </row>
    <row r="679" spans="24:24" ht="15.75" customHeight="1" x14ac:dyDescent="0.2">
      <c r="X679" s="244"/>
    </row>
    <row r="680" spans="24:24" ht="15.75" customHeight="1" x14ac:dyDescent="0.2">
      <c r="X680" s="244"/>
    </row>
    <row r="681" spans="24:24" ht="15.75" customHeight="1" x14ac:dyDescent="0.2">
      <c r="X681" s="244"/>
    </row>
    <row r="682" spans="24:24" ht="15.75" customHeight="1" x14ac:dyDescent="0.2">
      <c r="X682" s="244"/>
    </row>
    <row r="683" spans="24:24" ht="15.75" customHeight="1" x14ac:dyDescent="0.2">
      <c r="X683" s="244"/>
    </row>
    <row r="684" spans="24:24" ht="15.75" customHeight="1" x14ac:dyDescent="0.2">
      <c r="X684" s="244"/>
    </row>
    <row r="685" spans="24:24" ht="15.75" customHeight="1" x14ac:dyDescent="0.2">
      <c r="X685" s="244"/>
    </row>
    <row r="686" spans="24:24" ht="15.75" customHeight="1" x14ac:dyDescent="0.2">
      <c r="X686" s="244"/>
    </row>
    <row r="687" spans="24:24" ht="15.75" customHeight="1" x14ac:dyDescent="0.2">
      <c r="X687" s="244"/>
    </row>
    <row r="688" spans="24:24" ht="15.75" customHeight="1" x14ac:dyDescent="0.2">
      <c r="X688" s="244"/>
    </row>
    <row r="689" spans="24:24" ht="15.75" customHeight="1" x14ac:dyDescent="0.2">
      <c r="X689" s="244"/>
    </row>
    <row r="690" spans="24:24" ht="15.75" customHeight="1" x14ac:dyDescent="0.2">
      <c r="X690" s="244"/>
    </row>
    <row r="691" spans="24:24" ht="15.75" customHeight="1" x14ac:dyDescent="0.2">
      <c r="X691" s="244"/>
    </row>
    <row r="692" spans="24:24" ht="15.75" customHeight="1" x14ac:dyDescent="0.2">
      <c r="X692" s="244"/>
    </row>
    <row r="693" spans="24:24" ht="15.75" customHeight="1" x14ac:dyDescent="0.2">
      <c r="X693" s="244"/>
    </row>
    <row r="694" spans="24:24" ht="15.75" customHeight="1" x14ac:dyDescent="0.2">
      <c r="X694" s="244"/>
    </row>
    <row r="695" spans="24:24" ht="15.75" customHeight="1" x14ac:dyDescent="0.2">
      <c r="X695" s="244"/>
    </row>
    <row r="696" spans="24:24" ht="15.75" customHeight="1" x14ac:dyDescent="0.2">
      <c r="X696" s="244"/>
    </row>
    <row r="697" spans="24:24" ht="15.75" customHeight="1" x14ac:dyDescent="0.2">
      <c r="X697" s="244"/>
    </row>
    <row r="698" spans="24:24" ht="15.75" customHeight="1" x14ac:dyDescent="0.2">
      <c r="X698" s="244"/>
    </row>
    <row r="699" spans="24:24" ht="15.75" customHeight="1" x14ac:dyDescent="0.2">
      <c r="X699" s="244"/>
    </row>
    <row r="700" spans="24:24" ht="15.75" customHeight="1" x14ac:dyDescent="0.2">
      <c r="X700" s="244"/>
    </row>
    <row r="701" spans="24:24" ht="15.75" customHeight="1" x14ac:dyDescent="0.2">
      <c r="X701" s="244"/>
    </row>
    <row r="702" spans="24:24" ht="15.75" customHeight="1" x14ac:dyDescent="0.2">
      <c r="X702" s="244"/>
    </row>
    <row r="703" spans="24:24" ht="15.75" customHeight="1" x14ac:dyDescent="0.2">
      <c r="X703" s="244"/>
    </row>
    <row r="704" spans="24:24" ht="15.75" customHeight="1" x14ac:dyDescent="0.2">
      <c r="X704" s="244"/>
    </row>
    <row r="705" spans="24:24" ht="15.75" customHeight="1" x14ac:dyDescent="0.2">
      <c r="X705" s="244"/>
    </row>
    <row r="706" spans="24:24" ht="15.75" customHeight="1" x14ac:dyDescent="0.2">
      <c r="X706" s="244"/>
    </row>
    <row r="707" spans="24:24" ht="15.75" customHeight="1" x14ac:dyDescent="0.2">
      <c r="X707" s="244"/>
    </row>
    <row r="708" spans="24:24" ht="15.75" customHeight="1" x14ac:dyDescent="0.2">
      <c r="X708" s="244"/>
    </row>
    <row r="709" spans="24:24" ht="15.75" customHeight="1" x14ac:dyDescent="0.2">
      <c r="X709" s="244"/>
    </row>
    <row r="710" spans="24:24" ht="15.75" customHeight="1" x14ac:dyDescent="0.2">
      <c r="X710" s="244"/>
    </row>
    <row r="711" spans="24:24" ht="15.75" customHeight="1" x14ac:dyDescent="0.2">
      <c r="X711" s="244"/>
    </row>
    <row r="712" spans="24:24" ht="15.75" customHeight="1" x14ac:dyDescent="0.2">
      <c r="X712" s="244"/>
    </row>
    <row r="713" spans="24:24" ht="15.75" customHeight="1" x14ac:dyDescent="0.2">
      <c r="X713" s="244"/>
    </row>
    <row r="714" spans="24:24" ht="15.75" customHeight="1" x14ac:dyDescent="0.2">
      <c r="X714" s="244"/>
    </row>
    <row r="715" spans="24:24" ht="15.75" customHeight="1" x14ac:dyDescent="0.2">
      <c r="X715" s="244"/>
    </row>
    <row r="716" spans="24:24" ht="15.75" customHeight="1" x14ac:dyDescent="0.2">
      <c r="X716" s="244"/>
    </row>
    <row r="717" spans="24:24" ht="15.75" customHeight="1" x14ac:dyDescent="0.2">
      <c r="X717" s="244"/>
    </row>
    <row r="718" spans="24:24" ht="15.75" customHeight="1" x14ac:dyDescent="0.2">
      <c r="X718" s="244"/>
    </row>
    <row r="719" spans="24:24" ht="15.75" customHeight="1" x14ac:dyDescent="0.2">
      <c r="X719" s="244"/>
    </row>
    <row r="720" spans="24:24" ht="15.75" customHeight="1" x14ac:dyDescent="0.2">
      <c r="X720" s="244"/>
    </row>
    <row r="721" spans="24:24" ht="15.75" customHeight="1" x14ac:dyDescent="0.2">
      <c r="X721" s="244"/>
    </row>
    <row r="722" spans="24:24" ht="15.75" customHeight="1" x14ac:dyDescent="0.2">
      <c r="X722" s="244"/>
    </row>
    <row r="723" spans="24:24" ht="15.75" customHeight="1" x14ac:dyDescent="0.2">
      <c r="X723" s="244"/>
    </row>
    <row r="724" spans="24:24" ht="15.75" customHeight="1" x14ac:dyDescent="0.2">
      <c r="X724" s="244"/>
    </row>
    <row r="725" spans="24:24" ht="15.75" customHeight="1" x14ac:dyDescent="0.2">
      <c r="X725" s="244"/>
    </row>
    <row r="726" spans="24:24" ht="15.75" customHeight="1" x14ac:dyDescent="0.2">
      <c r="X726" s="244"/>
    </row>
    <row r="727" spans="24:24" ht="15.75" customHeight="1" x14ac:dyDescent="0.2">
      <c r="X727" s="244"/>
    </row>
    <row r="728" spans="24:24" ht="15.75" customHeight="1" x14ac:dyDescent="0.2">
      <c r="X728" s="244"/>
    </row>
    <row r="729" spans="24:24" ht="15.75" customHeight="1" x14ac:dyDescent="0.2">
      <c r="X729" s="244"/>
    </row>
    <row r="730" spans="24:24" ht="15.75" customHeight="1" x14ac:dyDescent="0.2">
      <c r="X730" s="244"/>
    </row>
    <row r="731" spans="24:24" ht="15.75" customHeight="1" x14ac:dyDescent="0.2">
      <c r="X731" s="244"/>
    </row>
    <row r="732" spans="24:24" ht="15.75" customHeight="1" x14ac:dyDescent="0.2">
      <c r="X732" s="244"/>
    </row>
    <row r="733" spans="24:24" ht="15.75" customHeight="1" x14ac:dyDescent="0.2">
      <c r="X733" s="244"/>
    </row>
    <row r="734" spans="24:24" ht="15.75" customHeight="1" x14ac:dyDescent="0.2">
      <c r="X734" s="244"/>
    </row>
    <row r="735" spans="24:24" ht="15.75" customHeight="1" x14ac:dyDescent="0.2">
      <c r="X735" s="244"/>
    </row>
    <row r="736" spans="24:24" ht="15.75" customHeight="1" x14ac:dyDescent="0.2">
      <c r="X736" s="244"/>
    </row>
    <row r="737" spans="24:24" ht="15.75" customHeight="1" x14ac:dyDescent="0.2">
      <c r="X737" s="244"/>
    </row>
    <row r="738" spans="24:24" ht="15.75" customHeight="1" x14ac:dyDescent="0.2">
      <c r="X738" s="244"/>
    </row>
    <row r="739" spans="24:24" ht="15.75" customHeight="1" x14ac:dyDescent="0.2">
      <c r="X739" s="244"/>
    </row>
    <row r="740" spans="24:24" ht="15.75" customHeight="1" x14ac:dyDescent="0.2">
      <c r="X740" s="244"/>
    </row>
    <row r="741" spans="24:24" ht="15.75" customHeight="1" x14ac:dyDescent="0.2">
      <c r="X741" s="244"/>
    </row>
    <row r="742" spans="24:24" ht="15.75" customHeight="1" x14ac:dyDescent="0.2">
      <c r="X742" s="244"/>
    </row>
    <row r="743" spans="24:24" ht="15.75" customHeight="1" x14ac:dyDescent="0.2">
      <c r="X743" s="244"/>
    </row>
    <row r="744" spans="24:24" ht="15.75" customHeight="1" x14ac:dyDescent="0.2">
      <c r="X744" s="244"/>
    </row>
    <row r="745" spans="24:24" ht="15.75" customHeight="1" x14ac:dyDescent="0.2">
      <c r="X745" s="244"/>
    </row>
    <row r="746" spans="24:24" ht="15.75" customHeight="1" x14ac:dyDescent="0.2">
      <c r="X746" s="244"/>
    </row>
    <row r="747" spans="24:24" ht="15.75" customHeight="1" x14ac:dyDescent="0.2">
      <c r="X747" s="244"/>
    </row>
    <row r="748" spans="24:24" ht="15.75" customHeight="1" x14ac:dyDescent="0.2">
      <c r="X748" s="244"/>
    </row>
    <row r="749" spans="24:24" ht="15.75" customHeight="1" x14ac:dyDescent="0.2">
      <c r="X749" s="244"/>
    </row>
    <row r="750" spans="24:24" ht="15.75" customHeight="1" x14ac:dyDescent="0.2">
      <c r="X750" s="244"/>
    </row>
    <row r="751" spans="24:24" ht="15.75" customHeight="1" x14ac:dyDescent="0.2">
      <c r="X751" s="244"/>
    </row>
    <row r="752" spans="24:24" ht="15.75" customHeight="1" x14ac:dyDescent="0.2">
      <c r="X752" s="244"/>
    </row>
    <row r="753" spans="24:24" ht="15.75" customHeight="1" x14ac:dyDescent="0.2">
      <c r="X753" s="244"/>
    </row>
    <row r="754" spans="24:24" ht="15.75" customHeight="1" x14ac:dyDescent="0.2">
      <c r="X754" s="244"/>
    </row>
    <row r="755" spans="24:24" ht="15.75" customHeight="1" x14ac:dyDescent="0.2">
      <c r="X755" s="244"/>
    </row>
    <row r="756" spans="24:24" ht="15.75" customHeight="1" x14ac:dyDescent="0.2">
      <c r="X756" s="244"/>
    </row>
    <row r="757" spans="24:24" ht="15.75" customHeight="1" x14ac:dyDescent="0.2">
      <c r="X757" s="244"/>
    </row>
    <row r="758" spans="24:24" ht="15.75" customHeight="1" x14ac:dyDescent="0.2">
      <c r="X758" s="244"/>
    </row>
    <row r="759" spans="24:24" ht="15.75" customHeight="1" x14ac:dyDescent="0.2">
      <c r="X759" s="244"/>
    </row>
    <row r="760" spans="24:24" ht="15.75" customHeight="1" x14ac:dyDescent="0.2">
      <c r="X760" s="244"/>
    </row>
    <row r="761" spans="24:24" ht="15.75" customHeight="1" x14ac:dyDescent="0.2">
      <c r="X761" s="244"/>
    </row>
    <row r="762" spans="24:24" ht="15.75" customHeight="1" x14ac:dyDescent="0.2">
      <c r="X762" s="244"/>
    </row>
    <row r="763" spans="24:24" ht="15.75" customHeight="1" x14ac:dyDescent="0.2">
      <c r="X763" s="244"/>
    </row>
    <row r="764" spans="24:24" ht="15.75" customHeight="1" x14ac:dyDescent="0.2">
      <c r="X764" s="244"/>
    </row>
    <row r="765" spans="24:24" ht="15.75" customHeight="1" x14ac:dyDescent="0.2">
      <c r="X765" s="244"/>
    </row>
    <row r="766" spans="24:24" ht="15.75" customHeight="1" x14ac:dyDescent="0.2">
      <c r="X766" s="244"/>
    </row>
    <row r="767" spans="24:24" ht="15.75" customHeight="1" x14ac:dyDescent="0.2">
      <c r="X767" s="244"/>
    </row>
    <row r="768" spans="24:24" ht="15.75" customHeight="1" x14ac:dyDescent="0.2">
      <c r="X768" s="244"/>
    </row>
    <row r="769" spans="24:24" ht="15.75" customHeight="1" x14ac:dyDescent="0.2">
      <c r="X769" s="244"/>
    </row>
    <row r="770" spans="24:24" ht="15.75" customHeight="1" x14ac:dyDescent="0.2">
      <c r="X770" s="244"/>
    </row>
    <row r="771" spans="24:24" ht="15.75" customHeight="1" x14ac:dyDescent="0.2">
      <c r="X771" s="244"/>
    </row>
    <row r="772" spans="24:24" ht="15.75" customHeight="1" x14ac:dyDescent="0.2">
      <c r="X772" s="244"/>
    </row>
    <row r="773" spans="24:24" ht="15.75" customHeight="1" x14ac:dyDescent="0.2">
      <c r="X773" s="244"/>
    </row>
    <row r="774" spans="24:24" ht="15.75" customHeight="1" x14ac:dyDescent="0.2">
      <c r="X774" s="244"/>
    </row>
    <row r="775" spans="24:24" ht="15.75" customHeight="1" x14ac:dyDescent="0.2">
      <c r="X775" s="244"/>
    </row>
    <row r="776" spans="24:24" ht="15.75" customHeight="1" x14ac:dyDescent="0.2">
      <c r="X776" s="244"/>
    </row>
    <row r="777" spans="24:24" ht="15.75" customHeight="1" x14ac:dyDescent="0.2">
      <c r="X777" s="244"/>
    </row>
    <row r="778" spans="24:24" ht="15.75" customHeight="1" x14ac:dyDescent="0.2">
      <c r="X778" s="244"/>
    </row>
    <row r="779" spans="24:24" ht="15.75" customHeight="1" x14ac:dyDescent="0.2">
      <c r="X779" s="244"/>
    </row>
    <row r="780" spans="24:24" ht="15.75" customHeight="1" x14ac:dyDescent="0.2">
      <c r="X780" s="244"/>
    </row>
    <row r="781" spans="24:24" ht="15.75" customHeight="1" x14ac:dyDescent="0.2">
      <c r="X781" s="244"/>
    </row>
    <row r="782" spans="24:24" ht="15.75" customHeight="1" x14ac:dyDescent="0.2">
      <c r="X782" s="244"/>
    </row>
    <row r="783" spans="24:24" ht="15.75" customHeight="1" x14ac:dyDescent="0.2">
      <c r="X783" s="244"/>
    </row>
    <row r="784" spans="24:24" ht="15.75" customHeight="1" x14ac:dyDescent="0.2">
      <c r="X784" s="244"/>
    </row>
    <row r="785" spans="24:24" ht="15.75" customHeight="1" x14ac:dyDescent="0.2">
      <c r="X785" s="244"/>
    </row>
    <row r="786" spans="24:24" ht="15.75" customHeight="1" x14ac:dyDescent="0.2">
      <c r="X786" s="244"/>
    </row>
    <row r="787" spans="24:24" ht="15.75" customHeight="1" x14ac:dyDescent="0.2">
      <c r="X787" s="244"/>
    </row>
    <row r="788" spans="24:24" ht="15.75" customHeight="1" x14ac:dyDescent="0.2">
      <c r="X788" s="244"/>
    </row>
    <row r="789" spans="24:24" ht="15.75" customHeight="1" x14ac:dyDescent="0.2">
      <c r="X789" s="244"/>
    </row>
    <row r="790" spans="24:24" ht="15.75" customHeight="1" x14ac:dyDescent="0.2">
      <c r="X790" s="244"/>
    </row>
    <row r="791" spans="24:24" ht="15.75" customHeight="1" x14ac:dyDescent="0.2">
      <c r="X791" s="244"/>
    </row>
    <row r="792" spans="24:24" ht="15.75" customHeight="1" x14ac:dyDescent="0.2">
      <c r="X792" s="244"/>
    </row>
    <row r="793" spans="24:24" ht="15.75" customHeight="1" x14ac:dyDescent="0.2">
      <c r="X793" s="244"/>
    </row>
    <row r="794" spans="24:24" ht="15.75" customHeight="1" x14ac:dyDescent="0.2">
      <c r="X794" s="244"/>
    </row>
    <row r="795" spans="24:24" ht="15.75" customHeight="1" x14ac:dyDescent="0.2">
      <c r="X795" s="244"/>
    </row>
    <row r="796" spans="24:24" ht="15.75" customHeight="1" x14ac:dyDescent="0.2">
      <c r="X796" s="244"/>
    </row>
    <row r="797" spans="24:24" ht="15.75" customHeight="1" x14ac:dyDescent="0.2">
      <c r="X797" s="244"/>
    </row>
    <row r="798" spans="24:24" ht="15.75" customHeight="1" x14ac:dyDescent="0.2">
      <c r="X798" s="244"/>
    </row>
    <row r="799" spans="24:24" ht="15.75" customHeight="1" x14ac:dyDescent="0.2">
      <c r="X799" s="244"/>
    </row>
    <row r="800" spans="24:24" ht="15.75" customHeight="1" x14ac:dyDescent="0.2">
      <c r="X800" s="244"/>
    </row>
    <row r="801" spans="24:24" ht="15.75" customHeight="1" x14ac:dyDescent="0.2">
      <c r="X801" s="244"/>
    </row>
    <row r="802" spans="24:24" ht="15.75" customHeight="1" x14ac:dyDescent="0.2">
      <c r="X802" s="244"/>
    </row>
    <row r="803" spans="24:24" ht="15.75" customHeight="1" x14ac:dyDescent="0.2">
      <c r="X803" s="244"/>
    </row>
    <row r="804" spans="24:24" ht="15.75" customHeight="1" x14ac:dyDescent="0.2">
      <c r="X804" s="244"/>
    </row>
    <row r="805" spans="24:24" ht="15.75" customHeight="1" x14ac:dyDescent="0.2">
      <c r="X805" s="244"/>
    </row>
    <row r="806" spans="24:24" ht="15.75" customHeight="1" x14ac:dyDescent="0.2">
      <c r="X806" s="244"/>
    </row>
    <row r="807" spans="24:24" ht="15.75" customHeight="1" x14ac:dyDescent="0.2">
      <c r="X807" s="244"/>
    </row>
    <row r="808" spans="24:24" ht="15.75" customHeight="1" x14ac:dyDescent="0.2">
      <c r="X808" s="244"/>
    </row>
    <row r="809" spans="24:24" ht="15.75" customHeight="1" x14ac:dyDescent="0.2">
      <c r="X809" s="244"/>
    </row>
    <row r="810" spans="24:24" ht="15.75" customHeight="1" x14ac:dyDescent="0.2">
      <c r="X810" s="244"/>
    </row>
    <row r="811" spans="24:24" ht="15.75" customHeight="1" x14ac:dyDescent="0.2">
      <c r="X811" s="244"/>
    </row>
    <row r="812" spans="24:24" ht="15.75" customHeight="1" x14ac:dyDescent="0.2">
      <c r="X812" s="244"/>
    </row>
    <row r="813" spans="24:24" ht="15.75" customHeight="1" x14ac:dyDescent="0.2">
      <c r="X813" s="244"/>
    </row>
    <row r="814" spans="24:24" ht="15.75" customHeight="1" x14ac:dyDescent="0.2">
      <c r="X814" s="244"/>
    </row>
    <row r="815" spans="24:24" ht="15.75" customHeight="1" x14ac:dyDescent="0.2">
      <c r="X815" s="244"/>
    </row>
    <row r="816" spans="24:24" ht="15.75" customHeight="1" x14ac:dyDescent="0.2">
      <c r="X816" s="244"/>
    </row>
    <row r="817" spans="24:24" ht="15.75" customHeight="1" x14ac:dyDescent="0.2">
      <c r="X817" s="244"/>
    </row>
    <row r="818" spans="24:24" ht="15.75" customHeight="1" x14ac:dyDescent="0.2">
      <c r="X818" s="244"/>
    </row>
    <row r="819" spans="24:24" ht="15.75" customHeight="1" x14ac:dyDescent="0.2">
      <c r="X819" s="244"/>
    </row>
    <row r="820" spans="24:24" ht="15.75" customHeight="1" x14ac:dyDescent="0.2">
      <c r="X820" s="244"/>
    </row>
    <row r="821" spans="24:24" ht="15.75" customHeight="1" x14ac:dyDescent="0.2">
      <c r="X821" s="244"/>
    </row>
    <row r="822" spans="24:24" ht="15.75" customHeight="1" x14ac:dyDescent="0.2">
      <c r="X822" s="244"/>
    </row>
    <row r="823" spans="24:24" ht="15.75" customHeight="1" x14ac:dyDescent="0.2">
      <c r="X823" s="244"/>
    </row>
    <row r="824" spans="24:24" ht="15.75" customHeight="1" x14ac:dyDescent="0.2">
      <c r="X824" s="244"/>
    </row>
    <row r="825" spans="24:24" ht="15.75" customHeight="1" x14ac:dyDescent="0.2">
      <c r="X825" s="244"/>
    </row>
    <row r="826" spans="24:24" ht="15.75" customHeight="1" x14ac:dyDescent="0.2">
      <c r="X826" s="244"/>
    </row>
    <row r="827" spans="24:24" ht="15.75" customHeight="1" x14ac:dyDescent="0.2">
      <c r="X827" s="244"/>
    </row>
    <row r="828" spans="24:24" ht="15.75" customHeight="1" x14ac:dyDescent="0.2">
      <c r="X828" s="244"/>
    </row>
    <row r="829" spans="24:24" ht="15.75" customHeight="1" x14ac:dyDescent="0.2">
      <c r="X829" s="244"/>
    </row>
    <row r="830" spans="24:24" ht="15.75" customHeight="1" x14ac:dyDescent="0.2">
      <c r="X830" s="244"/>
    </row>
    <row r="831" spans="24:24" ht="15.75" customHeight="1" x14ac:dyDescent="0.2">
      <c r="X831" s="244"/>
    </row>
    <row r="832" spans="24:24" ht="15.75" customHeight="1" x14ac:dyDescent="0.2">
      <c r="X832" s="244"/>
    </row>
    <row r="833" spans="24:24" ht="15.75" customHeight="1" x14ac:dyDescent="0.2">
      <c r="X833" s="244"/>
    </row>
    <row r="834" spans="24:24" ht="15.75" customHeight="1" x14ac:dyDescent="0.2">
      <c r="X834" s="244"/>
    </row>
    <row r="835" spans="24:24" ht="15.75" customHeight="1" x14ac:dyDescent="0.2">
      <c r="X835" s="244"/>
    </row>
    <row r="836" spans="24:24" ht="15.75" customHeight="1" x14ac:dyDescent="0.2">
      <c r="X836" s="244"/>
    </row>
    <row r="837" spans="24:24" ht="15.75" customHeight="1" x14ac:dyDescent="0.2">
      <c r="X837" s="244"/>
    </row>
    <row r="838" spans="24:24" ht="15.75" customHeight="1" x14ac:dyDescent="0.2">
      <c r="X838" s="244"/>
    </row>
    <row r="839" spans="24:24" ht="15.75" customHeight="1" x14ac:dyDescent="0.2">
      <c r="X839" s="244"/>
    </row>
    <row r="840" spans="24:24" ht="15.75" customHeight="1" x14ac:dyDescent="0.2">
      <c r="X840" s="244"/>
    </row>
    <row r="841" spans="24:24" ht="15.75" customHeight="1" x14ac:dyDescent="0.2">
      <c r="X841" s="244"/>
    </row>
    <row r="842" spans="24:24" ht="15.75" customHeight="1" x14ac:dyDescent="0.2">
      <c r="X842" s="244"/>
    </row>
    <row r="843" spans="24:24" ht="15.75" customHeight="1" x14ac:dyDescent="0.2">
      <c r="X843" s="244"/>
    </row>
    <row r="844" spans="24:24" ht="15.75" customHeight="1" x14ac:dyDescent="0.2">
      <c r="X844" s="244"/>
    </row>
    <row r="845" spans="24:24" ht="15.75" customHeight="1" x14ac:dyDescent="0.2">
      <c r="X845" s="244"/>
    </row>
    <row r="846" spans="24:24" ht="15.75" customHeight="1" x14ac:dyDescent="0.2">
      <c r="X846" s="244"/>
    </row>
    <row r="847" spans="24:24" ht="15.75" customHeight="1" x14ac:dyDescent="0.2">
      <c r="X847" s="244"/>
    </row>
    <row r="848" spans="24:24" ht="15.75" customHeight="1" x14ac:dyDescent="0.2">
      <c r="X848" s="244"/>
    </row>
    <row r="849" spans="24:24" ht="15.75" customHeight="1" x14ac:dyDescent="0.2">
      <c r="X849" s="244"/>
    </row>
    <row r="850" spans="24:24" ht="15.75" customHeight="1" x14ac:dyDescent="0.2">
      <c r="X850" s="244"/>
    </row>
    <row r="851" spans="24:24" ht="15.75" customHeight="1" x14ac:dyDescent="0.2">
      <c r="X851" s="244"/>
    </row>
    <row r="852" spans="24:24" ht="15.75" customHeight="1" x14ac:dyDescent="0.2">
      <c r="X852" s="244"/>
    </row>
    <row r="853" spans="24:24" ht="15.75" customHeight="1" x14ac:dyDescent="0.2">
      <c r="X853" s="244"/>
    </row>
    <row r="854" spans="24:24" ht="15.75" customHeight="1" x14ac:dyDescent="0.2">
      <c r="X854" s="244"/>
    </row>
    <row r="855" spans="24:24" ht="15.75" customHeight="1" x14ac:dyDescent="0.2">
      <c r="X855" s="244"/>
    </row>
    <row r="856" spans="24:24" ht="15.75" customHeight="1" x14ac:dyDescent="0.2">
      <c r="X856" s="244"/>
    </row>
    <row r="857" spans="24:24" ht="15.75" customHeight="1" x14ac:dyDescent="0.2">
      <c r="X857" s="244"/>
    </row>
    <row r="858" spans="24:24" ht="15.75" customHeight="1" x14ac:dyDescent="0.2">
      <c r="X858" s="244"/>
    </row>
    <row r="859" spans="24:24" ht="15.75" customHeight="1" x14ac:dyDescent="0.2">
      <c r="X859" s="244"/>
    </row>
    <row r="860" spans="24:24" ht="15.75" customHeight="1" x14ac:dyDescent="0.2">
      <c r="X860" s="244"/>
    </row>
    <row r="861" spans="24:24" ht="15.75" customHeight="1" x14ac:dyDescent="0.2">
      <c r="X861" s="244"/>
    </row>
    <row r="862" spans="24:24" ht="15.75" customHeight="1" x14ac:dyDescent="0.2">
      <c r="X862" s="244"/>
    </row>
    <row r="863" spans="24:24" ht="15.75" customHeight="1" x14ac:dyDescent="0.2">
      <c r="X863" s="244"/>
    </row>
    <row r="864" spans="24:24" ht="15.75" customHeight="1" x14ac:dyDescent="0.2">
      <c r="X864" s="244"/>
    </row>
    <row r="865" spans="24:24" ht="15.75" customHeight="1" x14ac:dyDescent="0.2">
      <c r="X865" s="244"/>
    </row>
    <row r="866" spans="24:24" ht="15.75" customHeight="1" x14ac:dyDescent="0.2">
      <c r="X866" s="244"/>
    </row>
    <row r="867" spans="24:24" ht="15.75" customHeight="1" x14ac:dyDescent="0.2">
      <c r="X867" s="244"/>
    </row>
    <row r="868" spans="24:24" ht="15.75" customHeight="1" x14ac:dyDescent="0.2">
      <c r="X868" s="244"/>
    </row>
    <row r="869" spans="24:24" ht="15.75" customHeight="1" x14ac:dyDescent="0.2">
      <c r="X869" s="244"/>
    </row>
    <row r="870" spans="24:24" ht="15.75" customHeight="1" x14ac:dyDescent="0.2">
      <c r="X870" s="244"/>
    </row>
    <row r="871" spans="24:24" ht="15.75" customHeight="1" x14ac:dyDescent="0.2">
      <c r="X871" s="244"/>
    </row>
    <row r="872" spans="24:24" ht="15.75" customHeight="1" x14ac:dyDescent="0.2">
      <c r="X872" s="244"/>
    </row>
    <row r="873" spans="24:24" ht="15.75" customHeight="1" x14ac:dyDescent="0.2">
      <c r="X873" s="244"/>
    </row>
    <row r="874" spans="24:24" ht="15.75" customHeight="1" x14ac:dyDescent="0.2">
      <c r="X874" s="244"/>
    </row>
    <row r="875" spans="24:24" ht="15.75" customHeight="1" x14ac:dyDescent="0.2">
      <c r="X875" s="244"/>
    </row>
    <row r="876" spans="24:24" ht="15.75" customHeight="1" x14ac:dyDescent="0.2">
      <c r="X876" s="244"/>
    </row>
    <row r="877" spans="24:24" ht="15.75" customHeight="1" x14ac:dyDescent="0.2">
      <c r="X877" s="244"/>
    </row>
    <row r="878" spans="24:24" ht="15.75" customHeight="1" x14ac:dyDescent="0.2">
      <c r="X878" s="244"/>
    </row>
    <row r="879" spans="24:24" ht="15.75" customHeight="1" x14ac:dyDescent="0.2">
      <c r="X879" s="244"/>
    </row>
    <row r="880" spans="24:24" ht="15.75" customHeight="1" x14ac:dyDescent="0.2">
      <c r="X880" s="244"/>
    </row>
    <row r="881" spans="24:24" ht="15.75" customHeight="1" x14ac:dyDescent="0.2">
      <c r="X881" s="244"/>
    </row>
    <row r="882" spans="24:24" ht="15.75" customHeight="1" x14ac:dyDescent="0.2">
      <c r="X882" s="244"/>
    </row>
    <row r="883" spans="24:24" ht="15.75" customHeight="1" x14ac:dyDescent="0.2">
      <c r="X883" s="244"/>
    </row>
    <row r="884" spans="24:24" ht="15.75" customHeight="1" x14ac:dyDescent="0.2">
      <c r="X884" s="244"/>
    </row>
    <row r="885" spans="24:24" ht="15.75" customHeight="1" x14ac:dyDescent="0.2">
      <c r="X885" s="244"/>
    </row>
    <row r="886" spans="24:24" ht="15.75" customHeight="1" x14ac:dyDescent="0.2">
      <c r="X886" s="244"/>
    </row>
    <row r="887" spans="24:24" ht="15.75" customHeight="1" x14ac:dyDescent="0.2">
      <c r="X887" s="244"/>
    </row>
    <row r="888" spans="24:24" ht="15.75" customHeight="1" x14ac:dyDescent="0.2">
      <c r="X888" s="244"/>
    </row>
    <row r="889" spans="24:24" ht="15.75" customHeight="1" x14ac:dyDescent="0.2">
      <c r="X889" s="244"/>
    </row>
    <row r="890" spans="24:24" ht="15.75" customHeight="1" x14ac:dyDescent="0.2">
      <c r="X890" s="244"/>
    </row>
    <row r="891" spans="24:24" ht="15.75" customHeight="1" x14ac:dyDescent="0.2">
      <c r="X891" s="244"/>
    </row>
    <row r="892" spans="24:24" ht="15.75" customHeight="1" x14ac:dyDescent="0.2">
      <c r="X892" s="244"/>
    </row>
    <row r="893" spans="24:24" ht="15.75" customHeight="1" x14ac:dyDescent="0.2">
      <c r="X893" s="244"/>
    </row>
    <row r="894" spans="24:24" ht="15.75" customHeight="1" x14ac:dyDescent="0.2">
      <c r="X894" s="244"/>
    </row>
    <row r="895" spans="24:24" ht="15.75" customHeight="1" x14ac:dyDescent="0.2">
      <c r="X895" s="244"/>
    </row>
    <row r="896" spans="24:24" ht="15.75" customHeight="1" x14ac:dyDescent="0.2">
      <c r="X896" s="244"/>
    </row>
    <row r="897" spans="24:24" ht="15.75" customHeight="1" x14ac:dyDescent="0.2">
      <c r="X897" s="244"/>
    </row>
    <row r="898" spans="24:24" ht="15.75" customHeight="1" x14ac:dyDescent="0.2">
      <c r="X898" s="244"/>
    </row>
    <row r="899" spans="24:24" ht="15.75" customHeight="1" x14ac:dyDescent="0.2">
      <c r="X899" s="244"/>
    </row>
    <row r="900" spans="24:24" ht="15.75" customHeight="1" x14ac:dyDescent="0.2">
      <c r="X900" s="244"/>
    </row>
    <row r="901" spans="24:24" ht="15.75" customHeight="1" x14ac:dyDescent="0.2">
      <c r="X901" s="244"/>
    </row>
    <row r="902" spans="24:24" ht="15.75" customHeight="1" x14ac:dyDescent="0.2">
      <c r="X902" s="244"/>
    </row>
    <row r="903" spans="24:24" ht="15.75" customHeight="1" x14ac:dyDescent="0.2">
      <c r="X903" s="244"/>
    </row>
    <row r="904" spans="24:24" ht="15.75" customHeight="1" x14ac:dyDescent="0.2">
      <c r="X904" s="244"/>
    </row>
    <row r="905" spans="24:24" ht="15.75" customHeight="1" x14ac:dyDescent="0.2">
      <c r="X905" s="244"/>
    </row>
    <row r="906" spans="24:24" ht="15.75" customHeight="1" x14ac:dyDescent="0.2">
      <c r="X906" s="244"/>
    </row>
    <row r="907" spans="24:24" ht="15.75" customHeight="1" x14ac:dyDescent="0.2">
      <c r="X907" s="244"/>
    </row>
    <row r="908" spans="24:24" ht="15.75" customHeight="1" x14ac:dyDescent="0.2">
      <c r="X908" s="244"/>
    </row>
    <row r="909" spans="24:24" ht="15.75" customHeight="1" x14ac:dyDescent="0.2">
      <c r="X909" s="244"/>
    </row>
    <row r="910" spans="24:24" ht="15.75" customHeight="1" x14ac:dyDescent="0.2">
      <c r="X910" s="244"/>
    </row>
    <row r="911" spans="24:24" ht="15.75" customHeight="1" x14ac:dyDescent="0.2">
      <c r="X911" s="244"/>
    </row>
    <row r="912" spans="24:24" ht="15.75" customHeight="1" x14ac:dyDescent="0.2">
      <c r="X912" s="244"/>
    </row>
    <row r="913" spans="24:24" ht="15.75" customHeight="1" x14ac:dyDescent="0.2">
      <c r="X913" s="244"/>
    </row>
    <row r="914" spans="24:24" ht="15.75" customHeight="1" x14ac:dyDescent="0.2">
      <c r="X914" s="244"/>
    </row>
    <row r="915" spans="24:24" ht="15.75" customHeight="1" x14ac:dyDescent="0.2">
      <c r="X915" s="244"/>
    </row>
    <row r="916" spans="24:24" ht="15.75" customHeight="1" x14ac:dyDescent="0.2">
      <c r="X916" s="244"/>
    </row>
    <row r="917" spans="24:24" ht="15.75" customHeight="1" x14ac:dyDescent="0.2">
      <c r="X917" s="244"/>
    </row>
    <row r="918" spans="24:24" ht="15.75" customHeight="1" x14ac:dyDescent="0.2">
      <c r="X918" s="244"/>
    </row>
    <row r="919" spans="24:24" ht="15.75" customHeight="1" x14ac:dyDescent="0.2">
      <c r="X919" s="244"/>
    </row>
    <row r="920" spans="24:24" ht="15.75" customHeight="1" x14ac:dyDescent="0.2">
      <c r="X920" s="244"/>
    </row>
    <row r="921" spans="24:24" ht="15.75" customHeight="1" x14ac:dyDescent="0.2">
      <c r="X921" s="244"/>
    </row>
    <row r="922" spans="24:24" ht="15.75" customHeight="1" x14ac:dyDescent="0.2">
      <c r="X922" s="244"/>
    </row>
    <row r="923" spans="24:24" ht="15.75" customHeight="1" x14ac:dyDescent="0.2">
      <c r="X923" s="244"/>
    </row>
    <row r="924" spans="24:24" ht="15.75" customHeight="1" x14ac:dyDescent="0.2">
      <c r="X924" s="244"/>
    </row>
    <row r="925" spans="24:24" ht="15.75" customHeight="1" x14ac:dyDescent="0.2">
      <c r="X925" s="244"/>
    </row>
    <row r="926" spans="24:24" ht="15.75" customHeight="1" x14ac:dyDescent="0.2">
      <c r="X926" s="244"/>
    </row>
    <row r="927" spans="24:24" ht="15.75" customHeight="1" x14ac:dyDescent="0.2">
      <c r="X927" s="244"/>
    </row>
    <row r="928" spans="24:24" ht="15.75" customHeight="1" x14ac:dyDescent="0.2">
      <c r="X928" s="244"/>
    </row>
    <row r="929" spans="24:24" ht="15.75" customHeight="1" x14ac:dyDescent="0.2">
      <c r="X929" s="244"/>
    </row>
    <row r="930" spans="24:24" ht="15.75" customHeight="1" x14ac:dyDescent="0.2">
      <c r="X930" s="244"/>
    </row>
    <row r="931" spans="24:24" ht="15.75" customHeight="1" x14ac:dyDescent="0.2">
      <c r="X931" s="244"/>
    </row>
    <row r="932" spans="24:24" ht="15.75" customHeight="1" x14ac:dyDescent="0.2">
      <c r="X932" s="244"/>
    </row>
    <row r="933" spans="24:24" ht="15.75" customHeight="1" x14ac:dyDescent="0.2">
      <c r="X933" s="244"/>
    </row>
    <row r="934" spans="24:24" ht="15.75" customHeight="1" x14ac:dyDescent="0.2">
      <c r="X934" s="244"/>
    </row>
    <row r="935" spans="24:24" ht="15.75" customHeight="1" x14ac:dyDescent="0.2">
      <c r="X935" s="244"/>
    </row>
    <row r="936" spans="24:24" ht="15.75" customHeight="1" x14ac:dyDescent="0.2">
      <c r="X936" s="244"/>
    </row>
    <row r="937" spans="24:24" ht="15.75" customHeight="1" x14ac:dyDescent="0.2">
      <c r="X937" s="244"/>
    </row>
    <row r="938" spans="24:24" ht="15.75" customHeight="1" x14ac:dyDescent="0.2">
      <c r="X938" s="244"/>
    </row>
    <row r="939" spans="24:24" ht="15.75" customHeight="1" x14ac:dyDescent="0.2">
      <c r="X939" s="244"/>
    </row>
    <row r="940" spans="24:24" ht="15.75" customHeight="1" x14ac:dyDescent="0.2">
      <c r="X940" s="244"/>
    </row>
    <row r="941" spans="24:24" ht="15.75" customHeight="1" x14ac:dyDescent="0.2">
      <c r="X941" s="244"/>
    </row>
    <row r="942" spans="24:24" ht="15.75" customHeight="1" x14ac:dyDescent="0.2">
      <c r="X942" s="244"/>
    </row>
    <row r="943" spans="24:24" ht="15.75" customHeight="1" x14ac:dyDescent="0.2">
      <c r="X943" s="244"/>
    </row>
    <row r="944" spans="24:24" ht="15.75" customHeight="1" x14ac:dyDescent="0.2">
      <c r="X944" s="244"/>
    </row>
    <row r="945" spans="24:24" ht="15.75" customHeight="1" x14ac:dyDescent="0.2">
      <c r="X945" s="244"/>
    </row>
    <row r="946" spans="24:24" ht="15.75" customHeight="1" x14ac:dyDescent="0.2">
      <c r="X946" s="244"/>
    </row>
    <row r="947" spans="24:24" ht="15.75" customHeight="1" x14ac:dyDescent="0.2">
      <c r="X947" s="244"/>
    </row>
    <row r="948" spans="24:24" ht="15.75" customHeight="1" x14ac:dyDescent="0.2">
      <c r="X948" s="244"/>
    </row>
    <row r="949" spans="24:24" ht="15.75" customHeight="1" x14ac:dyDescent="0.2">
      <c r="X949" s="244"/>
    </row>
    <row r="950" spans="24:24" ht="15.75" customHeight="1" x14ac:dyDescent="0.2">
      <c r="X950" s="244"/>
    </row>
    <row r="951" spans="24:24" ht="15.75" customHeight="1" x14ac:dyDescent="0.2">
      <c r="X951" s="244"/>
    </row>
    <row r="952" spans="24:24" ht="15.75" customHeight="1" x14ac:dyDescent="0.2">
      <c r="X952" s="244"/>
    </row>
    <row r="953" spans="24:24" ht="15.75" customHeight="1" x14ac:dyDescent="0.2">
      <c r="X953" s="244"/>
    </row>
    <row r="954" spans="24:24" ht="15.75" customHeight="1" x14ac:dyDescent="0.2">
      <c r="X954" s="244"/>
    </row>
    <row r="955" spans="24:24" ht="15.75" customHeight="1" x14ac:dyDescent="0.2">
      <c r="X955" s="244"/>
    </row>
    <row r="956" spans="24:24" ht="15.75" customHeight="1" x14ac:dyDescent="0.2">
      <c r="X956" s="244"/>
    </row>
    <row r="957" spans="24:24" ht="15.75" customHeight="1" x14ac:dyDescent="0.2">
      <c r="X957" s="244"/>
    </row>
    <row r="958" spans="24:24" ht="15.75" customHeight="1" x14ac:dyDescent="0.2">
      <c r="X958" s="244"/>
    </row>
    <row r="959" spans="24:24" ht="15.75" customHeight="1" x14ac:dyDescent="0.2">
      <c r="X959" s="244"/>
    </row>
    <row r="960" spans="24:24" ht="15.75" customHeight="1" x14ac:dyDescent="0.2">
      <c r="X960" s="244"/>
    </row>
    <row r="961" spans="24:24" ht="15.75" customHeight="1" x14ac:dyDescent="0.2">
      <c r="X961" s="244"/>
    </row>
    <row r="962" spans="24:24" ht="15.75" customHeight="1" x14ac:dyDescent="0.2">
      <c r="X962" s="244"/>
    </row>
    <row r="963" spans="24:24" ht="15.75" customHeight="1" x14ac:dyDescent="0.2">
      <c r="X963" s="244"/>
    </row>
    <row r="964" spans="24:24" ht="15.75" customHeight="1" x14ac:dyDescent="0.2">
      <c r="X964" s="244"/>
    </row>
    <row r="965" spans="24:24" ht="15.75" customHeight="1" x14ac:dyDescent="0.2">
      <c r="X965" s="244"/>
    </row>
    <row r="966" spans="24:24" ht="15.75" customHeight="1" x14ac:dyDescent="0.2">
      <c r="X966" s="244"/>
    </row>
    <row r="967" spans="24:24" ht="15.75" customHeight="1" x14ac:dyDescent="0.2">
      <c r="X967" s="244"/>
    </row>
    <row r="968" spans="24:24" ht="15.75" customHeight="1" x14ac:dyDescent="0.2">
      <c r="X968" s="244"/>
    </row>
    <row r="969" spans="24:24" ht="15.75" customHeight="1" x14ac:dyDescent="0.2">
      <c r="X969" s="244"/>
    </row>
    <row r="970" spans="24:24" ht="15.75" customHeight="1" x14ac:dyDescent="0.2">
      <c r="X970" s="244"/>
    </row>
    <row r="971" spans="24:24" ht="15.75" customHeight="1" x14ac:dyDescent="0.2">
      <c r="X971" s="244"/>
    </row>
    <row r="972" spans="24:24" ht="15.75" customHeight="1" x14ac:dyDescent="0.2">
      <c r="X972" s="244"/>
    </row>
    <row r="973" spans="24:24" ht="15.75" customHeight="1" x14ac:dyDescent="0.2">
      <c r="X973" s="244"/>
    </row>
    <row r="974" spans="24:24" ht="15.75" customHeight="1" x14ac:dyDescent="0.2">
      <c r="X974" s="244"/>
    </row>
    <row r="975" spans="24:24" ht="15.75" customHeight="1" x14ac:dyDescent="0.2">
      <c r="X975" s="244"/>
    </row>
    <row r="976" spans="24:24" ht="15.75" customHeight="1" x14ac:dyDescent="0.2">
      <c r="X976" s="244"/>
    </row>
    <row r="977" spans="24:24" ht="15.75" customHeight="1" x14ac:dyDescent="0.2">
      <c r="X977" s="244"/>
    </row>
    <row r="978" spans="24:24" ht="15.75" customHeight="1" x14ac:dyDescent="0.2">
      <c r="X978" s="244"/>
    </row>
    <row r="979" spans="24:24" ht="15.75" customHeight="1" x14ac:dyDescent="0.2">
      <c r="X979" s="244"/>
    </row>
    <row r="980" spans="24:24" ht="15.75" customHeight="1" x14ac:dyDescent="0.2">
      <c r="X980" s="244"/>
    </row>
    <row r="981" spans="24:24" ht="15.75" customHeight="1" x14ac:dyDescent="0.2">
      <c r="X981" s="244"/>
    </row>
    <row r="982" spans="24:24" ht="15.75" customHeight="1" x14ac:dyDescent="0.2">
      <c r="X982" s="244"/>
    </row>
    <row r="983" spans="24:24" ht="15.75" customHeight="1" x14ac:dyDescent="0.2">
      <c r="X983" s="244"/>
    </row>
    <row r="984" spans="24:24" ht="15.75" customHeight="1" x14ac:dyDescent="0.2">
      <c r="X984" s="244"/>
    </row>
    <row r="985" spans="24:24" ht="15.75" customHeight="1" x14ac:dyDescent="0.2">
      <c r="X985" s="244"/>
    </row>
    <row r="986" spans="24:24" ht="15.75" customHeight="1" x14ac:dyDescent="0.2">
      <c r="X986" s="244"/>
    </row>
    <row r="987" spans="24:24" ht="15.75" customHeight="1" x14ac:dyDescent="0.2">
      <c r="X987" s="244"/>
    </row>
    <row r="988" spans="24:24" ht="15.75" customHeight="1" x14ac:dyDescent="0.2">
      <c r="X988" s="244"/>
    </row>
    <row r="989" spans="24:24" ht="15.75" customHeight="1" x14ac:dyDescent="0.2">
      <c r="X989" s="244"/>
    </row>
    <row r="990" spans="24:24" ht="15.75" customHeight="1" x14ac:dyDescent="0.2">
      <c r="X990" s="244"/>
    </row>
    <row r="991" spans="24:24" ht="15.75" customHeight="1" x14ac:dyDescent="0.2">
      <c r="X991" s="244"/>
    </row>
  </sheetData>
  <mergeCells count="6">
    <mergeCell ref="A1:D4"/>
    <mergeCell ref="E1:T4"/>
    <mergeCell ref="U1:X2"/>
    <mergeCell ref="U3:X4"/>
    <mergeCell ref="A5:D5"/>
    <mergeCell ref="E5:X5"/>
  </mergeCells>
  <dataValidations count="1">
    <dataValidation type="list" allowBlank="1" showErrorMessage="1" sqref="E7:W7" xr:uid="{00000000-0002-0000-3200-000000000000}">
      <formula1>"SI,NO"</formula1>
    </dataValidation>
  </dataValidations>
  <pageMargins left="0.51181102362204722" right="0.70866141732283472" top="1.1417322834645669" bottom="0.74803149606299213" header="0" footer="0"/>
  <pageSetup orientation="landscape" r:id="rId1"/>
  <headerFooter>
    <oddHeader>&amp;C Matriz de Riesgos</oddHeader>
  </headerFooter>
  <colBreaks count="1" manualBreakCount="1">
    <brk id="4" man="1"/>
  </colBreaks>
  <drawing r:id="rId2"/>
  <legacy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D972"/>
  <sheetViews>
    <sheetView showGridLines="0" topLeftCell="A22" zoomScale="70" zoomScaleNormal="70" workbookViewId="0">
      <selection activeCell="D19" sqref="D19"/>
    </sheetView>
  </sheetViews>
  <sheetFormatPr baseColWidth="10" defaultColWidth="12.625" defaultRowHeight="15" customHeight="1" x14ac:dyDescent="0.2"/>
  <cols>
    <col min="1" max="1" width="6.625" style="228" customWidth="1"/>
    <col min="2" max="2" width="16.75" style="228" customWidth="1"/>
    <col min="3" max="3" width="42.5" style="228" customWidth="1"/>
    <col min="4" max="4" width="35.875" style="228" customWidth="1"/>
    <col min="5" max="5" width="46.75" style="228" customWidth="1"/>
    <col min="6" max="10" width="21.75" style="228" hidden="1" customWidth="1"/>
    <col min="11" max="11" width="33.875" style="228" hidden="1" customWidth="1"/>
    <col min="12" max="12" width="21.75" style="228" hidden="1" customWidth="1"/>
    <col min="13" max="17" width="19.25" style="228" hidden="1" customWidth="1"/>
    <col min="18" max="18" width="22.625" style="228" hidden="1" customWidth="1"/>
    <col min="19" max="19" width="19.25" style="228" hidden="1" customWidth="1"/>
    <col min="20" max="20" width="8" style="228" customWidth="1"/>
    <col min="21" max="22" width="18.125" style="228" customWidth="1"/>
    <col min="23" max="23" width="17.75" style="228" customWidth="1"/>
    <col min="24" max="24" width="16.25" style="228" customWidth="1"/>
    <col min="25" max="25" width="15.25" style="228" customWidth="1"/>
    <col min="26" max="26" width="18.875" style="228" customWidth="1"/>
    <col min="27" max="27" width="15.625" style="228" customWidth="1"/>
    <col min="28" max="28" width="23.125" style="228" customWidth="1"/>
    <col min="29" max="29" width="22.25" style="228" customWidth="1"/>
    <col min="30" max="30" width="26.5" style="228" customWidth="1"/>
    <col min="31" max="16384" width="12.625" style="228"/>
  </cols>
  <sheetData>
    <row r="1" spans="1:30" ht="15.75" customHeight="1" x14ac:dyDescent="0.2">
      <c r="A1" s="1246"/>
      <c r="B1" s="1200"/>
      <c r="C1" s="1201"/>
      <c r="D1" s="1242" t="s">
        <v>0</v>
      </c>
      <c r="E1" s="1200"/>
      <c r="F1" s="1200"/>
      <c r="G1" s="1200"/>
      <c r="H1" s="1200"/>
      <c r="I1" s="1200"/>
      <c r="J1" s="1200"/>
      <c r="K1" s="1200"/>
      <c r="L1" s="1200"/>
      <c r="M1" s="1200"/>
      <c r="N1" s="1200"/>
      <c r="O1" s="1200"/>
      <c r="P1" s="1200"/>
      <c r="Q1" s="1200"/>
      <c r="R1" s="1200"/>
      <c r="S1" s="1200"/>
      <c r="T1" s="1200"/>
      <c r="U1" s="1200"/>
      <c r="V1" s="1200"/>
      <c r="W1" s="1200"/>
      <c r="X1" s="1200"/>
      <c r="Y1" s="1200"/>
      <c r="Z1" s="1200"/>
      <c r="AA1" s="1200"/>
      <c r="AB1" s="1201"/>
      <c r="AC1" s="1247" t="s">
        <v>128</v>
      </c>
      <c r="AD1" s="1201"/>
    </row>
    <row r="2" spans="1:30" ht="15.75" customHeight="1" x14ac:dyDescent="0.2">
      <c r="A2" s="1202"/>
      <c r="B2" s="1203"/>
      <c r="C2" s="1198"/>
      <c r="D2" s="1202"/>
      <c r="E2" s="1203"/>
      <c r="F2" s="1203"/>
      <c r="G2" s="1203"/>
      <c r="H2" s="1203"/>
      <c r="I2" s="1203"/>
      <c r="J2" s="1203"/>
      <c r="K2" s="1203"/>
      <c r="L2" s="1203"/>
      <c r="M2" s="1203"/>
      <c r="N2" s="1203"/>
      <c r="O2" s="1203"/>
      <c r="P2" s="1203"/>
      <c r="Q2" s="1203"/>
      <c r="R2" s="1203"/>
      <c r="S2" s="1203"/>
      <c r="T2" s="1203"/>
      <c r="U2" s="1203"/>
      <c r="V2" s="1203"/>
      <c r="W2" s="1203"/>
      <c r="X2" s="1203"/>
      <c r="Y2" s="1203"/>
      <c r="Z2" s="1203"/>
      <c r="AA2" s="1203"/>
      <c r="AB2" s="1198"/>
      <c r="AC2" s="1204"/>
      <c r="AD2" s="1206"/>
    </row>
    <row r="3" spans="1:30" ht="15.75" customHeight="1" x14ac:dyDescent="0.2">
      <c r="A3" s="1202"/>
      <c r="B3" s="1203"/>
      <c r="C3" s="1198"/>
      <c r="D3" s="1202"/>
      <c r="E3" s="1203"/>
      <c r="F3" s="1203"/>
      <c r="G3" s="1203"/>
      <c r="H3" s="1203"/>
      <c r="I3" s="1203"/>
      <c r="J3" s="1203"/>
      <c r="K3" s="1203"/>
      <c r="L3" s="1203"/>
      <c r="M3" s="1203"/>
      <c r="N3" s="1203"/>
      <c r="O3" s="1203"/>
      <c r="P3" s="1203"/>
      <c r="Q3" s="1203"/>
      <c r="R3" s="1203"/>
      <c r="S3" s="1203"/>
      <c r="T3" s="1203"/>
      <c r="U3" s="1203"/>
      <c r="V3" s="1203"/>
      <c r="W3" s="1203"/>
      <c r="X3" s="1203"/>
      <c r="Y3" s="1203"/>
      <c r="Z3" s="1203"/>
      <c r="AA3" s="1203"/>
      <c r="AB3" s="1198"/>
      <c r="AC3" s="1247" t="s">
        <v>2</v>
      </c>
      <c r="AD3" s="1201"/>
    </row>
    <row r="4" spans="1:30" ht="15.75" customHeight="1" x14ac:dyDescent="0.2">
      <c r="A4" s="1204"/>
      <c r="B4" s="1205"/>
      <c r="C4" s="1206"/>
      <c r="D4" s="1204"/>
      <c r="E4" s="1205"/>
      <c r="F4" s="1205"/>
      <c r="G4" s="1205"/>
      <c r="H4" s="1205"/>
      <c r="I4" s="1205"/>
      <c r="J4" s="1205"/>
      <c r="K4" s="1205"/>
      <c r="L4" s="1205"/>
      <c r="M4" s="1205"/>
      <c r="N4" s="1205"/>
      <c r="O4" s="1205"/>
      <c r="P4" s="1205"/>
      <c r="Q4" s="1205"/>
      <c r="R4" s="1205"/>
      <c r="S4" s="1205"/>
      <c r="T4" s="1205"/>
      <c r="U4" s="1205"/>
      <c r="V4" s="1205"/>
      <c r="W4" s="1205"/>
      <c r="X4" s="1205"/>
      <c r="Y4" s="1205"/>
      <c r="Z4" s="1205"/>
      <c r="AA4" s="1205"/>
      <c r="AB4" s="1206"/>
      <c r="AC4" s="1204"/>
      <c r="AD4" s="1206"/>
    </row>
    <row r="5" spans="1:30" ht="15.75" customHeight="1" x14ac:dyDescent="0.2">
      <c r="A5" s="1217" t="s">
        <v>36</v>
      </c>
      <c r="B5" s="1218"/>
      <c r="C5" s="1196"/>
      <c r="D5" s="1248" t="e">
        <f t="array" ref="D5">+#REF!</f>
        <v>#REF!</v>
      </c>
      <c r="E5" s="1218"/>
      <c r="F5" s="1218"/>
      <c r="G5" s="1218"/>
      <c r="H5" s="1218"/>
      <c r="I5" s="1218"/>
      <c r="J5" s="1218"/>
      <c r="K5" s="1218"/>
      <c r="L5" s="1218"/>
      <c r="M5" s="1218"/>
      <c r="N5" s="1218"/>
      <c r="O5" s="1218"/>
      <c r="P5" s="1218"/>
      <c r="Q5" s="1218"/>
      <c r="R5" s="1218"/>
      <c r="S5" s="1218"/>
      <c r="T5" s="1218"/>
      <c r="U5" s="1218"/>
      <c r="V5" s="1218"/>
      <c r="W5" s="1218"/>
      <c r="X5" s="1218"/>
      <c r="Y5" s="1218"/>
      <c r="Z5" s="1218"/>
      <c r="AA5" s="1218"/>
      <c r="AB5" s="1218"/>
      <c r="AC5" s="1218"/>
      <c r="AD5" s="1218"/>
    </row>
    <row r="6" spans="1:30" ht="15.75" customHeight="1" thickBot="1" x14ac:dyDescent="0.25">
      <c r="A6" s="1217" t="s">
        <v>37</v>
      </c>
      <c r="B6" s="1218"/>
      <c r="C6" s="1196"/>
      <c r="D6" s="1248" t="e">
        <f t="array" ref="D6">+#REF!</f>
        <v>#REF!</v>
      </c>
      <c r="E6" s="1218"/>
      <c r="F6" s="1218"/>
      <c r="G6" s="1218"/>
      <c r="H6" s="1218"/>
      <c r="I6" s="1218"/>
      <c r="J6" s="1218"/>
      <c r="K6" s="1218"/>
      <c r="L6" s="1218"/>
      <c r="M6" s="1218"/>
      <c r="N6" s="1218"/>
      <c r="O6" s="1218"/>
      <c r="P6" s="1218"/>
      <c r="Q6" s="1218"/>
      <c r="R6" s="1218"/>
      <c r="S6" s="1218"/>
      <c r="T6" s="1218"/>
      <c r="U6" s="1218"/>
      <c r="V6" s="1218"/>
      <c r="W6" s="1218"/>
      <c r="X6" s="1218"/>
      <c r="Y6" s="1218"/>
      <c r="Z6" s="1218"/>
      <c r="AA6" s="1218"/>
      <c r="AB6" s="1218"/>
      <c r="AC6" s="1218"/>
      <c r="AD6" s="1218"/>
    </row>
    <row r="7" spans="1:30" ht="15" customHeight="1" x14ac:dyDescent="0.2">
      <c r="A7" s="1249" t="s">
        <v>129</v>
      </c>
      <c r="B7" s="1250"/>
      <c r="C7" s="1250"/>
      <c r="D7" s="1250"/>
      <c r="E7" s="1250"/>
      <c r="F7" s="1250"/>
      <c r="G7" s="1250"/>
      <c r="H7" s="1250"/>
      <c r="I7" s="1250"/>
      <c r="J7" s="1250"/>
      <c r="K7" s="1250"/>
      <c r="L7" s="1213"/>
      <c r="M7" s="1251" t="s">
        <v>75</v>
      </c>
      <c r="N7" s="1250"/>
      <c r="O7" s="1250"/>
      <c r="P7" s="1250"/>
      <c r="Q7" s="1250"/>
      <c r="R7" s="1250"/>
      <c r="S7" s="1250"/>
      <c r="T7" s="1250"/>
      <c r="U7" s="1250"/>
      <c r="V7" s="1250"/>
      <c r="W7" s="1250"/>
      <c r="X7" s="1250"/>
      <c r="Y7" s="1213"/>
      <c r="Z7" s="1252" t="s">
        <v>130</v>
      </c>
      <c r="AA7" s="1250"/>
      <c r="AB7" s="1213"/>
      <c r="AC7" s="1253" t="s">
        <v>131</v>
      </c>
      <c r="AD7" s="1254"/>
    </row>
    <row r="8" spans="1:30" ht="47.25" customHeight="1" x14ac:dyDescent="0.2">
      <c r="A8" s="269" t="s">
        <v>44</v>
      </c>
      <c r="B8" s="270" t="s">
        <v>64</v>
      </c>
      <c r="C8" s="270" t="s">
        <v>132</v>
      </c>
      <c r="D8" s="270" t="s">
        <v>73</v>
      </c>
      <c r="E8" s="270" t="s">
        <v>133</v>
      </c>
      <c r="F8" s="270" t="s">
        <v>134</v>
      </c>
      <c r="G8" s="270" t="s">
        <v>135</v>
      </c>
      <c r="H8" s="270" t="s">
        <v>136</v>
      </c>
      <c r="I8" s="270" t="s">
        <v>137</v>
      </c>
      <c r="J8" s="270" t="s">
        <v>138</v>
      </c>
      <c r="K8" s="270" t="s">
        <v>139</v>
      </c>
      <c r="L8" s="270" t="s">
        <v>140</v>
      </c>
      <c r="M8" s="270" t="s">
        <v>134</v>
      </c>
      <c r="N8" s="270" t="s">
        <v>135</v>
      </c>
      <c r="O8" s="270" t="s">
        <v>141</v>
      </c>
      <c r="P8" s="270" t="s">
        <v>137</v>
      </c>
      <c r="Q8" s="270" t="s">
        <v>138</v>
      </c>
      <c r="R8" s="270" t="s">
        <v>139</v>
      </c>
      <c r="S8" s="270" t="s">
        <v>140</v>
      </c>
      <c r="T8" s="272" t="s">
        <v>121</v>
      </c>
      <c r="U8" s="270" t="s">
        <v>142</v>
      </c>
      <c r="V8" s="270" t="s">
        <v>143</v>
      </c>
      <c r="W8" s="270" t="s">
        <v>142</v>
      </c>
      <c r="X8" s="270" t="s">
        <v>143</v>
      </c>
      <c r="Y8" s="270" t="s">
        <v>144</v>
      </c>
      <c r="Z8" s="270" t="s">
        <v>145</v>
      </c>
      <c r="AA8" s="270" t="s">
        <v>146</v>
      </c>
      <c r="AB8" s="270" t="s">
        <v>76</v>
      </c>
      <c r="AC8" s="270" t="s">
        <v>147</v>
      </c>
      <c r="AD8" s="273" t="s">
        <v>148</v>
      </c>
    </row>
    <row r="9" spans="1:30" ht="129" customHeight="1" x14ac:dyDescent="0.2">
      <c r="A9" s="1255" t="e">
        <f>#REF!</f>
        <v>#REF!</v>
      </c>
      <c r="B9" s="1258" t="e">
        <f>#REF!</f>
        <v>#REF!</v>
      </c>
      <c r="C9" s="1385" t="e">
        <f>#REF!</f>
        <v>#REF!</v>
      </c>
      <c r="D9" s="274" t="str">
        <f>'[7]Analisis Riesgo'!K7</f>
        <v>Ampliación del horizonte del Plan Nacional de Desarrollo Minero superior al periodo de gobierno.</v>
      </c>
      <c r="E9" s="275" t="str">
        <f>'[7]Analisis Riesgo'!L7</f>
        <v>Este control mitiga los cambios de política, directrices o lineamientos, permitiendo el trabajo de la planeación en el largo plazo para el levantamiento y consecución de información necesaria, el responsable de aplicación es el Subdirector y de verificarlo el Director General, esta acción se encuentra documentado en procedimiento.</v>
      </c>
      <c r="F9" s="276" t="s">
        <v>296</v>
      </c>
      <c r="G9" s="276" t="s">
        <v>299</v>
      </c>
      <c r="H9" s="276" t="s">
        <v>300</v>
      </c>
      <c r="I9" s="276" t="s">
        <v>301</v>
      </c>
      <c r="J9" s="276" t="s">
        <v>302</v>
      </c>
      <c r="K9" s="277" t="s">
        <v>303</v>
      </c>
      <c r="L9" s="276" t="s">
        <v>304</v>
      </c>
      <c r="M9" s="278">
        <f t="shared" ref="M9:M31" si="0">IF(F9="Asignado", 15,0)</f>
        <v>15</v>
      </c>
      <c r="N9" s="278">
        <f t="shared" ref="N9:N31" si="1">IF(G9="Adecuado",15,0)</f>
        <v>15</v>
      </c>
      <c r="O9" s="278">
        <f t="shared" ref="O9:O31" si="2">IF(H9="Oportuna",15,0)</f>
        <v>15</v>
      </c>
      <c r="P9" s="278">
        <f t="shared" ref="P9:P31" si="3">IF(I9="Prevenir",15,IF(I9="Detectar",10,0))</f>
        <v>15</v>
      </c>
      <c r="Q9" s="278">
        <f t="shared" ref="Q9:Q31" si="4">IF(J9="Confiable", 15,0)</f>
        <v>15</v>
      </c>
      <c r="R9" s="278">
        <f t="shared" ref="R9:R31" si="5">IF(K9="Se investigan y resuelven oportunamente",15,0)</f>
        <v>15</v>
      </c>
      <c r="S9" s="278">
        <f t="shared" ref="S9:S31" si="6">IF(L9="Completa",10,IF(L9="Incompleta",5,0))</f>
        <v>10</v>
      </c>
      <c r="T9" s="278">
        <f t="shared" ref="T9:T31" si="7">SUM(M9:S9)</f>
        <v>100</v>
      </c>
      <c r="U9" s="276" t="s">
        <v>122</v>
      </c>
      <c r="V9" s="276" t="s">
        <v>263</v>
      </c>
      <c r="W9" s="278">
        <f t="shared" ref="W9:W31" si="8">IF(U9="SI",1,0)*T9/100</f>
        <v>1</v>
      </c>
      <c r="X9" s="278">
        <f t="shared" ref="X9:X31" si="9">IF(V9="SI",1,0)*T9/100</f>
        <v>0</v>
      </c>
      <c r="Y9" s="278" t="str">
        <f t="shared" ref="Y9:Y31" si="10">IF(W9&gt;=0.96,"Fuerte",IF(W9&gt;=0.86,"Moderado","Debil"))</f>
        <v>Fuerte</v>
      </c>
      <c r="Z9" s="276" t="s">
        <v>305</v>
      </c>
      <c r="AA9" s="278" t="str">
        <f t="shared" ref="AA9:AA31" si="11">IF(Z9="Siempre se ejecuta","Fuerte",IF(Z9="Algunas veces se ejecuta","Moderado","Debil"))</f>
        <v>Fuerte</v>
      </c>
      <c r="AB9" s="278" t="str">
        <f t="shared" ref="AB9:AB31" si="12">IF(Y9="Fuerte",IF(AA9="Fuerte","No","SI"),"SI")</f>
        <v>No</v>
      </c>
      <c r="AC9" s="279"/>
      <c r="AD9" s="280"/>
    </row>
    <row r="10" spans="1:30" ht="116.25" customHeight="1" x14ac:dyDescent="0.2">
      <c r="A10" s="1256"/>
      <c r="B10" s="1259"/>
      <c r="C10" s="1484"/>
      <c r="D10" s="274" t="str">
        <f>'[7]Analisis Riesgo'!K8</f>
        <v>Definición de periodos de elaboración y revisión de los planes.</v>
      </c>
      <c r="E10" s="275" t="str">
        <f>'[7]Analisis Riesgo'!L8</f>
        <v xml:space="preserve">Este control mitiga los cambios de política, directrices o lineamientos, permitiendo el trabajo de la planeación en el largo plazo para el levantamiento y consecución de información necesaria, el responsable de aplicación es el Subdirector y se encuentra documentado en un procedimiento denominado planes y estudios subsectoriales. </v>
      </c>
      <c r="F10" s="276" t="s">
        <v>296</v>
      </c>
      <c r="G10" s="276" t="s">
        <v>299</v>
      </c>
      <c r="H10" s="276" t="s">
        <v>300</v>
      </c>
      <c r="I10" s="276" t="s">
        <v>301</v>
      </c>
      <c r="J10" s="276" t="s">
        <v>302</v>
      </c>
      <c r="K10" s="277" t="s">
        <v>303</v>
      </c>
      <c r="L10" s="276" t="s">
        <v>304</v>
      </c>
      <c r="M10" s="278">
        <f t="shared" si="0"/>
        <v>15</v>
      </c>
      <c r="N10" s="278">
        <f t="shared" si="1"/>
        <v>15</v>
      </c>
      <c r="O10" s="278">
        <f t="shared" si="2"/>
        <v>15</v>
      </c>
      <c r="P10" s="278">
        <f t="shared" si="3"/>
        <v>15</v>
      </c>
      <c r="Q10" s="278">
        <f t="shared" si="4"/>
        <v>15</v>
      </c>
      <c r="R10" s="278">
        <f t="shared" si="5"/>
        <v>15</v>
      </c>
      <c r="S10" s="278">
        <f t="shared" si="6"/>
        <v>10</v>
      </c>
      <c r="T10" s="278">
        <f t="shared" si="7"/>
        <v>100</v>
      </c>
      <c r="U10" s="276" t="s">
        <v>122</v>
      </c>
      <c r="V10" s="276" t="s">
        <v>263</v>
      </c>
      <c r="W10" s="278">
        <f t="shared" si="8"/>
        <v>1</v>
      </c>
      <c r="X10" s="278">
        <f t="shared" si="9"/>
        <v>0</v>
      </c>
      <c r="Y10" s="278" t="str">
        <f t="shared" si="10"/>
        <v>Fuerte</v>
      </c>
      <c r="Z10" s="276" t="s">
        <v>305</v>
      </c>
      <c r="AA10" s="278" t="str">
        <f t="shared" si="11"/>
        <v>Fuerte</v>
      </c>
      <c r="AB10" s="278" t="str">
        <f t="shared" si="12"/>
        <v>No</v>
      </c>
      <c r="AC10" s="279"/>
      <c r="AD10" s="280"/>
    </row>
    <row r="11" spans="1:30" ht="116.25" customHeight="1" x14ac:dyDescent="0.2">
      <c r="A11" s="1256"/>
      <c r="B11" s="1259"/>
      <c r="C11" s="1484"/>
      <c r="D11" s="274" t="str">
        <f>'[7]Analisis Riesgo'!K9</f>
        <v>Estructuración y seguimiento al plan de acción de la Subdirección de Minería.</v>
      </c>
      <c r="E11" s="275" t="str">
        <f>'[7]Analisis Riesgo'!L9</f>
        <v>Este control permite formula acciones en el corto plazo para periodos anuales y está articulada a la planeación estratégica. Este instrumento tiene un seguimiento trimestral en el cual los profesionales reportan sus avances de gestión y estos son controlados y verificados por el Subdirector del proceso, permite corregir desviaciones y detectar retrasos en la gestión.</v>
      </c>
      <c r="F11" s="276" t="s">
        <v>296</v>
      </c>
      <c r="G11" s="276" t="s">
        <v>299</v>
      </c>
      <c r="H11" s="276" t="s">
        <v>300</v>
      </c>
      <c r="I11" s="276" t="s">
        <v>301</v>
      </c>
      <c r="J11" s="276" t="s">
        <v>302</v>
      </c>
      <c r="K11" s="277" t="s">
        <v>303</v>
      </c>
      <c r="L11" s="276" t="s">
        <v>304</v>
      </c>
      <c r="M11" s="278">
        <f t="shared" si="0"/>
        <v>15</v>
      </c>
      <c r="N11" s="278">
        <f t="shared" si="1"/>
        <v>15</v>
      </c>
      <c r="O11" s="278">
        <f t="shared" si="2"/>
        <v>15</v>
      </c>
      <c r="P11" s="278">
        <f t="shared" si="3"/>
        <v>15</v>
      </c>
      <c r="Q11" s="278">
        <f t="shared" si="4"/>
        <v>15</v>
      </c>
      <c r="R11" s="278">
        <f t="shared" si="5"/>
        <v>15</v>
      </c>
      <c r="S11" s="278">
        <f t="shared" si="6"/>
        <v>10</v>
      </c>
      <c r="T11" s="278">
        <f t="shared" si="7"/>
        <v>100</v>
      </c>
      <c r="U11" s="276" t="s">
        <v>122</v>
      </c>
      <c r="V11" s="276" t="s">
        <v>263</v>
      </c>
      <c r="W11" s="278">
        <f t="shared" si="8"/>
        <v>1</v>
      </c>
      <c r="X11" s="278">
        <f t="shared" si="9"/>
        <v>0</v>
      </c>
      <c r="Y11" s="278" t="str">
        <f t="shared" si="10"/>
        <v>Fuerte</v>
      </c>
      <c r="Z11" s="276" t="s">
        <v>305</v>
      </c>
      <c r="AA11" s="278" t="str">
        <f t="shared" si="11"/>
        <v>Fuerte</v>
      </c>
      <c r="AB11" s="278" t="str">
        <f t="shared" si="12"/>
        <v>No</v>
      </c>
      <c r="AC11" s="279"/>
      <c r="AD11" s="280"/>
    </row>
    <row r="12" spans="1:30" ht="116.25" customHeight="1" x14ac:dyDescent="0.2">
      <c r="A12" s="1256"/>
      <c r="B12" s="1259"/>
      <c r="C12" s="1484"/>
      <c r="D12" s="274" t="str">
        <f>'[7]Analisis Riesgo'!K10</f>
        <v>Realización de comités primarios de la Subdirección de Minería.</v>
      </c>
      <c r="E12" s="275" t="str">
        <f>'[7]Analisis Riesgo'!L10</f>
        <v xml:space="preserve">
Este control permite el seguimiento a las metas de la Subdirección de Minería, verificar el trabajo y determinar los lineamientos y orientaciones para ejecutar las metas planificadas para la subdirección en el corto y mediano plazo. El responsable es el Subdirector y es documentado a través de actas, ayudas de memoria y registros de las reuniones.
</v>
      </c>
      <c r="F12" s="276" t="s">
        <v>296</v>
      </c>
      <c r="G12" s="276" t="s">
        <v>299</v>
      </c>
      <c r="H12" s="276" t="s">
        <v>300</v>
      </c>
      <c r="I12" s="276" t="s">
        <v>301</v>
      </c>
      <c r="J12" s="276" t="s">
        <v>302</v>
      </c>
      <c r="K12" s="277" t="s">
        <v>303</v>
      </c>
      <c r="L12" s="276" t="s">
        <v>304</v>
      </c>
      <c r="M12" s="278">
        <f t="shared" si="0"/>
        <v>15</v>
      </c>
      <c r="N12" s="278">
        <f t="shared" si="1"/>
        <v>15</v>
      </c>
      <c r="O12" s="278">
        <f t="shared" si="2"/>
        <v>15</v>
      </c>
      <c r="P12" s="278">
        <f t="shared" si="3"/>
        <v>15</v>
      </c>
      <c r="Q12" s="278">
        <f t="shared" si="4"/>
        <v>15</v>
      </c>
      <c r="R12" s="278">
        <f t="shared" si="5"/>
        <v>15</v>
      </c>
      <c r="S12" s="278">
        <f t="shared" si="6"/>
        <v>10</v>
      </c>
      <c r="T12" s="278">
        <f t="shared" si="7"/>
        <v>100</v>
      </c>
      <c r="U12" s="276" t="s">
        <v>122</v>
      </c>
      <c r="V12" s="276" t="s">
        <v>263</v>
      </c>
      <c r="W12" s="278">
        <f t="shared" si="8"/>
        <v>1</v>
      </c>
      <c r="X12" s="278">
        <f t="shared" si="9"/>
        <v>0</v>
      </c>
      <c r="Y12" s="278" t="str">
        <f t="shared" si="10"/>
        <v>Fuerte</v>
      </c>
      <c r="Z12" s="276" t="s">
        <v>305</v>
      </c>
      <c r="AA12" s="278" t="str">
        <f t="shared" si="11"/>
        <v>Fuerte</v>
      </c>
      <c r="AB12" s="278" t="str">
        <f t="shared" si="12"/>
        <v>No</v>
      </c>
      <c r="AC12" s="279"/>
      <c r="AD12" s="280"/>
    </row>
    <row r="13" spans="1:30" ht="116.25" customHeight="1" x14ac:dyDescent="0.2">
      <c r="A13" s="1256"/>
      <c r="B13" s="1259"/>
      <c r="C13" s="1484"/>
      <c r="D13" s="274" t="str">
        <f>'[7]Analisis Riesgo'!K11</f>
        <v>Realizar seguimiento a la adquisición de información a través de actualización de suscripción y mejora de gobierno de datos de información.</v>
      </c>
      <c r="E13" s="275" t="str">
        <f>'[7]Analisis Riesgo'!L11</f>
        <v>Este control busca sea gestionada la adquisición y obtención de información, su propósito es garantizar este insumo que permitan realizar una adecuada formulación de Planes y Estudios del Sector Minas. El responsable de este seguimiento es el Subdirector de Minería y de gestionar la adquisición y actualización los profesionales de la Subdirección de Minería.</v>
      </c>
      <c r="F13" s="276" t="s">
        <v>296</v>
      </c>
      <c r="G13" s="276" t="s">
        <v>299</v>
      </c>
      <c r="H13" s="276" t="s">
        <v>300</v>
      </c>
      <c r="I13" s="276" t="s">
        <v>301</v>
      </c>
      <c r="J13" s="276" t="s">
        <v>302</v>
      </c>
      <c r="K13" s="277" t="s">
        <v>303</v>
      </c>
      <c r="L13" s="276" t="s">
        <v>304</v>
      </c>
      <c r="M13" s="278">
        <f t="shared" si="0"/>
        <v>15</v>
      </c>
      <c r="N13" s="278">
        <f t="shared" si="1"/>
        <v>15</v>
      </c>
      <c r="O13" s="278">
        <f t="shared" si="2"/>
        <v>15</v>
      </c>
      <c r="P13" s="278">
        <f t="shared" si="3"/>
        <v>15</v>
      </c>
      <c r="Q13" s="278">
        <f t="shared" si="4"/>
        <v>15</v>
      </c>
      <c r="R13" s="278">
        <f t="shared" si="5"/>
        <v>15</v>
      </c>
      <c r="S13" s="278">
        <f t="shared" si="6"/>
        <v>10</v>
      </c>
      <c r="T13" s="278">
        <f t="shared" si="7"/>
        <v>100</v>
      </c>
      <c r="U13" s="276" t="s">
        <v>122</v>
      </c>
      <c r="V13" s="276" t="s">
        <v>263</v>
      </c>
      <c r="W13" s="278">
        <f t="shared" si="8"/>
        <v>1</v>
      </c>
      <c r="X13" s="278">
        <f t="shared" si="9"/>
        <v>0</v>
      </c>
      <c r="Y13" s="278" t="str">
        <f t="shared" si="10"/>
        <v>Fuerte</v>
      </c>
      <c r="Z13" s="276" t="s">
        <v>305</v>
      </c>
      <c r="AA13" s="278" t="str">
        <f t="shared" si="11"/>
        <v>Fuerte</v>
      </c>
      <c r="AB13" s="278" t="str">
        <f t="shared" si="12"/>
        <v>No</v>
      </c>
      <c r="AC13" s="279"/>
      <c r="AD13" s="280"/>
    </row>
    <row r="14" spans="1:30" ht="134.25" customHeight="1" x14ac:dyDescent="0.2">
      <c r="A14" s="1255" t="e">
        <f>#REF!</f>
        <v>#REF!</v>
      </c>
      <c r="B14" s="1258" t="e">
        <f>#REF!</f>
        <v>#REF!</v>
      </c>
      <c r="C14" s="1385" t="e">
        <f>#REF!</f>
        <v>#REF!</v>
      </c>
      <c r="D14" s="274" t="str">
        <f>'[7]Analisis Riesgo'!K12</f>
        <v>Realizar acciones para promover la construcción participativa de los planes mineros.</v>
      </c>
      <c r="E14" s="275" t="str">
        <f>'[7]Analisis Riesgo'!L12</f>
        <v>Este control es ejecutado a través de talleres y mesas de trabajo cuyo propósito es identificar las necesidades de los agentes del sector. El responsable de ejecutarlo es el profesional designado y se realiza seguimiento por parte del Subdirector frente a la ejecución de la actividad. Se ejecuta cada vez que es requerido y de acuerdo con la programación de actividades de la Subdirección de Minería.</v>
      </c>
      <c r="F14" s="276" t="s">
        <v>296</v>
      </c>
      <c r="G14" s="276" t="s">
        <v>299</v>
      </c>
      <c r="H14" s="276" t="s">
        <v>300</v>
      </c>
      <c r="I14" s="276" t="s">
        <v>301</v>
      </c>
      <c r="J14" s="276" t="s">
        <v>302</v>
      </c>
      <c r="K14" s="277" t="s">
        <v>303</v>
      </c>
      <c r="L14" s="276" t="s">
        <v>304</v>
      </c>
      <c r="M14" s="278">
        <f t="shared" si="0"/>
        <v>15</v>
      </c>
      <c r="N14" s="278">
        <f t="shared" si="1"/>
        <v>15</v>
      </c>
      <c r="O14" s="278">
        <f t="shared" si="2"/>
        <v>15</v>
      </c>
      <c r="P14" s="278">
        <f t="shared" si="3"/>
        <v>15</v>
      </c>
      <c r="Q14" s="278">
        <f t="shared" si="4"/>
        <v>15</v>
      </c>
      <c r="R14" s="278">
        <f t="shared" si="5"/>
        <v>15</v>
      </c>
      <c r="S14" s="278">
        <f t="shared" si="6"/>
        <v>10</v>
      </c>
      <c r="T14" s="278">
        <f t="shared" si="7"/>
        <v>100</v>
      </c>
      <c r="U14" s="276" t="s">
        <v>263</v>
      </c>
      <c r="V14" s="276" t="s">
        <v>122</v>
      </c>
      <c r="W14" s="278">
        <f t="shared" si="8"/>
        <v>0</v>
      </c>
      <c r="X14" s="278">
        <f t="shared" si="9"/>
        <v>1</v>
      </c>
      <c r="Y14" s="278" t="str">
        <f t="shared" si="10"/>
        <v>Debil</v>
      </c>
      <c r="Z14" s="276" t="s">
        <v>305</v>
      </c>
      <c r="AA14" s="278" t="str">
        <f t="shared" si="11"/>
        <v>Fuerte</v>
      </c>
      <c r="AB14" s="278" t="str">
        <f t="shared" si="12"/>
        <v>SI</v>
      </c>
      <c r="AC14" s="279"/>
      <c r="AD14" s="280"/>
    </row>
    <row r="15" spans="1:30" ht="124.5" customHeight="1" x14ac:dyDescent="0.2">
      <c r="A15" s="1256"/>
      <c r="B15" s="1259"/>
      <c r="C15" s="1484"/>
      <c r="D15" s="274" t="str">
        <f>'[7]Analisis Riesgo'!K13</f>
        <v>Efectuar discusión y presentación de resultados parciales del proceso de planeación del sector.</v>
      </c>
      <c r="E15" s="275" t="str">
        <f>'[7]Analisis Riesgo'!L13</f>
        <v>Se ejecuta el control a través de las acciones de socialización y divulgación con los diferentes agentes del sector, con el propósito de que se retroalimente el proceso por los partes interesados y otros. Se ejecuta cada vez que es que se cuenta con resultados parciales del proceso del sector a los cuales se les considere pertinente recibir retroalimentación.</v>
      </c>
      <c r="F15" s="276" t="s">
        <v>296</v>
      </c>
      <c r="G15" s="276" t="s">
        <v>299</v>
      </c>
      <c r="H15" s="276" t="s">
        <v>300</v>
      </c>
      <c r="I15" s="276" t="s">
        <v>301</v>
      </c>
      <c r="J15" s="276" t="s">
        <v>302</v>
      </c>
      <c r="K15" s="277" t="s">
        <v>303</v>
      </c>
      <c r="L15" s="276" t="s">
        <v>304</v>
      </c>
      <c r="M15" s="278">
        <f t="shared" si="0"/>
        <v>15</v>
      </c>
      <c r="N15" s="278">
        <f t="shared" si="1"/>
        <v>15</v>
      </c>
      <c r="O15" s="278">
        <f t="shared" si="2"/>
        <v>15</v>
      </c>
      <c r="P15" s="278">
        <f t="shared" si="3"/>
        <v>15</v>
      </c>
      <c r="Q15" s="278">
        <f t="shared" si="4"/>
        <v>15</v>
      </c>
      <c r="R15" s="278">
        <f t="shared" si="5"/>
        <v>15</v>
      </c>
      <c r="S15" s="278">
        <f t="shared" si="6"/>
        <v>10</v>
      </c>
      <c r="T15" s="278">
        <f t="shared" si="7"/>
        <v>100</v>
      </c>
      <c r="U15" s="276" t="s">
        <v>263</v>
      </c>
      <c r="V15" s="276" t="s">
        <v>122</v>
      </c>
      <c r="W15" s="278">
        <f t="shared" si="8"/>
        <v>0</v>
      </c>
      <c r="X15" s="278">
        <f t="shared" si="9"/>
        <v>1</v>
      </c>
      <c r="Y15" s="278" t="str">
        <f t="shared" si="10"/>
        <v>Debil</v>
      </c>
      <c r="Z15" s="276" t="s">
        <v>305</v>
      </c>
      <c r="AA15" s="278" t="str">
        <f t="shared" si="11"/>
        <v>Fuerte</v>
      </c>
      <c r="AB15" s="278" t="str">
        <f t="shared" si="12"/>
        <v>SI</v>
      </c>
      <c r="AC15" s="279"/>
      <c r="AD15" s="280"/>
    </row>
    <row r="16" spans="1:30" ht="128.25" x14ac:dyDescent="0.2">
      <c r="A16" s="1256"/>
      <c r="B16" s="1259"/>
      <c r="C16" s="1484"/>
      <c r="D16" s="274" t="str">
        <f>'[7]Analisis Riesgo'!K14</f>
        <v>Verificar la articulación de la planeación minera con los lineamientos del Plan Nacional de Desarrollo, del Plan Estratégico Sectorial e Institucional.</v>
      </c>
      <c r="E16" s="275" t="str">
        <f>'[7]Analisis Riesgo'!L14</f>
        <v>Se ha definido como control, que en el proceso de   elaboración y formulación de planes en la Subdirección de Minería, se verifica que los planes y estudios que se realicen estén alineados y articulados con el PND, PES y PEI vigente. Este control se aplica en el proceso iniciar de revisión documental y una vez finalizado el plan es realizado por los Profesionales de la Subdirección de Minería y verificado por el Subdirector de Minería.</v>
      </c>
      <c r="F16" s="276" t="s">
        <v>296</v>
      </c>
      <c r="G16" s="276" t="s">
        <v>299</v>
      </c>
      <c r="H16" s="276" t="s">
        <v>300</v>
      </c>
      <c r="I16" s="276" t="s">
        <v>301</v>
      </c>
      <c r="J16" s="276" t="s">
        <v>302</v>
      </c>
      <c r="K16" s="277" t="s">
        <v>303</v>
      </c>
      <c r="L16" s="276" t="s">
        <v>304</v>
      </c>
      <c r="M16" s="278">
        <f t="shared" si="0"/>
        <v>15</v>
      </c>
      <c r="N16" s="278">
        <f t="shared" si="1"/>
        <v>15</v>
      </c>
      <c r="O16" s="278">
        <f t="shared" si="2"/>
        <v>15</v>
      </c>
      <c r="P16" s="278">
        <f t="shared" si="3"/>
        <v>15</v>
      </c>
      <c r="Q16" s="278">
        <f t="shared" si="4"/>
        <v>15</v>
      </c>
      <c r="R16" s="278">
        <f t="shared" si="5"/>
        <v>15</v>
      </c>
      <c r="S16" s="278">
        <f t="shared" si="6"/>
        <v>10</v>
      </c>
      <c r="T16" s="278">
        <f t="shared" si="7"/>
        <v>100</v>
      </c>
      <c r="U16" s="276" t="s">
        <v>122</v>
      </c>
      <c r="V16" s="276" t="s">
        <v>263</v>
      </c>
      <c r="W16" s="278">
        <f t="shared" si="8"/>
        <v>1</v>
      </c>
      <c r="X16" s="278">
        <f t="shared" si="9"/>
        <v>0</v>
      </c>
      <c r="Y16" s="278" t="str">
        <f t="shared" si="10"/>
        <v>Fuerte</v>
      </c>
      <c r="Z16" s="276" t="s">
        <v>305</v>
      </c>
      <c r="AA16" s="278" t="str">
        <f t="shared" si="11"/>
        <v>Fuerte</v>
      </c>
      <c r="AB16" s="278" t="str">
        <f t="shared" si="12"/>
        <v>No</v>
      </c>
      <c r="AC16" s="279"/>
      <c r="AD16" s="280"/>
    </row>
    <row r="17" spans="1:30" ht="156.75" x14ac:dyDescent="0.2">
      <c r="A17" s="1256"/>
      <c r="B17" s="1259"/>
      <c r="C17" s="1484"/>
      <c r="D17" s="274" t="str">
        <f>'[7]Analisis Riesgo'!K15</f>
        <v>Verificar que el alcance de los estudios a realizarse en cada vigencia frente a las necesidades planificadas por el proceso de Planeación Estratégica e Integral de Minerales..</v>
      </c>
      <c r="E17" s="275" t="str">
        <f>'[7]Analisis Riesgo'!L15</f>
        <v>Se ha definido como  control la acción de verificar la correspondencia y justificación en la elaboración de los estudios vs las necesidades determinadas en los proyectos de inversión,  los objetivos de la Subdirección de Minería y los Institucionales. Para ello cada profesional asignado como responsable elabora documentos técnicos articulando y justificando la necesidad de los estudios con respecto a la planificación estos documentos son verificados por el Subdirector de Minería. El control se ejecuta durante la planfiicación e inicio de los procesos contractuales.</v>
      </c>
      <c r="F17" s="276" t="s">
        <v>296</v>
      </c>
      <c r="G17" s="276" t="s">
        <v>299</v>
      </c>
      <c r="H17" s="276" t="s">
        <v>300</v>
      </c>
      <c r="I17" s="276" t="s">
        <v>301</v>
      </c>
      <c r="J17" s="276" t="s">
        <v>302</v>
      </c>
      <c r="K17" s="277" t="s">
        <v>303</v>
      </c>
      <c r="L17" s="276" t="s">
        <v>304</v>
      </c>
      <c r="M17" s="278">
        <f t="shared" si="0"/>
        <v>15</v>
      </c>
      <c r="N17" s="278">
        <f t="shared" si="1"/>
        <v>15</v>
      </c>
      <c r="O17" s="278">
        <f t="shared" si="2"/>
        <v>15</v>
      </c>
      <c r="P17" s="278">
        <f t="shared" si="3"/>
        <v>15</v>
      </c>
      <c r="Q17" s="278">
        <f t="shared" si="4"/>
        <v>15</v>
      </c>
      <c r="R17" s="278">
        <f t="shared" si="5"/>
        <v>15</v>
      </c>
      <c r="S17" s="278">
        <f t="shared" si="6"/>
        <v>10</v>
      </c>
      <c r="T17" s="278">
        <f t="shared" si="7"/>
        <v>100</v>
      </c>
      <c r="U17" s="276" t="s">
        <v>122</v>
      </c>
      <c r="V17" s="276" t="s">
        <v>263</v>
      </c>
      <c r="W17" s="278">
        <f t="shared" si="8"/>
        <v>1</v>
      </c>
      <c r="X17" s="278">
        <f t="shared" si="9"/>
        <v>0</v>
      </c>
      <c r="Y17" s="278" t="str">
        <f t="shared" si="10"/>
        <v>Fuerte</v>
      </c>
      <c r="Z17" s="276" t="s">
        <v>305</v>
      </c>
      <c r="AA17" s="278" t="str">
        <f t="shared" si="11"/>
        <v>Fuerte</v>
      </c>
      <c r="AB17" s="278" t="str">
        <f t="shared" si="12"/>
        <v>No</v>
      </c>
      <c r="AC17" s="279"/>
      <c r="AD17" s="280"/>
    </row>
    <row r="18" spans="1:30" ht="99.75" x14ac:dyDescent="0.2">
      <c r="A18" s="1257"/>
      <c r="B18" s="1208"/>
      <c r="C18" s="1485"/>
      <c r="D18" s="274" t="str">
        <f>'[7]Analisis Riesgo'!K16</f>
        <v>Realizar seguimiento a la adquisición de información a través de actualización de suscripción y mejora de gobierno de datos de información.</v>
      </c>
      <c r="E18" s="275" t="str">
        <f>'[7]Analisis Riesgo'!L16</f>
        <v>Este control busca sea gestionada la adquisición y obtención de información, su propósito es garantizar este insumo que permitan realizar una adecuada formulación de Planes y Estudios del Sector Minas. El responsable de este seguimiento es el Subdirector de Minería y de gestionar la adquisición y actualización los profesionales de la Subdirección de Minería.</v>
      </c>
      <c r="F18" s="276" t="s">
        <v>296</v>
      </c>
      <c r="G18" s="276" t="s">
        <v>299</v>
      </c>
      <c r="H18" s="276" t="s">
        <v>300</v>
      </c>
      <c r="I18" s="276" t="s">
        <v>301</v>
      </c>
      <c r="J18" s="276" t="s">
        <v>302</v>
      </c>
      <c r="K18" s="277" t="s">
        <v>303</v>
      </c>
      <c r="L18" s="276" t="s">
        <v>304</v>
      </c>
      <c r="M18" s="278">
        <f t="shared" si="0"/>
        <v>15</v>
      </c>
      <c r="N18" s="278">
        <f t="shared" si="1"/>
        <v>15</v>
      </c>
      <c r="O18" s="278">
        <f t="shared" si="2"/>
        <v>15</v>
      </c>
      <c r="P18" s="278">
        <f t="shared" si="3"/>
        <v>15</v>
      </c>
      <c r="Q18" s="278">
        <f t="shared" si="4"/>
        <v>15</v>
      </c>
      <c r="R18" s="278">
        <f t="shared" si="5"/>
        <v>15</v>
      </c>
      <c r="S18" s="278">
        <f t="shared" si="6"/>
        <v>10</v>
      </c>
      <c r="T18" s="278">
        <f t="shared" si="7"/>
        <v>100</v>
      </c>
      <c r="U18" s="276" t="s">
        <v>122</v>
      </c>
      <c r="V18" s="276" t="s">
        <v>263</v>
      </c>
      <c r="W18" s="278">
        <f t="shared" si="8"/>
        <v>1</v>
      </c>
      <c r="X18" s="278">
        <f t="shared" si="9"/>
        <v>0</v>
      </c>
      <c r="Y18" s="278" t="str">
        <f t="shared" si="10"/>
        <v>Fuerte</v>
      </c>
      <c r="Z18" s="276" t="s">
        <v>305</v>
      </c>
      <c r="AA18" s="278" t="str">
        <f t="shared" si="11"/>
        <v>Fuerte</v>
      </c>
      <c r="AB18" s="278" t="str">
        <f t="shared" si="12"/>
        <v>No</v>
      </c>
      <c r="AC18" s="279"/>
      <c r="AD18" s="280"/>
    </row>
    <row r="19" spans="1:30" ht="142.5" x14ac:dyDescent="0.2">
      <c r="A19" s="1255" t="e">
        <f>#REF!</f>
        <v>#REF!</v>
      </c>
      <c r="B19" s="1385" t="e">
        <f>#REF!</f>
        <v>#REF!</v>
      </c>
      <c r="C19" s="1385" t="e">
        <f>#REF!</f>
        <v>#REF!</v>
      </c>
      <c r="D19" s="274" t="str">
        <f>'[7]Analisis Riesgo'!K17</f>
        <v>Realizar la aplicación de los instructivos determinados por la Subdirección de Minería para indicar los pasos a desarrollarse para fijar los precios base para la liquidación de regalías de los distintos minerales.</v>
      </c>
      <c r="E19" s="275" t="str">
        <f>'[7]Analisis Riesgo'!L17</f>
        <v>Este control tiene como propósito que se apliquen los pasos definidos para fijar los precios base para la liquidación de regalías de los distintos minerales. Cada profesional responsable aplica los pasos determinados en los instructivos y lleva registro de sus evidencias. En este instrumento están definidas actividades de elaboración, revisión y aprobación del concepto técnico de fijación de precios base para la liquidación de regalía y la frecuencia de ejecución de las actividades.</v>
      </c>
      <c r="F19" s="276" t="s">
        <v>296</v>
      </c>
      <c r="G19" s="276" t="s">
        <v>299</v>
      </c>
      <c r="H19" s="276" t="s">
        <v>300</v>
      </c>
      <c r="I19" s="276" t="s">
        <v>301</v>
      </c>
      <c r="J19" s="276" t="s">
        <v>302</v>
      </c>
      <c r="K19" s="277" t="s">
        <v>303</v>
      </c>
      <c r="L19" s="276" t="s">
        <v>304</v>
      </c>
      <c r="M19" s="278">
        <f t="shared" si="0"/>
        <v>15</v>
      </c>
      <c r="N19" s="278">
        <f t="shared" si="1"/>
        <v>15</v>
      </c>
      <c r="O19" s="278">
        <f t="shared" si="2"/>
        <v>15</v>
      </c>
      <c r="P19" s="278">
        <f t="shared" si="3"/>
        <v>15</v>
      </c>
      <c r="Q19" s="278">
        <f t="shared" si="4"/>
        <v>15</v>
      </c>
      <c r="R19" s="278">
        <f t="shared" si="5"/>
        <v>15</v>
      </c>
      <c r="S19" s="278">
        <f t="shared" si="6"/>
        <v>10</v>
      </c>
      <c r="T19" s="278">
        <f t="shared" si="7"/>
        <v>100</v>
      </c>
      <c r="U19" s="276" t="s">
        <v>263</v>
      </c>
      <c r="V19" s="276" t="s">
        <v>122</v>
      </c>
      <c r="W19" s="278">
        <f t="shared" si="8"/>
        <v>0</v>
      </c>
      <c r="X19" s="278">
        <f t="shared" si="9"/>
        <v>1</v>
      </c>
      <c r="Y19" s="278" t="str">
        <f t="shared" si="10"/>
        <v>Debil</v>
      </c>
      <c r="Z19" s="276" t="s">
        <v>305</v>
      </c>
      <c r="AA19" s="278" t="str">
        <f t="shared" si="11"/>
        <v>Fuerte</v>
      </c>
      <c r="AB19" s="278" t="str">
        <f t="shared" si="12"/>
        <v>SI</v>
      </c>
      <c r="AC19" s="281"/>
      <c r="AD19" s="280"/>
    </row>
    <row r="20" spans="1:30" ht="99.75" x14ac:dyDescent="0.2">
      <c r="A20" s="1256"/>
      <c r="B20" s="1484"/>
      <c r="C20" s="1484"/>
      <c r="D20" s="274" t="str">
        <f>'[7]Analisis Riesgo'!K18</f>
        <v>Efectuar solicitud oportuna de la información a los agentes del sector minero.</v>
      </c>
      <c r="E20" s="275" t="str">
        <f>'[7]Analisis Riesgo'!L18</f>
        <v xml:space="preserve">Este control se ha definido para solicitar de manera oportuna y planificada a los agentes del sector minero la información que es insumo para efectuar la fijación de precios base para la liquidación de regalías. El profesional asignado es el responsable de elaborar la solicitud, la cual es verificada por el Subdirector de Minería y aprobada por el Director General. </v>
      </c>
      <c r="F20" s="276" t="s">
        <v>296</v>
      </c>
      <c r="G20" s="276" t="s">
        <v>299</v>
      </c>
      <c r="H20" s="276" t="s">
        <v>300</v>
      </c>
      <c r="I20" s="276" t="s">
        <v>301</v>
      </c>
      <c r="J20" s="276" t="s">
        <v>302</v>
      </c>
      <c r="K20" s="277" t="s">
        <v>303</v>
      </c>
      <c r="L20" s="276" t="s">
        <v>304</v>
      </c>
      <c r="M20" s="278">
        <f t="shared" si="0"/>
        <v>15</v>
      </c>
      <c r="N20" s="278">
        <f t="shared" si="1"/>
        <v>15</v>
      </c>
      <c r="O20" s="278">
        <f t="shared" si="2"/>
        <v>15</v>
      </c>
      <c r="P20" s="278">
        <f t="shared" si="3"/>
        <v>15</v>
      </c>
      <c r="Q20" s="278">
        <f t="shared" si="4"/>
        <v>15</v>
      </c>
      <c r="R20" s="278">
        <f t="shared" si="5"/>
        <v>15</v>
      </c>
      <c r="S20" s="278">
        <f t="shared" si="6"/>
        <v>10</v>
      </c>
      <c r="T20" s="278">
        <f t="shared" si="7"/>
        <v>100</v>
      </c>
      <c r="U20" s="276" t="s">
        <v>122</v>
      </c>
      <c r="V20" s="276" t="s">
        <v>263</v>
      </c>
      <c r="W20" s="278">
        <f t="shared" si="8"/>
        <v>1</v>
      </c>
      <c r="X20" s="278">
        <f t="shared" si="9"/>
        <v>0</v>
      </c>
      <c r="Y20" s="278" t="str">
        <f t="shared" si="10"/>
        <v>Fuerte</v>
      </c>
      <c r="Z20" s="276" t="s">
        <v>305</v>
      </c>
      <c r="AA20" s="278" t="str">
        <f t="shared" si="11"/>
        <v>Fuerte</v>
      </c>
      <c r="AB20" s="278" t="str">
        <f t="shared" si="12"/>
        <v>No</v>
      </c>
      <c r="AC20" s="282"/>
      <c r="AD20" s="280"/>
    </row>
    <row r="21" spans="1:30" ht="102" customHeight="1" x14ac:dyDescent="0.2">
      <c r="A21" s="1256"/>
      <c r="B21" s="1484"/>
      <c r="C21" s="1484"/>
      <c r="D21" s="274" t="str">
        <f>'[7]Analisis Riesgo'!K19</f>
        <v>Efectuar solicitud oportuna de información a la Agencia Nacional de Minería.</v>
      </c>
      <c r="E21" s="275" t="str">
        <f>'[7]Analisis Riesgo'!L19</f>
        <v xml:space="preserve">Este control se ha definido para solicitar de manera oportuna y planificada a la Agencia Nacional de Minería la información que es insumo para efectuar la fijación de precios base para la liquidación de regalías. El profesional asignado es el responsable de elaborar la solicitud, la cual es verificada por el Subdirector de Minería y aprobada por el Director General. </v>
      </c>
      <c r="F21" s="276" t="s">
        <v>296</v>
      </c>
      <c r="G21" s="276" t="s">
        <v>299</v>
      </c>
      <c r="H21" s="276" t="s">
        <v>300</v>
      </c>
      <c r="I21" s="276" t="s">
        <v>301</v>
      </c>
      <c r="J21" s="276" t="s">
        <v>302</v>
      </c>
      <c r="K21" s="277" t="s">
        <v>303</v>
      </c>
      <c r="L21" s="276" t="s">
        <v>304</v>
      </c>
      <c r="M21" s="278">
        <f t="shared" si="0"/>
        <v>15</v>
      </c>
      <c r="N21" s="278">
        <f t="shared" si="1"/>
        <v>15</v>
      </c>
      <c r="O21" s="278">
        <f t="shared" si="2"/>
        <v>15</v>
      </c>
      <c r="P21" s="278">
        <f t="shared" si="3"/>
        <v>15</v>
      </c>
      <c r="Q21" s="278">
        <f t="shared" si="4"/>
        <v>15</v>
      </c>
      <c r="R21" s="278">
        <f t="shared" si="5"/>
        <v>15</v>
      </c>
      <c r="S21" s="278">
        <f t="shared" si="6"/>
        <v>10</v>
      </c>
      <c r="T21" s="278">
        <f t="shared" si="7"/>
        <v>100</v>
      </c>
      <c r="U21" s="276" t="s">
        <v>122</v>
      </c>
      <c r="V21" s="276" t="s">
        <v>263</v>
      </c>
      <c r="W21" s="278">
        <f t="shared" si="8"/>
        <v>1</v>
      </c>
      <c r="X21" s="278">
        <f t="shared" si="9"/>
        <v>0</v>
      </c>
      <c r="Y21" s="278" t="str">
        <f t="shared" si="10"/>
        <v>Fuerte</v>
      </c>
      <c r="Z21" s="276" t="s">
        <v>305</v>
      </c>
      <c r="AA21" s="278" t="str">
        <f t="shared" si="11"/>
        <v>Fuerte</v>
      </c>
      <c r="AB21" s="278" t="str">
        <f t="shared" si="12"/>
        <v>No</v>
      </c>
      <c r="AC21" s="282"/>
      <c r="AD21" s="280"/>
    </row>
    <row r="22" spans="1:30" ht="207.75" customHeight="1" x14ac:dyDescent="0.2">
      <c r="A22" s="1256"/>
      <c r="B22" s="1484"/>
      <c r="C22" s="1484"/>
      <c r="D22" s="274" t="str">
        <f>'[7]Analisis Riesgo'!K20</f>
        <v>Realizar seguimiento a la programación de actividades para la fijación de precios base para la liquidación de regalías.</v>
      </c>
      <c r="E22" s="275" t="str">
        <f>'[7]Analisis Riesgo'!L20</f>
        <v xml:space="preserve">Se ha definido como instrumento de control un calendario en el que se han programado los hitos de cumplimiento de hitos en el proceso de fijación de precios base de regalías. Este control tiene como propósito alertar la oportunidad de la ejecución de las actividades a los responsables del proceso. Es un control automatizado a través de las herramientas colaborativas y es utilizado de acuerdo a la programación efectuada para la emisión de los conceptos técnicos y resoluciones de los distintos minerales. Esta herramienta permite al Profesional responsable y al Subdirector de Minería efectuar seguimiento al cumplimiento en los tiempos de los hitos clave del proceso. </v>
      </c>
      <c r="F22" s="276" t="s">
        <v>296</v>
      </c>
      <c r="G22" s="276" t="s">
        <v>299</v>
      </c>
      <c r="H22" s="276" t="s">
        <v>300</v>
      </c>
      <c r="I22" s="276" t="s">
        <v>301</v>
      </c>
      <c r="J22" s="276" t="s">
        <v>302</v>
      </c>
      <c r="K22" s="277" t="s">
        <v>303</v>
      </c>
      <c r="L22" s="276" t="s">
        <v>304</v>
      </c>
      <c r="M22" s="278">
        <f t="shared" si="0"/>
        <v>15</v>
      </c>
      <c r="N22" s="278">
        <f t="shared" si="1"/>
        <v>15</v>
      </c>
      <c r="O22" s="278">
        <f t="shared" si="2"/>
        <v>15</v>
      </c>
      <c r="P22" s="278">
        <f t="shared" si="3"/>
        <v>15</v>
      </c>
      <c r="Q22" s="278">
        <f t="shared" si="4"/>
        <v>15</v>
      </c>
      <c r="R22" s="278">
        <f t="shared" si="5"/>
        <v>15</v>
      </c>
      <c r="S22" s="278">
        <f t="shared" si="6"/>
        <v>10</v>
      </c>
      <c r="T22" s="278">
        <f t="shared" si="7"/>
        <v>100</v>
      </c>
      <c r="U22" s="276" t="s">
        <v>122</v>
      </c>
      <c r="V22" s="276" t="s">
        <v>263</v>
      </c>
      <c r="W22" s="278">
        <f t="shared" si="8"/>
        <v>1</v>
      </c>
      <c r="X22" s="278">
        <f t="shared" si="9"/>
        <v>0</v>
      </c>
      <c r="Y22" s="278" t="str">
        <f t="shared" si="10"/>
        <v>Fuerte</v>
      </c>
      <c r="Z22" s="276" t="s">
        <v>305</v>
      </c>
      <c r="AA22" s="278" t="str">
        <f t="shared" si="11"/>
        <v>Fuerte</v>
      </c>
      <c r="AB22" s="278" t="str">
        <f t="shared" si="12"/>
        <v>No</v>
      </c>
      <c r="AC22" s="282"/>
      <c r="AD22" s="280"/>
    </row>
    <row r="23" spans="1:30" ht="113.25" customHeight="1" x14ac:dyDescent="0.2">
      <c r="A23" s="1255" t="e">
        <f>#REF!</f>
        <v>#REF!</v>
      </c>
      <c r="B23" s="1258" t="e">
        <f>#REF!</f>
        <v>#REF!</v>
      </c>
      <c r="C23" s="1385" t="e">
        <f>#REF!</f>
        <v>#REF!</v>
      </c>
      <c r="D23" s="274" t="str">
        <f>'[7]Analisis Riesgo'!K21</f>
        <v>Aplicar niveles de autorización y verificación del concepto técnico.</v>
      </c>
      <c r="E23" s="275" t="str">
        <f>'[7]Analisis Riesgo'!L21</f>
        <v>Existe un control mediante el cual se verifica que la información haya sido adecuadamente procesada y el concepto técnico bien elaborado por el profesional asignado. Esta verificación es realizada por el Subdirector Técnico o por un par delegado en la Subdirección de Minería. Se aplica cada vez que se emite un concepto técnico.</v>
      </c>
      <c r="F23" s="276" t="s">
        <v>296</v>
      </c>
      <c r="G23" s="276" t="s">
        <v>299</v>
      </c>
      <c r="H23" s="276" t="s">
        <v>300</v>
      </c>
      <c r="I23" s="276" t="s">
        <v>301</v>
      </c>
      <c r="J23" s="276" t="s">
        <v>302</v>
      </c>
      <c r="K23" s="277" t="s">
        <v>303</v>
      </c>
      <c r="L23" s="276" t="s">
        <v>304</v>
      </c>
      <c r="M23" s="278">
        <f t="shared" si="0"/>
        <v>15</v>
      </c>
      <c r="N23" s="278">
        <f t="shared" si="1"/>
        <v>15</v>
      </c>
      <c r="O23" s="278">
        <f t="shared" si="2"/>
        <v>15</v>
      </c>
      <c r="P23" s="278">
        <f t="shared" si="3"/>
        <v>15</v>
      </c>
      <c r="Q23" s="278">
        <f t="shared" si="4"/>
        <v>15</v>
      </c>
      <c r="R23" s="278">
        <f t="shared" si="5"/>
        <v>15</v>
      </c>
      <c r="S23" s="278">
        <f t="shared" si="6"/>
        <v>10</v>
      </c>
      <c r="T23" s="278">
        <f t="shared" si="7"/>
        <v>100</v>
      </c>
      <c r="U23" s="276" t="s">
        <v>122</v>
      </c>
      <c r="V23" s="276" t="s">
        <v>263</v>
      </c>
      <c r="W23" s="278">
        <f t="shared" si="8"/>
        <v>1</v>
      </c>
      <c r="X23" s="278">
        <f t="shared" si="9"/>
        <v>0</v>
      </c>
      <c r="Y23" s="278" t="str">
        <f t="shared" si="10"/>
        <v>Fuerte</v>
      </c>
      <c r="Z23" s="276" t="s">
        <v>305</v>
      </c>
      <c r="AA23" s="278" t="str">
        <f t="shared" si="11"/>
        <v>Fuerte</v>
      </c>
      <c r="AB23" s="278" t="str">
        <f t="shared" si="12"/>
        <v>No</v>
      </c>
      <c r="AC23" s="279"/>
      <c r="AD23" s="280"/>
    </row>
    <row r="24" spans="1:30" ht="113.25" customHeight="1" x14ac:dyDescent="0.2">
      <c r="A24" s="1256"/>
      <c r="B24" s="1259"/>
      <c r="C24" s="1484"/>
      <c r="D24" s="274" t="str">
        <f>'[7]Analisis Riesgo'!K22</f>
        <v>Aplicar niveles de autorización y verificación del acto administrativo.</v>
      </c>
      <c r="E24" s="275" t="str">
        <f>'[7]Analisis Riesgo'!L22</f>
        <v>Existe un control mediante el cual se verifica la adecuada elaboración del proyecto de acto administrativo, el cual es revisado por un Profesional de la dependencia, el Subdirector de Minería y el Asesor Jurídico previo a la aprobación del Director General de la UPME.</v>
      </c>
      <c r="F24" s="276" t="s">
        <v>296</v>
      </c>
      <c r="G24" s="276" t="s">
        <v>299</v>
      </c>
      <c r="H24" s="276" t="s">
        <v>300</v>
      </c>
      <c r="I24" s="276" t="s">
        <v>301</v>
      </c>
      <c r="J24" s="276" t="s">
        <v>302</v>
      </c>
      <c r="K24" s="277" t="s">
        <v>303</v>
      </c>
      <c r="L24" s="276" t="s">
        <v>304</v>
      </c>
      <c r="M24" s="278">
        <f t="shared" si="0"/>
        <v>15</v>
      </c>
      <c r="N24" s="278">
        <f t="shared" si="1"/>
        <v>15</v>
      </c>
      <c r="O24" s="278">
        <f t="shared" si="2"/>
        <v>15</v>
      </c>
      <c r="P24" s="278">
        <f t="shared" si="3"/>
        <v>15</v>
      </c>
      <c r="Q24" s="278">
        <f t="shared" si="4"/>
        <v>15</v>
      </c>
      <c r="R24" s="278">
        <f t="shared" si="5"/>
        <v>15</v>
      </c>
      <c r="S24" s="278">
        <f t="shared" si="6"/>
        <v>10</v>
      </c>
      <c r="T24" s="278">
        <f t="shared" si="7"/>
        <v>100</v>
      </c>
      <c r="U24" s="276" t="s">
        <v>122</v>
      </c>
      <c r="V24" s="276" t="s">
        <v>263</v>
      </c>
      <c r="W24" s="278">
        <f t="shared" si="8"/>
        <v>1</v>
      </c>
      <c r="X24" s="278">
        <f t="shared" si="9"/>
        <v>0</v>
      </c>
      <c r="Y24" s="278" t="str">
        <f t="shared" si="10"/>
        <v>Fuerte</v>
      </c>
      <c r="Z24" s="276" t="s">
        <v>305</v>
      </c>
      <c r="AA24" s="278" t="str">
        <f t="shared" si="11"/>
        <v>Fuerte</v>
      </c>
      <c r="AB24" s="278" t="str">
        <f t="shared" si="12"/>
        <v>No</v>
      </c>
      <c r="AC24" s="279"/>
      <c r="AD24" s="280"/>
    </row>
    <row r="25" spans="1:30" ht="113.25" customHeight="1" x14ac:dyDescent="0.2">
      <c r="A25" s="1256"/>
      <c r="B25" s="1259"/>
      <c r="C25" s="1484"/>
      <c r="D25" s="274" t="str">
        <f>'[7]Analisis Riesgo'!K23</f>
        <v>Verificar el cálculo de fijación de precios base por parte de un par.</v>
      </c>
      <c r="E25" s="275" t="str">
        <f>'[7]Analisis Riesgo'!L23</f>
        <v>Existe un control en el cual se hace verificación de los cálculos efectuado para la fijación de precios base para la liquidación de Regalías, en la que un par verifica la adecuada ejecución de los cálculos.</v>
      </c>
      <c r="F25" s="276" t="s">
        <v>296</v>
      </c>
      <c r="G25" s="276" t="s">
        <v>299</v>
      </c>
      <c r="H25" s="276" t="s">
        <v>300</v>
      </c>
      <c r="I25" s="276" t="s">
        <v>301</v>
      </c>
      <c r="J25" s="276" t="s">
        <v>302</v>
      </c>
      <c r="K25" s="277" t="s">
        <v>303</v>
      </c>
      <c r="L25" s="276" t="s">
        <v>304</v>
      </c>
      <c r="M25" s="278">
        <f t="shared" si="0"/>
        <v>15</v>
      </c>
      <c r="N25" s="278">
        <f t="shared" si="1"/>
        <v>15</v>
      </c>
      <c r="O25" s="278">
        <f t="shared" si="2"/>
        <v>15</v>
      </c>
      <c r="P25" s="278">
        <f t="shared" si="3"/>
        <v>15</v>
      </c>
      <c r="Q25" s="278">
        <f t="shared" si="4"/>
        <v>15</v>
      </c>
      <c r="R25" s="278">
        <f t="shared" si="5"/>
        <v>15</v>
      </c>
      <c r="S25" s="278">
        <f t="shared" si="6"/>
        <v>10</v>
      </c>
      <c r="T25" s="278">
        <f t="shared" si="7"/>
        <v>100</v>
      </c>
      <c r="U25" s="276" t="s">
        <v>122</v>
      </c>
      <c r="V25" s="276" t="s">
        <v>263</v>
      </c>
      <c r="W25" s="278">
        <f t="shared" si="8"/>
        <v>1</v>
      </c>
      <c r="X25" s="278">
        <f t="shared" si="9"/>
        <v>0</v>
      </c>
      <c r="Y25" s="278" t="str">
        <f t="shared" si="10"/>
        <v>Fuerte</v>
      </c>
      <c r="Z25" s="276" t="s">
        <v>305</v>
      </c>
      <c r="AA25" s="278" t="str">
        <f t="shared" si="11"/>
        <v>Fuerte</v>
      </c>
      <c r="AB25" s="278" t="str">
        <f t="shared" si="12"/>
        <v>No</v>
      </c>
      <c r="AC25" s="279"/>
      <c r="AD25" s="280"/>
    </row>
    <row r="26" spans="1:30" ht="113.25" customHeight="1" x14ac:dyDescent="0.2">
      <c r="A26" s="1256"/>
      <c r="B26" s="1259"/>
      <c r="C26" s="1484"/>
      <c r="D26" s="274" t="str">
        <f>'[7]Analisis Riesgo'!K24</f>
        <v>Realizar la aplicación de los instructivos determinados por la Subdirección de Minería para indicar los pasos a desarrollarse para fijar los precios base para la liquidación de regalías de los distintos minerales.</v>
      </c>
      <c r="E26" s="275" t="str">
        <f>'[7]Analisis Riesgo'!L24</f>
        <v>Este control tiene como propósito que se apliquen los pasos definidos para fijar los precios base para la liquidación de regalías de los distintos minerales. Cada profesional responsable aplica los pasos determinados en los instructivos y lleva registro de sus evidencias. En este instrumento están definidas actividades de elaboración, revisión y aprobación del concepto técnico de fijación de precios base para la liquidación de regalía y la frecuencia de ejecución de las actividades.</v>
      </c>
      <c r="F26" s="276" t="s">
        <v>296</v>
      </c>
      <c r="G26" s="276" t="s">
        <v>299</v>
      </c>
      <c r="H26" s="276" t="s">
        <v>300</v>
      </c>
      <c r="I26" s="276" t="s">
        <v>301</v>
      </c>
      <c r="J26" s="276" t="s">
        <v>302</v>
      </c>
      <c r="K26" s="277" t="s">
        <v>303</v>
      </c>
      <c r="L26" s="276" t="s">
        <v>304</v>
      </c>
      <c r="M26" s="278">
        <f t="shared" si="0"/>
        <v>15</v>
      </c>
      <c r="N26" s="278">
        <f t="shared" si="1"/>
        <v>15</v>
      </c>
      <c r="O26" s="278">
        <f t="shared" si="2"/>
        <v>15</v>
      </c>
      <c r="P26" s="278">
        <f t="shared" si="3"/>
        <v>15</v>
      </c>
      <c r="Q26" s="278">
        <f t="shared" si="4"/>
        <v>15</v>
      </c>
      <c r="R26" s="278">
        <f t="shared" si="5"/>
        <v>15</v>
      </c>
      <c r="S26" s="278">
        <f t="shared" si="6"/>
        <v>10</v>
      </c>
      <c r="T26" s="278">
        <f t="shared" si="7"/>
        <v>100</v>
      </c>
      <c r="U26" s="276" t="s">
        <v>263</v>
      </c>
      <c r="V26" s="276" t="s">
        <v>122</v>
      </c>
      <c r="W26" s="278">
        <f t="shared" si="8"/>
        <v>0</v>
      </c>
      <c r="X26" s="278">
        <f t="shared" si="9"/>
        <v>1</v>
      </c>
      <c r="Y26" s="278" t="str">
        <f t="shared" si="10"/>
        <v>Debil</v>
      </c>
      <c r="Z26" s="276" t="s">
        <v>305</v>
      </c>
      <c r="AA26" s="278" t="str">
        <f t="shared" si="11"/>
        <v>Fuerte</v>
      </c>
      <c r="AB26" s="278" t="str">
        <f t="shared" si="12"/>
        <v>SI</v>
      </c>
      <c r="AC26" s="279"/>
      <c r="AD26" s="280"/>
    </row>
    <row r="27" spans="1:30" ht="113.25" customHeight="1" x14ac:dyDescent="0.2">
      <c r="A27" s="1257"/>
      <c r="B27" s="1208"/>
      <c r="C27" s="1485"/>
      <c r="D27" s="274" t="str">
        <f>'[7]Analisis Riesgo'!K25</f>
        <v>Efectuar presentación técnica de los resultados de cálculo de fijación de precios base para la liquidación de regalías al Director General</v>
      </c>
      <c r="E27" s="275" t="str">
        <f>'[7]Analisis Riesgo'!L25</f>
        <v xml:space="preserve">Efectuar la presentación técnicade los resultados de cálculo de fijación de precios base para la liquidación de regalías mediante la cual se presenta y sustenta al Director General las acciones efectuadas y se atienden las inquietudes que sean presentadas. El propósito de este control es verificar la información procesada y explicar los detalles de los calculos efectuados. Es preparada por el Profesional designado y ejecutado </v>
      </c>
      <c r="F27" s="276" t="s">
        <v>296</v>
      </c>
      <c r="G27" s="276" t="s">
        <v>299</v>
      </c>
      <c r="H27" s="276" t="s">
        <v>300</v>
      </c>
      <c r="I27" s="276" t="s">
        <v>301</v>
      </c>
      <c r="J27" s="276" t="s">
        <v>302</v>
      </c>
      <c r="K27" s="277" t="s">
        <v>303</v>
      </c>
      <c r="L27" s="276" t="s">
        <v>304</v>
      </c>
      <c r="M27" s="278">
        <f t="shared" si="0"/>
        <v>15</v>
      </c>
      <c r="N27" s="278">
        <f t="shared" si="1"/>
        <v>15</v>
      </c>
      <c r="O27" s="278">
        <f t="shared" si="2"/>
        <v>15</v>
      </c>
      <c r="P27" s="278">
        <f t="shared" si="3"/>
        <v>15</v>
      </c>
      <c r="Q27" s="278">
        <f t="shared" si="4"/>
        <v>15</v>
      </c>
      <c r="R27" s="278">
        <f t="shared" si="5"/>
        <v>15</v>
      </c>
      <c r="S27" s="278">
        <f t="shared" si="6"/>
        <v>10</v>
      </c>
      <c r="T27" s="278">
        <f t="shared" si="7"/>
        <v>100</v>
      </c>
      <c r="U27" s="276" t="s">
        <v>122</v>
      </c>
      <c r="V27" s="276" t="s">
        <v>122</v>
      </c>
      <c r="W27" s="278">
        <f t="shared" si="8"/>
        <v>1</v>
      </c>
      <c r="X27" s="278">
        <f t="shared" si="9"/>
        <v>1</v>
      </c>
      <c r="Y27" s="278" t="str">
        <f t="shared" si="10"/>
        <v>Fuerte</v>
      </c>
      <c r="Z27" s="276" t="s">
        <v>305</v>
      </c>
      <c r="AA27" s="278" t="str">
        <f t="shared" si="11"/>
        <v>Fuerte</v>
      </c>
      <c r="AB27" s="278" t="str">
        <f t="shared" si="12"/>
        <v>No</v>
      </c>
      <c r="AC27" s="279"/>
      <c r="AD27" s="280"/>
    </row>
    <row r="28" spans="1:30" ht="72" customHeight="1" x14ac:dyDescent="0.2">
      <c r="A28" s="1255" t="e">
        <f>#REF!</f>
        <v>#REF!</v>
      </c>
      <c r="B28" s="1258" t="e">
        <f>#REF!</f>
        <v>#REF!</v>
      </c>
      <c r="C28" s="1385" t="e">
        <f>#REF!</f>
        <v>#REF!</v>
      </c>
      <c r="D28" s="274" t="str">
        <f>'[7]Analisis Riesgo'!K26</f>
        <v>Revisar la gestión de datos e información por pares al interior del Subdirección de Minería.</v>
      </c>
      <c r="E28" s="275" t="str">
        <f>'[7]Analisis Riesgo'!L26</f>
        <v>Existe un control en el cual se hace verificación de los datos e información, en la que un par verifica el adecuada tratamiento, la confiabilidad e integridad e la información.</v>
      </c>
      <c r="F28" s="276" t="s">
        <v>296</v>
      </c>
      <c r="G28" s="276" t="s">
        <v>299</v>
      </c>
      <c r="H28" s="276" t="s">
        <v>300</v>
      </c>
      <c r="I28" s="276" t="s">
        <v>301</v>
      </c>
      <c r="J28" s="276" t="s">
        <v>302</v>
      </c>
      <c r="K28" s="277" t="s">
        <v>303</v>
      </c>
      <c r="L28" s="276" t="s">
        <v>304</v>
      </c>
      <c r="M28" s="278">
        <f t="shared" si="0"/>
        <v>15</v>
      </c>
      <c r="N28" s="278">
        <f t="shared" si="1"/>
        <v>15</v>
      </c>
      <c r="O28" s="278">
        <f t="shared" si="2"/>
        <v>15</v>
      </c>
      <c r="P28" s="278">
        <f t="shared" si="3"/>
        <v>15</v>
      </c>
      <c r="Q28" s="278">
        <f t="shared" si="4"/>
        <v>15</v>
      </c>
      <c r="R28" s="278">
        <f t="shared" si="5"/>
        <v>15</v>
      </c>
      <c r="S28" s="278">
        <f t="shared" si="6"/>
        <v>10</v>
      </c>
      <c r="T28" s="278">
        <f t="shared" si="7"/>
        <v>100</v>
      </c>
      <c r="U28" s="276" t="s">
        <v>263</v>
      </c>
      <c r="V28" s="276" t="s">
        <v>122</v>
      </c>
      <c r="W28" s="278">
        <f t="shared" si="8"/>
        <v>0</v>
      </c>
      <c r="X28" s="278">
        <f t="shared" si="9"/>
        <v>1</v>
      </c>
      <c r="Y28" s="278" t="str">
        <f t="shared" si="10"/>
        <v>Debil</v>
      </c>
      <c r="Z28" s="276" t="s">
        <v>305</v>
      </c>
      <c r="AA28" s="278" t="str">
        <f t="shared" si="11"/>
        <v>Fuerte</v>
      </c>
      <c r="AB28" s="278" t="str">
        <f t="shared" si="12"/>
        <v>SI</v>
      </c>
      <c r="AC28" s="279" t="s">
        <v>794</v>
      </c>
      <c r="AD28" s="398"/>
    </row>
    <row r="29" spans="1:30" ht="72" customHeight="1" x14ac:dyDescent="0.2">
      <c r="A29" s="1256"/>
      <c r="B29" s="1259"/>
      <c r="C29" s="1484"/>
      <c r="D29" s="274" t="str">
        <f>'[7]Analisis Riesgo'!K27</f>
        <v>Aplicar los niveles de autorización para la emisión de información a terceros.</v>
      </c>
      <c r="E29" s="275" t="str">
        <f>'[7]Analisis Riesgo'!L27</f>
        <v>Para la emisión de cualquier tipo de información esta surte el flujo de elaboración, revisión y aprobación, aplicandose como criterio que la revisión es efectuada por el Subdiretor de Minería y la emisión es autorizada por el Director General.</v>
      </c>
      <c r="F29" s="276" t="s">
        <v>296</v>
      </c>
      <c r="G29" s="276" t="s">
        <v>299</v>
      </c>
      <c r="H29" s="276" t="s">
        <v>300</v>
      </c>
      <c r="I29" s="276" t="s">
        <v>301</v>
      </c>
      <c r="J29" s="276" t="s">
        <v>302</v>
      </c>
      <c r="K29" s="442" t="s">
        <v>303</v>
      </c>
      <c r="L29" s="276" t="s">
        <v>304</v>
      </c>
      <c r="M29" s="278">
        <f t="shared" si="0"/>
        <v>15</v>
      </c>
      <c r="N29" s="278">
        <f t="shared" si="1"/>
        <v>15</v>
      </c>
      <c r="O29" s="278">
        <f t="shared" si="2"/>
        <v>15</v>
      </c>
      <c r="P29" s="278">
        <f t="shared" si="3"/>
        <v>15</v>
      </c>
      <c r="Q29" s="278">
        <f t="shared" si="4"/>
        <v>15</v>
      </c>
      <c r="R29" s="278">
        <f t="shared" si="5"/>
        <v>15</v>
      </c>
      <c r="S29" s="278">
        <f t="shared" si="6"/>
        <v>10</v>
      </c>
      <c r="T29" s="278">
        <f t="shared" si="7"/>
        <v>100</v>
      </c>
      <c r="U29" s="276" t="s">
        <v>122</v>
      </c>
      <c r="V29" s="276" t="s">
        <v>263</v>
      </c>
      <c r="W29" s="278">
        <f t="shared" si="8"/>
        <v>1</v>
      </c>
      <c r="X29" s="278">
        <f t="shared" si="9"/>
        <v>0</v>
      </c>
      <c r="Y29" s="278" t="str">
        <f t="shared" si="10"/>
        <v>Fuerte</v>
      </c>
      <c r="Z29" s="276" t="s">
        <v>305</v>
      </c>
      <c r="AA29" s="278" t="str">
        <f t="shared" si="11"/>
        <v>Fuerte</v>
      </c>
      <c r="AB29" s="278" t="str">
        <f t="shared" si="12"/>
        <v>No</v>
      </c>
      <c r="AC29" s="279" t="s">
        <v>795</v>
      </c>
      <c r="AD29" s="399"/>
    </row>
    <row r="30" spans="1:30" ht="72" customHeight="1" x14ac:dyDescent="0.2">
      <c r="A30" s="1256"/>
      <c r="B30" s="1259"/>
      <c r="C30" s="1484"/>
      <c r="D30" s="274" t="str">
        <f>'[7]Analisis Riesgo'!K28</f>
        <v>Aplicar los instructivos para el procesamiento y administración de la información.</v>
      </c>
      <c r="E30" s="275" t="str">
        <f>'[7]Analisis Riesgo'!L28</f>
        <v>Aplicar y cumplir con los instructivos diseñados para el procesamiento, almacenamiento, admiistración y uso de la información definidos por la entidad.</v>
      </c>
      <c r="F30" s="276" t="s">
        <v>296</v>
      </c>
      <c r="G30" s="276" t="s">
        <v>299</v>
      </c>
      <c r="H30" s="276" t="s">
        <v>300</v>
      </c>
      <c r="I30" s="276" t="s">
        <v>301</v>
      </c>
      <c r="J30" s="276" t="s">
        <v>302</v>
      </c>
      <c r="K30" s="277" t="s">
        <v>303</v>
      </c>
      <c r="L30" s="276" t="s">
        <v>304</v>
      </c>
      <c r="M30" s="278">
        <f t="shared" si="0"/>
        <v>15</v>
      </c>
      <c r="N30" s="278">
        <f t="shared" si="1"/>
        <v>15</v>
      </c>
      <c r="O30" s="278">
        <f t="shared" si="2"/>
        <v>15</v>
      </c>
      <c r="P30" s="278">
        <f t="shared" si="3"/>
        <v>15</v>
      </c>
      <c r="Q30" s="278">
        <f t="shared" si="4"/>
        <v>15</v>
      </c>
      <c r="R30" s="278">
        <f t="shared" si="5"/>
        <v>15</v>
      </c>
      <c r="S30" s="278">
        <f t="shared" si="6"/>
        <v>10</v>
      </c>
      <c r="T30" s="278">
        <f t="shared" si="7"/>
        <v>100</v>
      </c>
      <c r="U30" s="276" t="s">
        <v>122</v>
      </c>
      <c r="V30" s="276" t="s">
        <v>263</v>
      </c>
      <c r="W30" s="278">
        <f t="shared" si="8"/>
        <v>1</v>
      </c>
      <c r="X30" s="278">
        <f t="shared" si="9"/>
        <v>0</v>
      </c>
      <c r="Y30" s="278" t="str">
        <f t="shared" si="10"/>
        <v>Fuerte</v>
      </c>
      <c r="Z30" s="276" t="s">
        <v>305</v>
      </c>
      <c r="AA30" s="278" t="str">
        <f t="shared" si="11"/>
        <v>Fuerte</v>
      </c>
      <c r="AB30" s="278" t="str">
        <f t="shared" si="12"/>
        <v>No</v>
      </c>
      <c r="AC30" s="279" t="s">
        <v>796</v>
      </c>
      <c r="AD30" s="280"/>
    </row>
    <row r="31" spans="1:30" ht="72" customHeight="1" x14ac:dyDescent="0.2">
      <c r="A31" s="1256"/>
      <c r="B31" s="1259"/>
      <c r="C31" s="1484"/>
      <c r="D31" s="274" t="str">
        <f>'[7]Analisis Riesgo'!K29</f>
        <v>Aplicar las políticas institucionales para la administración y gestión de la información.</v>
      </c>
      <c r="E31" s="275" t="str">
        <f>'[7]Analisis Riesgo'!L29</f>
        <v xml:space="preserve">Aplicar y cumplir con las políticas institucionales de seguridad de la información, gestionando los datos e información acorde con los protocolos definidos por la Oficina de Gestión de la Información. </v>
      </c>
      <c r="F31" s="276" t="s">
        <v>296</v>
      </c>
      <c r="G31" s="276" t="s">
        <v>299</v>
      </c>
      <c r="H31" s="276" t="s">
        <v>300</v>
      </c>
      <c r="I31" s="276" t="s">
        <v>301</v>
      </c>
      <c r="J31" s="276" t="s">
        <v>302</v>
      </c>
      <c r="K31" s="277" t="s">
        <v>303</v>
      </c>
      <c r="L31" s="276" t="s">
        <v>304</v>
      </c>
      <c r="M31" s="278">
        <f t="shared" si="0"/>
        <v>15</v>
      </c>
      <c r="N31" s="278">
        <f t="shared" si="1"/>
        <v>15</v>
      </c>
      <c r="O31" s="278">
        <f t="shared" si="2"/>
        <v>15</v>
      </c>
      <c r="P31" s="278">
        <f t="shared" si="3"/>
        <v>15</v>
      </c>
      <c r="Q31" s="278">
        <f t="shared" si="4"/>
        <v>15</v>
      </c>
      <c r="R31" s="278">
        <f t="shared" si="5"/>
        <v>15</v>
      </c>
      <c r="S31" s="278">
        <f t="shared" si="6"/>
        <v>10</v>
      </c>
      <c r="T31" s="278">
        <f t="shared" si="7"/>
        <v>100</v>
      </c>
      <c r="U31" s="276" t="s">
        <v>122</v>
      </c>
      <c r="V31" s="276" t="s">
        <v>263</v>
      </c>
      <c r="W31" s="278">
        <f t="shared" si="8"/>
        <v>1</v>
      </c>
      <c r="X31" s="278">
        <f t="shared" si="9"/>
        <v>0</v>
      </c>
      <c r="Y31" s="278" t="str">
        <f t="shared" si="10"/>
        <v>Fuerte</v>
      </c>
      <c r="Z31" s="276" t="s">
        <v>305</v>
      </c>
      <c r="AA31" s="278" t="str">
        <f t="shared" si="11"/>
        <v>Fuerte</v>
      </c>
      <c r="AB31" s="278" t="str">
        <f t="shared" si="12"/>
        <v>No</v>
      </c>
      <c r="AC31" s="279" t="s">
        <v>797</v>
      </c>
      <c r="AD31" s="398"/>
    </row>
    <row r="32" spans="1:30" ht="12.75" customHeight="1" x14ac:dyDescent="0.2">
      <c r="A32" s="296"/>
      <c r="B32" s="296"/>
      <c r="C32" s="296"/>
      <c r="D32" s="298"/>
      <c r="E32" s="298"/>
      <c r="F32" s="296"/>
      <c r="G32" s="296"/>
      <c r="H32" s="296"/>
      <c r="I32" s="296"/>
      <c r="J32" s="296"/>
      <c r="K32" s="296"/>
      <c r="L32" s="296"/>
      <c r="M32" s="299"/>
      <c r="N32" s="299"/>
      <c r="O32" s="299"/>
      <c r="P32" s="299"/>
      <c r="Q32" s="299"/>
      <c r="R32" s="299"/>
      <c r="S32" s="299"/>
      <c r="T32" s="299"/>
      <c r="U32" s="299"/>
      <c r="V32" s="299"/>
      <c r="W32" s="299"/>
      <c r="X32" s="299"/>
      <c r="Y32" s="299"/>
      <c r="Z32" s="299"/>
      <c r="AA32" s="299"/>
      <c r="AB32" s="299"/>
      <c r="AC32" s="300"/>
      <c r="AD32" s="300"/>
    </row>
    <row r="33" spans="1:30" ht="12.75" customHeight="1" x14ac:dyDescent="0.2">
      <c r="A33" s="296"/>
      <c r="B33" s="296"/>
      <c r="C33" s="296"/>
      <c r="D33" s="298"/>
      <c r="E33" s="298"/>
      <c r="F33" s="296"/>
      <c r="G33" s="296"/>
      <c r="H33" s="296"/>
      <c r="I33" s="296"/>
      <c r="J33" s="296"/>
      <c r="K33" s="296"/>
      <c r="L33" s="296"/>
      <c r="M33" s="299"/>
      <c r="N33" s="299"/>
      <c r="O33" s="299"/>
      <c r="P33" s="299"/>
      <c r="Q33" s="299"/>
      <c r="R33" s="299"/>
      <c r="S33" s="299"/>
      <c r="T33" s="299"/>
      <c r="U33" s="299"/>
      <c r="V33" s="299"/>
      <c r="W33" s="299"/>
      <c r="X33" s="299"/>
      <c r="Y33" s="299"/>
      <c r="Z33" s="299"/>
      <c r="AA33" s="299"/>
      <c r="AB33" s="299"/>
      <c r="AC33" s="300"/>
      <c r="AD33" s="300"/>
    </row>
    <row r="34" spans="1:30" ht="12.75" customHeight="1" x14ac:dyDescent="0.2">
      <c r="A34" s="296"/>
      <c r="B34" s="296"/>
      <c r="C34" s="296"/>
      <c r="D34" s="298"/>
      <c r="E34" s="298"/>
      <c r="F34" s="296"/>
      <c r="G34" s="296"/>
      <c r="H34" s="296"/>
      <c r="I34" s="296"/>
      <c r="J34" s="296"/>
      <c r="K34" s="296"/>
      <c r="L34" s="296"/>
      <c r="M34" s="299"/>
      <c r="N34" s="299"/>
      <c r="O34" s="299"/>
      <c r="P34" s="299"/>
      <c r="Q34" s="299"/>
      <c r="R34" s="299"/>
      <c r="S34" s="299"/>
      <c r="T34" s="299"/>
      <c r="U34" s="299"/>
      <c r="V34" s="299"/>
      <c r="W34" s="299"/>
      <c r="X34" s="299"/>
      <c r="Y34" s="299"/>
      <c r="Z34" s="299"/>
      <c r="AA34" s="299"/>
      <c r="AB34" s="299"/>
      <c r="AC34" s="300"/>
      <c r="AD34" s="300"/>
    </row>
    <row r="35" spans="1:30" ht="12.75" customHeight="1" x14ac:dyDescent="0.2">
      <c r="A35" s="296"/>
      <c r="B35" s="296"/>
      <c r="C35" s="296"/>
      <c r="D35" s="298"/>
      <c r="E35" s="298"/>
      <c r="F35" s="296"/>
      <c r="G35" s="296"/>
      <c r="H35" s="296"/>
      <c r="I35" s="296"/>
      <c r="J35" s="296"/>
      <c r="K35" s="296"/>
      <c r="L35" s="296"/>
      <c r="M35" s="299"/>
      <c r="N35" s="299"/>
      <c r="O35" s="299"/>
      <c r="P35" s="299"/>
      <c r="Q35" s="299"/>
      <c r="R35" s="299"/>
      <c r="S35" s="299"/>
      <c r="T35" s="299"/>
      <c r="U35" s="299"/>
      <c r="V35" s="299"/>
      <c r="W35" s="299"/>
      <c r="X35" s="299"/>
      <c r="Y35" s="299"/>
      <c r="Z35" s="299"/>
      <c r="AA35" s="299"/>
      <c r="AB35" s="299"/>
      <c r="AC35" s="300"/>
      <c r="AD35" s="300"/>
    </row>
    <row r="36" spans="1:30" ht="12.75" customHeight="1" x14ac:dyDescent="0.2">
      <c r="A36" s="296"/>
      <c r="B36" s="296"/>
      <c r="C36" s="296"/>
      <c r="D36" s="298"/>
      <c r="E36" s="298"/>
      <c r="F36" s="296"/>
      <c r="G36" s="296"/>
      <c r="H36" s="296"/>
      <c r="I36" s="296"/>
      <c r="J36" s="296"/>
      <c r="K36" s="296"/>
      <c r="L36" s="296"/>
      <c r="M36" s="299"/>
      <c r="N36" s="299"/>
      <c r="O36" s="299"/>
      <c r="P36" s="299"/>
      <c r="Q36" s="299"/>
      <c r="R36" s="299"/>
      <c r="S36" s="299"/>
      <c r="T36" s="299"/>
      <c r="U36" s="299"/>
      <c r="V36" s="299"/>
      <c r="W36" s="299"/>
      <c r="X36" s="299"/>
      <c r="Y36" s="299"/>
      <c r="Z36" s="299"/>
      <c r="AA36" s="299"/>
      <c r="AB36" s="299"/>
      <c r="AC36" s="300"/>
      <c r="AD36" s="300"/>
    </row>
    <row r="37" spans="1:30" ht="12.75" customHeight="1" x14ac:dyDescent="0.2">
      <c r="A37" s="296"/>
      <c r="B37" s="296"/>
      <c r="C37" s="296"/>
      <c r="D37" s="298"/>
      <c r="E37" s="298"/>
      <c r="F37" s="296"/>
      <c r="G37" s="296"/>
      <c r="H37" s="296"/>
      <c r="I37" s="296"/>
      <c r="J37" s="296"/>
      <c r="K37" s="296"/>
      <c r="L37" s="296"/>
      <c r="M37" s="299"/>
      <c r="N37" s="299"/>
      <c r="O37" s="299"/>
      <c r="P37" s="299"/>
      <c r="Q37" s="299"/>
      <c r="R37" s="299"/>
      <c r="S37" s="299"/>
      <c r="T37" s="299"/>
      <c r="U37" s="299"/>
      <c r="V37" s="299"/>
      <c r="W37" s="299"/>
      <c r="X37" s="299"/>
      <c r="Y37" s="299"/>
      <c r="Z37" s="299"/>
      <c r="AA37" s="299"/>
      <c r="AB37" s="299"/>
      <c r="AC37" s="300"/>
      <c r="AD37" s="300"/>
    </row>
    <row r="38" spans="1:30" ht="12.75" customHeight="1" x14ac:dyDescent="0.2">
      <c r="A38" s="296"/>
      <c r="B38" s="296"/>
      <c r="C38" s="296"/>
      <c r="D38" s="298"/>
      <c r="E38" s="298"/>
      <c r="F38" s="296"/>
      <c r="G38" s="296"/>
      <c r="H38" s="296"/>
      <c r="I38" s="296"/>
      <c r="J38" s="296"/>
      <c r="K38" s="296"/>
      <c r="L38" s="296"/>
      <c r="M38" s="299"/>
      <c r="N38" s="299"/>
      <c r="O38" s="299"/>
      <c r="P38" s="299"/>
      <c r="Q38" s="299"/>
      <c r="R38" s="299"/>
      <c r="S38" s="299"/>
      <c r="T38" s="299"/>
      <c r="U38" s="299"/>
      <c r="V38" s="299"/>
      <c r="W38" s="299"/>
      <c r="X38" s="299"/>
      <c r="Y38" s="299"/>
      <c r="Z38" s="299"/>
      <c r="AA38" s="299"/>
      <c r="AB38" s="299"/>
      <c r="AC38" s="300"/>
      <c r="AD38" s="300"/>
    </row>
    <row r="39" spans="1:30" ht="12.75" customHeight="1" x14ac:dyDescent="0.2">
      <c r="A39" s="296"/>
      <c r="B39" s="296"/>
      <c r="C39" s="296"/>
      <c r="D39" s="298"/>
      <c r="E39" s="298"/>
      <c r="F39" s="296"/>
      <c r="G39" s="296"/>
      <c r="H39" s="296"/>
      <c r="I39" s="296"/>
      <c r="J39" s="296"/>
      <c r="K39" s="296"/>
      <c r="L39" s="296"/>
      <c r="M39" s="299"/>
      <c r="N39" s="299"/>
      <c r="O39" s="299"/>
      <c r="P39" s="299"/>
      <c r="Q39" s="299"/>
      <c r="R39" s="299"/>
      <c r="S39" s="299"/>
      <c r="T39" s="299"/>
      <c r="U39" s="299"/>
      <c r="V39" s="299"/>
      <c r="W39" s="299"/>
      <c r="X39" s="299"/>
      <c r="Y39" s="299"/>
      <c r="Z39" s="299"/>
      <c r="AA39" s="299"/>
      <c r="AB39" s="299"/>
      <c r="AC39" s="300"/>
      <c r="AD39" s="300"/>
    </row>
    <row r="40" spans="1:30" ht="12.75" customHeight="1" x14ac:dyDescent="0.2">
      <c r="A40" s="296"/>
      <c r="B40" s="296"/>
      <c r="C40" s="296"/>
      <c r="D40" s="298"/>
      <c r="E40" s="298"/>
      <c r="F40" s="296"/>
      <c r="G40" s="296"/>
      <c r="H40" s="296"/>
      <c r="I40" s="296"/>
      <c r="J40" s="296"/>
      <c r="K40" s="296"/>
      <c r="L40" s="296"/>
      <c r="M40" s="299"/>
      <c r="N40" s="299"/>
      <c r="O40" s="299"/>
      <c r="P40" s="299"/>
      <c r="Q40" s="299"/>
      <c r="R40" s="299"/>
      <c r="S40" s="299"/>
      <c r="T40" s="299"/>
      <c r="U40" s="299"/>
      <c r="V40" s="299"/>
      <c r="W40" s="299"/>
      <c r="X40" s="299"/>
      <c r="Y40" s="299"/>
      <c r="Z40" s="299"/>
      <c r="AA40" s="299"/>
      <c r="AB40" s="299"/>
      <c r="AC40" s="300"/>
      <c r="AD40" s="300"/>
    </row>
    <row r="41" spans="1:30" ht="12.75" customHeight="1" x14ac:dyDescent="0.2">
      <c r="A41" s="296"/>
      <c r="B41" s="296"/>
      <c r="C41" s="296"/>
      <c r="D41" s="298"/>
      <c r="E41" s="298"/>
      <c r="F41" s="296"/>
      <c r="G41" s="296"/>
      <c r="H41" s="296"/>
      <c r="I41" s="296"/>
      <c r="J41" s="296"/>
      <c r="K41" s="296"/>
      <c r="L41" s="296"/>
      <c r="M41" s="299"/>
      <c r="N41" s="299"/>
      <c r="O41" s="299"/>
      <c r="P41" s="299"/>
      <c r="Q41" s="299"/>
      <c r="R41" s="299"/>
      <c r="S41" s="299"/>
      <c r="T41" s="299"/>
      <c r="U41" s="299"/>
      <c r="V41" s="299"/>
      <c r="W41" s="299"/>
      <c r="X41" s="299"/>
      <c r="Y41" s="299"/>
      <c r="Z41" s="299"/>
      <c r="AA41" s="299"/>
      <c r="AB41" s="299"/>
      <c r="AC41" s="300"/>
      <c r="AD41" s="300"/>
    </row>
    <row r="42" spans="1:30" ht="12.75" customHeight="1" x14ac:dyDescent="0.2">
      <c r="A42" s="296"/>
      <c r="B42" s="296"/>
      <c r="C42" s="296"/>
      <c r="D42" s="298"/>
      <c r="E42" s="298"/>
      <c r="F42" s="296"/>
      <c r="G42" s="296"/>
      <c r="H42" s="296"/>
      <c r="I42" s="296"/>
      <c r="J42" s="296"/>
      <c r="K42" s="296"/>
      <c r="L42" s="296"/>
      <c r="M42" s="299"/>
      <c r="N42" s="299"/>
      <c r="O42" s="299"/>
      <c r="P42" s="299"/>
      <c r="Q42" s="299"/>
      <c r="R42" s="299"/>
      <c r="S42" s="299"/>
      <c r="T42" s="299"/>
      <c r="U42" s="299"/>
      <c r="V42" s="299"/>
      <c r="W42" s="299"/>
      <c r="X42" s="299"/>
      <c r="Y42" s="299"/>
      <c r="Z42" s="299"/>
      <c r="AA42" s="299"/>
      <c r="AB42" s="299"/>
      <c r="AC42" s="300"/>
      <c r="AD42" s="300"/>
    </row>
    <row r="43" spans="1:30" ht="12.75" customHeight="1" x14ac:dyDescent="0.2">
      <c r="A43" s="296"/>
      <c r="B43" s="296"/>
      <c r="C43" s="296"/>
      <c r="D43" s="298"/>
      <c r="E43" s="298"/>
      <c r="F43" s="296"/>
      <c r="G43" s="296"/>
      <c r="H43" s="296"/>
      <c r="I43" s="296"/>
      <c r="J43" s="296"/>
      <c r="K43" s="296"/>
      <c r="L43" s="296"/>
      <c r="M43" s="299"/>
      <c r="N43" s="299"/>
      <c r="O43" s="299"/>
      <c r="P43" s="299"/>
      <c r="Q43" s="299"/>
      <c r="R43" s="299"/>
      <c r="S43" s="299"/>
      <c r="T43" s="299"/>
      <c r="U43" s="299"/>
      <c r="V43" s="299"/>
      <c r="W43" s="299"/>
      <c r="X43" s="299"/>
      <c r="Y43" s="299"/>
      <c r="Z43" s="299"/>
      <c r="AA43" s="299"/>
      <c r="AB43" s="299"/>
      <c r="AC43" s="300"/>
      <c r="AD43" s="300"/>
    </row>
    <row r="44" spans="1:30" ht="12.75" customHeight="1" x14ac:dyDescent="0.2">
      <c r="A44" s="296"/>
      <c r="B44" s="296"/>
      <c r="C44" s="296"/>
      <c r="D44" s="298"/>
      <c r="E44" s="298"/>
      <c r="F44" s="296"/>
      <c r="G44" s="296"/>
      <c r="H44" s="296"/>
      <c r="I44" s="296"/>
      <c r="J44" s="296"/>
      <c r="K44" s="296"/>
      <c r="L44" s="296"/>
      <c r="M44" s="299"/>
      <c r="N44" s="299"/>
      <c r="O44" s="299"/>
      <c r="P44" s="299"/>
      <c r="Q44" s="299"/>
      <c r="R44" s="299"/>
      <c r="S44" s="299"/>
      <c r="T44" s="299"/>
      <c r="U44" s="299"/>
      <c r="V44" s="299"/>
      <c r="W44" s="299"/>
      <c r="X44" s="299"/>
      <c r="Y44" s="299"/>
      <c r="Z44" s="299"/>
      <c r="AA44" s="299"/>
      <c r="AB44" s="299"/>
      <c r="AC44" s="300"/>
      <c r="AD44" s="300"/>
    </row>
    <row r="45" spans="1:30" ht="12.75" customHeight="1" x14ac:dyDescent="0.2">
      <c r="A45" s="296"/>
      <c r="B45" s="296"/>
      <c r="C45" s="296"/>
      <c r="D45" s="298"/>
      <c r="E45" s="298"/>
      <c r="F45" s="296"/>
      <c r="G45" s="296"/>
      <c r="H45" s="296"/>
      <c r="I45" s="296"/>
      <c r="J45" s="296"/>
      <c r="K45" s="296"/>
      <c r="L45" s="296"/>
      <c r="M45" s="299"/>
      <c r="N45" s="299"/>
      <c r="O45" s="299"/>
      <c r="P45" s="299"/>
      <c r="Q45" s="299"/>
      <c r="R45" s="299"/>
      <c r="S45" s="299"/>
      <c r="T45" s="299"/>
      <c r="U45" s="299"/>
      <c r="V45" s="299"/>
      <c r="W45" s="299"/>
      <c r="X45" s="299"/>
      <c r="Y45" s="299"/>
      <c r="Z45" s="299"/>
      <c r="AA45" s="299"/>
      <c r="AB45" s="299"/>
      <c r="AC45" s="300"/>
      <c r="AD45" s="300"/>
    </row>
    <row r="46" spans="1:30" ht="12.75" customHeight="1" x14ac:dyDescent="0.2">
      <c r="A46" s="296"/>
      <c r="B46" s="296"/>
      <c r="C46" s="296"/>
      <c r="D46" s="298"/>
      <c r="E46" s="298"/>
      <c r="F46" s="296"/>
      <c r="G46" s="296"/>
      <c r="H46" s="296"/>
      <c r="I46" s="296"/>
      <c r="J46" s="296"/>
      <c r="K46" s="296"/>
      <c r="L46" s="296"/>
      <c r="M46" s="299"/>
      <c r="N46" s="299"/>
      <c r="O46" s="299"/>
      <c r="P46" s="299"/>
      <c r="Q46" s="299"/>
      <c r="R46" s="299"/>
      <c r="S46" s="299"/>
      <c r="T46" s="299"/>
      <c r="U46" s="299"/>
      <c r="V46" s="299"/>
      <c r="W46" s="299"/>
      <c r="X46" s="299"/>
      <c r="Y46" s="299"/>
      <c r="Z46" s="299"/>
      <c r="AA46" s="299"/>
      <c r="AB46" s="299"/>
      <c r="AC46" s="300"/>
      <c r="AD46" s="300"/>
    </row>
    <row r="47" spans="1:30" ht="12.75" customHeight="1" x14ac:dyDescent="0.2">
      <c r="A47" s="296"/>
      <c r="B47" s="296"/>
      <c r="C47" s="296"/>
      <c r="D47" s="298"/>
      <c r="E47" s="298"/>
      <c r="F47" s="296"/>
      <c r="G47" s="296"/>
      <c r="H47" s="296"/>
      <c r="I47" s="296"/>
      <c r="J47" s="296"/>
      <c r="K47" s="296"/>
      <c r="L47" s="296"/>
      <c r="M47" s="299"/>
      <c r="N47" s="299"/>
      <c r="O47" s="299"/>
      <c r="P47" s="299"/>
      <c r="Q47" s="299"/>
      <c r="R47" s="299"/>
      <c r="S47" s="299"/>
      <c r="T47" s="299"/>
      <c r="U47" s="299"/>
      <c r="V47" s="299"/>
      <c r="W47" s="299"/>
      <c r="X47" s="299"/>
      <c r="Y47" s="299"/>
      <c r="Z47" s="299"/>
      <c r="AA47" s="299"/>
      <c r="AB47" s="299"/>
      <c r="AC47" s="300"/>
      <c r="AD47" s="300"/>
    </row>
    <row r="48" spans="1:30" ht="12.75" customHeight="1" x14ac:dyDescent="0.2">
      <c r="A48" s="296"/>
      <c r="B48" s="296"/>
      <c r="C48" s="296"/>
      <c r="D48" s="298"/>
      <c r="E48" s="298"/>
      <c r="F48" s="296"/>
      <c r="G48" s="296"/>
      <c r="H48" s="296"/>
      <c r="I48" s="296"/>
      <c r="J48" s="296"/>
      <c r="K48" s="296"/>
      <c r="L48" s="296"/>
      <c r="M48" s="299"/>
      <c r="N48" s="299"/>
      <c r="O48" s="299"/>
      <c r="P48" s="299"/>
      <c r="Q48" s="299"/>
      <c r="R48" s="299"/>
      <c r="S48" s="299"/>
      <c r="T48" s="299"/>
      <c r="U48" s="299"/>
      <c r="V48" s="299"/>
      <c r="W48" s="299"/>
      <c r="X48" s="299"/>
      <c r="Y48" s="299"/>
      <c r="Z48" s="299"/>
      <c r="AA48" s="299"/>
      <c r="AB48" s="299"/>
      <c r="AC48" s="300"/>
      <c r="AD48" s="300"/>
    </row>
    <row r="49" spans="1:30" ht="12.75" customHeight="1" x14ac:dyDescent="0.2">
      <c r="A49" s="296"/>
      <c r="B49" s="296"/>
      <c r="C49" s="296"/>
      <c r="D49" s="298"/>
      <c r="E49" s="298"/>
      <c r="F49" s="296"/>
      <c r="G49" s="296"/>
      <c r="H49" s="296"/>
      <c r="I49" s="296"/>
      <c r="J49" s="296"/>
      <c r="K49" s="296"/>
      <c r="L49" s="296"/>
      <c r="M49" s="299"/>
      <c r="N49" s="299"/>
      <c r="O49" s="299"/>
      <c r="P49" s="299"/>
      <c r="Q49" s="299"/>
      <c r="R49" s="299"/>
      <c r="S49" s="299"/>
      <c r="T49" s="299"/>
      <c r="U49" s="299"/>
      <c r="V49" s="299"/>
      <c r="W49" s="299"/>
      <c r="X49" s="299"/>
      <c r="Y49" s="299"/>
      <c r="Z49" s="299"/>
      <c r="AA49" s="299"/>
      <c r="AB49" s="299"/>
      <c r="AC49" s="300"/>
      <c r="AD49" s="300"/>
    </row>
    <row r="50" spans="1:30" ht="12.75" customHeight="1" x14ac:dyDescent="0.2">
      <c r="A50" s="296"/>
      <c r="B50" s="296"/>
      <c r="C50" s="296"/>
      <c r="D50" s="298"/>
      <c r="E50" s="298"/>
      <c r="F50" s="296"/>
      <c r="G50" s="296"/>
      <c r="H50" s="296"/>
      <c r="I50" s="296"/>
      <c r="J50" s="296"/>
      <c r="K50" s="296"/>
      <c r="L50" s="296"/>
      <c r="M50" s="299"/>
      <c r="N50" s="299"/>
      <c r="O50" s="299"/>
      <c r="P50" s="299"/>
      <c r="Q50" s="299"/>
      <c r="R50" s="299"/>
      <c r="S50" s="299"/>
      <c r="T50" s="299"/>
      <c r="U50" s="299"/>
      <c r="V50" s="299"/>
      <c r="W50" s="299"/>
      <c r="X50" s="299"/>
      <c r="Y50" s="299"/>
      <c r="Z50" s="299"/>
      <c r="AA50" s="299"/>
      <c r="AB50" s="299"/>
      <c r="AC50" s="300"/>
      <c r="AD50" s="300"/>
    </row>
    <row r="51" spans="1:30" ht="12.75" customHeight="1" x14ac:dyDescent="0.2">
      <c r="A51" s="296"/>
      <c r="B51" s="296"/>
      <c r="C51" s="296"/>
      <c r="D51" s="298"/>
      <c r="E51" s="298"/>
      <c r="F51" s="296"/>
      <c r="G51" s="296"/>
      <c r="H51" s="296"/>
      <c r="I51" s="296"/>
      <c r="J51" s="296"/>
      <c r="K51" s="296"/>
      <c r="L51" s="296"/>
      <c r="M51" s="299"/>
      <c r="N51" s="299"/>
      <c r="O51" s="299"/>
      <c r="P51" s="299"/>
      <c r="Q51" s="299"/>
      <c r="R51" s="299"/>
      <c r="S51" s="299"/>
      <c r="T51" s="299"/>
      <c r="U51" s="299"/>
      <c r="V51" s="299"/>
      <c r="W51" s="299"/>
      <c r="X51" s="299"/>
      <c r="Y51" s="299"/>
      <c r="Z51" s="299"/>
      <c r="AA51" s="299"/>
      <c r="AB51" s="299"/>
      <c r="AC51" s="300"/>
      <c r="AD51" s="300"/>
    </row>
    <row r="52" spans="1:30" ht="12.75" customHeight="1" x14ac:dyDescent="0.2">
      <c r="A52" s="296"/>
      <c r="B52" s="296"/>
      <c r="C52" s="296"/>
      <c r="D52" s="298"/>
      <c r="E52" s="298"/>
      <c r="F52" s="296"/>
      <c r="G52" s="296"/>
      <c r="H52" s="296"/>
      <c r="I52" s="296"/>
      <c r="J52" s="296"/>
      <c r="K52" s="296"/>
      <c r="L52" s="296"/>
      <c r="M52" s="299"/>
      <c r="N52" s="299"/>
      <c r="O52" s="299"/>
      <c r="P52" s="299"/>
      <c r="Q52" s="299"/>
      <c r="R52" s="299"/>
      <c r="S52" s="299"/>
      <c r="T52" s="299"/>
      <c r="U52" s="299"/>
      <c r="V52" s="299"/>
      <c r="W52" s="299"/>
      <c r="X52" s="299"/>
      <c r="Y52" s="299"/>
      <c r="Z52" s="299"/>
      <c r="AA52" s="299"/>
      <c r="AB52" s="299"/>
      <c r="AC52" s="300"/>
      <c r="AD52" s="300"/>
    </row>
    <row r="53" spans="1:30" ht="12.75" customHeight="1" x14ac:dyDescent="0.2">
      <c r="A53" s="296"/>
      <c r="B53" s="296"/>
      <c r="C53" s="296"/>
      <c r="D53" s="298"/>
      <c r="E53" s="298"/>
      <c r="F53" s="296"/>
      <c r="G53" s="296"/>
      <c r="H53" s="296"/>
      <c r="I53" s="296"/>
      <c r="J53" s="296"/>
      <c r="K53" s="296"/>
      <c r="L53" s="296"/>
      <c r="M53" s="299"/>
      <c r="N53" s="299"/>
      <c r="O53" s="299"/>
      <c r="P53" s="299"/>
      <c r="Q53" s="299"/>
      <c r="R53" s="299"/>
      <c r="S53" s="299"/>
      <c r="T53" s="299"/>
      <c r="U53" s="299"/>
      <c r="V53" s="299"/>
      <c r="W53" s="299"/>
      <c r="X53" s="299"/>
      <c r="Y53" s="299"/>
      <c r="Z53" s="299"/>
      <c r="AA53" s="299"/>
      <c r="AB53" s="299"/>
      <c r="AC53" s="300"/>
      <c r="AD53" s="300"/>
    </row>
    <row r="54" spans="1:30" ht="12.75" customHeight="1" x14ac:dyDescent="0.2">
      <c r="A54" s="296"/>
      <c r="B54" s="296"/>
      <c r="C54" s="296"/>
      <c r="D54" s="298"/>
      <c r="E54" s="298"/>
      <c r="F54" s="296"/>
      <c r="G54" s="296"/>
      <c r="H54" s="296"/>
      <c r="I54" s="296"/>
      <c r="J54" s="296"/>
      <c r="K54" s="296"/>
      <c r="L54" s="296"/>
      <c r="M54" s="299"/>
      <c r="N54" s="299"/>
      <c r="O54" s="299"/>
      <c r="P54" s="299"/>
      <c r="Q54" s="299"/>
      <c r="R54" s="299"/>
      <c r="S54" s="299"/>
      <c r="T54" s="299"/>
      <c r="U54" s="299"/>
      <c r="V54" s="299"/>
      <c r="W54" s="299"/>
      <c r="X54" s="299"/>
      <c r="Y54" s="299"/>
      <c r="Z54" s="299"/>
      <c r="AA54" s="299"/>
      <c r="AB54" s="299"/>
      <c r="AC54" s="300"/>
      <c r="AD54" s="300"/>
    </row>
    <row r="55" spans="1:30" ht="12.75" customHeight="1" x14ac:dyDescent="0.2">
      <c r="A55" s="296"/>
      <c r="B55" s="296"/>
      <c r="C55" s="296"/>
      <c r="D55" s="298"/>
      <c r="E55" s="298"/>
      <c r="F55" s="296"/>
      <c r="G55" s="296"/>
      <c r="H55" s="296"/>
      <c r="I55" s="296"/>
      <c r="J55" s="296"/>
      <c r="K55" s="296"/>
      <c r="L55" s="296"/>
      <c r="M55" s="299"/>
      <c r="N55" s="299"/>
      <c r="O55" s="299"/>
      <c r="P55" s="299"/>
      <c r="Q55" s="299"/>
      <c r="R55" s="299"/>
      <c r="S55" s="299"/>
      <c r="T55" s="299"/>
      <c r="U55" s="299"/>
      <c r="V55" s="299"/>
      <c r="W55" s="299"/>
      <c r="X55" s="299"/>
      <c r="Y55" s="299"/>
      <c r="Z55" s="299"/>
      <c r="AA55" s="299"/>
      <c r="AB55" s="299"/>
      <c r="AC55" s="300"/>
      <c r="AD55" s="300"/>
    </row>
    <row r="56" spans="1:30" ht="12.75" customHeight="1" x14ac:dyDescent="0.2">
      <c r="A56" s="296"/>
      <c r="B56" s="296"/>
      <c r="C56" s="296"/>
      <c r="D56" s="298"/>
      <c r="E56" s="298"/>
      <c r="F56" s="296"/>
      <c r="G56" s="296"/>
      <c r="H56" s="296"/>
      <c r="I56" s="296"/>
      <c r="J56" s="296"/>
      <c r="K56" s="296"/>
      <c r="L56" s="296"/>
      <c r="M56" s="299"/>
      <c r="N56" s="299"/>
      <c r="O56" s="299"/>
      <c r="P56" s="299"/>
      <c r="Q56" s="299"/>
      <c r="R56" s="299"/>
      <c r="S56" s="299"/>
      <c r="T56" s="299"/>
      <c r="U56" s="299"/>
      <c r="V56" s="299"/>
      <c r="W56" s="299"/>
      <c r="X56" s="299"/>
      <c r="Y56" s="299"/>
      <c r="Z56" s="299"/>
      <c r="AA56" s="299"/>
      <c r="AB56" s="299"/>
      <c r="AC56" s="300"/>
      <c r="AD56" s="300"/>
    </row>
    <row r="57" spans="1:30" ht="12.75" customHeight="1" x14ac:dyDescent="0.2">
      <c r="A57" s="296"/>
      <c r="B57" s="296"/>
      <c r="C57" s="296"/>
      <c r="D57" s="298"/>
      <c r="E57" s="298"/>
      <c r="F57" s="296"/>
      <c r="G57" s="296"/>
      <c r="H57" s="296"/>
      <c r="I57" s="296"/>
      <c r="J57" s="296"/>
      <c r="K57" s="296"/>
      <c r="L57" s="296"/>
      <c r="M57" s="299"/>
      <c r="N57" s="299"/>
      <c r="O57" s="299"/>
      <c r="P57" s="299"/>
      <c r="Q57" s="299"/>
      <c r="R57" s="299"/>
      <c r="S57" s="299"/>
      <c r="T57" s="299"/>
      <c r="U57" s="299"/>
      <c r="V57" s="299"/>
      <c r="W57" s="299"/>
      <c r="X57" s="299"/>
      <c r="Y57" s="299"/>
      <c r="Z57" s="299"/>
      <c r="AA57" s="299"/>
      <c r="AB57" s="299"/>
      <c r="AC57" s="300"/>
      <c r="AD57" s="300"/>
    </row>
    <row r="58" spans="1:30" ht="12.75" customHeight="1" x14ac:dyDescent="0.2">
      <c r="A58" s="296"/>
      <c r="B58" s="296"/>
      <c r="C58" s="296"/>
      <c r="D58" s="298"/>
      <c r="E58" s="298"/>
      <c r="F58" s="296"/>
      <c r="G58" s="296"/>
      <c r="H58" s="296"/>
      <c r="I58" s="296"/>
      <c r="J58" s="296"/>
      <c r="K58" s="296"/>
      <c r="L58" s="296"/>
      <c r="M58" s="299"/>
      <c r="N58" s="299"/>
      <c r="O58" s="299"/>
      <c r="P58" s="299"/>
      <c r="Q58" s="299"/>
      <c r="R58" s="299"/>
      <c r="S58" s="299"/>
      <c r="T58" s="299"/>
      <c r="U58" s="299"/>
      <c r="V58" s="299"/>
      <c r="W58" s="299"/>
      <c r="X58" s="299"/>
      <c r="Y58" s="299"/>
      <c r="Z58" s="299"/>
      <c r="AA58" s="299"/>
      <c r="AB58" s="299"/>
      <c r="AC58" s="300"/>
      <c r="AD58" s="300"/>
    </row>
    <row r="59" spans="1:30" ht="12.75" customHeight="1" x14ac:dyDescent="0.2">
      <c r="A59" s="296"/>
      <c r="B59" s="296"/>
      <c r="C59" s="296"/>
      <c r="D59" s="298"/>
      <c r="E59" s="298"/>
      <c r="F59" s="296"/>
      <c r="G59" s="296"/>
      <c r="H59" s="296"/>
      <c r="I59" s="296"/>
      <c r="J59" s="296"/>
      <c r="K59" s="296"/>
      <c r="L59" s="296"/>
      <c r="M59" s="299"/>
      <c r="N59" s="299"/>
      <c r="O59" s="299"/>
      <c r="P59" s="299"/>
      <c r="Q59" s="299"/>
      <c r="R59" s="299"/>
      <c r="S59" s="299"/>
      <c r="T59" s="299"/>
      <c r="U59" s="299"/>
      <c r="V59" s="299"/>
      <c r="W59" s="299"/>
      <c r="X59" s="299"/>
      <c r="Y59" s="299"/>
      <c r="Z59" s="299"/>
      <c r="AA59" s="299"/>
      <c r="AB59" s="299"/>
      <c r="AC59" s="300"/>
      <c r="AD59" s="300"/>
    </row>
    <row r="60" spans="1:30" ht="12.75" customHeight="1" x14ac:dyDescent="0.2">
      <c r="A60" s="296"/>
      <c r="B60" s="296"/>
      <c r="C60" s="296"/>
      <c r="D60" s="298"/>
      <c r="E60" s="298"/>
      <c r="F60" s="296"/>
      <c r="G60" s="296"/>
      <c r="H60" s="296"/>
      <c r="I60" s="296"/>
      <c r="J60" s="296"/>
      <c r="K60" s="296"/>
      <c r="L60" s="296"/>
      <c r="M60" s="299"/>
      <c r="N60" s="299"/>
      <c r="O60" s="299"/>
      <c r="P60" s="299"/>
      <c r="Q60" s="299"/>
      <c r="R60" s="299"/>
      <c r="S60" s="299"/>
      <c r="T60" s="299"/>
      <c r="U60" s="299"/>
      <c r="V60" s="299"/>
      <c r="W60" s="299"/>
      <c r="X60" s="299"/>
      <c r="Y60" s="299"/>
      <c r="Z60" s="299"/>
      <c r="AA60" s="299"/>
      <c r="AB60" s="299"/>
      <c r="AC60" s="300"/>
      <c r="AD60" s="300"/>
    </row>
    <row r="61" spans="1:30" ht="12.75" customHeight="1" x14ac:dyDescent="0.2">
      <c r="A61" s="296"/>
      <c r="B61" s="296"/>
      <c r="C61" s="296"/>
      <c r="D61" s="298"/>
      <c r="E61" s="298"/>
      <c r="F61" s="296"/>
      <c r="G61" s="296"/>
      <c r="H61" s="296"/>
      <c r="I61" s="296"/>
      <c r="J61" s="296"/>
      <c r="K61" s="296"/>
      <c r="L61" s="296"/>
      <c r="M61" s="299"/>
      <c r="N61" s="299"/>
      <c r="O61" s="299"/>
      <c r="P61" s="299"/>
      <c r="Q61" s="299"/>
      <c r="R61" s="299"/>
      <c r="S61" s="299"/>
      <c r="T61" s="299"/>
      <c r="U61" s="299"/>
      <c r="V61" s="299"/>
      <c r="W61" s="299"/>
      <c r="X61" s="299"/>
      <c r="Y61" s="299"/>
      <c r="Z61" s="299"/>
      <c r="AA61" s="299"/>
      <c r="AB61" s="299"/>
      <c r="AC61" s="300"/>
      <c r="AD61" s="300"/>
    </row>
    <row r="62" spans="1:30" ht="12.75" customHeight="1" x14ac:dyDescent="0.2">
      <c r="A62" s="296"/>
      <c r="B62" s="296"/>
      <c r="C62" s="296"/>
      <c r="D62" s="298"/>
      <c r="E62" s="298"/>
      <c r="F62" s="296"/>
      <c r="G62" s="296"/>
      <c r="H62" s="296"/>
      <c r="I62" s="296"/>
      <c r="J62" s="296"/>
      <c r="K62" s="296"/>
      <c r="L62" s="296"/>
      <c r="M62" s="299"/>
      <c r="N62" s="299"/>
      <c r="O62" s="299"/>
      <c r="P62" s="299"/>
      <c r="Q62" s="299"/>
      <c r="R62" s="299"/>
      <c r="S62" s="299"/>
      <c r="T62" s="299"/>
      <c r="U62" s="299"/>
      <c r="V62" s="299"/>
      <c r="W62" s="299"/>
      <c r="X62" s="299"/>
      <c r="Y62" s="299"/>
      <c r="Z62" s="299"/>
      <c r="AA62" s="299"/>
      <c r="AB62" s="299"/>
      <c r="AC62" s="300"/>
      <c r="AD62" s="300"/>
    </row>
    <row r="63" spans="1:30" ht="12.75" customHeight="1" x14ac:dyDescent="0.2">
      <c r="A63" s="296"/>
      <c r="B63" s="296"/>
      <c r="C63" s="296"/>
      <c r="D63" s="298"/>
      <c r="E63" s="298"/>
      <c r="F63" s="296"/>
      <c r="G63" s="296"/>
      <c r="H63" s="296"/>
      <c r="I63" s="296"/>
      <c r="J63" s="296"/>
      <c r="K63" s="296"/>
      <c r="L63" s="296"/>
      <c r="M63" s="299"/>
      <c r="N63" s="299"/>
      <c r="O63" s="299"/>
      <c r="P63" s="299"/>
      <c r="Q63" s="299"/>
      <c r="R63" s="299"/>
      <c r="S63" s="299"/>
      <c r="T63" s="299"/>
      <c r="U63" s="299"/>
      <c r="V63" s="299"/>
      <c r="W63" s="299"/>
      <c r="X63" s="299"/>
      <c r="Y63" s="299"/>
      <c r="Z63" s="299"/>
      <c r="AA63" s="299"/>
      <c r="AB63" s="299"/>
      <c r="AC63" s="300"/>
      <c r="AD63" s="300"/>
    </row>
    <row r="64" spans="1:30" ht="12.75" customHeight="1" x14ac:dyDescent="0.2">
      <c r="A64" s="296"/>
      <c r="B64" s="296"/>
      <c r="C64" s="296"/>
      <c r="D64" s="298"/>
      <c r="E64" s="298"/>
      <c r="F64" s="296"/>
      <c r="G64" s="296"/>
      <c r="H64" s="296"/>
      <c r="I64" s="296"/>
      <c r="J64" s="296"/>
      <c r="K64" s="296"/>
      <c r="L64" s="296"/>
      <c r="M64" s="299"/>
      <c r="N64" s="299"/>
      <c r="O64" s="299"/>
      <c r="P64" s="299"/>
      <c r="Q64" s="299"/>
      <c r="R64" s="299"/>
      <c r="S64" s="299"/>
      <c r="T64" s="299"/>
      <c r="U64" s="299"/>
      <c r="V64" s="299"/>
      <c r="W64" s="299"/>
      <c r="X64" s="299"/>
      <c r="Y64" s="299"/>
      <c r="Z64" s="299"/>
      <c r="AA64" s="299"/>
      <c r="AB64" s="299"/>
      <c r="AC64" s="300"/>
      <c r="AD64" s="300"/>
    </row>
    <row r="65" spans="1:30" ht="12.75" customHeight="1" x14ac:dyDescent="0.2">
      <c r="A65" s="296"/>
      <c r="B65" s="296"/>
      <c r="C65" s="296"/>
      <c r="D65" s="298"/>
      <c r="E65" s="298"/>
      <c r="F65" s="296"/>
      <c r="G65" s="296"/>
      <c r="H65" s="296"/>
      <c r="I65" s="296"/>
      <c r="J65" s="296"/>
      <c r="K65" s="296"/>
      <c r="L65" s="296"/>
      <c r="M65" s="299"/>
      <c r="N65" s="299"/>
      <c r="O65" s="299"/>
      <c r="P65" s="299"/>
      <c r="Q65" s="299"/>
      <c r="R65" s="299"/>
      <c r="S65" s="299"/>
      <c r="T65" s="299"/>
      <c r="U65" s="299"/>
      <c r="V65" s="299"/>
      <c r="W65" s="299"/>
      <c r="X65" s="299"/>
      <c r="Y65" s="299"/>
      <c r="Z65" s="299"/>
      <c r="AA65" s="299"/>
      <c r="AB65" s="299"/>
      <c r="AC65" s="300"/>
      <c r="AD65" s="300"/>
    </row>
    <row r="66" spans="1:30" ht="12.75" customHeight="1" x14ac:dyDescent="0.2">
      <c r="A66" s="296"/>
      <c r="B66" s="296"/>
      <c r="C66" s="296"/>
      <c r="D66" s="298"/>
      <c r="E66" s="298"/>
      <c r="F66" s="296"/>
      <c r="G66" s="296"/>
      <c r="H66" s="296"/>
      <c r="I66" s="296"/>
      <c r="J66" s="296"/>
      <c r="K66" s="296"/>
      <c r="L66" s="296"/>
      <c r="M66" s="299"/>
      <c r="N66" s="299"/>
      <c r="O66" s="299"/>
      <c r="P66" s="299"/>
      <c r="Q66" s="299"/>
      <c r="R66" s="299"/>
      <c r="S66" s="299"/>
      <c r="T66" s="299"/>
      <c r="U66" s="299"/>
      <c r="V66" s="299"/>
      <c r="W66" s="299"/>
      <c r="X66" s="299"/>
      <c r="Y66" s="299"/>
      <c r="Z66" s="299"/>
      <c r="AA66" s="299"/>
      <c r="AB66" s="299"/>
      <c r="AC66" s="300"/>
      <c r="AD66" s="300"/>
    </row>
    <row r="67" spans="1:30" ht="12.75" customHeight="1" x14ac:dyDescent="0.2">
      <c r="A67" s="296"/>
      <c r="B67" s="296"/>
      <c r="C67" s="296"/>
      <c r="D67" s="298"/>
      <c r="E67" s="298"/>
      <c r="F67" s="296"/>
      <c r="G67" s="296"/>
      <c r="H67" s="296"/>
      <c r="I67" s="296"/>
      <c r="J67" s="296"/>
      <c r="K67" s="296"/>
      <c r="L67" s="296"/>
      <c r="M67" s="299"/>
      <c r="N67" s="299"/>
      <c r="O67" s="299"/>
      <c r="P67" s="299"/>
      <c r="Q67" s="299"/>
      <c r="R67" s="299"/>
      <c r="S67" s="299"/>
      <c r="T67" s="299"/>
      <c r="U67" s="299"/>
      <c r="V67" s="299"/>
      <c r="W67" s="299"/>
      <c r="X67" s="299"/>
      <c r="Y67" s="299"/>
      <c r="Z67" s="299"/>
      <c r="AA67" s="299"/>
      <c r="AB67" s="299"/>
      <c r="AC67" s="300"/>
      <c r="AD67" s="300"/>
    </row>
    <row r="68" spans="1:30" ht="12.75" customHeight="1" x14ac:dyDescent="0.2">
      <c r="A68" s="296"/>
      <c r="B68" s="296"/>
      <c r="C68" s="296"/>
      <c r="D68" s="298"/>
      <c r="E68" s="298"/>
      <c r="F68" s="296"/>
      <c r="G68" s="296"/>
      <c r="H68" s="296"/>
      <c r="I68" s="296"/>
      <c r="J68" s="296"/>
      <c r="K68" s="296"/>
      <c r="L68" s="296"/>
      <c r="M68" s="299"/>
      <c r="N68" s="299"/>
      <c r="O68" s="299"/>
      <c r="P68" s="299"/>
      <c r="Q68" s="299"/>
      <c r="R68" s="299"/>
      <c r="S68" s="299"/>
      <c r="T68" s="299"/>
      <c r="U68" s="299"/>
      <c r="V68" s="299"/>
      <c r="W68" s="299"/>
      <c r="X68" s="299"/>
      <c r="Y68" s="299"/>
      <c r="Z68" s="299"/>
      <c r="AA68" s="299"/>
      <c r="AB68" s="299"/>
      <c r="AC68" s="300"/>
      <c r="AD68" s="300"/>
    </row>
    <row r="69" spans="1:30" ht="12.75" customHeight="1" x14ac:dyDescent="0.2">
      <c r="A69" s="296"/>
      <c r="B69" s="296"/>
      <c r="C69" s="296"/>
      <c r="D69" s="298"/>
      <c r="E69" s="298"/>
      <c r="F69" s="296"/>
      <c r="G69" s="296"/>
      <c r="H69" s="296"/>
      <c r="I69" s="296"/>
      <c r="J69" s="296"/>
      <c r="K69" s="296"/>
      <c r="L69" s="296"/>
      <c r="M69" s="299"/>
      <c r="N69" s="299"/>
      <c r="O69" s="299"/>
      <c r="P69" s="299"/>
      <c r="Q69" s="299"/>
      <c r="R69" s="299"/>
      <c r="S69" s="299"/>
      <c r="T69" s="299"/>
      <c r="U69" s="299"/>
      <c r="V69" s="299"/>
      <c r="W69" s="299"/>
      <c r="X69" s="299"/>
      <c r="Y69" s="299"/>
      <c r="Z69" s="299"/>
      <c r="AA69" s="299"/>
      <c r="AB69" s="299"/>
      <c r="AC69" s="300"/>
      <c r="AD69" s="300"/>
    </row>
    <row r="70" spans="1:30" ht="12.75" customHeight="1" x14ac:dyDescent="0.2">
      <c r="A70" s="296"/>
      <c r="B70" s="296"/>
      <c r="C70" s="296"/>
      <c r="D70" s="298"/>
      <c r="E70" s="298"/>
      <c r="F70" s="296"/>
      <c r="G70" s="296"/>
      <c r="H70" s="296"/>
      <c r="I70" s="296"/>
      <c r="J70" s="296"/>
      <c r="K70" s="296"/>
      <c r="L70" s="296"/>
      <c r="M70" s="299"/>
      <c r="N70" s="299"/>
      <c r="O70" s="299"/>
      <c r="P70" s="299"/>
      <c r="Q70" s="299"/>
      <c r="R70" s="299"/>
      <c r="S70" s="299"/>
      <c r="T70" s="299"/>
      <c r="U70" s="299"/>
      <c r="V70" s="299"/>
      <c r="W70" s="299"/>
      <c r="X70" s="299"/>
      <c r="Y70" s="299"/>
      <c r="Z70" s="299"/>
      <c r="AA70" s="299"/>
      <c r="AB70" s="299"/>
      <c r="AC70" s="300"/>
      <c r="AD70" s="300"/>
    </row>
    <row r="71" spans="1:30" ht="12.75" customHeight="1" x14ac:dyDescent="0.2">
      <c r="A71" s="296"/>
      <c r="B71" s="296"/>
      <c r="C71" s="296"/>
      <c r="D71" s="298"/>
      <c r="E71" s="298"/>
      <c r="F71" s="296"/>
      <c r="G71" s="296"/>
      <c r="H71" s="296"/>
      <c r="I71" s="296"/>
      <c r="J71" s="296"/>
      <c r="K71" s="296"/>
      <c r="L71" s="296"/>
      <c r="M71" s="299"/>
      <c r="N71" s="299"/>
      <c r="O71" s="299"/>
      <c r="P71" s="299"/>
      <c r="Q71" s="299"/>
      <c r="R71" s="299"/>
      <c r="S71" s="299"/>
      <c r="T71" s="299"/>
      <c r="U71" s="299"/>
      <c r="V71" s="299"/>
      <c r="W71" s="299"/>
      <c r="X71" s="299"/>
      <c r="Y71" s="299"/>
      <c r="Z71" s="299"/>
      <c r="AA71" s="299"/>
      <c r="AB71" s="299"/>
      <c r="AC71" s="300"/>
      <c r="AD71" s="300"/>
    </row>
    <row r="72" spans="1:30" ht="12.75" customHeight="1" x14ac:dyDescent="0.2">
      <c r="A72" s="296"/>
      <c r="B72" s="296"/>
      <c r="C72" s="296"/>
      <c r="D72" s="298"/>
      <c r="E72" s="298"/>
      <c r="F72" s="296"/>
      <c r="G72" s="296"/>
      <c r="H72" s="296"/>
      <c r="I72" s="296"/>
      <c r="J72" s="296"/>
      <c r="K72" s="296"/>
      <c r="L72" s="296"/>
      <c r="M72" s="299"/>
      <c r="N72" s="299"/>
      <c r="O72" s="299"/>
      <c r="P72" s="299"/>
      <c r="Q72" s="299"/>
      <c r="R72" s="299"/>
      <c r="S72" s="299"/>
      <c r="T72" s="299"/>
      <c r="U72" s="299"/>
      <c r="V72" s="299"/>
      <c r="W72" s="299"/>
      <c r="X72" s="299"/>
      <c r="Y72" s="299"/>
      <c r="Z72" s="299"/>
      <c r="AA72" s="299"/>
      <c r="AB72" s="299"/>
      <c r="AC72" s="300"/>
      <c r="AD72" s="300"/>
    </row>
    <row r="73" spans="1:30" ht="12.75" customHeight="1" x14ac:dyDescent="0.2">
      <c r="A73" s="296"/>
      <c r="B73" s="296"/>
      <c r="C73" s="296"/>
      <c r="D73" s="298"/>
      <c r="E73" s="298"/>
      <c r="F73" s="296"/>
      <c r="G73" s="296"/>
      <c r="H73" s="296"/>
      <c r="I73" s="296"/>
      <c r="J73" s="296"/>
      <c r="K73" s="296"/>
      <c r="L73" s="296"/>
      <c r="M73" s="299"/>
      <c r="N73" s="299"/>
      <c r="O73" s="299"/>
      <c r="P73" s="299"/>
      <c r="Q73" s="299"/>
      <c r="R73" s="299"/>
      <c r="S73" s="299"/>
      <c r="T73" s="299"/>
      <c r="U73" s="299"/>
      <c r="V73" s="299"/>
      <c r="W73" s="299"/>
      <c r="X73" s="299"/>
      <c r="Y73" s="299"/>
      <c r="Z73" s="299"/>
      <c r="AA73" s="299"/>
      <c r="AB73" s="299"/>
      <c r="AC73" s="300"/>
      <c r="AD73" s="300"/>
    </row>
    <row r="74" spans="1:30" ht="12.75" customHeight="1" x14ac:dyDescent="0.2">
      <c r="A74" s="296"/>
      <c r="B74" s="296"/>
      <c r="C74" s="296"/>
      <c r="D74" s="298"/>
      <c r="E74" s="298"/>
      <c r="F74" s="296"/>
      <c r="G74" s="296"/>
      <c r="H74" s="296"/>
      <c r="I74" s="296"/>
      <c r="J74" s="296"/>
      <c r="K74" s="296"/>
      <c r="L74" s="296"/>
      <c r="M74" s="299"/>
      <c r="N74" s="299"/>
      <c r="O74" s="299"/>
      <c r="P74" s="299"/>
      <c r="Q74" s="299"/>
      <c r="R74" s="299"/>
      <c r="S74" s="299"/>
      <c r="T74" s="299"/>
      <c r="U74" s="299"/>
      <c r="V74" s="299"/>
      <c r="W74" s="299"/>
      <c r="X74" s="299"/>
      <c r="Y74" s="299"/>
      <c r="Z74" s="299"/>
      <c r="AA74" s="299"/>
      <c r="AB74" s="299"/>
      <c r="AC74" s="300"/>
      <c r="AD74" s="300"/>
    </row>
    <row r="75" spans="1:30" ht="12.75" customHeight="1" x14ac:dyDescent="0.2">
      <c r="A75" s="296"/>
      <c r="B75" s="296"/>
      <c r="C75" s="296"/>
      <c r="D75" s="298"/>
      <c r="E75" s="298"/>
      <c r="F75" s="296"/>
      <c r="G75" s="296"/>
      <c r="H75" s="296"/>
      <c r="I75" s="296"/>
      <c r="J75" s="296"/>
      <c r="K75" s="296"/>
      <c r="L75" s="296"/>
      <c r="M75" s="299"/>
      <c r="N75" s="299"/>
      <c r="O75" s="299"/>
      <c r="P75" s="299"/>
      <c r="Q75" s="299"/>
      <c r="R75" s="299"/>
      <c r="S75" s="299"/>
      <c r="T75" s="299"/>
      <c r="U75" s="299"/>
      <c r="V75" s="299"/>
      <c r="W75" s="299"/>
      <c r="X75" s="299"/>
      <c r="Y75" s="299"/>
      <c r="Z75" s="299"/>
      <c r="AA75" s="299"/>
      <c r="AB75" s="299"/>
      <c r="AC75" s="300"/>
      <c r="AD75" s="300"/>
    </row>
    <row r="76" spans="1:30" ht="12.75" customHeight="1" x14ac:dyDescent="0.2">
      <c r="A76" s="296"/>
      <c r="B76" s="296"/>
      <c r="C76" s="296"/>
      <c r="D76" s="298"/>
      <c r="E76" s="298"/>
      <c r="F76" s="296"/>
      <c r="G76" s="296"/>
      <c r="H76" s="296"/>
      <c r="I76" s="296"/>
      <c r="J76" s="296"/>
      <c r="K76" s="296"/>
      <c r="L76" s="296"/>
      <c r="M76" s="299"/>
      <c r="N76" s="299"/>
      <c r="O76" s="299"/>
      <c r="P76" s="299"/>
      <c r="Q76" s="299"/>
      <c r="R76" s="299"/>
      <c r="S76" s="299"/>
      <c r="T76" s="299"/>
      <c r="U76" s="299"/>
      <c r="V76" s="299"/>
      <c r="W76" s="299"/>
      <c r="X76" s="299"/>
      <c r="Y76" s="299"/>
      <c r="Z76" s="299"/>
      <c r="AA76" s="299"/>
      <c r="AB76" s="299"/>
      <c r="AC76" s="300"/>
      <c r="AD76" s="300"/>
    </row>
    <row r="77" spans="1:30" ht="12.75" customHeight="1" x14ac:dyDescent="0.2">
      <c r="A77" s="296"/>
      <c r="B77" s="296"/>
      <c r="C77" s="296"/>
      <c r="D77" s="298"/>
      <c r="E77" s="298"/>
      <c r="F77" s="296"/>
      <c r="G77" s="296"/>
      <c r="H77" s="296"/>
      <c r="I77" s="296"/>
      <c r="J77" s="296"/>
      <c r="K77" s="296"/>
      <c r="L77" s="296"/>
      <c r="M77" s="299"/>
      <c r="N77" s="299"/>
      <c r="O77" s="299"/>
      <c r="P77" s="299"/>
      <c r="Q77" s="299"/>
      <c r="R77" s="299"/>
      <c r="S77" s="299"/>
      <c r="T77" s="299"/>
      <c r="U77" s="299"/>
      <c r="V77" s="299"/>
      <c r="W77" s="299"/>
      <c r="X77" s="299"/>
      <c r="Y77" s="299"/>
      <c r="Z77" s="299"/>
      <c r="AA77" s="299"/>
      <c r="AB77" s="299"/>
      <c r="AC77" s="300"/>
      <c r="AD77" s="300"/>
    </row>
    <row r="78" spans="1:30" ht="12.75" customHeight="1" x14ac:dyDescent="0.2">
      <c r="A78" s="296"/>
      <c r="B78" s="296"/>
      <c r="C78" s="296"/>
      <c r="D78" s="298"/>
      <c r="E78" s="298"/>
      <c r="F78" s="296"/>
      <c r="G78" s="296"/>
      <c r="H78" s="296"/>
      <c r="I78" s="296"/>
      <c r="J78" s="296"/>
      <c r="K78" s="296"/>
      <c r="L78" s="296"/>
      <c r="M78" s="299"/>
      <c r="N78" s="299"/>
      <c r="O78" s="299"/>
      <c r="P78" s="299"/>
      <c r="Q78" s="299"/>
      <c r="R78" s="299"/>
      <c r="S78" s="299"/>
      <c r="T78" s="299"/>
      <c r="U78" s="299"/>
      <c r="V78" s="299"/>
      <c r="W78" s="299"/>
      <c r="X78" s="299"/>
      <c r="Y78" s="299"/>
      <c r="Z78" s="299"/>
      <c r="AA78" s="299"/>
      <c r="AB78" s="299"/>
      <c r="AC78" s="300"/>
      <c r="AD78" s="300"/>
    </row>
    <row r="79" spans="1:30" ht="12.75" customHeight="1" x14ac:dyDescent="0.2">
      <c r="A79" s="296"/>
      <c r="B79" s="296"/>
      <c r="C79" s="296"/>
      <c r="D79" s="298"/>
      <c r="E79" s="298"/>
      <c r="F79" s="296"/>
      <c r="G79" s="296"/>
      <c r="H79" s="296"/>
      <c r="I79" s="296"/>
      <c r="J79" s="296"/>
      <c r="K79" s="296"/>
      <c r="L79" s="296"/>
      <c r="M79" s="299"/>
      <c r="N79" s="299"/>
      <c r="O79" s="299"/>
      <c r="P79" s="299"/>
      <c r="Q79" s="299"/>
      <c r="R79" s="299"/>
      <c r="S79" s="299"/>
      <c r="T79" s="299"/>
      <c r="U79" s="299"/>
      <c r="V79" s="299"/>
      <c r="W79" s="299"/>
      <c r="X79" s="299"/>
      <c r="Y79" s="299"/>
      <c r="Z79" s="299"/>
      <c r="AA79" s="299"/>
      <c r="AB79" s="299"/>
      <c r="AC79" s="300"/>
      <c r="AD79" s="300"/>
    </row>
    <row r="80" spans="1:30" ht="12.75" customHeight="1" x14ac:dyDescent="0.2">
      <c r="A80" s="296"/>
      <c r="B80" s="296"/>
      <c r="C80" s="296"/>
      <c r="D80" s="298"/>
      <c r="E80" s="298"/>
      <c r="F80" s="296"/>
      <c r="G80" s="296"/>
      <c r="H80" s="296"/>
      <c r="I80" s="296"/>
      <c r="J80" s="296"/>
      <c r="K80" s="296"/>
      <c r="L80" s="296"/>
      <c r="M80" s="299"/>
      <c r="N80" s="299"/>
      <c r="O80" s="299"/>
      <c r="P80" s="299"/>
      <c r="Q80" s="299"/>
      <c r="R80" s="299"/>
      <c r="S80" s="299"/>
      <c r="T80" s="299"/>
      <c r="U80" s="299"/>
      <c r="V80" s="299"/>
      <c r="W80" s="299"/>
      <c r="X80" s="299"/>
      <c r="Y80" s="299"/>
      <c r="Z80" s="299"/>
      <c r="AA80" s="299"/>
      <c r="AB80" s="299"/>
      <c r="AC80" s="300"/>
      <c r="AD80" s="300"/>
    </row>
    <row r="81" spans="1:30" ht="12.75" customHeight="1" x14ac:dyDescent="0.2">
      <c r="A81" s="296"/>
      <c r="B81" s="296"/>
      <c r="C81" s="296"/>
      <c r="D81" s="298"/>
      <c r="E81" s="298"/>
      <c r="F81" s="296"/>
      <c r="G81" s="296"/>
      <c r="H81" s="296"/>
      <c r="I81" s="296"/>
      <c r="J81" s="296"/>
      <c r="K81" s="296"/>
      <c r="L81" s="296"/>
      <c r="M81" s="299"/>
      <c r="N81" s="299"/>
      <c r="O81" s="299"/>
      <c r="P81" s="299"/>
      <c r="Q81" s="299"/>
      <c r="R81" s="299"/>
      <c r="S81" s="299"/>
      <c r="T81" s="299"/>
      <c r="U81" s="299"/>
      <c r="V81" s="299"/>
      <c r="W81" s="299"/>
      <c r="X81" s="299"/>
      <c r="Y81" s="299"/>
      <c r="Z81" s="299"/>
      <c r="AA81" s="299"/>
      <c r="AB81" s="299"/>
      <c r="AC81" s="300"/>
      <c r="AD81" s="300"/>
    </row>
    <row r="82" spans="1:30" ht="12.75" customHeight="1" x14ac:dyDescent="0.2">
      <c r="A82" s="296"/>
      <c r="B82" s="296"/>
      <c r="C82" s="296"/>
      <c r="D82" s="298"/>
      <c r="E82" s="298"/>
      <c r="F82" s="296"/>
      <c r="G82" s="296"/>
      <c r="H82" s="296"/>
      <c r="I82" s="296"/>
      <c r="J82" s="296"/>
      <c r="K82" s="296"/>
      <c r="L82" s="296"/>
      <c r="M82" s="299"/>
      <c r="N82" s="299"/>
      <c r="O82" s="299"/>
      <c r="P82" s="299"/>
      <c r="Q82" s="299"/>
      <c r="R82" s="299"/>
      <c r="S82" s="299"/>
      <c r="T82" s="299"/>
      <c r="U82" s="299"/>
      <c r="V82" s="299"/>
      <c r="W82" s="299"/>
      <c r="X82" s="299"/>
      <c r="Y82" s="299"/>
      <c r="Z82" s="299"/>
      <c r="AA82" s="299"/>
      <c r="AB82" s="299"/>
      <c r="AC82" s="300"/>
      <c r="AD82" s="300"/>
    </row>
    <row r="83" spans="1:30" ht="12.75" customHeight="1" x14ac:dyDescent="0.2">
      <c r="A83" s="296"/>
      <c r="B83" s="296"/>
      <c r="C83" s="296"/>
      <c r="D83" s="298"/>
      <c r="E83" s="298"/>
      <c r="F83" s="296"/>
      <c r="G83" s="296"/>
      <c r="H83" s="296"/>
      <c r="I83" s="296"/>
      <c r="J83" s="296"/>
      <c r="K83" s="296"/>
      <c r="L83" s="296"/>
      <c r="M83" s="299"/>
      <c r="N83" s="299"/>
      <c r="O83" s="299"/>
      <c r="P83" s="299"/>
      <c r="Q83" s="299"/>
      <c r="R83" s="299"/>
      <c r="S83" s="299"/>
      <c r="T83" s="299"/>
      <c r="U83" s="299"/>
      <c r="V83" s="299"/>
      <c r="W83" s="299"/>
      <c r="X83" s="299"/>
      <c r="Y83" s="299"/>
      <c r="Z83" s="299"/>
      <c r="AA83" s="299"/>
      <c r="AB83" s="299"/>
      <c r="AC83" s="300"/>
      <c r="AD83" s="300"/>
    </row>
    <row r="84" spans="1:30" ht="12.75" customHeight="1" x14ac:dyDescent="0.2">
      <c r="A84" s="296"/>
      <c r="B84" s="296"/>
      <c r="C84" s="296"/>
      <c r="D84" s="298"/>
      <c r="E84" s="298"/>
      <c r="F84" s="296"/>
      <c r="G84" s="296"/>
      <c r="H84" s="296"/>
      <c r="I84" s="296"/>
      <c r="J84" s="296"/>
      <c r="K84" s="296"/>
      <c r="L84" s="296"/>
      <c r="M84" s="299"/>
      <c r="N84" s="299"/>
      <c r="O84" s="299"/>
      <c r="P84" s="299"/>
      <c r="Q84" s="299"/>
      <c r="R84" s="299"/>
      <c r="S84" s="299"/>
      <c r="T84" s="299"/>
      <c r="U84" s="299"/>
      <c r="V84" s="299"/>
      <c r="W84" s="299"/>
      <c r="X84" s="299"/>
      <c r="Y84" s="299"/>
      <c r="Z84" s="299"/>
      <c r="AA84" s="299"/>
      <c r="AB84" s="299"/>
      <c r="AC84" s="300"/>
      <c r="AD84" s="300"/>
    </row>
    <row r="85" spans="1:30" ht="12.75" customHeight="1" x14ac:dyDescent="0.2">
      <c r="A85" s="296"/>
      <c r="B85" s="296"/>
      <c r="C85" s="296"/>
      <c r="D85" s="298"/>
      <c r="E85" s="298"/>
      <c r="F85" s="296"/>
      <c r="G85" s="296"/>
      <c r="H85" s="296"/>
      <c r="I85" s="296"/>
      <c r="J85" s="296"/>
      <c r="K85" s="296"/>
      <c r="L85" s="296"/>
      <c r="M85" s="299"/>
      <c r="N85" s="299"/>
      <c r="O85" s="299"/>
      <c r="P85" s="299"/>
      <c r="Q85" s="299"/>
      <c r="R85" s="299"/>
      <c r="S85" s="299"/>
      <c r="T85" s="299"/>
      <c r="U85" s="299"/>
      <c r="V85" s="299"/>
      <c r="W85" s="299"/>
      <c r="X85" s="299"/>
      <c r="Y85" s="299"/>
      <c r="Z85" s="299"/>
      <c r="AA85" s="299"/>
      <c r="AB85" s="299"/>
      <c r="AC85" s="300"/>
      <c r="AD85" s="300"/>
    </row>
    <row r="86" spans="1:30" ht="12.75" customHeight="1" x14ac:dyDescent="0.2">
      <c r="A86" s="296"/>
      <c r="B86" s="296"/>
      <c r="C86" s="296"/>
      <c r="D86" s="298"/>
      <c r="E86" s="298"/>
      <c r="F86" s="296"/>
      <c r="G86" s="296"/>
      <c r="H86" s="296"/>
      <c r="I86" s="296"/>
      <c r="J86" s="296"/>
      <c r="K86" s="296"/>
      <c r="L86" s="296"/>
      <c r="M86" s="299"/>
      <c r="N86" s="299"/>
      <c r="O86" s="299"/>
      <c r="P86" s="299"/>
      <c r="Q86" s="299"/>
      <c r="R86" s="299"/>
      <c r="S86" s="299"/>
      <c r="T86" s="299"/>
      <c r="U86" s="299"/>
      <c r="V86" s="299"/>
      <c r="W86" s="299"/>
      <c r="X86" s="299"/>
      <c r="Y86" s="299"/>
      <c r="Z86" s="299"/>
      <c r="AA86" s="299"/>
      <c r="AB86" s="299"/>
      <c r="AC86" s="300"/>
      <c r="AD86" s="300"/>
    </row>
    <row r="87" spans="1:30" ht="12.75" customHeight="1" x14ac:dyDescent="0.2">
      <c r="A87" s="296"/>
      <c r="B87" s="296"/>
      <c r="C87" s="296"/>
      <c r="D87" s="298"/>
      <c r="E87" s="298"/>
      <c r="F87" s="296"/>
      <c r="G87" s="296"/>
      <c r="H87" s="296"/>
      <c r="I87" s="296"/>
      <c r="J87" s="296"/>
      <c r="K87" s="296"/>
      <c r="L87" s="296"/>
      <c r="M87" s="299"/>
      <c r="N87" s="299"/>
      <c r="O87" s="299"/>
      <c r="P87" s="299"/>
      <c r="Q87" s="299"/>
      <c r="R87" s="299"/>
      <c r="S87" s="299"/>
      <c r="T87" s="299"/>
      <c r="U87" s="299"/>
      <c r="V87" s="299"/>
      <c r="W87" s="299"/>
      <c r="X87" s="299"/>
      <c r="Y87" s="299"/>
      <c r="Z87" s="299"/>
      <c r="AA87" s="299"/>
      <c r="AB87" s="299"/>
      <c r="AC87" s="300"/>
      <c r="AD87" s="300"/>
    </row>
    <row r="88" spans="1:30" ht="12.75" customHeight="1" x14ac:dyDescent="0.2">
      <c r="A88" s="296"/>
      <c r="B88" s="296"/>
      <c r="C88" s="296"/>
      <c r="D88" s="298"/>
      <c r="E88" s="298"/>
      <c r="F88" s="296"/>
      <c r="G88" s="296"/>
      <c r="H88" s="296"/>
      <c r="I88" s="296"/>
      <c r="J88" s="296"/>
      <c r="K88" s="296"/>
      <c r="L88" s="296"/>
      <c r="M88" s="299"/>
      <c r="N88" s="299"/>
      <c r="O88" s="299"/>
      <c r="P88" s="299"/>
      <c r="Q88" s="299"/>
      <c r="R88" s="299"/>
      <c r="S88" s="299"/>
      <c r="T88" s="299"/>
      <c r="U88" s="299"/>
      <c r="V88" s="299"/>
      <c r="W88" s="299"/>
      <c r="X88" s="299"/>
      <c r="Y88" s="299"/>
      <c r="Z88" s="299"/>
      <c r="AA88" s="299"/>
      <c r="AB88" s="299"/>
      <c r="AC88" s="300"/>
      <c r="AD88" s="300"/>
    </row>
    <row r="89" spans="1:30" ht="12.75" customHeight="1" x14ac:dyDescent="0.2">
      <c r="A89" s="296"/>
      <c r="B89" s="296"/>
      <c r="C89" s="296"/>
      <c r="D89" s="298"/>
      <c r="E89" s="298"/>
      <c r="F89" s="296"/>
      <c r="G89" s="296"/>
      <c r="H89" s="296"/>
      <c r="I89" s="296"/>
      <c r="J89" s="296"/>
      <c r="K89" s="296"/>
      <c r="L89" s="296"/>
      <c r="M89" s="299"/>
      <c r="N89" s="299"/>
      <c r="O89" s="299"/>
      <c r="P89" s="299"/>
      <c r="Q89" s="299"/>
      <c r="R89" s="299"/>
      <c r="S89" s="299"/>
      <c r="T89" s="299"/>
      <c r="U89" s="299"/>
      <c r="V89" s="299"/>
      <c r="W89" s="299"/>
      <c r="X89" s="299"/>
      <c r="Y89" s="299"/>
      <c r="Z89" s="299"/>
      <c r="AA89" s="299"/>
      <c r="AB89" s="299"/>
      <c r="AC89" s="300"/>
      <c r="AD89" s="300"/>
    </row>
    <row r="90" spans="1:30" ht="12.75" customHeight="1" x14ac:dyDescent="0.2">
      <c r="A90" s="296"/>
      <c r="B90" s="296"/>
      <c r="C90" s="296"/>
      <c r="D90" s="298"/>
      <c r="E90" s="298"/>
      <c r="F90" s="296"/>
      <c r="G90" s="296"/>
      <c r="H90" s="296"/>
      <c r="I90" s="296"/>
      <c r="J90" s="296"/>
      <c r="K90" s="296"/>
      <c r="L90" s="296"/>
      <c r="M90" s="299"/>
      <c r="N90" s="299"/>
      <c r="O90" s="299"/>
      <c r="P90" s="299"/>
      <c r="Q90" s="299"/>
      <c r="R90" s="299"/>
      <c r="S90" s="299"/>
      <c r="T90" s="299"/>
      <c r="U90" s="299"/>
      <c r="V90" s="299"/>
      <c r="W90" s="299"/>
      <c r="X90" s="299"/>
      <c r="Y90" s="299"/>
      <c r="Z90" s="299"/>
      <c r="AA90" s="299"/>
      <c r="AB90" s="299"/>
      <c r="AC90" s="300"/>
      <c r="AD90" s="300"/>
    </row>
    <row r="91" spans="1:30" ht="12.75" customHeight="1" x14ac:dyDescent="0.2">
      <c r="A91" s="296"/>
      <c r="B91" s="296"/>
      <c r="C91" s="296"/>
      <c r="D91" s="298"/>
      <c r="E91" s="298"/>
      <c r="F91" s="296"/>
      <c r="G91" s="296"/>
      <c r="H91" s="296"/>
      <c r="I91" s="296"/>
      <c r="J91" s="296"/>
      <c r="K91" s="296"/>
      <c r="L91" s="296"/>
      <c r="M91" s="299"/>
      <c r="N91" s="299"/>
      <c r="O91" s="299"/>
      <c r="P91" s="299"/>
      <c r="Q91" s="299"/>
      <c r="R91" s="299"/>
      <c r="S91" s="299"/>
      <c r="T91" s="299"/>
      <c r="U91" s="299"/>
      <c r="V91" s="299"/>
      <c r="W91" s="299"/>
      <c r="X91" s="299"/>
      <c r="Y91" s="299"/>
      <c r="Z91" s="299"/>
      <c r="AA91" s="299"/>
      <c r="AB91" s="299"/>
      <c r="AC91" s="300"/>
      <c r="AD91" s="300"/>
    </row>
    <row r="92" spans="1:30" ht="12.75" customHeight="1" x14ac:dyDescent="0.2">
      <c r="A92" s="296"/>
      <c r="B92" s="296"/>
      <c r="C92" s="296"/>
      <c r="D92" s="298"/>
      <c r="E92" s="298"/>
      <c r="F92" s="296"/>
      <c r="G92" s="296"/>
      <c r="H92" s="296"/>
      <c r="I92" s="296"/>
      <c r="J92" s="296"/>
      <c r="K92" s="296"/>
      <c r="L92" s="296"/>
      <c r="M92" s="299"/>
      <c r="N92" s="299"/>
      <c r="O92" s="299"/>
      <c r="P92" s="299"/>
      <c r="Q92" s="299"/>
      <c r="R92" s="299"/>
      <c r="S92" s="299"/>
      <c r="T92" s="299"/>
      <c r="U92" s="299"/>
      <c r="V92" s="299"/>
      <c r="W92" s="299"/>
      <c r="X92" s="299"/>
      <c r="Y92" s="299"/>
      <c r="Z92" s="299"/>
      <c r="AA92" s="299"/>
      <c r="AB92" s="299"/>
      <c r="AC92" s="300"/>
      <c r="AD92" s="300"/>
    </row>
    <row r="93" spans="1:30" ht="12.75" customHeight="1" x14ac:dyDescent="0.2">
      <c r="A93" s="296"/>
      <c r="B93" s="296"/>
      <c r="C93" s="296"/>
      <c r="D93" s="298"/>
      <c r="E93" s="298"/>
      <c r="F93" s="296"/>
      <c r="G93" s="296"/>
      <c r="H93" s="296"/>
      <c r="I93" s="296"/>
      <c r="J93" s="296"/>
      <c r="K93" s="296"/>
      <c r="L93" s="296"/>
      <c r="M93" s="299"/>
      <c r="N93" s="299"/>
      <c r="O93" s="299"/>
      <c r="P93" s="299"/>
      <c r="Q93" s="299"/>
      <c r="R93" s="299"/>
      <c r="S93" s="299"/>
      <c r="T93" s="299"/>
      <c r="U93" s="299"/>
      <c r="V93" s="299"/>
      <c r="W93" s="299"/>
      <c r="X93" s="299"/>
      <c r="Y93" s="299"/>
      <c r="Z93" s="299"/>
      <c r="AA93" s="299"/>
      <c r="AB93" s="299"/>
      <c r="AC93" s="300"/>
      <c r="AD93" s="300"/>
    </row>
    <row r="94" spans="1:30" ht="12.75" customHeight="1" x14ac:dyDescent="0.2">
      <c r="A94" s="296"/>
      <c r="B94" s="296"/>
      <c r="C94" s="296"/>
      <c r="D94" s="298"/>
      <c r="E94" s="298"/>
      <c r="F94" s="296"/>
      <c r="G94" s="296"/>
      <c r="H94" s="296"/>
      <c r="I94" s="296"/>
      <c r="J94" s="296"/>
      <c r="K94" s="296"/>
      <c r="L94" s="296"/>
      <c r="M94" s="299"/>
      <c r="N94" s="299"/>
      <c r="O94" s="299"/>
      <c r="P94" s="299"/>
      <c r="Q94" s="299"/>
      <c r="R94" s="299"/>
      <c r="S94" s="299"/>
      <c r="T94" s="299"/>
      <c r="U94" s="299"/>
      <c r="V94" s="299"/>
      <c r="W94" s="299"/>
      <c r="X94" s="299"/>
      <c r="Y94" s="299"/>
      <c r="Z94" s="299"/>
      <c r="AA94" s="299"/>
      <c r="AB94" s="299"/>
      <c r="AC94" s="300"/>
      <c r="AD94" s="300"/>
    </row>
    <row r="95" spans="1:30" ht="12.75" customHeight="1" x14ac:dyDescent="0.2">
      <c r="A95" s="296"/>
      <c r="B95" s="296"/>
      <c r="C95" s="296"/>
      <c r="D95" s="298"/>
      <c r="E95" s="298"/>
      <c r="F95" s="296"/>
      <c r="G95" s="296"/>
      <c r="H95" s="296"/>
      <c r="I95" s="296"/>
      <c r="J95" s="296"/>
      <c r="K95" s="296"/>
      <c r="L95" s="296"/>
      <c r="M95" s="299"/>
      <c r="N95" s="299"/>
      <c r="O95" s="299"/>
      <c r="P95" s="299"/>
      <c r="Q95" s="299"/>
      <c r="R95" s="299"/>
      <c r="S95" s="299"/>
      <c r="T95" s="299"/>
      <c r="U95" s="299"/>
      <c r="V95" s="299"/>
      <c r="W95" s="299"/>
      <c r="X95" s="299"/>
      <c r="Y95" s="299"/>
      <c r="Z95" s="299"/>
      <c r="AA95" s="299"/>
      <c r="AB95" s="299"/>
      <c r="AC95" s="300"/>
      <c r="AD95" s="300"/>
    </row>
    <row r="96" spans="1:30" ht="12.75" customHeight="1" x14ac:dyDescent="0.2">
      <c r="A96" s="296"/>
      <c r="B96" s="296"/>
      <c r="C96" s="296"/>
      <c r="D96" s="298"/>
      <c r="E96" s="298"/>
      <c r="F96" s="296"/>
      <c r="G96" s="296"/>
      <c r="H96" s="296"/>
      <c r="I96" s="296"/>
      <c r="J96" s="296"/>
      <c r="K96" s="296"/>
      <c r="L96" s="296"/>
      <c r="M96" s="299"/>
      <c r="N96" s="299"/>
      <c r="O96" s="299"/>
      <c r="P96" s="299"/>
      <c r="Q96" s="299"/>
      <c r="R96" s="299"/>
      <c r="S96" s="299"/>
      <c r="T96" s="299"/>
      <c r="U96" s="299"/>
      <c r="V96" s="299"/>
      <c r="W96" s="299"/>
      <c r="X96" s="299"/>
      <c r="Y96" s="299"/>
      <c r="Z96" s="299"/>
      <c r="AA96" s="299"/>
      <c r="AB96" s="299"/>
      <c r="AC96" s="300"/>
      <c r="AD96" s="300"/>
    </row>
    <row r="97" spans="1:30" ht="12.75" customHeight="1" x14ac:dyDescent="0.2">
      <c r="A97" s="296"/>
      <c r="B97" s="296"/>
      <c r="C97" s="296"/>
      <c r="D97" s="298"/>
      <c r="E97" s="298"/>
      <c r="F97" s="296"/>
      <c r="G97" s="296"/>
      <c r="H97" s="296"/>
      <c r="I97" s="296"/>
      <c r="J97" s="296"/>
      <c r="K97" s="296"/>
      <c r="L97" s="296"/>
      <c r="M97" s="299"/>
      <c r="N97" s="299"/>
      <c r="O97" s="299"/>
      <c r="P97" s="299"/>
      <c r="Q97" s="299"/>
      <c r="R97" s="299"/>
      <c r="S97" s="299"/>
      <c r="T97" s="299"/>
      <c r="U97" s="299"/>
      <c r="V97" s="299"/>
      <c r="W97" s="299"/>
      <c r="X97" s="299"/>
      <c r="Y97" s="299"/>
      <c r="Z97" s="299"/>
      <c r="AA97" s="299"/>
      <c r="AB97" s="299"/>
      <c r="AC97" s="300"/>
      <c r="AD97" s="300"/>
    </row>
    <row r="98" spans="1:30" ht="12.75" customHeight="1" x14ac:dyDescent="0.2">
      <c r="A98" s="296"/>
      <c r="B98" s="296"/>
      <c r="C98" s="296"/>
      <c r="D98" s="298"/>
      <c r="E98" s="298"/>
      <c r="F98" s="296"/>
      <c r="G98" s="296"/>
      <c r="H98" s="296"/>
      <c r="I98" s="296"/>
      <c r="J98" s="296"/>
      <c r="K98" s="296"/>
      <c r="L98" s="296"/>
      <c r="M98" s="299"/>
      <c r="N98" s="299"/>
      <c r="O98" s="299"/>
      <c r="P98" s="299"/>
      <c r="Q98" s="299"/>
      <c r="R98" s="299"/>
      <c r="S98" s="299"/>
      <c r="T98" s="299"/>
      <c r="U98" s="299"/>
      <c r="V98" s="299"/>
      <c r="W98" s="299"/>
      <c r="X98" s="299"/>
      <c r="Y98" s="299"/>
      <c r="Z98" s="299"/>
      <c r="AA98" s="299"/>
      <c r="AB98" s="299"/>
      <c r="AC98" s="300"/>
      <c r="AD98" s="300"/>
    </row>
    <row r="99" spans="1:30" ht="12.75" customHeight="1" x14ac:dyDescent="0.2">
      <c r="A99" s="296"/>
      <c r="B99" s="296"/>
      <c r="C99" s="296"/>
      <c r="D99" s="298"/>
      <c r="E99" s="298"/>
      <c r="F99" s="296"/>
      <c r="G99" s="296"/>
      <c r="H99" s="296"/>
      <c r="I99" s="296"/>
      <c r="J99" s="296"/>
      <c r="K99" s="296"/>
      <c r="L99" s="296"/>
      <c r="M99" s="299"/>
      <c r="N99" s="299"/>
      <c r="O99" s="299"/>
      <c r="P99" s="299"/>
      <c r="Q99" s="299"/>
      <c r="R99" s="299"/>
      <c r="S99" s="299"/>
      <c r="T99" s="299"/>
      <c r="U99" s="299"/>
      <c r="V99" s="299"/>
      <c r="W99" s="299"/>
      <c r="X99" s="299"/>
      <c r="Y99" s="299"/>
      <c r="Z99" s="299"/>
      <c r="AA99" s="299"/>
      <c r="AB99" s="299"/>
      <c r="AC99" s="300"/>
      <c r="AD99" s="300"/>
    </row>
    <row r="100" spans="1:30" ht="12.75" customHeight="1" x14ac:dyDescent="0.2">
      <c r="A100" s="296"/>
      <c r="B100" s="296"/>
      <c r="C100" s="296"/>
      <c r="D100" s="298"/>
      <c r="E100" s="298"/>
      <c r="F100" s="296"/>
      <c r="G100" s="296"/>
      <c r="H100" s="296"/>
      <c r="I100" s="296"/>
      <c r="J100" s="296"/>
      <c r="K100" s="296"/>
      <c r="L100" s="296"/>
      <c r="M100" s="299"/>
      <c r="N100" s="299"/>
      <c r="O100" s="299"/>
      <c r="P100" s="299"/>
      <c r="Q100" s="299"/>
      <c r="R100" s="299"/>
      <c r="S100" s="299"/>
      <c r="T100" s="299"/>
      <c r="U100" s="299"/>
      <c r="V100" s="299"/>
      <c r="W100" s="299"/>
      <c r="X100" s="299"/>
      <c r="Y100" s="299"/>
      <c r="Z100" s="299"/>
      <c r="AA100" s="299"/>
      <c r="AB100" s="299"/>
      <c r="AC100" s="300"/>
      <c r="AD100" s="300"/>
    </row>
    <row r="101" spans="1:30" ht="12.75" customHeight="1" x14ac:dyDescent="0.2">
      <c r="A101" s="296"/>
      <c r="B101" s="296"/>
      <c r="C101" s="296"/>
      <c r="D101" s="298"/>
      <c r="E101" s="298"/>
      <c r="F101" s="296"/>
      <c r="G101" s="296"/>
      <c r="H101" s="296"/>
      <c r="I101" s="296"/>
      <c r="J101" s="296"/>
      <c r="K101" s="296"/>
      <c r="L101" s="296"/>
      <c r="M101" s="299"/>
      <c r="N101" s="299"/>
      <c r="O101" s="299"/>
      <c r="P101" s="299"/>
      <c r="Q101" s="299"/>
      <c r="R101" s="299"/>
      <c r="S101" s="299"/>
      <c r="T101" s="299"/>
      <c r="U101" s="299"/>
      <c r="V101" s="299"/>
      <c r="W101" s="299"/>
      <c r="X101" s="299"/>
      <c r="Y101" s="299"/>
      <c r="Z101" s="299"/>
      <c r="AA101" s="299"/>
      <c r="AB101" s="299"/>
      <c r="AC101" s="300"/>
      <c r="AD101" s="300"/>
    </row>
    <row r="102" spans="1:30" ht="12.75" customHeight="1" x14ac:dyDescent="0.2">
      <c r="A102" s="296"/>
      <c r="B102" s="296"/>
      <c r="C102" s="296"/>
      <c r="D102" s="298"/>
      <c r="E102" s="298"/>
      <c r="F102" s="296"/>
      <c r="G102" s="296"/>
      <c r="H102" s="296"/>
      <c r="I102" s="296"/>
      <c r="J102" s="296"/>
      <c r="K102" s="296"/>
      <c r="L102" s="296"/>
      <c r="M102" s="299"/>
      <c r="N102" s="299"/>
      <c r="O102" s="299"/>
      <c r="P102" s="299"/>
      <c r="Q102" s="299"/>
      <c r="R102" s="299"/>
      <c r="S102" s="299"/>
      <c r="T102" s="299"/>
      <c r="U102" s="299"/>
      <c r="V102" s="299"/>
      <c r="W102" s="299"/>
      <c r="X102" s="299"/>
      <c r="Y102" s="299"/>
      <c r="Z102" s="299"/>
      <c r="AA102" s="299"/>
      <c r="AB102" s="299"/>
      <c r="AC102" s="300"/>
      <c r="AD102" s="300"/>
    </row>
    <row r="103" spans="1:30" ht="12.75" customHeight="1" x14ac:dyDescent="0.2">
      <c r="A103" s="296"/>
      <c r="B103" s="296"/>
      <c r="C103" s="296"/>
      <c r="D103" s="298"/>
      <c r="E103" s="298"/>
      <c r="F103" s="296"/>
      <c r="G103" s="296"/>
      <c r="H103" s="296"/>
      <c r="I103" s="296"/>
      <c r="J103" s="296"/>
      <c r="K103" s="296"/>
      <c r="L103" s="296"/>
      <c r="M103" s="299"/>
      <c r="N103" s="299"/>
      <c r="O103" s="299"/>
      <c r="P103" s="299"/>
      <c r="Q103" s="299"/>
      <c r="R103" s="299"/>
      <c r="S103" s="299"/>
      <c r="T103" s="299"/>
      <c r="U103" s="299"/>
      <c r="V103" s="299"/>
      <c r="W103" s="299"/>
      <c r="X103" s="299"/>
      <c r="Y103" s="299"/>
      <c r="Z103" s="299"/>
      <c r="AA103" s="299"/>
      <c r="AB103" s="299"/>
      <c r="AC103" s="300"/>
      <c r="AD103" s="300"/>
    </row>
    <row r="104" spans="1:30" ht="12.75" customHeight="1" x14ac:dyDescent="0.2">
      <c r="A104" s="296"/>
      <c r="B104" s="296"/>
      <c r="C104" s="296"/>
      <c r="D104" s="298"/>
      <c r="E104" s="298"/>
      <c r="F104" s="296"/>
      <c r="G104" s="296"/>
      <c r="H104" s="296"/>
      <c r="I104" s="296"/>
      <c r="J104" s="296"/>
      <c r="K104" s="296"/>
      <c r="L104" s="296"/>
      <c r="M104" s="299"/>
      <c r="N104" s="299"/>
      <c r="O104" s="299"/>
      <c r="P104" s="299"/>
      <c r="Q104" s="299"/>
      <c r="R104" s="299"/>
      <c r="S104" s="299"/>
      <c r="T104" s="299"/>
      <c r="U104" s="299"/>
      <c r="V104" s="299"/>
      <c r="W104" s="299"/>
      <c r="X104" s="299"/>
      <c r="Y104" s="299"/>
      <c r="Z104" s="299"/>
      <c r="AA104" s="299"/>
      <c r="AB104" s="299"/>
      <c r="AC104" s="300"/>
      <c r="AD104" s="300"/>
    </row>
    <row r="105" spans="1:30" ht="12.75" customHeight="1" x14ac:dyDescent="0.2">
      <c r="A105" s="296"/>
      <c r="B105" s="296"/>
      <c r="C105" s="296"/>
      <c r="D105" s="298"/>
      <c r="E105" s="298"/>
      <c r="F105" s="296"/>
      <c r="G105" s="296"/>
      <c r="H105" s="296"/>
      <c r="I105" s="296"/>
      <c r="J105" s="296"/>
      <c r="K105" s="296"/>
      <c r="L105" s="296"/>
      <c r="M105" s="299"/>
      <c r="N105" s="299"/>
      <c r="O105" s="299"/>
      <c r="P105" s="299"/>
      <c r="Q105" s="299"/>
      <c r="R105" s="299"/>
      <c r="S105" s="299"/>
      <c r="T105" s="299"/>
      <c r="U105" s="299"/>
      <c r="V105" s="299"/>
      <c r="W105" s="299"/>
      <c r="X105" s="299"/>
      <c r="Y105" s="299"/>
      <c r="Z105" s="299"/>
      <c r="AA105" s="299"/>
      <c r="AB105" s="299"/>
      <c r="AC105" s="300"/>
      <c r="AD105" s="300"/>
    </row>
    <row r="106" spans="1:30" ht="12.75" customHeight="1" x14ac:dyDescent="0.2">
      <c r="A106" s="296"/>
      <c r="B106" s="296"/>
      <c r="C106" s="296"/>
      <c r="D106" s="298"/>
      <c r="E106" s="298"/>
      <c r="F106" s="296"/>
      <c r="G106" s="296"/>
      <c r="H106" s="296"/>
      <c r="I106" s="296"/>
      <c r="J106" s="296"/>
      <c r="K106" s="296"/>
      <c r="L106" s="296"/>
      <c r="M106" s="299"/>
      <c r="N106" s="299"/>
      <c r="O106" s="299"/>
      <c r="P106" s="299"/>
      <c r="Q106" s="299"/>
      <c r="R106" s="299"/>
      <c r="S106" s="299"/>
      <c r="T106" s="299"/>
      <c r="U106" s="299"/>
      <c r="V106" s="299"/>
      <c r="W106" s="299"/>
      <c r="X106" s="299"/>
      <c r="Y106" s="299"/>
      <c r="Z106" s="299"/>
      <c r="AA106" s="299"/>
      <c r="AB106" s="299"/>
      <c r="AC106" s="300"/>
      <c r="AD106" s="300"/>
    </row>
    <row r="107" spans="1:30" ht="12.75" customHeight="1" x14ac:dyDescent="0.2">
      <c r="A107" s="296"/>
      <c r="B107" s="296"/>
      <c r="C107" s="296"/>
      <c r="D107" s="298"/>
      <c r="E107" s="298"/>
      <c r="F107" s="296"/>
      <c r="G107" s="296"/>
      <c r="H107" s="296"/>
      <c r="I107" s="296"/>
      <c r="J107" s="296"/>
      <c r="K107" s="296"/>
      <c r="L107" s="296"/>
      <c r="M107" s="299"/>
      <c r="N107" s="299"/>
      <c r="O107" s="299"/>
      <c r="P107" s="299"/>
      <c r="Q107" s="299"/>
      <c r="R107" s="299"/>
      <c r="S107" s="299"/>
      <c r="T107" s="299"/>
      <c r="U107" s="299"/>
      <c r="V107" s="299"/>
      <c r="W107" s="299"/>
      <c r="X107" s="299"/>
      <c r="Y107" s="299"/>
      <c r="Z107" s="299"/>
      <c r="AA107" s="299"/>
      <c r="AB107" s="299"/>
      <c r="AC107" s="300"/>
      <c r="AD107" s="300"/>
    </row>
    <row r="108" spans="1:30" ht="12.75" customHeight="1" x14ac:dyDescent="0.2">
      <c r="A108" s="296"/>
      <c r="B108" s="296"/>
      <c r="C108" s="296"/>
      <c r="D108" s="298"/>
      <c r="E108" s="298"/>
      <c r="F108" s="296"/>
      <c r="G108" s="296"/>
      <c r="H108" s="296"/>
      <c r="I108" s="296"/>
      <c r="J108" s="296"/>
      <c r="K108" s="296"/>
      <c r="L108" s="296"/>
      <c r="M108" s="299"/>
      <c r="N108" s="299"/>
      <c r="O108" s="299"/>
      <c r="P108" s="299"/>
      <c r="Q108" s="299"/>
      <c r="R108" s="299"/>
      <c r="S108" s="299"/>
      <c r="T108" s="299"/>
      <c r="U108" s="299"/>
      <c r="V108" s="299"/>
      <c r="W108" s="299"/>
      <c r="X108" s="299"/>
      <c r="Y108" s="299"/>
      <c r="Z108" s="299"/>
      <c r="AA108" s="299"/>
      <c r="AB108" s="299"/>
      <c r="AC108" s="300"/>
      <c r="AD108" s="300"/>
    </row>
    <row r="109" spans="1:30" ht="12.75" customHeight="1" x14ac:dyDescent="0.2">
      <c r="A109" s="296"/>
      <c r="B109" s="296"/>
      <c r="C109" s="296"/>
      <c r="D109" s="298"/>
      <c r="E109" s="298"/>
      <c r="F109" s="296"/>
      <c r="G109" s="296"/>
      <c r="H109" s="296"/>
      <c r="I109" s="296"/>
      <c r="J109" s="296"/>
      <c r="K109" s="296"/>
      <c r="L109" s="296"/>
      <c r="M109" s="299"/>
      <c r="N109" s="299"/>
      <c r="O109" s="299"/>
      <c r="P109" s="299"/>
      <c r="Q109" s="299"/>
      <c r="R109" s="299"/>
      <c r="S109" s="299"/>
      <c r="T109" s="299"/>
      <c r="U109" s="299"/>
      <c r="V109" s="299"/>
      <c r="W109" s="299"/>
      <c r="X109" s="299"/>
      <c r="Y109" s="299"/>
      <c r="Z109" s="299"/>
      <c r="AA109" s="299"/>
      <c r="AB109" s="299"/>
      <c r="AC109" s="300"/>
      <c r="AD109" s="300"/>
    </row>
    <row r="110" spans="1:30" ht="12.75" customHeight="1" x14ac:dyDescent="0.2">
      <c r="A110" s="296"/>
      <c r="B110" s="296"/>
      <c r="C110" s="296"/>
      <c r="D110" s="298"/>
      <c r="E110" s="298"/>
      <c r="F110" s="296"/>
      <c r="G110" s="296"/>
      <c r="H110" s="296"/>
      <c r="I110" s="296"/>
      <c r="J110" s="296"/>
      <c r="K110" s="296"/>
      <c r="L110" s="296"/>
      <c r="M110" s="299"/>
      <c r="N110" s="299"/>
      <c r="O110" s="299"/>
      <c r="P110" s="299"/>
      <c r="Q110" s="299"/>
      <c r="R110" s="299"/>
      <c r="S110" s="299"/>
      <c r="T110" s="299"/>
      <c r="U110" s="299"/>
      <c r="V110" s="299"/>
      <c r="W110" s="299"/>
      <c r="X110" s="299"/>
      <c r="Y110" s="299"/>
      <c r="Z110" s="299"/>
      <c r="AA110" s="299"/>
      <c r="AB110" s="299"/>
      <c r="AC110" s="300"/>
      <c r="AD110" s="300"/>
    </row>
    <row r="111" spans="1:30" ht="12.75" customHeight="1" x14ac:dyDescent="0.2">
      <c r="A111" s="296"/>
      <c r="B111" s="296"/>
      <c r="C111" s="296"/>
      <c r="D111" s="298"/>
      <c r="E111" s="298"/>
      <c r="F111" s="296"/>
      <c r="G111" s="296"/>
      <c r="H111" s="296"/>
      <c r="I111" s="296"/>
      <c r="J111" s="296"/>
      <c r="K111" s="296"/>
      <c r="L111" s="296"/>
      <c r="M111" s="299"/>
      <c r="N111" s="299"/>
      <c r="O111" s="299"/>
      <c r="P111" s="299"/>
      <c r="Q111" s="299"/>
      <c r="R111" s="299"/>
      <c r="S111" s="299"/>
      <c r="T111" s="299"/>
      <c r="U111" s="299"/>
      <c r="V111" s="299"/>
      <c r="W111" s="299"/>
      <c r="X111" s="299"/>
      <c r="Y111" s="299"/>
      <c r="Z111" s="299"/>
      <c r="AA111" s="299"/>
      <c r="AB111" s="299"/>
      <c r="AC111" s="300"/>
      <c r="AD111" s="300"/>
    </row>
    <row r="112" spans="1:30" ht="12.75" customHeight="1" x14ac:dyDescent="0.2">
      <c r="A112" s="296"/>
      <c r="B112" s="296"/>
      <c r="C112" s="296"/>
      <c r="D112" s="298"/>
      <c r="E112" s="298"/>
      <c r="F112" s="296"/>
      <c r="G112" s="296"/>
      <c r="H112" s="296"/>
      <c r="I112" s="296"/>
      <c r="J112" s="296"/>
      <c r="K112" s="296"/>
      <c r="L112" s="296"/>
      <c r="M112" s="299"/>
      <c r="N112" s="299"/>
      <c r="O112" s="299"/>
      <c r="P112" s="299"/>
      <c r="Q112" s="299"/>
      <c r="R112" s="299"/>
      <c r="S112" s="299"/>
      <c r="T112" s="299"/>
      <c r="U112" s="299"/>
      <c r="V112" s="299"/>
      <c r="W112" s="299"/>
      <c r="X112" s="299"/>
      <c r="Y112" s="299"/>
      <c r="Z112" s="299"/>
      <c r="AA112" s="299"/>
      <c r="AB112" s="299"/>
      <c r="AC112" s="300"/>
      <c r="AD112" s="300"/>
    </row>
    <row r="113" spans="1:30" ht="12.75" customHeight="1" x14ac:dyDescent="0.2">
      <c r="A113" s="296"/>
      <c r="B113" s="296"/>
      <c r="C113" s="296"/>
      <c r="D113" s="298"/>
      <c r="E113" s="298"/>
      <c r="F113" s="296"/>
      <c r="G113" s="296"/>
      <c r="H113" s="296"/>
      <c r="I113" s="296"/>
      <c r="J113" s="296"/>
      <c r="K113" s="296"/>
      <c r="L113" s="296"/>
      <c r="M113" s="299"/>
      <c r="N113" s="299"/>
      <c r="O113" s="299"/>
      <c r="P113" s="299"/>
      <c r="Q113" s="299"/>
      <c r="R113" s="299"/>
      <c r="S113" s="299"/>
      <c r="T113" s="299"/>
      <c r="U113" s="299"/>
      <c r="V113" s="299"/>
      <c r="W113" s="299"/>
      <c r="X113" s="299"/>
      <c r="Y113" s="299"/>
      <c r="Z113" s="299"/>
      <c r="AA113" s="299"/>
      <c r="AB113" s="299"/>
      <c r="AC113" s="300"/>
      <c r="AD113" s="300"/>
    </row>
    <row r="114" spans="1:30" ht="12.75" customHeight="1" x14ac:dyDescent="0.2">
      <c r="A114" s="296"/>
      <c r="B114" s="296"/>
      <c r="C114" s="296"/>
      <c r="D114" s="298"/>
      <c r="E114" s="298"/>
      <c r="F114" s="296"/>
      <c r="G114" s="296"/>
      <c r="H114" s="296"/>
      <c r="I114" s="296"/>
      <c r="J114" s="296"/>
      <c r="K114" s="296"/>
      <c r="L114" s="296"/>
      <c r="M114" s="299"/>
      <c r="N114" s="299"/>
      <c r="O114" s="299"/>
      <c r="P114" s="299"/>
      <c r="Q114" s="299"/>
      <c r="R114" s="299"/>
      <c r="S114" s="299"/>
      <c r="T114" s="299"/>
      <c r="U114" s="299"/>
      <c r="V114" s="299"/>
      <c r="W114" s="299"/>
      <c r="X114" s="299"/>
      <c r="Y114" s="299"/>
      <c r="Z114" s="299"/>
      <c r="AA114" s="299"/>
      <c r="AB114" s="299"/>
      <c r="AC114" s="300"/>
      <c r="AD114" s="300"/>
    </row>
    <row r="115" spans="1:30" ht="12.75" customHeight="1" x14ac:dyDescent="0.2">
      <c r="A115" s="296"/>
      <c r="B115" s="296"/>
      <c r="C115" s="296"/>
      <c r="D115" s="298"/>
      <c r="E115" s="298"/>
      <c r="F115" s="296"/>
      <c r="G115" s="296"/>
      <c r="H115" s="296"/>
      <c r="I115" s="296"/>
      <c r="J115" s="296"/>
      <c r="K115" s="296"/>
      <c r="L115" s="296"/>
      <c r="M115" s="299"/>
      <c r="N115" s="299"/>
      <c r="O115" s="299"/>
      <c r="P115" s="299"/>
      <c r="Q115" s="299"/>
      <c r="R115" s="299"/>
      <c r="S115" s="299"/>
      <c r="T115" s="299"/>
      <c r="U115" s="299"/>
      <c r="V115" s="299"/>
      <c r="W115" s="299"/>
      <c r="X115" s="299"/>
      <c r="Y115" s="299"/>
      <c r="Z115" s="299"/>
      <c r="AA115" s="299"/>
      <c r="AB115" s="299"/>
      <c r="AC115" s="300"/>
      <c r="AD115" s="300"/>
    </row>
    <row r="116" spans="1:30" ht="12.75" customHeight="1" x14ac:dyDescent="0.2">
      <c r="A116" s="296"/>
      <c r="B116" s="296"/>
      <c r="C116" s="296"/>
      <c r="D116" s="298"/>
      <c r="E116" s="298"/>
      <c r="F116" s="296"/>
      <c r="G116" s="296"/>
      <c r="H116" s="296"/>
      <c r="I116" s="296"/>
      <c r="J116" s="296"/>
      <c r="K116" s="296"/>
      <c r="L116" s="296"/>
      <c r="M116" s="299"/>
      <c r="N116" s="299"/>
      <c r="O116" s="299"/>
      <c r="P116" s="299"/>
      <c r="Q116" s="299"/>
      <c r="R116" s="299"/>
      <c r="S116" s="299"/>
      <c r="T116" s="299"/>
      <c r="U116" s="299"/>
      <c r="V116" s="299"/>
      <c r="W116" s="299"/>
      <c r="X116" s="299"/>
      <c r="Y116" s="299"/>
      <c r="Z116" s="299"/>
      <c r="AA116" s="299"/>
      <c r="AB116" s="299"/>
      <c r="AC116" s="300"/>
      <c r="AD116" s="300"/>
    </row>
    <row r="117" spans="1:30" ht="12.75" customHeight="1" x14ac:dyDescent="0.2">
      <c r="A117" s="296"/>
      <c r="B117" s="296"/>
      <c r="C117" s="296"/>
      <c r="D117" s="298"/>
      <c r="E117" s="298"/>
      <c r="F117" s="296"/>
      <c r="G117" s="296"/>
      <c r="H117" s="296"/>
      <c r="I117" s="296"/>
      <c r="J117" s="296"/>
      <c r="K117" s="296"/>
      <c r="L117" s="296"/>
      <c r="M117" s="299"/>
      <c r="N117" s="299"/>
      <c r="O117" s="299"/>
      <c r="P117" s="299"/>
      <c r="Q117" s="299"/>
      <c r="R117" s="299"/>
      <c r="S117" s="299"/>
      <c r="T117" s="299"/>
      <c r="U117" s="299"/>
      <c r="V117" s="299"/>
      <c r="W117" s="299"/>
      <c r="X117" s="299"/>
      <c r="Y117" s="299"/>
      <c r="Z117" s="299"/>
      <c r="AA117" s="299"/>
      <c r="AB117" s="299"/>
      <c r="AC117" s="300"/>
      <c r="AD117" s="300"/>
    </row>
    <row r="118" spans="1:30" ht="12.75" customHeight="1" x14ac:dyDescent="0.2">
      <c r="A118" s="296"/>
      <c r="B118" s="296"/>
      <c r="C118" s="296"/>
      <c r="D118" s="298"/>
      <c r="E118" s="298"/>
      <c r="F118" s="296"/>
      <c r="G118" s="296"/>
      <c r="H118" s="296"/>
      <c r="I118" s="296"/>
      <c r="J118" s="296"/>
      <c r="K118" s="296"/>
      <c r="L118" s="296"/>
      <c r="M118" s="299"/>
      <c r="N118" s="299"/>
      <c r="O118" s="299"/>
      <c r="P118" s="299"/>
      <c r="Q118" s="299"/>
      <c r="R118" s="299"/>
      <c r="S118" s="299"/>
      <c r="T118" s="299"/>
      <c r="U118" s="299"/>
      <c r="V118" s="299"/>
      <c r="W118" s="299"/>
      <c r="X118" s="299"/>
      <c r="Y118" s="299"/>
      <c r="Z118" s="299"/>
      <c r="AA118" s="299"/>
      <c r="AB118" s="299"/>
      <c r="AC118" s="300"/>
      <c r="AD118" s="300"/>
    </row>
    <row r="119" spans="1:30" ht="12.75" customHeight="1" x14ac:dyDescent="0.2">
      <c r="A119" s="296"/>
      <c r="B119" s="296"/>
      <c r="C119" s="296"/>
      <c r="D119" s="298"/>
      <c r="E119" s="298"/>
      <c r="F119" s="296"/>
      <c r="G119" s="296"/>
      <c r="H119" s="296"/>
      <c r="I119" s="296"/>
      <c r="J119" s="296"/>
      <c r="K119" s="296"/>
      <c r="L119" s="296"/>
      <c r="M119" s="299"/>
      <c r="N119" s="299"/>
      <c r="O119" s="299"/>
      <c r="P119" s="299"/>
      <c r="Q119" s="299"/>
      <c r="R119" s="299"/>
      <c r="S119" s="299"/>
      <c r="T119" s="299"/>
      <c r="U119" s="299"/>
      <c r="V119" s="299"/>
      <c r="W119" s="299"/>
      <c r="X119" s="299"/>
      <c r="Y119" s="299"/>
      <c r="Z119" s="299"/>
      <c r="AA119" s="299"/>
      <c r="AB119" s="299"/>
      <c r="AC119" s="300"/>
      <c r="AD119" s="300"/>
    </row>
    <row r="120" spans="1:30" ht="12.75" customHeight="1" x14ac:dyDescent="0.2">
      <c r="A120" s="296"/>
      <c r="B120" s="296"/>
      <c r="C120" s="296"/>
      <c r="D120" s="298"/>
      <c r="E120" s="298"/>
      <c r="F120" s="296"/>
      <c r="G120" s="296"/>
      <c r="H120" s="296"/>
      <c r="I120" s="296"/>
      <c r="J120" s="296"/>
      <c r="K120" s="296"/>
      <c r="L120" s="296"/>
      <c r="M120" s="299"/>
      <c r="N120" s="299"/>
      <c r="O120" s="299"/>
      <c r="P120" s="299"/>
      <c r="Q120" s="299"/>
      <c r="R120" s="299"/>
      <c r="S120" s="299"/>
      <c r="T120" s="299"/>
      <c r="U120" s="299"/>
      <c r="V120" s="299"/>
      <c r="W120" s="299"/>
      <c r="X120" s="299"/>
      <c r="Y120" s="299"/>
      <c r="Z120" s="299"/>
      <c r="AA120" s="299"/>
      <c r="AB120" s="299"/>
      <c r="AC120" s="300"/>
      <c r="AD120" s="300"/>
    </row>
    <row r="121" spans="1:30" ht="12.75" customHeight="1" x14ac:dyDescent="0.2">
      <c r="A121" s="296"/>
      <c r="B121" s="296"/>
      <c r="C121" s="296"/>
      <c r="D121" s="298"/>
      <c r="E121" s="298"/>
      <c r="F121" s="296"/>
      <c r="G121" s="296"/>
      <c r="H121" s="296"/>
      <c r="I121" s="296"/>
      <c r="J121" s="296"/>
      <c r="K121" s="296"/>
      <c r="L121" s="296"/>
      <c r="M121" s="299"/>
      <c r="N121" s="299"/>
      <c r="O121" s="299"/>
      <c r="P121" s="299"/>
      <c r="Q121" s="299"/>
      <c r="R121" s="299"/>
      <c r="S121" s="299"/>
      <c r="T121" s="299"/>
      <c r="U121" s="299"/>
      <c r="V121" s="299"/>
      <c r="W121" s="299"/>
      <c r="X121" s="299"/>
      <c r="Y121" s="299"/>
      <c r="Z121" s="299"/>
      <c r="AA121" s="299"/>
      <c r="AB121" s="299"/>
      <c r="AC121" s="300"/>
      <c r="AD121" s="300"/>
    </row>
    <row r="122" spans="1:30" ht="12.75" customHeight="1" x14ac:dyDescent="0.2">
      <c r="A122" s="296"/>
      <c r="B122" s="296"/>
      <c r="C122" s="296"/>
      <c r="D122" s="298"/>
      <c r="E122" s="298"/>
      <c r="F122" s="296"/>
      <c r="G122" s="296"/>
      <c r="H122" s="296"/>
      <c r="I122" s="296"/>
      <c r="J122" s="296"/>
      <c r="K122" s="296"/>
      <c r="L122" s="296"/>
      <c r="M122" s="299"/>
      <c r="N122" s="299"/>
      <c r="O122" s="299"/>
      <c r="P122" s="299"/>
      <c r="Q122" s="299"/>
      <c r="R122" s="299"/>
      <c r="S122" s="299"/>
      <c r="T122" s="299"/>
      <c r="U122" s="299"/>
      <c r="V122" s="299"/>
      <c r="W122" s="299"/>
      <c r="X122" s="299"/>
      <c r="Y122" s="299"/>
      <c r="Z122" s="299"/>
      <c r="AA122" s="299"/>
      <c r="AB122" s="299"/>
      <c r="AC122" s="300"/>
      <c r="AD122" s="300"/>
    </row>
    <row r="123" spans="1:30" ht="12.75" customHeight="1" x14ac:dyDescent="0.2">
      <c r="A123" s="296"/>
      <c r="B123" s="296"/>
      <c r="C123" s="296"/>
      <c r="D123" s="298"/>
      <c r="E123" s="298"/>
      <c r="F123" s="296"/>
      <c r="G123" s="296"/>
      <c r="H123" s="296"/>
      <c r="I123" s="296"/>
      <c r="J123" s="296"/>
      <c r="K123" s="296"/>
      <c r="L123" s="296"/>
      <c r="M123" s="299"/>
      <c r="N123" s="299"/>
      <c r="O123" s="299"/>
      <c r="P123" s="299"/>
      <c r="Q123" s="299"/>
      <c r="R123" s="299"/>
      <c r="S123" s="299"/>
      <c r="T123" s="299"/>
      <c r="U123" s="299"/>
      <c r="V123" s="299"/>
      <c r="W123" s="299"/>
      <c r="X123" s="299"/>
      <c r="Y123" s="299"/>
      <c r="Z123" s="299"/>
      <c r="AA123" s="299"/>
      <c r="AB123" s="299"/>
      <c r="AC123" s="300"/>
      <c r="AD123" s="300"/>
    </row>
    <row r="124" spans="1:30" ht="12.75" customHeight="1" x14ac:dyDescent="0.2">
      <c r="A124" s="296"/>
      <c r="B124" s="296"/>
      <c r="C124" s="296"/>
      <c r="D124" s="298"/>
      <c r="E124" s="298"/>
      <c r="F124" s="296"/>
      <c r="G124" s="296"/>
      <c r="H124" s="296"/>
      <c r="I124" s="296"/>
      <c r="J124" s="296"/>
      <c r="K124" s="296"/>
      <c r="L124" s="296"/>
      <c r="M124" s="299"/>
      <c r="N124" s="299"/>
      <c r="O124" s="299"/>
      <c r="P124" s="299"/>
      <c r="Q124" s="299"/>
      <c r="R124" s="299"/>
      <c r="S124" s="299"/>
      <c r="T124" s="299"/>
      <c r="U124" s="299"/>
      <c r="V124" s="299"/>
      <c r="W124" s="299"/>
      <c r="X124" s="299"/>
      <c r="Y124" s="299"/>
      <c r="Z124" s="299"/>
      <c r="AA124" s="299"/>
      <c r="AB124" s="299"/>
      <c r="AC124" s="300"/>
      <c r="AD124" s="300"/>
    </row>
    <row r="125" spans="1:30" ht="12.75" customHeight="1" x14ac:dyDescent="0.2">
      <c r="A125" s="296"/>
      <c r="B125" s="296"/>
      <c r="C125" s="296"/>
      <c r="D125" s="298"/>
      <c r="E125" s="298"/>
      <c r="F125" s="296"/>
      <c r="G125" s="296"/>
      <c r="H125" s="296"/>
      <c r="I125" s="296"/>
      <c r="J125" s="296"/>
      <c r="K125" s="296"/>
      <c r="L125" s="296"/>
      <c r="M125" s="299"/>
      <c r="N125" s="299"/>
      <c r="O125" s="299"/>
      <c r="P125" s="299"/>
      <c r="Q125" s="299"/>
      <c r="R125" s="299"/>
      <c r="S125" s="299"/>
      <c r="T125" s="299"/>
      <c r="U125" s="299"/>
      <c r="V125" s="299"/>
      <c r="W125" s="299"/>
      <c r="X125" s="299"/>
      <c r="Y125" s="299"/>
      <c r="Z125" s="299"/>
      <c r="AA125" s="299"/>
      <c r="AB125" s="299"/>
      <c r="AC125" s="300"/>
      <c r="AD125" s="300"/>
    </row>
    <row r="126" spans="1:30" ht="12.75" customHeight="1" x14ac:dyDescent="0.2">
      <c r="A126" s="296"/>
      <c r="B126" s="296"/>
      <c r="C126" s="296"/>
      <c r="D126" s="298"/>
      <c r="E126" s="298"/>
      <c r="F126" s="296"/>
      <c r="G126" s="296"/>
      <c r="H126" s="296"/>
      <c r="I126" s="296"/>
      <c r="J126" s="296"/>
      <c r="K126" s="296"/>
      <c r="L126" s="296"/>
      <c r="M126" s="299"/>
      <c r="N126" s="299"/>
      <c r="O126" s="299"/>
      <c r="P126" s="299"/>
      <c r="Q126" s="299"/>
      <c r="R126" s="299"/>
      <c r="S126" s="299"/>
      <c r="T126" s="299"/>
      <c r="U126" s="299"/>
      <c r="V126" s="299"/>
      <c r="W126" s="299"/>
      <c r="X126" s="299"/>
      <c r="Y126" s="299"/>
      <c r="Z126" s="299"/>
      <c r="AA126" s="299"/>
      <c r="AB126" s="299"/>
      <c r="AC126" s="300"/>
      <c r="AD126" s="300"/>
    </row>
    <row r="127" spans="1:30" ht="12.75" customHeight="1" x14ac:dyDescent="0.2">
      <c r="A127" s="296"/>
      <c r="B127" s="296"/>
      <c r="C127" s="296"/>
      <c r="D127" s="298"/>
      <c r="E127" s="298"/>
      <c r="F127" s="296"/>
      <c r="G127" s="296"/>
      <c r="H127" s="296"/>
      <c r="I127" s="296"/>
      <c r="J127" s="296"/>
      <c r="K127" s="296"/>
      <c r="L127" s="296"/>
      <c r="M127" s="299"/>
      <c r="N127" s="299"/>
      <c r="O127" s="299"/>
      <c r="P127" s="299"/>
      <c r="Q127" s="299"/>
      <c r="R127" s="299"/>
      <c r="S127" s="299"/>
      <c r="T127" s="299"/>
      <c r="U127" s="299"/>
      <c r="V127" s="299"/>
      <c r="W127" s="299"/>
      <c r="X127" s="299"/>
      <c r="Y127" s="299"/>
      <c r="Z127" s="299"/>
      <c r="AA127" s="299"/>
      <c r="AB127" s="299"/>
      <c r="AC127" s="300"/>
      <c r="AD127" s="300"/>
    </row>
    <row r="128" spans="1:30" ht="12.75" customHeight="1" x14ac:dyDescent="0.2">
      <c r="A128" s="296"/>
      <c r="B128" s="296"/>
      <c r="C128" s="296"/>
      <c r="D128" s="298"/>
      <c r="E128" s="298"/>
      <c r="F128" s="296"/>
      <c r="G128" s="296"/>
      <c r="H128" s="296"/>
      <c r="I128" s="296"/>
      <c r="J128" s="296"/>
      <c r="K128" s="296"/>
      <c r="L128" s="296"/>
      <c r="M128" s="299"/>
      <c r="N128" s="299"/>
      <c r="O128" s="299"/>
      <c r="P128" s="299"/>
      <c r="Q128" s="299"/>
      <c r="R128" s="299"/>
      <c r="S128" s="299"/>
      <c r="T128" s="299"/>
      <c r="U128" s="299"/>
      <c r="V128" s="299"/>
      <c r="W128" s="299"/>
      <c r="X128" s="299"/>
      <c r="Y128" s="299"/>
      <c r="Z128" s="299"/>
      <c r="AA128" s="299"/>
      <c r="AB128" s="299"/>
      <c r="AC128" s="300"/>
      <c r="AD128" s="300"/>
    </row>
    <row r="129" spans="1:30" ht="12.75" customHeight="1" x14ac:dyDescent="0.2">
      <c r="A129" s="296"/>
      <c r="B129" s="296"/>
      <c r="C129" s="296"/>
      <c r="D129" s="298"/>
      <c r="E129" s="298"/>
      <c r="F129" s="296"/>
      <c r="G129" s="296"/>
      <c r="H129" s="296"/>
      <c r="I129" s="296"/>
      <c r="J129" s="296"/>
      <c r="K129" s="296"/>
      <c r="L129" s="296"/>
      <c r="M129" s="299"/>
      <c r="N129" s="299"/>
      <c r="O129" s="299"/>
      <c r="P129" s="299"/>
      <c r="Q129" s="299"/>
      <c r="R129" s="299"/>
      <c r="S129" s="299"/>
      <c r="T129" s="299"/>
      <c r="U129" s="299"/>
      <c r="V129" s="299"/>
      <c r="W129" s="299"/>
      <c r="X129" s="299"/>
      <c r="Y129" s="299"/>
      <c r="Z129" s="299"/>
      <c r="AA129" s="299"/>
      <c r="AB129" s="299"/>
      <c r="AC129" s="300"/>
      <c r="AD129" s="300"/>
    </row>
    <row r="130" spans="1:30" ht="12.75" customHeight="1" x14ac:dyDescent="0.2">
      <c r="A130" s="296"/>
      <c r="B130" s="296"/>
      <c r="C130" s="296"/>
      <c r="D130" s="298"/>
      <c r="E130" s="298"/>
      <c r="F130" s="296"/>
      <c r="G130" s="296"/>
      <c r="H130" s="296"/>
      <c r="I130" s="296"/>
      <c r="J130" s="296"/>
      <c r="K130" s="296"/>
      <c r="L130" s="296"/>
      <c r="M130" s="299"/>
      <c r="N130" s="299"/>
      <c r="O130" s="299"/>
      <c r="P130" s="299"/>
      <c r="Q130" s="299"/>
      <c r="R130" s="299"/>
      <c r="S130" s="299"/>
      <c r="T130" s="299"/>
      <c r="U130" s="299"/>
      <c r="V130" s="299"/>
      <c r="W130" s="299"/>
      <c r="X130" s="299"/>
      <c r="Y130" s="299"/>
      <c r="Z130" s="299"/>
      <c r="AA130" s="299"/>
      <c r="AB130" s="299"/>
      <c r="AC130" s="300"/>
      <c r="AD130" s="300"/>
    </row>
    <row r="131" spans="1:30" ht="12.75" customHeight="1" x14ac:dyDescent="0.2">
      <c r="A131" s="296"/>
      <c r="B131" s="296"/>
      <c r="C131" s="296"/>
      <c r="D131" s="298"/>
      <c r="E131" s="298"/>
      <c r="F131" s="296"/>
      <c r="G131" s="296"/>
      <c r="H131" s="296"/>
      <c r="I131" s="296"/>
      <c r="J131" s="296"/>
      <c r="K131" s="296"/>
      <c r="L131" s="296"/>
      <c r="M131" s="299"/>
      <c r="N131" s="299"/>
      <c r="O131" s="299"/>
      <c r="P131" s="299"/>
      <c r="Q131" s="299"/>
      <c r="R131" s="299"/>
      <c r="S131" s="299"/>
      <c r="T131" s="299"/>
      <c r="U131" s="299"/>
      <c r="V131" s="299"/>
      <c r="W131" s="299"/>
      <c r="X131" s="299"/>
      <c r="Y131" s="299"/>
      <c r="Z131" s="299"/>
      <c r="AA131" s="299"/>
      <c r="AB131" s="299"/>
      <c r="AC131" s="300"/>
      <c r="AD131" s="300"/>
    </row>
    <row r="132" spans="1:30" ht="12.75" customHeight="1" x14ac:dyDescent="0.2">
      <c r="A132" s="296"/>
      <c r="B132" s="296"/>
      <c r="C132" s="296"/>
      <c r="D132" s="298"/>
      <c r="E132" s="298"/>
      <c r="F132" s="296"/>
      <c r="G132" s="296"/>
      <c r="H132" s="296"/>
      <c r="I132" s="296"/>
      <c r="J132" s="296"/>
      <c r="K132" s="296"/>
      <c r="L132" s="296"/>
      <c r="M132" s="299"/>
      <c r="N132" s="299"/>
      <c r="O132" s="299"/>
      <c r="P132" s="299"/>
      <c r="Q132" s="299"/>
      <c r="R132" s="299"/>
      <c r="S132" s="299"/>
      <c r="T132" s="299"/>
      <c r="U132" s="299"/>
      <c r="V132" s="299"/>
      <c r="W132" s="299"/>
      <c r="X132" s="299"/>
      <c r="Y132" s="299"/>
      <c r="Z132" s="299"/>
      <c r="AA132" s="299"/>
      <c r="AB132" s="299"/>
      <c r="AC132" s="300"/>
      <c r="AD132" s="300"/>
    </row>
    <row r="133" spans="1:30" ht="12.75" customHeight="1" x14ac:dyDescent="0.2">
      <c r="A133" s="296"/>
      <c r="B133" s="296"/>
      <c r="C133" s="296"/>
      <c r="D133" s="298"/>
      <c r="E133" s="298"/>
      <c r="F133" s="296"/>
      <c r="G133" s="296"/>
      <c r="H133" s="296"/>
      <c r="I133" s="296"/>
      <c r="J133" s="296"/>
      <c r="K133" s="296"/>
      <c r="L133" s="296"/>
      <c r="M133" s="299"/>
      <c r="N133" s="299"/>
      <c r="O133" s="299"/>
      <c r="P133" s="299"/>
      <c r="Q133" s="299"/>
      <c r="R133" s="299"/>
      <c r="S133" s="299"/>
      <c r="T133" s="299"/>
      <c r="U133" s="299"/>
      <c r="V133" s="299"/>
      <c r="W133" s="299"/>
      <c r="X133" s="299"/>
      <c r="Y133" s="299"/>
      <c r="Z133" s="299"/>
      <c r="AA133" s="299"/>
      <c r="AB133" s="299"/>
      <c r="AC133" s="300"/>
      <c r="AD133" s="300"/>
    </row>
    <row r="134" spans="1:30" ht="12.75" customHeight="1" x14ac:dyDescent="0.2">
      <c r="A134" s="296"/>
      <c r="B134" s="296"/>
      <c r="C134" s="296"/>
      <c r="D134" s="298"/>
      <c r="E134" s="298"/>
      <c r="F134" s="296"/>
      <c r="G134" s="296"/>
      <c r="H134" s="296"/>
      <c r="I134" s="296"/>
      <c r="J134" s="296"/>
      <c r="K134" s="296"/>
      <c r="L134" s="296"/>
      <c r="M134" s="299"/>
      <c r="N134" s="299"/>
      <c r="O134" s="299"/>
      <c r="P134" s="299"/>
      <c r="Q134" s="299"/>
      <c r="R134" s="299"/>
      <c r="S134" s="299"/>
      <c r="T134" s="299"/>
      <c r="U134" s="299"/>
      <c r="V134" s="299"/>
      <c r="W134" s="299"/>
      <c r="X134" s="299"/>
      <c r="Y134" s="299"/>
      <c r="Z134" s="299"/>
      <c r="AA134" s="299"/>
      <c r="AB134" s="299"/>
      <c r="AC134" s="300"/>
      <c r="AD134" s="300"/>
    </row>
    <row r="135" spans="1:30" ht="12.75" customHeight="1" x14ac:dyDescent="0.2">
      <c r="A135" s="296"/>
      <c r="B135" s="296"/>
      <c r="C135" s="296"/>
      <c r="D135" s="298"/>
      <c r="E135" s="298"/>
      <c r="F135" s="296"/>
      <c r="G135" s="296"/>
      <c r="H135" s="296"/>
      <c r="I135" s="296"/>
      <c r="J135" s="296"/>
      <c r="K135" s="296"/>
      <c r="L135" s="296"/>
      <c r="M135" s="299"/>
      <c r="N135" s="299"/>
      <c r="O135" s="299"/>
      <c r="P135" s="299"/>
      <c r="Q135" s="299"/>
      <c r="R135" s="299"/>
      <c r="S135" s="299"/>
      <c r="T135" s="299"/>
      <c r="U135" s="299"/>
      <c r="V135" s="299"/>
      <c r="W135" s="299"/>
      <c r="X135" s="299"/>
      <c r="Y135" s="299"/>
      <c r="Z135" s="299"/>
      <c r="AA135" s="299"/>
      <c r="AB135" s="299"/>
      <c r="AC135" s="300"/>
      <c r="AD135" s="300"/>
    </row>
    <row r="136" spans="1:30" ht="12.75" customHeight="1" x14ac:dyDescent="0.2">
      <c r="A136" s="296"/>
      <c r="B136" s="296"/>
      <c r="C136" s="296"/>
      <c r="D136" s="298"/>
      <c r="E136" s="298"/>
      <c r="F136" s="296"/>
      <c r="G136" s="296"/>
      <c r="H136" s="296"/>
      <c r="I136" s="296"/>
      <c r="J136" s="296"/>
      <c r="K136" s="296"/>
      <c r="L136" s="296"/>
      <c r="M136" s="299"/>
      <c r="N136" s="299"/>
      <c r="O136" s="299"/>
      <c r="P136" s="299"/>
      <c r="Q136" s="299"/>
      <c r="R136" s="299"/>
      <c r="S136" s="299"/>
      <c r="T136" s="299"/>
      <c r="U136" s="299"/>
      <c r="V136" s="299"/>
      <c r="W136" s="299"/>
      <c r="X136" s="299"/>
      <c r="Y136" s="299"/>
      <c r="Z136" s="299"/>
      <c r="AA136" s="299"/>
      <c r="AB136" s="299"/>
      <c r="AC136" s="300"/>
      <c r="AD136" s="300"/>
    </row>
    <row r="137" spans="1:30" ht="12.75" customHeight="1" x14ac:dyDescent="0.2">
      <c r="A137" s="296"/>
      <c r="B137" s="296"/>
      <c r="C137" s="296"/>
      <c r="D137" s="298"/>
      <c r="E137" s="298"/>
      <c r="F137" s="296"/>
      <c r="G137" s="296"/>
      <c r="H137" s="296"/>
      <c r="I137" s="296"/>
      <c r="J137" s="296"/>
      <c r="K137" s="296"/>
      <c r="L137" s="296"/>
      <c r="M137" s="299"/>
      <c r="N137" s="299"/>
      <c r="O137" s="299"/>
      <c r="P137" s="299"/>
      <c r="Q137" s="299"/>
      <c r="R137" s="299"/>
      <c r="S137" s="299"/>
      <c r="T137" s="299"/>
      <c r="U137" s="299"/>
      <c r="V137" s="299"/>
      <c r="W137" s="299"/>
      <c r="X137" s="299"/>
      <c r="Y137" s="299"/>
      <c r="Z137" s="299"/>
      <c r="AA137" s="299"/>
      <c r="AB137" s="299"/>
      <c r="AC137" s="300"/>
      <c r="AD137" s="300"/>
    </row>
    <row r="138" spans="1:30" ht="12.75" customHeight="1" x14ac:dyDescent="0.2">
      <c r="A138" s="296"/>
      <c r="B138" s="296"/>
      <c r="C138" s="296"/>
      <c r="D138" s="298"/>
      <c r="E138" s="298"/>
      <c r="F138" s="296"/>
      <c r="G138" s="296"/>
      <c r="H138" s="296"/>
      <c r="I138" s="296"/>
      <c r="J138" s="296"/>
      <c r="K138" s="296"/>
      <c r="L138" s="296"/>
      <c r="M138" s="299"/>
      <c r="N138" s="299"/>
      <c r="O138" s="299"/>
      <c r="P138" s="299"/>
      <c r="Q138" s="299"/>
      <c r="R138" s="299"/>
      <c r="S138" s="299"/>
      <c r="T138" s="299"/>
      <c r="U138" s="299"/>
      <c r="V138" s="299"/>
      <c r="W138" s="299"/>
      <c r="X138" s="299"/>
      <c r="Y138" s="299"/>
      <c r="Z138" s="299"/>
      <c r="AA138" s="299"/>
      <c r="AB138" s="299"/>
      <c r="AC138" s="300"/>
      <c r="AD138" s="300"/>
    </row>
    <row r="139" spans="1:30" ht="12.75" customHeight="1" x14ac:dyDescent="0.2">
      <c r="A139" s="296"/>
      <c r="B139" s="296"/>
      <c r="C139" s="296"/>
      <c r="D139" s="298"/>
      <c r="E139" s="298"/>
      <c r="F139" s="296"/>
      <c r="G139" s="296"/>
      <c r="H139" s="296"/>
      <c r="I139" s="296"/>
      <c r="J139" s="296"/>
      <c r="K139" s="296"/>
      <c r="L139" s="296"/>
      <c r="M139" s="299"/>
      <c r="N139" s="299"/>
      <c r="O139" s="299"/>
      <c r="P139" s="299"/>
      <c r="Q139" s="299"/>
      <c r="R139" s="299"/>
      <c r="S139" s="299"/>
      <c r="T139" s="299"/>
      <c r="U139" s="299"/>
      <c r="V139" s="299"/>
      <c r="W139" s="299"/>
      <c r="X139" s="299"/>
      <c r="Y139" s="299"/>
      <c r="Z139" s="299"/>
      <c r="AA139" s="299"/>
      <c r="AB139" s="299"/>
      <c r="AC139" s="300"/>
      <c r="AD139" s="300"/>
    </row>
    <row r="140" spans="1:30" ht="12.75" customHeight="1" x14ac:dyDescent="0.2">
      <c r="A140" s="296"/>
      <c r="B140" s="296"/>
      <c r="C140" s="296"/>
      <c r="D140" s="298"/>
      <c r="E140" s="298"/>
      <c r="F140" s="296"/>
      <c r="G140" s="296"/>
      <c r="H140" s="296"/>
      <c r="I140" s="296"/>
      <c r="J140" s="296"/>
      <c r="K140" s="296"/>
      <c r="L140" s="296"/>
      <c r="M140" s="299"/>
      <c r="N140" s="299"/>
      <c r="O140" s="299"/>
      <c r="P140" s="299"/>
      <c r="Q140" s="299"/>
      <c r="R140" s="299"/>
      <c r="S140" s="299"/>
      <c r="T140" s="299"/>
      <c r="U140" s="299"/>
      <c r="V140" s="299"/>
      <c r="W140" s="299"/>
      <c r="X140" s="299"/>
      <c r="Y140" s="299"/>
      <c r="Z140" s="299"/>
      <c r="AA140" s="299"/>
      <c r="AB140" s="299"/>
      <c r="AC140" s="300"/>
      <c r="AD140" s="300"/>
    </row>
    <row r="141" spans="1:30" ht="12.75" customHeight="1" x14ac:dyDescent="0.2">
      <c r="A141" s="296"/>
      <c r="B141" s="296"/>
      <c r="C141" s="296"/>
      <c r="D141" s="298"/>
      <c r="E141" s="298"/>
      <c r="F141" s="296"/>
      <c r="G141" s="296"/>
      <c r="H141" s="296"/>
      <c r="I141" s="296"/>
      <c r="J141" s="296"/>
      <c r="K141" s="296"/>
      <c r="L141" s="296"/>
      <c r="M141" s="299"/>
      <c r="N141" s="299"/>
      <c r="O141" s="299"/>
      <c r="P141" s="299"/>
      <c r="Q141" s="299"/>
      <c r="R141" s="299"/>
      <c r="S141" s="299"/>
      <c r="T141" s="299"/>
      <c r="U141" s="299"/>
      <c r="V141" s="299"/>
      <c r="W141" s="299"/>
      <c r="X141" s="299"/>
      <c r="Y141" s="299"/>
      <c r="Z141" s="299"/>
      <c r="AA141" s="299"/>
      <c r="AB141" s="299"/>
      <c r="AC141" s="300"/>
      <c r="AD141" s="300"/>
    </row>
    <row r="142" spans="1:30" ht="12.75" customHeight="1" x14ac:dyDescent="0.2">
      <c r="A142" s="296"/>
      <c r="B142" s="296"/>
      <c r="C142" s="296"/>
      <c r="D142" s="298"/>
      <c r="E142" s="298"/>
      <c r="F142" s="296"/>
      <c r="G142" s="296"/>
      <c r="H142" s="296"/>
      <c r="I142" s="296"/>
      <c r="J142" s="296"/>
      <c r="K142" s="296"/>
      <c r="L142" s="296"/>
      <c r="M142" s="299"/>
      <c r="N142" s="299"/>
      <c r="O142" s="299"/>
      <c r="P142" s="299"/>
      <c r="Q142" s="299"/>
      <c r="R142" s="299"/>
      <c r="S142" s="299"/>
      <c r="T142" s="299"/>
      <c r="U142" s="299"/>
      <c r="V142" s="299"/>
      <c r="W142" s="299"/>
      <c r="X142" s="299"/>
      <c r="Y142" s="299"/>
      <c r="Z142" s="299"/>
      <c r="AA142" s="299"/>
      <c r="AB142" s="299"/>
      <c r="AC142" s="300"/>
      <c r="AD142" s="300"/>
    </row>
    <row r="143" spans="1:30" ht="12.75" customHeight="1" x14ac:dyDescent="0.2">
      <c r="A143" s="296"/>
      <c r="B143" s="296"/>
      <c r="C143" s="296"/>
      <c r="D143" s="298"/>
      <c r="E143" s="298"/>
      <c r="F143" s="296"/>
      <c r="G143" s="296"/>
      <c r="H143" s="296"/>
      <c r="I143" s="296"/>
      <c r="J143" s="296"/>
      <c r="K143" s="296"/>
      <c r="L143" s="296"/>
      <c r="M143" s="299"/>
      <c r="N143" s="299"/>
      <c r="O143" s="299"/>
      <c r="P143" s="299"/>
      <c r="Q143" s="299"/>
      <c r="R143" s="299"/>
      <c r="S143" s="299"/>
      <c r="T143" s="299"/>
      <c r="U143" s="299"/>
      <c r="V143" s="299"/>
      <c r="W143" s="299"/>
      <c r="X143" s="299"/>
      <c r="Y143" s="299"/>
      <c r="Z143" s="299"/>
      <c r="AA143" s="299"/>
      <c r="AB143" s="299"/>
      <c r="AC143" s="300"/>
      <c r="AD143" s="300"/>
    </row>
    <row r="144" spans="1:30" ht="12.75" customHeight="1" x14ac:dyDescent="0.2">
      <c r="A144" s="296"/>
      <c r="B144" s="296"/>
      <c r="C144" s="296"/>
      <c r="D144" s="298"/>
      <c r="E144" s="298"/>
      <c r="F144" s="296"/>
      <c r="G144" s="296"/>
      <c r="H144" s="296"/>
      <c r="I144" s="296"/>
      <c r="J144" s="296"/>
      <c r="K144" s="296"/>
      <c r="L144" s="296"/>
      <c r="M144" s="299"/>
      <c r="N144" s="299"/>
      <c r="O144" s="299"/>
      <c r="P144" s="299"/>
      <c r="Q144" s="299"/>
      <c r="R144" s="299"/>
      <c r="S144" s="299"/>
      <c r="T144" s="299"/>
      <c r="U144" s="299"/>
      <c r="V144" s="299"/>
      <c r="W144" s="299"/>
      <c r="X144" s="299"/>
      <c r="Y144" s="299"/>
      <c r="Z144" s="299"/>
      <c r="AA144" s="299"/>
      <c r="AB144" s="299"/>
      <c r="AC144" s="300"/>
      <c r="AD144" s="300"/>
    </row>
    <row r="145" spans="1:30" ht="12.75" customHeight="1" x14ac:dyDescent="0.2">
      <c r="A145" s="296"/>
      <c r="B145" s="296"/>
      <c r="C145" s="296"/>
      <c r="D145" s="298"/>
      <c r="E145" s="298"/>
      <c r="F145" s="296"/>
      <c r="G145" s="296"/>
      <c r="H145" s="296"/>
      <c r="I145" s="296"/>
      <c r="J145" s="296"/>
      <c r="K145" s="296"/>
      <c r="L145" s="296"/>
      <c r="M145" s="299"/>
      <c r="N145" s="299"/>
      <c r="O145" s="299"/>
      <c r="P145" s="299"/>
      <c r="Q145" s="299"/>
      <c r="R145" s="299"/>
      <c r="S145" s="299"/>
      <c r="T145" s="299"/>
      <c r="U145" s="299"/>
      <c r="V145" s="299"/>
      <c r="W145" s="299"/>
      <c r="X145" s="299"/>
      <c r="Y145" s="299"/>
      <c r="Z145" s="299"/>
      <c r="AA145" s="299"/>
      <c r="AB145" s="299"/>
      <c r="AC145" s="300"/>
      <c r="AD145" s="300"/>
    </row>
    <row r="146" spans="1:30" ht="12.75" customHeight="1" x14ac:dyDescent="0.2">
      <c r="A146" s="296"/>
      <c r="B146" s="296"/>
      <c r="C146" s="296"/>
      <c r="D146" s="298"/>
      <c r="E146" s="298"/>
      <c r="F146" s="296"/>
      <c r="G146" s="296"/>
      <c r="H146" s="296"/>
      <c r="I146" s="296"/>
      <c r="J146" s="296"/>
      <c r="K146" s="296"/>
      <c r="L146" s="296"/>
      <c r="M146" s="299"/>
      <c r="N146" s="299"/>
      <c r="O146" s="299"/>
      <c r="P146" s="299"/>
      <c r="Q146" s="299"/>
      <c r="R146" s="299"/>
      <c r="S146" s="299"/>
      <c r="T146" s="299"/>
      <c r="U146" s="299"/>
      <c r="V146" s="299"/>
      <c r="W146" s="299"/>
      <c r="X146" s="299"/>
      <c r="Y146" s="299"/>
      <c r="Z146" s="299"/>
      <c r="AA146" s="299"/>
      <c r="AB146" s="299"/>
      <c r="AC146" s="300"/>
      <c r="AD146" s="300"/>
    </row>
    <row r="147" spans="1:30" ht="12.75" customHeight="1" x14ac:dyDescent="0.2">
      <c r="A147" s="296"/>
      <c r="B147" s="296"/>
      <c r="C147" s="296"/>
      <c r="D147" s="298"/>
      <c r="E147" s="298"/>
      <c r="F147" s="296"/>
      <c r="G147" s="296"/>
      <c r="H147" s="296"/>
      <c r="I147" s="296"/>
      <c r="J147" s="296"/>
      <c r="K147" s="296"/>
      <c r="L147" s="296"/>
      <c r="M147" s="299"/>
      <c r="N147" s="299"/>
      <c r="O147" s="299"/>
      <c r="P147" s="299"/>
      <c r="Q147" s="299"/>
      <c r="R147" s="299"/>
      <c r="S147" s="299"/>
      <c r="T147" s="299"/>
      <c r="U147" s="299"/>
      <c r="V147" s="299"/>
      <c r="W147" s="299"/>
      <c r="X147" s="299"/>
      <c r="Y147" s="299"/>
      <c r="Z147" s="299"/>
      <c r="AA147" s="299"/>
      <c r="AB147" s="299"/>
      <c r="AC147" s="300"/>
      <c r="AD147" s="300"/>
    </row>
    <row r="148" spans="1:30" ht="12.75" customHeight="1" x14ac:dyDescent="0.2">
      <c r="A148" s="296"/>
      <c r="B148" s="296"/>
      <c r="C148" s="296"/>
      <c r="D148" s="298"/>
      <c r="E148" s="298"/>
      <c r="F148" s="296"/>
      <c r="G148" s="296"/>
      <c r="H148" s="296"/>
      <c r="I148" s="296"/>
      <c r="J148" s="296"/>
      <c r="K148" s="296"/>
      <c r="L148" s="296"/>
      <c r="M148" s="299"/>
      <c r="N148" s="299"/>
      <c r="O148" s="299"/>
      <c r="P148" s="299"/>
      <c r="Q148" s="299"/>
      <c r="R148" s="299"/>
      <c r="S148" s="299"/>
      <c r="T148" s="299"/>
      <c r="U148" s="299"/>
      <c r="V148" s="299"/>
      <c r="W148" s="299"/>
      <c r="X148" s="299"/>
      <c r="Y148" s="299"/>
      <c r="Z148" s="299"/>
      <c r="AA148" s="299"/>
      <c r="AB148" s="299"/>
      <c r="AC148" s="300"/>
      <c r="AD148" s="300"/>
    </row>
    <row r="149" spans="1:30" ht="12.75" customHeight="1" x14ac:dyDescent="0.2">
      <c r="A149" s="296"/>
      <c r="B149" s="296"/>
      <c r="C149" s="296"/>
      <c r="D149" s="298"/>
      <c r="E149" s="298"/>
      <c r="F149" s="296"/>
      <c r="G149" s="296"/>
      <c r="H149" s="296"/>
      <c r="I149" s="296"/>
      <c r="J149" s="296"/>
      <c r="K149" s="296"/>
      <c r="L149" s="296"/>
      <c r="M149" s="299"/>
      <c r="N149" s="299"/>
      <c r="O149" s="299"/>
      <c r="P149" s="299"/>
      <c r="Q149" s="299"/>
      <c r="R149" s="299"/>
      <c r="S149" s="299"/>
      <c r="T149" s="299"/>
      <c r="U149" s="299"/>
      <c r="V149" s="299"/>
      <c r="W149" s="299"/>
      <c r="X149" s="299"/>
      <c r="Y149" s="299"/>
      <c r="Z149" s="299"/>
      <c r="AA149" s="299"/>
      <c r="AB149" s="299"/>
      <c r="AC149" s="300"/>
      <c r="AD149" s="300"/>
    </row>
    <row r="150" spans="1:30" ht="12.75" customHeight="1" x14ac:dyDescent="0.2">
      <c r="A150" s="296"/>
      <c r="B150" s="296"/>
      <c r="C150" s="296"/>
      <c r="D150" s="298"/>
      <c r="E150" s="298"/>
      <c r="F150" s="296"/>
      <c r="G150" s="296"/>
      <c r="H150" s="296"/>
      <c r="I150" s="296"/>
      <c r="J150" s="296"/>
      <c r="K150" s="296"/>
      <c r="L150" s="296"/>
      <c r="M150" s="299"/>
      <c r="N150" s="299"/>
      <c r="O150" s="299"/>
      <c r="P150" s="299"/>
      <c r="Q150" s="299"/>
      <c r="R150" s="299"/>
      <c r="S150" s="299"/>
      <c r="T150" s="299"/>
      <c r="U150" s="299"/>
      <c r="V150" s="299"/>
      <c r="W150" s="299"/>
      <c r="X150" s="299"/>
      <c r="Y150" s="299"/>
      <c r="Z150" s="299"/>
      <c r="AA150" s="299"/>
      <c r="AB150" s="299"/>
      <c r="AC150" s="300"/>
      <c r="AD150" s="300"/>
    </row>
    <row r="151" spans="1:30" ht="12.75" customHeight="1" x14ac:dyDescent="0.2">
      <c r="A151" s="296"/>
      <c r="B151" s="296"/>
      <c r="C151" s="296"/>
      <c r="D151" s="298"/>
      <c r="E151" s="298"/>
      <c r="F151" s="296"/>
      <c r="G151" s="296"/>
      <c r="H151" s="296"/>
      <c r="I151" s="296"/>
      <c r="J151" s="296"/>
      <c r="K151" s="296"/>
      <c r="L151" s="296"/>
      <c r="M151" s="299"/>
      <c r="N151" s="299"/>
      <c r="O151" s="299"/>
      <c r="P151" s="299"/>
      <c r="Q151" s="299"/>
      <c r="R151" s="299"/>
      <c r="S151" s="299"/>
      <c r="T151" s="299"/>
      <c r="U151" s="299"/>
      <c r="V151" s="299"/>
      <c r="W151" s="299"/>
      <c r="X151" s="299"/>
      <c r="Y151" s="299"/>
      <c r="Z151" s="299"/>
      <c r="AA151" s="299"/>
      <c r="AB151" s="299"/>
      <c r="AC151" s="300"/>
      <c r="AD151" s="300"/>
    </row>
    <row r="152" spans="1:30" ht="12.75" customHeight="1" x14ac:dyDescent="0.2">
      <c r="A152" s="296"/>
      <c r="B152" s="296"/>
      <c r="C152" s="296"/>
      <c r="D152" s="298"/>
      <c r="E152" s="298"/>
      <c r="F152" s="296"/>
      <c r="G152" s="296"/>
      <c r="H152" s="296"/>
      <c r="I152" s="296"/>
      <c r="J152" s="296"/>
      <c r="K152" s="296"/>
      <c r="L152" s="296"/>
      <c r="M152" s="299"/>
      <c r="N152" s="299"/>
      <c r="O152" s="299"/>
      <c r="P152" s="299"/>
      <c r="Q152" s="299"/>
      <c r="R152" s="299"/>
      <c r="S152" s="299"/>
      <c r="T152" s="299"/>
      <c r="U152" s="299"/>
      <c r="V152" s="299"/>
      <c r="W152" s="299"/>
      <c r="X152" s="299"/>
      <c r="Y152" s="299"/>
      <c r="Z152" s="299"/>
      <c r="AA152" s="299"/>
      <c r="AB152" s="299"/>
      <c r="AC152" s="300"/>
      <c r="AD152" s="300"/>
    </row>
    <row r="153" spans="1:30" ht="12.75" customHeight="1" x14ac:dyDescent="0.2">
      <c r="A153" s="296"/>
      <c r="B153" s="296"/>
      <c r="C153" s="296"/>
      <c r="D153" s="298"/>
      <c r="E153" s="298"/>
      <c r="F153" s="296"/>
      <c r="G153" s="296"/>
      <c r="H153" s="296"/>
      <c r="I153" s="296"/>
      <c r="J153" s="296"/>
      <c r="K153" s="296"/>
      <c r="L153" s="296"/>
      <c r="M153" s="299"/>
      <c r="N153" s="299"/>
      <c r="O153" s="299"/>
      <c r="P153" s="299"/>
      <c r="Q153" s="299"/>
      <c r="R153" s="299"/>
      <c r="S153" s="299"/>
      <c r="T153" s="299"/>
      <c r="U153" s="299"/>
      <c r="V153" s="299"/>
      <c r="W153" s="299"/>
      <c r="X153" s="299"/>
      <c r="Y153" s="299"/>
      <c r="Z153" s="299"/>
      <c r="AA153" s="299"/>
      <c r="AB153" s="299"/>
      <c r="AC153" s="300"/>
      <c r="AD153" s="300"/>
    </row>
    <row r="154" spans="1:30" ht="12.75" customHeight="1" x14ac:dyDescent="0.2">
      <c r="A154" s="296"/>
      <c r="B154" s="296"/>
      <c r="C154" s="296"/>
      <c r="D154" s="298"/>
      <c r="E154" s="298"/>
      <c r="F154" s="296"/>
      <c r="G154" s="296"/>
      <c r="H154" s="296"/>
      <c r="I154" s="296"/>
      <c r="J154" s="296"/>
      <c r="K154" s="296"/>
      <c r="L154" s="296"/>
      <c r="M154" s="299"/>
      <c r="N154" s="299"/>
      <c r="O154" s="299"/>
      <c r="P154" s="299"/>
      <c r="Q154" s="299"/>
      <c r="R154" s="299"/>
      <c r="S154" s="299"/>
      <c r="T154" s="299"/>
      <c r="U154" s="299"/>
      <c r="V154" s="299"/>
      <c r="W154" s="299"/>
      <c r="X154" s="299"/>
      <c r="Y154" s="299"/>
      <c r="Z154" s="299"/>
      <c r="AA154" s="299"/>
      <c r="AB154" s="299"/>
      <c r="AC154" s="300"/>
      <c r="AD154" s="300"/>
    </row>
    <row r="155" spans="1:30" ht="12.75" customHeight="1" x14ac:dyDescent="0.2">
      <c r="A155" s="296"/>
      <c r="B155" s="296"/>
      <c r="C155" s="296"/>
      <c r="D155" s="298"/>
      <c r="E155" s="298"/>
      <c r="F155" s="296"/>
      <c r="G155" s="296"/>
      <c r="H155" s="296"/>
      <c r="I155" s="296"/>
      <c r="J155" s="296"/>
      <c r="K155" s="296"/>
      <c r="L155" s="296"/>
      <c r="M155" s="299"/>
      <c r="N155" s="299"/>
      <c r="O155" s="299"/>
      <c r="P155" s="299"/>
      <c r="Q155" s="299"/>
      <c r="R155" s="299"/>
      <c r="S155" s="299"/>
      <c r="T155" s="299"/>
      <c r="U155" s="299"/>
      <c r="V155" s="299"/>
      <c r="W155" s="299"/>
      <c r="X155" s="299"/>
      <c r="Y155" s="299"/>
      <c r="Z155" s="299"/>
      <c r="AA155" s="299"/>
      <c r="AB155" s="299"/>
      <c r="AC155" s="300"/>
      <c r="AD155" s="300"/>
    </row>
    <row r="156" spans="1:30" ht="12.75" customHeight="1" x14ac:dyDescent="0.2">
      <c r="A156" s="296"/>
      <c r="B156" s="296"/>
      <c r="C156" s="296"/>
      <c r="D156" s="298"/>
      <c r="E156" s="298"/>
      <c r="F156" s="296"/>
      <c r="G156" s="296"/>
      <c r="H156" s="296"/>
      <c r="I156" s="296"/>
      <c r="J156" s="296"/>
      <c r="K156" s="296"/>
      <c r="L156" s="296"/>
      <c r="M156" s="299"/>
      <c r="N156" s="299"/>
      <c r="O156" s="299"/>
      <c r="P156" s="299"/>
      <c r="Q156" s="299"/>
      <c r="R156" s="299"/>
      <c r="S156" s="299"/>
      <c r="T156" s="299"/>
      <c r="U156" s="299"/>
      <c r="V156" s="299"/>
      <c r="W156" s="299"/>
      <c r="X156" s="299"/>
      <c r="Y156" s="299"/>
      <c r="Z156" s="299"/>
      <c r="AA156" s="299"/>
      <c r="AB156" s="299"/>
      <c r="AC156" s="300"/>
      <c r="AD156" s="300"/>
    </row>
    <row r="157" spans="1:30" ht="12.75" customHeight="1" x14ac:dyDescent="0.2">
      <c r="A157" s="296"/>
      <c r="B157" s="296"/>
      <c r="C157" s="296"/>
      <c r="D157" s="298"/>
      <c r="E157" s="298"/>
      <c r="F157" s="296"/>
      <c r="G157" s="296"/>
      <c r="H157" s="296"/>
      <c r="I157" s="296"/>
      <c r="J157" s="296"/>
      <c r="K157" s="296"/>
      <c r="L157" s="296"/>
      <c r="M157" s="299"/>
      <c r="N157" s="299"/>
      <c r="O157" s="299"/>
      <c r="P157" s="299"/>
      <c r="Q157" s="299"/>
      <c r="R157" s="299"/>
      <c r="S157" s="299"/>
      <c r="T157" s="299"/>
      <c r="U157" s="299"/>
      <c r="V157" s="299"/>
      <c r="W157" s="299"/>
      <c r="X157" s="299"/>
      <c r="Y157" s="299"/>
      <c r="Z157" s="299"/>
      <c r="AA157" s="299"/>
      <c r="AB157" s="299"/>
      <c r="AC157" s="300"/>
      <c r="AD157" s="300"/>
    </row>
    <row r="158" spans="1:30" ht="12.75" customHeight="1" x14ac:dyDescent="0.2">
      <c r="A158" s="296"/>
      <c r="B158" s="296"/>
      <c r="C158" s="296"/>
      <c r="D158" s="298"/>
      <c r="E158" s="298"/>
      <c r="F158" s="296"/>
      <c r="G158" s="296"/>
      <c r="H158" s="296"/>
      <c r="I158" s="296"/>
      <c r="J158" s="296"/>
      <c r="K158" s="296"/>
      <c r="L158" s="296"/>
      <c r="M158" s="299"/>
      <c r="N158" s="299"/>
      <c r="O158" s="299"/>
      <c r="P158" s="299"/>
      <c r="Q158" s="299"/>
      <c r="R158" s="299"/>
      <c r="S158" s="299"/>
      <c r="T158" s="299"/>
      <c r="U158" s="299"/>
      <c r="V158" s="299"/>
      <c r="W158" s="299"/>
      <c r="X158" s="299"/>
      <c r="Y158" s="299"/>
      <c r="Z158" s="299"/>
      <c r="AA158" s="299"/>
      <c r="AB158" s="299"/>
      <c r="AC158" s="300"/>
      <c r="AD158" s="300"/>
    </row>
    <row r="159" spans="1:30" ht="12.75" customHeight="1" x14ac:dyDescent="0.2">
      <c r="A159" s="296"/>
      <c r="B159" s="296"/>
      <c r="C159" s="296"/>
      <c r="D159" s="298"/>
      <c r="E159" s="298"/>
      <c r="F159" s="296"/>
      <c r="G159" s="296"/>
      <c r="H159" s="296"/>
      <c r="I159" s="296"/>
      <c r="J159" s="296"/>
      <c r="K159" s="296"/>
      <c r="L159" s="296"/>
      <c r="M159" s="299"/>
      <c r="N159" s="299"/>
      <c r="O159" s="299"/>
      <c r="P159" s="299"/>
      <c r="Q159" s="299"/>
      <c r="R159" s="299"/>
      <c r="S159" s="299"/>
      <c r="T159" s="299"/>
      <c r="U159" s="299"/>
      <c r="V159" s="299"/>
      <c r="W159" s="299"/>
      <c r="X159" s="299"/>
      <c r="Y159" s="299"/>
      <c r="Z159" s="299"/>
      <c r="AA159" s="299"/>
      <c r="AB159" s="299"/>
      <c r="AC159" s="300"/>
      <c r="AD159" s="300"/>
    </row>
    <row r="160" spans="1:30" ht="12.75" customHeight="1" x14ac:dyDescent="0.2">
      <c r="A160" s="296"/>
      <c r="B160" s="296"/>
      <c r="C160" s="296"/>
      <c r="D160" s="298"/>
      <c r="E160" s="298"/>
      <c r="F160" s="296"/>
      <c r="G160" s="296"/>
      <c r="H160" s="296"/>
      <c r="I160" s="296"/>
      <c r="J160" s="296"/>
      <c r="K160" s="296"/>
      <c r="L160" s="296"/>
      <c r="M160" s="299"/>
      <c r="N160" s="299"/>
      <c r="O160" s="299"/>
      <c r="P160" s="299"/>
      <c r="Q160" s="299"/>
      <c r="R160" s="299"/>
      <c r="S160" s="299"/>
      <c r="T160" s="299"/>
      <c r="U160" s="299"/>
      <c r="V160" s="299"/>
      <c r="W160" s="299"/>
      <c r="X160" s="299"/>
      <c r="Y160" s="299"/>
      <c r="Z160" s="299"/>
      <c r="AA160" s="299"/>
      <c r="AB160" s="299"/>
      <c r="AC160" s="300"/>
      <c r="AD160" s="300"/>
    </row>
    <row r="161" spans="1:30" ht="12.75" customHeight="1" x14ac:dyDescent="0.2">
      <c r="A161" s="296"/>
      <c r="B161" s="296"/>
      <c r="C161" s="296"/>
      <c r="D161" s="298"/>
      <c r="E161" s="298"/>
      <c r="F161" s="296"/>
      <c r="G161" s="296"/>
      <c r="H161" s="296"/>
      <c r="I161" s="296"/>
      <c r="J161" s="296"/>
      <c r="K161" s="296"/>
      <c r="L161" s="296"/>
      <c r="M161" s="299"/>
      <c r="N161" s="299"/>
      <c r="O161" s="299"/>
      <c r="P161" s="299"/>
      <c r="Q161" s="299"/>
      <c r="R161" s="299"/>
      <c r="S161" s="299"/>
      <c r="T161" s="299"/>
      <c r="U161" s="299"/>
      <c r="V161" s="299"/>
      <c r="W161" s="299"/>
      <c r="X161" s="299"/>
      <c r="Y161" s="299"/>
      <c r="Z161" s="299"/>
      <c r="AA161" s="299"/>
      <c r="AB161" s="299"/>
      <c r="AC161" s="300"/>
      <c r="AD161" s="300"/>
    </row>
    <row r="162" spans="1:30" ht="12.75" customHeight="1" x14ac:dyDescent="0.2">
      <c r="A162" s="296"/>
      <c r="B162" s="296"/>
      <c r="C162" s="296"/>
      <c r="D162" s="298"/>
      <c r="E162" s="298"/>
      <c r="F162" s="296"/>
      <c r="G162" s="296"/>
      <c r="H162" s="296"/>
      <c r="I162" s="296"/>
      <c r="J162" s="296"/>
      <c r="K162" s="296"/>
      <c r="L162" s="296"/>
      <c r="M162" s="299"/>
      <c r="N162" s="299"/>
      <c r="O162" s="299"/>
      <c r="P162" s="299"/>
      <c r="Q162" s="299"/>
      <c r="R162" s="299"/>
      <c r="S162" s="299"/>
      <c r="T162" s="299"/>
      <c r="U162" s="299"/>
      <c r="V162" s="299"/>
      <c r="W162" s="299"/>
      <c r="X162" s="299"/>
      <c r="Y162" s="299"/>
      <c r="Z162" s="299"/>
      <c r="AA162" s="299"/>
      <c r="AB162" s="299"/>
      <c r="AC162" s="300"/>
      <c r="AD162" s="300"/>
    </row>
    <row r="163" spans="1:30" ht="12.75" customHeight="1" x14ac:dyDescent="0.2">
      <c r="A163" s="296"/>
      <c r="B163" s="296"/>
      <c r="C163" s="296"/>
      <c r="D163" s="298"/>
      <c r="E163" s="298"/>
      <c r="F163" s="296"/>
      <c r="G163" s="296"/>
      <c r="H163" s="296"/>
      <c r="I163" s="296"/>
      <c r="J163" s="296"/>
      <c r="K163" s="296"/>
      <c r="L163" s="296"/>
      <c r="M163" s="299"/>
      <c r="N163" s="299"/>
      <c r="O163" s="299"/>
      <c r="P163" s="299"/>
      <c r="Q163" s="299"/>
      <c r="R163" s="299"/>
      <c r="S163" s="299"/>
      <c r="T163" s="299"/>
      <c r="U163" s="299"/>
      <c r="V163" s="299"/>
      <c r="W163" s="299"/>
      <c r="X163" s="299"/>
      <c r="Y163" s="299"/>
      <c r="Z163" s="299"/>
      <c r="AA163" s="299"/>
      <c r="AB163" s="299"/>
      <c r="AC163" s="300"/>
      <c r="AD163" s="300"/>
    </row>
    <row r="164" spans="1:30" ht="12.75" customHeight="1" x14ac:dyDescent="0.2">
      <c r="A164" s="296"/>
      <c r="B164" s="296"/>
      <c r="C164" s="296"/>
      <c r="D164" s="298"/>
      <c r="E164" s="298"/>
      <c r="F164" s="296"/>
      <c r="G164" s="296"/>
      <c r="H164" s="296"/>
      <c r="I164" s="296"/>
      <c r="J164" s="296"/>
      <c r="K164" s="296"/>
      <c r="L164" s="296"/>
      <c r="M164" s="299"/>
      <c r="N164" s="299"/>
      <c r="O164" s="299"/>
      <c r="P164" s="299"/>
      <c r="Q164" s="299"/>
      <c r="R164" s="299"/>
      <c r="S164" s="299"/>
      <c r="T164" s="299"/>
      <c r="U164" s="299"/>
      <c r="V164" s="299"/>
      <c r="W164" s="299"/>
      <c r="X164" s="299"/>
      <c r="Y164" s="299"/>
      <c r="Z164" s="299"/>
      <c r="AA164" s="299"/>
      <c r="AB164" s="299"/>
      <c r="AC164" s="300"/>
      <c r="AD164" s="300"/>
    </row>
    <row r="165" spans="1:30" ht="12.75" customHeight="1" x14ac:dyDescent="0.2">
      <c r="A165" s="296"/>
      <c r="B165" s="296"/>
      <c r="C165" s="296"/>
      <c r="D165" s="298"/>
      <c r="E165" s="298"/>
      <c r="F165" s="296"/>
      <c r="G165" s="296"/>
      <c r="H165" s="296"/>
      <c r="I165" s="296"/>
      <c r="J165" s="296"/>
      <c r="K165" s="296"/>
      <c r="L165" s="296"/>
      <c r="M165" s="299"/>
      <c r="N165" s="299"/>
      <c r="O165" s="299"/>
      <c r="P165" s="299"/>
      <c r="Q165" s="299"/>
      <c r="R165" s="299"/>
      <c r="S165" s="299"/>
      <c r="T165" s="299"/>
      <c r="U165" s="299"/>
      <c r="V165" s="299"/>
      <c r="W165" s="299"/>
      <c r="X165" s="299"/>
      <c r="Y165" s="299"/>
      <c r="Z165" s="299"/>
      <c r="AA165" s="299"/>
      <c r="AB165" s="299"/>
      <c r="AC165" s="300"/>
      <c r="AD165" s="300"/>
    </row>
    <row r="166" spans="1:30" ht="12.75" customHeight="1" x14ac:dyDescent="0.2">
      <c r="A166" s="296"/>
      <c r="B166" s="296"/>
      <c r="C166" s="296"/>
      <c r="D166" s="298"/>
      <c r="E166" s="298"/>
      <c r="F166" s="296"/>
      <c r="G166" s="296"/>
      <c r="H166" s="296"/>
      <c r="I166" s="296"/>
      <c r="J166" s="296"/>
      <c r="K166" s="296"/>
      <c r="L166" s="296"/>
      <c r="M166" s="299"/>
      <c r="N166" s="299"/>
      <c r="O166" s="299"/>
      <c r="P166" s="299"/>
      <c r="Q166" s="299"/>
      <c r="R166" s="299"/>
      <c r="S166" s="299"/>
      <c r="T166" s="299"/>
      <c r="U166" s="299"/>
      <c r="V166" s="299"/>
      <c r="W166" s="299"/>
      <c r="X166" s="299"/>
      <c r="Y166" s="299"/>
      <c r="Z166" s="299"/>
      <c r="AA166" s="299"/>
      <c r="AB166" s="299"/>
      <c r="AC166" s="300"/>
      <c r="AD166" s="300"/>
    </row>
    <row r="167" spans="1:30" ht="12.75" customHeight="1" x14ac:dyDescent="0.2">
      <c r="A167" s="296"/>
      <c r="B167" s="296"/>
      <c r="C167" s="296"/>
      <c r="D167" s="298"/>
      <c r="E167" s="298"/>
      <c r="F167" s="296"/>
      <c r="G167" s="296"/>
      <c r="H167" s="296"/>
      <c r="I167" s="296"/>
      <c r="J167" s="296"/>
      <c r="K167" s="296"/>
      <c r="L167" s="296"/>
      <c r="M167" s="299"/>
      <c r="N167" s="299"/>
      <c r="O167" s="299"/>
      <c r="P167" s="299"/>
      <c r="Q167" s="299"/>
      <c r="R167" s="299"/>
      <c r="S167" s="299"/>
      <c r="T167" s="299"/>
      <c r="U167" s="299"/>
      <c r="V167" s="299"/>
      <c r="W167" s="299"/>
      <c r="X167" s="299"/>
      <c r="Y167" s="299"/>
      <c r="Z167" s="299"/>
      <c r="AA167" s="299"/>
      <c r="AB167" s="299"/>
      <c r="AC167" s="300"/>
      <c r="AD167" s="300"/>
    </row>
    <row r="168" spans="1:30" ht="12.75" customHeight="1" x14ac:dyDescent="0.2">
      <c r="A168" s="296"/>
      <c r="B168" s="296"/>
      <c r="C168" s="296"/>
      <c r="D168" s="298"/>
      <c r="E168" s="298"/>
      <c r="F168" s="296"/>
      <c r="G168" s="296"/>
      <c r="H168" s="296"/>
      <c r="I168" s="296"/>
      <c r="J168" s="296"/>
      <c r="K168" s="296"/>
      <c r="L168" s="296"/>
      <c r="M168" s="299"/>
      <c r="N168" s="299"/>
      <c r="O168" s="299"/>
      <c r="P168" s="299"/>
      <c r="Q168" s="299"/>
      <c r="R168" s="299"/>
      <c r="S168" s="299"/>
      <c r="T168" s="299"/>
      <c r="U168" s="299"/>
      <c r="V168" s="299"/>
      <c r="W168" s="299"/>
      <c r="X168" s="299"/>
      <c r="Y168" s="299"/>
      <c r="Z168" s="299"/>
      <c r="AA168" s="299"/>
      <c r="AB168" s="299"/>
      <c r="AC168" s="300"/>
      <c r="AD168" s="300"/>
    </row>
    <row r="169" spans="1:30" ht="12.75" customHeight="1" x14ac:dyDescent="0.2">
      <c r="A169" s="296"/>
      <c r="B169" s="296"/>
      <c r="C169" s="296"/>
      <c r="D169" s="298"/>
      <c r="E169" s="298"/>
      <c r="F169" s="296"/>
      <c r="G169" s="296"/>
      <c r="H169" s="296"/>
      <c r="I169" s="296"/>
      <c r="J169" s="296"/>
      <c r="K169" s="296"/>
      <c r="L169" s="296"/>
      <c r="M169" s="299"/>
      <c r="N169" s="299"/>
      <c r="O169" s="299"/>
      <c r="P169" s="299"/>
      <c r="Q169" s="299"/>
      <c r="R169" s="299"/>
      <c r="S169" s="299"/>
      <c r="T169" s="299"/>
      <c r="U169" s="299"/>
      <c r="V169" s="299"/>
      <c r="W169" s="299"/>
      <c r="X169" s="299"/>
      <c r="Y169" s="299"/>
      <c r="Z169" s="299"/>
      <c r="AA169" s="299"/>
      <c r="AB169" s="299"/>
      <c r="AC169" s="300"/>
      <c r="AD169" s="300"/>
    </row>
    <row r="170" spans="1:30" ht="12.75" customHeight="1" x14ac:dyDescent="0.2">
      <c r="A170" s="296"/>
      <c r="B170" s="296"/>
      <c r="C170" s="296"/>
      <c r="D170" s="298"/>
      <c r="E170" s="298"/>
      <c r="F170" s="296"/>
      <c r="G170" s="296"/>
      <c r="H170" s="296"/>
      <c r="I170" s="296"/>
      <c r="J170" s="296"/>
      <c r="K170" s="296"/>
      <c r="L170" s="296"/>
      <c r="M170" s="299"/>
      <c r="N170" s="299"/>
      <c r="O170" s="299"/>
      <c r="P170" s="299"/>
      <c r="Q170" s="299"/>
      <c r="R170" s="299"/>
      <c r="S170" s="299"/>
      <c r="T170" s="299"/>
      <c r="U170" s="299"/>
      <c r="V170" s="299"/>
      <c r="W170" s="299"/>
      <c r="X170" s="299"/>
      <c r="Y170" s="299"/>
      <c r="Z170" s="299"/>
      <c r="AA170" s="299"/>
      <c r="AB170" s="299"/>
      <c r="AC170" s="300"/>
      <c r="AD170" s="300"/>
    </row>
    <row r="171" spans="1:30" ht="12.75" customHeight="1" x14ac:dyDescent="0.2">
      <c r="A171" s="296"/>
      <c r="B171" s="296"/>
      <c r="C171" s="296"/>
      <c r="D171" s="298"/>
      <c r="E171" s="298"/>
      <c r="F171" s="296"/>
      <c r="G171" s="296"/>
      <c r="H171" s="296"/>
      <c r="I171" s="296"/>
      <c r="J171" s="296"/>
      <c r="K171" s="296"/>
      <c r="L171" s="296"/>
      <c r="M171" s="299"/>
      <c r="N171" s="299"/>
      <c r="O171" s="299"/>
      <c r="P171" s="299"/>
      <c r="Q171" s="299"/>
      <c r="R171" s="299"/>
      <c r="S171" s="299"/>
      <c r="T171" s="299"/>
      <c r="U171" s="299"/>
      <c r="V171" s="299"/>
      <c r="W171" s="299"/>
      <c r="X171" s="299"/>
      <c r="Y171" s="299"/>
      <c r="Z171" s="299"/>
      <c r="AA171" s="299"/>
      <c r="AB171" s="299"/>
      <c r="AC171" s="300"/>
      <c r="AD171" s="300"/>
    </row>
    <row r="172" spans="1:30" ht="12.75" customHeight="1" x14ac:dyDescent="0.2">
      <c r="A172" s="296"/>
      <c r="B172" s="296"/>
      <c r="C172" s="296"/>
      <c r="D172" s="298"/>
      <c r="E172" s="298"/>
      <c r="F172" s="296"/>
      <c r="G172" s="296"/>
      <c r="H172" s="296"/>
      <c r="I172" s="296"/>
      <c r="J172" s="296"/>
      <c r="K172" s="296"/>
      <c r="L172" s="296"/>
      <c r="M172" s="299"/>
      <c r="N172" s="299"/>
      <c r="O172" s="299"/>
      <c r="P172" s="299"/>
      <c r="Q172" s="299"/>
      <c r="R172" s="299"/>
      <c r="S172" s="299"/>
      <c r="T172" s="299"/>
      <c r="U172" s="299"/>
      <c r="V172" s="299"/>
      <c r="W172" s="299"/>
      <c r="X172" s="299"/>
      <c r="Y172" s="299"/>
      <c r="Z172" s="299"/>
      <c r="AA172" s="299"/>
      <c r="AB172" s="299"/>
      <c r="AC172" s="300"/>
      <c r="AD172" s="300"/>
    </row>
    <row r="173" spans="1:30" ht="12.75" customHeight="1" x14ac:dyDescent="0.2">
      <c r="A173" s="296"/>
      <c r="B173" s="296"/>
      <c r="C173" s="296"/>
      <c r="D173" s="298"/>
      <c r="E173" s="298"/>
      <c r="F173" s="296"/>
      <c r="G173" s="296"/>
      <c r="H173" s="296"/>
      <c r="I173" s="296"/>
      <c r="J173" s="296"/>
      <c r="K173" s="296"/>
      <c r="L173" s="296"/>
      <c r="M173" s="299"/>
      <c r="N173" s="299"/>
      <c r="O173" s="299"/>
      <c r="P173" s="299"/>
      <c r="Q173" s="299"/>
      <c r="R173" s="299"/>
      <c r="S173" s="299"/>
      <c r="T173" s="299"/>
      <c r="U173" s="299"/>
      <c r="V173" s="299"/>
      <c r="W173" s="299"/>
      <c r="X173" s="299"/>
      <c r="Y173" s="299"/>
      <c r="Z173" s="299"/>
      <c r="AA173" s="299"/>
      <c r="AB173" s="299"/>
      <c r="AC173" s="300"/>
      <c r="AD173" s="300"/>
    </row>
    <row r="174" spans="1:30" ht="12.75" customHeight="1" x14ac:dyDescent="0.2">
      <c r="A174" s="296"/>
      <c r="B174" s="296"/>
      <c r="C174" s="296"/>
      <c r="D174" s="298"/>
      <c r="E174" s="298"/>
      <c r="F174" s="296"/>
      <c r="G174" s="296"/>
      <c r="H174" s="296"/>
      <c r="I174" s="296"/>
      <c r="J174" s="296"/>
      <c r="K174" s="296"/>
      <c r="L174" s="296"/>
      <c r="M174" s="299"/>
      <c r="N174" s="299"/>
      <c r="O174" s="299"/>
      <c r="P174" s="299"/>
      <c r="Q174" s="299"/>
      <c r="R174" s="299"/>
      <c r="S174" s="299"/>
      <c r="T174" s="299"/>
      <c r="U174" s="299"/>
      <c r="V174" s="299"/>
      <c r="W174" s="299"/>
      <c r="X174" s="299"/>
      <c r="Y174" s="299"/>
      <c r="Z174" s="299"/>
      <c r="AA174" s="299"/>
      <c r="AB174" s="299"/>
      <c r="AC174" s="300"/>
      <c r="AD174" s="300"/>
    </row>
    <row r="175" spans="1:30" ht="12.75" customHeight="1" x14ac:dyDescent="0.2">
      <c r="A175" s="296"/>
      <c r="B175" s="296"/>
      <c r="C175" s="296"/>
      <c r="D175" s="298"/>
      <c r="E175" s="298"/>
      <c r="F175" s="296"/>
      <c r="G175" s="296"/>
      <c r="H175" s="296"/>
      <c r="I175" s="296"/>
      <c r="J175" s="296"/>
      <c r="K175" s="296"/>
      <c r="L175" s="296"/>
      <c r="M175" s="299"/>
      <c r="N175" s="299"/>
      <c r="O175" s="299"/>
      <c r="P175" s="299"/>
      <c r="Q175" s="299"/>
      <c r="R175" s="299"/>
      <c r="S175" s="299"/>
      <c r="T175" s="299"/>
      <c r="U175" s="299"/>
      <c r="V175" s="299"/>
      <c r="W175" s="299"/>
      <c r="X175" s="299"/>
      <c r="Y175" s="299"/>
      <c r="Z175" s="299"/>
      <c r="AA175" s="299"/>
      <c r="AB175" s="299"/>
      <c r="AC175" s="300"/>
      <c r="AD175" s="300"/>
    </row>
    <row r="176" spans="1:30" ht="12.75" customHeight="1" x14ac:dyDescent="0.2">
      <c r="A176" s="296"/>
      <c r="B176" s="296"/>
      <c r="C176" s="296"/>
      <c r="D176" s="298"/>
      <c r="E176" s="298"/>
      <c r="F176" s="296"/>
      <c r="G176" s="296"/>
      <c r="H176" s="296"/>
      <c r="I176" s="296"/>
      <c r="J176" s="296"/>
      <c r="K176" s="296"/>
      <c r="L176" s="296"/>
      <c r="M176" s="299"/>
      <c r="N176" s="299"/>
      <c r="O176" s="299"/>
      <c r="P176" s="299"/>
      <c r="Q176" s="299"/>
      <c r="R176" s="299"/>
      <c r="S176" s="299"/>
      <c r="T176" s="299"/>
      <c r="U176" s="299"/>
      <c r="V176" s="299"/>
      <c r="W176" s="299"/>
      <c r="X176" s="299"/>
      <c r="Y176" s="299"/>
      <c r="Z176" s="299"/>
      <c r="AA176" s="299"/>
      <c r="AB176" s="299"/>
      <c r="AC176" s="300"/>
      <c r="AD176" s="300"/>
    </row>
    <row r="177" spans="1:30" ht="12.75" customHeight="1" x14ac:dyDescent="0.2">
      <c r="A177" s="296"/>
      <c r="B177" s="296"/>
      <c r="C177" s="296"/>
      <c r="D177" s="298"/>
      <c r="E177" s="298"/>
      <c r="F177" s="296"/>
      <c r="G177" s="296"/>
      <c r="H177" s="296"/>
      <c r="I177" s="296"/>
      <c r="J177" s="296"/>
      <c r="K177" s="296"/>
      <c r="L177" s="296"/>
      <c r="M177" s="299"/>
      <c r="N177" s="299"/>
      <c r="O177" s="299"/>
      <c r="P177" s="299"/>
      <c r="Q177" s="299"/>
      <c r="R177" s="299"/>
      <c r="S177" s="299"/>
      <c r="T177" s="299"/>
      <c r="U177" s="299"/>
      <c r="V177" s="299"/>
      <c r="W177" s="299"/>
      <c r="X177" s="299"/>
      <c r="Y177" s="299"/>
      <c r="Z177" s="299"/>
      <c r="AA177" s="299"/>
      <c r="AB177" s="299"/>
      <c r="AC177" s="300"/>
      <c r="AD177" s="300"/>
    </row>
    <row r="178" spans="1:30" ht="12.75" customHeight="1" x14ac:dyDescent="0.2">
      <c r="A178" s="296"/>
      <c r="B178" s="296"/>
      <c r="C178" s="296"/>
      <c r="D178" s="298"/>
      <c r="E178" s="298"/>
      <c r="F178" s="296"/>
      <c r="G178" s="296"/>
      <c r="H178" s="296"/>
      <c r="I178" s="296"/>
      <c r="J178" s="296"/>
      <c r="K178" s="296"/>
      <c r="L178" s="296"/>
      <c r="M178" s="299"/>
      <c r="N178" s="299"/>
      <c r="O178" s="299"/>
      <c r="P178" s="299"/>
      <c r="Q178" s="299"/>
      <c r="R178" s="299"/>
      <c r="S178" s="299"/>
      <c r="T178" s="299"/>
      <c r="U178" s="299"/>
      <c r="V178" s="299"/>
      <c r="W178" s="299"/>
      <c r="X178" s="299"/>
      <c r="Y178" s="299"/>
      <c r="Z178" s="299"/>
      <c r="AA178" s="299"/>
      <c r="AB178" s="299"/>
      <c r="AC178" s="300"/>
      <c r="AD178" s="300"/>
    </row>
    <row r="179" spans="1:30" ht="12.75" customHeight="1" x14ac:dyDescent="0.2">
      <c r="A179" s="296"/>
      <c r="B179" s="296"/>
      <c r="C179" s="296"/>
      <c r="D179" s="298"/>
      <c r="E179" s="298"/>
      <c r="F179" s="296"/>
      <c r="G179" s="296"/>
      <c r="H179" s="296"/>
      <c r="I179" s="296"/>
      <c r="J179" s="296"/>
      <c r="K179" s="296"/>
      <c r="L179" s="296"/>
      <c r="M179" s="299"/>
      <c r="N179" s="299"/>
      <c r="O179" s="299"/>
      <c r="P179" s="299"/>
      <c r="Q179" s="299"/>
      <c r="R179" s="299"/>
      <c r="S179" s="299"/>
      <c r="T179" s="299"/>
      <c r="U179" s="299"/>
      <c r="V179" s="299"/>
      <c r="W179" s="299"/>
      <c r="X179" s="299"/>
      <c r="Y179" s="299"/>
      <c r="Z179" s="299"/>
      <c r="AA179" s="299"/>
      <c r="AB179" s="299"/>
      <c r="AC179" s="300"/>
      <c r="AD179" s="300"/>
    </row>
    <row r="180" spans="1:30" ht="12.75" customHeight="1" x14ac:dyDescent="0.2">
      <c r="A180" s="296"/>
      <c r="B180" s="296"/>
      <c r="C180" s="296"/>
      <c r="D180" s="298"/>
      <c r="E180" s="298"/>
      <c r="F180" s="296"/>
      <c r="G180" s="296"/>
      <c r="H180" s="296"/>
      <c r="I180" s="296"/>
      <c r="J180" s="296"/>
      <c r="K180" s="296"/>
      <c r="L180" s="296"/>
      <c r="M180" s="299"/>
      <c r="N180" s="299"/>
      <c r="O180" s="299"/>
      <c r="P180" s="299"/>
      <c r="Q180" s="299"/>
      <c r="R180" s="299"/>
      <c r="S180" s="299"/>
      <c r="T180" s="299"/>
      <c r="U180" s="299"/>
      <c r="V180" s="299"/>
      <c r="W180" s="299"/>
      <c r="X180" s="299"/>
      <c r="Y180" s="299"/>
      <c r="Z180" s="299"/>
      <c r="AA180" s="299"/>
      <c r="AB180" s="299"/>
      <c r="AC180" s="300"/>
      <c r="AD180" s="300"/>
    </row>
    <row r="181" spans="1:30" ht="12.75" customHeight="1" x14ac:dyDescent="0.2">
      <c r="A181" s="296"/>
      <c r="B181" s="296"/>
      <c r="C181" s="296"/>
      <c r="D181" s="298"/>
      <c r="E181" s="298"/>
      <c r="F181" s="296"/>
      <c r="G181" s="296"/>
      <c r="H181" s="296"/>
      <c r="I181" s="296"/>
      <c r="J181" s="296"/>
      <c r="K181" s="296"/>
      <c r="L181" s="296"/>
      <c r="M181" s="299"/>
      <c r="N181" s="299"/>
      <c r="O181" s="299"/>
      <c r="P181" s="299"/>
      <c r="Q181" s="299"/>
      <c r="R181" s="299"/>
      <c r="S181" s="299"/>
      <c r="T181" s="299"/>
      <c r="U181" s="299"/>
      <c r="V181" s="299"/>
      <c r="W181" s="299"/>
      <c r="X181" s="299"/>
      <c r="Y181" s="299"/>
      <c r="Z181" s="299"/>
      <c r="AA181" s="299"/>
      <c r="AB181" s="299"/>
      <c r="AC181" s="300"/>
      <c r="AD181" s="300"/>
    </row>
    <row r="182" spans="1:30" ht="12.75" customHeight="1" x14ac:dyDescent="0.2">
      <c r="A182" s="296"/>
      <c r="B182" s="296"/>
      <c r="C182" s="296"/>
      <c r="D182" s="298"/>
      <c r="E182" s="298"/>
      <c r="F182" s="296"/>
      <c r="G182" s="296"/>
      <c r="H182" s="296"/>
      <c r="I182" s="296"/>
      <c r="J182" s="296"/>
      <c r="K182" s="296"/>
      <c r="L182" s="296"/>
      <c r="M182" s="299"/>
      <c r="N182" s="299"/>
      <c r="O182" s="299"/>
      <c r="P182" s="299"/>
      <c r="Q182" s="299"/>
      <c r="R182" s="299"/>
      <c r="S182" s="299"/>
      <c r="T182" s="299"/>
      <c r="U182" s="299"/>
      <c r="V182" s="299"/>
      <c r="W182" s="299"/>
      <c r="X182" s="299"/>
      <c r="Y182" s="299"/>
      <c r="Z182" s="299"/>
      <c r="AA182" s="299"/>
      <c r="AB182" s="299"/>
      <c r="AC182" s="300"/>
      <c r="AD182" s="300"/>
    </row>
    <row r="183" spans="1:30" ht="12.75" customHeight="1" x14ac:dyDescent="0.2">
      <c r="A183" s="296"/>
      <c r="B183" s="296"/>
      <c r="C183" s="296"/>
      <c r="D183" s="298"/>
      <c r="E183" s="298"/>
      <c r="F183" s="296"/>
      <c r="G183" s="296"/>
      <c r="H183" s="296"/>
      <c r="I183" s="296"/>
      <c r="J183" s="296"/>
      <c r="K183" s="296"/>
      <c r="L183" s="296"/>
      <c r="M183" s="299"/>
      <c r="N183" s="299"/>
      <c r="O183" s="299"/>
      <c r="P183" s="299"/>
      <c r="Q183" s="299"/>
      <c r="R183" s="299"/>
      <c r="S183" s="299"/>
      <c r="T183" s="299"/>
      <c r="U183" s="299"/>
      <c r="V183" s="299"/>
      <c r="W183" s="299"/>
      <c r="X183" s="299"/>
      <c r="Y183" s="299"/>
      <c r="Z183" s="299"/>
      <c r="AA183" s="299"/>
      <c r="AB183" s="299"/>
      <c r="AC183" s="300"/>
      <c r="AD183" s="300"/>
    </row>
    <row r="184" spans="1:30" ht="12.75" customHeight="1" x14ac:dyDescent="0.2">
      <c r="A184" s="296"/>
      <c r="B184" s="296"/>
      <c r="C184" s="296"/>
      <c r="D184" s="298"/>
      <c r="E184" s="298"/>
      <c r="F184" s="296"/>
      <c r="G184" s="296"/>
      <c r="H184" s="296"/>
      <c r="I184" s="296"/>
      <c r="J184" s="296"/>
      <c r="K184" s="296"/>
      <c r="L184" s="296"/>
      <c r="M184" s="299"/>
      <c r="N184" s="299"/>
      <c r="O184" s="299"/>
      <c r="P184" s="299"/>
      <c r="Q184" s="299"/>
      <c r="R184" s="299"/>
      <c r="S184" s="299"/>
      <c r="T184" s="299"/>
      <c r="U184" s="299"/>
      <c r="V184" s="299"/>
      <c r="W184" s="299"/>
      <c r="X184" s="299"/>
      <c r="Y184" s="299"/>
      <c r="Z184" s="299"/>
      <c r="AA184" s="299"/>
      <c r="AB184" s="299"/>
      <c r="AC184" s="300"/>
      <c r="AD184" s="300"/>
    </row>
    <row r="185" spans="1:30" ht="12.75" customHeight="1" x14ac:dyDescent="0.2">
      <c r="A185" s="296"/>
      <c r="B185" s="296"/>
      <c r="C185" s="296"/>
      <c r="D185" s="298"/>
      <c r="E185" s="298"/>
      <c r="F185" s="296"/>
      <c r="G185" s="296"/>
      <c r="H185" s="296"/>
      <c r="I185" s="296"/>
      <c r="J185" s="296"/>
      <c r="K185" s="296"/>
      <c r="L185" s="296"/>
      <c r="M185" s="299"/>
      <c r="N185" s="299"/>
      <c r="O185" s="299"/>
      <c r="P185" s="299"/>
      <c r="Q185" s="299"/>
      <c r="R185" s="299"/>
      <c r="S185" s="299"/>
      <c r="T185" s="299"/>
      <c r="U185" s="299"/>
      <c r="V185" s="299"/>
      <c r="W185" s="299"/>
      <c r="X185" s="299"/>
      <c r="Y185" s="299"/>
      <c r="Z185" s="299"/>
      <c r="AA185" s="299"/>
      <c r="AB185" s="299"/>
      <c r="AC185" s="300"/>
      <c r="AD185" s="300"/>
    </row>
    <row r="186" spans="1:30" ht="12.75" customHeight="1" x14ac:dyDescent="0.2">
      <c r="A186" s="296"/>
      <c r="B186" s="296"/>
      <c r="C186" s="296"/>
      <c r="D186" s="298"/>
      <c r="E186" s="298"/>
      <c r="F186" s="296"/>
      <c r="G186" s="296"/>
      <c r="H186" s="296"/>
      <c r="I186" s="296"/>
      <c r="J186" s="296"/>
      <c r="K186" s="296"/>
      <c r="L186" s="296"/>
      <c r="M186" s="299"/>
      <c r="N186" s="299"/>
      <c r="O186" s="299"/>
      <c r="P186" s="299"/>
      <c r="Q186" s="299"/>
      <c r="R186" s="299"/>
      <c r="S186" s="299"/>
      <c r="T186" s="299"/>
      <c r="U186" s="299"/>
      <c r="V186" s="299"/>
      <c r="W186" s="299"/>
      <c r="X186" s="299"/>
      <c r="Y186" s="299"/>
      <c r="Z186" s="299"/>
      <c r="AA186" s="299"/>
      <c r="AB186" s="299"/>
      <c r="AC186" s="300"/>
      <c r="AD186" s="300"/>
    </row>
    <row r="187" spans="1:30" ht="12.75" customHeight="1" x14ac:dyDescent="0.2">
      <c r="A187" s="296"/>
      <c r="B187" s="296"/>
      <c r="C187" s="296"/>
      <c r="D187" s="298"/>
      <c r="E187" s="298"/>
      <c r="F187" s="296"/>
      <c r="G187" s="296"/>
      <c r="H187" s="296"/>
      <c r="I187" s="296"/>
      <c r="J187" s="296"/>
      <c r="K187" s="296"/>
      <c r="L187" s="296"/>
      <c r="M187" s="299"/>
      <c r="N187" s="299"/>
      <c r="O187" s="299"/>
      <c r="P187" s="299"/>
      <c r="Q187" s="299"/>
      <c r="R187" s="299"/>
      <c r="S187" s="299"/>
      <c r="T187" s="299"/>
      <c r="U187" s="299"/>
      <c r="V187" s="299"/>
      <c r="W187" s="299"/>
      <c r="X187" s="299"/>
      <c r="Y187" s="299"/>
      <c r="Z187" s="299"/>
      <c r="AA187" s="299"/>
      <c r="AB187" s="299"/>
      <c r="AC187" s="300"/>
      <c r="AD187" s="300"/>
    </row>
    <row r="188" spans="1:30" ht="12.75" customHeight="1" x14ac:dyDescent="0.2">
      <c r="A188" s="296"/>
      <c r="B188" s="296"/>
      <c r="C188" s="296"/>
      <c r="D188" s="298"/>
      <c r="E188" s="298"/>
      <c r="F188" s="296"/>
      <c r="G188" s="296"/>
      <c r="H188" s="296"/>
      <c r="I188" s="296"/>
      <c r="J188" s="296"/>
      <c r="K188" s="296"/>
      <c r="L188" s="296"/>
      <c r="M188" s="299"/>
      <c r="N188" s="299"/>
      <c r="O188" s="299"/>
      <c r="P188" s="299"/>
      <c r="Q188" s="299"/>
      <c r="R188" s="299"/>
      <c r="S188" s="299"/>
      <c r="T188" s="299"/>
      <c r="U188" s="299"/>
      <c r="V188" s="299"/>
      <c r="W188" s="299"/>
      <c r="X188" s="299"/>
      <c r="Y188" s="299"/>
      <c r="Z188" s="299"/>
      <c r="AA188" s="299"/>
      <c r="AB188" s="299"/>
      <c r="AC188" s="300"/>
      <c r="AD188" s="300"/>
    </row>
    <row r="189" spans="1:30" ht="12.75" customHeight="1" x14ac:dyDescent="0.2">
      <c r="A189" s="296"/>
      <c r="B189" s="296"/>
      <c r="C189" s="296"/>
      <c r="D189" s="298"/>
      <c r="E189" s="298"/>
      <c r="F189" s="296"/>
      <c r="G189" s="296"/>
      <c r="H189" s="296"/>
      <c r="I189" s="296"/>
      <c r="J189" s="296"/>
      <c r="K189" s="296"/>
      <c r="L189" s="296"/>
      <c r="M189" s="299"/>
      <c r="N189" s="299"/>
      <c r="O189" s="299"/>
      <c r="P189" s="299"/>
      <c r="Q189" s="299"/>
      <c r="R189" s="299"/>
      <c r="S189" s="299"/>
      <c r="T189" s="299"/>
      <c r="U189" s="299"/>
      <c r="V189" s="299"/>
      <c r="W189" s="299"/>
      <c r="X189" s="299"/>
      <c r="Y189" s="299"/>
      <c r="Z189" s="299"/>
      <c r="AA189" s="299"/>
      <c r="AB189" s="299"/>
      <c r="AC189" s="300"/>
      <c r="AD189" s="300"/>
    </row>
    <row r="190" spans="1:30" ht="12.75" customHeight="1" x14ac:dyDescent="0.2">
      <c r="A190" s="296"/>
      <c r="B190" s="296"/>
      <c r="C190" s="296"/>
      <c r="D190" s="298"/>
      <c r="E190" s="298"/>
      <c r="F190" s="296"/>
      <c r="G190" s="296"/>
      <c r="H190" s="296"/>
      <c r="I190" s="296"/>
      <c r="J190" s="296"/>
      <c r="K190" s="296"/>
      <c r="L190" s="296"/>
      <c r="M190" s="299"/>
      <c r="N190" s="299"/>
      <c r="O190" s="299"/>
      <c r="P190" s="299"/>
      <c r="Q190" s="299"/>
      <c r="R190" s="299"/>
      <c r="S190" s="299"/>
      <c r="T190" s="299"/>
      <c r="U190" s="299"/>
      <c r="V190" s="299"/>
      <c r="W190" s="299"/>
      <c r="X190" s="299"/>
      <c r="Y190" s="299"/>
      <c r="Z190" s="299"/>
      <c r="AA190" s="299"/>
      <c r="AB190" s="299"/>
      <c r="AC190" s="300"/>
      <c r="AD190" s="300"/>
    </row>
    <row r="191" spans="1:30" ht="12.75" customHeight="1" x14ac:dyDescent="0.2">
      <c r="A191" s="296"/>
      <c r="B191" s="296"/>
      <c r="C191" s="296"/>
      <c r="D191" s="298"/>
      <c r="E191" s="298"/>
      <c r="F191" s="296"/>
      <c r="G191" s="296"/>
      <c r="H191" s="296"/>
      <c r="I191" s="296"/>
      <c r="J191" s="296"/>
      <c r="K191" s="296"/>
      <c r="L191" s="296"/>
      <c r="M191" s="299"/>
      <c r="N191" s="299"/>
      <c r="O191" s="299"/>
      <c r="P191" s="299"/>
      <c r="Q191" s="299"/>
      <c r="R191" s="299"/>
      <c r="S191" s="299"/>
      <c r="T191" s="299"/>
      <c r="U191" s="299"/>
      <c r="V191" s="299"/>
      <c r="W191" s="299"/>
      <c r="X191" s="299"/>
      <c r="Y191" s="299"/>
      <c r="Z191" s="299"/>
      <c r="AA191" s="299"/>
      <c r="AB191" s="299"/>
      <c r="AC191" s="300"/>
      <c r="AD191" s="300"/>
    </row>
    <row r="192" spans="1:30" ht="12.75" customHeight="1" x14ac:dyDescent="0.2">
      <c r="A192" s="296"/>
      <c r="B192" s="296"/>
      <c r="C192" s="296"/>
      <c r="D192" s="298"/>
      <c r="E192" s="298"/>
      <c r="F192" s="296"/>
      <c r="G192" s="296"/>
      <c r="H192" s="296"/>
      <c r="I192" s="296"/>
      <c r="J192" s="296"/>
      <c r="K192" s="296"/>
      <c r="L192" s="296"/>
      <c r="M192" s="299"/>
      <c r="N192" s="299"/>
      <c r="O192" s="299"/>
      <c r="P192" s="299"/>
      <c r="Q192" s="299"/>
      <c r="R192" s="299"/>
      <c r="S192" s="299"/>
      <c r="T192" s="299"/>
      <c r="U192" s="299"/>
      <c r="V192" s="299"/>
      <c r="W192" s="299"/>
      <c r="X192" s="299"/>
      <c r="Y192" s="299"/>
      <c r="Z192" s="299"/>
      <c r="AA192" s="299"/>
      <c r="AB192" s="299"/>
      <c r="AC192" s="300"/>
      <c r="AD192" s="300"/>
    </row>
    <row r="193" spans="1:30" ht="12.75" customHeight="1" x14ac:dyDescent="0.2">
      <c r="A193" s="296"/>
      <c r="B193" s="296"/>
      <c r="C193" s="296"/>
      <c r="D193" s="298"/>
      <c r="E193" s="298"/>
      <c r="F193" s="296"/>
      <c r="G193" s="296"/>
      <c r="H193" s="296"/>
      <c r="I193" s="296"/>
      <c r="J193" s="296"/>
      <c r="K193" s="296"/>
      <c r="L193" s="296"/>
      <c r="M193" s="299"/>
      <c r="N193" s="299"/>
      <c r="O193" s="299"/>
      <c r="P193" s="299"/>
      <c r="Q193" s="299"/>
      <c r="R193" s="299"/>
      <c r="S193" s="299"/>
      <c r="T193" s="299"/>
      <c r="U193" s="299"/>
      <c r="V193" s="299"/>
      <c r="W193" s="299"/>
      <c r="X193" s="299"/>
      <c r="Y193" s="299"/>
      <c r="Z193" s="299"/>
      <c r="AA193" s="299"/>
      <c r="AB193" s="299"/>
      <c r="AC193" s="300"/>
      <c r="AD193" s="300"/>
    </row>
    <row r="194" spans="1:30" ht="12.75" customHeight="1" x14ac:dyDescent="0.2">
      <c r="A194" s="296"/>
      <c r="B194" s="296"/>
      <c r="C194" s="296"/>
      <c r="D194" s="298"/>
      <c r="E194" s="298"/>
      <c r="F194" s="296"/>
      <c r="G194" s="296"/>
      <c r="H194" s="296"/>
      <c r="I194" s="296"/>
      <c r="J194" s="296"/>
      <c r="K194" s="296"/>
      <c r="L194" s="296"/>
      <c r="M194" s="299"/>
      <c r="N194" s="299"/>
      <c r="O194" s="299"/>
      <c r="P194" s="299"/>
      <c r="Q194" s="299"/>
      <c r="R194" s="299"/>
      <c r="S194" s="299"/>
      <c r="T194" s="299"/>
      <c r="U194" s="299"/>
      <c r="V194" s="299"/>
      <c r="W194" s="299"/>
      <c r="X194" s="299"/>
      <c r="Y194" s="299"/>
      <c r="Z194" s="299"/>
      <c r="AA194" s="299"/>
      <c r="AB194" s="299"/>
      <c r="AC194" s="300"/>
      <c r="AD194" s="300"/>
    </row>
    <row r="195" spans="1:30" ht="12.75" customHeight="1" x14ac:dyDescent="0.2">
      <c r="A195" s="296"/>
      <c r="B195" s="296"/>
      <c r="C195" s="296"/>
      <c r="D195" s="298"/>
      <c r="E195" s="298"/>
      <c r="F195" s="296"/>
      <c r="G195" s="296"/>
      <c r="H195" s="296"/>
      <c r="I195" s="296"/>
      <c r="J195" s="296"/>
      <c r="K195" s="296"/>
      <c r="L195" s="296"/>
      <c r="M195" s="299"/>
      <c r="N195" s="299"/>
      <c r="O195" s="299"/>
      <c r="P195" s="299"/>
      <c r="Q195" s="299"/>
      <c r="R195" s="299"/>
      <c r="S195" s="299"/>
      <c r="T195" s="299"/>
      <c r="U195" s="299"/>
      <c r="V195" s="299"/>
      <c r="W195" s="299"/>
      <c r="X195" s="299"/>
      <c r="Y195" s="299"/>
      <c r="Z195" s="299"/>
      <c r="AA195" s="299"/>
      <c r="AB195" s="299"/>
      <c r="AC195" s="300"/>
      <c r="AD195" s="300"/>
    </row>
    <row r="196" spans="1:30" ht="12.75" customHeight="1" x14ac:dyDescent="0.2">
      <c r="A196" s="296"/>
      <c r="B196" s="296"/>
      <c r="C196" s="296"/>
      <c r="D196" s="298"/>
      <c r="E196" s="298"/>
      <c r="F196" s="296"/>
      <c r="G196" s="296"/>
      <c r="H196" s="296"/>
      <c r="I196" s="296"/>
      <c r="J196" s="296"/>
      <c r="K196" s="296"/>
      <c r="L196" s="296"/>
      <c r="M196" s="299"/>
      <c r="N196" s="299"/>
      <c r="O196" s="299"/>
      <c r="P196" s="299"/>
      <c r="Q196" s="299"/>
      <c r="R196" s="299"/>
      <c r="S196" s="299"/>
      <c r="T196" s="299"/>
      <c r="U196" s="299"/>
      <c r="V196" s="299"/>
      <c r="W196" s="299"/>
      <c r="X196" s="299"/>
      <c r="Y196" s="299"/>
      <c r="Z196" s="299"/>
      <c r="AA196" s="299"/>
      <c r="AB196" s="299"/>
      <c r="AC196" s="300"/>
      <c r="AD196" s="300"/>
    </row>
    <row r="197" spans="1:30" ht="12.75" customHeight="1" x14ac:dyDescent="0.2">
      <c r="A197" s="296"/>
      <c r="B197" s="296"/>
      <c r="C197" s="296"/>
      <c r="D197" s="298"/>
      <c r="E197" s="298"/>
      <c r="F197" s="296"/>
      <c r="G197" s="296"/>
      <c r="H197" s="296"/>
      <c r="I197" s="296"/>
      <c r="J197" s="296"/>
      <c r="K197" s="296"/>
      <c r="L197" s="296"/>
      <c r="M197" s="299"/>
      <c r="N197" s="299"/>
      <c r="O197" s="299"/>
      <c r="P197" s="299"/>
      <c r="Q197" s="299"/>
      <c r="R197" s="299"/>
      <c r="S197" s="299"/>
      <c r="T197" s="299"/>
      <c r="U197" s="299"/>
      <c r="V197" s="299"/>
      <c r="W197" s="299"/>
      <c r="X197" s="299"/>
      <c r="Y197" s="299"/>
      <c r="Z197" s="299"/>
      <c r="AA197" s="299"/>
      <c r="AB197" s="299"/>
      <c r="AC197" s="300"/>
      <c r="AD197" s="300"/>
    </row>
    <row r="198" spans="1:30" ht="12.75" customHeight="1" x14ac:dyDescent="0.2">
      <c r="A198" s="296"/>
      <c r="B198" s="296"/>
      <c r="C198" s="296"/>
      <c r="D198" s="298"/>
      <c r="E198" s="298"/>
      <c r="F198" s="296"/>
      <c r="G198" s="296"/>
      <c r="H198" s="296"/>
      <c r="I198" s="296"/>
      <c r="J198" s="296"/>
      <c r="K198" s="296"/>
      <c r="L198" s="296"/>
      <c r="M198" s="299"/>
      <c r="N198" s="299"/>
      <c r="O198" s="299"/>
      <c r="P198" s="299"/>
      <c r="Q198" s="299"/>
      <c r="R198" s="299"/>
      <c r="S198" s="299"/>
      <c r="T198" s="299"/>
      <c r="U198" s="299"/>
      <c r="V198" s="299"/>
      <c r="W198" s="299"/>
      <c r="X198" s="299"/>
      <c r="Y198" s="299"/>
      <c r="Z198" s="299"/>
      <c r="AA198" s="299"/>
      <c r="AB198" s="299"/>
      <c r="AC198" s="300"/>
      <c r="AD198" s="300"/>
    </row>
    <row r="199" spans="1:30" ht="12.75" customHeight="1" x14ac:dyDescent="0.2">
      <c r="A199" s="296"/>
      <c r="B199" s="296"/>
      <c r="C199" s="296"/>
      <c r="D199" s="298"/>
      <c r="E199" s="298"/>
      <c r="F199" s="296"/>
      <c r="G199" s="296"/>
      <c r="H199" s="296"/>
      <c r="I199" s="296"/>
      <c r="J199" s="296"/>
      <c r="K199" s="296"/>
      <c r="L199" s="296"/>
      <c r="M199" s="299"/>
      <c r="N199" s="299"/>
      <c r="O199" s="299"/>
      <c r="P199" s="299"/>
      <c r="Q199" s="299"/>
      <c r="R199" s="299"/>
      <c r="S199" s="299"/>
      <c r="T199" s="299"/>
      <c r="U199" s="299"/>
      <c r="V199" s="299"/>
      <c r="W199" s="299"/>
      <c r="X199" s="299"/>
      <c r="Y199" s="299"/>
      <c r="Z199" s="299"/>
      <c r="AA199" s="299"/>
      <c r="AB199" s="299"/>
      <c r="AC199" s="300"/>
      <c r="AD199" s="300"/>
    </row>
    <row r="200" spans="1:30" ht="12.75" customHeight="1" x14ac:dyDescent="0.2">
      <c r="A200" s="296"/>
      <c r="B200" s="296"/>
      <c r="C200" s="296"/>
      <c r="D200" s="298"/>
      <c r="E200" s="298"/>
      <c r="F200" s="296"/>
      <c r="G200" s="296"/>
      <c r="H200" s="296"/>
      <c r="I200" s="296"/>
      <c r="J200" s="296"/>
      <c r="K200" s="296"/>
      <c r="L200" s="296"/>
      <c r="M200" s="299"/>
      <c r="N200" s="299"/>
      <c r="O200" s="299"/>
      <c r="P200" s="299"/>
      <c r="Q200" s="299"/>
      <c r="R200" s="299"/>
      <c r="S200" s="299"/>
      <c r="T200" s="299"/>
      <c r="U200" s="299"/>
      <c r="V200" s="299"/>
      <c r="W200" s="299"/>
      <c r="X200" s="299"/>
      <c r="Y200" s="299"/>
      <c r="Z200" s="299"/>
      <c r="AA200" s="299"/>
      <c r="AB200" s="299"/>
      <c r="AC200" s="300"/>
      <c r="AD200" s="300"/>
    </row>
    <row r="201" spans="1:30" ht="12.75" customHeight="1" x14ac:dyDescent="0.2">
      <c r="A201" s="296"/>
      <c r="B201" s="296"/>
      <c r="C201" s="296"/>
      <c r="D201" s="298"/>
      <c r="E201" s="298"/>
      <c r="F201" s="296"/>
      <c r="G201" s="296"/>
      <c r="H201" s="296"/>
      <c r="I201" s="296"/>
      <c r="J201" s="296"/>
      <c r="K201" s="296"/>
      <c r="L201" s="296"/>
      <c r="M201" s="299"/>
      <c r="N201" s="299"/>
      <c r="O201" s="299"/>
      <c r="P201" s="299"/>
      <c r="Q201" s="299"/>
      <c r="R201" s="299"/>
      <c r="S201" s="299"/>
      <c r="T201" s="299"/>
      <c r="U201" s="299"/>
      <c r="V201" s="299"/>
      <c r="W201" s="299"/>
      <c r="X201" s="299"/>
      <c r="Y201" s="299"/>
      <c r="Z201" s="299"/>
      <c r="AA201" s="299"/>
      <c r="AB201" s="299"/>
      <c r="AC201" s="300"/>
      <c r="AD201" s="300"/>
    </row>
    <row r="202" spans="1:30" ht="12.75" customHeight="1" x14ac:dyDescent="0.2">
      <c r="A202" s="296"/>
      <c r="B202" s="296"/>
      <c r="C202" s="296"/>
      <c r="D202" s="298"/>
      <c r="E202" s="298"/>
      <c r="F202" s="296"/>
      <c r="G202" s="296"/>
      <c r="H202" s="296"/>
      <c r="I202" s="296"/>
      <c r="J202" s="296"/>
      <c r="K202" s="296"/>
      <c r="L202" s="296"/>
      <c r="M202" s="299"/>
      <c r="N202" s="299"/>
      <c r="O202" s="299"/>
      <c r="P202" s="299"/>
      <c r="Q202" s="299"/>
      <c r="R202" s="299"/>
      <c r="S202" s="299"/>
      <c r="T202" s="299"/>
      <c r="U202" s="299"/>
      <c r="V202" s="299"/>
      <c r="W202" s="299"/>
      <c r="X202" s="299"/>
      <c r="Y202" s="299"/>
      <c r="Z202" s="299"/>
      <c r="AA202" s="299"/>
      <c r="AB202" s="299"/>
      <c r="AC202" s="300"/>
      <c r="AD202" s="300"/>
    </row>
    <row r="203" spans="1:30" ht="12.75" customHeight="1" x14ac:dyDescent="0.2">
      <c r="A203" s="296"/>
      <c r="B203" s="296"/>
      <c r="C203" s="296"/>
      <c r="D203" s="298"/>
      <c r="E203" s="298"/>
      <c r="F203" s="296"/>
      <c r="G203" s="296"/>
      <c r="H203" s="296"/>
      <c r="I203" s="296"/>
      <c r="J203" s="296"/>
      <c r="K203" s="296"/>
      <c r="L203" s="296"/>
      <c r="M203" s="299"/>
      <c r="N203" s="299"/>
      <c r="O203" s="299"/>
      <c r="P203" s="299"/>
      <c r="Q203" s="299"/>
      <c r="R203" s="299"/>
      <c r="S203" s="299"/>
      <c r="T203" s="299"/>
      <c r="U203" s="299"/>
      <c r="V203" s="299"/>
      <c r="W203" s="299"/>
      <c r="X203" s="299"/>
      <c r="Y203" s="299"/>
      <c r="Z203" s="299"/>
      <c r="AA203" s="299"/>
      <c r="AB203" s="299"/>
      <c r="AC203" s="300"/>
      <c r="AD203" s="300"/>
    </row>
    <row r="204" spans="1:30" ht="12.75" customHeight="1" x14ac:dyDescent="0.2">
      <c r="A204" s="296"/>
      <c r="B204" s="296"/>
      <c r="C204" s="296"/>
      <c r="D204" s="298"/>
      <c r="E204" s="298"/>
      <c r="F204" s="296"/>
      <c r="G204" s="296"/>
      <c r="H204" s="296"/>
      <c r="I204" s="296"/>
      <c r="J204" s="296"/>
      <c r="K204" s="296"/>
      <c r="L204" s="296"/>
      <c r="M204" s="299"/>
      <c r="N204" s="299"/>
      <c r="O204" s="299"/>
      <c r="P204" s="299"/>
      <c r="Q204" s="299"/>
      <c r="R204" s="299"/>
      <c r="S204" s="299"/>
      <c r="T204" s="299"/>
      <c r="U204" s="299"/>
      <c r="V204" s="299"/>
      <c r="W204" s="299"/>
      <c r="X204" s="299"/>
      <c r="Y204" s="299"/>
      <c r="Z204" s="299"/>
      <c r="AA204" s="299"/>
      <c r="AB204" s="299"/>
      <c r="AC204" s="300"/>
      <c r="AD204" s="300"/>
    </row>
    <row r="205" spans="1:30" ht="12.75" customHeight="1" x14ac:dyDescent="0.2">
      <c r="A205" s="296"/>
      <c r="B205" s="296"/>
      <c r="C205" s="296"/>
      <c r="D205" s="298"/>
      <c r="E205" s="298"/>
      <c r="F205" s="296"/>
      <c r="G205" s="296"/>
      <c r="H205" s="296"/>
      <c r="I205" s="296"/>
      <c r="J205" s="296"/>
      <c r="K205" s="296"/>
      <c r="L205" s="296"/>
      <c r="M205" s="299"/>
      <c r="N205" s="299"/>
      <c r="O205" s="299"/>
      <c r="P205" s="299"/>
      <c r="Q205" s="299"/>
      <c r="R205" s="299"/>
      <c r="S205" s="299"/>
      <c r="T205" s="299"/>
      <c r="U205" s="299"/>
      <c r="V205" s="299"/>
      <c r="W205" s="299"/>
      <c r="X205" s="299"/>
      <c r="Y205" s="299"/>
      <c r="Z205" s="299"/>
      <c r="AA205" s="299"/>
      <c r="AB205" s="299"/>
      <c r="AC205" s="300"/>
      <c r="AD205" s="300"/>
    </row>
    <row r="206" spans="1:30" ht="12.75" customHeight="1" x14ac:dyDescent="0.2">
      <c r="A206" s="296"/>
      <c r="B206" s="296"/>
      <c r="C206" s="296"/>
      <c r="D206" s="298"/>
      <c r="E206" s="298"/>
      <c r="F206" s="296"/>
      <c r="G206" s="296"/>
      <c r="H206" s="296"/>
      <c r="I206" s="296"/>
      <c r="J206" s="296"/>
      <c r="K206" s="296"/>
      <c r="L206" s="296"/>
      <c r="M206" s="299"/>
      <c r="N206" s="299"/>
      <c r="O206" s="299"/>
      <c r="P206" s="299"/>
      <c r="Q206" s="299"/>
      <c r="R206" s="299"/>
      <c r="S206" s="299"/>
      <c r="T206" s="299"/>
      <c r="U206" s="299"/>
      <c r="V206" s="299"/>
      <c r="W206" s="299"/>
      <c r="X206" s="299"/>
      <c r="Y206" s="299"/>
      <c r="Z206" s="299"/>
      <c r="AA206" s="299"/>
      <c r="AB206" s="299"/>
      <c r="AC206" s="300"/>
      <c r="AD206" s="300"/>
    </row>
    <row r="207" spans="1:30" ht="12.75" customHeight="1" x14ac:dyDescent="0.2">
      <c r="A207" s="296"/>
      <c r="B207" s="296"/>
      <c r="C207" s="296"/>
      <c r="D207" s="298"/>
      <c r="E207" s="298"/>
      <c r="F207" s="296"/>
      <c r="G207" s="296"/>
      <c r="H207" s="296"/>
      <c r="I207" s="296"/>
      <c r="J207" s="296"/>
      <c r="K207" s="296"/>
      <c r="L207" s="296"/>
      <c r="M207" s="299"/>
      <c r="N207" s="299"/>
      <c r="O207" s="299"/>
      <c r="P207" s="299"/>
      <c r="Q207" s="299"/>
      <c r="R207" s="299"/>
      <c r="S207" s="299"/>
      <c r="T207" s="299"/>
      <c r="U207" s="299"/>
      <c r="V207" s="299"/>
      <c r="W207" s="299"/>
      <c r="X207" s="299"/>
      <c r="Y207" s="299"/>
      <c r="Z207" s="299"/>
      <c r="AA207" s="299"/>
      <c r="AB207" s="299"/>
      <c r="AC207" s="300"/>
      <c r="AD207" s="300"/>
    </row>
    <row r="208" spans="1:30" ht="12.75" customHeight="1" x14ac:dyDescent="0.2">
      <c r="A208" s="296"/>
      <c r="B208" s="296"/>
      <c r="C208" s="296"/>
      <c r="D208" s="298"/>
      <c r="E208" s="298"/>
      <c r="F208" s="296"/>
      <c r="G208" s="296"/>
      <c r="H208" s="296"/>
      <c r="I208" s="296"/>
      <c r="J208" s="296"/>
      <c r="K208" s="296"/>
      <c r="L208" s="296"/>
      <c r="M208" s="299"/>
      <c r="N208" s="299"/>
      <c r="O208" s="299"/>
      <c r="P208" s="299"/>
      <c r="Q208" s="299"/>
      <c r="R208" s="299"/>
      <c r="S208" s="299"/>
      <c r="T208" s="299"/>
      <c r="U208" s="299"/>
      <c r="V208" s="299"/>
      <c r="W208" s="299"/>
      <c r="X208" s="299"/>
      <c r="Y208" s="299"/>
      <c r="Z208" s="299"/>
      <c r="AA208" s="299"/>
      <c r="AB208" s="299"/>
      <c r="AC208" s="300"/>
      <c r="AD208" s="300"/>
    </row>
    <row r="209" spans="1:30" ht="12.75" customHeight="1" x14ac:dyDescent="0.2">
      <c r="A209" s="296"/>
      <c r="B209" s="296"/>
      <c r="C209" s="296"/>
      <c r="D209" s="298"/>
      <c r="E209" s="298"/>
      <c r="F209" s="296"/>
      <c r="G209" s="296"/>
      <c r="H209" s="296"/>
      <c r="I209" s="296"/>
      <c r="J209" s="296"/>
      <c r="K209" s="296"/>
      <c r="L209" s="296"/>
      <c r="M209" s="299"/>
      <c r="N209" s="299"/>
      <c r="O209" s="299"/>
      <c r="P209" s="299"/>
      <c r="Q209" s="299"/>
      <c r="R209" s="299"/>
      <c r="S209" s="299"/>
      <c r="T209" s="299"/>
      <c r="U209" s="299"/>
      <c r="V209" s="299"/>
      <c r="W209" s="299"/>
      <c r="X209" s="299"/>
      <c r="Y209" s="299"/>
      <c r="Z209" s="299"/>
      <c r="AA209" s="299"/>
      <c r="AB209" s="299"/>
      <c r="AC209" s="300"/>
      <c r="AD209" s="300"/>
    </row>
    <row r="210" spans="1:30" ht="12.75" customHeight="1" x14ac:dyDescent="0.2">
      <c r="A210" s="296"/>
      <c r="B210" s="296"/>
      <c r="C210" s="296"/>
      <c r="D210" s="298"/>
      <c r="E210" s="298"/>
      <c r="F210" s="296"/>
      <c r="G210" s="296"/>
      <c r="H210" s="296"/>
      <c r="I210" s="296"/>
      <c r="J210" s="296"/>
      <c r="K210" s="296"/>
      <c r="L210" s="296"/>
      <c r="M210" s="299"/>
      <c r="N210" s="299"/>
      <c r="O210" s="299"/>
      <c r="P210" s="299"/>
      <c r="Q210" s="299"/>
      <c r="R210" s="299"/>
      <c r="S210" s="299"/>
      <c r="T210" s="299"/>
      <c r="U210" s="299"/>
      <c r="V210" s="299"/>
      <c r="W210" s="299"/>
      <c r="X210" s="299"/>
      <c r="Y210" s="299"/>
      <c r="Z210" s="299"/>
      <c r="AA210" s="299"/>
      <c r="AB210" s="299"/>
      <c r="AC210" s="300"/>
      <c r="AD210" s="300"/>
    </row>
    <row r="211" spans="1:30" ht="12.75" customHeight="1" x14ac:dyDescent="0.2">
      <c r="A211" s="296"/>
      <c r="B211" s="296"/>
      <c r="C211" s="296"/>
      <c r="D211" s="298"/>
      <c r="E211" s="298"/>
      <c r="F211" s="296"/>
      <c r="G211" s="296"/>
      <c r="H211" s="296"/>
      <c r="I211" s="296"/>
      <c r="J211" s="296"/>
      <c r="K211" s="296"/>
      <c r="L211" s="296"/>
      <c r="M211" s="299"/>
      <c r="N211" s="299"/>
      <c r="O211" s="299"/>
      <c r="P211" s="299"/>
      <c r="Q211" s="299"/>
      <c r="R211" s="299"/>
      <c r="S211" s="299"/>
      <c r="T211" s="299"/>
      <c r="U211" s="299"/>
      <c r="V211" s="299"/>
      <c r="W211" s="299"/>
      <c r="X211" s="299"/>
      <c r="Y211" s="299"/>
      <c r="Z211" s="299"/>
      <c r="AA211" s="299"/>
      <c r="AB211" s="299"/>
      <c r="AC211" s="300"/>
      <c r="AD211" s="300"/>
    </row>
    <row r="212" spans="1:30" ht="12.75" customHeight="1" x14ac:dyDescent="0.2">
      <c r="A212" s="296"/>
      <c r="B212" s="296"/>
      <c r="C212" s="296"/>
      <c r="D212" s="298"/>
      <c r="E212" s="298"/>
      <c r="F212" s="296"/>
      <c r="G212" s="296"/>
      <c r="H212" s="296"/>
      <c r="I212" s="296"/>
      <c r="J212" s="296"/>
      <c r="K212" s="296"/>
      <c r="L212" s="296"/>
      <c r="M212" s="299"/>
      <c r="N212" s="299"/>
      <c r="O212" s="299"/>
      <c r="P212" s="299"/>
      <c r="Q212" s="299"/>
      <c r="R212" s="299"/>
      <c r="S212" s="299"/>
      <c r="T212" s="299"/>
      <c r="U212" s="299"/>
      <c r="V212" s="299"/>
      <c r="W212" s="299"/>
      <c r="X212" s="299"/>
      <c r="Y212" s="299"/>
      <c r="Z212" s="299"/>
      <c r="AA212" s="299"/>
      <c r="AB212" s="299"/>
      <c r="AC212" s="300"/>
      <c r="AD212" s="300"/>
    </row>
    <row r="213" spans="1:30" ht="12.75" customHeight="1" x14ac:dyDescent="0.2">
      <c r="A213" s="296"/>
      <c r="B213" s="296"/>
      <c r="C213" s="296"/>
      <c r="D213" s="298"/>
      <c r="E213" s="298"/>
      <c r="F213" s="296"/>
      <c r="G213" s="296"/>
      <c r="H213" s="296"/>
      <c r="I213" s="296"/>
      <c r="J213" s="296"/>
      <c r="K213" s="296"/>
      <c r="L213" s="296"/>
      <c r="M213" s="299"/>
      <c r="N213" s="299"/>
      <c r="O213" s="299"/>
      <c r="P213" s="299"/>
      <c r="Q213" s="299"/>
      <c r="R213" s="299"/>
      <c r="S213" s="299"/>
      <c r="T213" s="299"/>
      <c r="U213" s="299"/>
      <c r="V213" s="299"/>
      <c r="W213" s="299"/>
      <c r="X213" s="299"/>
      <c r="Y213" s="299"/>
      <c r="Z213" s="299"/>
      <c r="AA213" s="299"/>
      <c r="AB213" s="299"/>
      <c r="AC213" s="300"/>
      <c r="AD213" s="300"/>
    </row>
    <row r="214" spans="1:30" ht="12.75" customHeight="1" x14ac:dyDescent="0.2">
      <c r="A214" s="296"/>
      <c r="B214" s="296"/>
      <c r="C214" s="296"/>
      <c r="D214" s="298"/>
      <c r="E214" s="298"/>
      <c r="F214" s="296"/>
      <c r="G214" s="296"/>
      <c r="H214" s="296"/>
      <c r="I214" s="296"/>
      <c r="J214" s="296"/>
      <c r="K214" s="296"/>
      <c r="L214" s="296"/>
      <c r="M214" s="299"/>
      <c r="N214" s="299"/>
      <c r="O214" s="299"/>
      <c r="P214" s="299"/>
      <c r="Q214" s="299"/>
      <c r="R214" s="299"/>
      <c r="S214" s="299"/>
      <c r="T214" s="299"/>
      <c r="U214" s="299"/>
      <c r="V214" s="299"/>
      <c r="W214" s="299"/>
      <c r="X214" s="299"/>
      <c r="Y214" s="299"/>
      <c r="Z214" s="299"/>
      <c r="AA214" s="299"/>
      <c r="AB214" s="299"/>
      <c r="AC214" s="300"/>
      <c r="AD214" s="300"/>
    </row>
    <row r="215" spans="1:30" ht="12.75" customHeight="1" x14ac:dyDescent="0.2">
      <c r="A215" s="296"/>
      <c r="B215" s="296"/>
      <c r="C215" s="296"/>
      <c r="D215" s="298"/>
      <c r="E215" s="298"/>
      <c r="F215" s="296"/>
      <c r="G215" s="296"/>
      <c r="H215" s="296"/>
      <c r="I215" s="296"/>
      <c r="J215" s="296"/>
      <c r="K215" s="296"/>
      <c r="L215" s="296"/>
      <c r="M215" s="299"/>
      <c r="N215" s="299"/>
      <c r="O215" s="299"/>
      <c r="P215" s="299"/>
      <c r="Q215" s="299"/>
      <c r="R215" s="299"/>
      <c r="S215" s="299"/>
      <c r="T215" s="299"/>
      <c r="U215" s="299"/>
      <c r="V215" s="299"/>
      <c r="W215" s="299"/>
      <c r="X215" s="299"/>
      <c r="Y215" s="299"/>
      <c r="Z215" s="299"/>
      <c r="AA215" s="299"/>
      <c r="AB215" s="299"/>
      <c r="AC215" s="300"/>
      <c r="AD215" s="300"/>
    </row>
    <row r="216" spans="1:30" ht="12.75" customHeight="1" x14ac:dyDescent="0.2">
      <c r="A216" s="296"/>
      <c r="B216" s="296"/>
      <c r="C216" s="296"/>
      <c r="D216" s="298"/>
      <c r="E216" s="298"/>
      <c r="F216" s="296"/>
      <c r="G216" s="296"/>
      <c r="H216" s="296"/>
      <c r="I216" s="296"/>
      <c r="J216" s="296"/>
      <c r="K216" s="296"/>
      <c r="L216" s="296"/>
      <c r="M216" s="299"/>
      <c r="N216" s="299"/>
      <c r="O216" s="299"/>
      <c r="P216" s="299"/>
      <c r="Q216" s="299"/>
      <c r="R216" s="299"/>
      <c r="S216" s="299"/>
      <c r="T216" s="299"/>
      <c r="U216" s="299"/>
      <c r="V216" s="299"/>
      <c r="W216" s="299"/>
      <c r="X216" s="299"/>
      <c r="Y216" s="299"/>
      <c r="Z216" s="299"/>
      <c r="AA216" s="299"/>
      <c r="AB216" s="299"/>
      <c r="AC216" s="300"/>
      <c r="AD216" s="300"/>
    </row>
    <row r="217" spans="1:30" ht="12.75" customHeight="1" x14ac:dyDescent="0.2">
      <c r="A217" s="296"/>
      <c r="B217" s="296"/>
      <c r="C217" s="296"/>
      <c r="D217" s="298"/>
      <c r="E217" s="298"/>
      <c r="F217" s="296"/>
      <c r="G217" s="296"/>
      <c r="H217" s="296"/>
      <c r="I217" s="296"/>
      <c r="J217" s="296"/>
      <c r="K217" s="296"/>
      <c r="L217" s="296"/>
      <c r="M217" s="299"/>
      <c r="N217" s="299"/>
      <c r="O217" s="299"/>
      <c r="P217" s="299"/>
      <c r="Q217" s="299"/>
      <c r="R217" s="299"/>
      <c r="S217" s="299"/>
      <c r="T217" s="299"/>
      <c r="U217" s="299"/>
      <c r="V217" s="299"/>
      <c r="W217" s="299"/>
      <c r="X217" s="299"/>
      <c r="Y217" s="299"/>
      <c r="Z217" s="299"/>
      <c r="AA217" s="299"/>
      <c r="AB217" s="299"/>
      <c r="AC217" s="300"/>
      <c r="AD217" s="300"/>
    </row>
    <row r="218" spans="1:30" ht="12.75" customHeight="1" x14ac:dyDescent="0.2">
      <c r="A218" s="296"/>
      <c r="B218" s="296"/>
      <c r="C218" s="296"/>
      <c r="D218" s="298"/>
      <c r="E218" s="298"/>
      <c r="F218" s="296"/>
      <c r="G218" s="296"/>
      <c r="H218" s="296"/>
      <c r="I218" s="296"/>
      <c r="J218" s="296"/>
      <c r="K218" s="296"/>
      <c r="L218" s="296"/>
      <c r="M218" s="299"/>
      <c r="N218" s="299"/>
      <c r="O218" s="299"/>
      <c r="P218" s="299"/>
      <c r="Q218" s="299"/>
      <c r="R218" s="299"/>
      <c r="S218" s="299"/>
      <c r="T218" s="299"/>
      <c r="U218" s="299"/>
      <c r="V218" s="299"/>
      <c r="W218" s="299"/>
      <c r="X218" s="299"/>
      <c r="Y218" s="299"/>
      <c r="Z218" s="299"/>
      <c r="AA218" s="299"/>
      <c r="AB218" s="299"/>
      <c r="AC218" s="300"/>
      <c r="AD218" s="300"/>
    </row>
    <row r="219" spans="1:30" ht="12.75" customHeight="1" x14ac:dyDescent="0.2">
      <c r="A219" s="296"/>
      <c r="B219" s="296"/>
      <c r="C219" s="296"/>
      <c r="D219" s="298"/>
      <c r="E219" s="298"/>
      <c r="F219" s="296"/>
      <c r="G219" s="296"/>
      <c r="H219" s="296"/>
      <c r="I219" s="296"/>
      <c r="J219" s="296"/>
      <c r="K219" s="296"/>
      <c r="L219" s="296"/>
      <c r="M219" s="299"/>
      <c r="N219" s="299"/>
      <c r="O219" s="299"/>
      <c r="P219" s="299"/>
      <c r="Q219" s="299"/>
      <c r="R219" s="299"/>
      <c r="S219" s="299"/>
      <c r="T219" s="299"/>
      <c r="U219" s="299"/>
      <c r="V219" s="299"/>
      <c r="W219" s="299"/>
      <c r="X219" s="299"/>
      <c r="Y219" s="299"/>
      <c r="Z219" s="299"/>
      <c r="AA219" s="299"/>
      <c r="AB219" s="299"/>
      <c r="AC219" s="300"/>
      <c r="AD219" s="300"/>
    </row>
    <row r="220" spans="1:30" ht="12.75" customHeight="1" x14ac:dyDescent="0.2">
      <c r="A220" s="296"/>
      <c r="B220" s="296"/>
      <c r="C220" s="296"/>
      <c r="D220" s="298"/>
      <c r="E220" s="298"/>
      <c r="F220" s="296"/>
      <c r="G220" s="296"/>
      <c r="H220" s="296"/>
      <c r="I220" s="296"/>
      <c r="J220" s="296"/>
      <c r="K220" s="296"/>
      <c r="L220" s="296"/>
      <c r="M220" s="299"/>
      <c r="N220" s="299"/>
      <c r="O220" s="299"/>
      <c r="P220" s="299"/>
      <c r="Q220" s="299"/>
      <c r="R220" s="299"/>
      <c r="S220" s="299"/>
      <c r="T220" s="299"/>
      <c r="U220" s="299"/>
      <c r="V220" s="299"/>
      <c r="W220" s="299"/>
      <c r="X220" s="299"/>
      <c r="Y220" s="299"/>
      <c r="Z220" s="299"/>
      <c r="AA220" s="299"/>
      <c r="AB220" s="299"/>
      <c r="AC220" s="300"/>
      <c r="AD220" s="300"/>
    </row>
    <row r="221" spans="1:30" ht="12.75" customHeight="1" x14ac:dyDescent="0.2">
      <c r="A221" s="296"/>
      <c r="B221" s="296"/>
      <c r="C221" s="296"/>
      <c r="D221" s="298"/>
      <c r="E221" s="298"/>
      <c r="F221" s="296"/>
      <c r="G221" s="296"/>
      <c r="H221" s="296"/>
      <c r="I221" s="296"/>
      <c r="J221" s="296"/>
      <c r="K221" s="296"/>
      <c r="L221" s="296"/>
      <c r="M221" s="299"/>
      <c r="N221" s="299"/>
      <c r="O221" s="299"/>
      <c r="P221" s="299"/>
      <c r="Q221" s="299"/>
      <c r="R221" s="299"/>
      <c r="S221" s="299"/>
      <c r="T221" s="299"/>
      <c r="U221" s="299"/>
      <c r="V221" s="299"/>
      <c r="W221" s="299"/>
      <c r="X221" s="299"/>
      <c r="Y221" s="299"/>
      <c r="Z221" s="299"/>
      <c r="AA221" s="299"/>
      <c r="AB221" s="299"/>
      <c r="AC221" s="300"/>
      <c r="AD221" s="300"/>
    </row>
    <row r="222" spans="1:30" ht="12.75" customHeight="1" x14ac:dyDescent="0.2">
      <c r="A222" s="296"/>
      <c r="B222" s="296"/>
      <c r="C222" s="296"/>
      <c r="D222" s="298"/>
      <c r="E222" s="298"/>
      <c r="F222" s="296"/>
      <c r="G222" s="296"/>
      <c r="H222" s="296"/>
      <c r="I222" s="296"/>
      <c r="J222" s="296"/>
      <c r="K222" s="296"/>
      <c r="L222" s="296"/>
      <c r="M222" s="299"/>
      <c r="N222" s="299"/>
      <c r="O222" s="299"/>
      <c r="P222" s="299"/>
      <c r="Q222" s="299"/>
      <c r="R222" s="299"/>
      <c r="S222" s="299"/>
      <c r="T222" s="299"/>
      <c r="U222" s="299"/>
      <c r="V222" s="299"/>
      <c r="W222" s="299"/>
      <c r="X222" s="299"/>
      <c r="Y222" s="299"/>
      <c r="Z222" s="299"/>
      <c r="AA222" s="299"/>
      <c r="AB222" s="299"/>
      <c r="AC222" s="300"/>
      <c r="AD222" s="300"/>
    </row>
    <row r="223" spans="1:30" ht="12.75" customHeight="1" x14ac:dyDescent="0.2">
      <c r="A223" s="296"/>
      <c r="B223" s="296"/>
      <c r="C223" s="296"/>
      <c r="D223" s="298"/>
      <c r="E223" s="298"/>
      <c r="F223" s="296"/>
      <c r="G223" s="296"/>
      <c r="H223" s="296"/>
      <c r="I223" s="296"/>
      <c r="J223" s="296"/>
      <c r="K223" s="296"/>
      <c r="L223" s="296"/>
      <c r="M223" s="299"/>
      <c r="N223" s="299"/>
      <c r="O223" s="299"/>
      <c r="P223" s="299"/>
      <c r="Q223" s="299"/>
      <c r="R223" s="299"/>
      <c r="S223" s="299"/>
      <c r="T223" s="299"/>
      <c r="U223" s="299"/>
      <c r="V223" s="299"/>
      <c r="W223" s="299"/>
      <c r="X223" s="299"/>
      <c r="Y223" s="299"/>
      <c r="Z223" s="299"/>
      <c r="AA223" s="299"/>
      <c r="AB223" s="299"/>
      <c r="AC223" s="300"/>
      <c r="AD223" s="300"/>
    </row>
    <row r="224" spans="1:30" ht="12.75" customHeight="1" x14ac:dyDescent="0.2">
      <c r="A224" s="296"/>
      <c r="B224" s="296"/>
      <c r="C224" s="296"/>
      <c r="D224" s="298"/>
      <c r="E224" s="298"/>
      <c r="F224" s="296"/>
      <c r="G224" s="296"/>
      <c r="H224" s="296"/>
      <c r="I224" s="296"/>
      <c r="J224" s="296"/>
      <c r="K224" s="296"/>
      <c r="L224" s="296"/>
      <c r="M224" s="299"/>
      <c r="N224" s="299"/>
      <c r="O224" s="299"/>
      <c r="P224" s="299"/>
      <c r="Q224" s="299"/>
      <c r="R224" s="299"/>
      <c r="S224" s="299"/>
      <c r="T224" s="299"/>
      <c r="U224" s="299"/>
      <c r="V224" s="299"/>
      <c r="W224" s="299"/>
      <c r="X224" s="299"/>
      <c r="Y224" s="299"/>
      <c r="Z224" s="299"/>
      <c r="AA224" s="299"/>
      <c r="AB224" s="299"/>
      <c r="AC224" s="300"/>
      <c r="AD224" s="300"/>
    </row>
    <row r="225" spans="1:30" ht="12.75" customHeight="1" x14ac:dyDescent="0.2">
      <c r="A225" s="296"/>
      <c r="B225" s="296"/>
      <c r="C225" s="296"/>
      <c r="D225" s="298"/>
      <c r="E225" s="298"/>
      <c r="F225" s="296"/>
      <c r="G225" s="296"/>
      <c r="H225" s="296"/>
      <c r="I225" s="296"/>
      <c r="J225" s="296"/>
      <c r="K225" s="296"/>
      <c r="L225" s="296"/>
      <c r="M225" s="299"/>
      <c r="N225" s="299"/>
      <c r="O225" s="299"/>
      <c r="P225" s="299"/>
      <c r="Q225" s="299"/>
      <c r="R225" s="299"/>
      <c r="S225" s="299"/>
      <c r="T225" s="299"/>
      <c r="U225" s="299"/>
      <c r="V225" s="299"/>
      <c r="W225" s="299"/>
      <c r="X225" s="299"/>
      <c r="Y225" s="299"/>
      <c r="Z225" s="299"/>
      <c r="AA225" s="299"/>
      <c r="AB225" s="299"/>
      <c r="AC225" s="300"/>
      <c r="AD225" s="300"/>
    </row>
    <row r="226" spans="1:30" ht="12.75" customHeight="1" x14ac:dyDescent="0.2">
      <c r="A226" s="296"/>
      <c r="B226" s="296"/>
      <c r="C226" s="296"/>
      <c r="D226" s="298"/>
      <c r="E226" s="298"/>
      <c r="F226" s="296"/>
      <c r="G226" s="296"/>
      <c r="H226" s="296"/>
      <c r="I226" s="296"/>
      <c r="J226" s="296"/>
      <c r="K226" s="296"/>
      <c r="L226" s="296"/>
      <c r="M226" s="299"/>
      <c r="N226" s="299"/>
      <c r="O226" s="299"/>
      <c r="P226" s="299"/>
      <c r="Q226" s="299"/>
      <c r="R226" s="299"/>
      <c r="S226" s="299"/>
      <c r="T226" s="299"/>
      <c r="U226" s="299"/>
      <c r="V226" s="299"/>
      <c r="W226" s="299"/>
      <c r="X226" s="299"/>
      <c r="Y226" s="299"/>
      <c r="Z226" s="299"/>
      <c r="AA226" s="299"/>
      <c r="AB226" s="299"/>
      <c r="AC226" s="300"/>
      <c r="AD226" s="300"/>
    </row>
    <row r="227" spans="1:30" ht="12.75" customHeight="1" x14ac:dyDescent="0.2">
      <c r="A227" s="296"/>
      <c r="B227" s="296"/>
      <c r="C227" s="296"/>
      <c r="D227" s="298"/>
      <c r="E227" s="298"/>
      <c r="F227" s="296"/>
      <c r="G227" s="296"/>
      <c r="H227" s="296"/>
      <c r="I227" s="296"/>
      <c r="J227" s="296"/>
      <c r="K227" s="296"/>
      <c r="L227" s="296"/>
      <c r="M227" s="299"/>
      <c r="N227" s="299"/>
      <c r="O227" s="299"/>
      <c r="P227" s="299"/>
      <c r="Q227" s="299"/>
      <c r="R227" s="299"/>
      <c r="S227" s="299"/>
      <c r="T227" s="299"/>
      <c r="U227" s="299"/>
      <c r="V227" s="299"/>
      <c r="W227" s="299"/>
      <c r="X227" s="299"/>
      <c r="Y227" s="299"/>
      <c r="Z227" s="299"/>
      <c r="AA227" s="299"/>
      <c r="AB227" s="299"/>
      <c r="AC227" s="300"/>
      <c r="AD227" s="300"/>
    </row>
    <row r="228" spans="1:30" ht="12.75" customHeight="1" x14ac:dyDescent="0.2">
      <c r="A228" s="296"/>
      <c r="B228" s="296"/>
      <c r="C228" s="296"/>
      <c r="D228" s="298"/>
      <c r="E228" s="298"/>
      <c r="F228" s="296"/>
      <c r="G228" s="296"/>
      <c r="H228" s="296"/>
      <c r="I228" s="296"/>
      <c r="J228" s="296"/>
      <c r="K228" s="296"/>
      <c r="L228" s="296"/>
      <c r="M228" s="299"/>
      <c r="N228" s="299"/>
      <c r="O228" s="299"/>
      <c r="P228" s="299"/>
      <c r="Q228" s="299"/>
      <c r="R228" s="299"/>
      <c r="S228" s="299"/>
      <c r="T228" s="299"/>
      <c r="U228" s="299"/>
      <c r="V228" s="299"/>
      <c r="W228" s="299"/>
      <c r="X228" s="299"/>
      <c r="Y228" s="299"/>
      <c r="Z228" s="299"/>
      <c r="AA228" s="299"/>
      <c r="AB228" s="299"/>
      <c r="AC228" s="300"/>
      <c r="AD228" s="300"/>
    </row>
    <row r="229" spans="1:30" ht="12.75" customHeight="1" x14ac:dyDescent="0.2">
      <c r="A229" s="296"/>
      <c r="B229" s="296"/>
      <c r="C229" s="296"/>
      <c r="D229" s="298"/>
      <c r="E229" s="298"/>
      <c r="F229" s="296"/>
      <c r="G229" s="296"/>
      <c r="H229" s="296"/>
      <c r="I229" s="296"/>
      <c r="J229" s="296"/>
      <c r="K229" s="296"/>
      <c r="L229" s="296"/>
      <c r="M229" s="299"/>
      <c r="N229" s="299"/>
      <c r="O229" s="299"/>
      <c r="P229" s="299"/>
      <c r="Q229" s="299"/>
      <c r="R229" s="299"/>
      <c r="S229" s="299"/>
      <c r="T229" s="299"/>
      <c r="U229" s="299"/>
      <c r="V229" s="299"/>
      <c r="W229" s="299"/>
      <c r="X229" s="299"/>
      <c r="Y229" s="299"/>
      <c r="Z229" s="299"/>
      <c r="AA229" s="299"/>
      <c r="AB229" s="299"/>
      <c r="AC229" s="300"/>
      <c r="AD229" s="300"/>
    </row>
    <row r="230" spans="1:30" ht="12.75" customHeight="1" x14ac:dyDescent="0.2">
      <c r="A230" s="296"/>
      <c r="B230" s="296"/>
      <c r="C230" s="296"/>
      <c r="D230" s="298"/>
      <c r="E230" s="298"/>
      <c r="F230" s="296"/>
      <c r="G230" s="296"/>
      <c r="H230" s="296"/>
      <c r="I230" s="296"/>
      <c r="J230" s="296"/>
      <c r="K230" s="296"/>
      <c r="L230" s="296"/>
      <c r="M230" s="299"/>
      <c r="N230" s="299"/>
      <c r="O230" s="299"/>
      <c r="P230" s="299"/>
      <c r="Q230" s="299"/>
      <c r="R230" s="299"/>
      <c r="S230" s="299"/>
      <c r="T230" s="299"/>
      <c r="U230" s="299"/>
      <c r="V230" s="299"/>
      <c r="W230" s="299"/>
      <c r="X230" s="299"/>
      <c r="Y230" s="299"/>
      <c r="Z230" s="299"/>
      <c r="AA230" s="299"/>
      <c r="AB230" s="299"/>
      <c r="AC230" s="300"/>
      <c r="AD230" s="300"/>
    </row>
    <row r="231" spans="1:30" ht="12.75" customHeight="1" x14ac:dyDescent="0.2">
      <c r="A231" s="296"/>
      <c r="B231" s="296"/>
      <c r="C231" s="296"/>
      <c r="D231" s="298"/>
      <c r="E231" s="298"/>
      <c r="F231" s="296"/>
      <c r="G231" s="296"/>
      <c r="H231" s="296"/>
      <c r="I231" s="296"/>
      <c r="J231" s="296"/>
      <c r="K231" s="296"/>
      <c r="L231" s="296"/>
      <c r="M231" s="299"/>
      <c r="N231" s="299"/>
      <c r="O231" s="299"/>
      <c r="P231" s="299"/>
      <c r="Q231" s="299"/>
      <c r="R231" s="299"/>
      <c r="S231" s="299"/>
      <c r="T231" s="299"/>
      <c r="U231" s="299"/>
      <c r="V231" s="299"/>
      <c r="W231" s="299"/>
      <c r="X231" s="299"/>
      <c r="Y231" s="299"/>
      <c r="Z231" s="299"/>
      <c r="AA231" s="299"/>
      <c r="AB231" s="299"/>
      <c r="AC231" s="300"/>
      <c r="AD231" s="300"/>
    </row>
    <row r="232" spans="1:30" ht="12.75" customHeight="1" x14ac:dyDescent="0.2">
      <c r="A232" s="296"/>
      <c r="B232" s="296"/>
      <c r="C232" s="296"/>
      <c r="D232" s="298"/>
      <c r="E232" s="298"/>
      <c r="F232" s="296"/>
      <c r="G232" s="296"/>
      <c r="H232" s="296"/>
      <c r="I232" s="296"/>
      <c r="J232" s="296"/>
      <c r="K232" s="296"/>
      <c r="L232" s="296"/>
      <c r="M232" s="299"/>
      <c r="N232" s="299"/>
      <c r="O232" s="299"/>
      <c r="P232" s="299"/>
      <c r="Q232" s="299"/>
      <c r="R232" s="299"/>
      <c r="S232" s="299"/>
      <c r="T232" s="299"/>
      <c r="U232" s="299"/>
      <c r="V232" s="299"/>
      <c r="W232" s="299"/>
      <c r="X232" s="299"/>
      <c r="Y232" s="299"/>
      <c r="Z232" s="299"/>
      <c r="AA232" s="299"/>
      <c r="AB232" s="299"/>
      <c r="AC232" s="300"/>
      <c r="AD232" s="300"/>
    </row>
    <row r="233" spans="1:30" ht="12.75" customHeight="1" x14ac:dyDescent="0.2">
      <c r="A233" s="296"/>
      <c r="B233" s="296"/>
      <c r="C233" s="296"/>
      <c r="D233" s="298"/>
      <c r="E233" s="298"/>
      <c r="F233" s="296"/>
      <c r="G233" s="296"/>
      <c r="H233" s="296"/>
      <c r="I233" s="296"/>
      <c r="J233" s="296"/>
      <c r="K233" s="296"/>
      <c r="L233" s="296"/>
      <c r="M233" s="299"/>
      <c r="N233" s="299"/>
      <c r="O233" s="299"/>
      <c r="P233" s="299"/>
      <c r="Q233" s="299"/>
      <c r="R233" s="299"/>
      <c r="S233" s="299"/>
      <c r="T233" s="299"/>
      <c r="U233" s="299"/>
      <c r="V233" s="299"/>
      <c r="W233" s="299"/>
      <c r="X233" s="299"/>
      <c r="Y233" s="299"/>
      <c r="Z233" s="299"/>
      <c r="AA233" s="299"/>
      <c r="AB233" s="299"/>
      <c r="AC233" s="300"/>
      <c r="AD233" s="300"/>
    </row>
    <row r="234" spans="1:30" ht="12.75" customHeight="1" x14ac:dyDescent="0.2">
      <c r="A234" s="296"/>
      <c r="B234" s="296"/>
      <c r="C234" s="296"/>
      <c r="D234" s="298"/>
      <c r="E234" s="298"/>
      <c r="F234" s="296"/>
      <c r="G234" s="296"/>
      <c r="H234" s="296"/>
      <c r="I234" s="296"/>
      <c r="J234" s="296"/>
      <c r="K234" s="296"/>
      <c r="L234" s="296"/>
      <c r="M234" s="299"/>
      <c r="N234" s="299"/>
      <c r="O234" s="299"/>
      <c r="P234" s="299"/>
      <c r="Q234" s="299"/>
      <c r="R234" s="299"/>
      <c r="S234" s="299"/>
      <c r="T234" s="299"/>
      <c r="U234" s="299"/>
      <c r="V234" s="299"/>
      <c r="W234" s="299"/>
      <c r="X234" s="299"/>
      <c r="Y234" s="299"/>
      <c r="Z234" s="299"/>
      <c r="AA234" s="299"/>
      <c r="AB234" s="299"/>
      <c r="AC234" s="300"/>
      <c r="AD234" s="300"/>
    </row>
    <row r="235" spans="1:30" ht="12.75" customHeight="1" x14ac:dyDescent="0.2">
      <c r="A235" s="296"/>
      <c r="B235" s="296"/>
      <c r="C235" s="296"/>
      <c r="D235" s="298"/>
      <c r="E235" s="298"/>
      <c r="F235" s="296"/>
      <c r="G235" s="296"/>
      <c r="H235" s="296"/>
      <c r="I235" s="296"/>
      <c r="J235" s="296"/>
      <c r="K235" s="296"/>
      <c r="L235" s="296"/>
      <c r="M235" s="299"/>
      <c r="N235" s="299"/>
      <c r="O235" s="299"/>
      <c r="P235" s="299"/>
      <c r="Q235" s="299"/>
      <c r="R235" s="299"/>
      <c r="S235" s="299"/>
      <c r="T235" s="299"/>
      <c r="U235" s="299"/>
      <c r="V235" s="299"/>
      <c r="W235" s="299"/>
      <c r="X235" s="299"/>
      <c r="Y235" s="299"/>
      <c r="Z235" s="299"/>
      <c r="AA235" s="299"/>
      <c r="AB235" s="299"/>
      <c r="AC235" s="300"/>
      <c r="AD235" s="300"/>
    </row>
    <row r="236" spans="1:30" ht="12.75" customHeight="1" x14ac:dyDescent="0.2">
      <c r="A236" s="296"/>
      <c r="B236" s="296"/>
      <c r="C236" s="296"/>
      <c r="D236" s="298"/>
      <c r="E236" s="298"/>
      <c r="F236" s="296"/>
      <c r="G236" s="296"/>
      <c r="H236" s="296"/>
      <c r="I236" s="296"/>
      <c r="J236" s="296"/>
      <c r="K236" s="296"/>
      <c r="L236" s="296"/>
      <c r="M236" s="299"/>
      <c r="N236" s="299"/>
      <c r="O236" s="299"/>
      <c r="P236" s="299"/>
      <c r="Q236" s="299"/>
      <c r="R236" s="299"/>
      <c r="S236" s="299"/>
      <c r="T236" s="299"/>
      <c r="U236" s="299"/>
      <c r="V236" s="299"/>
      <c r="W236" s="299"/>
      <c r="X236" s="299"/>
      <c r="Y236" s="299"/>
      <c r="Z236" s="299"/>
      <c r="AA236" s="299"/>
      <c r="AB236" s="299"/>
      <c r="AC236" s="300"/>
      <c r="AD236" s="300"/>
    </row>
    <row r="237" spans="1:30" ht="12.75" customHeight="1" x14ac:dyDescent="0.2">
      <c r="A237" s="296"/>
      <c r="B237" s="296"/>
      <c r="C237" s="296"/>
      <c r="D237" s="298"/>
      <c r="E237" s="298"/>
      <c r="F237" s="296"/>
      <c r="G237" s="296"/>
      <c r="H237" s="296"/>
      <c r="I237" s="296"/>
      <c r="J237" s="296"/>
      <c r="K237" s="296"/>
      <c r="L237" s="296"/>
      <c r="M237" s="299"/>
      <c r="N237" s="299"/>
      <c r="O237" s="299"/>
      <c r="P237" s="299"/>
      <c r="Q237" s="299"/>
      <c r="R237" s="299"/>
      <c r="S237" s="299"/>
      <c r="T237" s="299"/>
      <c r="U237" s="299"/>
      <c r="V237" s="299"/>
      <c r="W237" s="299"/>
      <c r="X237" s="299"/>
      <c r="Y237" s="299"/>
      <c r="Z237" s="299"/>
      <c r="AA237" s="299"/>
      <c r="AB237" s="299"/>
      <c r="AC237" s="300"/>
      <c r="AD237" s="300"/>
    </row>
    <row r="238" spans="1:30" ht="12.75" customHeight="1" x14ac:dyDescent="0.2">
      <c r="A238" s="296"/>
      <c r="B238" s="296"/>
      <c r="C238" s="296"/>
      <c r="D238" s="298"/>
      <c r="E238" s="298"/>
      <c r="F238" s="296"/>
      <c r="G238" s="296"/>
      <c r="H238" s="296"/>
      <c r="I238" s="296"/>
      <c r="J238" s="296"/>
      <c r="K238" s="296"/>
      <c r="L238" s="296"/>
      <c r="M238" s="299"/>
      <c r="N238" s="299"/>
      <c r="O238" s="299"/>
      <c r="P238" s="299"/>
      <c r="Q238" s="299"/>
      <c r="R238" s="299"/>
      <c r="S238" s="299"/>
      <c r="T238" s="299"/>
      <c r="U238" s="299"/>
      <c r="V238" s="299"/>
      <c r="W238" s="299"/>
      <c r="X238" s="299"/>
      <c r="Y238" s="299"/>
      <c r="Z238" s="299"/>
      <c r="AA238" s="299"/>
      <c r="AB238" s="299"/>
      <c r="AC238" s="300"/>
      <c r="AD238" s="300"/>
    </row>
    <row r="239" spans="1:30" ht="12.75" customHeight="1" x14ac:dyDescent="0.2">
      <c r="A239" s="296"/>
      <c r="B239" s="296"/>
      <c r="C239" s="296"/>
      <c r="D239" s="298"/>
      <c r="E239" s="298"/>
      <c r="F239" s="296"/>
      <c r="G239" s="296"/>
      <c r="H239" s="296"/>
      <c r="I239" s="296"/>
      <c r="J239" s="296"/>
      <c r="K239" s="296"/>
      <c r="L239" s="296"/>
      <c r="M239" s="299"/>
      <c r="N239" s="299"/>
      <c r="O239" s="299"/>
      <c r="P239" s="299"/>
      <c r="Q239" s="299"/>
      <c r="R239" s="299"/>
      <c r="S239" s="299"/>
      <c r="T239" s="299"/>
      <c r="U239" s="299"/>
      <c r="V239" s="299"/>
      <c r="W239" s="299"/>
      <c r="X239" s="299"/>
      <c r="Y239" s="299"/>
      <c r="Z239" s="299"/>
      <c r="AA239" s="299"/>
      <c r="AB239" s="299"/>
      <c r="AC239" s="300"/>
      <c r="AD239" s="300"/>
    </row>
    <row r="240" spans="1:30" ht="12.75" customHeight="1" x14ac:dyDescent="0.2">
      <c r="A240" s="296"/>
      <c r="B240" s="296"/>
      <c r="C240" s="296"/>
      <c r="D240" s="298"/>
      <c r="E240" s="298"/>
      <c r="F240" s="296"/>
      <c r="G240" s="296"/>
      <c r="H240" s="296"/>
      <c r="I240" s="296"/>
      <c r="J240" s="296"/>
      <c r="K240" s="296"/>
      <c r="L240" s="296"/>
      <c r="M240" s="299"/>
      <c r="N240" s="299"/>
      <c r="O240" s="299"/>
      <c r="P240" s="299"/>
      <c r="Q240" s="299"/>
      <c r="R240" s="299"/>
      <c r="S240" s="299"/>
      <c r="T240" s="299"/>
      <c r="U240" s="299"/>
      <c r="V240" s="299"/>
      <c r="W240" s="299"/>
      <c r="X240" s="299"/>
      <c r="Y240" s="299"/>
      <c r="Z240" s="299"/>
      <c r="AA240" s="299"/>
      <c r="AB240" s="299"/>
      <c r="AC240" s="300"/>
      <c r="AD240" s="300"/>
    </row>
    <row r="241" spans="1:30" ht="12.75" customHeight="1" x14ac:dyDescent="0.2">
      <c r="A241" s="296"/>
      <c r="B241" s="296"/>
      <c r="C241" s="296"/>
      <c r="D241" s="298"/>
      <c r="E241" s="298"/>
      <c r="F241" s="296"/>
      <c r="G241" s="296"/>
      <c r="H241" s="296"/>
      <c r="I241" s="296"/>
      <c r="J241" s="296"/>
      <c r="K241" s="296"/>
      <c r="L241" s="296"/>
      <c r="M241" s="299"/>
      <c r="N241" s="299"/>
      <c r="O241" s="299"/>
      <c r="P241" s="299"/>
      <c r="Q241" s="299"/>
      <c r="R241" s="299"/>
      <c r="S241" s="299"/>
      <c r="T241" s="299"/>
      <c r="U241" s="299"/>
      <c r="V241" s="299"/>
      <c r="W241" s="299"/>
      <c r="X241" s="299"/>
      <c r="Y241" s="299"/>
      <c r="Z241" s="299"/>
      <c r="AA241" s="299"/>
      <c r="AB241" s="299"/>
      <c r="AC241" s="300"/>
      <c r="AD241" s="300"/>
    </row>
    <row r="242" spans="1:30" ht="12.75" customHeight="1" x14ac:dyDescent="0.2">
      <c r="A242" s="296"/>
      <c r="B242" s="296"/>
      <c r="C242" s="296"/>
      <c r="D242" s="298"/>
      <c r="E242" s="298"/>
      <c r="F242" s="296"/>
      <c r="G242" s="296"/>
      <c r="H242" s="296"/>
      <c r="I242" s="296"/>
      <c r="J242" s="296"/>
      <c r="K242" s="296"/>
      <c r="L242" s="296"/>
      <c r="M242" s="299"/>
      <c r="N242" s="299"/>
      <c r="O242" s="299"/>
      <c r="P242" s="299"/>
      <c r="Q242" s="299"/>
      <c r="R242" s="299"/>
      <c r="S242" s="299"/>
      <c r="T242" s="299"/>
      <c r="U242" s="299"/>
      <c r="V242" s="299"/>
      <c r="W242" s="299"/>
      <c r="X242" s="299"/>
      <c r="Y242" s="299"/>
      <c r="Z242" s="299"/>
      <c r="AA242" s="299"/>
      <c r="AB242" s="299"/>
      <c r="AC242" s="300"/>
      <c r="AD242" s="300"/>
    </row>
    <row r="243" spans="1:30" ht="12.75" customHeight="1" x14ac:dyDescent="0.2">
      <c r="A243" s="296"/>
      <c r="B243" s="296"/>
      <c r="C243" s="296"/>
      <c r="D243" s="298"/>
      <c r="E243" s="298"/>
      <c r="F243" s="296"/>
      <c r="G243" s="296"/>
      <c r="H243" s="296"/>
      <c r="I243" s="296"/>
      <c r="J243" s="296"/>
      <c r="K243" s="296"/>
      <c r="L243" s="296"/>
      <c r="M243" s="299"/>
      <c r="N243" s="299"/>
      <c r="O243" s="299"/>
      <c r="P243" s="299"/>
      <c r="Q243" s="299"/>
      <c r="R243" s="299"/>
      <c r="S243" s="299"/>
      <c r="T243" s="299"/>
      <c r="U243" s="299"/>
      <c r="V243" s="299"/>
      <c r="W243" s="299"/>
      <c r="X243" s="299"/>
      <c r="Y243" s="299"/>
      <c r="Z243" s="299"/>
      <c r="AA243" s="299"/>
      <c r="AB243" s="299"/>
      <c r="AC243" s="300"/>
      <c r="AD243" s="300"/>
    </row>
    <row r="244" spans="1:30" ht="12.75" customHeight="1" x14ac:dyDescent="0.2">
      <c r="A244" s="296"/>
      <c r="B244" s="296"/>
      <c r="C244" s="296"/>
      <c r="D244" s="298"/>
      <c r="E244" s="298"/>
      <c r="F244" s="296"/>
      <c r="G244" s="296"/>
      <c r="H244" s="296"/>
      <c r="I244" s="296"/>
      <c r="J244" s="296"/>
      <c r="K244" s="296"/>
      <c r="L244" s="296"/>
      <c r="M244" s="299"/>
      <c r="N244" s="299"/>
      <c r="O244" s="299"/>
      <c r="P244" s="299"/>
      <c r="Q244" s="299"/>
      <c r="R244" s="299"/>
      <c r="S244" s="299"/>
      <c r="T244" s="299"/>
      <c r="U244" s="299"/>
      <c r="V244" s="299"/>
      <c r="W244" s="299"/>
      <c r="X244" s="299"/>
      <c r="Y244" s="299"/>
      <c r="Z244" s="299"/>
      <c r="AA244" s="299"/>
      <c r="AB244" s="299"/>
      <c r="AC244" s="300"/>
      <c r="AD244" s="300"/>
    </row>
    <row r="245" spans="1:30" ht="12.75" customHeight="1" x14ac:dyDescent="0.2">
      <c r="A245" s="296"/>
      <c r="B245" s="296"/>
      <c r="C245" s="296"/>
      <c r="D245" s="298"/>
      <c r="E245" s="298"/>
      <c r="F245" s="296"/>
      <c r="G245" s="296"/>
      <c r="H245" s="296"/>
      <c r="I245" s="296"/>
      <c r="J245" s="296"/>
      <c r="K245" s="296"/>
      <c r="L245" s="296"/>
      <c r="M245" s="299"/>
      <c r="N245" s="299"/>
      <c r="O245" s="299"/>
      <c r="P245" s="299"/>
      <c r="Q245" s="299"/>
      <c r="R245" s="299"/>
      <c r="S245" s="299"/>
      <c r="T245" s="299"/>
      <c r="U245" s="299"/>
      <c r="V245" s="299"/>
      <c r="W245" s="299"/>
      <c r="X245" s="299"/>
      <c r="Y245" s="299"/>
      <c r="Z245" s="299"/>
      <c r="AA245" s="299"/>
      <c r="AB245" s="299"/>
      <c r="AC245" s="300"/>
      <c r="AD245" s="300"/>
    </row>
    <row r="246" spans="1:30" ht="12.75" customHeight="1" x14ac:dyDescent="0.2">
      <c r="A246" s="296"/>
      <c r="B246" s="296"/>
      <c r="C246" s="296"/>
      <c r="D246" s="298"/>
      <c r="E246" s="298"/>
      <c r="F246" s="296"/>
      <c r="G246" s="296"/>
      <c r="H246" s="296"/>
      <c r="I246" s="296"/>
      <c r="J246" s="296"/>
      <c r="K246" s="296"/>
      <c r="L246" s="296"/>
      <c r="M246" s="299"/>
      <c r="N246" s="299"/>
      <c r="O246" s="299"/>
      <c r="P246" s="299"/>
      <c r="Q246" s="299"/>
      <c r="R246" s="299"/>
      <c r="S246" s="299"/>
      <c r="T246" s="299"/>
      <c r="U246" s="299"/>
      <c r="V246" s="299"/>
      <c r="W246" s="299"/>
      <c r="X246" s="299"/>
      <c r="Y246" s="299"/>
      <c r="Z246" s="299"/>
      <c r="AA246" s="299"/>
      <c r="AB246" s="299"/>
      <c r="AC246" s="300"/>
      <c r="AD246" s="300"/>
    </row>
    <row r="247" spans="1:30" ht="12.75" customHeight="1" x14ac:dyDescent="0.2">
      <c r="A247" s="296"/>
      <c r="B247" s="296"/>
      <c r="C247" s="296"/>
      <c r="D247" s="298"/>
      <c r="E247" s="298"/>
      <c r="F247" s="296"/>
      <c r="G247" s="296"/>
      <c r="H247" s="296"/>
      <c r="I247" s="296"/>
      <c r="J247" s="296"/>
      <c r="K247" s="296"/>
      <c r="L247" s="296"/>
      <c r="M247" s="299"/>
      <c r="N247" s="299"/>
      <c r="O247" s="299"/>
      <c r="P247" s="299"/>
      <c r="Q247" s="299"/>
      <c r="R247" s="299"/>
      <c r="S247" s="299"/>
      <c r="T247" s="299"/>
      <c r="U247" s="299"/>
      <c r="V247" s="299"/>
      <c r="W247" s="299"/>
      <c r="X247" s="299"/>
      <c r="Y247" s="299"/>
      <c r="Z247" s="299"/>
      <c r="AA247" s="299"/>
      <c r="AB247" s="299"/>
      <c r="AC247" s="300"/>
      <c r="AD247" s="300"/>
    </row>
    <row r="248" spans="1:30" ht="12.75" customHeight="1" x14ac:dyDescent="0.2">
      <c r="A248" s="296"/>
      <c r="B248" s="296"/>
      <c r="C248" s="296"/>
      <c r="D248" s="298"/>
      <c r="E248" s="298"/>
      <c r="F248" s="296"/>
      <c r="G248" s="296"/>
      <c r="H248" s="296"/>
      <c r="I248" s="296"/>
      <c r="J248" s="296"/>
      <c r="K248" s="296"/>
      <c r="L248" s="296"/>
      <c r="M248" s="299"/>
      <c r="N248" s="299"/>
      <c r="O248" s="299"/>
      <c r="P248" s="299"/>
      <c r="Q248" s="299"/>
      <c r="R248" s="299"/>
      <c r="S248" s="299"/>
      <c r="T248" s="299"/>
      <c r="U248" s="299"/>
      <c r="V248" s="299"/>
      <c r="W248" s="299"/>
      <c r="X248" s="299"/>
      <c r="Y248" s="299"/>
      <c r="Z248" s="299"/>
      <c r="AA248" s="299"/>
      <c r="AB248" s="299"/>
      <c r="AC248" s="300"/>
      <c r="AD248" s="300"/>
    </row>
    <row r="249" spans="1:30" ht="12.75" customHeight="1" x14ac:dyDescent="0.2">
      <c r="A249" s="296"/>
      <c r="B249" s="296"/>
      <c r="C249" s="296"/>
      <c r="D249" s="298"/>
      <c r="E249" s="298"/>
      <c r="F249" s="296"/>
      <c r="G249" s="296"/>
      <c r="H249" s="296"/>
      <c r="I249" s="296"/>
      <c r="J249" s="296"/>
      <c r="K249" s="296"/>
      <c r="L249" s="296"/>
      <c r="M249" s="299"/>
      <c r="N249" s="299"/>
      <c r="O249" s="299"/>
      <c r="P249" s="299"/>
      <c r="Q249" s="299"/>
      <c r="R249" s="299"/>
      <c r="S249" s="299"/>
      <c r="T249" s="299"/>
      <c r="U249" s="299"/>
      <c r="V249" s="299"/>
      <c r="W249" s="299"/>
      <c r="X249" s="299"/>
      <c r="Y249" s="299"/>
      <c r="Z249" s="299"/>
      <c r="AA249" s="299"/>
      <c r="AB249" s="299"/>
      <c r="AC249" s="300"/>
      <c r="AD249" s="300"/>
    </row>
    <row r="250" spans="1:30" ht="12.75" customHeight="1" x14ac:dyDescent="0.2">
      <c r="A250" s="296"/>
      <c r="B250" s="296"/>
      <c r="C250" s="296"/>
      <c r="D250" s="298"/>
      <c r="E250" s="298"/>
      <c r="F250" s="296"/>
      <c r="G250" s="296"/>
      <c r="H250" s="296"/>
      <c r="I250" s="296"/>
      <c r="J250" s="296"/>
      <c r="K250" s="296"/>
      <c r="L250" s="296"/>
      <c r="M250" s="299"/>
      <c r="N250" s="299"/>
      <c r="O250" s="299"/>
      <c r="P250" s="299"/>
      <c r="Q250" s="299"/>
      <c r="R250" s="299"/>
      <c r="S250" s="299"/>
      <c r="T250" s="299"/>
      <c r="U250" s="299"/>
      <c r="V250" s="299"/>
      <c r="W250" s="299"/>
      <c r="X250" s="299"/>
      <c r="Y250" s="299"/>
      <c r="Z250" s="299"/>
      <c r="AA250" s="299"/>
      <c r="AB250" s="299"/>
      <c r="AC250" s="300"/>
      <c r="AD250" s="300"/>
    </row>
    <row r="251" spans="1:30" ht="12.75" customHeight="1" x14ac:dyDescent="0.2">
      <c r="A251" s="296"/>
      <c r="B251" s="296"/>
      <c r="C251" s="296"/>
      <c r="D251" s="298"/>
      <c r="E251" s="298"/>
      <c r="F251" s="296"/>
      <c r="G251" s="296"/>
      <c r="H251" s="296"/>
      <c r="I251" s="296"/>
      <c r="J251" s="296"/>
      <c r="K251" s="296"/>
      <c r="L251" s="296"/>
      <c r="M251" s="299"/>
      <c r="N251" s="299"/>
      <c r="O251" s="299"/>
      <c r="P251" s="299"/>
      <c r="Q251" s="299"/>
      <c r="R251" s="299"/>
      <c r="S251" s="299"/>
      <c r="T251" s="299"/>
      <c r="U251" s="299"/>
      <c r="V251" s="299"/>
      <c r="W251" s="299"/>
      <c r="X251" s="299"/>
      <c r="Y251" s="299"/>
      <c r="Z251" s="299"/>
      <c r="AA251" s="299"/>
      <c r="AB251" s="299"/>
      <c r="AC251" s="300"/>
      <c r="AD251" s="300"/>
    </row>
    <row r="252" spans="1:30" ht="12.75" customHeight="1" x14ac:dyDescent="0.2">
      <c r="A252" s="296"/>
      <c r="B252" s="296"/>
      <c r="C252" s="296"/>
      <c r="D252" s="298"/>
      <c r="E252" s="298"/>
      <c r="F252" s="296"/>
      <c r="G252" s="296"/>
      <c r="H252" s="296"/>
      <c r="I252" s="296"/>
      <c r="J252" s="296"/>
      <c r="K252" s="296"/>
      <c r="L252" s="296"/>
      <c r="M252" s="299"/>
      <c r="N252" s="299"/>
      <c r="O252" s="299"/>
      <c r="P252" s="299"/>
      <c r="Q252" s="299"/>
      <c r="R252" s="299"/>
      <c r="S252" s="299"/>
      <c r="T252" s="299"/>
      <c r="U252" s="299"/>
      <c r="V252" s="299"/>
      <c r="W252" s="299"/>
      <c r="X252" s="299"/>
      <c r="Y252" s="299"/>
      <c r="Z252" s="299"/>
      <c r="AA252" s="299"/>
      <c r="AB252" s="299"/>
      <c r="AC252" s="300"/>
      <c r="AD252" s="300"/>
    </row>
    <row r="253" spans="1:30" ht="12.75" customHeight="1" x14ac:dyDescent="0.2">
      <c r="A253" s="296"/>
      <c r="B253" s="296"/>
      <c r="C253" s="296"/>
      <c r="D253" s="298"/>
      <c r="E253" s="298"/>
      <c r="F253" s="296"/>
      <c r="G253" s="296"/>
      <c r="H253" s="296"/>
      <c r="I253" s="296"/>
      <c r="J253" s="296"/>
      <c r="K253" s="296"/>
      <c r="L253" s="296"/>
      <c r="M253" s="299"/>
      <c r="N253" s="299"/>
      <c r="O253" s="299"/>
      <c r="P253" s="299"/>
      <c r="Q253" s="299"/>
      <c r="R253" s="299"/>
      <c r="S253" s="299"/>
      <c r="T253" s="299"/>
      <c r="U253" s="299"/>
      <c r="V253" s="299"/>
      <c r="W253" s="299"/>
      <c r="X253" s="299"/>
      <c r="Y253" s="299"/>
      <c r="Z253" s="299"/>
      <c r="AA253" s="299"/>
      <c r="AB253" s="299"/>
      <c r="AC253" s="300"/>
      <c r="AD253" s="300"/>
    </row>
    <row r="254" spans="1:30" ht="12.75" customHeight="1" x14ac:dyDescent="0.2">
      <c r="A254" s="296"/>
      <c r="B254" s="296"/>
      <c r="C254" s="296"/>
      <c r="D254" s="298"/>
      <c r="E254" s="298"/>
      <c r="F254" s="296"/>
      <c r="G254" s="296"/>
      <c r="H254" s="296"/>
      <c r="I254" s="296"/>
      <c r="J254" s="296"/>
      <c r="K254" s="296"/>
      <c r="L254" s="296"/>
      <c r="M254" s="299"/>
      <c r="N254" s="299"/>
      <c r="O254" s="299"/>
      <c r="P254" s="299"/>
      <c r="Q254" s="299"/>
      <c r="R254" s="299"/>
      <c r="S254" s="299"/>
      <c r="T254" s="299"/>
      <c r="U254" s="299"/>
      <c r="V254" s="299"/>
      <c r="W254" s="299"/>
      <c r="X254" s="299"/>
      <c r="Y254" s="299"/>
      <c r="Z254" s="299"/>
      <c r="AA254" s="299"/>
      <c r="AB254" s="299"/>
      <c r="AC254" s="300"/>
      <c r="AD254" s="300"/>
    </row>
    <row r="255" spans="1:30" ht="12.75" customHeight="1" x14ac:dyDescent="0.2">
      <c r="A255" s="296"/>
      <c r="B255" s="296"/>
      <c r="C255" s="296"/>
      <c r="D255" s="298"/>
      <c r="E255" s="298"/>
      <c r="F255" s="296"/>
      <c r="G255" s="296"/>
      <c r="H255" s="296"/>
      <c r="I255" s="296"/>
      <c r="J255" s="296"/>
      <c r="K255" s="296"/>
      <c r="L255" s="296"/>
      <c r="M255" s="299"/>
      <c r="N255" s="299"/>
      <c r="O255" s="299"/>
      <c r="P255" s="299"/>
      <c r="Q255" s="299"/>
      <c r="R255" s="299"/>
      <c r="S255" s="299"/>
      <c r="T255" s="299"/>
      <c r="U255" s="299"/>
      <c r="V255" s="299"/>
      <c r="W255" s="299"/>
      <c r="X255" s="299"/>
      <c r="Y255" s="299"/>
      <c r="Z255" s="299"/>
      <c r="AA255" s="299"/>
      <c r="AB255" s="299"/>
      <c r="AC255" s="300"/>
      <c r="AD255" s="300"/>
    </row>
    <row r="256" spans="1:30" ht="12.75" customHeight="1" x14ac:dyDescent="0.2">
      <c r="A256" s="296"/>
      <c r="B256" s="296"/>
      <c r="C256" s="296"/>
      <c r="D256" s="298"/>
      <c r="E256" s="298"/>
      <c r="F256" s="296"/>
      <c r="G256" s="296"/>
      <c r="H256" s="296"/>
      <c r="I256" s="296"/>
      <c r="J256" s="296"/>
      <c r="K256" s="296"/>
      <c r="L256" s="296"/>
      <c r="M256" s="299"/>
      <c r="N256" s="299"/>
      <c r="O256" s="299"/>
      <c r="P256" s="299"/>
      <c r="Q256" s="299"/>
      <c r="R256" s="299"/>
      <c r="S256" s="299"/>
      <c r="T256" s="299"/>
      <c r="U256" s="299"/>
      <c r="V256" s="299"/>
      <c r="W256" s="299"/>
      <c r="X256" s="299"/>
      <c r="Y256" s="299"/>
      <c r="Z256" s="299"/>
      <c r="AA256" s="299"/>
      <c r="AB256" s="299"/>
      <c r="AC256" s="300"/>
      <c r="AD256" s="300"/>
    </row>
    <row r="257" spans="1:30" ht="12.75" customHeight="1" x14ac:dyDescent="0.2">
      <c r="A257" s="296"/>
      <c r="B257" s="296"/>
      <c r="C257" s="296"/>
      <c r="D257" s="298"/>
      <c r="E257" s="298"/>
      <c r="F257" s="296"/>
      <c r="G257" s="296"/>
      <c r="H257" s="296"/>
      <c r="I257" s="296"/>
      <c r="J257" s="296"/>
      <c r="K257" s="296"/>
      <c r="L257" s="296"/>
      <c r="M257" s="299"/>
      <c r="N257" s="299"/>
      <c r="O257" s="299"/>
      <c r="P257" s="299"/>
      <c r="Q257" s="299"/>
      <c r="R257" s="299"/>
      <c r="S257" s="299"/>
      <c r="T257" s="299"/>
      <c r="U257" s="299"/>
      <c r="V257" s="299"/>
      <c r="W257" s="299"/>
      <c r="X257" s="299"/>
      <c r="Y257" s="299"/>
      <c r="Z257" s="299"/>
      <c r="AA257" s="299"/>
      <c r="AB257" s="299"/>
      <c r="AC257" s="300"/>
      <c r="AD257" s="300"/>
    </row>
    <row r="258" spans="1:30" ht="12.75" customHeight="1" x14ac:dyDescent="0.2">
      <c r="A258" s="296"/>
      <c r="B258" s="296"/>
      <c r="C258" s="296"/>
      <c r="D258" s="298"/>
      <c r="E258" s="298"/>
      <c r="F258" s="296"/>
      <c r="G258" s="296"/>
      <c r="H258" s="296"/>
      <c r="I258" s="296"/>
      <c r="J258" s="296"/>
      <c r="K258" s="296"/>
      <c r="L258" s="296"/>
      <c r="M258" s="299"/>
      <c r="N258" s="299"/>
      <c r="O258" s="299"/>
      <c r="P258" s="299"/>
      <c r="Q258" s="299"/>
      <c r="R258" s="299"/>
      <c r="S258" s="299"/>
      <c r="T258" s="299"/>
      <c r="U258" s="299"/>
      <c r="V258" s="299"/>
      <c r="W258" s="299"/>
      <c r="X258" s="299"/>
      <c r="Y258" s="299"/>
      <c r="Z258" s="299"/>
      <c r="AA258" s="299"/>
      <c r="AB258" s="299"/>
      <c r="AC258" s="300"/>
      <c r="AD258" s="300"/>
    </row>
    <row r="259" spans="1:30" ht="12.75" customHeight="1" x14ac:dyDescent="0.2">
      <c r="A259" s="296"/>
      <c r="B259" s="296"/>
      <c r="C259" s="296"/>
      <c r="D259" s="298"/>
      <c r="E259" s="298"/>
      <c r="F259" s="296"/>
      <c r="G259" s="296"/>
      <c r="H259" s="296"/>
      <c r="I259" s="296"/>
      <c r="J259" s="296"/>
      <c r="K259" s="296"/>
      <c r="L259" s="296"/>
      <c r="M259" s="299"/>
      <c r="N259" s="299"/>
      <c r="O259" s="299"/>
      <c r="P259" s="299"/>
      <c r="Q259" s="299"/>
      <c r="R259" s="299"/>
      <c r="S259" s="299"/>
      <c r="T259" s="299"/>
      <c r="U259" s="299"/>
      <c r="V259" s="299"/>
      <c r="W259" s="299"/>
      <c r="X259" s="299"/>
      <c r="Y259" s="299"/>
      <c r="Z259" s="299"/>
      <c r="AA259" s="299"/>
      <c r="AB259" s="299"/>
      <c r="AC259" s="300"/>
      <c r="AD259" s="300"/>
    </row>
    <row r="260" spans="1:30" ht="12.75" customHeight="1" x14ac:dyDescent="0.2">
      <c r="A260" s="296"/>
      <c r="B260" s="296"/>
      <c r="C260" s="296"/>
      <c r="D260" s="298"/>
      <c r="E260" s="298"/>
      <c r="F260" s="296"/>
      <c r="G260" s="296"/>
      <c r="H260" s="296"/>
      <c r="I260" s="296"/>
      <c r="J260" s="296"/>
      <c r="K260" s="296"/>
      <c r="L260" s="296"/>
      <c r="M260" s="299"/>
      <c r="N260" s="299"/>
      <c r="O260" s="299"/>
      <c r="P260" s="299"/>
      <c r="Q260" s="299"/>
      <c r="R260" s="299"/>
      <c r="S260" s="299"/>
      <c r="T260" s="299"/>
      <c r="U260" s="299"/>
      <c r="V260" s="299"/>
      <c r="W260" s="299"/>
      <c r="X260" s="299"/>
      <c r="Y260" s="299"/>
      <c r="Z260" s="299"/>
      <c r="AA260" s="299"/>
      <c r="AB260" s="299"/>
      <c r="AC260" s="300"/>
      <c r="AD260" s="300"/>
    </row>
    <row r="261" spans="1:30" ht="12.75" customHeight="1" x14ac:dyDescent="0.2">
      <c r="A261" s="296"/>
      <c r="B261" s="296"/>
      <c r="C261" s="296"/>
      <c r="D261" s="298"/>
      <c r="E261" s="298"/>
      <c r="F261" s="296"/>
      <c r="G261" s="296"/>
      <c r="H261" s="296"/>
      <c r="I261" s="296"/>
      <c r="J261" s="296"/>
      <c r="K261" s="296"/>
      <c r="L261" s="296"/>
      <c r="M261" s="299"/>
      <c r="N261" s="299"/>
      <c r="O261" s="299"/>
      <c r="P261" s="299"/>
      <c r="Q261" s="299"/>
      <c r="R261" s="299"/>
      <c r="S261" s="299"/>
      <c r="T261" s="299"/>
      <c r="U261" s="299"/>
      <c r="V261" s="299"/>
      <c r="W261" s="299"/>
      <c r="X261" s="299"/>
      <c r="Y261" s="299"/>
      <c r="Z261" s="299"/>
      <c r="AA261" s="299"/>
      <c r="AB261" s="299"/>
      <c r="AC261" s="300"/>
      <c r="AD261" s="300"/>
    </row>
    <row r="262" spans="1:30" ht="12.75" customHeight="1" x14ac:dyDescent="0.2">
      <c r="A262" s="296"/>
      <c r="B262" s="296"/>
      <c r="C262" s="296"/>
      <c r="D262" s="298"/>
      <c r="E262" s="298"/>
      <c r="F262" s="296"/>
      <c r="G262" s="296"/>
      <c r="H262" s="296"/>
      <c r="I262" s="296"/>
      <c r="J262" s="296"/>
      <c r="K262" s="296"/>
      <c r="L262" s="296"/>
      <c r="M262" s="299"/>
      <c r="N262" s="299"/>
      <c r="O262" s="299"/>
      <c r="P262" s="299"/>
      <c r="Q262" s="299"/>
      <c r="R262" s="299"/>
      <c r="S262" s="299"/>
      <c r="T262" s="299"/>
      <c r="U262" s="299"/>
      <c r="V262" s="299"/>
      <c r="W262" s="299"/>
      <c r="X262" s="299"/>
      <c r="Y262" s="299"/>
      <c r="Z262" s="299"/>
      <c r="AA262" s="299"/>
      <c r="AB262" s="299"/>
      <c r="AC262" s="300"/>
      <c r="AD262" s="300"/>
    </row>
    <row r="263" spans="1:30" ht="12.75" customHeight="1" x14ac:dyDescent="0.2">
      <c r="A263" s="296"/>
      <c r="B263" s="296"/>
      <c r="C263" s="296"/>
      <c r="D263" s="298"/>
      <c r="E263" s="298"/>
      <c r="F263" s="296"/>
      <c r="G263" s="296"/>
      <c r="H263" s="296"/>
      <c r="I263" s="296"/>
      <c r="J263" s="296"/>
      <c r="K263" s="296"/>
      <c r="L263" s="296"/>
      <c r="M263" s="299"/>
      <c r="N263" s="299"/>
      <c r="O263" s="299"/>
      <c r="P263" s="299"/>
      <c r="Q263" s="299"/>
      <c r="R263" s="299"/>
      <c r="S263" s="299"/>
      <c r="T263" s="299"/>
      <c r="U263" s="299"/>
      <c r="V263" s="299"/>
      <c r="W263" s="299"/>
      <c r="X263" s="299"/>
      <c r="Y263" s="299"/>
      <c r="Z263" s="299"/>
      <c r="AA263" s="299"/>
      <c r="AB263" s="299"/>
      <c r="AC263" s="300"/>
      <c r="AD263" s="300"/>
    </row>
    <row r="264" spans="1:30" ht="12.75" customHeight="1" x14ac:dyDescent="0.2">
      <c r="A264" s="296"/>
      <c r="B264" s="296"/>
      <c r="C264" s="296"/>
      <c r="D264" s="298"/>
      <c r="E264" s="298"/>
      <c r="F264" s="296"/>
      <c r="G264" s="296"/>
      <c r="H264" s="296"/>
      <c r="I264" s="296"/>
      <c r="J264" s="296"/>
      <c r="K264" s="296"/>
      <c r="L264" s="296"/>
      <c r="M264" s="299"/>
      <c r="N264" s="299"/>
      <c r="O264" s="299"/>
      <c r="P264" s="299"/>
      <c r="Q264" s="299"/>
      <c r="R264" s="299"/>
      <c r="S264" s="299"/>
      <c r="T264" s="299"/>
      <c r="U264" s="299"/>
      <c r="V264" s="299"/>
      <c r="W264" s="299"/>
      <c r="X264" s="299"/>
      <c r="Y264" s="299"/>
      <c r="Z264" s="299"/>
      <c r="AA264" s="299"/>
      <c r="AB264" s="299"/>
      <c r="AC264" s="300"/>
      <c r="AD264" s="300"/>
    </row>
    <row r="265" spans="1:30" ht="12.75" customHeight="1" x14ac:dyDescent="0.2">
      <c r="A265" s="296"/>
      <c r="B265" s="296"/>
      <c r="C265" s="296"/>
      <c r="D265" s="298"/>
      <c r="E265" s="298"/>
      <c r="F265" s="296"/>
      <c r="G265" s="296"/>
      <c r="H265" s="296"/>
      <c r="I265" s="296"/>
      <c r="J265" s="296"/>
      <c r="K265" s="296"/>
      <c r="L265" s="296"/>
      <c r="M265" s="299"/>
      <c r="N265" s="299"/>
      <c r="O265" s="299"/>
      <c r="P265" s="299"/>
      <c r="Q265" s="299"/>
      <c r="R265" s="299"/>
      <c r="S265" s="299"/>
      <c r="T265" s="299"/>
      <c r="U265" s="299"/>
      <c r="V265" s="299"/>
      <c r="W265" s="299"/>
      <c r="X265" s="299"/>
      <c r="Y265" s="299"/>
      <c r="Z265" s="299"/>
      <c r="AA265" s="299"/>
      <c r="AB265" s="299"/>
      <c r="AC265" s="300"/>
      <c r="AD265" s="300"/>
    </row>
    <row r="266" spans="1:30" ht="12.75" customHeight="1" x14ac:dyDescent="0.2">
      <c r="A266" s="296"/>
      <c r="B266" s="296"/>
      <c r="C266" s="296"/>
      <c r="D266" s="298"/>
      <c r="E266" s="298"/>
      <c r="F266" s="296"/>
      <c r="G266" s="296"/>
      <c r="H266" s="296"/>
      <c r="I266" s="296"/>
      <c r="J266" s="296"/>
      <c r="K266" s="296"/>
      <c r="L266" s="296"/>
      <c r="M266" s="299"/>
      <c r="N266" s="299"/>
      <c r="O266" s="299"/>
      <c r="P266" s="299"/>
      <c r="Q266" s="299"/>
      <c r="R266" s="299"/>
      <c r="S266" s="299"/>
      <c r="T266" s="299"/>
      <c r="U266" s="299"/>
      <c r="V266" s="299"/>
      <c r="W266" s="299"/>
      <c r="X266" s="299"/>
      <c r="Y266" s="299"/>
      <c r="Z266" s="299"/>
      <c r="AA266" s="299"/>
      <c r="AB266" s="299"/>
      <c r="AC266" s="300"/>
      <c r="AD266" s="300"/>
    </row>
    <row r="267" spans="1:30" ht="12.75" customHeight="1" x14ac:dyDescent="0.2">
      <c r="A267" s="296"/>
      <c r="B267" s="296"/>
      <c r="C267" s="296"/>
      <c r="D267" s="298"/>
      <c r="E267" s="298"/>
      <c r="F267" s="296"/>
      <c r="G267" s="296"/>
      <c r="H267" s="296"/>
      <c r="I267" s="296"/>
      <c r="J267" s="296"/>
      <c r="K267" s="296"/>
      <c r="L267" s="296"/>
      <c r="M267" s="299"/>
      <c r="N267" s="299"/>
      <c r="O267" s="299"/>
      <c r="P267" s="299"/>
      <c r="Q267" s="299"/>
      <c r="R267" s="299"/>
      <c r="S267" s="299"/>
      <c r="T267" s="299"/>
      <c r="U267" s="299"/>
      <c r="V267" s="299"/>
      <c r="W267" s="299"/>
      <c r="X267" s="299"/>
      <c r="Y267" s="299"/>
      <c r="Z267" s="299"/>
      <c r="AA267" s="299"/>
      <c r="AB267" s="299"/>
      <c r="AC267" s="300"/>
      <c r="AD267" s="300"/>
    </row>
    <row r="268" spans="1:30" ht="12.75" customHeight="1" x14ac:dyDescent="0.2">
      <c r="A268" s="296"/>
      <c r="B268" s="296"/>
      <c r="C268" s="296"/>
      <c r="D268" s="298"/>
      <c r="E268" s="298"/>
      <c r="F268" s="296"/>
      <c r="G268" s="296"/>
      <c r="H268" s="296"/>
      <c r="I268" s="296"/>
      <c r="J268" s="296"/>
      <c r="K268" s="296"/>
      <c r="L268" s="296"/>
      <c r="M268" s="299"/>
      <c r="N268" s="299"/>
      <c r="O268" s="299"/>
      <c r="P268" s="299"/>
      <c r="Q268" s="299"/>
      <c r="R268" s="299"/>
      <c r="S268" s="299"/>
      <c r="T268" s="299"/>
      <c r="U268" s="299"/>
      <c r="V268" s="299"/>
      <c r="W268" s="299"/>
      <c r="X268" s="299"/>
      <c r="Y268" s="299"/>
      <c r="Z268" s="299"/>
      <c r="AA268" s="299"/>
      <c r="AB268" s="299"/>
      <c r="AC268" s="300"/>
      <c r="AD268" s="300"/>
    </row>
    <row r="269" spans="1:30" ht="12.75" customHeight="1" x14ac:dyDescent="0.2">
      <c r="A269" s="296"/>
      <c r="B269" s="296"/>
      <c r="C269" s="296"/>
      <c r="D269" s="298"/>
      <c r="E269" s="298"/>
      <c r="F269" s="296"/>
      <c r="G269" s="296"/>
      <c r="H269" s="296"/>
      <c r="I269" s="296"/>
      <c r="J269" s="296"/>
      <c r="K269" s="296"/>
      <c r="L269" s="296"/>
      <c r="M269" s="299"/>
      <c r="N269" s="299"/>
      <c r="O269" s="299"/>
      <c r="P269" s="299"/>
      <c r="Q269" s="299"/>
      <c r="R269" s="299"/>
      <c r="S269" s="299"/>
      <c r="T269" s="299"/>
      <c r="U269" s="299"/>
      <c r="V269" s="299"/>
      <c r="W269" s="299"/>
      <c r="X269" s="299"/>
      <c r="Y269" s="299"/>
      <c r="Z269" s="299"/>
      <c r="AA269" s="299"/>
      <c r="AB269" s="299"/>
      <c r="AC269" s="300"/>
      <c r="AD269" s="300"/>
    </row>
    <row r="270" spans="1:30" ht="12.75" customHeight="1" x14ac:dyDescent="0.2">
      <c r="A270" s="296"/>
      <c r="B270" s="296"/>
      <c r="C270" s="296"/>
      <c r="D270" s="298"/>
      <c r="E270" s="298"/>
      <c r="F270" s="296"/>
      <c r="G270" s="296"/>
      <c r="H270" s="296"/>
      <c r="I270" s="296"/>
      <c r="J270" s="296"/>
      <c r="K270" s="296"/>
      <c r="L270" s="296"/>
      <c r="M270" s="299"/>
      <c r="N270" s="299"/>
      <c r="O270" s="299"/>
      <c r="P270" s="299"/>
      <c r="Q270" s="299"/>
      <c r="R270" s="299"/>
      <c r="S270" s="299"/>
      <c r="T270" s="299"/>
      <c r="U270" s="299"/>
      <c r="V270" s="299"/>
      <c r="W270" s="299"/>
      <c r="X270" s="299"/>
      <c r="Y270" s="299"/>
      <c r="Z270" s="299"/>
      <c r="AA270" s="299"/>
      <c r="AB270" s="299"/>
      <c r="AC270" s="300"/>
      <c r="AD270" s="300"/>
    </row>
    <row r="271" spans="1:30" ht="12.75" customHeight="1" x14ac:dyDescent="0.2">
      <c r="A271" s="296"/>
      <c r="B271" s="296"/>
      <c r="C271" s="296"/>
      <c r="D271" s="298"/>
      <c r="E271" s="298"/>
      <c r="F271" s="296"/>
      <c r="G271" s="296"/>
      <c r="H271" s="296"/>
      <c r="I271" s="296"/>
      <c r="J271" s="296"/>
      <c r="K271" s="296"/>
      <c r="L271" s="296"/>
      <c r="M271" s="299"/>
      <c r="N271" s="299"/>
      <c r="O271" s="299"/>
      <c r="P271" s="299"/>
      <c r="Q271" s="299"/>
      <c r="R271" s="299"/>
      <c r="S271" s="299"/>
      <c r="T271" s="299"/>
      <c r="U271" s="299"/>
      <c r="V271" s="299"/>
      <c r="W271" s="299"/>
      <c r="X271" s="299"/>
      <c r="Y271" s="299"/>
      <c r="Z271" s="299"/>
      <c r="AA271" s="299"/>
      <c r="AB271" s="299"/>
      <c r="AC271" s="300"/>
      <c r="AD271" s="300"/>
    </row>
    <row r="272" spans="1:30" ht="12.75" customHeight="1" x14ac:dyDescent="0.2">
      <c r="A272" s="296"/>
      <c r="B272" s="296"/>
      <c r="C272" s="296"/>
      <c r="D272" s="298"/>
      <c r="E272" s="298"/>
      <c r="F272" s="296"/>
      <c r="G272" s="296"/>
      <c r="H272" s="296"/>
      <c r="I272" s="296"/>
      <c r="J272" s="296"/>
      <c r="K272" s="296"/>
      <c r="L272" s="296"/>
      <c r="M272" s="299"/>
      <c r="N272" s="299"/>
      <c r="O272" s="299"/>
      <c r="P272" s="299"/>
      <c r="Q272" s="299"/>
      <c r="R272" s="299"/>
      <c r="S272" s="299"/>
      <c r="T272" s="299"/>
      <c r="U272" s="299"/>
      <c r="V272" s="299"/>
      <c r="W272" s="299"/>
      <c r="X272" s="299"/>
      <c r="Y272" s="299"/>
      <c r="Z272" s="299"/>
      <c r="AA272" s="299"/>
      <c r="AB272" s="299"/>
      <c r="AC272" s="300"/>
      <c r="AD272" s="300"/>
    </row>
    <row r="273" spans="1:30" ht="12.75" customHeight="1" x14ac:dyDescent="0.2">
      <c r="A273" s="296"/>
      <c r="B273" s="296"/>
      <c r="C273" s="296"/>
      <c r="D273" s="298"/>
      <c r="E273" s="298"/>
      <c r="F273" s="296"/>
      <c r="G273" s="296"/>
      <c r="H273" s="296"/>
      <c r="I273" s="296"/>
      <c r="J273" s="296"/>
      <c r="K273" s="296"/>
      <c r="L273" s="296"/>
      <c r="M273" s="299"/>
      <c r="N273" s="299"/>
      <c r="O273" s="299"/>
      <c r="P273" s="299"/>
      <c r="Q273" s="299"/>
      <c r="R273" s="299"/>
      <c r="S273" s="299"/>
      <c r="T273" s="299"/>
      <c r="U273" s="299"/>
      <c r="V273" s="299"/>
      <c r="W273" s="299"/>
      <c r="X273" s="299"/>
      <c r="Y273" s="299"/>
      <c r="Z273" s="299"/>
      <c r="AA273" s="299"/>
      <c r="AB273" s="299"/>
      <c r="AC273" s="300"/>
      <c r="AD273" s="300"/>
    </row>
    <row r="274" spans="1:30" ht="12.75" customHeight="1" x14ac:dyDescent="0.2">
      <c r="A274" s="296"/>
      <c r="B274" s="296"/>
      <c r="C274" s="296"/>
      <c r="D274" s="298"/>
      <c r="E274" s="298"/>
      <c r="F274" s="296"/>
      <c r="G274" s="296"/>
      <c r="H274" s="296"/>
      <c r="I274" s="296"/>
      <c r="J274" s="296"/>
      <c r="K274" s="296"/>
      <c r="L274" s="296"/>
      <c r="M274" s="299"/>
      <c r="N274" s="299"/>
      <c r="O274" s="299"/>
      <c r="P274" s="299"/>
      <c r="Q274" s="299"/>
      <c r="R274" s="299"/>
      <c r="S274" s="299"/>
      <c r="T274" s="299"/>
      <c r="U274" s="299"/>
      <c r="V274" s="299"/>
      <c r="W274" s="299"/>
      <c r="X274" s="299"/>
      <c r="Y274" s="299"/>
      <c r="Z274" s="299"/>
      <c r="AA274" s="299"/>
      <c r="AB274" s="299"/>
      <c r="AC274" s="300"/>
      <c r="AD274" s="300"/>
    </row>
    <row r="275" spans="1:30" ht="12.75" customHeight="1" x14ac:dyDescent="0.2">
      <c r="A275" s="296"/>
      <c r="B275" s="296"/>
      <c r="C275" s="296"/>
      <c r="D275" s="298"/>
      <c r="E275" s="298"/>
      <c r="F275" s="296"/>
      <c r="G275" s="296"/>
      <c r="H275" s="296"/>
      <c r="I275" s="296"/>
      <c r="J275" s="296"/>
      <c r="K275" s="296"/>
      <c r="L275" s="296"/>
      <c r="M275" s="299"/>
      <c r="N275" s="299"/>
      <c r="O275" s="299"/>
      <c r="P275" s="299"/>
      <c r="Q275" s="299"/>
      <c r="R275" s="299"/>
      <c r="S275" s="299"/>
      <c r="T275" s="299"/>
      <c r="U275" s="299"/>
      <c r="V275" s="299"/>
      <c r="W275" s="299"/>
      <c r="X275" s="299"/>
      <c r="Y275" s="299"/>
      <c r="Z275" s="299"/>
      <c r="AA275" s="299"/>
      <c r="AB275" s="299"/>
      <c r="AC275" s="300"/>
      <c r="AD275" s="300"/>
    </row>
    <row r="276" spans="1:30" ht="12.75" customHeight="1" x14ac:dyDescent="0.2">
      <c r="A276" s="296"/>
      <c r="B276" s="296"/>
      <c r="C276" s="296"/>
      <c r="D276" s="298"/>
      <c r="E276" s="298"/>
      <c r="F276" s="296"/>
      <c r="G276" s="296"/>
      <c r="H276" s="296"/>
      <c r="I276" s="296"/>
      <c r="J276" s="296"/>
      <c r="K276" s="296"/>
      <c r="L276" s="296"/>
      <c r="M276" s="299"/>
      <c r="N276" s="299"/>
      <c r="O276" s="299"/>
      <c r="P276" s="299"/>
      <c r="Q276" s="299"/>
      <c r="R276" s="299"/>
      <c r="S276" s="299"/>
      <c r="T276" s="299"/>
      <c r="U276" s="299"/>
      <c r="V276" s="299"/>
      <c r="W276" s="299"/>
      <c r="X276" s="299"/>
      <c r="Y276" s="299"/>
      <c r="Z276" s="299"/>
      <c r="AA276" s="299"/>
      <c r="AB276" s="299"/>
      <c r="AC276" s="300"/>
      <c r="AD276" s="300"/>
    </row>
    <row r="277" spans="1:30" ht="12.75" customHeight="1" x14ac:dyDescent="0.2">
      <c r="A277" s="296"/>
      <c r="B277" s="296"/>
      <c r="C277" s="296"/>
      <c r="D277" s="298"/>
      <c r="E277" s="298"/>
      <c r="F277" s="296"/>
      <c r="G277" s="296"/>
      <c r="H277" s="296"/>
      <c r="I277" s="296"/>
      <c r="J277" s="296"/>
      <c r="K277" s="296"/>
      <c r="L277" s="296"/>
      <c r="M277" s="299"/>
      <c r="N277" s="299"/>
      <c r="O277" s="299"/>
      <c r="P277" s="299"/>
      <c r="Q277" s="299"/>
      <c r="R277" s="299"/>
      <c r="S277" s="299"/>
      <c r="T277" s="299"/>
      <c r="U277" s="299"/>
      <c r="V277" s="299"/>
      <c r="W277" s="299"/>
      <c r="X277" s="299"/>
      <c r="Y277" s="299"/>
      <c r="Z277" s="299"/>
      <c r="AA277" s="299"/>
      <c r="AB277" s="299"/>
      <c r="AC277" s="300"/>
      <c r="AD277" s="300"/>
    </row>
    <row r="278" spans="1:30" ht="12.75" customHeight="1" x14ac:dyDescent="0.2">
      <c r="A278" s="296"/>
      <c r="B278" s="296"/>
      <c r="C278" s="296"/>
      <c r="D278" s="298"/>
      <c r="E278" s="298"/>
      <c r="F278" s="296"/>
      <c r="G278" s="296"/>
      <c r="H278" s="296"/>
      <c r="I278" s="296"/>
      <c r="J278" s="296"/>
      <c r="K278" s="296"/>
      <c r="L278" s="296"/>
      <c r="M278" s="299"/>
      <c r="N278" s="299"/>
      <c r="O278" s="299"/>
      <c r="P278" s="299"/>
      <c r="Q278" s="299"/>
      <c r="R278" s="299"/>
      <c r="S278" s="299"/>
      <c r="T278" s="299"/>
      <c r="U278" s="299"/>
      <c r="V278" s="299"/>
      <c r="W278" s="299"/>
      <c r="X278" s="299"/>
      <c r="Y278" s="299"/>
      <c r="Z278" s="299"/>
      <c r="AA278" s="299"/>
      <c r="AB278" s="299"/>
      <c r="AC278" s="300"/>
      <c r="AD278" s="300"/>
    </row>
    <row r="279" spans="1:30" ht="12.75" customHeight="1" x14ac:dyDescent="0.2">
      <c r="A279" s="296"/>
      <c r="B279" s="296"/>
      <c r="C279" s="296"/>
      <c r="D279" s="298"/>
      <c r="E279" s="298"/>
      <c r="F279" s="296"/>
      <c r="G279" s="296"/>
      <c r="H279" s="296"/>
      <c r="I279" s="296"/>
      <c r="J279" s="296"/>
      <c r="K279" s="296"/>
      <c r="L279" s="296"/>
      <c r="M279" s="299"/>
      <c r="N279" s="299"/>
      <c r="O279" s="299"/>
      <c r="P279" s="299"/>
      <c r="Q279" s="299"/>
      <c r="R279" s="299"/>
      <c r="S279" s="299"/>
      <c r="T279" s="299"/>
      <c r="U279" s="299"/>
      <c r="V279" s="299"/>
      <c r="W279" s="299"/>
      <c r="X279" s="299"/>
      <c r="Y279" s="299"/>
      <c r="Z279" s="299"/>
      <c r="AA279" s="299"/>
      <c r="AB279" s="299"/>
      <c r="AC279" s="300"/>
      <c r="AD279" s="300"/>
    </row>
    <row r="280" spans="1:30" ht="12.75" customHeight="1" x14ac:dyDescent="0.2">
      <c r="A280" s="296"/>
      <c r="B280" s="296"/>
      <c r="C280" s="296"/>
      <c r="D280" s="298"/>
      <c r="E280" s="298"/>
      <c r="F280" s="296"/>
      <c r="G280" s="296"/>
      <c r="H280" s="296"/>
      <c r="I280" s="296"/>
      <c r="J280" s="296"/>
      <c r="K280" s="296"/>
      <c r="L280" s="296"/>
      <c r="M280" s="299"/>
      <c r="N280" s="299"/>
      <c r="O280" s="299"/>
      <c r="P280" s="299"/>
      <c r="Q280" s="299"/>
      <c r="R280" s="299"/>
      <c r="S280" s="299"/>
      <c r="T280" s="299"/>
      <c r="U280" s="299"/>
      <c r="V280" s="299"/>
      <c r="W280" s="299"/>
      <c r="X280" s="299"/>
      <c r="Y280" s="299"/>
      <c r="Z280" s="299"/>
      <c r="AA280" s="299"/>
      <c r="AB280" s="299"/>
      <c r="AC280" s="300"/>
      <c r="AD280" s="300"/>
    </row>
    <row r="281" spans="1:30" ht="12.75" customHeight="1" x14ac:dyDescent="0.2">
      <c r="A281" s="296"/>
      <c r="B281" s="296"/>
      <c r="C281" s="296"/>
      <c r="D281" s="298"/>
      <c r="E281" s="298"/>
      <c r="F281" s="296"/>
      <c r="G281" s="296"/>
      <c r="H281" s="296"/>
      <c r="I281" s="296"/>
      <c r="J281" s="296"/>
      <c r="K281" s="296"/>
      <c r="L281" s="296"/>
      <c r="M281" s="299"/>
      <c r="N281" s="299"/>
      <c r="O281" s="299"/>
      <c r="P281" s="299"/>
      <c r="Q281" s="299"/>
      <c r="R281" s="299"/>
      <c r="S281" s="299"/>
      <c r="T281" s="299"/>
      <c r="U281" s="299"/>
      <c r="V281" s="299"/>
      <c r="W281" s="299"/>
      <c r="X281" s="299"/>
      <c r="Y281" s="299"/>
      <c r="Z281" s="299"/>
      <c r="AA281" s="299"/>
      <c r="AB281" s="299"/>
      <c r="AC281" s="300"/>
      <c r="AD281" s="300"/>
    </row>
    <row r="282" spans="1:30" ht="12.75" customHeight="1" x14ac:dyDescent="0.2">
      <c r="A282" s="296"/>
      <c r="B282" s="296"/>
      <c r="C282" s="296"/>
      <c r="D282" s="298"/>
      <c r="E282" s="298"/>
      <c r="F282" s="296"/>
      <c r="G282" s="296"/>
      <c r="H282" s="296"/>
      <c r="I282" s="296"/>
      <c r="J282" s="296"/>
      <c r="K282" s="296"/>
      <c r="L282" s="296"/>
      <c r="M282" s="299"/>
      <c r="N282" s="299"/>
      <c r="O282" s="299"/>
      <c r="P282" s="299"/>
      <c r="Q282" s="299"/>
      <c r="R282" s="299"/>
      <c r="S282" s="299"/>
      <c r="T282" s="299"/>
      <c r="U282" s="299"/>
      <c r="V282" s="299"/>
      <c r="W282" s="299"/>
      <c r="X282" s="299"/>
      <c r="Y282" s="299"/>
      <c r="Z282" s="299"/>
      <c r="AA282" s="299"/>
      <c r="AB282" s="299"/>
      <c r="AC282" s="300"/>
      <c r="AD282" s="300"/>
    </row>
    <row r="283" spans="1:30" ht="12.75" customHeight="1" x14ac:dyDescent="0.2">
      <c r="A283" s="296"/>
      <c r="B283" s="296"/>
      <c r="C283" s="296"/>
      <c r="D283" s="298"/>
      <c r="E283" s="298"/>
      <c r="F283" s="296"/>
      <c r="G283" s="296"/>
      <c r="H283" s="296"/>
      <c r="I283" s="296"/>
      <c r="J283" s="296"/>
      <c r="K283" s="296"/>
      <c r="L283" s="296"/>
      <c r="M283" s="299"/>
      <c r="N283" s="299"/>
      <c r="O283" s="299"/>
      <c r="P283" s="299"/>
      <c r="Q283" s="299"/>
      <c r="R283" s="299"/>
      <c r="S283" s="299"/>
      <c r="T283" s="299"/>
      <c r="U283" s="299"/>
      <c r="V283" s="299"/>
      <c r="W283" s="299"/>
      <c r="X283" s="299"/>
      <c r="Y283" s="299"/>
      <c r="Z283" s="299"/>
      <c r="AA283" s="299"/>
      <c r="AB283" s="299"/>
      <c r="AC283" s="300"/>
      <c r="AD283" s="300"/>
    </row>
    <row r="284" spans="1:30" ht="12.75" customHeight="1" x14ac:dyDescent="0.2">
      <c r="A284" s="296"/>
      <c r="B284" s="296"/>
      <c r="C284" s="296"/>
      <c r="D284" s="298"/>
      <c r="E284" s="298"/>
      <c r="F284" s="296"/>
      <c r="G284" s="296"/>
      <c r="H284" s="296"/>
      <c r="I284" s="296"/>
      <c r="J284" s="296"/>
      <c r="K284" s="296"/>
      <c r="L284" s="296"/>
      <c r="M284" s="299"/>
      <c r="N284" s="299"/>
      <c r="O284" s="299"/>
      <c r="P284" s="299"/>
      <c r="Q284" s="299"/>
      <c r="R284" s="299"/>
      <c r="S284" s="299"/>
      <c r="T284" s="299"/>
      <c r="U284" s="299"/>
      <c r="V284" s="299"/>
      <c r="W284" s="299"/>
      <c r="X284" s="299"/>
      <c r="Y284" s="299"/>
      <c r="Z284" s="299"/>
      <c r="AA284" s="299"/>
      <c r="AB284" s="299"/>
      <c r="AC284" s="300"/>
      <c r="AD284" s="300"/>
    </row>
    <row r="285" spans="1:30" ht="12.75" customHeight="1" x14ac:dyDescent="0.2">
      <c r="A285" s="296"/>
      <c r="B285" s="296"/>
      <c r="C285" s="296"/>
      <c r="D285" s="298"/>
      <c r="E285" s="298"/>
      <c r="F285" s="296"/>
      <c r="G285" s="296"/>
      <c r="H285" s="296"/>
      <c r="I285" s="296"/>
      <c r="J285" s="296"/>
      <c r="K285" s="296"/>
      <c r="L285" s="296"/>
      <c r="M285" s="299"/>
      <c r="N285" s="299"/>
      <c r="O285" s="299"/>
      <c r="P285" s="299"/>
      <c r="Q285" s="299"/>
      <c r="R285" s="299"/>
      <c r="S285" s="299"/>
      <c r="T285" s="299"/>
      <c r="U285" s="299"/>
      <c r="V285" s="299"/>
      <c r="W285" s="299"/>
      <c r="X285" s="299"/>
      <c r="Y285" s="299"/>
      <c r="Z285" s="299"/>
      <c r="AA285" s="299"/>
      <c r="AB285" s="299"/>
      <c r="AC285" s="300"/>
      <c r="AD285" s="300"/>
    </row>
    <row r="286" spans="1:30" ht="12.75" customHeight="1" x14ac:dyDescent="0.2">
      <c r="A286" s="296"/>
      <c r="B286" s="296"/>
      <c r="C286" s="296"/>
      <c r="D286" s="298"/>
      <c r="E286" s="298"/>
      <c r="F286" s="296"/>
      <c r="G286" s="296"/>
      <c r="H286" s="296"/>
      <c r="I286" s="296"/>
      <c r="J286" s="296"/>
      <c r="K286" s="296"/>
      <c r="L286" s="296"/>
      <c r="M286" s="299"/>
      <c r="N286" s="299"/>
      <c r="O286" s="299"/>
      <c r="P286" s="299"/>
      <c r="Q286" s="299"/>
      <c r="R286" s="299"/>
      <c r="S286" s="299"/>
      <c r="T286" s="299"/>
      <c r="U286" s="299"/>
      <c r="V286" s="299"/>
      <c r="W286" s="299"/>
      <c r="X286" s="299"/>
      <c r="Y286" s="299"/>
      <c r="Z286" s="299"/>
      <c r="AA286" s="299"/>
      <c r="AB286" s="299"/>
      <c r="AC286" s="300"/>
      <c r="AD286" s="300"/>
    </row>
    <row r="287" spans="1:30" ht="12.75" customHeight="1" x14ac:dyDescent="0.2">
      <c r="A287" s="296"/>
      <c r="B287" s="296"/>
      <c r="C287" s="296"/>
      <c r="D287" s="298"/>
      <c r="E287" s="298"/>
      <c r="F287" s="296"/>
      <c r="G287" s="296"/>
      <c r="H287" s="296"/>
      <c r="I287" s="296"/>
      <c r="J287" s="296"/>
      <c r="K287" s="296"/>
      <c r="L287" s="296"/>
      <c r="M287" s="299"/>
      <c r="N287" s="299"/>
      <c r="O287" s="299"/>
      <c r="P287" s="299"/>
      <c r="Q287" s="299"/>
      <c r="R287" s="299"/>
      <c r="S287" s="299"/>
      <c r="T287" s="299"/>
      <c r="U287" s="299"/>
      <c r="V287" s="299"/>
      <c r="W287" s="299"/>
      <c r="X287" s="299"/>
      <c r="Y287" s="299"/>
      <c r="Z287" s="299"/>
      <c r="AA287" s="299"/>
      <c r="AB287" s="299"/>
      <c r="AC287" s="300"/>
      <c r="AD287" s="300"/>
    </row>
    <row r="288" spans="1:30" ht="12.75" customHeight="1" x14ac:dyDescent="0.2">
      <c r="A288" s="296"/>
      <c r="B288" s="296"/>
      <c r="C288" s="296"/>
      <c r="D288" s="298"/>
      <c r="E288" s="298"/>
      <c r="F288" s="296"/>
      <c r="G288" s="296"/>
      <c r="H288" s="296"/>
      <c r="I288" s="296"/>
      <c r="J288" s="296"/>
      <c r="K288" s="296"/>
      <c r="L288" s="296"/>
      <c r="M288" s="299"/>
      <c r="N288" s="299"/>
      <c r="O288" s="299"/>
      <c r="P288" s="299"/>
      <c r="Q288" s="299"/>
      <c r="R288" s="299"/>
      <c r="S288" s="299"/>
      <c r="T288" s="299"/>
      <c r="U288" s="299"/>
      <c r="V288" s="299"/>
      <c r="W288" s="299"/>
      <c r="X288" s="299"/>
      <c r="Y288" s="299"/>
      <c r="Z288" s="299"/>
      <c r="AA288" s="299"/>
      <c r="AB288" s="299"/>
      <c r="AC288" s="300"/>
      <c r="AD288" s="300"/>
    </row>
    <row r="289" spans="1:30" ht="12.75" customHeight="1" x14ac:dyDescent="0.2">
      <c r="A289" s="296"/>
      <c r="B289" s="296"/>
      <c r="C289" s="296"/>
      <c r="D289" s="298"/>
      <c r="E289" s="298"/>
      <c r="F289" s="296"/>
      <c r="G289" s="296"/>
      <c r="H289" s="296"/>
      <c r="I289" s="296"/>
      <c r="J289" s="296"/>
      <c r="K289" s="296"/>
      <c r="L289" s="296"/>
      <c r="M289" s="299"/>
      <c r="N289" s="299"/>
      <c r="O289" s="299"/>
      <c r="P289" s="299"/>
      <c r="Q289" s="299"/>
      <c r="R289" s="299"/>
      <c r="S289" s="299"/>
      <c r="T289" s="299"/>
      <c r="U289" s="299"/>
      <c r="V289" s="299"/>
      <c r="W289" s="299"/>
      <c r="X289" s="299"/>
      <c r="Y289" s="299"/>
      <c r="Z289" s="299"/>
      <c r="AA289" s="299"/>
      <c r="AB289" s="299"/>
      <c r="AC289" s="300"/>
      <c r="AD289" s="300"/>
    </row>
    <row r="290" spans="1:30" ht="12.75" customHeight="1" x14ac:dyDescent="0.2">
      <c r="A290" s="296"/>
      <c r="B290" s="296"/>
      <c r="C290" s="296"/>
      <c r="D290" s="298"/>
      <c r="E290" s="298"/>
      <c r="F290" s="296"/>
      <c r="G290" s="296"/>
      <c r="H290" s="296"/>
      <c r="I290" s="296"/>
      <c r="J290" s="296"/>
      <c r="K290" s="296"/>
      <c r="L290" s="296"/>
      <c r="M290" s="299"/>
      <c r="N290" s="299"/>
      <c r="O290" s="299"/>
      <c r="P290" s="299"/>
      <c r="Q290" s="299"/>
      <c r="R290" s="299"/>
      <c r="S290" s="299"/>
      <c r="T290" s="299"/>
      <c r="U290" s="299"/>
      <c r="V290" s="299"/>
      <c r="W290" s="299"/>
      <c r="X290" s="299"/>
      <c r="Y290" s="299"/>
      <c r="Z290" s="299"/>
      <c r="AA290" s="299"/>
      <c r="AB290" s="299"/>
      <c r="AC290" s="300"/>
      <c r="AD290" s="300"/>
    </row>
    <row r="291" spans="1:30" ht="12.75" customHeight="1" x14ac:dyDescent="0.2">
      <c r="A291" s="296"/>
      <c r="B291" s="296"/>
      <c r="C291" s="296"/>
      <c r="D291" s="298"/>
      <c r="E291" s="298"/>
      <c r="F291" s="296"/>
      <c r="G291" s="296"/>
      <c r="H291" s="296"/>
      <c r="I291" s="296"/>
      <c r="J291" s="296"/>
      <c r="K291" s="296"/>
      <c r="L291" s="296"/>
      <c r="M291" s="299"/>
      <c r="N291" s="299"/>
      <c r="O291" s="299"/>
      <c r="P291" s="299"/>
      <c r="Q291" s="299"/>
      <c r="R291" s="299"/>
      <c r="S291" s="299"/>
      <c r="T291" s="299"/>
      <c r="U291" s="299"/>
      <c r="V291" s="299"/>
      <c r="W291" s="299"/>
      <c r="X291" s="299"/>
      <c r="Y291" s="299"/>
      <c r="Z291" s="299"/>
      <c r="AA291" s="299"/>
      <c r="AB291" s="299"/>
      <c r="AC291" s="300"/>
      <c r="AD291" s="300"/>
    </row>
    <row r="292" spans="1:30" ht="12.75" customHeight="1" x14ac:dyDescent="0.2">
      <c r="A292" s="296"/>
      <c r="B292" s="296"/>
      <c r="C292" s="296"/>
      <c r="D292" s="298"/>
      <c r="E292" s="298"/>
      <c r="F292" s="296"/>
      <c r="G292" s="296"/>
      <c r="H292" s="296"/>
      <c r="I292" s="296"/>
      <c r="J292" s="296"/>
      <c r="K292" s="296"/>
      <c r="L292" s="296"/>
      <c r="M292" s="299"/>
      <c r="N292" s="299"/>
      <c r="O292" s="299"/>
      <c r="P292" s="299"/>
      <c r="Q292" s="299"/>
      <c r="R292" s="299"/>
      <c r="S292" s="299"/>
      <c r="T292" s="299"/>
      <c r="U292" s="299"/>
      <c r="V292" s="299"/>
      <c r="W292" s="299"/>
      <c r="X292" s="299"/>
      <c r="Y292" s="299"/>
      <c r="Z292" s="299"/>
      <c r="AA292" s="299"/>
      <c r="AB292" s="299"/>
      <c r="AC292" s="300"/>
      <c r="AD292" s="300"/>
    </row>
    <row r="293" spans="1:30" ht="12.75" customHeight="1" x14ac:dyDescent="0.2">
      <c r="A293" s="296"/>
      <c r="B293" s="296"/>
      <c r="C293" s="296"/>
      <c r="D293" s="298"/>
      <c r="E293" s="298"/>
      <c r="F293" s="296"/>
      <c r="G293" s="296"/>
      <c r="H293" s="296"/>
      <c r="I293" s="296"/>
      <c r="J293" s="296"/>
      <c r="K293" s="296"/>
      <c r="L293" s="296"/>
      <c r="M293" s="299"/>
      <c r="N293" s="299"/>
      <c r="O293" s="299"/>
      <c r="P293" s="299"/>
      <c r="Q293" s="299"/>
      <c r="R293" s="299"/>
      <c r="S293" s="299"/>
      <c r="T293" s="299"/>
      <c r="U293" s="299"/>
      <c r="V293" s="299"/>
      <c r="W293" s="299"/>
      <c r="X293" s="299"/>
      <c r="Y293" s="299"/>
      <c r="Z293" s="299"/>
      <c r="AA293" s="299"/>
      <c r="AB293" s="299"/>
      <c r="AC293" s="300"/>
      <c r="AD293" s="300"/>
    </row>
    <row r="294" spans="1:30" ht="12.75" customHeight="1" x14ac:dyDescent="0.2">
      <c r="A294" s="296"/>
      <c r="B294" s="296"/>
      <c r="C294" s="296"/>
      <c r="D294" s="298"/>
      <c r="E294" s="298"/>
      <c r="F294" s="296"/>
      <c r="G294" s="296"/>
      <c r="H294" s="296"/>
      <c r="I294" s="296"/>
      <c r="J294" s="296"/>
      <c r="K294" s="296"/>
      <c r="L294" s="296"/>
      <c r="M294" s="299"/>
      <c r="N294" s="299"/>
      <c r="O294" s="299"/>
      <c r="P294" s="299"/>
      <c r="Q294" s="299"/>
      <c r="R294" s="299"/>
      <c r="S294" s="299"/>
      <c r="T294" s="299"/>
      <c r="U294" s="299"/>
      <c r="V294" s="299"/>
      <c r="W294" s="299"/>
      <c r="X294" s="299"/>
      <c r="Y294" s="299"/>
      <c r="Z294" s="299"/>
      <c r="AA294" s="299"/>
      <c r="AB294" s="299"/>
      <c r="AC294" s="300"/>
      <c r="AD294" s="300"/>
    </row>
    <row r="295" spans="1:30" ht="12.75" customHeight="1" x14ac:dyDescent="0.2">
      <c r="A295" s="296"/>
      <c r="B295" s="296"/>
      <c r="C295" s="296"/>
      <c r="D295" s="298"/>
      <c r="E295" s="298"/>
      <c r="F295" s="296"/>
      <c r="G295" s="296"/>
      <c r="H295" s="296"/>
      <c r="I295" s="296"/>
      <c r="J295" s="296"/>
      <c r="K295" s="296"/>
      <c r="L295" s="296"/>
      <c r="M295" s="299"/>
      <c r="N295" s="299"/>
      <c r="O295" s="299"/>
      <c r="P295" s="299"/>
      <c r="Q295" s="299"/>
      <c r="R295" s="299"/>
      <c r="S295" s="299"/>
      <c r="T295" s="299"/>
      <c r="U295" s="299"/>
      <c r="V295" s="299"/>
      <c r="W295" s="299"/>
      <c r="X295" s="299"/>
      <c r="Y295" s="299"/>
      <c r="Z295" s="299"/>
      <c r="AA295" s="299"/>
      <c r="AB295" s="299"/>
      <c r="AC295" s="300"/>
      <c r="AD295" s="300"/>
    </row>
    <row r="296" spans="1:30" ht="12.75" customHeight="1" x14ac:dyDescent="0.2">
      <c r="A296" s="296"/>
      <c r="B296" s="296"/>
      <c r="C296" s="296"/>
      <c r="D296" s="298"/>
      <c r="E296" s="298"/>
      <c r="F296" s="296"/>
      <c r="G296" s="296"/>
      <c r="H296" s="296"/>
      <c r="I296" s="296"/>
      <c r="J296" s="296"/>
      <c r="K296" s="296"/>
      <c r="L296" s="296"/>
      <c r="M296" s="299"/>
      <c r="N296" s="299"/>
      <c r="O296" s="299"/>
      <c r="P296" s="299"/>
      <c r="Q296" s="299"/>
      <c r="R296" s="299"/>
      <c r="S296" s="299"/>
      <c r="T296" s="299"/>
      <c r="U296" s="299"/>
      <c r="V296" s="299"/>
      <c r="W296" s="299"/>
      <c r="X296" s="299"/>
      <c r="Y296" s="299"/>
      <c r="Z296" s="299"/>
      <c r="AA296" s="299"/>
      <c r="AB296" s="299"/>
      <c r="AC296" s="300"/>
      <c r="AD296" s="300"/>
    </row>
    <row r="297" spans="1:30" ht="12.75" customHeight="1" x14ac:dyDescent="0.2">
      <c r="A297" s="296"/>
      <c r="B297" s="296"/>
      <c r="C297" s="296"/>
      <c r="D297" s="298"/>
      <c r="E297" s="298"/>
      <c r="F297" s="296"/>
      <c r="G297" s="296"/>
      <c r="H297" s="296"/>
      <c r="I297" s="296"/>
      <c r="J297" s="296"/>
      <c r="K297" s="296"/>
      <c r="L297" s="296"/>
      <c r="M297" s="299"/>
      <c r="N297" s="299"/>
      <c r="O297" s="299"/>
      <c r="P297" s="299"/>
      <c r="Q297" s="299"/>
      <c r="R297" s="299"/>
      <c r="S297" s="299"/>
      <c r="T297" s="299"/>
      <c r="U297" s="299"/>
      <c r="V297" s="299"/>
      <c r="W297" s="299"/>
      <c r="X297" s="299"/>
      <c r="Y297" s="299"/>
      <c r="Z297" s="299"/>
      <c r="AA297" s="299"/>
      <c r="AB297" s="299"/>
      <c r="AC297" s="300"/>
      <c r="AD297" s="300"/>
    </row>
    <row r="298" spans="1:30" ht="12.75" customHeight="1" x14ac:dyDescent="0.2">
      <c r="A298" s="296"/>
      <c r="B298" s="296"/>
      <c r="C298" s="296"/>
      <c r="D298" s="298"/>
      <c r="E298" s="298"/>
      <c r="F298" s="296"/>
      <c r="G298" s="296"/>
      <c r="H298" s="296"/>
      <c r="I298" s="296"/>
      <c r="J298" s="296"/>
      <c r="K298" s="296"/>
      <c r="L298" s="296"/>
      <c r="M298" s="299"/>
      <c r="N298" s="299"/>
      <c r="O298" s="299"/>
      <c r="P298" s="299"/>
      <c r="Q298" s="299"/>
      <c r="R298" s="299"/>
      <c r="S298" s="299"/>
      <c r="T298" s="299"/>
      <c r="U298" s="299"/>
      <c r="V298" s="299"/>
      <c r="W298" s="299"/>
      <c r="X298" s="299"/>
      <c r="Y298" s="299"/>
      <c r="Z298" s="299"/>
      <c r="AA298" s="299"/>
      <c r="AB298" s="299"/>
      <c r="AC298" s="300"/>
      <c r="AD298" s="300"/>
    </row>
    <row r="299" spans="1:30" ht="12.75" customHeight="1" x14ac:dyDescent="0.2">
      <c r="A299" s="296"/>
      <c r="B299" s="296"/>
      <c r="C299" s="296"/>
      <c r="D299" s="298"/>
      <c r="E299" s="298"/>
      <c r="F299" s="296"/>
      <c r="G299" s="296"/>
      <c r="H299" s="296"/>
      <c r="I299" s="296"/>
      <c r="J299" s="296"/>
      <c r="K299" s="296"/>
      <c r="L299" s="296"/>
      <c r="M299" s="299"/>
      <c r="N299" s="299"/>
      <c r="O299" s="299"/>
      <c r="P299" s="299"/>
      <c r="Q299" s="299"/>
      <c r="R299" s="299"/>
      <c r="S299" s="299"/>
      <c r="T299" s="299"/>
      <c r="U299" s="299"/>
      <c r="V299" s="299"/>
      <c r="W299" s="299"/>
      <c r="X299" s="299"/>
      <c r="Y299" s="299"/>
      <c r="Z299" s="299"/>
      <c r="AA299" s="299"/>
      <c r="AB299" s="299"/>
      <c r="AC299" s="300"/>
      <c r="AD299" s="300"/>
    </row>
    <row r="300" spans="1:30" ht="12.75" customHeight="1" x14ac:dyDescent="0.2">
      <c r="A300" s="296"/>
      <c r="B300" s="296"/>
      <c r="C300" s="296"/>
      <c r="D300" s="298"/>
      <c r="E300" s="298"/>
      <c r="F300" s="296"/>
      <c r="G300" s="296"/>
      <c r="H300" s="296"/>
      <c r="I300" s="296"/>
      <c r="J300" s="296"/>
      <c r="K300" s="296"/>
      <c r="L300" s="296"/>
      <c r="M300" s="299"/>
      <c r="N300" s="299"/>
      <c r="O300" s="299"/>
      <c r="P300" s="299"/>
      <c r="Q300" s="299"/>
      <c r="R300" s="299"/>
      <c r="S300" s="299"/>
      <c r="T300" s="299"/>
      <c r="U300" s="299"/>
      <c r="V300" s="299"/>
      <c r="W300" s="299"/>
      <c r="X300" s="299"/>
      <c r="Y300" s="299"/>
      <c r="Z300" s="299"/>
      <c r="AA300" s="299"/>
      <c r="AB300" s="299"/>
      <c r="AC300" s="300"/>
      <c r="AD300" s="300"/>
    </row>
    <row r="301" spans="1:30" ht="12.75" customHeight="1" x14ac:dyDescent="0.2">
      <c r="A301" s="296"/>
      <c r="B301" s="296"/>
      <c r="C301" s="296"/>
      <c r="D301" s="298"/>
      <c r="E301" s="298"/>
      <c r="F301" s="296"/>
      <c r="G301" s="296"/>
      <c r="H301" s="296"/>
      <c r="I301" s="296"/>
      <c r="J301" s="296"/>
      <c r="K301" s="296"/>
      <c r="L301" s="296"/>
      <c r="M301" s="299"/>
      <c r="N301" s="299"/>
      <c r="O301" s="299"/>
      <c r="P301" s="299"/>
      <c r="Q301" s="299"/>
      <c r="R301" s="299"/>
      <c r="S301" s="299"/>
      <c r="T301" s="299"/>
      <c r="U301" s="299"/>
      <c r="V301" s="299"/>
      <c r="W301" s="299"/>
      <c r="X301" s="299"/>
      <c r="Y301" s="299"/>
      <c r="Z301" s="299"/>
      <c r="AA301" s="299"/>
      <c r="AB301" s="299"/>
      <c r="AC301" s="300"/>
      <c r="AD301" s="300"/>
    </row>
    <row r="302" spans="1:30" ht="12.75" customHeight="1" x14ac:dyDescent="0.2">
      <c r="A302" s="296"/>
      <c r="B302" s="296"/>
      <c r="C302" s="296"/>
      <c r="D302" s="298"/>
      <c r="E302" s="298"/>
      <c r="F302" s="296"/>
      <c r="G302" s="296"/>
      <c r="H302" s="296"/>
      <c r="I302" s="296"/>
      <c r="J302" s="296"/>
      <c r="K302" s="296"/>
      <c r="L302" s="296"/>
      <c r="M302" s="299"/>
      <c r="N302" s="299"/>
      <c r="O302" s="299"/>
      <c r="P302" s="299"/>
      <c r="Q302" s="299"/>
      <c r="R302" s="299"/>
      <c r="S302" s="299"/>
      <c r="T302" s="299"/>
      <c r="U302" s="299"/>
      <c r="V302" s="299"/>
      <c r="W302" s="299"/>
      <c r="X302" s="299"/>
      <c r="Y302" s="299"/>
      <c r="Z302" s="299"/>
      <c r="AA302" s="299"/>
      <c r="AB302" s="299"/>
      <c r="AC302" s="300"/>
      <c r="AD302" s="300"/>
    </row>
    <row r="303" spans="1:30" ht="12.75" customHeight="1" x14ac:dyDescent="0.2">
      <c r="A303" s="296"/>
      <c r="B303" s="296"/>
      <c r="C303" s="296"/>
      <c r="D303" s="298"/>
      <c r="E303" s="298"/>
      <c r="F303" s="296"/>
      <c r="G303" s="296"/>
      <c r="H303" s="296"/>
      <c r="I303" s="296"/>
      <c r="J303" s="296"/>
      <c r="K303" s="296"/>
      <c r="L303" s="296"/>
      <c r="M303" s="299"/>
      <c r="N303" s="299"/>
      <c r="O303" s="299"/>
      <c r="P303" s="299"/>
      <c r="Q303" s="299"/>
      <c r="R303" s="299"/>
      <c r="S303" s="299"/>
      <c r="T303" s="299"/>
      <c r="U303" s="299"/>
      <c r="V303" s="299"/>
      <c r="W303" s="299"/>
      <c r="X303" s="299"/>
      <c r="Y303" s="299"/>
      <c r="Z303" s="299"/>
      <c r="AA303" s="299"/>
      <c r="AB303" s="299"/>
      <c r="AC303" s="300"/>
      <c r="AD303" s="300"/>
    </row>
    <row r="304" spans="1:30" ht="12.75" customHeight="1" x14ac:dyDescent="0.2">
      <c r="A304" s="296"/>
      <c r="B304" s="296"/>
      <c r="C304" s="296"/>
      <c r="D304" s="298"/>
      <c r="E304" s="298"/>
      <c r="F304" s="296"/>
      <c r="G304" s="296"/>
      <c r="H304" s="296"/>
      <c r="I304" s="296"/>
      <c r="J304" s="296"/>
      <c r="K304" s="296"/>
      <c r="L304" s="296"/>
      <c r="M304" s="299"/>
      <c r="N304" s="299"/>
      <c r="O304" s="299"/>
      <c r="P304" s="299"/>
      <c r="Q304" s="299"/>
      <c r="R304" s="299"/>
      <c r="S304" s="299"/>
      <c r="T304" s="299"/>
      <c r="U304" s="299"/>
      <c r="V304" s="299"/>
      <c r="W304" s="299"/>
      <c r="X304" s="299"/>
      <c r="Y304" s="299"/>
      <c r="Z304" s="299"/>
      <c r="AA304" s="299"/>
      <c r="AB304" s="299"/>
      <c r="AC304" s="300"/>
      <c r="AD304" s="300"/>
    </row>
    <row r="305" spans="1:30" ht="12.75" customHeight="1" x14ac:dyDescent="0.2">
      <c r="A305" s="296"/>
      <c r="B305" s="296"/>
      <c r="C305" s="296"/>
      <c r="D305" s="298"/>
      <c r="E305" s="298"/>
      <c r="F305" s="296"/>
      <c r="G305" s="296"/>
      <c r="H305" s="296"/>
      <c r="I305" s="296"/>
      <c r="J305" s="296"/>
      <c r="K305" s="296"/>
      <c r="L305" s="296"/>
      <c r="M305" s="299"/>
      <c r="N305" s="299"/>
      <c r="O305" s="299"/>
      <c r="P305" s="299"/>
      <c r="Q305" s="299"/>
      <c r="R305" s="299"/>
      <c r="S305" s="299"/>
      <c r="T305" s="299"/>
      <c r="U305" s="299"/>
      <c r="V305" s="299"/>
      <c r="W305" s="299"/>
      <c r="X305" s="299"/>
      <c r="Y305" s="299"/>
      <c r="Z305" s="299"/>
      <c r="AA305" s="299"/>
      <c r="AB305" s="299"/>
      <c r="AC305" s="300"/>
      <c r="AD305" s="300"/>
    </row>
    <row r="306" spans="1:30" ht="12.75" customHeight="1" x14ac:dyDescent="0.2">
      <c r="A306" s="296"/>
      <c r="B306" s="296"/>
      <c r="C306" s="296"/>
      <c r="D306" s="298"/>
      <c r="E306" s="298"/>
      <c r="F306" s="296"/>
      <c r="G306" s="296"/>
      <c r="H306" s="296"/>
      <c r="I306" s="296"/>
      <c r="J306" s="296"/>
      <c r="K306" s="296"/>
      <c r="L306" s="296"/>
      <c r="M306" s="299"/>
      <c r="N306" s="299"/>
      <c r="O306" s="299"/>
      <c r="P306" s="299"/>
      <c r="Q306" s="299"/>
      <c r="R306" s="299"/>
      <c r="S306" s="299"/>
      <c r="T306" s="299"/>
      <c r="U306" s="299"/>
      <c r="V306" s="299"/>
      <c r="W306" s="299"/>
      <c r="X306" s="299"/>
      <c r="Y306" s="299"/>
      <c r="Z306" s="299"/>
      <c r="AA306" s="299"/>
      <c r="AB306" s="299"/>
      <c r="AC306" s="300"/>
      <c r="AD306" s="300"/>
    </row>
    <row r="307" spans="1:30" ht="12.75" customHeight="1" x14ac:dyDescent="0.2">
      <c r="A307" s="296"/>
      <c r="B307" s="296"/>
      <c r="C307" s="296"/>
      <c r="D307" s="298"/>
      <c r="E307" s="298"/>
      <c r="F307" s="296"/>
      <c r="G307" s="296"/>
      <c r="H307" s="296"/>
      <c r="I307" s="296"/>
      <c r="J307" s="296"/>
      <c r="K307" s="296"/>
      <c r="L307" s="296"/>
      <c r="M307" s="299"/>
      <c r="N307" s="299"/>
      <c r="O307" s="299"/>
      <c r="P307" s="299"/>
      <c r="Q307" s="299"/>
      <c r="R307" s="299"/>
      <c r="S307" s="299"/>
      <c r="T307" s="299"/>
      <c r="U307" s="299"/>
      <c r="V307" s="299"/>
      <c r="W307" s="299"/>
      <c r="X307" s="299"/>
      <c r="Y307" s="299"/>
      <c r="Z307" s="299"/>
      <c r="AA307" s="299"/>
      <c r="AB307" s="299"/>
      <c r="AC307" s="300"/>
      <c r="AD307" s="300"/>
    </row>
    <row r="308" spans="1:30" ht="12.75" customHeight="1" x14ac:dyDescent="0.2">
      <c r="A308" s="296"/>
      <c r="B308" s="296"/>
      <c r="C308" s="296"/>
      <c r="D308" s="298"/>
      <c r="E308" s="298"/>
      <c r="F308" s="296"/>
      <c r="G308" s="296"/>
      <c r="H308" s="296"/>
      <c r="I308" s="296"/>
      <c r="J308" s="296"/>
      <c r="K308" s="296"/>
      <c r="L308" s="296"/>
      <c r="M308" s="299"/>
      <c r="N308" s="299"/>
      <c r="O308" s="299"/>
      <c r="P308" s="299"/>
      <c r="Q308" s="299"/>
      <c r="R308" s="299"/>
      <c r="S308" s="299"/>
      <c r="T308" s="299"/>
      <c r="U308" s="299"/>
      <c r="V308" s="299"/>
      <c r="W308" s="299"/>
      <c r="X308" s="299"/>
      <c r="Y308" s="299"/>
      <c r="Z308" s="299"/>
      <c r="AA308" s="299"/>
      <c r="AB308" s="299"/>
      <c r="AC308" s="300"/>
      <c r="AD308" s="300"/>
    </row>
    <row r="309" spans="1:30" ht="12.75" customHeight="1" x14ac:dyDescent="0.2">
      <c r="A309" s="296"/>
      <c r="B309" s="296"/>
      <c r="C309" s="296"/>
      <c r="D309" s="298"/>
      <c r="E309" s="298"/>
      <c r="F309" s="296"/>
      <c r="G309" s="296"/>
      <c r="H309" s="296"/>
      <c r="I309" s="296"/>
      <c r="J309" s="296"/>
      <c r="K309" s="296"/>
      <c r="L309" s="296"/>
      <c r="M309" s="299"/>
      <c r="N309" s="299"/>
      <c r="O309" s="299"/>
      <c r="P309" s="299"/>
      <c r="Q309" s="299"/>
      <c r="R309" s="299"/>
      <c r="S309" s="299"/>
      <c r="T309" s="299"/>
      <c r="U309" s="299"/>
      <c r="V309" s="299"/>
      <c r="W309" s="299"/>
      <c r="X309" s="299"/>
      <c r="Y309" s="299"/>
      <c r="Z309" s="299"/>
      <c r="AA309" s="299"/>
      <c r="AB309" s="299"/>
      <c r="AC309" s="300"/>
      <c r="AD309" s="300"/>
    </row>
    <row r="310" spans="1:30" ht="12.75" customHeight="1" x14ac:dyDescent="0.2">
      <c r="A310" s="296"/>
      <c r="B310" s="296"/>
      <c r="C310" s="296"/>
      <c r="D310" s="298"/>
      <c r="E310" s="298"/>
      <c r="F310" s="296"/>
      <c r="G310" s="296"/>
      <c r="H310" s="296"/>
      <c r="I310" s="296"/>
      <c r="J310" s="296"/>
      <c r="K310" s="296"/>
      <c r="L310" s="296"/>
      <c r="M310" s="299"/>
      <c r="N310" s="299"/>
      <c r="O310" s="299"/>
      <c r="P310" s="299"/>
      <c r="Q310" s="299"/>
      <c r="R310" s="299"/>
      <c r="S310" s="299"/>
      <c r="T310" s="299"/>
      <c r="U310" s="299"/>
      <c r="V310" s="299"/>
      <c r="W310" s="299"/>
      <c r="X310" s="299"/>
      <c r="Y310" s="299"/>
      <c r="Z310" s="299"/>
      <c r="AA310" s="299"/>
      <c r="AB310" s="299"/>
      <c r="AC310" s="300"/>
      <c r="AD310" s="300"/>
    </row>
    <row r="311" spans="1:30" ht="12.75" customHeight="1" x14ac:dyDescent="0.2">
      <c r="A311" s="296"/>
      <c r="B311" s="296"/>
      <c r="C311" s="296"/>
      <c r="D311" s="298"/>
      <c r="E311" s="298"/>
      <c r="F311" s="296"/>
      <c r="G311" s="296"/>
      <c r="H311" s="296"/>
      <c r="I311" s="296"/>
      <c r="J311" s="296"/>
      <c r="K311" s="296"/>
      <c r="L311" s="296"/>
      <c r="M311" s="299"/>
      <c r="N311" s="299"/>
      <c r="O311" s="299"/>
      <c r="P311" s="299"/>
      <c r="Q311" s="299"/>
      <c r="R311" s="299"/>
      <c r="S311" s="299"/>
      <c r="T311" s="299"/>
      <c r="U311" s="299"/>
      <c r="V311" s="299"/>
      <c r="W311" s="299"/>
      <c r="X311" s="299"/>
      <c r="Y311" s="299"/>
      <c r="Z311" s="299"/>
      <c r="AA311" s="299"/>
      <c r="AB311" s="299"/>
      <c r="AC311" s="300"/>
      <c r="AD311" s="300"/>
    </row>
    <row r="312" spans="1:30" ht="12.75" customHeight="1" x14ac:dyDescent="0.2">
      <c r="A312" s="296"/>
      <c r="B312" s="296"/>
      <c r="C312" s="296"/>
      <c r="D312" s="298"/>
      <c r="E312" s="298"/>
      <c r="F312" s="296"/>
      <c r="G312" s="296"/>
      <c r="H312" s="296"/>
      <c r="I312" s="296"/>
      <c r="J312" s="296"/>
      <c r="K312" s="296"/>
      <c r="L312" s="296"/>
      <c r="M312" s="299"/>
      <c r="N312" s="299"/>
      <c r="O312" s="299"/>
      <c r="P312" s="299"/>
      <c r="Q312" s="299"/>
      <c r="R312" s="299"/>
      <c r="S312" s="299"/>
      <c r="T312" s="299"/>
      <c r="U312" s="299"/>
      <c r="V312" s="299"/>
      <c r="W312" s="299"/>
      <c r="X312" s="299"/>
      <c r="Y312" s="299"/>
      <c r="Z312" s="299"/>
      <c r="AA312" s="299"/>
      <c r="AB312" s="299"/>
      <c r="AC312" s="300"/>
      <c r="AD312" s="300"/>
    </row>
    <row r="313" spans="1:30" ht="12.75" customHeight="1" x14ac:dyDescent="0.2">
      <c r="A313" s="296"/>
      <c r="B313" s="296"/>
      <c r="C313" s="296"/>
      <c r="D313" s="298"/>
      <c r="E313" s="298"/>
      <c r="F313" s="296"/>
      <c r="G313" s="296"/>
      <c r="H313" s="296"/>
      <c r="I313" s="296"/>
      <c r="J313" s="296"/>
      <c r="K313" s="296"/>
      <c r="L313" s="296"/>
      <c r="M313" s="299"/>
      <c r="N313" s="299"/>
      <c r="O313" s="299"/>
      <c r="P313" s="299"/>
      <c r="Q313" s="299"/>
      <c r="R313" s="299"/>
      <c r="S313" s="299"/>
      <c r="T313" s="299"/>
      <c r="U313" s="299"/>
      <c r="V313" s="299"/>
      <c r="W313" s="299"/>
      <c r="X313" s="299"/>
      <c r="Y313" s="299"/>
      <c r="Z313" s="299"/>
      <c r="AA313" s="299"/>
      <c r="AB313" s="299"/>
      <c r="AC313" s="300"/>
      <c r="AD313" s="300"/>
    </row>
    <row r="314" spans="1:30" ht="12.75" customHeight="1" x14ac:dyDescent="0.2">
      <c r="A314" s="296"/>
      <c r="B314" s="296"/>
      <c r="C314" s="296"/>
      <c r="D314" s="298"/>
      <c r="E314" s="298"/>
      <c r="F314" s="296"/>
      <c r="G314" s="296"/>
      <c r="H314" s="296"/>
      <c r="I314" s="296"/>
      <c r="J314" s="296"/>
      <c r="K314" s="296"/>
      <c r="L314" s="296"/>
      <c r="M314" s="299"/>
      <c r="N314" s="299"/>
      <c r="O314" s="299"/>
      <c r="P314" s="299"/>
      <c r="Q314" s="299"/>
      <c r="R314" s="299"/>
      <c r="S314" s="299"/>
      <c r="T314" s="299"/>
      <c r="U314" s="299"/>
      <c r="V314" s="299"/>
      <c r="W314" s="299"/>
      <c r="X314" s="299"/>
      <c r="Y314" s="299"/>
      <c r="Z314" s="299"/>
      <c r="AA314" s="299"/>
      <c r="AB314" s="299"/>
      <c r="AC314" s="300"/>
      <c r="AD314" s="300"/>
    </row>
    <row r="315" spans="1:30" ht="12.75" customHeight="1" x14ac:dyDescent="0.2">
      <c r="A315" s="296"/>
      <c r="B315" s="296"/>
      <c r="C315" s="296"/>
      <c r="D315" s="298"/>
      <c r="E315" s="298"/>
      <c r="F315" s="296"/>
      <c r="G315" s="296"/>
      <c r="H315" s="296"/>
      <c r="I315" s="296"/>
      <c r="J315" s="296"/>
      <c r="K315" s="296"/>
      <c r="L315" s="296"/>
      <c r="M315" s="299"/>
      <c r="N315" s="299"/>
      <c r="O315" s="299"/>
      <c r="P315" s="299"/>
      <c r="Q315" s="299"/>
      <c r="R315" s="299"/>
      <c r="S315" s="299"/>
      <c r="T315" s="299"/>
      <c r="U315" s="299"/>
      <c r="V315" s="299"/>
      <c r="W315" s="299"/>
      <c r="X315" s="299"/>
      <c r="Y315" s="299"/>
      <c r="Z315" s="299"/>
      <c r="AA315" s="299"/>
      <c r="AB315" s="299"/>
      <c r="AC315" s="300"/>
      <c r="AD315" s="300"/>
    </row>
    <row r="316" spans="1:30" ht="12.75" customHeight="1" x14ac:dyDescent="0.2">
      <c r="A316" s="296"/>
      <c r="B316" s="296"/>
      <c r="C316" s="296"/>
      <c r="D316" s="298"/>
      <c r="E316" s="298"/>
      <c r="F316" s="296"/>
      <c r="G316" s="296"/>
      <c r="H316" s="296"/>
      <c r="I316" s="296"/>
      <c r="J316" s="296"/>
      <c r="K316" s="296"/>
      <c r="L316" s="296"/>
      <c r="M316" s="299"/>
      <c r="N316" s="299"/>
      <c r="O316" s="299"/>
      <c r="P316" s="299"/>
      <c r="Q316" s="299"/>
      <c r="R316" s="299"/>
      <c r="S316" s="299"/>
      <c r="T316" s="299"/>
      <c r="U316" s="299"/>
      <c r="V316" s="299"/>
      <c r="W316" s="299"/>
      <c r="X316" s="299"/>
      <c r="Y316" s="299"/>
      <c r="Z316" s="299"/>
      <c r="AA316" s="299"/>
      <c r="AB316" s="299"/>
      <c r="AC316" s="300"/>
      <c r="AD316" s="300"/>
    </row>
    <row r="317" spans="1:30" ht="12.75" customHeight="1" x14ac:dyDescent="0.2">
      <c r="A317" s="296"/>
      <c r="B317" s="296"/>
      <c r="C317" s="296"/>
      <c r="D317" s="298"/>
      <c r="E317" s="298"/>
      <c r="F317" s="296"/>
      <c r="G317" s="296"/>
      <c r="H317" s="296"/>
      <c r="I317" s="296"/>
      <c r="J317" s="296"/>
      <c r="K317" s="296"/>
      <c r="L317" s="296"/>
      <c r="M317" s="299"/>
      <c r="N317" s="299"/>
      <c r="O317" s="299"/>
      <c r="P317" s="299"/>
      <c r="Q317" s="299"/>
      <c r="R317" s="299"/>
      <c r="S317" s="299"/>
      <c r="T317" s="299"/>
      <c r="U317" s="299"/>
      <c r="V317" s="299"/>
      <c r="W317" s="299"/>
      <c r="X317" s="299"/>
      <c r="Y317" s="299"/>
      <c r="Z317" s="299"/>
      <c r="AA317" s="299"/>
      <c r="AB317" s="299"/>
      <c r="AC317" s="300"/>
      <c r="AD317" s="300"/>
    </row>
    <row r="318" spans="1:30" ht="12.75" customHeight="1" x14ac:dyDescent="0.2">
      <c r="A318" s="296"/>
      <c r="B318" s="296"/>
      <c r="C318" s="296"/>
      <c r="D318" s="298"/>
      <c r="E318" s="298"/>
      <c r="F318" s="296"/>
      <c r="G318" s="296"/>
      <c r="H318" s="296"/>
      <c r="I318" s="296"/>
      <c r="J318" s="296"/>
      <c r="K318" s="296"/>
      <c r="L318" s="296"/>
      <c r="M318" s="299"/>
      <c r="N318" s="299"/>
      <c r="O318" s="299"/>
      <c r="P318" s="299"/>
      <c r="Q318" s="299"/>
      <c r="R318" s="299"/>
      <c r="S318" s="299"/>
      <c r="T318" s="299"/>
      <c r="U318" s="299"/>
      <c r="V318" s="299"/>
      <c r="W318" s="299"/>
      <c r="X318" s="299"/>
      <c r="Y318" s="299"/>
      <c r="Z318" s="299"/>
      <c r="AA318" s="299"/>
      <c r="AB318" s="299"/>
      <c r="AC318" s="300"/>
      <c r="AD318" s="300"/>
    </row>
    <row r="319" spans="1:30" ht="12.75" customHeight="1" x14ac:dyDescent="0.2">
      <c r="A319" s="296"/>
      <c r="B319" s="296"/>
      <c r="C319" s="296"/>
      <c r="D319" s="298"/>
      <c r="E319" s="298"/>
      <c r="F319" s="296"/>
      <c r="G319" s="296"/>
      <c r="H319" s="296"/>
      <c r="I319" s="296"/>
      <c r="J319" s="296"/>
      <c r="K319" s="296"/>
      <c r="L319" s="296"/>
      <c r="M319" s="299"/>
      <c r="N319" s="299"/>
      <c r="O319" s="299"/>
      <c r="P319" s="299"/>
      <c r="Q319" s="299"/>
      <c r="R319" s="299"/>
      <c r="S319" s="299"/>
      <c r="T319" s="299"/>
      <c r="U319" s="299"/>
      <c r="V319" s="299"/>
      <c r="W319" s="299"/>
      <c r="X319" s="299"/>
      <c r="Y319" s="299"/>
      <c r="Z319" s="299"/>
      <c r="AA319" s="299"/>
      <c r="AB319" s="299"/>
      <c r="AC319" s="300"/>
      <c r="AD319" s="300"/>
    </row>
    <row r="320" spans="1:30" ht="12.75" customHeight="1" x14ac:dyDescent="0.2">
      <c r="A320" s="296"/>
      <c r="B320" s="296"/>
      <c r="C320" s="296"/>
      <c r="D320" s="298"/>
      <c r="E320" s="298"/>
      <c r="F320" s="296"/>
      <c r="G320" s="296"/>
      <c r="H320" s="296"/>
      <c r="I320" s="296"/>
      <c r="J320" s="296"/>
      <c r="K320" s="296"/>
      <c r="L320" s="296"/>
      <c r="M320" s="299"/>
      <c r="N320" s="299"/>
      <c r="O320" s="299"/>
      <c r="P320" s="299"/>
      <c r="Q320" s="299"/>
      <c r="R320" s="299"/>
      <c r="S320" s="299"/>
      <c r="T320" s="299"/>
      <c r="U320" s="299"/>
      <c r="V320" s="299"/>
      <c r="W320" s="299"/>
      <c r="X320" s="299"/>
      <c r="Y320" s="299"/>
      <c r="Z320" s="299"/>
      <c r="AA320" s="299"/>
      <c r="AB320" s="299"/>
      <c r="AC320" s="300"/>
      <c r="AD320" s="300"/>
    </row>
    <row r="321" spans="1:30" ht="12.75" customHeight="1" x14ac:dyDescent="0.2">
      <c r="A321" s="296"/>
      <c r="B321" s="296"/>
      <c r="C321" s="296"/>
      <c r="D321" s="298"/>
      <c r="E321" s="298"/>
      <c r="F321" s="296"/>
      <c r="G321" s="296"/>
      <c r="H321" s="296"/>
      <c r="I321" s="296"/>
      <c r="J321" s="296"/>
      <c r="K321" s="296"/>
      <c r="L321" s="296"/>
      <c r="M321" s="299"/>
      <c r="N321" s="299"/>
      <c r="O321" s="299"/>
      <c r="P321" s="299"/>
      <c r="Q321" s="299"/>
      <c r="R321" s="299"/>
      <c r="S321" s="299"/>
      <c r="T321" s="299"/>
      <c r="U321" s="299"/>
      <c r="V321" s="299"/>
      <c r="W321" s="299"/>
      <c r="X321" s="299"/>
      <c r="Y321" s="299"/>
      <c r="Z321" s="299"/>
      <c r="AA321" s="299"/>
      <c r="AB321" s="299"/>
      <c r="AC321" s="300"/>
      <c r="AD321" s="300"/>
    </row>
    <row r="322" spans="1:30" ht="12.75" customHeight="1" x14ac:dyDescent="0.2">
      <c r="A322" s="296"/>
      <c r="B322" s="296"/>
      <c r="C322" s="296"/>
      <c r="D322" s="298"/>
      <c r="E322" s="298"/>
      <c r="F322" s="296"/>
      <c r="G322" s="296"/>
      <c r="H322" s="296"/>
      <c r="I322" s="296"/>
      <c r="J322" s="296"/>
      <c r="K322" s="296"/>
      <c r="L322" s="296"/>
      <c r="M322" s="299"/>
      <c r="N322" s="299"/>
      <c r="O322" s="299"/>
      <c r="P322" s="299"/>
      <c r="Q322" s="299"/>
      <c r="R322" s="299"/>
      <c r="S322" s="299"/>
      <c r="T322" s="299"/>
      <c r="U322" s="299"/>
      <c r="V322" s="299"/>
      <c r="W322" s="299"/>
      <c r="X322" s="299"/>
      <c r="Y322" s="299"/>
      <c r="Z322" s="299"/>
      <c r="AA322" s="299"/>
      <c r="AB322" s="299"/>
      <c r="AC322" s="300"/>
      <c r="AD322" s="300"/>
    </row>
    <row r="323" spans="1:30" ht="12.75" customHeight="1" x14ac:dyDescent="0.2">
      <c r="A323" s="296"/>
      <c r="B323" s="296"/>
      <c r="C323" s="296"/>
      <c r="D323" s="298"/>
      <c r="E323" s="298"/>
      <c r="F323" s="296"/>
      <c r="G323" s="296"/>
      <c r="H323" s="296"/>
      <c r="I323" s="296"/>
      <c r="J323" s="296"/>
      <c r="K323" s="296"/>
      <c r="L323" s="296"/>
      <c r="M323" s="299"/>
      <c r="N323" s="299"/>
      <c r="O323" s="299"/>
      <c r="P323" s="299"/>
      <c r="Q323" s="299"/>
      <c r="R323" s="299"/>
      <c r="S323" s="299"/>
      <c r="T323" s="299"/>
      <c r="U323" s="299"/>
      <c r="V323" s="299"/>
      <c r="W323" s="299"/>
      <c r="X323" s="299"/>
      <c r="Y323" s="299"/>
      <c r="Z323" s="299"/>
      <c r="AA323" s="299"/>
      <c r="AB323" s="299"/>
      <c r="AC323" s="300"/>
      <c r="AD323" s="300"/>
    </row>
    <row r="324" spans="1:30" ht="12.75" customHeight="1" x14ac:dyDescent="0.2">
      <c r="A324" s="296"/>
      <c r="B324" s="296"/>
      <c r="C324" s="296"/>
      <c r="D324" s="298"/>
      <c r="E324" s="298"/>
      <c r="F324" s="296"/>
      <c r="G324" s="296"/>
      <c r="H324" s="296"/>
      <c r="I324" s="296"/>
      <c r="J324" s="296"/>
      <c r="K324" s="296"/>
      <c r="L324" s="296"/>
      <c r="M324" s="299"/>
      <c r="N324" s="299"/>
      <c r="O324" s="299"/>
      <c r="P324" s="299"/>
      <c r="Q324" s="299"/>
      <c r="R324" s="299"/>
      <c r="S324" s="299"/>
      <c r="T324" s="299"/>
      <c r="U324" s="299"/>
      <c r="V324" s="299"/>
      <c r="W324" s="299"/>
      <c r="X324" s="299"/>
      <c r="Y324" s="299"/>
      <c r="Z324" s="299"/>
      <c r="AA324" s="299"/>
      <c r="AB324" s="299"/>
      <c r="AC324" s="300"/>
      <c r="AD324" s="300"/>
    </row>
    <row r="325" spans="1:30" ht="12.75" customHeight="1" x14ac:dyDescent="0.2">
      <c r="A325" s="296"/>
      <c r="B325" s="296"/>
      <c r="C325" s="296"/>
      <c r="D325" s="298"/>
      <c r="E325" s="298"/>
      <c r="F325" s="296"/>
      <c r="G325" s="296"/>
      <c r="H325" s="296"/>
      <c r="I325" s="296"/>
      <c r="J325" s="296"/>
      <c r="K325" s="296"/>
      <c r="L325" s="296"/>
      <c r="M325" s="299"/>
      <c r="N325" s="299"/>
      <c r="O325" s="299"/>
      <c r="P325" s="299"/>
      <c r="Q325" s="299"/>
      <c r="R325" s="299"/>
      <c r="S325" s="299"/>
      <c r="T325" s="299"/>
      <c r="U325" s="299"/>
      <c r="V325" s="299"/>
      <c r="W325" s="299"/>
      <c r="X325" s="299"/>
      <c r="Y325" s="299"/>
      <c r="Z325" s="299"/>
      <c r="AA325" s="299"/>
      <c r="AB325" s="299"/>
      <c r="AC325" s="300"/>
      <c r="AD325" s="300"/>
    </row>
    <row r="326" spans="1:30" ht="12.75" customHeight="1" x14ac:dyDescent="0.2">
      <c r="A326" s="296"/>
      <c r="B326" s="296"/>
      <c r="C326" s="296"/>
      <c r="D326" s="298"/>
      <c r="E326" s="298"/>
      <c r="F326" s="296"/>
      <c r="G326" s="296"/>
      <c r="H326" s="296"/>
      <c r="I326" s="296"/>
      <c r="J326" s="296"/>
      <c r="K326" s="296"/>
      <c r="L326" s="296"/>
      <c r="M326" s="299"/>
      <c r="N326" s="299"/>
      <c r="O326" s="299"/>
      <c r="P326" s="299"/>
      <c r="Q326" s="299"/>
      <c r="R326" s="299"/>
      <c r="S326" s="299"/>
      <c r="T326" s="299"/>
      <c r="U326" s="299"/>
      <c r="V326" s="299"/>
      <c r="W326" s="299"/>
      <c r="X326" s="299"/>
      <c r="Y326" s="299"/>
      <c r="Z326" s="299"/>
      <c r="AA326" s="299"/>
      <c r="AB326" s="299"/>
      <c r="AC326" s="300"/>
      <c r="AD326" s="300"/>
    </row>
    <row r="327" spans="1:30" ht="12.75" customHeight="1" x14ac:dyDescent="0.2">
      <c r="A327" s="296"/>
      <c r="B327" s="296"/>
      <c r="C327" s="296"/>
      <c r="D327" s="298"/>
      <c r="E327" s="298"/>
      <c r="F327" s="296"/>
      <c r="G327" s="296"/>
      <c r="H327" s="296"/>
      <c r="I327" s="296"/>
      <c r="J327" s="296"/>
      <c r="K327" s="296"/>
      <c r="L327" s="296"/>
      <c r="M327" s="299"/>
      <c r="N327" s="299"/>
      <c r="O327" s="299"/>
      <c r="P327" s="299"/>
      <c r="Q327" s="299"/>
      <c r="R327" s="299"/>
      <c r="S327" s="299"/>
      <c r="T327" s="299"/>
      <c r="U327" s="299"/>
      <c r="V327" s="299"/>
      <c r="W327" s="299"/>
      <c r="X327" s="299"/>
      <c r="Y327" s="299"/>
      <c r="Z327" s="299"/>
      <c r="AA327" s="299"/>
      <c r="AB327" s="299"/>
      <c r="AC327" s="300"/>
      <c r="AD327" s="300"/>
    </row>
    <row r="328" spans="1:30" ht="12.75" customHeight="1" x14ac:dyDescent="0.2">
      <c r="A328" s="296"/>
      <c r="B328" s="296"/>
      <c r="C328" s="296"/>
      <c r="D328" s="298"/>
      <c r="E328" s="298"/>
      <c r="F328" s="296"/>
      <c r="G328" s="296"/>
      <c r="H328" s="296"/>
      <c r="I328" s="296"/>
      <c r="J328" s="296"/>
      <c r="K328" s="296"/>
      <c r="L328" s="296"/>
      <c r="M328" s="299"/>
      <c r="N328" s="299"/>
      <c r="O328" s="299"/>
      <c r="P328" s="299"/>
      <c r="Q328" s="299"/>
      <c r="R328" s="299"/>
      <c r="S328" s="299"/>
      <c r="T328" s="299"/>
      <c r="U328" s="299"/>
      <c r="V328" s="299"/>
      <c r="W328" s="299"/>
      <c r="X328" s="299"/>
      <c r="Y328" s="299"/>
      <c r="Z328" s="299"/>
      <c r="AA328" s="299"/>
      <c r="AB328" s="299"/>
      <c r="AC328" s="300"/>
      <c r="AD328" s="300"/>
    </row>
    <row r="329" spans="1:30" ht="12.75" customHeight="1" x14ac:dyDescent="0.2">
      <c r="A329" s="296"/>
      <c r="B329" s="296"/>
      <c r="C329" s="296"/>
      <c r="D329" s="298"/>
      <c r="E329" s="298"/>
      <c r="F329" s="296"/>
      <c r="G329" s="296"/>
      <c r="H329" s="296"/>
      <c r="I329" s="296"/>
      <c r="J329" s="296"/>
      <c r="K329" s="296"/>
      <c r="L329" s="296"/>
      <c r="M329" s="299"/>
      <c r="N329" s="299"/>
      <c r="O329" s="299"/>
      <c r="P329" s="299"/>
      <c r="Q329" s="299"/>
      <c r="R329" s="299"/>
      <c r="S329" s="299"/>
      <c r="T329" s="299"/>
      <c r="U329" s="299"/>
      <c r="V329" s="299"/>
      <c r="W329" s="299"/>
      <c r="X329" s="299"/>
      <c r="Y329" s="299"/>
      <c r="Z329" s="299"/>
      <c r="AA329" s="299"/>
      <c r="AB329" s="299"/>
      <c r="AC329" s="300"/>
      <c r="AD329" s="300"/>
    </row>
    <row r="330" spans="1:30" ht="12.75" customHeight="1" x14ac:dyDescent="0.2">
      <c r="A330" s="296"/>
      <c r="B330" s="296"/>
      <c r="C330" s="296"/>
      <c r="D330" s="298"/>
      <c r="E330" s="298"/>
      <c r="F330" s="296"/>
      <c r="G330" s="296"/>
      <c r="H330" s="296"/>
      <c r="I330" s="296"/>
      <c r="J330" s="296"/>
      <c r="K330" s="296"/>
      <c r="L330" s="296"/>
      <c r="M330" s="299"/>
      <c r="N330" s="299"/>
      <c r="O330" s="299"/>
      <c r="P330" s="299"/>
      <c r="Q330" s="299"/>
      <c r="R330" s="299"/>
      <c r="S330" s="299"/>
      <c r="T330" s="299"/>
      <c r="U330" s="299"/>
      <c r="V330" s="299"/>
      <c r="W330" s="299"/>
      <c r="X330" s="299"/>
      <c r="Y330" s="299"/>
      <c r="Z330" s="299"/>
      <c r="AA330" s="299"/>
      <c r="AB330" s="299"/>
      <c r="AC330" s="300"/>
      <c r="AD330" s="300"/>
    </row>
    <row r="331" spans="1:30" ht="12.75" customHeight="1" x14ac:dyDescent="0.2">
      <c r="A331" s="296"/>
      <c r="B331" s="296"/>
      <c r="C331" s="296"/>
      <c r="D331" s="298"/>
      <c r="E331" s="298"/>
      <c r="F331" s="296"/>
      <c r="G331" s="296"/>
      <c r="H331" s="296"/>
      <c r="I331" s="296"/>
      <c r="J331" s="296"/>
      <c r="K331" s="296"/>
      <c r="L331" s="296"/>
      <c r="M331" s="299"/>
      <c r="N331" s="299"/>
      <c r="O331" s="299"/>
      <c r="P331" s="299"/>
      <c r="Q331" s="299"/>
      <c r="R331" s="299"/>
      <c r="S331" s="299"/>
      <c r="T331" s="299"/>
      <c r="U331" s="299"/>
      <c r="V331" s="299"/>
      <c r="W331" s="299"/>
      <c r="X331" s="299"/>
      <c r="Y331" s="299"/>
      <c r="Z331" s="299"/>
      <c r="AA331" s="299"/>
      <c r="AB331" s="299"/>
      <c r="AC331" s="300"/>
      <c r="AD331" s="300"/>
    </row>
    <row r="332" spans="1:30" ht="12.75" customHeight="1" x14ac:dyDescent="0.2">
      <c r="A332" s="296"/>
      <c r="B332" s="296"/>
      <c r="C332" s="296"/>
      <c r="D332" s="298"/>
      <c r="E332" s="298"/>
      <c r="F332" s="296"/>
      <c r="G332" s="296"/>
      <c r="H332" s="296"/>
      <c r="I332" s="296"/>
      <c r="J332" s="296"/>
      <c r="K332" s="296"/>
      <c r="L332" s="296"/>
      <c r="M332" s="299"/>
      <c r="N332" s="299"/>
      <c r="O332" s="299"/>
      <c r="P332" s="299"/>
      <c r="Q332" s="299"/>
      <c r="R332" s="299"/>
      <c r="S332" s="299"/>
      <c r="T332" s="299"/>
      <c r="U332" s="299"/>
      <c r="V332" s="299"/>
      <c r="W332" s="299"/>
      <c r="X332" s="299"/>
      <c r="Y332" s="299"/>
      <c r="Z332" s="299"/>
      <c r="AA332" s="299"/>
      <c r="AB332" s="299"/>
      <c r="AC332" s="300"/>
      <c r="AD332" s="300"/>
    </row>
    <row r="333" spans="1:30" ht="12.75" customHeight="1" x14ac:dyDescent="0.2">
      <c r="A333" s="296"/>
      <c r="B333" s="296"/>
      <c r="C333" s="296"/>
      <c r="D333" s="298"/>
      <c r="E333" s="298"/>
      <c r="F333" s="296"/>
      <c r="G333" s="296"/>
      <c r="H333" s="296"/>
      <c r="I333" s="296"/>
      <c r="J333" s="296"/>
      <c r="K333" s="296"/>
      <c r="L333" s="296"/>
      <c r="M333" s="299"/>
      <c r="N333" s="299"/>
      <c r="O333" s="299"/>
      <c r="P333" s="299"/>
      <c r="Q333" s="299"/>
      <c r="R333" s="299"/>
      <c r="S333" s="299"/>
      <c r="T333" s="299"/>
      <c r="U333" s="299"/>
      <c r="V333" s="299"/>
      <c r="W333" s="299"/>
      <c r="X333" s="299"/>
      <c r="Y333" s="299"/>
      <c r="Z333" s="299"/>
      <c r="AA333" s="299"/>
      <c r="AB333" s="299"/>
      <c r="AC333" s="300"/>
      <c r="AD333" s="300"/>
    </row>
    <row r="334" spans="1:30" ht="12.75" customHeight="1" x14ac:dyDescent="0.2">
      <c r="A334" s="296"/>
      <c r="B334" s="296"/>
      <c r="C334" s="296"/>
      <c r="D334" s="298"/>
      <c r="E334" s="298"/>
      <c r="F334" s="296"/>
      <c r="G334" s="296"/>
      <c r="H334" s="296"/>
      <c r="I334" s="296"/>
      <c r="J334" s="296"/>
      <c r="K334" s="296"/>
      <c r="L334" s="296"/>
      <c r="M334" s="299"/>
      <c r="N334" s="299"/>
      <c r="O334" s="299"/>
      <c r="P334" s="299"/>
      <c r="Q334" s="299"/>
      <c r="R334" s="299"/>
      <c r="S334" s="299"/>
      <c r="T334" s="299"/>
      <c r="U334" s="299"/>
      <c r="V334" s="299"/>
      <c r="W334" s="299"/>
      <c r="X334" s="299"/>
      <c r="Y334" s="299"/>
      <c r="Z334" s="299"/>
      <c r="AA334" s="299"/>
      <c r="AB334" s="299"/>
      <c r="AC334" s="300"/>
      <c r="AD334" s="300"/>
    </row>
    <row r="335" spans="1:30" ht="12.75" customHeight="1" x14ac:dyDescent="0.2">
      <c r="A335" s="296"/>
      <c r="B335" s="296"/>
      <c r="C335" s="296"/>
      <c r="D335" s="298"/>
      <c r="E335" s="298"/>
      <c r="F335" s="296"/>
      <c r="G335" s="296"/>
      <c r="H335" s="296"/>
      <c r="I335" s="296"/>
      <c r="J335" s="296"/>
      <c r="K335" s="296"/>
      <c r="L335" s="296"/>
      <c r="M335" s="299"/>
      <c r="N335" s="299"/>
      <c r="O335" s="299"/>
      <c r="P335" s="299"/>
      <c r="Q335" s="299"/>
      <c r="R335" s="299"/>
      <c r="S335" s="299"/>
      <c r="T335" s="299"/>
      <c r="U335" s="299"/>
      <c r="V335" s="299"/>
      <c r="W335" s="299"/>
      <c r="X335" s="299"/>
      <c r="Y335" s="299"/>
      <c r="Z335" s="299"/>
      <c r="AA335" s="299"/>
      <c r="AB335" s="299"/>
      <c r="AC335" s="300"/>
      <c r="AD335" s="300"/>
    </row>
    <row r="336" spans="1:30" ht="12.75" customHeight="1" x14ac:dyDescent="0.2">
      <c r="A336" s="296"/>
      <c r="B336" s="296"/>
      <c r="C336" s="296"/>
      <c r="D336" s="298"/>
      <c r="E336" s="298"/>
      <c r="F336" s="296"/>
      <c r="G336" s="296"/>
      <c r="H336" s="296"/>
      <c r="I336" s="296"/>
      <c r="J336" s="296"/>
      <c r="K336" s="296"/>
      <c r="L336" s="296"/>
      <c r="M336" s="299"/>
      <c r="N336" s="299"/>
      <c r="O336" s="299"/>
      <c r="P336" s="299"/>
      <c r="Q336" s="299"/>
      <c r="R336" s="299"/>
      <c r="S336" s="299"/>
      <c r="T336" s="299"/>
      <c r="U336" s="299"/>
      <c r="V336" s="299"/>
      <c r="W336" s="299"/>
      <c r="X336" s="299"/>
      <c r="Y336" s="299"/>
      <c r="Z336" s="299"/>
      <c r="AA336" s="299"/>
      <c r="AB336" s="299"/>
      <c r="AC336" s="300"/>
      <c r="AD336" s="300"/>
    </row>
    <row r="337" spans="1:30" ht="12.75" customHeight="1" x14ac:dyDescent="0.2">
      <c r="A337" s="296"/>
      <c r="B337" s="296"/>
      <c r="C337" s="296"/>
      <c r="D337" s="298"/>
      <c r="E337" s="298"/>
      <c r="F337" s="296"/>
      <c r="G337" s="296"/>
      <c r="H337" s="296"/>
      <c r="I337" s="296"/>
      <c r="J337" s="296"/>
      <c r="K337" s="296"/>
      <c r="L337" s="296"/>
      <c r="M337" s="299"/>
      <c r="N337" s="299"/>
      <c r="O337" s="299"/>
      <c r="P337" s="299"/>
      <c r="Q337" s="299"/>
      <c r="R337" s="299"/>
      <c r="S337" s="299"/>
      <c r="T337" s="299"/>
      <c r="U337" s="299"/>
      <c r="V337" s="299"/>
      <c r="W337" s="299"/>
      <c r="X337" s="299"/>
      <c r="Y337" s="299"/>
      <c r="Z337" s="299"/>
      <c r="AA337" s="299"/>
      <c r="AB337" s="299"/>
      <c r="AC337" s="300"/>
      <c r="AD337" s="300"/>
    </row>
    <row r="338" spans="1:30" ht="12.75" customHeight="1" x14ac:dyDescent="0.2">
      <c r="A338" s="296"/>
      <c r="B338" s="296"/>
      <c r="C338" s="296"/>
      <c r="D338" s="298"/>
      <c r="E338" s="298"/>
      <c r="F338" s="296"/>
      <c r="G338" s="296"/>
      <c r="H338" s="296"/>
      <c r="I338" s="296"/>
      <c r="J338" s="296"/>
      <c r="K338" s="296"/>
      <c r="L338" s="296"/>
      <c r="M338" s="299"/>
      <c r="N338" s="299"/>
      <c r="O338" s="299"/>
      <c r="P338" s="299"/>
      <c r="Q338" s="299"/>
      <c r="R338" s="299"/>
      <c r="S338" s="299"/>
      <c r="T338" s="299"/>
      <c r="U338" s="299"/>
      <c r="V338" s="299"/>
      <c r="W338" s="299"/>
      <c r="X338" s="299"/>
      <c r="Y338" s="299"/>
      <c r="Z338" s="299"/>
      <c r="AA338" s="299"/>
      <c r="AB338" s="299"/>
      <c r="AC338" s="300"/>
      <c r="AD338" s="300"/>
    </row>
    <row r="339" spans="1:30" ht="12.75" customHeight="1" x14ac:dyDescent="0.2">
      <c r="A339" s="296"/>
      <c r="B339" s="296"/>
      <c r="C339" s="296"/>
      <c r="D339" s="298"/>
      <c r="E339" s="298"/>
      <c r="F339" s="296"/>
      <c r="G339" s="296"/>
      <c r="H339" s="296"/>
      <c r="I339" s="296"/>
      <c r="J339" s="296"/>
      <c r="K339" s="296"/>
      <c r="L339" s="296"/>
      <c r="M339" s="299"/>
      <c r="N339" s="299"/>
      <c r="O339" s="299"/>
      <c r="P339" s="299"/>
      <c r="Q339" s="299"/>
      <c r="R339" s="299"/>
      <c r="S339" s="299"/>
      <c r="T339" s="299"/>
      <c r="U339" s="299"/>
      <c r="V339" s="299"/>
      <c r="W339" s="299"/>
      <c r="X339" s="299"/>
      <c r="Y339" s="299"/>
      <c r="Z339" s="299"/>
      <c r="AA339" s="299"/>
      <c r="AB339" s="299"/>
      <c r="AC339" s="300"/>
      <c r="AD339" s="300"/>
    </row>
    <row r="340" spans="1:30" ht="12.75" customHeight="1" x14ac:dyDescent="0.2">
      <c r="A340" s="296"/>
      <c r="B340" s="296"/>
      <c r="C340" s="296"/>
      <c r="D340" s="298"/>
      <c r="E340" s="298"/>
      <c r="F340" s="296"/>
      <c r="G340" s="296"/>
      <c r="H340" s="296"/>
      <c r="I340" s="296"/>
      <c r="J340" s="296"/>
      <c r="K340" s="296"/>
      <c r="L340" s="296"/>
      <c r="M340" s="299"/>
      <c r="N340" s="299"/>
      <c r="O340" s="299"/>
      <c r="P340" s="299"/>
      <c r="Q340" s="299"/>
      <c r="R340" s="299"/>
      <c r="S340" s="299"/>
      <c r="T340" s="299"/>
      <c r="U340" s="299"/>
      <c r="V340" s="299"/>
      <c r="W340" s="299"/>
      <c r="X340" s="299"/>
      <c r="Y340" s="299"/>
      <c r="Z340" s="299"/>
      <c r="AA340" s="299"/>
      <c r="AB340" s="299"/>
      <c r="AC340" s="300"/>
      <c r="AD340" s="300"/>
    </row>
    <row r="341" spans="1:30" ht="12.75" customHeight="1" x14ac:dyDescent="0.2">
      <c r="A341" s="296"/>
      <c r="B341" s="296"/>
      <c r="C341" s="296"/>
      <c r="D341" s="298"/>
      <c r="E341" s="298"/>
      <c r="F341" s="296"/>
      <c r="G341" s="296"/>
      <c r="H341" s="296"/>
      <c r="I341" s="296"/>
      <c r="J341" s="296"/>
      <c r="K341" s="296"/>
      <c r="L341" s="296"/>
      <c r="M341" s="299"/>
      <c r="N341" s="299"/>
      <c r="O341" s="299"/>
      <c r="P341" s="299"/>
      <c r="Q341" s="299"/>
      <c r="R341" s="299"/>
      <c r="S341" s="299"/>
      <c r="T341" s="299"/>
      <c r="U341" s="299"/>
      <c r="V341" s="299"/>
      <c r="W341" s="299"/>
      <c r="X341" s="299"/>
      <c r="Y341" s="299"/>
      <c r="Z341" s="299"/>
      <c r="AA341" s="299"/>
      <c r="AB341" s="299"/>
      <c r="AC341" s="300"/>
      <c r="AD341" s="300"/>
    </row>
    <row r="342" spans="1:30" ht="12.75" customHeight="1" x14ac:dyDescent="0.2">
      <c r="A342" s="296"/>
      <c r="B342" s="296"/>
      <c r="C342" s="296"/>
      <c r="D342" s="298"/>
      <c r="E342" s="298"/>
      <c r="F342" s="296"/>
      <c r="G342" s="296"/>
      <c r="H342" s="296"/>
      <c r="I342" s="296"/>
      <c r="J342" s="296"/>
      <c r="K342" s="296"/>
      <c r="L342" s="296"/>
      <c r="M342" s="299"/>
      <c r="N342" s="299"/>
      <c r="O342" s="299"/>
      <c r="P342" s="299"/>
      <c r="Q342" s="299"/>
      <c r="R342" s="299"/>
      <c r="S342" s="299"/>
      <c r="T342" s="299"/>
      <c r="U342" s="299"/>
      <c r="V342" s="299"/>
      <c r="W342" s="299"/>
      <c r="X342" s="299"/>
      <c r="Y342" s="299"/>
      <c r="Z342" s="299"/>
      <c r="AA342" s="299"/>
      <c r="AB342" s="299"/>
      <c r="AC342" s="300"/>
      <c r="AD342" s="300"/>
    </row>
    <row r="343" spans="1:30" ht="12.75" customHeight="1" x14ac:dyDescent="0.2">
      <c r="A343" s="296"/>
      <c r="B343" s="296"/>
      <c r="C343" s="296"/>
      <c r="D343" s="298"/>
      <c r="E343" s="298"/>
      <c r="F343" s="296"/>
      <c r="G343" s="296"/>
      <c r="H343" s="296"/>
      <c r="I343" s="296"/>
      <c r="J343" s="296"/>
      <c r="K343" s="296"/>
      <c r="L343" s="296"/>
      <c r="M343" s="299"/>
      <c r="N343" s="299"/>
      <c r="O343" s="299"/>
      <c r="P343" s="299"/>
      <c r="Q343" s="299"/>
      <c r="R343" s="299"/>
      <c r="S343" s="299"/>
      <c r="T343" s="299"/>
      <c r="U343" s="299"/>
      <c r="V343" s="299"/>
      <c r="W343" s="299"/>
      <c r="X343" s="299"/>
      <c r="Y343" s="299"/>
      <c r="Z343" s="299"/>
      <c r="AA343" s="299"/>
      <c r="AB343" s="299"/>
      <c r="AC343" s="300"/>
      <c r="AD343" s="300"/>
    </row>
    <row r="344" spans="1:30" ht="12.75" customHeight="1" x14ac:dyDescent="0.2">
      <c r="A344" s="296"/>
      <c r="B344" s="296"/>
      <c r="C344" s="296"/>
      <c r="D344" s="298"/>
      <c r="E344" s="298"/>
      <c r="F344" s="296"/>
      <c r="G344" s="296"/>
      <c r="H344" s="296"/>
      <c r="I344" s="296"/>
      <c r="J344" s="296"/>
      <c r="K344" s="296"/>
      <c r="L344" s="296"/>
      <c r="M344" s="299"/>
      <c r="N344" s="299"/>
      <c r="O344" s="299"/>
      <c r="P344" s="299"/>
      <c r="Q344" s="299"/>
      <c r="R344" s="299"/>
      <c r="S344" s="299"/>
      <c r="T344" s="299"/>
      <c r="U344" s="299"/>
      <c r="V344" s="299"/>
      <c r="W344" s="299"/>
      <c r="X344" s="299"/>
      <c r="Y344" s="299"/>
      <c r="Z344" s="299"/>
      <c r="AA344" s="299"/>
      <c r="AB344" s="299"/>
      <c r="AC344" s="300"/>
      <c r="AD344" s="300"/>
    </row>
    <row r="345" spans="1:30" ht="12.75" customHeight="1" x14ac:dyDescent="0.2">
      <c r="A345" s="296"/>
      <c r="B345" s="296"/>
      <c r="C345" s="296"/>
      <c r="D345" s="298"/>
      <c r="E345" s="298"/>
      <c r="F345" s="296"/>
      <c r="G345" s="296"/>
      <c r="H345" s="296"/>
      <c r="I345" s="296"/>
      <c r="J345" s="296"/>
      <c r="K345" s="296"/>
      <c r="L345" s="296"/>
      <c r="M345" s="299"/>
      <c r="N345" s="299"/>
      <c r="O345" s="299"/>
      <c r="P345" s="299"/>
      <c r="Q345" s="299"/>
      <c r="R345" s="299"/>
      <c r="S345" s="299"/>
      <c r="T345" s="299"/>
      <c r="U345" s="299"/>
      <c r="V345" s="299"/>
      <c r="W345" s="299"/>
      <c r="X345" s="299"/>
      <c r="Y345" s="299"/>
      <c r="Z345" s="299"/>
      <c r="AA345" s="299"/>
      <c r="AB345" s="299"/>
      <c r="AC345" s="300"/>
      <c r="AD345" s="300"/>
    </row>
    <row r="346" spans="1:30" ht="12.75" customHeight="1" x14ac:dyDescent="0.2">
      <c r="A346" s="296"/>
      <c r="B346" s="296"/>
      <c r="C346" s="296"/>
      <c r="D346" s="298"/>
      <c r="E346" s="298"/>
      <c r="F346" s="296"/>
      <c r="G346" s="296"/>
      <c r="H346" s="296"/>
      <c r="I346" s="296"/>
      <c r="J346" s="296"/>
      <c r="K346" s="296"/>
      <c r="L346" s="296"/>
      <c r="M346" s="299"/>
      <c r="N346" s="299"/>
      <c r="O346" s="299"/>
      <c r="P346" s="299"/>
      <c r="Q346" s="299"/>
      <c r="R346" s="299"/>
      <c r="S346" s="299"/>
      <c r="T346" s="299"/>
      <c r="U346" s="299"/>
      <c r="V346" s="299"/>
      <c r="W346" s="299"/>
      <c r="X346" s="299"/>
      <c r="Y346" s="299"/>
      <c r="Z346" s="299"/>
      <c r="AA346" s="299"/>
      <c r="AB346" s="299"/>
      <c r="AC346" s="300"/>
      <c r="AD346" s="300"/>
    </row>
    <row r="347" spans="1:30" ht="12.75" customHeight="1" x14ac:dyDescent="0.2">
      <c r="A347" s="296"/>
      <c r="B347" s="296"/>
      <c r="C347" s="296"/>
      <c r="D347" s="298"/>
      <c r="E347" s="298"/>
      <c r="F347" s="296"/>
      <c r="G347" s="296"/>
      <c r="H347" s="296"/>
      <c r="I347" s="296"/>
      <c r="J347" s="296"/>
      <c r="K347" s="296"/>
      <c r="L347" s="296"/>
      <c r="M347" s="299"/>
      <c r="N347" s="299"/>
      <c r="O347" s="299"/>
      <c r="P347" s="299"/>
      <c r="Q347" s="299"/>
      <c r="R347" s="299"/>
      <c r="S347" s="299"/>
      <c r="T347" s="299"/>
      <c r="U347" s="299"/>
      <c r="V347" s="299"/>
      <c r="W347" s="299"/>
      <c r="X347" s="299"/>
      <c r="Y347" s="299"/>
      <c r="Z347" s="299"/>
      <c r="AA347" s="299"/>
      <c r="AB347" s="299"/>
      <c r="AC347" s="300"/>
      <c r="AD347" s="300"/>
    </row>
    <row r="348" spans="1:30" ht="12.75" customHeight="1" x14ac:dyDescent="0.2">
      <c r="A348" s="296"/>
      <c r="B348" s="296"/>
      <c r="C348" s="296"/>
      <c r="D348" s="298"/>
      <c r="E348" s="298"/>
      <c r="F348" s="296"/>
      <c r="G348" s="296"/>
      <c r="H348" s="296"/>
      <c r="I348" s="296"/>
      <c r="J348" s="296"/>
      <c r="K348" s="296"/>
      <c r="L348" s="296"/>
      <c r="M348" s="299"/>
      <c r="N348" s="299"/>
      <c r="O348" s="299"/>
      <c r="P348" s="299"/>
      <c r="Q348" s="299"/>
      <c r="R348" s="299"/>
      <c r="S348" s="299"/>
      <c r="T348" s="299"/>
      <c r="U348" s="299"/>
      <c r="V348" s="299"/>
      <c r="W348" s="299"/>
      <c r="X348" s="299"/>
      <c r="Y348" s="299"/>
      <c r="Z348" s="299"/>
      <c r="AA348" s="299"/>
      <c r="AB348" s="299"/>
      <c r="AC348" s="300"/>
      <c r="AD348" s="300"/>
    </row>
    <row r="349" spans="1:30" ht="12.75" customHeight="1" x14ac:dyDescent="0.2">
      <c r="A349" s="296"/>
      <c r="B349" s="296"/>
      <c r="C349" s="296"/>
      <c r="D349" s="298"/>
      <c r="E349" s="298"/>
      <c r="F349" s="296"/>
      <c r="G349" s="296"/>
      <c r="H349" s="296"/>
      <c r="I349" s="296"/>
      <c r="J349" s="296"/>
      <c r="K349" s="296"/>
      <c r="L349" s="296"/>
      <c r="M349" s="299"/>
      <c r="N349" s="299"/>
      <c r="O349" s="299"/>
      <c r="P349" s="299"/>
      <c r="Q349" s="299"/>
      <c r="R349" s="299"/>
      <c r="S349" s="299"/>
      <c r="T349" s="299"/>
      <c r="U349" s="299"/>
      <c r="V349" s="299"/>
      <c r="W349" s="299"/>
      <c r="X349" s="299"/>
      <c r="Y349" s="299"/>
      <c r="Z349" s="299"/>
      <c r="AA349" s="299"/>
      <c r="AB349" s="299"/>
      <c r="AC349" s="300"/>
      <c r="AD349" s="300"/>
    </row>
    <row r="350" spans="1:30" ht="12.75" customHeight="1" x14ac:dyDescent="0.2">
      <c r="A350" s="296"/>
      <c r="B350" s="296"/>
      <c r="C350" s="296"/>
      <c r="D350" s="298"/>
      <c r="E350" s="298"/>
      <c r="F350" s="296"/>
      <c r="G350" s="296"/>
      <c r="H350" s="296"/>
      <c r="I350" s="296"/>
      <c r="J350" s="296"/>
      <c r="K350" s="296"/>
      <c r="L350" s="296"/>
      <c r="M350" s="299"/>
      <c r="N350" s="299"/>
      <c r="O350" s="299"/>
      <c r="P350" s="299"/>
      <c r="Q350" s="299"/>
      <c r="R350" s="299"/>
      <c r="S350" s="299"/>
      <c r="T350" s="299"/>
      <c r="U350" s="299"/>
      <c r="V350" s="299"/>
      <c r="W350" s="299"/>
      <c r="X350" s="299"/>
      <c r="Y350" s="299"/>
      <c r="Z350" s="299"/>
      <c r="AA350" s="299"/>
      <c r="AB350" s="299"/>
      <c r="AC350" s="300"/>
      <c r="AD350" s="300"/>
    </row>
    <row r="351" spans="1:30" ht="12.75" customHeight="1" x14ac:dyDescent="0.2">
      <c r="A351" s="296"/>
      <c r="B351" s="296"/>
      <c r="C351" s="296"/>
      <c r="D351" s="298"/>
      <c r="E351" s="298"/>
      <c r="F351" s="296"/>
      <c r="G351" s="296"/>
      <c r="H351" s="296"/>
      <c r="I351" s="296"/>
      <c r="J351" s="296"/>
      <c r="K351" s="296"/>
      <c r="L351" s="296"/>
      <c r="M351" s="299"/>
      <c r="N351" s="299"/>
      <c r="O351" s="299"/>
      <c r="P351" s="299"/>
      <c r="Q351" s="299"/>
      <c r="R351" s="299"/>
      <c r="S351" s="299"/>
      <c r="T351" s="299"/>
      <c r="U351" s="299"/>
      <c r="V351" s="299"/>
      <c r="W351" s="299"/>
      <c r="X351" s="299"/>
      <c r="Y351" s="299"/>
      <c r="Z351" s="299"/>
      <c r="AA351" s="299"/>
      <c r="AB351" s="299"/>
      <c r="AC351" s="300"/>
      <c r="AD351" s="300"/>
    </row>
    <row r="352" spans="1:30" ht="12.75" customHeight="1" x14ac:dyDescent="0.2">
      <c r="A352" s="296"/>
      <c r="B352" s="296"/>
      <c r="C352" s="296"/>
      <c r="D352" s="298"/>
      <c r="E352" s="298"/>
      <c r="F352" s="296"/>
      <c r="G352" s="296"/>
      <c r="H352" s="296"/>
      <c r="I352" s="296"/>
      <c r="J352" s="296"/>
      <c r="K352" s="296"/>
      <c r="L352" s="296"/>
      <c r="M352" s="299"/>
      <c r="N352" s="299"/>
      <c r="O352" s="299"/>
      <c r="P352" s="299"/>
      <c r="Q352" s="299"/>
      <c r="R352" s="299"/>
      <c r="S352" s="299"/>
      <c r="T352" s="299"/>
      <c r="U352" s="299"/>
      <c r="V352" s="299"/>
      <c r="W352" s="299"/>
      <c r="X352" s="299"/>
      <c r="Y352" s="299"/>
      <c r="Z352" s="299"/>
      <c r="AA352" s="299"/>
      <c r="AB352" s="299"/>
      <c r="AC352" s="300"/>
      <c r="AD352" s="300"/>
    </row>
    <row r="353" spans="1:30" ht="12.75" customHeight="1" x14ac:dyDescent="0.2">
      <c r="A353" s="296"/>
      <c r="B353" s="296"/>
      <c r="C353" s="296"/>
      <c r="D353" s="298"/>
      <c r="E353" s="298"/>
      <c r="F353" s="296"/>
      <c r="G353" s="296"/>
      <c r="H353" s="296"/>
      <c r="I353" s="296"/>
      <c r="J353" s="296"/>
      <c r="K353" s="296"/>
      <c r="L353" s="296"/>
      <c r="M353" s="299"/>
      <c r="N353" s="299"/>
      <c r="O353" s="299"/>
      <c r="P353" s="299"/>
      <c r="Q353" s="299"/>
      <c r="R353" s="299"/>
      <c r="S353" s="299"/>
      <c r="T353" s="299"/>
      <c r="U353" s="299"/>
      <c r="V353" s="299"/>
      <c r="W353" s="299"/>
      <c r="X353" s="299"/>
      <c r="Y353" s="299"/>
      <c r="Z353" s="299"/>
      <c r="AA353" s="299"/>
      <c r="AB353" s="299"/>
      <c r="AC353" s="300"/>
      <c r="AD353" s="300"/>
    </row>
    <row r="354" spans="1:30" ht="12.75" customHeight="1" x14ac:dyDescent="0.2">
      <c r="A354" s="296"/>
      <c r="B354" s="296"/>
      <c r="C354" s="296"/>
      <c r="D354" s="298"/>
      <c r="E354" s="298"/>
      <c r="F354" s="296"/>
      <c r="G354" s="296"/>
      <c r="H354" s="296"/>
      <c r="I354" s="296"/>
      <c r="J354" s="296"/>
      <c r="K354" s="296"/>
      <c r="L354" s="296"/>
      <c r="M354" s="299"/>
      <c r="N354" s="299"/>
      <c r="O354" s="299"/>
      <c r="P354" s="299"/>
      <c r="Q354" s="299"/>
      <c r="R354" s="299"/>
      <c r="S354" s="299"/>
      <c r="T354" s="299"/>
      <c r="U354" s="299"/>
      <c r="V354" s="299"/>
      <c r="W354" s="299"/>
      <c r="X354" s="299"/>
      <c r="Y354" s="299"/>
      <c r="Z354" s="299"/>
      <c r="AA354" s="299"/>
      <c r="AB354" s="299"/>
      <c r="AC354" s="300"/>
      <c r="AD354" s="300"/>
    </row>
    <row r="355" spans="1:30" ht="12.75" customHeight="1" x14ac:dyDescent="0.2">
      <c r="A355" s="296"/>
      <c r="B355" s="296"/>
      <c r="C355" s="296"/>
      <c r="D355" s="298"/>
      <c r="E355" s="298"/>
      <c r="F355" s="296"/>
      <c r="G355" s="296"/>
      <c r="H355" s="296"/>
      <c r="I355" s="296"/>
      <c r="J355" s="296"/>
      <c r="K355" s="296"/>
      <c r="L355" s="296"/>
      <c r="M355" s="299"/>
      <c r="N355" s="299"/>
      <c r="O355" s="299"/>
      <c r="P355" s="299"/>
      <c r="Q355" s="299"/>
      <c r="R355" s="299"/>
      <c r="S355" s="299"/>
      <c r="T355" s="299"/>
      <c r="U355" s="299"/>
      <c r="V355" s="299"/>
      <c r="W355" s="299"/>
      <c r="X355" s="299"/>
      <c r="Y355" s="299"/>
      <c r="Z355" s="299"/>
      <c r="AA355" s="299"/>
      <c r="AB355" s="299"/>
      <c r="AC355" s="300"/>
      <c r="AD355" s="300"/>
    </row>
    <row r="356" spans="1:30" ht="12.75" customHeight="1" x14ac:dyDescent="0.2">
      <c r="A356" s="296"/>
      <c r="B356" s="296"/>
      <c r="C356" s="296"/>
      <c r="D356" s="298"/>
      <c r="E356" s="298"/>
      <c r="F356" s="296"/>
      <c r="G356" s="296"/>
      <c r="H356" s="296"/>
      <c r="I356" s="296"/>
      <c r="J356" s="296"/>
      <c r="K356" s="296"/>
      <c r="L356" s="296"/>
      <c r="M356" s="299"/>
      <c r="N356" s="299"/>
      <c r="O356" s="299"/>
      <c r="P356" s="299"/>
      <c r="Q356" s="299"/>
      <c r="R356" s="299"/>
      <c r="S356" s="299"/>
      <c r="T356" s="299"/>
      <c r="U356" s="299"/>
      <c r="V356" s="299"/>
      <c r="W356" s="299"/>
      <c r="X356" s="299"/>
      <c r="Y356" s="299"/>
      <c r="Z356" s="299"/>
      <c r="AA356" s="299"/>
      <c r="AB356" s="299"/>
      <c r="AC356" s="300"/>
      <c r="AD356" s="300"/>
    </row>
    <row r="357" spans="1:30" ht="12.75" customHeight="1" x14ac:dyDescent="0.2">
      <c r="A357" s="296"/>
      <c r="B357" s="296"/>
      <c r="C357" s="296"/>
      <c r="D357" s="298"/>
      <c r="E357" s="298"/>
      <c r="F357" s="296"/>
      <c r="G357" s="296"/>
      <c r="H357" s="296"/>
      <c r="I357" s="296"/>
      <c r="J357" s="296"/>
      <c r="K357" s="296"/>
      <c r="L357" s="296"/>
      <c r="M357" s="299"/>
      <c r="N357" s="299"/>
      <c r="O357" s="299"/>
      <c r="P357" s="299"/>
      <c r="Q357" s="299"/>
      <c r="R357" s="299"/>
      <c r="S357" s="299"/>
      <c r="T357" s="299"/>
      <c r="U357" s="299"/>
      <c r="V357" s="299"/>
      <c r="W357" s="299"/>
      <c r="X357" s="299"/>
      <c r="Y357" s="299"/>
      <c r="Z357" s="299"/>
      <c r="AA357" s="299"/>
      <c r="AB357" s="299"/>
      <c r="AC357" s="300"/>
      <c r="AD357" s="300"/>
    </row>
    <row r="358" spans="1:30" ht="12.75" customHeight="1" x14ac:dyDescent="0.2">
      <c r="A358" s="296"/>
      <c r="B358" s="296"/>
      <c r="C358" s="296"/>
      <c r="D358" s="298"/>
      <c r="E358" s="298"/>
      <c r="F358" s="296"/>
      <c r="G358" s="296"/>
      <c r="H358" s="296"/>
      <c r="I358" s="296"/>
      <c r="J358" s="296"/>
      <c r="K358" s="296"/>
      <c r="L358" s="296"/>
      <c r="M358" s="299"/>
      <c r="N358" s="299"/>
      <c r="O358" s="299"/>
      <c r="P358" s="299"/>
      <c r="Q358" s="299"/>
      <c r="R358" s="299"/>
      <c r="S358" s="299"/>
      <c r="T358" s="299"/>
      <c r="U358" s="299"/>
      <c r="V358" s="299"/>
      <c r="W358" s="299"/>
      <c r="X358" s="299"/>
      <c r="Y358" s="299"/>
      <c r="Z358" s="299"/>
      <c r="AA358" s="299"/>
      <c r="AB358" s="299"/>
      <c r="AC358" s="300"/>
      <c r="AD358" s="300"/>
    </row>
    <row r="359" spans="1:30" ht="12.75" customHeight="1" x14ac:dyDescent="0.2">
      <c r="A359" s="296"/>
      <c r="B359" s="296"/>
      <c r="C359" s="296"/>
      <c r="D359" s="298"/>
      <c r="E359" s="298"/>
      <c r="F359" s="296"/>
      <c r="G359" s="296"/>
      <c r="H359" s="296"/>
      <c r="I359" s="296"/>
      <c r="J359" s="296"/>
      <c r="K359" s="296"/>
      <c r="L359" s="296"/>
      <c r="M359" s="299"/>
      <c r="N359" s="299"/>
      <c r="O359" s="299"/>
      <c r="P359" s="299"/>
      <c r="Q359" s="299"/>
      <c r="R359" s="299"/>
      <c r="S359" s="299"/>
      <c r="T359" s="299"/>
      <c r="U359" s="299"/>
      <c r="V359" s="299"/>
      <c r="W359" s="299"/>
      <c r="X359" s="299"/>
      <c r="Y359" s="299"/>
      <c r="Z359" s="299"/>
      <c r="AA359" s="299"/>
      <c r="AB359" s="299"/>
      <c r="AC359" s="300"/>
      <c r="AD359" s="300"/>
    </row>
    <row r="360" spans="1:30" ht="12.75" customHeight="1" x14ac:dyDescent="0.2">
      <c r="A360" s="296"/>
      <c r="B360" s="296"/>
      <c r="C360" s="296"/>
      <c r="D360" s="298"/>
      <c r="E360" s="298"/>
      <c r="F360" s="296"/>
      <c r="G360" s="296"/>
      <c r="H360" s="296"/>
      <c r="I360" s="296"/>
      <c r="J360" s="296"/>
      <c r="K360" s="296"/>
      <c r="L360" s="296"/>
      <c r="M360" s="299"/>
      <c r="N360" s="299"/>
      <c r="O360" s="299"/>
      <c r="P360" s="299"/>
      <c r="Q360" s="299"/>
      <c r="R360" s="299"/>
      <c r="S360" s="299"/>
      <c r="T360" s="299"/>
      <c r="U360" s="299"/>
      <c r="V360" s="299"/>
      <c r="W360" s="299"/>
      <c r="X360" s="299"/>
      <c r="Y360" s="299"/>
      <c r="Z360" s="299"/>
      <c r="AA360" s="299"/>
      <c r="AB360" s="299"/>
      <c r="AC360" s="300"/>
      <c r="AD360" s="300"/>
    </row>
    <row r="361" spans="1:30" ht="12.75" customHeight="1" x14ac:dyDescent="0.2">
      <c r="A361" s="296"/>
      <c r="B361" s="296"/>
      <c r="C361" s="296"/>
      <c r="D361" s="298"/>
      <c r="E361" s="298"/>
      <c r="F361" s="296"/>
      <c r="G361" s="296"/>
      <c r="H361" s="296"/>
      <c r="I361" s="296"/>
      <c r="J361" s="296"/>
      <c r="K361" s="296"/>
      <c r="L361" s="296"/>
      <c r="M361" s="299"/>
      <c r="N361" s="299"/>
      <c r="O361" s="299"/>
      <c r="P361" s="299"/>
      <c r="Q361" s="299"/>
      <c r="R361" s="299"/>
      <c r="S361" s="299"/>
      <c r="T361" s="299"/>
      <c r="U361" s="299"/>
      <c r="V361" s="299"/>
      <c r="W361" s="299"/>
      <c r="X361" s="299"/>
      <c r="Y361" s="299"/>
      <c r="Z361" s="299"/>
      <c r="AA361" s="299"/>
      <c r="AB361" s="299"/>
      <c r="AC361" s="300"/>
      <c r="AD361" s="300"/>
    </row>
    <row r="362" spans="1:30" ht="12.75" customHeight="1" x14ac:dyDescent="0.2">
      <c r="A362" s="296"/>
      <c r="B362" s="296"/>
      <c r="C362" s="296"/>
      <c r="D362" s="298"/>
      <c r="E362" s="298"/>
      <c r="F362" s="296"/>
      <c r="G362" s="296"/>
      <c r="H362" s="296"/>
      <c r="I362" s="296"/>
      <c r="J362" s="296"/>
      <c r="K362" s="296"/>
      <c r="L362" s="296"/>
      <c r="M362" s="299"/>
      <c r="N362" s="299"/>
      <c r="O362" s="299"/>
      <c r="P362" s="299"/>
      <c r="Q362" s="299"/>
      <c r="R362" s="299"/>
      <c r="S362" s="299"/>
      <c r="T362" s="299"/>
      <c r="U362" s="299"/>
      <c r="V362" s="299"/>
      <c r="W362" s="299"/>
      <c r="X362" s="299"/>
      <c r="Y362" s="299"/>
      <c r="Z362" s="299"/>
      <c r="AA362" s="299"/>
      <c r="AB362" s="299"/>
      <c r="AC362" s="300"/>
      <c r="AD362" s="300"/>
    </row>
    <row r="363" spans="1:30" ht="12.75" customHeight="1" x14ac:dyDescent="0.2">
      <c r="A363" s="296"/>
      <c r="B363" s="296"/>
      <c r="C363" s="296"/>
      <c r="D363" s="298"/>
      <c r="E363" s="298"/>
      <c r="F363" s="296"/>
      <c r="G363" s="296"/>
      <c r="H363" s="296"/>
      <c r="I363" s="296"/>
      <c r="J363" s="296"/>
      <c r="K363" s="296"/>
      <c r="L363" s="296"/>
      <c r="M363" s="299"/>
      <c r="N363" s="299"/>
      <c r="O363" s="299"/>
      <c r="P363" s="299"/>
      <c r="Q363" s="299"/>
      <c r="R363" s="299"/>
      <c r="S363" s="299"/>
      <c r="T363" s="299"/>
      <c r="U363" s="299"/>
      <c r="V363" s="299"/>
      <c r="W363" s="299"/>
      <c r="X363" s="299"/>
      <c r="Y363" s="299"/>
      <c r="Z363" s="299"/>
      <c r="AA363" s="299"/>
      <c r="AB363" s="299"/>
      <c r="AC363" s="300"/>
      <c r="AD363" s="300"/>
    </row>
    <row r="364" spans="1:30" ht="12.75" customHeight="1" x14ac:dyDescent="0.2">
      <c r="A364" s="296"/>
      <c r="B364" s="296"/>
      <c r="C364" s="296"/>
      <c r="D364" s="298"/>
      <c r="E364" s="298"/>
      <c r="F364" s="296"/>
      <c r="G364" s="296"/>
      <c r="H364" s="296"/>
      <c r="I364" s="296"/>
      <c r="J364" s="296"/>
      <c r="K364" s="296"/>
      <c r="L364" s="296"/>
      <c r="M364" s="299"/>
      <c r="N364" s="299"/>
      <c r="O364" s="299"/>
      <c r="P364" s="299"/>
      <c r="Q364" s="299"/>
      <c r="R364" s="299"/>
      <c r="S364" s="299"/>
      <c r="T364" s="299"/>
      <c r="U364" s="299"/>
      <c r="V364" s="299"/>
      <c r="W364" s="299"/>
      <c r="X364" s="299"/>
      <c r="Y364" s="299"/>
      <c r="Z364" s="299"/>
      <c r="AA364" s="299"/>
      <c r="AB364" s="299"/>
      <c r="AC364" s="300"/>
      <c r="AD364" s="300"/>
    </row>
    <row r="365" spans="1:30" ht="12.75" customHeight="1" x14ac:dyDescent="0.2">
      <c r="A365" s="296"/>
      <c r="B365" s="296"/>
      <c r="C365" s="296"/>
      <c r="D365" s="298"/>
      <c r="E365" s="298"/>
      <c r="F365" s="296"/>
      <c r="G365" s="296"/>
      <c r="H365" s="296"/>
      <c r="I365" s="296"/>
      <c r="J365" s="296"/>
      <c r="K365" s="296"/>
      <c r="L365" s="296"/>
      <c r="M365" s="299"/>
      <c r="N365" s="299"/>
      <c r="O365" s="299"/>
      <c r="P365" s="299"/>
      <c r="Q365" s="299"/>
      <c r="R365" s="299"/>
      <c r="S365" s="299"/>
      <c r="T365" s="299"/>
      <c r="U365" s="299"/>
      <c r="V365" s="299"/>
      <c r="W365" s="299"/>
      <c r="X365" s="299"/>
      <c r="Y365" s="299"/>
      <c r="Z365" s="299"/>
      <c r="AA365" s="299"/>
      <c r="AB365" s="299"/>
      <c r="AC365" s="300"/>
      <c r="AD365" s="300"/>
    </row>
    <row r="366" spans="1:30" ht="12.75" customHeight="1" x14ac:dyDescent="0.2">
      <c r="A366" s="296"/>
      <c r="B366" s="296"/>
      <c r="C366" s="296"/>
      <c r="D366" s="298"/>
      <c r="E366" s="298"/>
      <c r="F366" s="296"/>
      <c r="G366" s="296"/>
      <c r="H366" s="296"/>
      <c r="I366" s="296"/>
      <c r="J366" s="296"/>
      <c r="K366" s="296"/>
      <c r="L366" s="296"/>
      <c r="M366" s="299"/>
      <c r="N366" s="299"/>
      <c r="O366" s="299"/>
      <c r="P366" s="299"/>
      <c r="Q366" s="299"/>
      <c r="R366" s="299"/>
      <c r="S366" s="299"/>
      <c r="T366" s="299"/>
      <c r="U366" s="299"/>
      <c r="V366" s="299"/>
      <c r="W366" s="299"/>
      <c r="X366" s="299"/>
      <c r="Y366" s="299"/>
      <c r="Z366" s="299"/>
      <c r="AA366" s="299"/>
      <c r="AB366" s="299"/>
      <c r="AC366" s="300"/>
      <c r="AD366" s="300"/>
    </row>
    <row r="367" spans="1:30" ht="12.75" customHeight="1" x14ac:dyDescent="0.2">
      <c r="A367" s="296"/>
      <c r="B367" s="296"/>
      <c r="C367" s="296"/>
      <c r="D367" s="298"/>
      <c r="E367" s="298"/>
      <c r="F367" s="296"/>
      <c r="G367" s="296"/>
      <c r="H367" s="296"/>
      <c r="I367" s="296"/>
      <c r="J367" s="296"/>
      <c r="K367" s="296"/>
      <c r="L367" s="296"/>
      <c r="M367" s="299"/>
      <c r="N367" s="299"/>
      <c r="O367" s="299"/>
      <c r="P367" s="299"/>
      <c r="Q367" s="299"/>
      <c r="R367" s="299"/>
      <c r="S367" s="299"/>
      <c r="T367" s="299"/>
      <c r="U367" s="299"/>
      <c r="V367" s="299"/>
      <c r="W367" s="299"/>
      <c r="X367" s="299"/>
      <c r="Y367" s="299"/>
      <c r="Z367" s="299"/>
      <c r="AA367" s="299"/>
      <c r="AB367" s="299"/>
      <c r="AC367" s="300"/>
      <c r="AD367" s="300"/>
    </row>
    <row r="368" spans="1:30" ht="12.75" customHeight="1" x14ac:dyDescent="0.2">
      <c r="A368" s="296"/>
      <c r="B368" s="296"/>
      <c r="C368" s="296"/>
      <c r="D368" s="298"/>
      <c r="E368" s="298"/>
      <c r="F368" s="296"/>
      <c r="G368" s="296"/>
      <c r="H368" s="296"/>
      <c r="I368" s="296"/>
      <c r="J368" s="296"/>
      <c r="K368" s="296"/>
      <c r="L368" s="296"/>
      <c r="M368" s="299"/>
      <c r="N368" s="299"/>
      <c r="O368" s="299"/>
      <c r="P368" s="299"/>
      <c r="Q368" s="299"/>
      <c r="R368" s="299"/>
      <c r="S368" s="299"/>
      <c r="T368" s="299"/>
      <c r="U368" s="299"/>
      <c r="V368" s="299"/>
      <c r="W368" s="299"/>
      <c r="X368" s="299"/>
      <c r="Y368" s="299"/>
      <c r="Z368" s="299"/>
      <c r="AA368" s="299"/>
      <c r="AB368" s="299"/>
      <c r="AC368" s="300"/>
      <c r="AD368" s="300"/>
    </row>
    <row r="369" spans="1:30" ht="12.75" customHeight="1" x14ac:dyDescent="0.2">
      <c r="A369" s="296"/>
      <c r="B369" s="296"/>
      <c r="C369" s="296"/>
      <c r="D369" s="298"/>
      <c r="E369" s="298"/>
      <c r="F369" s="296"/>
      <c r="G369" s="296"/>
      <c r="H369" s="296"/>
      <c r="I369" s="296"/>
      <c r="J369" s="296"/>
      <c r="K369" s="296"/>
      <c r="L369" s="296"/>
      <c r="M369" s="299"/>
      <c r="N369" s="299"/>
      <c r="O369" s="299"/>
      <c r="P369" s="299"/>
      <c r="Q369" s="299"/>
      <c r="R369" s="299"/>
      <c r="S369" s="299"/>
      <c r="T369" s="299"/>
      <c r="U369" s="299"/>
      <c r="V369" s="299"/>
      <c r="W369" s="299"/>
      <c r="X369" s="299"/>
      <c r="Y369" s="299"/>
      <c r="Z369" s="299"/>
      <c r="AA369" s="299"/>
      <c r="AB369" s="299"/>
      <c r="AC369" s="300"/>
      <c r="AD369" s="300"/>
    </row>
    <row r="370" spans="1:30" ht="12.75" customHeight="1" x14ac:dyDescent="0.2">
      <c r="A370" s="296"/>
      <c r="B370" s="296"/>
      <c r="C370" s="296"/>
      <c r="D370" s="298"/>
      <c r="E370" s="298"/>
      <c r="F370" s="296"/>
      <c r="G370" s="296"/>
      <c r="H370" s="296"/>
      <c r="I370" s="296"/>
      <c r="J370" s="296"/>
      <c r="K370" s="296"/>
      <c r="L370" s="296"/>
      <c r="M370" s="299"/>
      <c r="N370" s="299"/>
      <c r="O370" s="299"/>
      <c r="P370" s="299"/>
      <c r="Q370" s="299"/>
      <c r="R370" s="299"/>
      <c r="S370" s="299"/>
      <c r="T370" s="299"/>
      <c r="U370" s="299"/>
      <c r="V370" s="299"/>
      <c r="W370" s="299"/>
      <c r="X370" s="299"/>
      <c r="Y370" s="299"/>
      <c r="Z370" s="299"/>
      <c r="AA370" s="299"/>
      <c r="AB370" s="299"/>
      <c r="AC370" s="300"/>
      <c r="AD370" s="300"/>
    </row>
    <row r="371" spans="1:30" ht="12.75" customHeight="1" x14ac:dyDescent="0.2">
      <c r="A371" s="296"/>
      <c r="B371" s="296"/>
      <c r="C371" s="296"/>
      <c r="D371" s="298"/>
      <c r="E371" s="298"/>
      <c r="F371" s="296"/>
      <c r="G371" s="296"/>
      <c r="H371" s="296"/>
      <c r="I371" s="296"/>
      <c r="J371" s="296"/>
      <c r="K371" s="296"/>
      <c r="L371" s="296"/>
      <c r="M371" s="299"/>
      <c r="N371" s="299"/>
      <c r="O371" s="299"/>
      <c r="P371" s="299"/>
      <c r="Q371" s="299"/>
      <c r="R371" s="299"/>
      <c r="S371" s="299"/>
      <c r="T371" s="299"/>
      <c r="U371" s="299"/>
      <c r="V371" s="299"/>
      <c r="W371" s="299"/>
      <c r="X371" s="299"/>
      <c r="Y371" s="299"/>
      <c r="Z371" s="299"/>
      <c r="AA371" s="299"/>
      <c r="AB371" s="299"/>
      <c r="AC371" s="300"/>
      <c r="AD371" s="300"/>
    </row>
    <row r="372" spans="1:30" ht="12.75" customHeight="1" x14ac:dyDescent="0.2">
      <c r="A372" s="296"/>
      <c r="B372" s="296"/>
      <c r="C372" s="296"/>
      <c r="D372" s="298"/>
      <c r="E372" s="298"/>
      <c r="F372" s="296"/>
      <c r="G372" s="296"/>
      <c r="H372" s="296"/>
      <c r="I372" s="296"/>
      <c r="J372" s="296"/>
      <c r="K372" s="296"/>
      <c r="L372" s="296"/>
      <c r="M372" s="299"/>
      <c r="N372" s="299"/>
      <c r="O372" s="299"/>
      <c r="P372" s="299"/>
      <c r="Q372" s="299"/>
      <c r="R372" s="299"/>
      <c r="S372" s="299"/>
      <c r="T372" s="299"/>
      <c r="U372" s="299"/>
      <c r="V372" s="299"/>
      <c r="W372" s="299"/>
      <c r="X372" s="299"/>
      <c r="Y372" s="299"/>
      <c r="Z372" s="299"/>
      <c r="AA372" s="299"/>
      <c r="AB372" s="299"/>
      <c r="AC372" s="300"/>
      <c r="AD372" s="300"/>
    </row>
    <row r="373" spans="1:30" ht="12.75" customHeight="1" x14ac:dyDescent="0.2">
      <c r="A373" s="296"/>
      <c r="B373" s="296"/>
      <c r="C373" s="296"/>
      <c r="D373" s="298"/>
      <c r="E373" s="298"/>
      <c r="F373" s="296"/>
      <c r="G373" s="296"/>
      <c r="H373" s="296"/>
      <c r="I373" s="296"/>
      <c r="J373" s="296"/>
      <c r="K373" s="296"/>
      <c r="L373" s="296"/>
      <c r="M373" s="299"/>
      <c r="N373" s="299"/>
      <c r="O373" s="299"/>
      <c r="P373" s="299"/>
      <c r="Q373" s="299"/>
      <c r="R373" s="299"/>
      <c r="S373" s="299"/>
      <c r="T373" s="299"/>
      <c r="U373" s="299"/>
      <c r="V373" s="299"/>
      <c r="W373" s="299"/>
      <c r="X373" s="299"/>
      <c r="Y373" s="299"/>
      <c r="Z373" s="299"/>
      <c r="AA373" s="299"/>
      <c r="AB373" s="299"/>
      <c r="AC373" s="300"/>
      <c r="AD373" s="300"/>
    </row>
    <row r="374" spans="1:30" ht="12.75" customHeight="1" x14ac:dyDescent="0.2">
      <c r="A374" s="296"/>
      <c r="B374" s="296"/>
      <c r="C374" s="296"/>
      <c r="D374" s="298"/>
      <c r="E374" s="298"/>
      <c r="F374" s="296"/>
      <c r="G374" s="296"/>
      <c r="H374" s="296"/>
      <c r="I374" s="296"/>
      <c r="J374" s="296"/>
      <c r="K374" s="296"/>
      <c r="L374" s="296"/>
      <c r="M374" s="299"/>
      <c r="N374" s="299"/>
      <c r="O374" s="299"/>
      <c r="P374" s="299"/>
      <c r="Q374" s="299"/>
      <c r="R374" s="299"/>
      <c r="S374" s="299"/>
      <c r="T374" s="299"/>
      <c r="U374" s="299"/>
      <c r="V374" s="299"/>
      <c r="W374" s="299"/>
      <c r="X374" s="299"/>
      <c r="Y374" s="299"/>
      <c r="Z374" s="299"/>
      <c r="AA374" s="299"/>
      <c r="AB374" s="299"/>
      <c r="AC374" s="300"/>
      <c r="AD374" s="300"/>
    </row>
    <row r="375" spans="1:30" ht="12.75" customHeight="1" x14ac:dyDescent="0.2">
      <c r="A375" s="296"/>
      <c r="B375" s="296"/>
      <c r="C375" s="296"/>
      <c r="D375" s="298"/>
      <c r="E375" s="298"/>
      <c r="F375" s="296"/>
      <c r="G375" s="296"/>
      <c r="H375" s="296"/>
      <c r="I375" s="296"/>
      <c r="J375" s="296"/>
      <c r="K375" s="296"/>
      <c r="L375" s="296"/>
      <c r="M375" s="299"/>
      <c r="N375" s="299"/>
      <c r="O375" s="299"/>
      <c r="P375" s="299"/>
      <c r="Q375" s="299"/>
      <c r="R375" s="299"/>
      <c r="S375" s="299"/>
      <c r="T375" s="299"/>
      <c r="U375" s="299"/>
      <c r="V375" s="299"/>
      <c r="W375" s="299"/>
      <c r="X375" s="299"/>
      <c r="Y375" s="299"/>
      <c r="Z375" s="299"/>
      <c r="AA375" s="299"/>
      <c r="AB375" s="299"/>
      <c r="AC375" s="300"/>
      <c r="AD375" s="300"/>
    </row>
    <row r="376" spans="1:30" ht="12.75" customHeight="1" x14ac:dyDescent="0.2">
      <c r="A376" s="296"/>
      <c r="B376" s="296"/>
      <c r="C376" s="296"/>
      <c r="D376" s="298"/>
      <c r="E376" s="298"/>
      <c r="F376" s="296"/>
      <c r="G376" s="296"/>
      <c r="H376" s="296"/>
      <c r="I376" s="296"/>
      <c r="J376" s="296"/>
      <c r="K376" s="296"/>
      <c r="L376" s="296"/>
      <c r="M376" s="299"/>
      <c r="N376" s="299"/>
      <c r="O376" s="299"/>
      <c r="P376" s="299"/>
      <c r="Q376" s="299"/>
      <c r="R376" s="299"/>
      <c r="S376" s="299"/>
      <c r="T376" s="299"/>
      <c r="U376" s="299"/>
      <c r="V376" s="299"/>
      <c r="W376" s="299"/>
      <c r="X376" s="299"/>
      <c r="Y376" s="299"/>
      <c r="Z376" s="299"/>
      <c r="AA376" s="299"/>
      <c r="AB376" s="299"/>
      <c r="AC376" s="300"/>
      <c r="AD376" s="300"/>
    </row>
    <row r="377" spans="1:30" ht="12.75" customHeight="1" x14ac:dyDescent="0.2">
      <c r="A377" s="296"/>
      <c r="B377" s="296"/>
      <c r="C377" s="296"/>
      <c r="D377" s="298"/>
      <c r="E377" s="298"/>
      <c r="F377" s="296"/>
      <c r="G377" s="296"/>
      <c r="H377" s="296"/>
      <c r="I377" s="296"/>
      <c r="J377" s="296"/>
      <c r="K377" s="296"/>
      <c r="L377" s="296"/>
      <c r="M377" s="299"/>
      <c r="N377" s="299"/>
      <c r="O377" s="299"/>
      <c r="P377" s="299"/>
      <c r="Q377" s="299"/>
      <c r="R377" s="299"/>
      <c r="S377" s="299"/>
      <c r="T377" s="299"/>
      <c r="U377" s="299"/>
      <c r="V377" s="299"/>
      <c r="W377" s="299"/>
      <c r="X377" s="299"/>
      <c r="Y377" s="299"/>
      <c r="Z377" s="299"/>
      <c r="AA377" s="299"/>
      <c r="AB377" s="299"/>
      <c r="AC377" s="300"/>
      <c r="AD377" s="300"/>
    </row>
    <row r="378" spans="1:30" ht="12.75" customHeight="1" x14ac:dyDescent="0.2">
      <c r="A378" s="296"/>
      <c r="B378" s="296"/>
      <c r="C378" s="296"/>
      <c r="D378" s="298"/>
      <c r="E378" s="298"/>
      <c r="F378" s="296"/>
      <c r="G378" s="296"/>
      <c r="H378" s="296"/>
      <c r="I378" s="296"/>
      <c r="J378" s="296"/>
      <c r="K378" s="296"/>
      <c r="L378" s="296"/>
      <c r="M378" s="299"/>
      <c r="N378" s="299"/>
      <c r="O378" s="299"/>
      <c r="P378" s="299"/>
      <c r="Q378" s="299"/>
      <c r="R378" s="299"/>
      <c r="S378" s="299"/>
      <c r="T378" s="299"/>
      <c r="U378" s="299"/>
      <c r="V378" s="299"/>
      <c r="W378" s="299"/>
      <c r="X378" s="299"/>
      <c r="Y378" s="299"/>
      <c r="Z378" s="299"/>
      <c r="AA378" s="299"/>
      <c r="AB378" s="299"/>
      <c r="AC378" s="300"/>
      <c r="AD378" s="300"/>
    </row>
    <row r="379" spans="1:30" ht="12.75" customHeight="1" x14ac:dyDescent="0.2">
      <c r="A379" s="296"/>
      <c r="B379" s="296"/>
      <c r="C379" s="296"/>
      <c r="D379" s="298"/>
      <c r="E379" s="298"/>
      <c r="F379" s="296"/>
      <c r="G379" s="296"/>
      <c r="H379" s="296"/>
      <c r="I379" s="296"/>
      <c r="J379" s="296"/>
      <c r="K379" s="296"/>
      <c r="L379" s="296"/>
      <c r="M379" s="299"/>
      <c r="N379" s="299"/>
      <c r="O379" s="299"/>
      <c r="P379" s="299"/>
      <c r="Q379" s="299"/>
      <c r="R379" s="299"/>
      <c r="S379" s="299"/>
      <c r="T379" s="299"/>
      <c r="U379" s="299"/>
      <c r="V379" s="299"/>
      <c r="W379" s="299"/>
      <c r="X379" s="299"/>
      <c r="Y379" s="299"/>
      <c r="Z379" s="299"/>
      <c r="AA379" s="299"/>
      <c r="AB379" s="299"/>
      <c r="AC379" s="300"/>
      <c r="AD379" s="300"/>
    </row>
    <row r="380" spans="1:30" ht="12.75" customHeight="1" x14ac:dyDescent="0.2">
      <c r="A380" s="296"/>
      <c r="B380" s="296"/>
      <c r="C380" s="296"/>
      <c r="D380" s="298"/>
      <c r="E380" s="298"/>
      <c r="F380" s="296"/>
      <c r="G380" s="296"/>
      <c r="H380" s="296"/>
      <c r="I380" s="296"/>
      <c r="J380" s="296"/>
      <c r="K380" s="296"/>
      <c r="L380" s="296"/>
      <c r="M380" s="299"/>
      <c r="N380" s="299"/>
      <c r="O380" s="299"/>
      <c r="P380" s="299"/>
      <c r="Q380" s="299"/>
      <c r="R380" s="299"/>
      <c r="S380" s="299"/>
      <c r="T380" s="299"/>
      <c r="U380" s="299"/>
      <c r="V380" s="299"/>
      <c r="W380" s="299"/>
      <c r="X380" s="299"/>
      <c r="Y380" s="299"/>
      <c r="Z380" s="299"/>
      <c r="AA380" s="299"/>
      <c r="AB380" s="299"/>
      <c r="AC380" s="300"/>
      <c r="AD380" s="300"/>
    </row>
    <row r="381" spans="1:30" ht="12.75" customHeight="1" x14ac:dyDescent="0.2">
      <c r="A381" s="296"/>
      <c r="B381" s="296"/>
      <c r="C381" s="296"/>
      <c r="D381" s="298"/>
      <c r="E381" s="298"/>
      <c r="F381" s="296"/>
      <c r="G381" s="296"/>
      <c r="H381" s="296"/>
      <c r="I381" s="296"/>
      <c r="J381" s="296"/>
      <c r="K381" s="296"/>
      <c r="L381" s="296"/>
      <c r="M381" s="299"/>
      <c r="N381" s="299"/>
      <c r="O381" s="299"/>
      <c r="P381" s="299"/>
      <c r="Q381" s="299"/>
      <c r="R381" s="299"/>
      <c r="S381" s="299"/>
      <c r="T381" s="299"/>
      <c r="U381" s="299"/>
      <c r="V381" s="299"/>
      <c r="W381" s="299"/>
      <c r="X381" s="299"/>
      <c r="Y381" s="299"/>
      <c r="Z381" s="299"/>
      <c r="AA381" s="299"/>
      <c r="AB381" s="299"/>
      <c r="AC381" s="300"/>
      <c r="AD381" s="300"/>
    </row>
    <row r="382" spans="1:30" ht="12.75" customHeight="1" x14ac:dyDescent="0.2">
      <c r="A382" s="296"/>
      <c r="B382" s="296"/>
      <c r="C382" s="296"/>
      <c r="D382" s="298"/>
      <c r="E382" s="298"/>
      <c r="F382" s="296"/>
      <c r="G382" s="296"/>
      <c r="H382" s="296"/>
      <c r="I382" s="296"/>
      <c r="J382" s="296"/>
      <c r="K382" s="296"/>
      <c r="L382" s="296"/>
      <c r="M382" s="299"/>
      <c r="N382" s="299"/>
      <c r="O382" s="299"/>
      <c r="P382" s="299"/>
      <c r="Q382" s="299"/>
      <c r="R382" s="299"/>
      <c r="S382" s="299"/>
      <c r="T382" s="299"/>
      <c r="U382" s="299"/>
      <c r="V382" s="299"/>
      <c r="W382" s="299"/>
      <c r="X382" s="299"/>
      <c r="Y382" s="299"/>
      <c r="Z382" s="299"/>
      <c r="AA382" s="299"/>
      <c r="AB382" s="299"/>
      <c r="AC382" s="300"/>
      <c r="AD382" s="300"/>
    </row>
    <row r="383" spans="1:30" ht="12.75" customHeight="1" x14ac:dyDescent="0.2">
      <c r="A383" s="296"/>
      <c r="B383" s="296"/>
      <c r="C383" s="296"/>
      <c r="D383" s="298"/>
      <c r="E383" s="298"/>
      <c r="F383" s="296"/>
      <c r="G383" s="296"/>
      <c r="H383" s="296"/>
      <c r="I383" s="296"/>
      <c r="J383" s="296"/>
      <c r="K383" s="296"/>
      <c r="L383" s="296"/>
      <c r="M383" s="299"/>
      <c r="N383" s="299"/>
      <c r="O383" s="299"/>
      <c r="P383" s="299"/>
      <c r="Q383" s="299"/>
      <c r="R383" s="299"/>
      <c r="S383" s="299"/>
      <c r="T383" s="299"/>
      <c r="U383" s="299"/>
      <c r="V383" s="299"/>
      <c r="W383" s="299"/>
      <c r="X383" s="299"/>
      <c r="Y383" s="299"/>
      <c r="Z383" s="299"/>
      <c r="AA383" s="299"/>
      <c r="AB383" s="299"/>
      <c r="AC383" s="300"/>
      <c r="AD383" s="300"/>
    </row>
    <row r="384" spans="1:30" ht="12.75" customHeight="1" x14ac:dyDescent="0.2">
      <c r="A384" s="296"/>
      <c r="B384" s="296"/>
      <c r="C384" s="296"/>
      <c r="D384" s="298"/>
      <c r="E384" s="298"/>
      <c r="F384" s="296"/>
      <c r="G384" s="296"/>
      <c r="H384" s="296"/>
      <c r="I384" s="296"/>
      <c r="J384" s="296"/>
      <c r="K384" s="296"/>
      <c r="L384" s="296"/>
      <c r="M384" s="299"/>
      <c r="N384" s="299"/>
      <c r="O384" s="299"/>
      <c r="P384" s="299"/>
      <c r="Q384" s="299"/>
      <c r="R384" s="299"/>
      <c r="S384" s="299"/>
      <c r="T384" s="299"/>
      <c r="U384" s="299"/>
      <c r="V384" s="299"/>
      <c r="W384" s="299"/>
      <c r="X384" s="299"/>
      <c r="Y384" s="299"/>
      <c r="Z384" s="299"/>
      <c r="AA384" s="299"/>
      <c r="AB384" s="299"/>
      <c r="AC384" s="300"/>
      <c r="AD384" s="300"/>
    </row>
    <row r="385" spans="1:30" ht="12.75" customHeight="1" x14ac:dyDescent="0.2">
      <c r="A385" s="296"/>
      <c r="B385" s="296"/>
      <c r="C385" s="296"/>
      <c r="D385" s="298"/>
      <c r="E385" s="298"/>
      <c r="F385" s="296"/>
      <c r="G385" s="296"/>
      <c r="H385" s="296"/>
      <c r="I385" s="296"/>
      <c r="J385" s="296"/>
      <c r="K385" s="296"/>
      <c r="L385" s="296"/>
      <c r="M385" s="299"/>
      <c r="N385" s="299"/>
      <c r="O385" s="299"/>
      <c r="P385" s="299"/>
      <c r="Q385" s="299"/>
      <c r="R385" s="299"/>
      <c r="S385" s="299"/>
      <c r="T385" s="299"/>
      <c r="U385" s="299"/>
      <c r="V385" s="299"/>
      <c r="W385" s="299"/>
      <c r="X385" s="299"/>
      <c r="Y385" s="299"/>
      <c r="Z385" s="299"/>
      <c r="AA385" s="299"/>
      <c r="AB385" s="299"/>
      <c r="AC385" s="300"/>
      <c r="AD385" s="300"/>
    </row>
    <row r="386" spans="1:30" ht="12.75" customHeight="1" x14ac:dyDescent="0.2">
      <c r="A386" s="296"/>
      <c r="B386" s="296"/>
      <c r="C386" s="296"/>
      <c r="D386" s="298"/>
      <c r="E386" s="298"/>
      <c r="F386" s="296"/>
      <c r="G386" s="296"/>
      <c r="H386" s="296"/>
      <c r="I386" s="296"/>
      <c r="J386" s="296"/>
      <c r="K386" s="296"/>
      <c r="L386" s="296"/>
      <c r="M386" s="299"/>
      <c r="N386" s="299"/>
      <c r="O386" s="299"/>
      <c r="P386" s="299"/>
      <c r="Q386" s="299"/>
      <c r="R386" s="299"/>
      <c r="S386" s="299"/>
      <c r="T386" s="299"/>
      <c r="U386" s="299"/>
      <c r="V386" s="299"/>
      <c r="W386" s="299"/>
      <c r="X386" s="299"/>
      <c r="Y386" s="299"/>
      <c r="Z386" s="299"/>
      <c r="AA386" s="299"/>
      <c r="AB386" s="299"/>
      <c r="AC386" s="300"/>
      <c r="AD386" s="300"/>
    </row>
    <row r="387" spans="1:30" ht="12.75" customHeight="1" x14ac:dyDescent="0.2">
      <c r="A387" s="296"/>
      <c r="B387" s="296"/>
      <c r="C387" s="296"/>
      <c r="D387" s="298"/>
      <c r="E387" s="298"/>
      <c r="F387" s="296"/>
      <c r="G387" s="296"/>
      <c r="H387" s="296"/>
      <c r="I387" s="296"/>
      <c r="J387" s="296"/>
      <c r="K387" s="296"/>
      <c r="L387" s="296"/>
      <c r="M387" s="299"/>
      <c r="N387" s="299"/>
      <c r="O387" s="299"/>
      <c r="P387" s="299"/>
      <c r="Q387" s="299"/>
      <c r="R387" s="299"/>
      <c r="S387" s="299"/>
      <c r="T387" s="299"/>
      <c r="U387" s="299"/>
      <c r="V387" s="299"/>
      <c r="W387" s="299"/>
      <c r="X387" s="299"/>
      <c r="Y387" s="299"/>
      <c r="Z387" s="299"/>
      <c r="AA387" s="299"/>
      <c r="AB387" s="299"/>
      <c r="AC387" s="300"/>
      <c r="AD387" s="300"/>
    </row>
    <row r="388" spans="1:30" ht="12.75" customHeight="1" x14ac:dyDescent="0.2">
      <c r="A388" s="296"/>
      <c r="B388" s="296"/>
      <c r="C388" s="296"/>
      <c r="D388" s="298"/>
      <c r="E388" s="298"/>
      <c r="F388" s="296"/>
      <c r="G388" s="296"/>
      <c r="H388" s="296"/>
      <c r="I388" s="296"/>
      <c r="J388" s="296"/>
      <c r="K388" s="296"/>
      <c r="L388" s="296"/>
      <c r="M388" s="299"/>
      <c r="N388" s="299"/>
      <c r="O388" s="299"/>
      <c r="P388" s="299"/>
      <c r="Q388" s="299"/>
      <c r="R388" s="299"/>
      <c r="S388" s="299"/>
      <c r="T388" s="299"/>
      <c r="U388" s="299"/>
      <c r="V388" s="299"/>
      <c r="W388" s="299"/>
      <c r="X388" s="299"/>
      <c r="Y388" s="299"/>
      <c r="Z388" s="299"/>
      <c r="AA388" s="299"/>
      <c r="AB388" s="299"/>
      <c r="AC388" s="300"/>
      <c r="AD388" s="300"/>
    </row>
    <row r="389" spans="1:30" ht="12.75" customHeight="1" x14ac:dyDescent="0.2">
      <c r="A389" s="296"/>
      <c r="B389" s="296"/>
      <c r="C389" s="296"/>
      <c r="D389" s="298"/>
      <c r="E389" s="298"/>
      <c r="F389" s="296"/>
      <c r="G389" s="296"/>
      <c r="H389" s="296"/>
      <c r="I389" s="296"/>
      <c r="J389" s="296"/>
      <c r="K389" s="296"/>
      <c r="L389" s="296"/>
      <c r="M389" s="299"/>
      <c r="N389" s="299"/>
      <c r="O389" s="299"/>
      <c r="P389" s="299"/>
      <c r="Q389" s="299"/>
      <c r="R389" s="299"/>
      <c r="S389" s="299"/>
      <c r="T389" s="299"/>
      <c r="U389" s="299"/>
      <c r="V389" s="299"/>
      <c r="W389" s="299"/>
      <c r="X389" s="299"/>
      <c r="Y389" s="299"/>
      <c r="Z389" s="299"/>
      <c r="AA389" s="299"/>
      <c r="AB389" s="299"/>
      <c r="AC389" s="300"/>
      <c r="AD389" s="300"/>
    </row>
    <row r="390" spans="1:30" ht="12.75" customHeight="1" x14ac:dyDescent="0.2">
      <c r="A390" s="296"/>
      <c r="B390" s="296"/>
      <c r="C390" s="296"/>
      <c r="D390" s="298"/>
      <c r="E390" s="298"/>
      <c r="F390" s="296"/>
      <c r="G390" s="296"/>
      <c r="H390" s="296"/>
      <c r="I390" s="296"/>
      <c r="J390" s="296"/>
      <c r="K390" s="296"/>
      <c r="L390" s="296"/>
      <c r="M390" s="299"/>
      <c r="N390" s="299"/>
      <c r="O390" s="299"/>
      <c r="P390" s="299"/>
      <c r="Q390" s="299"/>
      <c r="R390" s="299"/>
      <c r="S390" s="299"/>
      <c r="T390" s="299"/>
      <c r="U390" s="299"/>
      <c r="V390" s="299"/>
      <c r="W390" s="299"/>
      <c r="X390" s="299"/>
      <c r="Y390" s="299"/>
      <c r="Z390" s="299"/>
      <c r="AA390" s="299"/>
      <c r="AB390" s="299"/>
      <c r="AC390" s="300"/>
      <c r="AD390" s="300"/>
    </row>
    <row r="391" spans="1:30" ht="12.75" customHeight="1" x14ac:dyDescent="0.2">
      <c r="A391" s="296"/>
      <c r="B391" s="296"/>
      <c r="C391" s="296"/>
      <c r="D391" s="298"/>
      <c r="E391" s="298"/>
      <c r="F391" s="296"/>
      <c r="G391" s="296"/>
      <c r="H391" s="296"/>
      <c r="I391" s="296"/>
      <c r="J391" s="296"/>
      <c r="K391" s="296"/>
      <c r="L391" s="296"/>
      <c r="M391" s="299"/>
      <c r="N391" s="299"/>
      <c r="O391" s="299"/>
      <c r="P391" s="299"/>
      <c r="Q391" s="299"/>
      <c r="R391" s="299"/>
      <c r="S391" s="299"/>
      <c r="T391" s="299"/>
      <c r="U391" s="299"/>
      <c r="V391" s="299"/>
      <c r="W391" s="299"/>
      <c r="X391" s="299"/>
      <c r="Y391" s="299"/>
      <c r="Z391" s="299"/>
      <c r="AA391" s="299"/>
      <c r="AB391" s="299"/>
      <c r="AC391" s="300"/>
      <c r="AD391" s="300"/>
    </row>
    <row r="392" spans="1:30" ht="12.75" customHeight="1" x14ac:dyDescent="0.2">
      <c r="A392" s="296"/>
      <c r="B392" s="296"/>
      <c r="C392" s="296"/>
      <c r="D392" s="298"/>
      <c r="E392" s="298"/>
      <c r="F392" s="296"/>
      <c r="G392" s="296"/>
      <c r="H392" s="296"/>
      <c r="I392" s="296"/>
      <c r="J392" s="296"/>
      <c r="K392" s="296"/>
      <c r="L392" s="296"/>
      <c r="M392" s="299"/>
      <c r="N392" s="299"/>
      <c r="O392" s="299"/>
      <c r="P392" s="299"/>
      <c r="Q392" s="299"/>
      <c r="R392" s="299"/>
      <c r="S392" s="299"/>
      <c r="T392" s="299"/>
      <c r="U392" s="299"/>
      <c r="V392" s="299"/>
      <c r="W392" s="299"/>
      <c r="X392" s="299"/>
      <c r="Y392" s="299"/>
      <c r="Z392" s="299"/>
      <c r="AA392" s="299"/>
      <c r="AB392" s="299"/>
      <c r="AC392" s="300"/>
      <c r="AD392" s="300"/>
    </row>
    <row r="393" spans="1:30" ht="12.75" customHeight="1" x14ac:dyDescent="0.2">
      <c r="A393" s="296"/>
      <c r="B393" s="296"/>
      <c r="C393" s="296"/>
      <c r="D393" s="298"/>
      <c r="E393" s="298"/>
      <c r="F393" s="296"/>
      <c r="G393" s="296"/>
      <c r="H393" s="296"/>
      <c r="I393" s="296"/>
      <c r="J393" s="296"/>
      <c r="K393" s="296"/>
      <c r="L393" s="296"/>
      <c r="M393" s="299"/>
      <c r="N393" s="299"/>
      <c r="O393" s="299"/>
      <c r="P393" s="299"/>
      <c r="Q393" s="299"/>
      <c r="R393" s="299"/>
      <c r="S393" s="299"/>
      <c r="T393" s="299"/>
      <c r="U393" s="299"/>
      <c r="V393" s="299"/>
      <c r="W393" s="299"/>
      <c r="X393" s="299"/>
      <c r="Y393" s="299"/>
      <c r="Z393" s="299"/>
      <c r="AA393" s="299"/>
      <c r="AB393" s="299"/>
      <c r="AC393" s="300"/>
      <c r="AD393" s="300"/>
    </row>
    <row r="394" spans="1:30" ht="12.75" customHeight="1" x14ac:dyDescent="0.2">
      <c r="A394" s="296"/>
      <c r="B394" s="296"/>
      <c r="C394" s="296"/>
      <c r="D394" s="298"/>
      <c r="E394" s="298"/>
      <c r="F394" s="296"/>
      <c r="G394" s="296"/>
      <c r="H394" s="296"/>
      <c r="I394" s="296"/>
      <c r="J394" s="296"/>
      <c r="K394" s="296"/>
      <c r="L394" s="296"/>
      <c r="M394" s="299"/>
      <c r="N394" s="299"/>
      <c r="O394" s="299"/>
      <c r="P394" s="299"/>
      <c r="Q394" s="299"/>
      <c r="R394" s="299"/>
      <c r="S394" s="299"/>
      <c r="T394" s="299"/>
      <c r="U394" s="299"/>
      <c r="V394" s="299"/>
      <c r="W394" s="299"/>
      <c r="X394" s="299"/>
      <c r="Y394" s="299"/>
      <c r="Z394" s="299"/>
      <c r="AA394" s="299"/>
      <c r="AB394" s="299"/>
      <c r="AC394" s="300"/>
      <c r="AD394" s="300"/>
    </row>
    <row r="395" spans="1:30" ht="12.75" customHeight="1" x14ac:dyDescent="0.2">
      <c r="A395" s="296"/>
      <c r="B395" s="296"/>
      <c r="C395" s="296"/>
      <c r="D395" s="298"/>
      <c r="E395" s="298"/>
      <c r="F395" s="296"/>
      <c r="G395" s="296"/>
      <c r="H395" s="296"/>
      <c r="I395" s="296"/>
      <c r="J395" s="296"/>
      <c r="K395" s="296"/>
      <c r="L395" s="296"/>
      <c r="M395" s="299"/>
      <c r="N395" s="299"/>
      <c r="O395" s="299"/>
      <c r="P395" s="299"/>
      <c r="Q395" s="299"/>
      <c r="R395" s="299"/>
      <c r="S395" s="299"/>
      <c r="T395" s="299"/>
      <c r="U395" s="299"/>
      <c r="V395" s="299"/>
      <c r="W395" s="299"/>
      <c r="X395" s="299"/>
      <c r="Y395" s="299"/>
      <c r="Z395" s="299"/>
      <c r="AA395" s="299"/>
      <c r="AB395" s="299"/>
      <c r="AC395" s="300"/>
      <c r="AD395" s="300"/>
    </row>
    <row r="396" spans="1:30" ht="12.75" customHeight="1" x14ac:dyDescent="0.2">
      <c r="A396" s="296"/>
      <c r="B396" s="296"/>
      <c r="C396" s="296"/>
      <c r="D396" s="298"/>
      <c r="E396" s="298"/>
      <c r="F396" s="296"/>
      <c r="G396" s="296"/>
      <c r="H396" s="296"/>
      <c r="I396" s="296"/>
      <c r="J396" s="296"/>
      <c r="K396" s="296"/>
      <c r="L396" s="296"/>
      <c r="M396" s="299"/>
      <c r="N396" s="299"/>
      <c r="O396" s="299"/>
      <c r="P396" s="299"/>
      <c r="Q396" s="299"/>
      <c r="R396" s="299"/>
      <c r="S396" s="299"/>
      <c r="T396" s="299"/>
      <c r="U396" s="299"/>
      <c r="V396" s="299"/>
      <c r="W396" s="299"/>
      <c r="X396" s="299"/>
      <c r="Y396" s="299"/>
      <c r="Z396" s="299"/>
      <c r="AA396" s="299"/>
      <c r="AB396" s="299"/>
      <c r="AC396" s="300"/>
      <c r="AD396" s="300"/>
    </row>
    <row r="397" spans="1:30" ht="12.75" customHeight="1" x14ac:dyDescent="0.2">
      <c r="A397" s="296"/>
      <c r="B397" s="296"/>
      <c r="C397" s="296"/>
      <c r="D397" s="298"/>
      <c r="E397" s="298"/>
      <c r="F397" s="296"/>
      <c r="G397" s="296"/>
      <c r="H397" s="296"/>
      <c r="I397" s="296"/>
      <c r="J397" s="296"/>
      <c r="K397" s="296"/>
      <c r="L397" s="296"/>
      <c r="M397" s="299"/>
      <c r="N397" s="299"/>
      <c r="O397" s="299"/>
      <c r="P397" s="299"/>
      <c r="Q397" s="299"/>
      <c r="R397" s="299"/>
      <c r="S397" s="299"/>
      <c r="T397" s="299"/>
      <c r="U397" s="299"/>
      <c r="V397" s="299"/>
      <c r="W397" s="299"/>
      <c r="X397" s="299"/>
      <c r="Y397" s="299"/>
      <c r="Z397" s="299"/>
      <c r="AA397" s="299"/>
      <c r="AB397" s="299"/>
      <c r="AC397" s="300"/>
      <c r="AD397" s="300"/>
    </row>
    <row r="398" spans="1:30" ht="12.75" customHeight="1" x14ac:dyDescent="0.2">
      <c r="A398" s="296"/>
      <c r="B398" s="296"/>
      <c r="C398" s="296"/>
      <c r="D398" s="298"/>
      <c r="E398" s="298"/>
      <c r="F398" s="296"/>
      <c r="G398" s="296"/>
      <c r="H398" s="296"/>
      <c r="I398" s="296"/>
      <c r="J398" s="296"/>
      <c r="K398" s="296"/>
      <c r="L398" s="296"/>
      <c r="M398" s="299"/>
      <c r="N398" s="299"/>
      <c r="O398" s="299"/>
      <c r="P398" s="299"/>
      <c r="Q398" s="299"/>
      <c r="R398" s="299"/>
      <c r="S398" s="299"/>
      <c r="T398" s="299"/>
      <c r="U398" s="299"/>
      <c r="V398" s="299"/>
      <c r="W398" s="299"/>
      <c r="X398" s="299"/>
      <c r="Y398" s="299"/>
      <c r="Z398" s="299"/>
      <c r="AA398" s="299"/>
      <c r="AB398" s="299"/>
      <c r="AC398" s="300"/>
      <c r="AD398" s="300"/>
    </row>
    <row r="399" spans="1:30" ht="12.75" customHeight="1" x14ac:dyDescent="0.2">
      <c r="A399" s="296"/>
      <c r="B399" s="296"/>
      <c r="C399" s="296"/>
      <c r="D399" s="298"/>
      <c r="E399" s="298"/>
      <c r="F399" s="296"/>
      <c r="G399" s="296"/>
      <c r="H399" s="296"/>
      <c r="I399" s="296"/>
      <c r="J399" s="296"/>
      <c r="K399" s="296"/>
      <c r="L399" s="296"/>
      <c r="M399" s="299"/>
      <c r="N399" s="299"/>
      <c r="O399" s="299"/>
      <c r="P399" s="299"/>
      <c r="Q399" s="299"/>
      <c r="R399" s="299"/>
      <c r="S399" s="299"/>
      <c r="T399" s="299"/>
      <c r="U399" s="299"/>
      <c r="V399" s="299"/>
      <c r="W399" s="299"/>
      <c r="X399" s="299"/>
      <c r="Y399" s="299"/>
      <c r="Z399" s="299"/>
      <c r="AA399" s="299"/>
      <c r="AB399" s="299"/>
      <c r="AC399" s="300"/>
      <c r="AD399" s="300"/>
    </row>
    <row r="400" spans="1:30" ht="12.75" customHeight="1" x14ac:dyDescent="0.2">
      <c r="A400" s="296"/>
      <c r="B400" s="296"/>
      <c r="C400" s="296"/>
      <c r="D400" s="298"/>
      <c r="E400" s="298"/>
      <c r="F400" s="296"/>
      <c r="G400" s="296"/>
      <c r="H400" s="296"/>
      <c r="I400" s="296"/>
      <c r="J400" s="296"/>
      <c r="K400" s="296"/>
      <c r="L400" s="296"/>
      <c r="M400" s="299"/>
      <c r="N400" s="299"/>
      <c r="O400" s="299"/>
      <c r="P400" s="299"/>
      <c r="Q400" s="299"/>
      <c r="R400" s="299"/>
      <c r="S400" s="299"/>
      <c r="T400" s="299"/>
      <c r="U400" s="299"/>
      <c r="V400" s="299"/>
      <c r="W400" s="299"/>
      <c r="X400" s="299"/>
      <c r="Y400" s="299"/>
      <c r="Z400" s="299"/>
      <c r="AA400" s="299"/>
      <c r="AB400" s="299"/>
      <c r="AC400" s="300"/>
      <c r="AD400" s="300"/>
    </row>
    <row r="401" spans="1:30" ht="12.75" customHeight="1" x14ac:dyDescent="0.2">
      <c r="A401" s="296"/>
      <c r="B401" s="296"/>
      <c r="C401" s="296"/>
      <c r="D401" s="298"/>
      <c r="E401" s="298"/>
      <c r="F401" s="296"/>
      <c r="G401" s="296"/>
      <c r="H401" s="296"/>
      <c r="I401" s="296"/>
      <c r="J401" s="296"/>
      <c r="K401" s="296"/>
      <c r="L401" s="296"/>
      <c r="M401" s="299"/>
      <c r="N401" s="299"/>
      <c r="O401" s="299"/>
      <c r="P401" s="299"/>
      <c r="Q401" s="299"/>
      <c r="R401" s="299"/>
      <c r="S401" s="299"/>
      <c r="T401" s="299"/>
      <c r="U401" s="299"/>
      <c r="V401" s="299"/>
      <c r="W401" s="299"/>
      <c r="X401" s="299"/>
      <c r="Y401" s="299"/>
      <c r="Z401" s="299"/>
      <c r="AA401" s="299"/>
      <c r="AB401" s="299"/>
      <c r="AC401" s="300"/>
      <c r="AD401" s="300"/>
    </row>
    <row r="402" spans="1:30" ht="12.75" customHeight="1" x14ac:dyDescent="0.2">
      <c r="A402" s="296"/>
      <c r="B402" s="296"/>
      <c r="C402" s="296"/>
      <c r="D402" s="298"/>
      <c r="E402" s="298"/>
      <c r="F402" s="296"/>
      <c r="G402" s="296"/>
      <c r="H402" s="296"/>
      <c r="I402" s="296"/>
      <c r="J402" s="296"/>
      <c r="K402" s="296"/>
      <c r="L402" s="296"/>
      <c r="M402" s="299"/>
      <c r="N402" s="299"/>
      <c r="O402" s="299"/>
      <c r="P402" s="299"/>
      <c r="Q402" s="299"/>
      <c r="R402" s="299"/>
      <c r="S402" s="299"/>
      <c r="T402" s="299"/>
      <c r="U402" s="299"/>
      <c r="V402" s="299"/>
      <c r="W402" s="299"/>
      <c r="X402" s="299"/>
      <c r="Y402" s="299"/>
      <c r="Z402" s="299"/>
      <c r="AA402" s="299"/>
      <c r="AB402" s="299"/>
      <c r="AC402" s="300"/>
      <c r="AD402" s="300"/>
    </row>
    <row r="403" spans="1:30" ht="12.75" customHeight="1" x14ac:dyDescent="0.2">
      <c r="A403" s="296"/>
      <c r="B403" s="296"/>
      <c r="C403" s="296"/>
      <c r="D403" s="298"/>
      <c r="E403" s="298"/>
      <c r="F403" s="296"/>
      <c r="G403" s="296"/>
      <c r="H403" s="296"/>
      <c r="I403" s="296"/>
      <c r="J403" s="296"/>
      <c r="K403" s="296"/>
      <c r="L403" s="296"/>
      <c r="M403" s="299"/>
      <c r="N403" s="299"/>
      <c r="O403" s="299"/>
      <c r="P403" s="299"/>
      <c r="Q403" s="299"/>
      <c r="R403" s="299"/>
      <c r="S403" s="299"/>
      <c r="T403" s="299"/>
      <c r="U403" s="299"/>
      <c r="V403" s="299"/>
      <c r="W403" s="299"/>
      <c r="X403" s="299"/>
      <c r="Y403" s="299"/>
      <c r="Z403" s="299"/>
      <c r="AA403" s="299"/>
      <c r="AB403" s="299"/>
      <c r="AC403" s="300"/>
      <c r="AD403" s="300"/>
    </row>
    <row r="404" spans="1:30" ht="12.75" customHeight="1" x14ac:dyDescent="0.2">
      <c r="A404" s="296"/>
      <c r="B404" s="296"/>
      <c r="C404" s="296"/>
      <c r="D404" s="298"/>
      <c r="E404" s="298"/>
      <c r="F404" s="296"/>
      <c r="G404" s="296"/>
      <c r="H404" s="296"/>
      <c r="I404" s="296"/>
      <c r="J404" s="296"/>
      <c r="K404" s="296"/>
      <c r="L404" s="296"/>
      <c r="M404" s="299"/>
      <c r="N404" s="299"/>
      <c r="O404" s="299"/>
      <c r="P404" s="299"/>
      <c r="Q404" s="299"/>
      <c r="R404" s="299"/>
      <c r="S404" s="299"/>
      <c r="T404" s="299"/>
      <c r="U404" s="299"/>
      <c r="V404" s="299"/>
      <c r="W404" s="299"/>
      <c r="X404" s="299"/>
      <c r="Y404" s="299"/>
      <c r="Z404" s="299"/>
      <c r="AA404" s="299"/>
      <c r="AB404" s="299"/>
      <c r="AC404" s="300"/>
      <c r="AD404" s="300"/>
    </row>
    <row r="405" spans="1:30" ht="12.75" customHeight="1" x14ac:dyDescent="0.2">
      <c r="A405" s="296"/>
      <c r="B405" s="296"/>
      <c r="C405" s="296"/>
      <c r="D405" s="298"/>
      <c r="E405" s="298"/>
      <c r="F405" s="296"/>
      <c r="G405" s="296"/>
      <c r="H405" s="296"/>
      <c r="I405" s="296"/>
      <c r="J405" s="296"/>
      <c r="K405" s="296"/>
      <c r="L405" s="296"/>
      <c r="M405" s="299"/>
      <c r="N405" s="299"/>
      <c r="O405" s="299"/>
      <c r="P405" s="299"/>
      <c r="Q405" s="299"/>
      <c r="R405" s="299"/>
      <c r="S405" s="299"/>
      <c r="T405" s="299"/>
      <c r="U405" s="299"/>
      <c r="V405" s="299"/>
      <c r="W405" s="299"/>
      <c r="X405" s="299"/>
      <c r="Y405" s="299"/>
      <c r="Z405" s="299"/>
      <c r="AA405" s="299"/>
      <c r="AB405" s="299"/>
      <c r="AC405" s="300"/>
      <c r="AD405" s="300"/>
    </row>
    <row r="406" spans="1:30" ht="12.75" customHeight="1" x14ac:dyDescent="0.2">
      <c r="A406" s="296"/>
      <c r="B406" s="296"/>
      <c r="C406" s="296"/>
      <c r="D406" s="298"/>
      <c r="E406" s="298"/>
      <c r="F406" s="296"/>
      <c r="G406" s="296"/>
      <c r="H406" s="296"/>
      <c r="I406" s="296"/>
      <c r="J406" s="296"/>
      <c r="K406" s="296"/>
      <c r="L406" s="296"/>
      <c r="M406" s="299"/>
      <c r="N406" s="299"/>
      <c r="O406" s="299"/>
      <c r="P406" s="299"/>
      <c r="Q406" s="299"/>
      <c r="R406" s="299"/>
      <c r="S406" s="299"/>
      <c r="T406" s="299"/>
      <c r="U406" s="299"/>
      <c r="V406" s="299"/>
      <c r="W406" s="299"/>
      <c r="X406" s="299"/>
      <c r="Y406" s="299"/>
      <c r="Z406" s="299"/>
      <c r="AA406" s="299"/>
      <c r="AB406" s="299"/>
      <c r="AC406" s="300"/>
      <c r="AD406" s="300"/>
    </row>
    <row r="407" spans="1:30" ht="12.75" customHeight="1" x14ac:dyDescent="0.2">
      <c r="A407" s="296"/>
      <c r="B407" s="296"/>
      <c r="C407" s="296"/>
      <c r="D407" s="298"/>
      <c r="E407" s="298"/>
      <c r="F407" s="296"/>
      <c r="G407" s="296"/>
      <c r="H407" s="296"/>
      <c r="I407" s="296"/>
      <c r="J407" s="296"/>
      <c r="K407" s="296"/>
      <c r="L407" s="296"/>
      <c r="M407" s="299"/>
      <c r="N407" s="299"/>
      <c r="O407" s="299"/>
      <c r="P407" s="299"/>
      <c r="Q407" s="299"/>
      <c r="R407" s="299"/>
      <c r="S407" s="299"/>
      <c r="T407" s="299"/>
      <c r="U407" s="299"/>
      <c r="V407" s="299"/>
      <c r="W407" s="299"/>
      <c r="X407" s="299"/>
      <c r="Y407" s="299"/>
      <c r="Z407" s="299"/>
      <c r="AA407" s="299"/>
      <c r="AB407" s="299"/>
      <c r="AC407" s="300"/>
      <c r="AD407" s="300"/>
    </row>
    <row r="408" spans="1:30" ht="12.75" customHeight="1" x14ac:dyDescent="0.2">
      <c r="A408" s="296"/>
      <c r="B408" s="296"/>
      <c r="C408" s="296"/>
      <c r="D408" s="298"/>
      <c r="E408" s="298"/>
      <c r="F408" s="296"/>
      <c r="G408" s="296"/>
      <c r="H408" s="296"/>
      <c r="I408" s="296"/>
      <c r="J408" s="296"/>
      <c r="K408" s="296"/>
      <c r="L408" s="296"/>
      <c r="M408" s="299"/>
      <c r="N408" s="299"/>
      <c r="O408" s="299"/>
      <c r="P408" s="299"/>
      <c r="Q408" s="299"/>
      <c r="R408" s="299"/>
      <c r="S408" s="299"/>
      <c r="T408" s="299"/>
      <c r="U408" s="299"/>
      <c r="V408" s="299"/>
      <c r="W408" s="299"/>
      <c r="X408" s="299"/>
      <c r="Y408" s="299"/>
      <c r="Z408" s="299"/>
      <c r="AA408" s="299"/>
      <c r="AB408" s="299"/>
      <c r="AC408" s="300"/>
      <c r="AD408" s="300"/>
    </row>
    <row r="409" spans="1:30" ht="12.75" customHeight="1" x14ac:dyDescent="0.2">
      <c r="A409" s="296"/>
      <c r="B409" s="296"/>
      <c r="C409" s="296"/>
      <c r="D409" s="298"/>
      <c r="E409" s="298"/>
      <c r="F409" s="296"/>
      <c r="G409" s="296"/>
      <c r="H409" s="296"/>
      <c r="I409" s="296"/>
      <c r="J409" s="296"/>
      <c r="K409" s="296"/>
      <c r="L409" s="296"/>
      <c r="M409" s="299"/>
      <c r="N409" s="299"/>
      <c r="O409" s="299"/>
      <c r="P409" s="299"/>
      <c r="Q409" s="299"/>
      <c r="R409" s="299"/>
      <c r="S409" s="299"/>
      <c r="T409" s="299"/>
      <c r="U409" s="299"/>
      <c r="V409" s="299"/>
      <c r="W409" s="299"/>
      <c r="X409" s="299"/>
      <c r="Y409" s="299"/>
      <c r="Z409" s="299"/>
      <c r="AA409" s="299"/>
      <c r="AB409" s="299"/>
      <c r="AC409" s="300"/>
      <c r="AD409" s="300"/>
    </row>
    <row r="410" spans="1:30" ht="12.75" customHeight="1" x14ac:dyDescent="0.2">
      <c r="A410" s="296"/>
      <c r="B410" s="296"/>
      <c r="C410" s="296"/>
      <c r="D410" s="298"/>
      <c r="E410" s="298"/>
      <c r="F410" s="296"/>
      <c r="G410" s="296"/>
      <c r="H410" s="296"/>
      <c r="I410" s="296"/>
      <c r="J410" s="296"/>
      <c r="K410" s="296"/>
      <c r="L410" s="296"/>
      <c r="M410" s="299"/>
      <c r="N410" s="299"/>
      <c r="O410" s="299"/>
      <c r="P410" s="299"/>
      <c r="Q410" s="299"/>
      <c r="R410" s="299"/>
      <c r="S410" s="299"/>
      <c r="T410" s="299"/>
      <c r="U410" s="299"/>
      <c r="V410" s="299"/>
      <c r="W410" s="299"/>
      <c r="X410" s="299"/>
      <c r="Y410" s="299"/>
      <c r="Z410" s="299"/>
      <c r="AA410" s="299"/>
      <c r="AB410" s="299"/>
      <c r="AC410" s="300"/>
      <c r="AD410" s="300"/>
    </row>
    <row r="411" spans="1:30" ht="12.75" customHeight="1" x14ac:dyDescent="0.2">
      <c r="A411" s="296"/>
      <c r="B411" s="296"/>
      <c r="C411" s="296"/>
      <c r="D411" s="298"/>
      <c r="E411" s="298"/>
      <c r="F411" s="296"/>
      <c r="G411" s="296"/>
      <c r="H411" s="296"/>
      <c r="I411" s="296"/>
      <c r="J411" s="296"/>
      <c r="K411" s="296"/>
      <c r="L411" s="296"/>
      <c r="M411" s="299"/>
      <c r="N411" s="299"/>
      <c r="O411" s="299"/>
      <c r="P411" s="299"/>
      <c r="Q411" s="299"/>
      <c r="R411" s="299"/>
      <c r="S411" s="299"/>
      <c r="T411" s="299"/>
      <c r="U411" s="299"/>
      <c r="V411" s="299"/>
      <c r="W411" s="299"/>
      <c r="X411" s="299"/>
      <c r="Y411" s="299"/>
      <c r="Z411" s="299"/>
      <c r="AA411" s="299"/>
      <c r="AB411" s="299"/>
      <c r="AC411" s="300"/>
      <c r="AD411" s="300"/>
    </row>
    <row r="412" spans="1:30" ht="12.75" customHeight="1" x14ac:dyDescent="0.2">
      <c r="A412" s="296"/>
      <c r="B412" s="296"/>
      <c r="C412" s="296"/>
      <c r="D412" s="298"/>
      <c r="E412" s="298"/>
      <c r="F412" s="296"/>
      <c r="G412" s="296"/>
      <c r="H412" s="296"/>
      <c r="I412" s="296"/>
      <c r="J412" s="296"/>
      <c r="K412" s="296"/>
      <c r="L412" s="296"/>
      <c r="M412" s="299"/>
      <c r="N412" s="299"/>
      <c r="O412" s="299"/>
      <c r="P412" s="299"/>
      <c r="Q412" s="299"/>
      <c r="R412" s="299"/>
      <c r="S412" s="299"/>
      <c r="T412" s="299"/>
      <c r="U412" s="299"/>
      <c r="V412" s="299"/>
      <c r="W412" s="299"/>
      <c r="X412" s="299"/>
      <c r="Y412" s="299"/>
      <c r="Z412" s="299"/>
      <c r="AA412" s="299"/>
      <c r="AB412" s="299"/>
      <c r="AC412" s="300"/>
      <c r="AD412" s="300"/>
    </row>
    <row r="413" spans="1:30" ht="12.75" customHeight="1" x14ac:dyDescent="0.2">
      <c r="A413" s="296"/>
      <c r="B413" s="296"/>
      <c r="C413" s="296"/>
      <c r="D413" s="298"/>
      <c r="E413" s="298"/>
      <c r="F413" s="296"/>
      <c r="G413" s="296"/>
      <c r="H413" s="296"/>
      <c r="I413" s="296"/>
      <c r="J413" s="296"/>
      <c r="K413" s="296"/>
      <c r="L413" s="296"/>
      <c r="M413" s="299"/>
      <c r="N413" s="299"/>
      <c r="O413" s="299"/>
      <c r="P413" s="299"/>
      <c r="Q413" s="299"/>
      <c r="R413" s="299"/>
      <c r="S413" s="299"/>
      <c r="T413" s="299"/>
      <c r="U413" s="299"/>
      <c r="V413" s="299"/>
      <c r="W413" s="299"/>
      <c r="X413" s="299"/>
      <c r="Y413" s="299"/>
      <c r="Z413" s="299"/>
      <c r="AA413" s="299"/>
      <c r="AB413" s="299"/>
      <c r="AC413" s="300"/>
      <c r="AD413" s="300"/>
    </row>
    <row r="414" spans="1:30" ht="12.75" customHeight="1" x14ac:dyDescent="0.2">
      <c r="A414" s="296"/>
      <c r="B414" s="296"/>
      <c r="C414" s="296"/>
      <c r="D414" s="298"/>
      <c r="E414" s="298"/>
      <c r="F414" s="296"/>
      <c r="G414" s="296"/>
      <c r="H414" s="296"/>
      <c r="I414" s="296"/>
      <c r="J414" s="296"/>
      <c r="K414" s="296"/>
      <c r="L414" s="296"/>
      <c r="M414" s="299"/>
      <c r="N414" s="299"/>
      <c r="O414" s="299"/>
      <c r="P414" s="299"/>
      <c r="Q414" s="299"/>
      <c r="R414" s="299"/>
      <c r="S414" s="299"/>
      <c r="T414" s="299"/>
      <c r="U414" s="299"/>
      <c r="V414" s="299"/>
      <c r="W414" s="299"/>
      <c r="X414" s="299"/>
      <c r="Y414" s="299"/>
      <c r="Z414" s="299"/>
      <c r="AA414" s="299"/>
      <c r="AB414" s="299"/>
      <c r="AC414" s="300"/>
      <c r="AD414" s="300"/>
    </row>
    <row r="415" spans="1:30" ht="12.75" customHeight="1" x14ac:dyDescent="0.2">
      <c r="A415" s="296"/>
      <c r="B415" s="296"/>
      <c r="C415" s="296"/>
      <c r="D415" s="298"/>
      <c r="E415" s="298"/>
      <c r="F415" s="296"/>
      <c r="G415" s="296"/>
      <c r="H415" s="296"/>
      <c r="I415" s="296"/>
      <c r="J415" s="296"/>
      <c r="K415" s="296"/>
      <c r="L415" s="296"/>
      <c r="M415" s="299"/>
      <c r="N415" s="299"/>
      <c r="O415" s="299"/>
      <c r="P415" s="299"/>
      <c r="Q415" s="299"/>
      <c r="R415" s="299"/>
      <c r="S415" s="299"/>
      <c r="T415" s="299"/>
      <c r="U415" s="299"/>
      <c r="V415" s="299"/>
      <c r="W415" s="299"/>
      <c r="X415" s="299"/>
      <c r="Y415" s="299"/>
      <c r="Z415" s="299"/>
      <c r="AA415" s="299"/>
      <c r="AB415" s="299"/>
      <c r="AC415" s="300"/>
      <c r="AD415" s="300"/>
    </row>
    <row r="416" spans="1:30" ht="12.75" customHeight="1" x14ac:dyDescent="0.2">
      <c r="A416" s="296"/>
      <c r="B416" s="296"/>
      <c r="C416" s="296"/>
      <c r="D416" s="298"/>
      <c r="E416" s="298"/>
      <c r="F416" s="296"/>
      <c r="G416" s="296"/>
      <c r="H416" s="296"/>
      <c r="I416" s="296"/>
      <c r="J416" s="296"/>
      <c r="K416" s="296"/>
      <c r="L416" s="296"/>
      <c r="M416" s="299"/>
      <c r="N416" s="299"/>
      <c r="O416" s="299"/>
      <c r="P416" s="299"/>
      <c r="Q416" s="299"/>
      <c r="R416" s="299"/>
      <c r="S416" s="299"/>
      <c r="T416" s="299"/>
      <c r="U416" s="299"/>
      <c r="V416" s="299"/>
      <c r="W416" s="299"/>
      <c r="X416" s="299"/>
      <c r="Y416" s="299"/>
      <c r="Z416" s="299"/>
      <c r="AA416" s="299"/>
      <c r="AB416" s="299"/>
      <c r="AC416" s="300"/>
      <c r="AD416" s="300"/>
    </row>
    <row r="417" spans="1:30" ht="12.75" customHeight="1" x14ac:dyDescent="0.2">
      <c r="A417" s="296"/>
      <c r="B417" s="296"/>
      <c r="C417" s="296"/>
      <c r="D417" s="298"/>
      <c r="E417" s="298"/>
      <c r="F417" s="296"/>
      <c r="G417" s="296"/>
      <c r="H417" s="296"/>
      <c r="I417" s="296"/>
      <c r="J417" s="296"/>
      <c r="K417" s="296"/>
      <c r="L417" s="296"/>
      <c r="M417" s="299"/>
      <c r="N417" s="299"/>
      <c r="O417" s="299"/>
      <c r="P417" s="299"/>
      <c r="Q417" s="299"/>
      <c r="R417" s="299"/>
      <c r="S417" s="299"/>
      <c r="T417" s="299"/>
      <c r="U417" s="299"/>
      <c r="V417" s="299"/>
      <c r="W417" s="299"/>
      <c r="X417" s="299"/>
      <c r="Y417" s="299"/>
      <c r="Z417" s="299"/>
      <c r="AA417" s="299"/>
      <c r="AB417" s="299"/>
      <c r="AC417" s="300"/>
      <c r="AD417" s="300"/>
    </row>
    <row r="418" spans="1:30" ht="12.75" customHeight="1" x14ac:dyDescent="0.2">
      <c r="A418" s="296"/>
      <c r="B418" s="296"/>
      <c r="C418" s="296"/>
      <c r="D418" s="298"/>
      <c r="E418" s="298"/>
      <c r="F418" s="296"/>
      <c r="G418" s="296"/>
      <c r="H418" s="296"/>
      <c r="I418" s="296"/>
      <c r="J418" s="296"/>
      <c r="K418" s="296"/>
      <c r="L418" s="296"/>
      <c r="M418" s="299"/>
      <c r="N418" s="299"/>
      <c r="O418" s="299"/>
      <c r="P418" s="299"/>
      <c r="Q418" s="299"/>
      <c r="R418" s="299"/>
      <c r="S418" s="299"/>
      <c r="T418" s="299"/>
      <c r="U418" s="299"/>
      <c r="V418" s="299"/>
      <c r="W418" s="299"/>
      <c r="X418" s="299"/>
      <c r="Y418" s="299"/>
      <c r="Z418" s="299"/>
      <c r="AA418" s="299"/>
      <c r="AB418" s="299"/>
      <c r="AC418" s="300"/>
      <c r="AD418" s="300"/>
    </row>
    <row r="419" spans="1:30" ht="12.75" customHeight="1" x14ac:dyDescent="0.2">
      <c r="A419" s="296"/>
      <c r="B419" s="296"/>
      <c r="C419" s="296"/>
      <c r="D419" s="298"/>
      <c r="E419" s="298"/>
      <c r="F419" s="296"/>
      <c r="G419" s="296"/>
      <c r="H419" s="296"/>
      <c r="I419" s="296"/>
      <c r="J419" s="296"/>
      <c r="K419" s="296"/>
      <c r="L419" s="296"/>
      <c r="M419" s="299"/>
      <c r="N419" s="299"/>
      <c r="O419" s="299"/>
      <c r="P419" s="299"/>
      <c r="Q419" s="299"/>
      <c r="R419" s="299"/>
      <c r="S419" s="299"/>
      <c r="T419" s="299"/>
      <c r="U419" s="299"/>
      <c r="V419" s="299"/>
      <c r="W419" s="299"/>
      <c r="X419" s="299"/>
      <c r="Y419" s="299"/>
      <c r="Z419" s="299"/>
      <c r="AA419" s="299"/>
      <c r="AB419" s="299"/>
      <c r="AC419" s="300"/>
      <c r="AD419" s="300"/>
    </row>
    <row r="420" spans="1:30" ht="12.75" customHeight="1" x14ac:dyDescent="0.2">
      <c r="A420" s="296"/>
      <c r="B420" s="296"/>
      <c r="C420" s="296"/>
      <c r="D420" s="298"/>
      <c r="E420" s="298"/>
      <c r="F420" s="296"/>
      <c r="G420" s="296"/>
      <c r="H420" s="296"/>
      <c r="I420" s="296"/>
      <c r="J420" s="296"/>
      <c r="K420" s="296"/>
      <c r="L420" s="296"/>
      <c r="M420" s="299"/>
      <c r="N420" s="299"/>
      <c r="O420" s="299"/>
      <c r="P420" s="299"/>
      <c r="Q420" s="299"/>
      <c r="R420" s="299"/>
      <c r="S420" s="299"/>
      <c r="T420" s="299"/>
      <c r="U420" s="299"/>
      <c r="V420" s="299"/>
      <c r="W420" s="299"/>
      <c r="X420" s="299"/>
      <c r="Y420" s="299"/>
      <c r="Z420" s="299"/>
      <c r="AA420" s="299"/>
      <c r="AB420" s="299"/>
      <c r="AC420" s="300"/>
      <c r="AD420" s="300"/>
    </row>
    <row r="421" spans="1:30" ht="12.75" customHeight="1" x14ac:dyDescent="0.2">
      <c r="A421" s="296"/>
      <c r="B421" s="296"/>
      <c r="C421" s="296"/>
      <c r="D421" s="298"/>
      <c r="E421" s="298"/>
      <c r="F421" s="296"/>
      <c r="G421" s="296"/>
      <c r="H421" s="296"/>
      <c r="I421" s="296"/>
      <c r="J421" s="296"/>
      <c r="K421" s="296"/>
      <c r="L421" s="296"/>
      <c r="M421" s="299"/>
      <c r="N421" s="299"/>
      <c r="O421" s="299"/>
      <c r="P421" s="299"/>
      <c r="Q421" s="299"/>
      <c r="R421" s="299"/>
      <c r="S421" s="299"/>
      <c r="T421" s="299"/>
      <c r="U421" s="299"/>
      <c r="V421" s="299"/>
      <c r="W421" s="299"/>
      <c r="X421" s="299"/>
      <c r="Y421" s="299"/>
      <c r="Z421" s="299"/>
      <c r="AA421" s="299"/>
      <c r="AB421" s="299"/>
      <c r="AC421" s="300"/>
      <c r="AD421" s="300"/>
    </row>
    <row r="422" spans="1:30" ht="12.75" customHeight="1" x14ac:dyDescent="0.2">
      <c r="A422" s="296"/>
      <c r="B422" s="296"/>
      <c r="C422" s="296"/>
      <c r="D422" s="298"/>
      <c r="E422" s="298"/>
      <c r="F422" s="296"/>
      <c r="G422" s="296"/>
      <c r="H422" s="296"/>
      <c r="I422" s="296"/>
      <c r="J422" s="296"/>
      <c r="K422" s="296"/>
      <c r="L422" s="296"/>
      <c r="M422" s="299"/>
      <c r="N422" s="299"/>
      <c r="O422" s="299"/>
      <c r="P422" s="299"/>
      <c r="Q422" s="299"/>
      <c r="R422" s="299"/>
      <c r="S422" s="299"/>
      <c r="T422" s="299"/>
      <c r="U422" s="299"/>
      <c r="V422" s="299"/>
      <c r="W422" s="299"/>
      <c r="X422" s="299"/>
      <c r="Y422" s="299"/>
      <c r="Z422" s="299"/>
      <c r="AA422" s="299"/>
      <c r="AB422" s="299"/>
      <c r="AC422" s="300"/>
      <c r="AD422" s="300"/>
    </row>
    <row r="423" spans="1:30" ht="12.75" customHeight="1" x14ac:dyDescent="0.2">
      <c r="A423" s="296"/>
      <c r="B423" s="296"/>
      <c r="C423" s="296"/>
      <c r="D423" s="298"/>
      <c r="E423" s="298"/>
      <c r="F423" s="296"/>
      <c r="G423" s="296"/>
      <c r="H423" s="296"/>
      <c r="I423" s="296"/>
      <c r="J423" s="296"/>
      <c r="K423" s="296"/>
      <c r="L423" s="296"/>
      <c r="M423" s="299"/>
      <c r="N423" s="299"/>
      <c r="O423" s="299"/>
      <c r="P423" s="299"/>
      <c r="Q423" s="299"/>
      <c r="R423" s="299"/>
      <c r="S423" s="299"/>
      <c r="T423" s="299"/>
      <c r="U423" s="299"/>
      <c r="V423" s="299"/>
      <c r="W423" s="299"/>
      <c r="X423" s="299"/>
      <c r="Y423" s="299"/>
      <c r="Z423" s="299"/>
      <c r="AA423" s="299"/>
      <c r="AB423" s="299"/>
      <c r="AC423" s="300"/>
      <c r="AD423" s="300"/>
    </row>
    <row r="424" spans="1:30" ht="12.75" customHeight="1" x14ac:dyDescent="0.2">
      <c r="A424" s="296"/>
      <c r="B424" s="296"/>
      <c r="C424" s="296"/>
      <c r="D424" s="298"/>
      <c r="E424" s="298"/>
      <c r="F424" s="296"/>
      <c r="G424" s="296"/>
      <c r="H424" s="296"/>
      <c r="I424" s="296"/>
      <c r="J424" s="296"/>
      <c r="K424" s="296"/>
      <c r="L424" s="296"/>
      <c r="M424" s="299"/>
      <c r="N424" s="299"/>
      <c r="O424" s="299"/>
      <c r="P424" s="299"/>
      <c r="Q424" s="299"/>
      <c r="R424" s="299"/>
      <c r="S424" s="299"/>
      <c r="T424" s="299"/>
      <c r="U424" s="299"/>
      <c r="V424" s="299"/>
      <c r="W424" s="299"/>
      <c r="X424" s="299"/>
      <c r="Y424" s="299"/>
      <c r="Z424" s="299"/>
      <c r="AA424" s="299"/>
      <c r="AB424" s="299"/>
      <c r="AC424" s="300"/>
      <c r="AD424" s="300"/>
    </row>
    <row r="425" spans="1:30" ht="12.75" customHeight="1" x14ac:dyDescent="0.2">
      <c r="A425" s="296"/>
      <c r="B425" s="296"/>
      <c r="C425" s="296"/>
      <c r="D425" s="298"/>
      <c r="E425" s="298"/>
      <c r="F425" s="296"/>
      <c r="G425" s="296"/>
      <c r="H425" s="296"/>
      <c r="I425" s="296"/>
      <c r="J425" s="296"/>
      <c r="K425" s="296"/>
      <c r="L425" s="296"/>
      <c r="M425" s="299"/>
      <c r="N425" s="299"/>
      <c r="O425" s="299"/>
      <c r="P425" s="299"/>
      <c r="Q425" s="299"/>
      <c r="R425" s="299"/>
      <c r="S425" s="299"/>
      <c r="T425" s="299"/>
      <c r="U425" s="299"/>
      <c r="V425" s="299"/>
      <c r="W425" s="299"/>
      <c r="X425" s="299"/>
      <c r="Y425" s="299"/>
      <c r="Z425" s="299"/>
      <c r="AA425" s="299"/>
      <c r="AB425" s="299"/>
      <c r="AC425" s="300"/>
      <c r="AD425" s="300"/>
    </row>
    <row r="426" spans="1:30" ht="12.75" customHeight="1" x14ac:dyDescent="0.2">
      <c r="A426" s="296"/>
      <c r="B426" s="296"/>
      <c r="C426" s="296"/>
      <c r="D426" s="298"/>
      <c r="E426" s="298"/>
      <c r="F426" s="296"/>
      <c r="G426" s="296"/>
      <c r="H426" s="296"/>
      <c r="I426" s="296"/>
      <c r="J426" s="296"/>
      <c r="K426" s="296"/>
      <c r="L426" s="296"/>
      <c r="M426" s="299"/>
      <c r="N426" s="299"/>
      <c r="O426" s="299"/>
      <c r="P426" s="299"/>
      <c r="Q426" s="299"/>
      <c r="R426" s="299"/>
      <c r="S426" s="299"/>
      <c r="T426" s="299"/>
      <c r="U426" s="299"/>
      <c r="V426" s="299"/>
      <c r="W426" s="299"/>
      <c r="X426" s="299"/>
      <c r="Y426" s="299"/>
      <c r="Z426" s="299"/>
      <c r="AA426" s="299"/>
      <c r="AB426" s="299"/>
      <c r="AC426" s="300"/>
      <c r="AD426" s="300"/>
    </row>
    <row r="427" spans="1:30" ht="12.75" customHeight="1" x14ac:dyDescent="0.2">
      <c r="A427" s="296"/>
      <c r="B427" s="296"/>
      <c r="C427" s="296"/>
      <c r="D427" s="298"/>
      <c r="E427" s="298"/>
      <c r="F427" s="296"/>
      <c r="G427" s="296"/>
      <c r="H427" s="296"/>
      <c r="I427" s="296"/>
      <c r="J427" s="296"/>
      <c r="K427" s="296"/>
      <c r="L427" s="296"/>
      <c r="M427" s="299"/>
      <c r="N427" s="299"/>
      <c r="O427" s="299"/>
      <c r="P427" s="299"/>
      <c r="Q427" s="299"/>
      <c r="R427" s="299"/>
      <c r="S427" s="299"/>
      <c r="T427" s="299"/>
      <c r="U427" s="299"/>
      <c r="V427" s="299"/>
      <c r="W427" s="299"/>
      <c r="X427" s="299"/>
      <c r="Y427" s="299"/>
      <c r="Z427" s="299"/>
      <c r="AA427" s="299"/>
      <c r="AB427" s="299"/>
      <c r="AC427" s="300"/>
      <c r="AD427" s="300"/>
    </row>
    <row r="428" spans="1:30" ht="12.75" customHeight="1" x14ac:dyDescent="0.2">
      <c r="A428" s="296"/>
      <c r="B428" s="296"/>
      <c r="C428" s="296"/>
      <c r="D428" s="298"/>
      <c r="E428" s="298"/>
      <c r="F428" s="296"/>
      <c r="G428" s="296"/>
      <c r="H428" s="296"/>
      <c r="I428" s="296"/>
      <c r="J428" s="296"/>
      <c r="K428" s="296"/>
      <c r="L428" s="296"/>
      <c r="M428" s="299"/>
      <c r="N428" s="299"/>
      <c r="O428" s="299"/>
      <c r="P428" s="299"/>
      <c r="Q428" s="299"/>
      <c r="R428" s="299"/>
      <c r="S428" s="299"/>
      <c r="T428" s="299"/>
      <c r="U428" s="299"/>
      <c r="V428" s="299"/>
      <c r="W428" s="299"/>
      <c r="X428" s="299"/>
      <c r="Y428" s="299"/>
      <c r="Z428" s="299"/>
      <c r="AA428" s="299"/>
      <c r="AB428" s="299"/>
      <c r="AC428" s="300"/>
      <c r="AD428" s="300"/>
    </row>
    <row r="429" spans="1:30" ht="12.75" customHeight="1" x14ac:dyDescent="0.2">
      <c r="A429" s="296"/>
      <c r="B429" s="296"/>
      <c r="C429" s="296"/>
      <c r="D429" s="298"/>
      <c r="E429" s="298"/>
      <c r="F429" s="296"/>
      <c r="G429" s="296"/>
      <c r="H429" s="296"/>
      <c r="I429" s="296"/>
      <c r="J429" s="296"/>
      <c r="K429" s="296"/>
      <c r="L429" s="296"/>
      <c r="M429" s="299"/>
      <c r="N429" s="299"/>
      <c r="O429" s="299"/>
      <c r="P429" s="299"/>
      <c r="Q429" s="299"/>
      <c r="R429" s="299"/>
      <c r="S429" s="299"/>
      <c r="T429" s="299"/>
      <c r="U429" s="299"/>
      <c r="V429" s="299"/>
      <c r="W429" s="299"/>
      <c r="X429" s="299"/>
      <c r="Y429" s="299"/>
      <c r="Z429" s="299"/>
      <c r="AA429" s="299"/>
      <c r="AB429" s="299"/>
      <c r="AC429" s="300"/>
      <c r="AD429" s="300"/>
    </row>
    <row r="430" spans="1:30" ht="12.75" customHeight="1" x14ac:dyDescent="0.2">
      <c r="A430" s="296"/>
      <c r="B430" s="296"/>
      <c r="C430" s="296"/>
      <c r="D430" s="298"/>
      <c r="E430" s="298"/>
      <c r="F430" s="296"/>
      <c r="G430" s="296"/>
      <c r="H430" s="296"/>
      <c r="I430" s="296"/>
      <c r="J430" s="296"/>
      <c r="K430" s="296"/>
      <c r="L430" s="296"/>
      <c r="M430" s="299"/>
      <c r="N430" s="299"/>
      <c r="O430" s="299"/>
      <c r="P430" s="299"/>
      <c r="Q430" s="299"/>
      <c r="R430" s="299"/>
      <c r="S430" s="299"/>
      <c r="T430" s="299"/>
      <c r="U430" s="299"/>
      <c r="V430" s="299"/>
      <c r="W430" s="299"/>
      <c r="X430" s="299"/>
      <c r="Y430" s="299"/>
      <c r="Z430" s="299"/>
      <c r="AA430" s="299"/>
      <c r="AB430" s="299"/>
      <c r="AC430" s="300"/>
      <c r="AD430" s="300"/>
    </row>
    <row r="431" spans="1:30" ht="12.75" customHeight="1" x14ac:dyDescent="0.2">
      <c r="A431" s="296"/>
      <c r="B431" s="296"/>
      <c r="C431" s="296"/>
      <c r="D431" s="298"/>
      <c r="E431" s="298"/>
      <c r="F431" s="296"/>
      <c r="G431" s="296"/>
      <c r="H431" s="296"/>
      <c r="I431" s="296"/>
      <c r="J431" s="296"/>
      <c r="K431" s="296"/>
      <c r="L431" s="296"/>
      <c r="M431" s="299"/>
      <c r="N431" s="299"/>
      <c r="O431" s="299"/>
      <c r="P431" s="299"/>
      <c r="Q431" s="299"/>
      <c r="R431" s="299"/>
      <c r="S431" s="299"/>
      <c r="T431" s="299"/>
      <c r="U431" s="299"/>
      <c r="V431" s="299"/>
      <c r="W431" s="299"/>
      <c r="X431" s="299"/>
      <c r="Y431" s="299"/>
      <c r="Z431" s="299"/>
      <c r="AA431" s="299"/>
      <c r="AB431" s="299"/>
      <c r="AC431" s="300"/>
      <c r="AD431" s="300"/>
    </row>
    <row r="432" spans="1:30" ht="12.75" customHeight="1" x14ac:dyDescent="0.2">
      <c r="A432" s="296"/>
      <c r="B432" s="296"/>
      <c r="C432" s="296"/>
      <c r="D432" s="298"/>
      <c r="E432" s="298"/>
      <c r="F432" s="296"/>
      <c r="G432" s="296"/>
      <c r="H432" s="296"/>
      <c r="I432" s="296"/>
      <c r="J432" s="296"/>
      <c r="K432" s="296"/>
      <c r="L432" s="296"/>
      <c r="M432" s="299"/>
      <c r="N432" s="299"/>
      <c r="O432" s="299"/>
      <c r="P432" s="299"/>
      <c r="Q432" s="299"/>
      <c r="R432" s="299"/>
      <c r="S432" s="299"/>
      <c r="T432" s="299"/>
      <c r="U432" s="299"/>
      <c r="V432" s="299"/>
      <c r="W432" s="299"/>
      <c r="X432" s="299"/>
      <c r="Y432" s="299"/>
      <c r="Z432" s="299"/>
      <c r="AA432" s="299"/>
      <c r="AB432" s="299"/>
      <c r="AC432" s="300"/>
      <c r="AD432" s="300"/>
    </row>
    <row r="433" spans="1:30" ht="12.75" customHeight="1" x14ac:dyDescent="0.2">
      <c r="A433" s="296"/>
      <c r="B433" s="296"/>
      <c r="C433" s="296"/>
      <c r="D433" s="298"/>
      <c r="E433" s="298"/>
      <c r="F433" s="296"/>
      <c r="G433" s="296"/>
      <c r="H433" s="296"/>
      <c r="I433" s="296"/>
      <c r="J433" s="296"/>
      <c r="K433" s="296"/>
      <c r="L433" s="296"/>
      <c r="M433" s="299"/>
      <c r="N433" s="299"/>
      <c r="O433" s="299"/>
      <c r="P433" s="299"/>
      <c r="Q433" s="299"/>
      <c r="R433" s="299"/>
      <c r="S433" s="299"/>
      <c r="T433" s="299"/>
      <c r="U433" s="299"/>
      <c r="V433" s="299"/>
      <c r="W433" s="299"/>
      <c r="X433" s="299"/>
      <c r="Y433" s="299"/>
      <c r="Z433" s="299"/>
      <c r="AA433" s="299"/>
      <c r="AB433" s="299"/>
      <c r="AC433" s="300"/>
      <c r="AD433" s="300"/>
    </row>
    <row r="434" spans="1:30" ht="12.75" customHeight="1" x14ac:dyDescent="0.2">
      <c r="A434" s="296"/>
      <c r="B434" s="296"/>
      <c r="C434" s="296"/>
      <c r="D434" s="298"/>
      <c r="E434" s="298"/>
      <c r="F434" s="296"/>
      <c r="G434" s="296"/>
      <c r="H434" s="296"/>
      <c r="I434" s="296"/>
      <c r="J434" s="296"/>
      <c r="K434" s="296"/>
      <c r="L434" s="296"/>
      <c r="M434" s="299"/>
      <c r="N434" s="299"/>
      <c r="O434" s="299"/>
      <c r="P434" s="299"/>
      <c r="Q434" s="299"/>
      <c r="R434" s="299"/>
      <c r="S434" s="299"/>
      <c r="T434" s="299"/>
      <c r="U434" s="299"/>
      <c r="V434" s="299"/>
      <c r="W434" s="299"/>
      <c r="X434" s="299"/>
      <c r="Y434" s="299"/>
      <c r="Z434" s="299"/>
      <c r="AA434" s="299"/>
      <c r="AB434" s="299"/>
      <c r="AC434" s="300"/>
      <c r="AD434" s="300"/>
    </row>
    <row r="435" spans="1:30" ht="12.75" customHeight="1" x14ac:dyDescent="0.2">
      <c r="A435" s="296"/>
      <c r="B435" s="296"/>
      <c r="C435" s="296"/>
      <c r="D435" s="298"/>
      <c r="E435" s="298"/>
      <c r="F435" s="296"/>
      <c r="G435" s="296"/>
      <c r="H435" s="296"/>
      <c r="I435" s="296"/>
      <c r="J435" s="296"/>
      <c r="K435" s="296"/>
      <c r="L435" s="296"/>
      <c r="M435" s="299"/>
      <c r="N435" s="299"/>
      <c r="O435" s="299"/>
      <c r="P435" s="299"/>
      <c r="Q435" s="299"/>
      <c r="R435" s="299"/>
      <c r="S435" s="299"/>
      <c r="T435" s="299"/>
      <c r="U435" s="299"/>
      <c r="V435" s="299"/>
      <c r="W435" s="299"/>
      <c r="X435" s="299"/>
      <c r="Y435" s="299"/>
      <c r="Z435" s="299"/>
      <c r="AA435" s="299"/>
      <c r="AB435" s="299"/>
      <c r="AC435" s="300"/>
      <c r="AD435" s="300"/>
    </row>
    <row r="436" spans="1:30" ht="12.75" customHeight="1" x14ac:dyDescent="0.2">
      <c r="A436" s="296"/>
      <c r="B436" s="296"/>
      <c r="C436" s="296"/>
      <c r="D436" s="298"/>
      <c r="E436" s="298"/>
      <c r="F436" s="296"/>
      <c r="G436" s="296"/>
      <c r="H436" s="296"/>
      <c r="I436" s="296"/>
      <c r="J436" s="296"/>
      <c r="K436" s="296"/>
      <c r="L436" s="296"/>
      <c r="M436" s="299"/>
      <c r="N436" s="299"/>
      <c r="O436" s="299"/>
      <c r="P436" s="299"/>
      <c r="Q436" s="299"/>
      <c r="R436" s="299"/>
      <c r="S436" s="299"/>
      <c r="T436" s="299"/>
      <c r="U436" s="299"/>
      <c r="V436" s="299"/>
      <c r="W436" s="299"/>
      <c r="X436" s="299"/>
      <c r="Y436" s="299"/>
      <c r="Z436" s="299"/>
      <c r="AA436" s="299"/>
      <c r="AB436" s="299"/>
      <c r="AC436" s="300"/>
      <c r="AD436" s="300"/>
    </row>
    <row r="437" spans="1:30" ht="12.75" customHeight="1" x14ac:dyDescent="0.2">
      <c r="A437" s="296"/>
      <c r="B437" s="296"/>
      <c r="C437" s="296"/>
      <c r="D437" s="298"/>
      <c r="E437" s="298"/>
      <c r="F437" s="296"/>
      <c r="G437" s="296"/>
      <c r="H437" s="296"/>
      <c r="I437" s="296"/>
      <c r="J437" s="296"/>
      <c r="K437" s="296"/>
      <c r="L437" s="296"/>
      <c r="M437" s="299"/>
      <c r="N437" s="299"/>
      <c r="O437" s="299"/>
      <c r="P437" s="299"/>
      <c r="Q437" s="299"/>
      <c r="R437" s="299"/>
      <c r="S437" s="299"/>
      <c r="T437" s="299"/>
      <c r="U437" s="299"/>
      <c r="V437" s="299"/>
      <c r="W437" s="299"/>
      <c r="X437" s="299"/>
      <c r="Y437" s="299"/>
      <c r="Z437" s="299"/>
      <c r="AA437" s="299"/>
      <c r="AB437" s="299"/>
      <c r="AC437" s="300"/>
      <c r="AD437" s="300"/>
    </row>
    <row r="438" spans="1:30" ht="12.75" customHeight="1" x14ac:dyDescent="0.2">
      <c r="A438" s="296"/>
      <c r="B438" s="296"/>
      <c r="C438" s="296"/>
      <c r="D438" s="298"/>
      <c r="E438" s="298"/>
      <c r="F438" s="296"/>
      <c r="G438" s="296"/>
      <c r="H438" s="296"/>
      <c r="I438" s="296"/>
      <c r="J438" s="296"/>
      <c r="K438" s="296"/>
      <c r="L438" s="296"/>
      <c r="M438" s="299"/>
      <c r="N438" s="299"/>
      <c r="O438" s="299"/>
      <c r="P438" s="299"/>
      <c r="Q438" s="299"/>
      <c r="R438" s="299"/>
      <c r="S438" s="299"/>
      <c r="T438" s="299"/>
      <c r="U438" s="299"/>
      <c r="V438" s="299"/>
      <c r="W438" s="299"/>
      <c r="X438" s="299"/>
      <c r="Y438" s="299"/>
      <c r="Z438" s="299"/>
      <c r="AA438" s="299"/>
      <c r="AB438" s="299"/>
      <c r="AC438" s="300"/>
      <c r="AD438" s="300"/>
    </row>
    <row r="439" spans="1:30" ht="12.75" customHeight="1" x14ac:dyDescent="0.2">
      <c r="A439" s="296"/>
      <c r="B439" s="296"/>
      <c r="C439" s="296"/>
      <c r="D439" s="298"/>
      <c r="E439" s="298"/>
      <c r="F439" s="296"/>
      <c r="G439" s="296"/>
      <c r="H439" s="296"/>
      <c r="I439" s="296"/>
      <c r="J439" s="296"/>
      <c r="K439" s="296"/>
      <c r="L439" s="296"/>
      <c r="M439" s="299"/>
      <c r="N439" s="299"/>
      <c r="O439" s="299"/>
      <c r="P439" s="299"/>
      <c r="Q439" s="299"/>
      <c r="R439" s="299"/>
      <c r="S439" s="299"/>
      <c r="T439" s="299"/>
      <c r="U439" s="299"/>
      <c r="V439" s="299"/>
      <c r="W439" s="299"/>
      <c r="X439" s="299"/>
      <c r="Y439" s="299"/>
      <c r="Z439" s="299"/>
      <c r="AA439" s="299"/>
      <c r="AB439" s="299"/>
      <c r="AC439" s="300"/>
      <c r="AD439" s="300"/>
    </row>
    <row r="440" spans="1:30" ht="12.75" customHeight="1" x14ac:dyDescent="0.2">
      <c r="A440" s="296"/>
      <c r="B440" s="296"/>
      <c r="C440" s="296"/>
      <c r="D440" s="298"/>
      <c r="E440" s="298"/>
      <c r="F440" s="296"/>
      <c r="G440" s="296"/>
      <c r="H440" s="296"/>
      <c r="I440" s="296"/>
      <c r="J440" s="296"/>
      <c r="K440" s="296"/>
      <c r="L440" s="296"/>
      <c r="M440" s="299"/>
      <c r="N440" s="299"/>
      <c r="O440" s="299"/>
      <c r="P440" s="299"/>
      <c r="Q440" s="299"/>
      <c r="R440" s="299"/>
      <c r="S440" s="299"/>
      <c r="T440" s="299"/>
      <c r="U440" s="299"/>
      <c r="V440" s="299"/>
      <c r="W440" s="299"/>
      <c r="X440" s="299"/>
      <c r="Y440" s="299"/>
      <c r="Z440" s="299"/>
      <c r="AA440" s="299"/>
      <c r="AB440" s="299"/>
      <c r="AC440" s="300"/>
      <c r="AD440" s="300"/>
    </row>
    <row r="441" spans="1:30" ht="12.75" customHeight="1" x14ac:dyDescent="0.2">
      <c r="A441" s="296"/>
      <c r="B441" s="296"/>
      <c r="C441" s="296"/>
      <c r="D441" s="298"/>
      <c r="E441" s="298"/>
      <c r="F441" s="296"/>
      <c r="G441" s="296"/>
      <c r="H441" s="296"/>
      <c r="I441" s="296"/>
      <c r="J441" s="296"/>
      <c r="K441" s="296"/>
      <c r="L441" s="296"/>
      <c r="M441" s="299"/>
      <c r="N441" s="299"/>
      <c r="O441" s="299"/>
      <c r="P441" s="299"/>
      <c r="Q441" s="299"/>
      <c r="R441" s="299"/>
      <c r="S441" s="299"/>
      <c r="T441" s="299"/>
      <c r="U441" s="299"/>
      <c r="V441" s="299"/>
      <c r="W441" s="299"/>
      <c r="X441" s="299"/>
      <c r="Y441" s="299"/>
      <c r="Z441" s="299"/>
      <c r="AA441" s="299"/>
      <c r="AB441" s="299"/>
      <c r="AC441" s="300"/>
      <c r="AD441" s="300"/>
    </row>
    <row r="442" spans="1:30" ht="12.75" customHeight="1" x14ac:dyDescent="0.2">
      <c r="A442" s="296"/>
      <c r="B442" s="296"/>
      <c r="C442" s="296"/>
      <c r="D442" s="298"/>
      <c r="E442" s="298"/>
      <c r="F442" s="296"/>
      <c r="G442" s="296"/>
      <c r="H442" s="296"/>
      <c r="I442" s="296"/>
      <c r="J442" s="296"/>
      <c r="K442" s="296"/>
      <c r="L442" s="296"/>
      <c r="M442" s="299"/>
      <c r="N442" s="299"/>
      <c r="O442" s="299"/>
      <c r="P442" s="299"/>
      <c r="Q442" s="299"/>
      <c r="R442" s="299"/>
      <c r="S442" s="299"/>
      <c r="T442" s="299"/>
      <c r="U442" s="299"/>
      <c r="V442" s="299"/>
      <c r="W442" s="299"/>
      <c r="X442" s="299"/>
      <c r="Y442" s="299"/>
      <c r="Z442" s="299"/>
      <c r="AA442" s="299"/>
      <c r="AB442" s="299"/>
      <c r="AC442" s="300"/>
      <c r="AD442" s="300"/>
    </row>
    <row r="443" spans="1:30" ht="12.75" customHeight="1" x14ac:dyDescent="0.2">
      <c r="A443" s="296"/>
      <c r="B443" s="296"/>
      <c r="C443" s="296"/>
      <c r="D443" s="298"/>
      <c r="E443" s="298"/>
      <c r="F443" s="296"/>
      <c r="G443" s="296"/>
      <c r="H443" s="296"/>
      <c r="I443" s="296"/>
      <c r="J443" s="296"/>
      <c r="K443" s="296"/>
      <c r="L443" s="296"/>
      <c r="M443" s="299"/>
      <c r="N443" s="299"/>
      <c r="O443" s="299"/>
      <c r="P443" s="299"/>
      <c r="Q443" s="299"/>
      <c r="R443" s="299"/>
      <c r="S443" s="299"/>
      <c r="T443" s="299"/>
      <c r="U443" s="299"/>
      <c r="V443" s="299"/>
      <c r="W443" s="299"/>
      <c r="X443" s="299"/>
      <c r="Y443" s="299"/>
      <c r="Z443" s="299"/>
      <c r="AA443" s="299"/>
      <c r="AB443" s="299"/>
      <c r="AC443" s="300"/>
      <c r="AD443" s="300"/>
    </row>
    <row r="444" spans="1:30" ht="12.75" customHeight="1" x14ac:dyDescent="0.2">
      <c r="A444" s="296"/>
      <c r="B444" s="296"/>
      <c r="C444" s="296"/>
      <c r="D444" s="298"/>
      <c r="E444" s="298"/>
      <c r="F444" s="296"/>
      <c r="G444" s="296"/>
      <c r="H444" s="296"/>
      <c r="I444" s="296"/>
      <c r="J444" s="296"/>
      <c r="K444" s="296"/>
      <c r="L444" s="296"/>
      <c r="M444" s="299"/>
      <c r="N444" s="299"/>
      <c r="O444" s="299"/>
      <c r="P444" s="299"/>
      <c r="Q444" s="299"/>
      <c r="R444" s="299"/>
      <c r="S444" s="299"/>
      <c r="T444" s="299"/>
      <c r="U444" s="299"/>
      <c r="V444" s="299"/>
      <c r="W444" s="299"/>
      <c r="X444" s="299"/>
      <c r="Y444" s="299"/>
      <c r="Z444" s="299"/>
      <c r="AA444" s="299"/>
      <c r="AB444" s="299"/>
      <c r="AC444" s="300"/>
      <c r="AD444" s="300"/>
    </row>
    <row r="445" spans="1:30" ht="12.75" customHeight="1" x14ac:dyDescent="0.2">
      <c r="A445" s="296"/>
      <c r="B445" s="296"/>
      <c r="C445" s="296"/>
      <c r="D445" s="298"/>
      <c r="E445" s="298"/>
      <c r="F445" s="296"/>
      <c r="G445" s="296"/>
      <c r="H445" s="296"/>
      <c r="I445" s="296"/>
      <c r="J445" s="296"/>
      <c r="K445" s="296"/>
      <c r="L445" s="296"/>
      <c r="M445" s="299"/>
      <c r="N445" s="299"/>
      <c r="O445" s="299"/>
      <c r="P445" s="299"/>
      <c r="Q445" s="299"/>
      <c r="R445" s="299"/>
      <c r="S445" s="299"/>
      <c r="T445" s="299"/>
      <c r="U445" s="299"/>
      <c r="V445" s="299"/>
      <c r="W445" s="299"/>
      <c r="X445" s="299"/>
      <c r="Y445" s="299"/>
      <c r="Z445" s="299"/>
      <c r="AA445" s="299"/>
      <c r="AB445" s="299"/>
      <c r="AC445" s="300"/>
      <c r="AD445" s="300"/>
    </row>
    <row r="446" spans="1:30" ht="12.75" customHeight="1" x14ac:dyDescent="0.2">
      <c r="A446" s="296"/>
      <c r="B446" s="296"/>
      <c r="C446" s="296"/>
      <c r="D446" s="298"/>
      <c r="E446" s="298"/>
      <c r="F446" s="296"/>
      <c r="G446" s="296"/>
      <c r="H446" s="296"/>
      <c r="I446" s="296"/>
      <c r="J446" s="296"/>
      <c r="K446" s="296"/>
      <c r="L446" s="296"/>
      <c r="M446" s="299"/>
      <c r="N446" s="299"/>
      <c r="O446" s="299"/>
      <c r="P446" s="299"/>
      <c r="Q446" s="299"/>
      <c r="R446" s="299"/>
      <c r="S446" s="299"/>
      <c r="T446" s="299"/>
      <c r="U446" s="299"/>
      <c r="V446" s="299"/>
      <c r="W446" s="299"/>
      <c r="X446" s="299"/>
      <c r="Y446" s="299"/>
      <c r="Z446" s="299"/>
      <c r="AA446" s="299"/>
      <c r="AB446" s="299"/>
      <c r="AC446" s="300"/>
      <c r="AD446" s="300"/>
    </row>
    <row r="447" spans="1:30" ht="12.75" customHeight="1" x14ac:dyDescent="0.2">
      <c r="A447" s="296"/>
      <c r="B447" s="296"/>
      <c r="C447" s="296"/>
      <c r="D447" s="298"/>
      <c r="E447" s="298"/>
      <c r="F447" s="296"/>
      <c r="G447" s="296"/>
      <c r="H447" s="296"/>
      <c r="I447" s="296"/>
      <c r="J447" s="296"/>
      <c r="K447" s="296"/>
      <c r="L447" s="296"/>
      <c r="M447" s="299"/>
      <c r="N447" s="299"/>
      <c r="O447" s="299"/>
      <c r="P447" s="299"/>
      <c r="Q447" s="299"/>
      <c r="R447" s="299"/>
      <c r="S447" s="299"/>
      <c r="T447" s="299"/>
      <c r="U447" s="299"/>
      <c r="V447" s="299"/>
      <c r="W447" s="299"/>
      <c r="X447" s="299"/>
      <c r="Y447" s="299"/>
      <c r="Z447" s="299"/>
      <c r="AA447" s="299"/>
      <c r="AB447" s="299"/>
      <c r="AC447" s="300"/>
      <c r="AD447" s="300"/>
    </row>
    <row r="448" spans="1:30" ht="12.75" customHeight="1" x14ac:dyDescent="0.2">
      <c r="A448" s="296"/>
      <c r="B448" s="296"/>
      <c r="C448" s="296"/>
      <c r="D448" s="298"/>
      <c r="E448" s="298"/>
      <c r="F448" s="296"/>
      <c r="G448" s="296"/>
      <c r="H448" s="296"/>
      <c r="I448" s="296"/>
      <c r="J448" s="296"/>
      <c r="K448" s="296"/>
      <c r="L448" s="296"/>
      <c r="M448" s="299"/>
      <c r="N448" s="299"/>
      <c r="O448" s="299"/>
      <c r="P448" s="299"/>
      <c r="Q448" s="299"/>
      <c r="R448" s="299"/>
      <c r="S448" s="299"/>
      <c r="T448" s="299"/>
      <c r="U448" s="299"/>
      <c r="V448" s="299"/>
      <c r="W448" s="299"/>
      <c r="X448" s="299"/>
      <c r="Y448" s="299"/>
      <c r="Z448" s="299"/>
      <c r="AA448" s="299"/>
      <c r="AB448" s="299"/>
      <c r="AC448" s="300"/>
      <c r="AD448" s="300"/>
    </row>
    <row r="449" spans="1:30" ht="12.75" customHeight="1" x14ac:dyDescent="0.2">
      <c r="A449" s="296"/>
      <c r="B449" s="296"/>
      <c r="C449" s="296"/>
      <c r="D449" s="298"/>
      <c r="E449" s="298"/>
      <c r="F449" s="296"/>
      <c r="G449" s="296"/>
      <c r="H449" s="296"/>
      <c r="I449" s="296"/>
      <c r="J449" s="296"/>
      <c r="K449" s="296"/>
      <c r="L449" s="296"/>
      <c r="M449" s="299"/>
      <c r="N449" s="299"/>
      <c r="O449" s="299"/>
      <c r="P449" s="299"/>
      <c r="Q449" s="299"/>
      <c r="R449" s="299"/>
      <c r="S449" s="299"/>
      <c r="T449" s="299"/>
      <c r="U449" s="299"/>
      <c r="V449" s="299"/>
      <c r="W449" s="299"/>
      <c r="X449" s="299"/>
      <c r="Y449" s="299"/>
      <c r="Z449" s="299"/>
      <c r="AA449" s="299"/>
      <c r="AB449" s="299"/>
      <c r="AC449" s="300"/>
      <c r="AD449" s="300"/>
    </row>
    <row r="450" spans="1:30" ht="12.75" customHeight="1" x14ac:dyDescent="0.2">
      <c r="A450" s="296"/>
      <c r="B450" s="296"/>
      <c r="C450" s="296"/>
      <c r="D450" s="298"/>
      <c r="E450" s="298"/>
      <c r="F450" s="296"/>
      <c r="G450" s="296"/>
      <c r="H450" s="296"/>
      <c r="I450" s="296"/>
      <c r="J450" s="296"/>
      <c r="K450" s="296"/>
      <c r="L450" s="296"/>
      <c r="M450" s="299"/>
      <c r="N450" s="299"/>
      <c r="O450" s="299"/>
      <c r="P450" s="299"/>
      <c r="Q450" s="299"/>
      <c r="R450" s="299"/>
      <c r="S450" s="299"/>
      <c r="T450" s="299"/>
      <c r="U450" s="299"/>
      <c r="V450" s="299"/>
      <c r="W450" s="299"/>
      <c r="X450" s="299"/>
      <c r="Y450" s="299"/>
      <c r="Z450" s="299"/>
      <c r="AA450" s="299"/>
      <c r="AB450" s="299"/>
      <c r="AC450" s="300"/>
      <c r="AD450" s="300"/>
    </row>
    <row r="451" spans="1:30" ht="12.75" customHeight="1" x14ac:dyDescent="0.2">
      <c r="A451" s="296"/>
      <c r="B451" s="296"/>
      <c r="C451" s="296"/>
      <c r="D451" s="298"/>
      <c r="E451" s="298"/>
      <c r="F451" s="296"/>
      <c r="G451" s="296"/>
      <c r="H451" s="296"/>
      <c r="I451" s="296"/>
      <c r="J451" s="296"/>
      <c r="K451" s="296"/>
      <c r="L451" s="296"/>
      <c r="M451" s="299"/>
      <c r="N451" s="299"/>
      <c r="O451" s="299"/>
      <c r="P451" s="299"/>
      <c r="Q451" s="299"/>
      <c r="R451" s="299"/>
      <c r="S451" s="299"/>
      <c r="T451" s="299"/>
      <c r="U451" s="299"/>
      <c r="V451" s="299"/>
      <c r="W451" s="299"/>
      <c r="X451" s="299"/>
      <c r="Y451" s="299"/>
      <c r="Z451" s="299"/>
      <c r="AA451" s="299"/>
      <c r="AB451" s="299"/>
      <c r="AC451" s="300"/>
      <c r="AD451" s="300"/>
    </row>
    <row r="452" spans="1:30" ht="12.75" customHeight="1" x14ac:dyDescent="0.2">
      <c r="A452" s="296"/>
      <c r="B452" s="296"/>
      <c r="C452" s="296"/>
      <c r="D452" s="298"/>
      <c r="E452" s="298"/>
      <c r="F452" s="296"/>
      <c r="G452" s="296"/>
      <c r="H452" s="296"/>
      <c r="I452" s="296"/>
      <c r="J452" s="296"/>
      <c r="K452" s="296"/>
      <c r="L452" s="296"/>
      <c r="M452" s="299"/>
      <c r="N452" s="299"/>
      <c r="O452" s="299"/>
      <c r="P452" s="299"/>
      <c r="Q452" s="299"/>
      <c r="R452" s="299"/>
      <c r="S452" s="299"/>
      <c r="T452" s="299"/>
      <c r="U452" s="299"/>
      <c r="V452" s="299"/>
      <c r="W452" s="299"/>
      <c r="X452" s="299"/>
      <c r="Y452" s="299"/>
      <c r="Z452" s="299"/>
      <c r="AA452" s="299"/>
      <c r="AB452" s="299"/>
      <c r="AC452" s="300"/>
      <c r="AD452" s="300"/>
    </row>
    <row r="453" spans="1:30" ht="12.75" customHeight="1" x14ac:dyDescent="0.2">
      <c r="A453" s="296"/>
      <c r="B453" s="296"/>
      <c r="C453" s="296"/>
      <c r="D453" s="298"/>
      <c r="E453" s="298"/>
      <c r="F453" s="296"/>
      <c r="G453" s="296"/>
      <c r="H453" s="296"/>
      <c r="I453" s="296"/>
      <c r="J453" s="296"/>
      <c r="K453" s="296"/>
      <c r="L453" s="296"/>
      <c r="M453" s="299"/>
      <c r="N453" s="299"/>
      <c r="O453" s="299"/>
      <c r="P453" s="299"/>
      <c r="Q453" s="299"/>
      <c r="R453" s="299"/>
      <c r="S453" s="299"/>
      <c r="T453" s="299"/>
      <c r="U453" s="299"/>
      <c r="V453" s="299"/>
      <c r="W453" s="299"/>
      <c r="X453" s="299"/>
      <c r="Y453" s="299"/>
      <c r="Z453" s="299"/>
      <c r="AA453" s="299"/>
      <c r="AB453" s="299"/>
      <c r="AC453" s="300"/>
      <c r="AD453" s="300"/>
    </row>
    <row r="454" spans="1:30" ht="12.75" customHeight="1" x14ac:dyDescent="0.2">
      <c r="A454" s="296"/>
      <c r="B454" s="296"/>
      <c r="C454" s="296"/>
      <c r="D454" s="298"/>
      <c r="E454" s="298"/>
      <c r="F454" s="296"/>
      <c r="G454" s="296"/>
      <c r="H454" s="296"/>
      <c r="I454" s="296"/>
      <c r="J454" s="296"/>
      <c r="K454" s="296"/>
      <c r="L454" s="296"/>
      <c r="M454" s="299"/>
      <c r="N454" s="299"/>
      <c r="O454" s="299"/>
      <c r="P454" s="299"/>
      <c r="Q454" s="299"/>
      <c r="R454" s="299"/>
      <c r="S454" s="299"/>
      <c r="T454" s="299"/>
      <c r="U454" s="299"/>
      <c r="V454" s="299"/>
      <c r="W454" s="299"/>
      <c r="X454" s="299"/>
      <c r="Y454" s="299"/>
      <c r="Z454" s="299"/>
      <c r="AA454" s="299"/>
      <c r="AB454" s="299"/>
      <c r="AC454" s="300"/>
      <c r="AD454" s="300"/>
    </row>
    <row r="455" spans="1:30" ht="12.75" customHeight="1" x14ac:dyDescent="0.2">
      <c r="A455" s="296"/>
      <c r="B455" s="296"/>
      <c r="C455" s="296"/>
      <c r="D455" s="298"/>
      <c r="E455" s="298"/>
      <c r="F455" s="296"/>
      <c r="G455" s="296"/>
      <c r="H455" s="296"/>
      <c r="I455" s="296"/>
      <c r="J455" s="296"/>
      <c r="K455" s="296"/>
      <c r="L455" s="296"/>
      <c r="M455" s="299"/>
      <c r="N455" s="299"/>
      <c r="O455" s="299"/>
      <c r="P455" s="299"/>
      <c r="Q455" s="299"/>
      <c r="R455" s="299"/>
      <c r="S455" s="299"/>
      <c r="T455" s="299"/>
      <c r="U455" s="299"/>
      <c r="V455" s="299"/>
      <c r="W455" s="299"/>
      <c r="X455" s="299"/>
      <c r="Y455" s="299"/>
      <c r="Z455" s="299"/>
      <c r="AA455" s="299"/>
      <c r="AB455" s="299"/>
      <c r="AC455" s="300"/>
      <c r="AD455" s="300"/>
    </row>
    <row r="456" spans="1:30" ht="12.75" customHeight="1" x14ac:dyDescent="0.2">
      <c r="A456" s="296"/>
      <c r="B456" s="296"/>
      <c r="C456" s="296"/>
      <c r="D456" s="298"/>
      <c r="E456" s="298"/>
      <c r="F456" s="296"/>
      <c r="G456" s="296"/>
      <c r="H456" s="296"/>
      <c r="I456" s="296"/>
      <c r="J456" s="296"/>
      <c r="K456" s="296"/>
      <c r="L456" s="296"/>
      <c r="M456" s="299"/>
      <c r="N456" s="299"/>
      <c r="O456" s="299"/>
      <c r="P456" s="299"/>
      <c r="Q456" s="299"/>
      <c r="R456" s="299"/>
      <c r="S456" s="299"/>
      <c r="T456" s="299"/>
      <c r="U456" s="299"/>
      <c r="V456" s="299"/>
      <c r="W456" s="299"/>
      <c r="X456" s="299"/>
      <c r="Y456" s="299"/>
      <c r="Z456" s="299"/>
      <c r="AA456" s="299"/>
      <c r="AB456" s="299"/>
      <c r="AC456" s="300"/>
      <c r="AD456" s="300"/>
    </row>
    <row r="457" spans="1:30" ht="12.75" customHeight="1" x14ac:dyDescent="0.2">
      <c r="A457" s="296"/>
      <c r="B457" s="296"/>
      <c r="C457" s="296"/>
      <c r="D457" s="298"/>
      <c r="E457" s="298"/>
      <c r="F457" s="296"/>
      <c r="G457" s="296"/>
      <c r="H457" s="296"/>
      <c r="I457" s="296"/>
      <c r="J457" s="296"/>
      <c r="K457" s="296"/>
      <c r="L457" s="296"/>
      <c r="M457" s="299"/>
      <c r="N457" s="299"/>
      <c r="O457" s="299"/>
      <c r="P457" s="299"/>
      <c r="Q457" s="299"/>
      <c r="R457" s="299"/>
      <c r="S457" s="299"/>
      <c r="T457" s="299"/>
      <c r="U457" s="299"/>
      <c r="V457" s="299"/>
      <c r="W457" s="299"/>
      <c r="X457" s="299"/>
      <c r="Y457" s="299"/>
      <c r="Z457" s="299"/>
      <c r="AA457" s="299"/>
      <c r="AB457" s="299"/>
      <c r="AC457" s="300"/>
      <c r="AD457" s="300"/>
    </row>
    <row r="458" spans="1:30" ht="12.75" customHeight="1" x14ac:dyDescent="0.2">
      <c r="A458" s="296"/>
      <c r="B458" s="296"/>
      <c r="C458" s="296"/>
      <c r="D458" s="298"/>
      <c r="E458" s="298"/>
      <c r="F458" s="296"/>
      <c r="G458" s="296"/>
      <c r="H458" s="296"/>
      <c r="I458" s="296"/>
      <c r="J458" s="296"/>
      <c r="K458" s="296"/>
      <c r="L458" s="296"/>
      <c r="M458" s="299"/>
      <c r="N458" s="299"/>
      <c r="O458" s="299"/>
      <c r="P458" s="299"/>
      <c r="Q458" s="299"/>
      <c r="R458" s="299"/>
      <c r="S458" s="299"/>
      <c r="T458" s="299"/>
      <c r="U458" s="299"/>
      <c r="V458" s="299"/>
      <c r="W458" s="299"/>
      <c r="X458" s="299"/>
      <c r="Y458" s="299"/>
      <c r="Z458" s="299"/>
      <c r="AA458" s="299"/>
      <c r="AB458" s="299"/>
      <c r="AC458" s="300"/>
      <c r="AD458" s="300"/>
    </row>
    <row r="459" spans="1:30" ht="12.75" customHeight="1" x14ac:dyDescent="0.2">
      <c r="A459" s="296"/>
      <c r="B459" s="296"/>
      <c r="C459" s="296"/>
      <c r="D459" s="298"/>
      <c r="E459" s="298"/>
      <c r="F459" s="296"/>
      <c r="G459" s="296"/>
      <c r="H459" s="296"/>
      <c r="I459" s="296"/>
      <c r="J459" s="296"/>
      <c r="K459" s="296"/>
      <c r="L459" s="296"/>
      <c r="M459" s="299"/>
      <c r="N459" s="299"/>
      <c r="O459" s="299"/>
      <c r="P459" s="299"/>
      <c r="Q459" s="299"/>
      <c r="R459" s="299"/>
      <c r="S459" s="299"/>
      <c r="T459" s="299"/>
      <c r="U459" s="299"/>
      <c r="V459" s="299"/>
      <c r="W459" s="299"/>
      <c r="X459" s="299"/>
      <c r="Y459" s="299"/>
      <c r="Z459" s="299"/>
      <c r="AA459" s="299"/>
      <c r="AB459" s="299"/>
      <c r="AC459" s="300"/>
      <c r="AD459" s="300"/>
    </row>
    <row r="460" spans="1:30" ht="12.75" customHeight="1" x14ac:dyDescent="0.2">
      <c r="A460" s="296"/>
      <c r="B460" s="296"/>
      <c r="C460" s="296"/>
      <c r="D460" s="298"/>
      <c r="E460" s="298"/>
      <c r="F460" s="296"/>
      <c r="G460" s="296"/>
      <c r="H460" s="296"/>
      <c r="I460" s="296"/>
      <c r="J460" s="296"/>
      <c r="K460" s="296"/>
      <c r="L460" s="296"/>
      <c r="M460" s="299"/>
      <c r="N460" s="299"/>
      <c r="O460" s="299"/>
      <c r="P460" s="299"/>
      <c r="Q460" s="299"/>
      <c r="R460" s="299"/>
      <c r="S460" s="299"/>
      <c r="T460" s="299"/>
      <c r="U460" s="299"/>
      <c r="V460" s="299"/>
      <c r="W460" s="299"/>
      <c r="X460" s="299"/>
      <c r="Y460" s="299"/>
      <c r="Z460" s="299"/>
      <c r="AA460" s="299"/>
      <c r="AB460" s="299"/>
      <c r="AC460" s="300"/>
      <c r="AD460" s="300"/>
    </row>
    <row r="461" spans="1:30" ht="12.75" customHeight="1" x14ac:dyDescent="0.2">
      <c r="A461" s="296"/>
      <c r="B461" s="296"/>
      <c r="C461" s="296"/>
      <c r="D461" s="298"/>
      <c r="E461" s="298"/>
      <c r="F461" s="296"/>
      <c r="G461" s="296"/>
      <c r="H461" s="296"/>
      <c r="I461" s="296"/>
      <c r="J461" s="296"/>
      <c r="K461" s="296"/>
      <c r="L461" s="296"/>
      <c r="M461" s="299"/>
      <c r="N461" s="299"/>
      <c r="O461" s="299"/>
      <c r="P461" s="299"/>
      <c r="Q461" s="299"/>
      <c r="R461" s="299"/>
      <c r="S461" s="299"/>
      <c r="T461" s="299"/>
      <c r="U461" s="299"/>
      <c r="V461" s="299"/>
      <c r="W461" s="299"/>
      <c r="X461" s="299"/>
      <c r="Y461" s="299"/>
      <c r="Z461" s="299"/>
      <c r="AA461" s="299"/>
      <c r="AB461" s="299"/>
      <c r="AC461" s="300"/>
      <c r="AD461" s="300"/>
    </row>
    <row r="462" spans="1:30" ht="12.75" customHeight="1" x14ac:dyDescent="0.2">
      <c r="A462" s="296"/>
      <c r="B462" s="296"/>
      <c r="C462" s="296"/>
      <c r="D462" s="298"/>
      <c r="E462" s="298"/>
      <c r="F462" s="296"/>
      <c r="G462" s="296"/>
      <c r="H462" s="296"/>
      <c r="I462" s="296"/>
      <c r="J462" s="296"/>
      <c r="K462" s="296"/>
      <c r="L462" s="296"/>
      <c r="M462" s="299"/>
      <c r="N462" s="299"/>
      <c r="O462" s="299"/>
      <c r="P462" s="299"/>
      <c r="Q462" s="299"/>
      <c r="R462" s="299"/>
      <c r="S462" s="299"/>
      <c r="T462" s="299"/>
      <c r="U462" s="299"/>
      <c r="V462" s="299"/>
      <c r="W462" s="299"/>
      <c r="X462" s="299"/>
      <c r="Y462" s="299"/>
      <c r="Z462" s="299"/>
      <c r="AA462" s="299"/>
      <c r="AB462" s="299"/>
      <c r="AC462" s="300"/>
      <c r="AD462" s="300"/>
    </row>
    <row r="463" spans="1:30" ht="12.75" customHeight="1" x14ac:dyDescent="0.2">
      <c r="A463" s="296"/>
      <c r="B463" s="296"/>
      <c r="C463" s="296"/>
      <c r="D463" s="298"/>
      <c r="E463" s="298"/>
      <c r="F463" s="296"/>
      <c r="G463" s="296"/>
      <c r="H463" s="296"/>
      <c r="I463" s="296"/>
      <c r="J463" s="296"/>
      <c r="K463" s="296"/>
      <c r="L463" s="296"/>
      <c r="M463" s="299"/>
      <c r="N463" s="299"/>
      <c r="O463" s="299"/>
      <c r="P463" s="299"/>
      <c r="Q463" s="299"/>
      <c r="R463" s="299"/>
      <c r="S463" s="299"/>
      <c r="T463" s="299"/>
      <c r="U463" s="299"/>
      <c r="V463" s="299"/>
      <c r="W463" s="299"/>
      <c r="X463" s="299"/>
      <c r="Y463" s="299"/>
      <c r="Z463" s="299"/>
      <c r="AA463" s="299"/>
      <c r="AB463" s="299"/>
      <c r="AC463" s="300"/>
      <c r="AD463" s="300"/>
    </row>
    <row r="464" spans="1:30" ht="12.75" customHeight="1" x14ac:dyDescent="0.2">
      <c r="A464" s="296"/>
      <c r="B464" s="296"/>
      <c r="C464" s="296"/>
      <c r="D464" s="298"/>
      <c r="E464" s="298"/>
      <c r="F464" s="296"/>
      <c r="G464" s="296"/>
      <c r="H464" s="296"/>
      <c r="I464" s="296"/>
      <c r="J464" s="296"/>
      <c r="K464" s="296"/>
      <c r="L464" s="296"/>
      <c r="M464" s="299"/>
      <c r="N464" s="299"/>
      <c r="O464" s="299"/>
      <c r="P464" s="299"/>
      <c r="Q464" s="299"/>
      <c r="R464" s="299"/>
      <c r="S464" s="299"/>
      <c r="T464" s="299"/>
      <c r="U464" s="299"/>
      <c r="V464" s="299"/>
      <c r="W464" s="299"/>
      <c r="X464" s="299"/>
      <c r="Y464" s="299"/>
      <c r="Z464" s="299"/>
      <c r="AA464" s="299"/>
      <c r="AB464" s="299"/>
      <c r="AC464" s="300"/>
      <c r="AD464" s="300"/>
    </row>
    <row r="465" spans="1:30" ht="12.75" customHeight="1" x14ac:dyDescent="0.2">
      <c r="A465" s="296"/>
      <c r="B465" s="296"/>
      <c r="C465" s="296"/>
      <c r="D465" s="298"/>
      <c r="E465" s="298"/>
      <c r="F465" s="296"/>
      <c r="G465" s="296"/>
      <c r="H465" s="296"/>
      <c r="I465" s="296"/>
      <c r="J465" s="296"/>
      <c r="K465" s="296"/>
      <c r="L465" s="296"/>
      <c r="M465" s="299"/>
      <c r="N465" s="299"/>
      <c r="O465" s="299"/>
      <c r="P465" s="299"/>
      <c r="Q465" s="299"/>
      <c r="R465" s="299"/>
      <c r="S465" s="299"/>
      <c r="T465" s="299"/>
      <c r="U465" s="299"/>
      <c r="V465" s="299"/>
      <c r="W465" s="299"/>
      <c r="X465" s="299"/>
      <c r="Y465" s="299"/>
      <c r="Z465" s="299"/>
      <c r="AA465" s="299"/>
      <c r="AB465" s="299"/>
      <c r="AC465" s="300"/>
      <c r="AD465" s="300"/>
    </row>
    <row r="466" spans="1:30" ht="12.75" customHeight="1" x14ac:dyDescent="0.2">
      <c r="A466" s="296"/>
      <c r="B466" s="296"/>
      <c r="C466" s="296"/>
      <c r="D466" s="298"/>
      <c r="E466" s="298"/>
      <c r="F466" s="296"/>
      <c r="G466" s="296"/>
      <c r="H466" s="296"/>
      <c r="I466" s="296"/>
      <c r="J466" s="296"/>
      <c r="K466" s="296"/>
      <c r="L466" s="296"/>
      <c r="M466" s="299"/>
      <c r="N466" s="299"/>
      <c r="O466" s="299"/>
      <c r="P466" s="299"/>
      <c r="Q466" s="299"/>
      <c r="R466" s="299"/>
      <c r="S466" s="299"/>
      <c r="T466" s="299"/>
      <c r="U466" s="299"/>
      <c r="V466" s="299"/>
      <c r="W466" s="299"/>
      <c r="X466" s="299"/>
      <c r="Y466" s="299"/>
      <c r="Z466" s="299"/>
      <c r="AA466" s="299"/>
      <c r="AB466" s="299"/>
      <c r="AC466" s="300"/>
      <c r="AD466" s="300"/>
    </row>
    <row r="467" spans="1:30" ht="12.75" customHeight="1" x14ac:dyDescent="0.2">
      <c r="A467" s="296"/>
      <c r="B467" s="296"/>
      <c r="C467" s="296"/>
      <c r="D467" s="298"/>
      <c r="E467" s="298"/>
      <c r="F467" s="296"/>
      <c r="G467" s="296"/>
      <c r="H467" s="296"/>
      <c r="I467" s="296"/>
      <c r="J467" s="296"/>
      <c r="K467" s="296"/>
      <c r="L467" s="296"/>
      <c r="M467" s="299"/>
      <c r="N467" s="299"/>
      <c r="O467" s="299"/>
      <c r="P467" s="299"/>
      <c r="Q467" s="299"/>
      <c r="R467" s="299"/>
      <c r="S467" s="299"/>
      <c r="T467" s="299"/>
      <c r="U467" s="299"/>
      <c r="V467" s="299"/>
      <c r="W467" s="299"/>
      <c r="X467" s="299"/>
      <c r="Y467" s="299"/>
      <c r="Z467" s="299"/>
      <c r="AA467" s="299"/>
      <c r="AB467" s="299"/>
      <c r="AC467" s="300"/>
      <c r="AD467" s="300"/>
    </row>
    <row r="468" spans="1:30" ht="12.75" customHeight="1" x14ac:dyDescent="0.2">
      <c r="A468" s="296"/>
      <c r="B468" s="296"/>
      <c r="C468" s="296"/>
      <c r="D468" s="298"/>
      <c r="E468" s="298"/>
      <c r="F468" s="296"/>
      <c r="G468" s="296"/>
      <c r="H468" s="296"/>
      <c r="I468" s="296"/>
      <c r="J468" s="296"/>
      <c r="K468" s="296"/>
      <c r="L468" s="296"/>
      <c r="M468" s="299"/>
      <c r="N468" s="299"/>
      <c r="O468" s="299"/>
      <c r="P468" s="299"/>
      <c r="Q468" s="299"/>
      <c r="R468" s="299"/>
      <c r="S468" s="299"/>
      <c r="T468" s="299"/>
      <c r="U468" s="299"/>
      <c r="V468" s="299"/>
      <c r="W468" s="299"/>
      <c r="X468" s="299"/>
      <c r="Y468" s="299"/>
      <c r="Z468" s="299"/>
      <c r="AA468" s="299"/>
      <c r="AB468" s="299"/>
      <c r="AC468" s="300"/>
      <c r="AD468" s="300"/>
    </row>
    <row r="469" spans="1:30" ht="12.75" customHeight="1" x14ac:dyDescent="0.2">
      <c r="A469" s="296"/>
      <c r="B469" s="296"/>
      <c r="C469" s="296"/>
      <c r="D469" s="298"/>
      <c r="E469" s="298"/>
      <c r="F469" s="296"/>
      <c r="G469" s="296"/>
      <c r="H469" s="296"/>
      <c r="I469" s="296"/>
      <c r="J469" s="296"/>
      <c r="K469" s="296"/>
      <c r="L469" s="296"/>
      <c r="M469" s="299"/>
      <c r="N469" s="299"/>
      <c r="O469" s="299"/>
      <c r="P469" s="299"/>
      <c r="Q469" s="299"/>
      <c r="R469" s="299"/>
      <c r="S469" s="299"/>
      <c r="T469" s="299"/>
      <c r="U469" s="299"/>
      <c r="V469" s="299"/>
      <c r="W469" s="299"/>
      <c r="X469" s="299"/>
      <c r="Y469" s="299"/>
      <c r="Z469" s="299"/>
      <c r="AA469" s="299"/>
      <c r="AB469" s="299"/>
      <c r="AC469" s="300"/>
      <c r="AD469" s="300"/>
    </row>
    <row r="470" spans="1:30" ht="12.75" customHeight="1" x14ac:dyDescent="0.2">
      <c r="A470" s="296"/>
      <c r="B470" s="296"/>
      <c r="C470" s="296"/>
      <c r="D470" s="298"/>
      <c r="E470" s="298"/>
      <c r="F470" s="296"/>
      <c r="G470" s="296"/>
      <c r="H470" s="296"/>
      <c r="I470" s="296"/>
      <c r="J470" s="296"/>
      <c r="K470" s="296"/>
      <c r="L470" s="296"/>
      <c r="M470" s="299"/>
      <c r="N470" s="299"/>
      <c r="O470" s="299"/>
      <c r="P470" s="299"/>
      <c r="Q470" s="299"/>
      <c r="R470" s="299"/>
      <c r="S470" s="299"/>
      <c r="T470" s="299"/>
      <c r="U470" s="299"/>
      <c r="V470" s="299"/>
      <c r="W470" s="299"/>
      <c r="X470" s="299"/>
      <c r="Y470" s="299"/>
      <c r="Z470" s="299"/>
      <c r="AA470" s="299"/>
      <c r="AB470" s="299"/>
      <c r="AC470" s="300"/>
      <c r="AD470" s="300"/>
    </row>
    <row r="471" spans="1:30" ht="12.75" customHeight="1" x14ac:dyDescent="0.2">
      <c r="A471" s="296"/>
      <c r="B471" s="296"/>
      <c r="C471" s="296"/>
      <c r="D471" s="298"/>
      <c r="E471" s="298"/>
      <c r="F471" s="296"/>
      <c r="G471" s="296"/>
      <c r="H471" s="296"/>
      <c r="I471" s="296"/>
      <c r="J471" s="296"/>
      <c r="K471" s="296"/>
      <c r="L471" s="296"/>
      <c r="M471" s="299"/>
      <c r="N471" s="299"/>
      <c r="O471" s="299"/>
      <c r="P471" s="299"/>
      <c r="Q471" s="299"/>
      <c r="R471" s="299"/>
      <c r="S471" s="299"/>
      <c r="T471" s="299"/>
      <c r="U471" s="299"/>
      <c r="V471" s="299"/>
      <c r="W471" s="299"/>
      <c r="X471" s="299"/>
      <c r="Y471" s="299"/>
      <c r="Z471" s="299"/>
      <c r="AA471" s="299"/>
      <c r="AB471" s="299"/>
      <c r="AC471" s="300"/>
      <c r="AD471" s="300"/>
    </row>
    <row r="472" spans="1:30" ht="12.75" customHeight="1" x14ac:dyDescent="0.2">
      <c r="A472" s="296"/>
      <c r="B472" s="296"/>
      <c r="C472" s="296"/>
      <c r="D472" s="298"/>
      <c r="E472" s="298"/>
      <c r="F472" s="296"/>
      <c r="G472" s="296"/>
      <c r="H472" s="296"/>
      <c r="I472" s="296"/>
      <c r="J472" s="296"/>
      <c r="K472" s="296"/>
      <c r="L472" s="296"/>
      <c r="M472" s="299"/>
      <c r="N472" s="299"/>
      <c r="O472" s="299"/>
      <c r="P472" s="299"/>
      <c r="Q472" s="299"/>
      <c r="R472" s="299"/>
      <c r="S472" s="299"/>
      <c r="T472" s="299"/>
      <c r="U472" s="299"/>
      <c r="V472" s="299"/>
      <c r="W472" s="299"/>
      <c r="X472" s="299"/>
      <c r="Y472" s="299"/>
      <c r="Z472" s="299"/>
      <c r="AA472" s="299"/>
      <c r="AB472" s="299"/>
      <c r="AC472" s="300"/>
      <c r="AD472" s="300"/>
    </row>
    <row r="473" spans="1:30" ht="12.75" customHeight="1" x14ac:dyDescent="0.2">
      <c r="A473" s="296"/>
      <c r="B473" s="296"/>
      <c r="C473" s="296"/>
      <c r="D473" s="298"/>
      <c r="E473" s="298"/>
      <c r="F473" s="296"/>
      <c r="G473" s="296"/>
      <c r="H473" s="296"/>
      <c r="I473" s="296"/>
      <c r="J473" s="296"/>
      <c r="K473" s="296"/>
      <c r="L473" s="296"/>
      <c r="M473" s="299"/>
      <c r="N473" s="299"/>
      <c r="O473" s="299"/>
      <c r="P473" s="299"/>
      <c r="Q473" s="299"/>
      <c r="R473" s="299"/>
      <c r="S473" s="299"/>
      <c r="T473" s="299"/>
      <c r="U473" s="299"/>
      <c r="V473" s="299"/>
      <c r="W473" s="299"/>
      <c r="X473" s="299"/>
      <c r="Y473" s="299"/>
      <c r="Z473" s="299"/>
      <c r="AA473" s="299"/>
      <c r="AB473" s="299"/>
      <c r="AC473" s="300"/>
      <c r="AD473" s="300"/>
    </row>
    <row r="474" spans="1:30" ht="12.75" customHeight="1" x14ac:dyDescent="0.2">
      <c r="A474" s="296"/>
      <c r="B474" s="296"/>
      <c r="C474" s="296"/>
      <c r="D474" s="298"/>
      <c r="E474" s="298"/>
      <c r="F474" s="296"/>
      <c r="G474" s="296"/>
      <c r="H474" s="296"/>
      <c r="I474" s="296"/>
      <c r="J474" s="296"/>
      <c r="K474" s="296"/>
      <c r="L474" s="296"/>
      <c r="M474" s="299"/>
      <c r="N474" s="299"/>
      <c r="O474" s="299"/>
      <c r="P474" s="299"/>
      <c r="Q474" s="299"/>
      <c r="R474" s="299"/>
      <c r="S474" s="299"/>
      <c r="T474" s="299"/>
      <c r="U474" s="299"/>
      <c r="V474" s="299"/>
      <c r="W474" s="299"/>
      <c r="X474" s="299"/>
      <c r="Y474" s="299"/>
      <c r="Z474" s="299"/>
      <c r="AA474" s="299"/>
      <c r="AB474" s="299"/>
      <c r="AC474" s="300"/>
      <c r="AD474" s="300"/>
    </row>
    <row r="475" spans="1:30" ht="12.75" customHeight="1" x14ac:dyDescent="0.2">
      <c r="A475" s="296"/>
      <c r="B475" s="296"/>
      <c r="C475" s="296"/>
      <c r="D475" s="298"/>
      <c r="E475" s="298"/>
      <c r="F475" s="296"/>
      <c r="G475" s="296"/>
      <c r="H475" s="296"/>
      <c r="I475" s="296"/>
      <c r="J475" s="296"/>
      <c r="K475" s="296"/>
      <c r="L475" s="296"/>
      <c r="M475" s="299"/>
      <c r="N475" s="299"/>
      <c r="O475" s="299"/>
      <c r="P475" s="299"/>
      <c r="Q475" s="299"/>
      <c r="R475" s="299"/>
      <c r="S475" s="299"/>
      <c r="T475" s="299"/>
      <c r="U475" s="299"/>
      <c r="V475" s="299"/>
      <c r="W475" s="299"/>
      <c r="X475" s="299"/>
      <c r="Y475" s="299"/>
      <c r="Z475" s="299"/>
      <c r="AA475" s="299"/>
      <c r="AB475" s="299"/>
      <c r="AC475" s="300"/>
      <c r="AD475" s="300"/>
    </row>
    <row r="476" spans="1:30" ht="12.75" customHeight="1" x14ac:dyDescent="0.2">
      <c r="A476" s="296"/>
      <c r="B476" s="296"/>
      <c r="C476" s="296"/>
      <c r="D476" s="298"/>
      <c r="E476" s="298"/>
      <c r="F476" s="296"/>
      <c r="G476" s="296"/>
      <c r="H476" s="296"/>
      <c r="I476" s="296"/>
      <c r="J476" s="296"/>
      <c r="K476" s="296"/>
      <c r="L476" s="296"/>
      <c r="M476" s="299"/>
      <c r="N476" s="299"/>
      <c r="O476" s="299"/>
      <c r="P476" s="299"/>
      <c r="Q476" s="299"/>
      <c r="R476" s="299"/>
      <c r="S476" s="299"/>
      <c r="T476" s="299"/>
      <c r="U476" s="299"/>
      <c r="V476" s="299"/>
      <c r="W476" s="299"/>
      <c r="X476" s="299"/>
      <c r="Y476" s="299"/>
      <c r="Z476" s="299"/>
      <c r="AA476" s="299"/>
      <c r="AB476" s="299"/>
      <c r="AC476" s="300"/>
      <c r="AD476" s="300"/>
    </row>
    <row r="477" spans="1:30" ht="12.75" customHeight="1" x14ac:dyDescent="0.2">
      <c r="A477" s="296"/>
      <c r="B477" s="296"/>
      <c r="C477" s="296"/>
      <c r="D477" s="298"/>
      <c r="E477" s="298"/>
      <c r="F477" s="296"/>
      <c r="G477" s="296"/>
      <c r="H477" s="296"/>
      <c r="I477" s="296"/>
      <c r="J477" s="296"/>
      <c r="K477" s="296"/>
      <c r="L477" s="296"/>
      <c r="M477" s="299"/>
      <c r="N477" s="299"/>
      <c r="O477" s="299"/>
      <c r="P477" s="299"/>
      <c r="Q477" s="299"/>
      <c r="R477" s="299"/>
      <c r="S477" s="299"/>
      <c r="T477" s="299"/>
      <c r="U477" s="299"/>
      <c r="V477" s="299"/>
      <c r="W477" s="299"/>
      <c r="X477" s="299"/>
      <c r="Y477" s="299"/>
      <c r="Z477" s="299"/>
      <c r="AA477" s="299"/>
      <c r="AB477" s="299"/>
      <c r="AC477" s="300"/>
      <c r="AD477" s="300"/>
    </row>
    <row r="478" spans="1:30" ht="12.75" customHeight="1" x14ac:dyDescent="0.2">
      <c r="A478" s="296"/>
      <c r="B478" s="296"/>
      <c r="C478" s="296"/>
      <c r="D478" s="298"/>
      <c r="E478" s="298"/>
      <c r="F478" s="296"/>
      <c r="G478" s="296"/>
      <c r="H478" s="296"/>
      <c r="I478" s="296"/>
      <c r="J478" s="296"/>
      <c r="K478" s="296"/>
      <c r="L478" s="296"/>
      <c r="M478" s="299"/>
      <c r="N478" s="299"/>
      <c r="O478" s="299"/>
      <c r="P478" s="299"/>
      <c r="Q478" s="299"/>
      <c r="R478" s="299"/>
      <c r="S478" s="299"/>
      <c r="T478" s="299"/>
      <c r="U478" s="299"/>
      <c r="V478" s="299"/>
      <c r="W478" s="299"/>
      <c r="X478" s="299"/>
      <c r="Y478" s="299"/>
      <c r="Z478" s="299"/>
      <c r="AA478" s="299"/>
      <c r="AB478" s="299"/>
      <c r="AC478" s="300"/>
      <c r="AD478" s="300"/>
    </row>
    <row r="479" spans="1:30" ht="12.75" customHeight="1" x14ac:dyDescent="0.2">
      <c r="A479" s="296"/>
      <c r="B479" s="296"/>
      <c r="C479" s="296"/>
      <c r="D479" s="298"/>
      <c r="E479" s="298"/>
      <c r="F479" s="296"/>
      <c r="G479" s="296"/>
      <c r="H479" s="296"/>
      <c r="I479" s="296"/>
      <c r="J479" s="296"/>
      <c r="K479" s="296"/>
      <c r="L479" s="296"/>
      <c r="M479" s="299"/>
      <c r="N479" s="299"/>
      <c r="O479" s="299"/>
      <c r="P479" s="299"/>
      <c r="Q479" s="299"/>
      <c r="R479" s="299"/>
      <c r="S479" s="299"/>
      <c r="T479" s="299"/>
      <c r="U479" s="299"/>
      <c r="V479" s="299"/>
      <c r="W479" s="299"/>
      <c r="X479" s="299"/>
      <c r="Y479" s="299"/>
      <c r="Z479" s="299"/>
      <c r="AA479" s="299"/>
      <c r="AB479" s="299"/>
      <c r="AC479" s="300"/>
      <c r="AD479" s="300"/>
    </row>
    <row r="480" spans="1:30" ht="12.75" customHeight="1" x14ac:dyDescent="0.2">
      <c r="A480" s="296"/>
      <c r="B480" s="296"/>
      <c r="C480" s="296"/>
      <c r="D480" s="298"/>
      <c r="E480" s="298"/>
      <c r="F480" s="296"/>
      <c r="G480" s="296"/>
      <c r="H480" s="296"/>
      <c r="I480" s="296"/>
      <c r="J480" s="296"/>
      <c r="K480" s="296"/>
      <c r="L480" s="296"/>
      <c r="M480" s="299"/>
      <c r="N480" s="299"/>
      <c r="O480" s="299"/>
      <c r="P480" s="299"/>
      <c r="Q480" s="299"/>
      <c r="R480" s="299"/>
      <c r="S480" s="299"/>
      <c r="T480" s="299"/>
      <c r="U480" s="299"/>
      <c r="V480" s="299"/>
      <c r="W480" s="299"/>
      <c r="X480" s="299"/>
      <c r="Y480" s="299"/>
      <c r="Z480" s="299"/>
      <c r="AA480" s="299"/>
      <c r="AB480" s="299"/>
      <c r="AC480" s="300"/>
      <c r="AD480" s="300"/>
    </row>
    <row r="481" spans="1:30" ht="12.75" customHeight="1" x14ac:dyDescent="0.2">
      <c r="A481" s="296"/>
      <c r="B481" s="296"/>
      <c r="C481" s="296"/>
      <c r="D481" s="298"/>
      <c r="E481" s="298"/>
      <c r="F481" s="296"/>
      <c r="G481" s="296"/>
      <c r="H481" s="296"/>
      <c r="I481" s="296"/>
      <c r="J481" s="296"/>
      <c r="K481" s="296"/>
      <c r="L481" s="296"/>
      <c r="M481" s="299"/>
      <c r="N481" s="299"/>
      <c r="O481" s="299"/>
      <c r="P481" s="299"/>
      <c r="Q481" s="299"/>
      <c r="R481" s="299"/>
      <c r="S481" s="299"/>
      <c r="T481" s="299"/>
      <c r="U481" s="299"/>
      <c r="V481" s="299"/>
      <c r="W481" s="299"/>
      <c r="X481" s="299"/>
      <c r="Y481" s="299"/>
      <c r="Z481" s="299"/>
      <c r="AA481" s="299"/>
      <c r="AB481" s="299"/>
      <c r="AC481" s="300"/>
      <c r="AD481" s="300"/>
    </row>
    <row r="482" spans="1:30" ht="12.75" customHeight="1" x14ac:dyDescent="0.2">
      <c r="A482" s="296"/>
      <c r="B482" s="296"/>
      <c r="C482" s="296"/>
      <c r="D482" s="298"/>
      <c r="E482" s="298"/>
      <c r="F482" s="296"/>
      <c r="G482" s="296"/>
      <c r="H482" s="296"/>
      <c r="I482" s="296"/>
      <c r="J482" s="296"/>
      <c r="K482" s="296"/>
      <c r="L482" s="296"/>
      <c r="M482" s="299"/>
      <c r="N482" s="299"/>
      <c r="O482" s="299"/>
      <c r="P482" s="299"/>
      <c r="Q482" s="299"/>
      <c r="R482" s="299"/>
      <c r="S482" s="299"/>
      <c r="T482" s="299"/>
      <c r="U482" s="299"/>
      <c r="V482" s="299"/>
      <c r="W482" s="299"/>
      <c r="X482" s="299"/>
      <c r="Y482" s="299"/>
      <c r="Z482" s="299"/>
      <c r="AA482" s="299"/>
      <c r="AB482" s="299"/>
      <c r="AC482" s="300"/>
      <c r="AD482" s="300"/>
    </row>
    <row r="483" spans="1:30" ht="12.75" customHeight="1" x14ac:dyDescent="0.2">
      <c r="A483" s="296"/>
      <c r="B483" s="296"/>
      <c r="C483" s="296"/>
      <c r="D483" s="298"/>
      <c r="E483" s="298"/>
      <c r="F483" s="296"/>
      <c r="G483" s="296"/>
      <c r="H483" s="296"/>
      <c r="I483" s="296"/>
      <c r="J483" s="296"/>
      <c r="K483" s="296"/>
      <c r="L483" s="296"/>
      <c r="M483" s="299"/>
      <c r="N483" s="299"/>
      <c r="O483" s="299"/>
      <c r="P483" s="299"/>
      <c r="Q483" s="299"/>
      <c r="R483" s="299"/>
      <c r="S483" s="299"/>
      <c r="T483" s="299"/>
      <c r="U483" s="299"/>
      <c r="V483" s="299"/>
      <c r="W483" s="299"/>
      <c r="X483" s="299"/>
      <c r="Y483" s="299"/>
      <c r="Z483" s="299"/>
      <c r="AA483" s="299"/>
      <c r="AB483" s="299"/>
      <c r="AC483" s="300"/>
      <c r="AD483" s="300"/>
    </row>
    <row r="484" spans="1:30" ht="12.75" customHeight="1" x14ac:dyDescent="0.2">
      <c r="A484" s="296"/>
      <c r="B484" s="296"/>
      <c r="C484" s="296"/>
      <c r="D484" s="298"/>
      <c r="E484" s="298"/>
      <c r="F484" s="296"/>
      <c r="G484" s="296"/>
      <c r="H484" s="296"/>
      <c r="I484" s="296"/>
      <c r="J484" s="296"/>
      <c r="K484" s="296"/>
      <c r="L484" s="296"/>
      <c r="M484" s="299"/>
      <c r="N484" s="299"/>
      <c r="O484" s="299"/>
      <c r="P484" s="299"/>
      <c r="Q484" s="299"/>
      <c r="R484" s="299"/>
      <c r="S484" s="299"/>
      <c r="T484" s="299"/>
      <c r="U484" s="299"/>
      <c r="V484" s="299"/>
      <c r="W484" s="299"/>
      <c r="X484" s="299"/>
      <c r="Y484" s="299"/>
      <c r="Z484" s="299"/>
      <c r="AA484" s="299"/>
      <c r="AB484" s="299"/>
      <c r="AC484" s="300"/>
      <c r="AD484" s="300"/>
    </row>
    <row r="485" spans="1:30" ht="12.75" customHeight="1" x14ac:dyDescent="0.2">
      <c r="A485" s="296"/>
      <c r="B485" s="296"/>
      <c r="C485" s="296"/>
      <c r="D485" s="298"/>
      <c r="E485" s="298"/>
      <c r="F485" s="296"/>
      <c r="G485" s="296"/>
      <c r="H485" s="296"/>
      <c r="I485" s="296"/>
      <c r="J485" s="296"/>
      <c r="K485" s="296"/>
      <c r="L485" s="296"/>
      <c r="M485" s="299"/>
      <c r="N485" s="299"/>
      <c r="O485" s="299"/>
      <c r="P485" s="299"/>
      <c r="Q485" s="299"/>
      <c r="R485" s="299"/>
      <c r="S485" s="299"/>
      <c r="T485" s="299"/>
      <c r="U485" s="299"/>
      <c r="V485" s="299"/>
      <c r="W485" s="299"/>
      <c r="X485" s="299"/>
      <c r="Y485" s="299"/>
      <c r="Z485" s="299"/>
      <c r="AA485" s="299"/>
      <c r="AB485" s="299"/>
      <c r="AC485" s="300"/>
      <c r="AD485" s="300"/>
    </row>
    <row r="486" spans="1:30" ht="12.75" customHeight="1" x14ac:dyDescent="0.2">
      <c r="A486" s="296"/>
      <c r="B486" s="296"/>
      <c r="C486" s="296"/>
      <c r="D486" s="298"/>
      <c r="E486" s="298"/>
      <c r="F486" s="296"/>
      <c r="G486" s="296"/>
      <c r="H486" s="296"/>
      <c r="I486" s="296"/>
      <c r="J486" s="296"/>
      <c r="K486" s="296"/>
      <c r="L486" s="296"/>
      <c r="M486" s="299"/>
      <c r="N486" s="299"/>
      <c r="O486" s="299"/>
      <c r="P486" s="299"/>
      <c r="Q486" s="299"/>
      <c r="R486" s="299"/>
      <c r="S486" s="299"/>
      <c r="T486" s="299"/>
      <c r="U486" s="299"/>
      <c r="V486" s="299"/>
      <c r="W486" s="299"/>
      <c r="X486" s="299"/>
      <c r="Y486" s="299"/>
      <c r="Z486" s="299"/>
      <c r="AA486" s="299"/>
      <c r="AB486" s="299"/>
      <c r="AC486" s="300"/>
      <c r="AD486" s="300"/>
    </row>
    <row r="487" spans="1:30" ht="12.75" customHeight="1" x14ac:dyDescent="0.2">
      <c r="A487" s="296"/>
      <c r="B487" s="296"/>
      <c r="C487" s="296"/>
      <c r="D487" s="298"/>
      <c r="E487" s="298"/>
      <c r="F487" s="296"/>
      <c r="G487" s="296"/>
      <c r="H487" s="296"/>
      <c r="I487" s="296"/>
      <c r="J487" s="296"/>
      <c r="K487" s="296"/>
      <c r="L487" s="296"/>
      <c r="M487" s="299"/>
      <c r="N487" s="299"/>
      <c r="O487" s="299"/>
      <c r="P487" s="299"/>
      <c r="Q487" s="299"/>
      <c r="R487" s="299"/>
      <c r="S487" s="299"/>
      <c r="T487" s="299"/>
      <c r="U487" s="299"/>
      <c r="V487" s="299"/>
      <c r="W487" s="299"/>
      <c r="X487" s="299"/>
      <c r="Y487" s="299"/>
      <c r="Z487" s="299"/>
      <c r="AA487" s="299"/>
      <c r="AB487" s="299"/>
      <c r="AC487" s="300"/>
      <c r="AD487" s="300"/>
    </row>
    <row r="488" spans="1:30" ht="12.75" customHeight="1" x14ac:dyDescent="0.2">
      <c r="A488" s="296"/>
      <c r="B488" s="296"/>
      <c r="C488" s="296"/>
      <c r="D488" s="298"/>
      <c r="E488" s="298"/>
      <c r="F488" s="296"/>
      <c r="G488" s="296"/>
      <c r="H488" s="296"/>
      <c r="I488" s="296"/>
      <c r="J488" s="296"/>
      <c r="K488" s="296"/>
      <c r="L488" s="296"/>
      <c r="M488" s="299"/>
      <c r="N488" s="299"/>
      <c r="O488" s="299"/>
      <c r="P488" s="299"/>
      <c r="Q488" s="299"/>
      <c r="R488" s="299"/>
      <c r="S488" s="299"/>
      <c r="T488" s="299"/>
      <c r="U488" s="299"/>
      <c r="V488" s="299"/>
      <c r="W488" s="299"/>
      <c r="X488" s="299"/>
      <c r="Y488" s="299"/>
      <c r="Z488" s="299"/>
      <c r="AA488" s="299"/>
      <c r="AB488" s="299"/>
      <c r="AC488" s="300"/>
      <c r="AD488" s="300"/>
    </row>
    <row r="489" spans="1:30" ht="12.75" customHeight="1" x14ac:dyDescent="0.2">
      <c r="A489" s="296"/>
      <c r="B489" s="296"/>
      <c r="C489" s="296"/>
      <c r="D489" s="298"/>
      <c r="E489" s="298"/>
      <c r="F489" s="296"/>
      <c r="G489" s="296"/>
      <c r="H489" s="296"/>
      <c r="I489" s="296"/>
      <c r="J489" s="296"/>
      <c r="K489" s="296"/>
      <c r="L489" s="296"/>
      <c r="M489" s="299"/>
      <c r="N489" s="299"/>
      <c r="O489" s="299"/>
      <c r="P489" s="299"/>
      <c r="Q489" s="299"/>
      <c r="R489" s="299"/>
      <c r="S489" s="299"/>
      <c r="T489" s="299"/>
      <c r="U489" s="299"/>
      <c r="V489" s="299"/>
      <c r="W489" s="299"/>
      <c r="X489" s="299"/>
      <c r="Y489" s="299"/>
      <c r="Z489" s="299"/>
      <c r="AA489" s="299"/>
      <c r="AB489" s="299"/>
      <c r="AC489" s="300"/>
      <c r="AD489" s="300"/>
    </row>
    <row r="490" spans="1:30" ht="12.75" customHeight="1" x14ac:dyDescent="0.2">
      <c r="A490" s="296"/>
      <c r="B490" s="296"/>
      <c r="C490" s="296"/>
      <c r="D490" s="298"/>
      <c r="E490" s="298"/>
      <c r="F490" s="296"/>
      <c r="G490" s="296"/>
      <c r="H490" s="296"/>
      <c r="I490" s="296"/>
      <c r="J490" s="296"/>
      <c r="K490" s="296"/>
      <c r="L490" s="296"/>
      <c r="M490" s="299"/>
      <c r="N490" s="299"/>
      <c r="O490" s="299"/>
      <c r="P490" s="299"/>
      <c r="Q490" s="299"/>
      <c r="R490" s="299"/>
      <c r="S490" s="299"/>
      <c r="T490" s="299"/>
      <c r="U490" s="299"/>
      <c r="V490" s="299"/>
      <c r="W490" s="299"/>
      <c r="X490" s="299"/>
      <c r="Y490" s="299"/>
      <c r="Z490" s="299"/>
      <c r="AA490" s="299"/>
      <c r="AB490" s="299"/>
      <c r="AC490" s="300"/>
      <c r="AD490" s="300"/>
    </row>
    <row r="491" spans="1:30" ht="12.75" customHeight="1" x14ac:dyDescent="0.2">
      <c r="A491" s="296"/>
      <c r="B491" s="296"/>
      <c r="C491" s="296"/>
      <c r="D491" s="298"/>
      <c r="E491" s="298"/>
      <c r="F491" s="296"/>
      <c r="G491" s="296"/>
      <c r="H491" s="296"/>
      <c r="I491" s="296"/>
      <c r="J491" s="296"/>
      <c r="K491" s="296"/>
      <c r="L491" s="296"/>
      <c r="M491" s="299"/>
      <c r="N491" s="299"/>
      <c r="O491" s="299"/>
      <c r="P491" s="299"/>
      <c r="Q491" s="299"/>
      <c r="R491" s="299"/>
      <c r="S491" s="299"/>
      <c r="T491" s="299"/>
      <c r="U491" s="299"/>
      <c r="V491" s="299"/>
      <c r="W491" s="299"/>
      <c r="X491" s="299"/>
      <c r="Y491" s="299"/>
      <c r="Z491" s="299"/>
      <c r="AA491" s="299"/>
      <c r="AB491" s="299"/>
      <c r="AC491" s="300"/>
      <c r="AD491" s="300"/>
    </row>
    <row r="492" spans="1:30" ht="12.75" customHeight="1" x14ac:dyDescent="0.2">
      <c r="A492" s="296"/>
      <c r="B492" s="296"/>
      <c r="C492" s="296"/>
      <c r="D492" s="298"/>
      <c r="E492" s="298"/>
      <c r="F492" s="296"/>
      <c r="G492" s="296"/>
      <c r="H492" s="296"/>
      <c r="I492" s="296"/>
      <c r="J492" s="296"/>
      <c r="K492" s="296"/>
      <c r="L492" s="296"/>
      <c r="M492" s="299"/>
      <c r="N492" s="299"/>
      <c r="O492" s="299"/>
      <c r="P492" s="299"/>
      <c r="Q492" s="299"/>
      <c r="R492" s="299"/>
      <c r="S492" s="299"/>
      <c r="T492" s="299"/>
      <c r="U492" s="299"/>
      <c r="V492" s="299"/>
      <c r="W492" s="299"/>
      <c r="X492" s="299"/>
      <c r="Y492" s="299"/>
      <c r="Z492" s="299"/>
      <c r="AA492" s="299"/>
      <c r="AB492" s="299"/>
      <c r="AC492" s="300"/>
      <c r="AD492" s="300"/>
    </row>
    <row r="493" spans="1:30" ht="12.75" customHeight="1" x14ac:dyDescent="0.2">
      <c r="A493" s="296"/>
      <c r="B493" s="296"/>
      <c r="C493" s="296"/>
      <c r="D493" s="298"/>
      <c r="E493" s="298"/>
      <c r="F493" s="296"/>
      <c r="G493" s="296"/>
      <c r="H493" s="296"/>
      <c r="I493" s="296"/>
      <c r="J493" s="296"/>
      <c r="K493" s="296"/>
      <c r="L493" s="296"/>
      <c r="M493" s="299"/>
      <c r="N493" s="299"/>
      <c r="O493" s="299"/>
      <c r="P493" s="299"/>
      <c r="Q493" s="299"/>
      <c r="R493" s="299"/>
      <c r="S493" s="299"/>
      <c r="T493" s="299"/>
      <c r="U493" s="299"/>
      <c r="V493" s="299"/>
      <c r="W493" s="299"/>
      <c r="X493" s="299"/>
      <c r="Y493" s="299"/>
      <c r="Z493" s="299"/>
      <c r="AA493" s="299"/>
      <c r="AB493" s="299"/>
      <c r="AC493" s="300"/>
      <c r="AD493" s="300"/>
    </row>
    <row r="494" spans="1:30" ht="12.75" customHeight="1" x14ac:dyDescent="0.2">
      <c r="A494" s="296"/>
      <c r="B494" s="296"/>
      <c r="C494" s="296"/>
      <c r="D494" s="298"/>
      <c r="E494" s="298"/>
      <c r="F494" s="296"/>
      <c r="G494" s="296"/>
      <c r="H494" s="296"/>
      <c r="I494" s="296"/>
      <c r="J494" s="296"/>
      <c r="K494" s="296"/>
      <c r="L494" s="296"/>
      <c r="M494" s="299"/>
      <c r="N494" s="299"/>
      <c r="O494" s="299"/>
      <c r="P494" s="299"/>
      <c r="Q494" s="299"/>
      <c r="R494" s="299"/>
      <c r="S494" s="299"/>
      <c r="T494" s="299"/>
      <c r="U494" s="299"/>
      <c r="V494" s="299"/>
      <c r="W494" s="299"/>
      <c r="X494" s="299"/>
      <c r="Y494" s="299"/>
      <c r="Z494" s="299"/>
      <c r="AA494" s="299"/>
      <c r="AB494" s="299"/>
      <c r="AC494" s="300"/>
      <c r="AD494" s="300"/>
    </row>
    <row r="495" spans="1:30" ht="12.75" customHeight="1" x14ac:dyDescent="0.2">
      <c r="A495" s="296"/>
      <c r="B495" s="296"/>
      <c r="C495" s="296"/>
      <c r="D495" s="298"/>
      <c r="E495" s="298"/>
      <c r="F495" s="296"/>
      <c r="G495" s="296"/>
      <c r="H495" s="296"/>
      <c r="I495" s="296"/>
      <c r="J495" s="296"/>
      <c r="K495" s="296"/>
      <c r="L495" s="296"/>
      <c r="M495" s="299"/>
      <c r="N495" s="299"/>
      <c r="O495" s="299"/>
      <c r="P495" s="299"/>
      <c r="Q495" s="299"/>
      <c r="R495" s="299"/>
      <c r="S495" s="299"/>
      <c r="T495" s="299"/>
      <c r="U495" s="299"/>
      <c r="V495" s="299"/>
      <c r="W495" s="299"/>
      <c r="X495" s="299"/>
      <c r="Y495" s="299"/>
      <c r="Z495" s="299"/>
      <c r="AA495" s="299"/>
      <c r="AB495" s="299"/>
      <c r="AC495" s="300"/>
      <c r="AD495" s="300"/>
    </row>
    <row r="496" spans="1:30" ht="12.75" customHeight="1" x14ac:dyDescent="0.2">
      <c r="A496" s="296"/>
      <c r="B496" s="296"/>
      <c r="C496" s="296"/>
      <c r="D496" s="298"/>
      <c r="E496" s="298"/>
      <c r="F496" s="296"/>
      <c r="G496" s="296"/>
      <c r="H496" s="296"/>
      <c r="I496" s="296"/>
      <c r="J496" s="296"/>
      <c r="K496" s="296"/>
      <c r="L496" s="296"/>
      <c r="M496" s="299"/>
      <c r="N496" s="299"/>
      <c r="O496" s="299"/>
      <c r="P496" s="299"/>
      <c r="Q496" s="299"/>
      <c r="R496" s="299"/>
      <c r="S496" s="299"/>
      <c r="T496" s="299"/>
      <c r="U496" s="299"/>
      <c r="V496" s="299"/>
      <c r="W496" s="299"/>
      <c r="X496" s="299"/>
      <c r="Y496" s="299"/>
      <c r="Z496" s="299"/>
      <c r="AA496" s="299"/>
      <c r="AB496" s="299"/>
      <c r="AC496" s="300"/>
      <c r="AD496" s="300"/>
    </row>
    <row r="497" spans="1:30" ht="12.75" customHeight="1" x14ac:dyDescent="0.2">
      <c r="A497" s="296"/>
      <c r="B497" s="296"/>
      <c r="C497" s="296"/>
      <c r="D497" s="298"/>
      <c r="E497" s="298"/>
      <c r="F497" s="296"/>
      <c r="G497" s="296"/>
      <c r="H497" s="296"/>
      <c r="I497" s="296"/>
      <c r="J497" s="296"/>
      <c r="K497" s="296"/>
      <c r="L497" s="296"/>
      <c r="M497" s="299"/>
      <c r="N497" s="299"/>
      <c r="O497" s="299"/>
      <c r="P497" s="299"/>
      <c r="Q497" s="299"/>
      <c r="R497" s="299"/>
      <c r="S497" s="299"/>
      <c r="T497" s="299"/>
      <c r="U497" s="299"/>
      <c r="V497" s="299"/>
      <c r="W497" s="299"/>
      <c r="X497" s="299"/>
      <c r="Y497" s="299"/>
      <c r="Z497" s="299"/>
      <c r="AA497" s="299"/>
      <c r="AB497" s="299"/>
      <c r="AC497" s="300"/>
      <c r="AD497" s="300"/>
    </row>
    <row r="498" spans="1:30" ht="12.75" customHeight="1" x14ac:dyDescent="0.2">
      <c r="A498" s="296"/>
      <c r="B498" s="296"/>
      <c r="C498" s="296"/>
      <c r="D498" s="298"/>
      <c r="E498" s="298"/>
      <c r="F498" s="296"/>
      <c r="G498" s="296"/>
      <c r="H498" s="296"/>
      <c r="I498" s="296"/>
      <c r="J498" s="296"/>
      <c r="K498" s="296"/>
      <c r="L498" s="296"/>
      <c r="M498" s="299"/>
      <c r="N498" s="299"/>
      <c r="O498" s="299"/>
      <c r="P498" s="299"/>
      <c r="Q498" s="299"/>
      <c r="R498" s="299"/>
      <c r="S498" s="299"/>
      <c r="T498" s="299"/>
      <c r="U498" s="299"/>
      <c r="V498" s="299"/>
      <c r="W498" s="299"/>
      <c r="X498" s="299"/>
      <c r="Y498" s="299"/>
      <c r="Z498" s="299"/>
      <c r="AA498" s="299"/>
      <c r="AB498" s="299"/>
      <c r="AC498" s="300"/>
      <c r="AD498" s="300"/>
    </row>
    <row r="499" spans="1:30" ht="12.75" customHeight="1" x14ac:dyDescent="0.2">
      <c r="A499" s="296"/>
      <c r="B499" s="296"/>
      <c r="C499" s="296"/>
      <c r="D499" s="298"/>
      <c r="E499" s="298"/>
      <c r="F499" s="296"/>
      <c r="G499" s="296"/>
      <c r="H499" s="296"/>
      <c r="I499" s="296"/>
      <c r="J499" s="296"/>
      <c r="K499" s="296"/>
      <c r="L499" s="296"/>
      <c r="M499" s="299"/>
      <c r="N499" s="299"/>
      <c r="O499" s="299"/>
      <c r="P499" s="299"/>
      <c r="Q499" s="299"/>
      <c r="R499" s="299"/>
      <c r="S499" s="299"/>
      <c r="T499" s="299"/>
      <c r="U499" s="299"/>
      <c r="V499" s="299"/>
      <c r="W499" s="299"/>
      <c r="X499" s="299"/>
      <c r="Y499" s="299"/>
      <c r="Z499" s="299"/>
      <c r="AA499" s="299"/>
      <c r="AB499" s="299"/>
      <c r="AC499" s="300"/>
      <c r="AD499" s="300"/>
    </row>
    <row r="500" spans="1:30" ht="12.75" customHeight="1" x14ac:dyDescent="0.2">
      <c r="A500" s="296"/>
      <c r="B500" s="296"/>
      <c r="C500" s="296"/>
      <c r="D500" s="298"/>
      <c r="E500" s="298"/>
      <c r="F500" s="296"/>
      <c r="G500" s="296"/>
      <c r="H500" s="296"/>
      <c r="I500" s="296"/>
      <c r="J500" s="296"/>
      <c r="K500" s="296"/>
      <c r="L500" s="296"/>
      <c r="M500" s="299"/>
      <c r="N500" s="299"/>
      <c r="O500" s="299"/>
      <c r="P500" s="299"/>
      <c r="Q500" s="299"/>
      <c r="R500" s="299"/>
      <c r="S500" s="299"/>
      <c r="T500" s="299"/>
      <c r="U500" s="299"/>
      <c r="V500" s="299"/>
      <c r="W500" s="299"/>
      <c r="X500" s="299"/>
      <c r="Y500" s="299"/>
      <c r="Z500" s="299"/>
      <c r="AA500" s="299"/>
      <c r="AB500" s="299"/>
      <c r="AC500" s="300"/>
      <c r="AD500" s="300"/>
    </row>
    <row r="501" spans="1:30" ht="12.75" customHeight="1" x14ac:dyDescent="0.2">
      <c r="A501" s="296"/>
      <c r="B501" s="296"/>
      <c r="C501" s="296"/>
      <c r="D501" s="298"/>
      <c r="E501" s="298"/>
      <c r="F501" s="296"/>
      <c r="G501" s="296"/>
      <c r="H501" s="296"/>
      <c r="I501" s="296"/>
      <c r="J501" s="296"/>
      <c r="K501" s="296"/>
      <c r="L501" s="296"/>
      <c r="M501" s="299"/>
      <c r="N501" s="299"/>
      <c r="O501" s="299"/>
      <c r="P501" s="299"/>
      <c r="Q501" s="299"/>
      <c r="R501" s="299"/>
      <c r="S501" s="299"/>
      <c r="T501" s="299"/>
      <c r="U501" s="299"/>
      <c r="V501" s="299"/>
      <c r="W501" s="299"/>
      <c r="X501" s="299"/>
      <c r="Y501" s="299"/>
      <c r="Z501" s="299"/>
      <c r="AA501" s="299"/>
      <c r="AB501" s="299"/>
      <c r="AC501" s="300"/>
      <c r="AD501" s="300"/>
    </row>
    <row r="502" spans="1:30" ht="12.75" customHeight="1" x14ac:dyDescent="0.2">
      <c r="A502" s="296"/>
      <c r="B502" s="296"/>
      <c r="C502" s="296"/>
      <c r="D502" s="298"/>
      <c r="E502" s="298"/>
      <c r="F502" s="296"/>
      <c r="G502" s="296"/>
      <c r="H502" s="296"/>
      <c r="I502" s="296"/>
      <c r="J502" s="296"/>
      <c r="K502" s="296"/>
      <c r="L502" s="296"/>
      <c r="M502" s="299"/>
      <c r="N502" s="299"/>
      <c r="O502" s="299"/>
      <c r="P502" s="299"/>
      <c r="Q502" s="299"/>
      <c r="R502" s="299"/>
      <c r="S502" s="299"/>
      <c r="T502" s="299"/>
      <c r="U502" s="299"/>
      <c r="V502" s="299"/>
      <c r="W502" s="299"/>
      <c r="X502" s="299"/>
      <c r="Y502" s="299"/>
      <c r="Z502" s="299"/>
      <c r="AA502" s="299"/>
      <c r="AB502" s="299"/>
      <c r="AC502" s="300"/>
      <c r="AD502" s="300"/>
    </row>
    <row r="503" spans="1:30" ht="12.75" customHeight="1" x14ac:dyDescent="0.2">
      <c r="A503" s="296"/>
      <c r="B503" s="296"/>
      <c r="C503" s="296"/>
      <c r="D503" s="298"/>
      <c r="E503" s="298"/>
      <c r="F503" s="296"/>
      <c r="G503" s="296"/>
      <c r="H503" s="296"/>
      <c r="I503" s="296"/>
      <c r="J503" s="296"/>
      <c r="K503" s="296"/>
      <c r="L503" s="296"/>
      <c r="M503" s="299"/>
      <c r="N503" s="299"/>
      <c r="O503" s="299"/>
      <c r="P503" s="299"/>
      <c r="Q503" s="299"/>
      <c r="R503" s="299"/>
      <c r="S503" s="299"/>
      <c r="T503" s="299"/>
      <c r="U503" s="299"/>
      <c r="V503" s="299"/>
      <c r="W503" s="299"/>
      <c r="X503" s="299"/>
      <c r="Y503" s="299"/>
      <c r="Z503" s="299"/>
      <c r="AA503" s="299"/>
      <c r="AB503" s="299"/>
      <c r="AC503" s="300"/>
      <c r="AD503" s="300"/>
    </row>
    <row r="504" spans="1:30" ht="12.75" customHeight="1" x14ac:dyDescent="0.2">
      <c r="A504" s="296"/>
      <c r="B504" s="296"/>
      <c r="C504" s="296"/>
      <c r="D504" s="298"/>
      <c r="E504" s="298"/>
      <c r="F504" s="296"/>
      <c r="G504" s="296"/>
      <c r="H504" s="296"/>
      <c r="I504" s="296"/>
      <c r="J504" s="296"/>
      <c r="K504" s="296"/>
      <c r="L504" s="296"/>
      <c r="M504" s="299"/>
      <c r="N504" s="299"/>
      <c r="O504" s="299"/>
      <c r="P504" s="299"/>
      <c r="Q504" s="299"/>
      <c r="R504" s="299"/>
      <c r="S504" s="299"/>
      <c r="T504" s="299"/>
      <c r="U504" s="299"/>
      <c r="V504" s="299"/>
      <c r="W504" s="299"/>
      <c r="X504" s="299"/>
      <c r="Y504" s="299"/>
      <c r="Z504" s="299"/>
      <c r="AA504" s="299"/>
      <c r="AB504" s="299"/>
      <c r="AC504" s="300"/>
      <c r="AD504" s="300"/>
    </row>
    <row r="505" spans="1:30" ht="12.75" customHeight="1" x14ac:dyDescent="0.2">
      <c r="A505" s="296"/>
      <c r="B505" s="296"/>
      <c r="C505" s="296"/>
      <c r="D505" s="298"/>
      <c r="E505" s="298"/>
      <c r="F505" s="296"/>
      <c r="G505" s="296"/>
      <c r="H505" s="296"/>
      <c r="I505" s="296"/>
      <c r="J505" s="296"/>
      <c r="K505" s="296"/>
      <c r="L505" s="296"/>
      <c r="M505" s="299"/>
      <c r="N505" s="299"/>
      <c r="O505" s="299"/>
      <c r="P505" s="299"/>
      <c r="Q505" s="299"/>
      <c r="R505" s="299"/>
      <c r="S505" s="299"/>
      <c r="T505" s="299"/>
      <c r="U505" s="299"/>
      <c r="V505" s="299"/>
      <c r="W505" s="299"/>
      <c r="X505" s="299"/>
      <c r="Y505" s="299"/>
      <c r="Z505" s="299"/>
      <c r="AA505" s="299"/>
      <c r="AB505" s="299"/>
      <c r="AC505" s="300"/>
      <c r="AD505" s="300"/>
    </row>
    <row r="506" spans="1:30" ht="12.75" customHeight="1" x14ac:dyDescent="0.2">
      <c r="A506" s="296"/>
      <c r="B506" s="296"/>
      <c r="C506" s="296"/>
      <c r="D506" s="298"/>
      <c r="E506" s="298"/>
      <c r="F506" s="296"/>
      <c r="G506" s="296"/>
      <c r="H506" s="296"/>
      <c r="I506" s="296"/>
      <c r="J506" s="296"/>
      <c r="K506" s="296"/>
      <c r="L506" s="296"/>
      <c r="M506" s="299"/>
      <c r="N506" s="299"/>
      <c r="O506" s="299"/>
      <c r="P506" s="299"/>
      <c r="Q506" s="299"/>
      <c r="R506" s="299"/>
      <c r="S506" s="299"/>
      <c r="T506" s="299"/>
      <c r="U506" s="299"/>
      <c r="V506" s="299"/>
      <c r="W506" s="299"/>
      <c r="X506" s="299"/>
      <c r="Y506" s="299"/>
      <c r="Z506" s="299"/>
      <c r="AA506" s="299"/>
      <c r="AB506" s="299"/>
      <c r="AC506" s="300"/>
      <c r="AD506" s="300"/>
    </row>
    <row r="507" spans="1:30" ht="12.75" customHeight="1" x14ac:dyDescent="0.2">
      <c r="A507" s="296"/>
      <c r="B507" s="296"/>
      <c r="C507" s="296"/>
      <c r="D507" s="298"/>
      <c r="E507" s="298"/>
      <c r="F507" s="296"/>
      <c r="G507" s="296"/>
      <c r="H507" s="296"/>
      <c r="I507" s="296"/>
      <c r="J507" s="296"/>
      <c r="K507" s="296"/>
      <c r="L507" s="296"/>
      <c r="M507" s="299"/>
      <c r="N507" s="299"/>
      <c r="O507" s="299"/>
      <c r="P507" s="299"/>
      <c r="Q507" s="299"/>
      <c r="R507" s="299"/>
      <c r="S507" s="299"/>
      <c r="T507" s="299"/>
      <c r="U507" s="299"/>
      <c r="V507" s="299"/>
      <c r="W507" s="299"/>
      <c r="X507" s="299"/>
      <c r="Y507" s="299"/>
      <c r="Z507" s="299"/>
      <c r="AA507" s="299"/>
      <c r="AB507" s="299"/>
      <c r="AC507" s="300"/>
      <c r="AD507" s="300"/>
    </row>
    <row r="508" spans="1:30" ht="12.75" customHeight="1" x14ac:dyDescent="0.2">
      <c r="A508" s="296"/>
      <c r="B508" s="296"/>
      <c r="C508" s="296"/>
      <c r="D508" s="298"/>
      <c r="E508" s="298"/>
      <c r="F508" s="296"/>
      <c r="G508" s="296"/>
      <c r="H508" s="296"/>
      <c r="I508" s="296"/>
      <c r="J508" s="296"/>
      <c r="K508" s="296"/>
      <c r="L508" s="296"/>
      <c r="M508" s="299"/>
      <c r="N508" s="299"/>
      <c r="O508" s="299"/>
      <c r="P508" s="299"/>
      <c r="Q508" s="299"/>
      <c r="R508" s="299"/>
      <c r="S508" s="299"/>
      <c r="T508" s="299"/>
      <c r="U508" s="299"/>
      <c r="V508" s="299"/>
      <c r="W508" s="299"/>
      <c r="X508" s="299"/>
      <c r="Y508" s="299"/>
      <c r="Z508" s="299"/>
      <c r="AA508" s="299"/>
      <c r="AB508" s="299"/>
      <c r="AC508" s="300"/>
      <c r="AD508" s="300"/>
    </row>
    <row r="509" spans="1:30" ht="12.75" customHeight="1" x14ac:dyDescent="0.2">
      <c r="A509" s="296"/>
      <c r="B509" s="296"/>
      <c r="C509" s="296"/>
      <c r="D509" s="298"/>
      <c r="E509" s="298"/>
      <c r="F509" s="296"/>
      <c r="G509" s="296"/>
      <c r="H509" s="296"/>
      <c r="I509" s="296"/>
      <c r="J509" s="296"/>
      <c r="K509" s="296"/>
      <c r="L509" s="296"/>
      <c r="M509" s="299"/>
      <c r="N509" s="299"/>
      <c r="O509" s="299"/>
      <c r="P509" s="299"/>
      <c r="Q509" s="299"/>
      <c r="R509" s="299"/>
      <c r="S509" s="299"/>
      <c r="T509" s="299"/>
      <c r="U509" s="299"/>
      <c r="V509" s="299"/>
      <c r="W509" s="299"/>
      <c r="X509" s="299"/>
      <c r="Y509" s="299"/>
      <c r="Z509" s="299"/>
      <c r="AA509" s="299"/>
      <c r="AB509" s="299"/>
      <c r="AC509" s="300"/>
      <c r="AD509" s="300"/>
    </row>
    <row r="510" spans="1:30" ht="12.75" customHeight="1" x14ac:dyDescent="0.2">
      <c r="A510" s="296"/>
      <c r="B510" s="296"/>
      <c r="C510" s="296"/>
      <c r="D510" s="298"/>
      <c r="E510" s="298"/>
      <c r="F510" s="296"/>
      <c r="G510" s="296"/>
      <c r="H510" s="296"/>
      <c r="I510" s="296"/>
      <c r="J510" s="296"/>
      <c r="K510" s="296"/>
      <c r="L510" s="296"/>
      <c r="M510" s="299"/>
      <c r="N510" s="299"/>
      <c r="O510" s="299"/>
      <c r="P510" s="299"/>
      <c r="Q510" s="299"/>
      <c r="R510" s="299"/>
      <c r="S510" s="299"/>
      <c r="T510" s="299"/>
      <c r="U510" s="299"/>
      <c r="V510" s="299"/>
      <c r="W510" s="299"/>
      <c r="X510" s="299"/>
      <c r="Y510" s="299"/>
      <c r="Z510" s="299"/>
      <c r="AA510" s="299"/>
      <c r="AB510" s="299"/>
      <c r="AC510" s="300"/>
      <c r="AD510" s="300"/>
    </row>
    <row r="511" spans="1:30" ht="12.75" customHeight="1" x14ac:dyDescent="0.2">
      <c r="A511" s="296"/>
      <c r="B511" s="296"/>
      <c r="C511" s="296"/>
      <c r="D511" s="298"/>
      <c r="E511" s="298"/>
      <c r="F511" s="296"/>
      <c r="G511" s="296"/>
      <c r="H511" s="296"/>
      <c r="I511" s="296"/>
      <c r="J511" s="296"/>
      <c r="K511" s="296"/>
      <c r="L511" s="296"/>
      <c r="M511" s="299"/>
      <c r="N511" s="299"/>
      <c r="O511" s="299"/>
      <c r="P511" s="299"/>
      <c r="Q511" s="299"/>
      <c r="R511" s="299"/>
      <c r="S511" s="299"/>
      <c r="T511" s="299"/>
      <c r="U511" s="299"/>
      <c r="V511" s="299"/>
      <c r="W511" s="299"/>
      <c r="X511" s="299"/>
      <c r="Y511" s="299"/>
      <c r="Z511" s="299"/>
      <c r="AA511" s="299"/>
      <c r="AB511" s="299"/>
      <c r="AC511" s="300"/>
      <c r="AD511" s="300"/>
    </row>
    <row r="512" spans="1:30" ht="12.75" customHeight="1" x14ac:dyDescent="0.2">
      <c r="A512" s="296"/>
      <c r="B512" s="296"/>
      <c r="C512" s="296"/>
      <c r="D512" s="298"/>
      <c r="E512" s="298"/>
      <c r="F512" s="296"/>
      <c r="G512" s="296"/>
      <c r="H512" s="296"/>
      <c r="I512" s="296"/>
      <c r="J512" s="296"/>
      <c r="K512" s="296"/>
      <c r="L512" s="296"/>
      <c r="M512" s="299"/>
      <c r="N512" s="299"/>
      <c r="O512" s="299"/>
      <c r="P512" s="299"/>
      <c r="Q512" s="299"/>
      <c r="R512" s="299"/>
      <c r="S512" s="299"/>
      <c r="T512" s="299"/>
      <c r="U512" s="299"/>
      <c r="V512" s="299"/>
      <c r="W512" s="299"/>
      <c r="X512" s="299"/>
      <c r="Y512" s="299"/>
      <c r="Z512" s="299"/>
      <c r="AA512" s="299"/>
      <c r="AB512" s="299"/>
      <c r="AC512" s="300"/>
      <c r="AD512" s="300"/>
    </row>
    <row r="513" spans="1:30" ht="12.75" customHeight="1" x14ac:dyDescent="0.2">
      <c r="A513" s="296"/>
      <c r="B513" s="296"/>
      <c r="C513" s="296"/>
      <c r="D513" s="298"/>
      <c r="E513" s="298"/>
      <c r="F513" s="296"/>
      <c r="G513" s="296"/>
      <c r="H513" s="296"/>
      <c r="I513" s="296"/>
      <c r="J513" s="296"/>
      <c r="K513" s="296"/>
      <c r="L513" s="296"/>
      <c r="M513" s="299"/>
      <c r="N513" s="299"/>
      <c r="O513" s="299"/>
      <c r="P513" s="299"/>
      <c r="Q513" s="299"/>
      <c r="R513" s="299"/>
      <c r="S513" s="299"/>
      <c r="T513" s="299"/>
      <c r="U513" s="299"/>
      <c r="V513" s="299"/>
      <c r="W513" s="299"/>
      <c r="X513" s="299"/>
      <c r="Y513" s="299"/>
      <c r="Z513" s="299"/>
      <c r="AA513" s="299"/>
      <c r="AB513" s="299"/>
      <c r="AC513" s="300"/>
      <c r="AD513" s="300"/>
    </row>
    <row r="514" spans="1:30" ht="12.75" customHeight="1" x14ac:dyDescent="0.2">
      <c r="A514" s="296"/>
      <c r="B514" s="296"/>
      <c r="C514" s="296"/>
      <c r="D514" s="298"/>
      <c r="E514" s="298"/>
      <c r="F514" s="296"/>
      <c r="G514" s="296"/>
      <c r="H514" s="296"/>
      <c r="I514" s="296"/>
      <c r="J514" s="296"/>
      <c r="K514" s="296"/>
      <c r="L514" s="296"/>
      <c r="M514" s="299"/>
      <c r="N514" s="299"/>
      <c r="O514" s="299"/>
      <c r="P514" s="299"/>
      <c r="Q514" s="299"/>
      <c r="R514" s="299"/>
      <c r="S514" s="299"/>
      <c r="T514" s="299"/>
      <c r="U514" s="299"/>
      <c r="V514" s="299"/>
      <c r="W514" s="299"/>
      <c r="X514" s="299"/>
      <c r="Y514" s="299"/>
      <c r="Z514" s="299"/>
      <c r="AA514" s="299"/>
      <c r="AB514" s="299"/>
      <c r="AC514" s="300"/>
      <c r="AD514" s="300"/>
    </row>
    <row r="515" spans="1:30" ht="12.75" customHeight="1" x14ac:dyDescent="0.2">
      <c r="A515" s="296"/>
      <c r="B515" s="296"/>
      <c r="C515" s="296"/>
      <c r="D515" s="298"/>
      <c r="E515" s="298"/>
      <c r="F515" s="296"/>
      <c r="G515" s="296"/>
      <c r="H515" s="296"/>
      <c r="I515" s="296"/>
      <c r="J515" s="296"/>
      <c r="K515" s="296"/>
      <c r="L515" s="296"/>
      <c r="M515" s="299"/>
      <c r="N515" s="299"/>
      <c r="O515" s="299"/>
      <c r="P515" s="299"/>
      <c r="Q515" s="299"/>
      <c r="R515" s="299"/>
      <c r="S515" s="299"/>
      <c r="T515" s="299"/>
      <c r="U515" s="299"/>
      <c r="V515" s="299"/>
      <c r="W515" s="299"/>
      <c r="X515" s="299"/>
      <c r="Y515" s="299"/>
      <c r="Z515" s="299"/>
      <c r="AA515" s="299"/>
      <c r="AB515" s="299"/>
      <c r="AC515" s="300"/>
      <c r="AD515" s="300"/>
    </row>
    <row r="516" spans="1:30" ht="12.75" customHeight="1" x14ac:dyDescent="0.2">
      <c r="A516" s="296"/>
      <c r="B516" s="296"/>
      <c r="C516" s="296"/>
      <c r="D516" s="298"/>
      <c r="E516" s="298"/>
      <c r="F516" s="296"/>
      <c r="G516" s="296"/>
      <c r="H516" s="296"/>
      <c r="I516" s="296"/>
      <c r="J516" s="296"/>
      <c r="K516" s="296"/>
      <c r="L516" s="296"/>
      <c r="M516" s="299"/>
      <c r="N516" s="299"/>
      <c r="O516" s="299"/>
      <c r="P516" s="299"/>
      <c r="Q516" s="299"/>
      <c r="R516" s="299"/>
      <c r="S516" s="299"/>
      <c r="T516" s="299"/>
      <c r="U516" s="299"/>
      <c r="V516" s="299"/>
      <c r="W516" s="299"/>
      <c r="X516" s="299"/>
      <c r="Y516" s="299"/>
      <c r="Z516" s="299"/>
      <c r="AA516" s="299"/>
      <c r="AB516" s="299"/>
      <c r="AC516" s="300"/>
      <c r="AD516" s="300"/>
    </row>
    <row r="517" spans="1:30" ht="12.75" customHeight="1" x14ac:dyDescent="0.2">
      <c r="A517" s="296"/>
      <c r="B517" s="296"/>
      <c r="C517" s="296"/>
      <c r="D517" s="298"/>
      <c r="E517" s="298"/>
      <c r="F517" s="296"/>
      <c r="G517" s="296"/>
      <c r="H517" s="296"/>
      <c r="I517" s="296"/>
      <c r="J517" s="296"/>
      <c r="K517" s="296"/>
      <c r="L517" s="296"/>
      <c r="M517" s="299"/>
      <c r="N517" s="299"/>
      <c r="O517" s="299"/>
      <c r="P517" s="299"/>
      <c r="Q517" s="299"/>
      <c r="R517" s="299"/>
      <c r="S517" s="299"/>
      <c r="T517" s="299"/>
      <c r="U517" s="299"/>
      <c r="V517" s="299"/>
      <c r="W517" s="299"/>
      <c r="X517" s="299"/>
      <c r="Y517" s="299"/>
      <c r="Z517" s="299"/>
      <c r="AA517" s="299"/>
      <c r="AB517" s="299"/>
      <c r="AC517" s="300"/>
      <c r="AD517" s="300"/>
    </row>
    <row r="518" spans="1:30" ht="12.75" customHeight="1" x14ac:dyDescent="0.2">
      <c r="A518" s="296"/>
      <c r="B518" s="296"/>
      <c r="C518" s="296"/>
      <c r="D518" s="298"/>
      <c r="E518" s="298"/>
      <c r="F518" s="296"/>
      <c r="G518" s="296"/>
      <c r="H518" s="296"/>
      <c r="I518" s="296"/>
      <c r="J518" s="296"/>
      <c r="K518" s="296"/>
      <c r="L518" s="296"/>
      <c r="M518" s="299"/>
      <c r="N518" s="299"/>
      <c r="O518" s="299"/>
      <c r="P518" s="299"/>
      <c r="Q518" s="299"/>
      <c r="R518" s="299"/>
      <c r="S518" s="299"/>
      <c r="T518" s="299"/>
      <c r="U518" s="299"/>
      <c r="V518" s="299"/>
      <c r="W518" s="299"/>
      <c r="X518" s="299"/>
      <c r="Y518" s="299"/>
      <c r="Z518" s="299"/>
      <c r="AA518" s="299"/>
      <c r="AB518" s="299"/>
      <c r="AC518" s="300"/>
      <c r="AD518" s="300"/>
    </row>
    <row r="519" spans="1:30" ht="12.75" customHeight="1" x14ac:dyDescent="0.2">
      <c r="A519" s="296"/>
      <c r="B519" s="296"/>
      <c r="C519" s="296"/>
      <c r="D519" s="298"/>
      <c r="E519" s="298"/>
      <c r="F519" s="296"/>
      <c r="G519" s="296"/>
      <c r="H519" s="296"/>
      <c r="I519" s="296"/>
      <c r="J519" s="296"/>
      <c r="K519" s="296"/>
      <c r="L519" s="296"/>
      <c r="M519" s="299"/>
      <c r="N519" s="299"/>
      <c r="O519" s="299"/>
      <c r="P519" s="299"/>
      <c r="Q519" s="299"/>
      <c r="R519" s="299"/>
      <c r="S519" s="299"/>
      <c r="T519" s="299"/>
      <c r="U519" s="299"/>
      <c r="V519" s="299"/>
      <c r="W519" s="299"/>
      <c r="X519" s="299"/>
      <c r="Y519" s="299"/>
      <c r="Z519" s="299"/>
      <c r="AA519" s="299"/>
      <c r="AB519" s="299"/>
      <c r="AC519" s="300"/>
      <c r="AD519" s="300"/>
    </row>
    <row r="520" spans="1:30" ht="12.75" customHeight="1" x14ac:dyDescent="0.2">
      <c r="A520" s="296"/>
      <c r="B520" s="296"/>
      <c r="C520" s="296"/>
      <c r="D520" s="298"/>
      <c r="E520" s="298"/>
      <c r="F520" s="296"/>
      <c r="G520" s="296"/>
      <c r="H520" s="296"/>
      <c r="I520" s="296"/>
      <c r="J520" s="296"/>
      <c r="K520" s="296"/>
      <c r="L520" s="296"/>
      <c r="M520" s="299"/>
      <c r="N520" s="299"/>
      <c r="O520" s="299"/>
      <c r="P520" s="299"/>
      <c r="Q520" s="299"/>
      <c r="R520" s="299"/>
      <c r="S520" s="299"/>
      <c r="T520" s="299"/>
      <c r="U520" s="299"/>
      <c r="V520" s="299"/>
      <c r="W520" s="299"/>
      <c r="X520" s="299"/>
      <c r="Y520" s="299"/>
      <c r="Z520" s="299"/>
      <c r="AA520" s="299"/>
      <c r="AB520" s="299"/>
      <c r="AC520" s="300"/>
      <c r="AD520" s="300"/>
    </row>
    <row r="521" spans="1:30" ht="12.75" customHeight="1" x14ac:dyDescent="0.2">
      <c r="A521" s="296"/>
      <c r="B521" s="296"/>
      <c r="C521" s="296"/>
      <c r="D521" s="298"/>
      <c r="E521" s="298"/>
      <c r="F521" s="296"/>
      <c r="G521" s="296"/>
      <c r="H521" s="296"/>
      <c r="I521" s="296"/>
      <c r="J521" s="296"/>
      <c r="K521" s="296"/>
      <c r="L521" s="296"/>
      <c r="M521" s="299"/>
      <c r="N521" s="299"/>
      <c r="O521" s="299"/>
      <c r="P521" s="299"/>
      <c r="Q521" s="299"/>
      <c r="R521" s="299"/>
      <c r="S521" s="299"/>
      <c r="T521" s="299"/>
      <c r="U521" s="299"/>
      <c r="V521" s="299"/>
      <c r="W521" s="299"/>
      <c r="X521" s="299"/>
      <c r="Y521" s="299"/>
      <c r="Z521" s="299"/>
      <c r="AA521" s="299"/>
      <c r="AB521" s="299"/>
      <c r="AC521" s="300"/>
      <c r="AD521" s="300"/>
    </row>
    <row r="522" spans="1:30" ht="12.75" customHeight="1" x14ac:dyDescent="0.2">
      <c r="A522" s="296"/>
      <c r="B522" s="296"/>
      <c r="C522" s="296"/>
      <c r="D522" s="298"/>
      <c r="E522" s="298"/>
      <c r="F522" s="296"/>
      <c r="G522" s="296"/>
      <c r="H522" s="296"/>
      <c r="I522" s="296"/>
      <c r="J522" s="296"/>
      <c r="K522" s="296"/>
      <c r="L522" s="296"/>
      <c r="M522" s="299"/>
      <c r="N522" s="299"/>
      <c r="O522" s="299"/>
      <c r="P522" s="299"/>
      <c r="Q522" s="299"/>
      <c r="R522" s="299"/>
      <c r="S522" s="299"/>
      <c r="T522" s="299"/>
      <c r="U522" s="299"/>
      <c r="V522" s="299"/>
      <c r="W522" s="299"/>
      <c r="X522" s="299"/>
      <c r="Y522" s="299"/>
      <c r="Z522" s="299"/>
      <c r="AA522" s="299"/>
      <c r="AB522" s="299"/>
      <c r="AC522" s="300"/>
      <c r="AD522" s="300"/>
    </row>
    <row r="523" spans="1:30" ht="12.75" customHeight="1" x14ac:dyDescent="0.2">
      <c r="A523" s="296"/>
      <c r="B523" s="296"/>
      <c r="C523" s="296"/>
      <c r="D523" s="298"/>
      <c r="E523" s="298"/>
      <c r="F523" s="296"/>
      <c r="G523" s="296"/>
      <c r="H523" s="296"/>
      <c r="I523" s="296"/>
      <c r="J523" s="296"/>
      <c r="K523" s="296"/>
      <c r="L523" s="296"/>
      <c r="M523" s="299"/>
      <c r="N523" s="299"/>
      <c r="O523" s="299"/>
      <c r="P523" s="299"/>
      <c r="Q523" s="299"/>
      <c r="R523" s="299"/>
      <c r="S523" s="299"/>
      <c r="T523" s="299"/>
      <c r="U523" s="299"/>
      <c r="V523" s="299"/>
      <c r="W523" s="299"/>
      <c r="X523" s="299"/>
      <c r="Y523" s="299"/>
      <c r="Z523" s="299"/>
      <c r="AA523" s="299"/>
      <c r="AB523" s="299"/>
      <c r="AC523" s="300"/>
      <c r="AD523" s="300"/>
    </row>
    <row r="524" spans="1:30" ht="12.75" customHeight="1" x14ac:dyDescent="0.2">
      <c r="A524" s="296"/>
      <c r="B524" s="296"/>
      <c r="C524" s="296"/>
      <c r="D524" s="298"/>
      <c r="E524" s="298"/>
      <c r="F524" s="296"/>
      <c r="G524" s="296"/>
      <c r="H524" s="296"/>
      <c r="I524" s="296"/>
      <c r="J524" s="296"/>
      <c r="K524" s="296"/>
      <c r="L524" s="296"/>
      <c r="M524" s="299"/>
      <c r="N524" s="299"/>
      <c r="O524" s="299"/>
      <c r="P524" s="299"/>
      <c r="Q524" s="299"/>
      <c r="R524" s="299"/>
      <c r="S524" s="299"/>
      <c r="T524" s="299"/>
      <c r="U524" s="299"/>
      <c r="V524" s="299"/>
      <c r="W524" s="299"/>
      <c r="X524" s="299"/>
      <c r="Y524" s="299"/>
      <c r="Z524" s="299"/>
      <c r="AA524" s="299"/>
      <c r="AB524" s="299"/>
      <c r="AC524" s="300"/>
      <c r="AD524" s="300"/>
    </row>
    <row r="525" spans="1:30" ht="12.75" customHeight="1" x14ac:dyDescent="0.2">
      <c r="A525" s="296"/>
      <c r="B525" s="296"/>
      <c r="C525" s="296"/>
      <c r="D525" s="298"/>
      <c r="E525" s="298"/>
      <c r="F525" s="296"/>
      <c r="G525" s="296"/>
      <c r="H525" s="296"/>
      <c r="I525" s="296"/>
      <c r="J525" s="296"/>
      <c r="K525" s="296"/>
      <c r="L525" s="296"/>
      <c r="M525" s="299"/>
      <c r="N525" s="299"/>
      <c r="O525" s="299"/>
      <c r="P525" s="299"/>
      <c r="Q525" s="299"/>
      <c r="R525" s="299"/>
      <c r="S525" s="299"/>
      <c r="T525" s="299"/>
      <c r="U525" s="299"/>
      <c r="V525" s="299"/>
      <c r="W525" s="299"/>
      <c r="X525" s="299"/>
      <c r="Y525" s="299"/>
      <c r="Z525" s="299"/>
      <c r="AA525" s="299"/>
      <c r="AB525" s="299"/>
      <c r="AC525" s="300"/>
      <c r="AD525" s="300"/>
    </row>
    <row r="526" spans="1:30" ht="12.75" customHeight="1" x14ac:dyDescent="0.2">
      <c r="A526" s="296"/>
      <c r="B526" s="296"/>
      <c r="C526" s="296"/>
      <c r="D526" s="298"/>
      <c r="E526" s="298"/>
      <c r="F526" s="296"/>
      <c r="G526" s="296"/>
      <c r="H526" s="296"/>
      <c r="I526" s="296"/>
      <c r="J526" s="296"/>
      <c r="K526" s="296"/>
      <c r="L526" s="296"/>
      <c r="M526" s="299"/>
      <c r="N526" s="299"/>
      <c r="O526" s="299"/>
      <c r="P526" s="299"/>
      <c r="Q526" s="299"/>
      <c r="R526" s="299"/>
      <c r="S526" s="299"/>
      <c r="T526" s="299"/>
      <c r="U526" s="299"/>
      <c r="V526" s="299"/>
      <c r="W526" s="299"/>
      <c r="X526" s="299"/>
      <c r="Y526" s="299"/>
      <c r="Z526" s="299"/>
      <c r="AA526" s="299"/>
      <c r="AB526" s="299"/>
      <c r="AC526" s="300"/>
      <c r="AD526" s="300"/>
    </row>
    <row r="527" spans="1:30" ht="12.75" customHeight="1" x14ac:dyDescent="0.2">
      <c r="A527" s="296"/>
      <c r="B527" s="296"/>
      <c r="C527" s="296"/>
      <c r="D527" s="298"/>
      <c r="E527" s="298"/>
      <c r="F527" s="296"/>
      <c r="G527" s="296"/>
      <c r="H527" s="296"/>
      <c r="I527" s="296"/>
      <c r="J527" s="296"/>
      <c r="K527" s="296"/>
      <c r="L527" s="296"/>
      <c r="M527" s="299"/>
      <c r="N527" s="299"/>
      <c r="O527" s="299"/>
      <c r="P527" s="299"/>
      <c r="Q527" s="299"/>
      <c r="R527" s="299"/>
      <c r="S527" s="299"/>
      <c r="T527" s="299"/>
      <c r="U527" s="299"/>
      <c r="V527" s="299"/>
      <c r="W527" s="299"/>
      <c r="X527" s="299"/>
      <c r="Y527" s="299"/>
      <c r="Z527" s="299"/>
      <c r="AA527" s="299"/>
      <c r="AB527" s="299"/>
      <c r="AC527" s="300"/>
      <c r="AD527" s="300"/>
    </row>
    <row r="528" spans="1:30" ht="12.75" customHeight="1" x14ac:dyDescent="0.2">
      <c r="A528" s="296"/>
      <c r="B528" s="296"/>
      <c r="C528" s="296"/>
      <c r="D528" s="298"/>
      <c r="E528" s="298"/>
      <c r="F528" s="296"/>
      <c r="G528" s="296"/>
      <c r="H528" s="296"/>
      <c r="I528" s="296"/>
      <c r="J528" s="296"/>
      <c r="K528" s="296"/>
      <c r="L528" s="296"/>
      <c r="M528" s="299"/>
      <c r="N528" s="299"/>
      <c r="O528" s="299"/>
      <c r="P528" s="299"/>
      <c r="Q528" s="299"/>
      <c r="R528" s="299"/>
      <c r="S528" s="299"/>
      <c r="T528" s="299"/>
      <c r="U528" s="299"/>
      <c r="V528" s="299"/>
      <c r="W528" s="299"/>
      <c r="X528" s="299"/>
      <c r="Y528" s="299"/>
      <c r="Z528" s="299"/>
      <c r="AA528" s="299"/>
      <c r="AB528" s="299"/>
      <c r="AC528" s="300"/>
      <c r="AD528" s="300"/>
    </row>
    <row r="529" spans="1:30" ht="12.75" customHeight="1" x14ac:dyDescent="0.2">
      <c r="A529" s="296"/>
      <c r="B529" s="296"/>
      <c r="C529" s="296"/>
      <c r="D529" s="298"/>
      <c r="E529" s="298"/>
      <c r="F529" s="296"/>
      <c r="G529" s="296"/>
      <c r="H529" s="296"/>
      <c r="I529" s="296"/>
      <c r="J529" s="296"/>
      <c r="K529" s="296"/>
      <c r="L529" s="296"/>
      <c r="M529" s="299"/>
      <c r="N529" s="299"/>
      <c r="O529" s="299"/>
      <c r="P529" s="299"/>
      <c r="Q529" s="299"/>
      <c r="R529" s="299"/>
      <c r="S529" s="299"/>
      <c r="T529" s="299"/>
      <c r="U529" s="299"/>
      <c r="V529" s="299"/>
      <c r="W529" s="299"/>
      <c r="X529" s="299"/>
      <c r="Y529" s="299"/>
      <c r="Z529" s="299"/>
      <c r="AA529" s="299"/>
      <c r="AB529" s="299"/>
      <c r="AC529" s="300"/>
      <c r="AD529" s="300"/>
    </row>
    <row r="530" spans="1:30" ht="12.75" customHeight="1" x14ac:dyDescent="0.2">
      <c r="A530" s="296"/>
      <c r="B530" s="296"/>
      <c r="C530" s="296"/>
      <c r="D530" s="298"/>
      <c r="E530" s="298"/>
      <c r="F530" s="296"/>
      <c r="G530" s="296"/>
      <c r="H530" s="296"/>
      <c r="I530" s="296"/>
      <c r="J530" s="296"/>
      <c r="K530" s="296"/>
      <c r="L530" s="296"/>
      <c r="M530" s="299"/>
      <c r="N530" s="299"/>
      <c r="O530" s="299"/>
      <c r="P530" s="299"/>
      <c r="Q530" s="299"/>
      <c r="R530" s="299"/>
      <c r="S530" s="299"/>
      <c r="T530" s="299"/>
      <c r="U530" s="299"/>
      <c r="V530" s="299"/>
      <c r="W530" s="299"/>
      <c r="X530" s="299"/>
      <c r="Y530" s="299"/>
      <c r="Z530" s="299"/>
      <c r="AA530" s="299"/>
      <c r="AB530" s="299"/>
      <c r="AC530" s="300"/>
      <c r="AD530" s="300"/>
    </row>
    <row r="531" spans="1:30" ht="12.75" customHeight="1" x14ac:dyDescent="0.2">
      <c r="A531" s="296"/>
      <c r="B531" s="296"/>
      <c r="C531" s="296"/>
      <c r="D531" s="298"/>
      <c r="E531" s="298"/>
      <c r="F531" s="296"/>
      <c r="G531" s="296"/>
      <c r="H531" s="296"/>
      <c r="I531" s="296"/>
      <c r="J531" s="296"/>
      <c r="K531" s="296"/>
      <c r="L531" s="296"/>
      <c r="M531" s="299"/>
      <c r="N531" s="299"/>
      <c r="O531" s="299"/>
      <c r="P531" s="299"/>
      <c r="Q531" s="299"/>
      <c r="R531" s="299"/>
      <c r="S531" s="299"/>
      <c r="T531" s="299"/>
      <c r="U531" s="299"/>
      <c r="V531" s="299"/>
      <c r="W531" s="299"/>
      <c r="X531" s="299"/>
      <c r="Y531" s="299"/>
      <c r="Z531" s="299"/>
      <c r="AA531" s="299"/>
      <c r="AB531" s="299"/>
      <c r="AC531" s="300"/>
      <c r="AD531" s="300"/>
    </row>
    <row r="532" spans="1:30" ht="12.75" customHeight="1" x14ac:dyDescent="0.2">
      <c r="A532" s="296"/>
      <c r="B532" s="296"/>
      <c r="C532" s="296"/>
      <c r="D532" s="298"/>
      <c r="E532" s="298"/>
      <c r="F532" s="296"/>
      <c r="G532" s="296"/>
      <c r="H532" s="296"/>
      <c r="I532" s="296"/>
      <c r="J532" s="296"/>
      <c r="K532" s="296"/>
      <c r="L532" s="296"/>
      <c r="M532" s="299"/>
      <c r="N532" s="299"/>
      <c r="O532" s="299"/>
      <c r="P532" s="299"/>
      <c r="Q532" s="299"/>
      <c r="R532" s="299"/>
      <c r="S532" s="299"/>
      <c r="T532" s="299"/>
      <c r="U532" s="299"/>
      <c r="V532" s="299"/>
      <c r="W532" s="299"/>
      <c r="X532" s="299"/>
      <c r="Y532" s="299"/>
      <c r="Z532" s="299"/>
      <c r="AA532" s="299"/>
      <c r="AB532" s="299"/>
      <c r="AC532" s="300"/>
      <c r="AD532" s="300"/>
    </row>
    <row r="533" spans="1:30" ht="12.75" customHeight="1" x14ac:dyDescent="0.2">
      <c r="A533" s="296"/>
      <c r="B533" s="296"/>
      <c r="C533" s="296"/>
      <c r="D533" s="298"/>
      <c r="E533" s="298"/>
      <c r="F533" s="296"/>
      <c r="G533" s="296"/>
      <c r="H533" s="296"/>
      <c r="I533" s="296"/>
      <c r="J533" s="296"/>
      <c r="K533" s="296"/>
      <c r="L533" s="296"/>
      <c r="M533" s="299"/>
      <c r="N533" s="299"/>
      <c r="O533" s="299"/>
      <c r="P533" s="299"/>
      <c r="Q533" s="299"/>
      <c r="R533" s="299"/>
      <c r="S533" s="299"/>
      <c r="T533" s="299"/>
      <c r="U533" s="299"/>
      <c r="V533" s="299"/>
      <c r="W533" s="299"/>
      <c r="X533" s="299"/>
      <c r="Y533" s="299"/>
      <c r="Z533" s="299"/>
      <c r="AA533" s="299"/>
      <c r="AB533" s="299"/>
      <c r="AC533" s="300"/>
      <c r="AD533" s="300"/>
    </row>
    <row r="534" spans="1:30" ht="12.75" customHeight="1" x14ac:dyDescent="0.2">
      <c r="A534" s="296"/>
      <c r="B534" s="296"/>
      <c r="C534" s="296"/>
      <c r="D534" s="298"/>
      <c r="E534" s="298"/>
      <c r="F534" s="296"/>
      <c r="G534" s="296"/>
      <c r="H534" s="296"/>
      <c r="I534" s="296"/>
      <c r="J534" s="296"/>
      <c r="K534" s="296"/>
      <c r="L534" s="296"/>
      <c r="M534" s="299"/>
      <c r="N534" s="299"/>
      <c r="O534" s="299"/>
      <c r="P534" s="299"/>
      <c r="Q534" s="299"/>
      <c r="R534" s="299"/>
      <c r="S534" s="299"/>
      <c r="T534" s="299"/>
      <c r="U534" s="299"/>
      <c r="V534" s="299"/>
      <c r="W534" s="299"/>
      <c r="X534" s="299"/>
      <c r="Y534" s="299"/>
      <c r="Z534" s="299"/>
      <c r="AA534" s="299"/>
      <c r="AB534" s="299"/>
      <c r="AC534" s="300"/>
      <c r="AD534" s="300"/>
    </row>
    <row r="535" spans="1:30" ht="12.75" customHeight="1" x14ac:dyDescent="0.2">
      <c r="A535" s="296"/>
      <c r="B535" s="296"/>
      <c r="C535" s="296"/>
      <c r="D535" s="298"/>
      <c r="E535" s="298"/>
      <c r="F535" s="296"/>
      <c r="G535" s="296"/>
      <c r="H535" s="296"/>
      <c r="I535" s="296"/>
      <c r="J535" s="296"/>
      <c r="K535" s="296"/>
      <c r="L535" s="296"/>
      <c r="M535" s="299"/>
      <c r="N535" s="299"/>
      <c r="O535" s="299"/>
      <c r="P535" s="299"/>
      <c r="Q535" s="299"/>
      <c r="R535" s="299"/>
      <c r="S535" s="299"/>
      <c r="T535" s="299"/>
      <c r="U535" s="299"/>
      <c r="V535" s="299"/>
      <c r="W535" s="299"/>
      <c r="X535" s="299"/>
      <c r="Y535" s="299"/>
      <c r="Z535" s="299"/>
      <c r="AA535" s="299"/>
      <c r="AB535" s="299"/>
      <c r="AC535" s="300"/>
      <c r="AD535" s="300"/>
    </row>
    <row r="536" spans="1:30" ht="12.75" customHeight="1" x14ac:dyDescent="0.2">
      <c r="A536" s="296"/>
      <c r="B536" s="296"/>
      <c r="C536" s="296"/>
      <c r="D536" s="298"/>
      <c r="E536" s="298"/>
      <c r="F536" s="296"/>
      <c r="G536" s="296"/>
      <c r="H536" s="296"/>
      <c r="I536" s="296"/>
      <c r="J536" s="296"/>
      <c r="K536" s="296"/>
      <c r="L536" s="296"/>
      <c r="M536" s="299"/>
      <c r="N536" s="299"/>
      <c r="O536" s="299"/>
      <c r="P536" s="299"/>
      <c r="Q536" s="299"/>
      <c r="R536" s="299"/>
      <c r="S536" s="299"/>
      <c r="T536" s="299"/>
      <c r="U536" s="299"/>
      <c r="V536" s="299"/>
      <c r="W536" s="299"/>
      <c r="X536" s="299"/>
      <c r="Y536" s="299"/>
      <c r="Z536" s="299"/>
      <c r="AA536" s="299"/>
      <c r="AB536" s="299"/>
      <c r="AC536" s="300"/>
      <c r="AD536" s="300"/>
    </row>
    <row r="537" spans="1:30" ht="12.75" customHeight="1" x14ac:dyDescent="0.2">
      <c r="A537" s="296"/>
      <c r="B537" s="296"/>
      <c r="C537" s="296"/>
      <c r="D537" s="298"/>
      <c r="E537" s="298"/>
      <c r="F537" s="296"/>
      <c r="G537" s="296"/>
      <c r="H537" s="296"/>
      <c r="I537" s="296"/>
      <c r="J537" s="296"/>
      <c r="K537" s="296"/>
      <c r="L537" s="296"/>
      <c r="M537" s="299"/>
      <c r="N537" s="299"/>
      <c r="O537" s="299"/>
      <c r="P537" s="299"/>
      <c r="Q537" s="299"/>
      <c r="R537" s="299"/>
      <c r="S537" s="299"/>
      <c r="T537" s="299"/>
      <c r="U537" s="299"/>
      <c r="V537" s="299"/>
      <c r="W537" s="299"/>
      <c r="X537" s="299"/>
      <c r="Y537" s="299"/>
      <c r="Z537" s="299"/>
      <c r="AA537" s="299"/>
      <c r="AB537" s="299"/>
      <c r="AC537" s="300"/>
      <c r="AD537" s="300"/>
    </row>
    <row r="538" spans="1:30" ht="12.75" customHeight="1" x14ac:dyDescent="0.2">
      <c r="A538" s="296"/>
      <c r="B538" s="296"/>
      <c r="C538" s="296"/>
      <c r="D538" s="298"/>
      <c r="E538" s="298"/>
      <c r="F538" s="296"/>
      <c r="G538" s="296"/>
      <c r="H538" s="296"/>
      <c r="I538" s="296"/>
      <c r="J538" s="296"/>
      <c r="K538" s="296"/>
      <c r="L538" s="296"/>
      <c r="M538" s="299"/>
      <c r="N538" s="299"/>
      <c r="O538" s="299"/>
      <c r="P538" s="299"/>
      <c r="Q538" s="299"/>
      <c r="R538" s="299"/>
      <c r="S538" s="299"/>
      <c r="T538" s="299"/>
      <c r="U538" s="299"/>
      <c r="V538" s="299"/>
      <c r="W538" s="299"/>
      <c r="X538" s="299"/>
      <c r="Y538" s="299"/>
      <c r="Z538" s="299"/>
      <c r="AA538" s="299"/>
      <c r="AB538" s="299"/>
      <c r="AC538" s="300"/>
      <c r="AD538" s="300"/>
    </row>
    <row r="539" spans="1:30" ht="12.75" customHeight="1" x14ac:dyDescent="0.2">
      <c r="A539" s="296"/>
      <c r="B539" s="296"/>
      <c r="C539" s="296"/>
      <c r="D539" s="298"/>
      <c r="E539" s="298"/>
      <c r="F539" s="296"/>
      <c r="G539" s="296"/>
      <c r="H539" s="296"/>
      <c r="I539" s="296"/>
      <c r="J539" s="296"/>
      <c r="K539" s="296"/>
      <c r="L539" s="296"/>
      <c r="M539" s="299"/>
      <c r="N539" s="299"/>
      <c r="O539" s="299"/>
      <c r="P539" s="299"/>
      <c r="Q539" s="299"/>
      <c r="R539" s="299"/>
      <c r="S539" s="299"/>
      <c r="T539" s="299"/>
      <c r="U539" s="299"/>
      <c r="V539" s="299"/>
      <c r="W539" s="299"/>
      <c r="X539" s="299"/>
      <c r="Y539" s="299"/>
      <c r="Z539" s="299"/>
      <c r="AA539" s="299"/>
      <c r="AB539" s="299"/>
      <c r="AC539" s="300"/>
      <c r="AD539" s="300"/>
    </row>
    <row r="540" spans="1:30" ht="12.75" customHeight="1" x14ac:dyDescent="0.2">
      <c r="A540" s="296"/>
      <c r="B540" s="296"/>
      <c r="C540" s="296"/>
      <c r="D540" s="298"/>
      <c r="E540" s="298"/>
      <c r="F540" s="296"/>
      <c r="G540" s="296"/>
      <c r="H540" s="296"/>
      <c r="I540" s="296"/>
      <c r="J540" s="296"/>
      <c r="K540" s="296"/>
      <c r="L540" s="296"/>
      <c r="M540" s="299"/>
      <c r="N540" s="299"/>
      <c r="O540" s="299"/>
      <c r="P540" s="299"/>
      <c r="Q540" s="299"/>
      <c r="R540" s="299"/>
      <c r="S540" s="299"/>
      <c r="T540" s="299"/>
      <c r="U540" s="299"/>
      <c r="V540" s="299"/>
      <c r="W540" s="299"/>
      <c r="X540" s="299"/>
      <c r="Y540" s="299"/>
      <c r="Z540" s="299"/>
      <c r="AA540" s="299"/>
      <c r="AB540" s="299"/>
      <c r="AC540" s="300"/>
      <c r="AD540" s="300"/>
    </row>
    <row r="541" spans="1:30" ht="12.75" customHeight="1" x14ac:dyDescent="0.2">
      <c r="A541" s="296"/>
      <c r="B541" s="296"/>
      <c r="C541" s="296"/>
      <c r="D541" s="298"/>
      <c r="E541" s="298"/>
      <c r="F541" s="296"/>
      <c r="G541" s="296"/>
      <c r="H541" s="296"/>
      <c r="I541" s="296"/>
      <c r="J541" s="296"/>
      <c r="K541" s="296"/>
      <c r="L541" s="296"/>
      <c r="M541" s="299"/>
      <c r="N541" s="299"/>
      <c r="O541" s="299"/>
      <c r="P541" s="299"/>
      <c r="Q541" s="299"/>
      <c r="R541" s="299"/>
      <c r="S541" s="299"/>
      <c r="T541" s="299"/>
      <c r="U541" s="299"/>
      <c r="V541" s="299"/>
      <c r="W541" s="299"/>
      <c r="X541" s="299"/>
      <c r="Y541" s="299"/>
      <c r="Z541" s="299"/>
      <c r="AA541" s="299"/>
      <c r="AB541" s="299"/>
      <c r="AC541" s="300"/>
      <c r="AD541" s="300"/>
    </row>
    <row r="542" spans="1:30" ht="12.75" customHeight="1" x14ac:dyDescent="0.2">
      <c r="A542" s="296"/>
      <c r="B542" s="296"/>
      <c r="C542" s="296"/>
      <c r="D542" s="298"/>
      <c r="E542" s="298"/>
      <c r="F542" s="296"/>
      <c r="G542" s="296"/>
      <c r="H542" s="296"/>
      <c r="I542" s="296"/>
      <c r="J542" s="296"/>
      <c r="K542" s="296"/>
      <c r="L542" s="296"/>
      <c r="M542" s="299"/>
      <c r="N542" s="299"/>
      <c r="O542" s="299"/>
      <c r="P542" s="299"/>
      <c r="Q542" s="299"/>
      <c r="R542" s="299"/>
      <c r="S542" s="299"/>
      <c r="T542" s="299"/>
      <c r="U542" s="299"/>
      <c r="V542" s="299"/>
      <c r="W542" s="299"/>
      <c r="X542" s="299"/>
      <c r="Y542" s="299"/>
      <c r="Z542" s="299"/>
      <c r="AA542" s="299"/>
      <c r="AB542" s="299"/>
      <c r="AC542" s="300"/>
      <c r="AD542" s="300"/>
    </row>
    <row r="543" spans="1:30" ht="12.75" customHeight="1" x14ac:dyDescent="0.2">
      <c r="A543" s="296"/>
      <c r="B543" s="296"/>
      <c r="C543" s="296"/>
      <c r="D543" s="298"/>
      <c r="E543" s="298"/>
      <c r="F543" s="296"/>
      <c r="G543" s="296"/>
      <c r="H543" s="296"/>
      <c r="I543" s="296"/>
      <c r="J543" s="296"/>
      <c r="K543" s="296"/>
      <c r="L543" s="296"/>
      <c r="M543" s="299"/>
      <c r="N543" s="299"/>
      <c r="O543" s="299"/>
      <c r="P543" s="299"/>
      <c r="Q543" s="299"/>
      <c r="R543" s="299"/>
      <c r="S543" s="299"/>
      <c r="T543" s="299"/>
      <c r="U543" s="299"/>
      <c r="V543" s="299"/>
      <c r="W543" s="299"/>
      <c r="X543" s="299"/>
      <c r="Y543" s="299"/>
      <c r="Z543" s="299"/>
      <c r="AA543" s="299"/>
      <c r="AB543" s="299"/>
      <c r="AC543" s="300"/>
      <c r="AD543" s="300"/>
    </row>
    <row r="544" spans="1:30" ht="12.75" customHeight="1" x14ac:dyDescent="0.2">
      <c r="A544" s="296"/>
      <c r="B544" s="296"/>
      <c r="C544" s="296"/>
      <c r="D544" s="298"/>
      <c r="E544" s="298"/>
      <c r="F544" s="296"/>
      <c r="G544" s="296"/>
      <c r="H544" s="296"/>
      <c r="I544" s="296"/>
      <c r="J544" s="296"/>
      <c r="K544" s="296"/>
      <c r="L544" s="296"/>
      <c r="M544" s="299"/>
      <c r="N544" s="299"/>
      <c r="O544" s="299"/>
      <c r="P544" s="299"/>
      <c r="Q544" s="299"/>
      <c r="R544" s="299"/>
      <c r="S544" s="299"/>
      <c r="T544" s="299"/>
      <c r="U544" s="299"/>
      <c r="V544" s="299"/>
      <c r="W544" s="299"/>
      <c r="X544" s="299"/>
      <c r="Y544" s="299"/>
      <c r="Z544" s="299"/>
      <c r="AA544" s="299"/>
      <c r="AB544" s="299"/>
      <c r="AC544" s="300"/>
      <c r="AD544" s="300"/>
    </row>
    <row r="545" spans="1:30" ht="12.75" customHeight="1" x14ac:dyDescent="0.2">
      <c r="A545" s="296"/>
      <c r="B545" s="296"/>
      <c r="C545" s="296"/>
      <c r="D545" s="298"/>
      <c r="E545" s="298"/>
      <c r="F545" s="296"/>
      <c r="G545" s="296"/>
      <c r="H545" s="296"/>
      <c r="I545" s="296"/>
      <c r="J545" s="296"/>
      <c r="K545" s="296"/>
      <c r="L545" s="296"/>
      <c r="M545" s="299"/>
      <c r="N545" s="299"/>
      <c r="O545" s="299"/>
      <c r="P545" s="299"/>
      <c r="Q545" s="299"/>
      <c r="R545" s="299"/>
      <c r="S545" s="299"/>
      <c r="T545" s="299"/>
      <c r="U545" s="299"/>
      <c r="V545" s="299"/>
      <c r="W545" s="299"/>
      <c r="X545" s="299"/>
      <c r="Y545" s="299"/>
      <c r="Z545" s="299"/>
      <c r="AA545" s="299"/>
      <c r="AB545" s="299"/>
      <c r="AC545" s="300"/>
      <c r="AD545" s="300"/>
    </row>
    <row r="546" spans="1:30" ht="12.75" customHeight="1" x14ac:dyDescent="0.2">
      <c r="A546" s="296"/>
      <c r="B546" s="296"/>
      <c r="C546" s="296"/>
      <c r="D546" s="298"/>
      <c r="E546" s="298"/>
      <c r="F546" s="296"/>
      <c r="G546" s="296"/>
      <c r="H546" s="296"/>
      <c r="I546" s="296"/>
      <c r="J546" s="296"/>
      <c r="K546" s="296"/>
      <c r="L546" s="296"/>
      <c r="M546" s="299"/>
      <c r="N546" s="299"/>
      <c r="O546" s="299"/>
      <c r="P546" s="299"/>
      <c r="Q546" s="299"/>
      <c r="R546" s="299"/>
      <c r="S546" s="299"/>
      <c r="T546" s="299"/>
      <c r="U546" s="299"/>
      <c r="V546" s="299"/>
      <c r="W546" s="299"/>
      <c r="X546" s="299"/>
      <c r="Y546" s="299"/>
      <c r="Z546" s="299"/>
      <c r="AA546" s="299"/>
      <c r="AB546" s="299"/>
      <c r="AC546" s="300"/>
      <c r="AD546" s="300"/>
    </row>
    <row r="547" spans="1:30" ht="12.75" customHeight="1" x14ac:dyDescent="0.2">
      <c r="A547" s="296"/>
      <c r="B547" s="296"/>
      <c r="C547" s="296"/>
      <c r="D547" s="298"/>
      <c r="E547" s="298"/>
      <c r="F547" s="296"/>
      <c r="G547" s="296"/>
      <c r="H547" s="296"/>
      <c r="I547" s="296"/>
      <c r="J547" s="296"/>
      <c r="K547" s="296"/>
      <c r="L547" s="296"/>
      <c r="M547" s="299"/>
      <c r="N547" s="299"/>
      <c r="O547" s="299"/>
      <c r="P547" s="299"/>
      <c r="Q547" s="299"/>
      <c r="R547" s="299"/>
      <c r="S547" s="299"/>
      <c r="T547" s="299"/>
      <c r="U547" s="299"/>
      <c r="V547" s="299"/>
      <c r="W547" s="299"/>
      <c r="X547" s="299"/>
      <c r="Y547" s="299"/>
      <c r="Z547" s="299"/>
      <c r="AA547" s="299"/>
      <c r="AB547" s="299"/>
      <c r="AC547" s="300"/>
      <c r="AD547" s="300"/>
    </row>
    <row r="548" spans="1:30" ht="12.75" customHeight="1" x14ac:dyDescent="0.2">
      <c r="A548" s="296"/>
      <c r="B548" s="296"/>
      <c r="C548" s="296"/>
      <c r="D548" s="298"/>
      <c r="E548" s="298"/>
      <c r="F548" s="296"/>
      <c r="G548" s="296"/>
      <c r="H548" s="296"/>
      <c r="I548" s="296"/>
      <c r="J548" s="296"/>
      <c r="K548" s="296"/>
      <c r="L548" s="296"/>
      <c r="M548" s="299"/>
      <c r="N548" s="299"/>
      <c r="O548" s="299"/>
      <c r="P548" s="299"/>
      <c r="Q548" s="299"/>
      <c r="R548" s="299"/>
      <c r="S548" s="299"/>
      <c r="T548" s="299"/>
      <c r="U548" s="299"/>
      <c r="V548" s="299"/>
      <c r="W548" s="299"/>
      <c r="X548" s="299"/>
      <c r="Y548" s="299"/>
      <c r="Z548" s="299"/>
      <c r="AA548" s="299"/>
      <c r="AB548" s="299"/>
      <c r="AC548" s="300"/>
      <c r="AD548" s="300"/>
    </row>
    <row r="549" spans="1:30" ht="12.75" customHeight="1" x14ac:dyDescent="0.2">
      <c r="A549" s="296"/>
      <c r="B549" s="296"/>
      <c r="C549" s="296"/>
      <c r="D549" s="298"/>
      <c r="E549" s="298"/>
      <c r="F549" s="296"/>
      <c r="G549" s="296"/>
      <c r="H549" s="296"/>
      <c r="I549" s="296"/>
      <c r="J549" s="296"/>
      <c r="K549" s="296"/>
      <c r="L549" s="296"/>
      <c r="M549" s="299"/>
      <c r="N549" s="299"/>
      <c r="O549" s="299"/>
      <c r="P549" s="299"/>
      <c r="Q549" s="299"/>
      <c r="R549" s="299"/>
      <c r="S549" s="299"/>
      <c r="T549" s="299"/>
      <c r="U549" s="299"/>
      <c r="V549" s="299"/>
      <c r="W549" s="299"/>
      <c r="X549" s="299"/>
      <c r="Y549" s="299"/>
      <c r="Z549" s="299"/>
      <c r="AA549" s="299"/>
      <c r="AB549" s="299"/>
      <c r="AC549" s="300"/>
      <c r="AD549" s="300"/>
    </row>
    <row r="550" spans="1:30" ht="12.75" customHeight="1" x14ac:dyDescent="0.2">
      <c r="A550" s="296"/>
      <c r="B550" s="296"/>
      <c r="C550" s="296"/>
      <c r="D550" s="298"/>
      <c r="E550" s="298"/>
      <c r="F550" s="296"/>
      <c r="G550" s="296"/>
      <c r="H550" s="296"/>
      <c r="I550" s="296"/>
      <c r="J550" s="296"/>
      <c r="K550" s="296"/>
      <c r="L550" s="296"/>
      <c r="M550" s="299"/>
      <c r="N550" s="299"/>
      <c r="O550" s="299"/>
      <c r="P550" s="299"/>
      <c r="Q550" s="299"/>
      <c r="R550" s="299"/>
      <c r="S550" s="299"/>
      <c r="T550" s="299"/>
      <c r="U550" s="299"/>
      <c r="V550" s="299"/>
      <c r="W550" s="299"/>
      <c r="X550" s="299"/>
      <c r="Y550" s="299"/>
      <c r="Z550" s="299"/>
      <c r="AA550" s="299"/>
      <c r="AB550" s="299"/>
      <c r="AC550" s="300"/>
      <c r="AD550" s="300"/>
    </row>
    <row r="551" spans="1:30" ht="12.75" customHeight="1" x14ac:dyDescent="0.2">
      <c r="A551" s="296"/>
      <c r="B551" s="296"/>
      <c r="C551" s="296"/>
      <c r="D551" s="298"/>
      <c r="E551" s="298"/>
      <c r="F551" s="296"/>
      <c r="G551" s="296"/>
      <c r="H551" s="296"/>
      <c r="I551" s="296"/>
      <c r="J551" s="296"/>
      <c r="K551" s="296"/>
      <c r="L551" s="296"/>
      <c r="M551" s="299"/>
      <c r="N551" s="299"/>
      <c r="O551" s="299"/>
      <c r="P551" s="299"/>
      <c r="Q551" s="299"/>
      <c r="R551" s="299"/>
      <c r="S551" s="299"/>
      <c r="T551" s="299"/>
      <c r="U551" s="299"/>
      <c r="V551" s="299"/>
      <c r="W551" s="299"/>
      <c r="X551" s="299"/>
      <c r="Y551" s="299"/>
      <c r="Z551" s="299"/>
      <c r="AA551" s="299"/>
      <c r="AB551" s="299"/>
      <c r="AC551" s="300"/>
      <c r="AD551" s="300"/>
    </row>
    <row r="552" spans="1:30" ht="12.75" customHeight="1" x14ac:dyDescent="0.2">
      <c r="A552" s="296"/>
      <c r="B552" s="296"/>
      <c r="C552" s="296"/>
      <c r="D552" s="298"/>
      <c r="E552" s="298"/>
      <c r="F552" s="296"/>
      <c r="G552" s="296"/>
      <c r="H552" s="296"/>
      <c r="I552" s="296"/>
      <c r="J552" s="296"/>
      <c r="K552" s="296"/>
      <c r="L552" s="296"/>
      <c r="M552" s="299"/>
      <c r="N552" s="299"/>
      <c r="O552" s="299"/>
      <c r="P552" s="299"/>
      <c r="Q552" s="299"/>
      <c r="R552" s="299"/>
      <c r="S552" s="299"/>
      <c r="T552" s="299"/>
      <c r="U552" s="299"/>
      <c r="V552" s="299"/>
      <c r="W552" s="299"/>
      <c r="X552" s="299"/>
      <c r="Y552" s="299"/>
      <c r="Z552" s="299"/>
      <c r="AA552" s="299"/>
      <c r="AB552" s="299"/>
      <c r="AC552" s="300"/>
      <c r="AD552" s="300"/>
    </row>
    <row r="553" spans="1:30" ht="12.75" customHeight="1" x14ac:dyDescent="0.2">
      <c r="A553" s="296"/>
      <c r="B553" s="296"/>
      <c r="C553" s="296"/>
      <c r="D553" s="298"/>
      <c r="E553" s="298"/>
      <c r="F553" s="296"/>
      <c r="G553" s="296"/>
      <c r="H553" s="296"/>
      <c r="I553" s="296"/>
      <c r="J553" s="296"/>
      <c r="K553" s="296"/>
      <c r="L553" s="296"/>
      <c r="M553" s="299"/>
      <c r="N553" s="299"/>
      <c r="O553" s="299"/>
      <c r="P553" s="299"/>
      <c r="Q553" s="299"/>
      <c r="R553" s="299"/>
      <c r="S553" s="299"/>
      <c r="T553" s="299"/>
      <c r="U553" s="299"/>
      <c r="V553" s="299"/>
      <c r="W553" s="299"/>
      <c r="X553" s="299"/>
      <c r="Y553" s="299"/>
      <c r="Z553" s="299"/>
      <c r="AA553" s="299"/>
      <c r="AB553" s="299"/>
      <c r="AC553" s="300"/>
      <c r="AD553" s="300"/>
    </row>
    <row r="554" spans="1:30" ht="12.75" customHeight="1" x14ac:dyDescent="0.2">
      <c r="A554" s="296"/>
      <c r="B554" s="296"/>
      <c r="C554" s="296"/>
      <c r="D554" s="298"/>
      <c r="E554" s="298"/>
      <c r="F554" s="296"/>
      <c r="G554" s="296"/>
      <c r="H554" s="296"/>
      <c r="I554" s="296"/>
      <c r="J554" s="296"/>
      <c r="K554" s="296"/>
      <c r="L554" s="296"/>
      <c r="M554" s="299"/>
      <c r="N554" s="299"/>
      <c r="O554" s="299"/>
      <c r="P554" s="299"/>
      <c r="Q554" s="299"/>
      <c r="R554" s="299"/>
      <c r="S554" s="299"/>
      <c r="T554" s="299"/>
      <c r="U554" s="299"/>
      <c r="V554" s="299"/>
      <c r="W554" s="299"/>
      <c r="X554" s="299"/>
      <c r="Y554" s="299"/>
      <c r="Z554" s="299"/>
      <c r="AA554" s="299"/>
      <c r="AB554" s="299"/>
      <c r="AC554" s="300"/>
      <c r="AD554" s="300"/>
    </row>
    <row r="555" spans="1:30" ht="12.75" customHeight="1" x14ac:dyDescent="0.2">
      <c r="A555" s="296"/>
      <c r="B555" s="296"/>
      <c r="C555" s="296"/>
      <c r="D555" s="298"/>
      <c r="E555" s="298"/>
      <c r="F555" s="296"/>
      <c r="G555" s="296"/>
      <c r="H555" s="296"/>
      <c r="I555" s="296"/>
      <c r="J555" s="296"/>
      <c r="K555" s="296"/>
      <c r="L555" s="296"/>
      <c r="M555" s="299"/>
      <c r="N555" s="299"/>
      <c r="O555" s="299"/>
      <c r="P555" s="299"/>
      <c r="Q555" s="299"/>
      <c r="R555" s="299"/>
      <c r="S555" s="299"/>
      <c r="T555" s="299"/>
      <c r="U555" s="299"/>
      <c r="V555" s="299"/>
      <c r="W555" s="299"/>
      <c r="X555" s="299"/>
      <c r="Y555" s="299"/>
      <c r="Z555" s="299"/>
      <c r="AA555" s="299"/>
      <c r="AB555" s="299"/>
      <c r="AC555" s="300"/>
      <c r="AD555" s="300"/>
    </row>
    <row r="556" spans="1:30" ht="12.75" customHeight="1" x14ac:dyDescent="0.2">
      <c r="A556" s="296"/>
      <c r="B556" s="296"/>
      <c r="C556" s="296"/>
      <c r="D556" s="298"/>
      <c r="E556" s="298"/>
      <c r="F556" s="296"/>
      <c r="G556" s="296"/>
      <c r="H556" s="296"/>
      <c r="I556" s="296"/>
      <c r="J556" s="296"/>
      <c r="K556" s="296"/>
      <c r="L556" s="296"/>
      <c r="M556" s="299"/>
      <c r="N556" s="299"/>
      <c r="O556" s="299"/>
      <c r="P556" s="299"/>
      <c r="Q556" s="299"/>
      <c r="R556" s="299"/>
      <c r="S556" s="299"/>
      <c r="T556" s="299"/>
      <c r="U556" s="299"/>
      <c r="V556" s="299"/>
      <c r="W556" s="299"/>
      <c r="X556" s="299"/>
      <c r="Y556" s="299"/>
      <c r="Z556" s="299"/>
      <c r="AA556" s="299"/>
      <c r="AB556" s="299"/>
      <c r="AC556" s="300"/>
      <c r="AD556" s="300"/>
    </row>
    <row r="557" spans="1:30" ht="12.75" customHeight="1" x14ac:dyDescent="0.2">
      <c r="A557" s="296"/>
      <c r="B557" s="296"/>
      <c r="C557" s="296"/>
      <c r="D557" s="298"/>
      <c r="E557" s="298"/>
      <c r="F557" s="296"/>
      <c r="G557" s="296"/>
      <c r="H557" s="296"/>
      <c r="I557" s="296"/>
      <c r="J557" s="296"/>
      <c r="K557" s="296"/>
      <c r="L557" s="296"/>
      <c r="M557" s="299"/>
      <c r="N557" s="299"/>
      <c r="O557" s="299"/>
      <c r="P557" s="299"/>
      <c r="Q557" s="299"/>
      <c r="R557" s="299"/>
      <c r="S557" s="299"/>
      <c r="T557" s="299"/>
      <c r="U557" s="299"/>
      <c r="V557" s="299"/>
      <c r="W557" s="299"/>
      <c r="X557" s="299"/>
      <c r="Y557" s="299"/>
      <c r="Z557" s="299"/>
      <c r="AA557" s="299"/>
      <c r="AB557" s="299"/>
      <c r="AC557" s="300"/>
      <c r="AD557" s="300"/>
    </row>
    <row r="558" spans="1:30" ht="12.75" customHeight="1" x14ac:dyDescent="0.2">
      <c r="A558" s="296"/>
      <c r="B558" s="296"/>
      <c r="C558" s="296"/>
      <c r="D558" s="298"/>
      <c r="E558" s="298"/>
      <c r="F558" s="296"/>
      <c r="G558" s="296"/>
      <c r="H558" s="296"/>
      <c r="I558" s="296"/>
      <c r="J558" s="296"/>
      <c r="K558" s="296"/>
      <c r="L558" s="296"/>
      <c r="M558" s="299"/>
      <c r="N558" s="299"/>
      <c r="O558" s="299"/>
      <c r="P558" s="299"/>
      <c r="Q558" s="299"/>
      <c r="R558" s="299"/>
      <c r="S558" s="299"/>
      <c r="T558" s="299"/>
      <c r="U558" s="299"/>
      <c r="V558" s="299"/>
      <c r="W558" s="299"/>
      <c r="X558" s="299"/>
      <c r="Y558" s="299"/>
      <c r="Z558" s="299"/>
      <c r="AA558" s="299"/>
      <c r="AB558" s="299"/>
      <c r="AC558" s="300"/>
      <c r="AD558" s="300"/>
    </row>
    <row r="559" spans="1:30" ht="12.75" customHeight="1" x14ac:dyDescent="0.2">
      <c r="A559" s="296"/>
      <c r="B559" s="296"/>
      <c r="C559" s="296"/>
      <c r="D559" s="298"/>
      <c r="E559" s="298"/>
      <c r="F559" s="296"/>
      <c r="G559" s="296"/>
      <c r="H559" s="296"/>
      <c r="I559" s="296"/>
      <c r="J559" s="296"/>
      <c r="K559" s="296"/>
      <c r="L559" s="296"/>
      <c r="M559" s="299"/>
      <c r="N559" s="299"/>
      <c r="O559" s="299"/>
      <c r="P559" s="299"/>
      <c r="Q559" s="299"/>
      <c r="R559" s="299"/>
      <c r="S559" s="299"/>
      <c r="T559" s="299"/>
      <c r="U559" s="299"/>
      <c r="V559" s="299"/>
      <c r="W559" s="299"/>
      <c r="X559" s="299"/>
      <c r="Y559" s="299"/>
      <c r="Z559" s="299"/>
      <c r="AA559" s="299"/>
      <c r="AB559" s="299"/>
      <c r="AC559" s="300"/>
      <c r="AD559" s="300"/>
    </row>
    <row r="560" spans="1:30" ht="12.75" customHeight="1" x14ac:dyDescent="0.2">
      <c r="A560" s="296"/>
      <c r="B560" s="296"/>
      <c r="C560" s="296"/>
      <c r="D560" s="298"/>
      <c r="E560" s="298"/>
      <c r="F560" s="296"/>
      <c r="G560" s="296"/>
      <c r="H560" s="296"/>
      <c r="I560" s="296"/>
      <c r="J560" s="296"/>
      <c r="K560" s="296"/>
      <c r="L560" s="296"/>
      <c r="M560" s="299"/>
      <c r="N560" s="299"/>
      <c r="O560" s="299"/>
      <c r="P560" s="299"/>
      <c r="Q560" s="299"/>
      <c r="R560" s="299"/>
      <c r="S560" s="299"/>
      <c r="T560" s="299"/>
      <c r="U560" s="299"/>
      <c r="V560" s="299"/>
      <c r="W560" s="299"/>
      <c r="X560" s="299"/>
      <c r="Y560" s="299"/>
      <c r="Z560" s="299"/>
      <c r="AA560" s="299"/>
      <c r="AB560" s="299"/>
      <c r="AC560" s="300"/>
      <c r="AD560" s="300"/>
    </row>
    <row r="561" spans="1:30" ht="12.75" customHeight="1" x14ac:dyDescent="0.2">
      <c r="A561" s="296"/>
      <c r="B561" s="296"/>
      <c r="C561" s="296"/>
      <c r="D561" s="298"/>
      <c r="E561" s="298"/>
      <c r="F561" s="296"/>
      <c r="G561" s="296"/>
      <c r="H561" s="296"/>
      <c r="I561" s="296"/>
      <c r="J561" s="296"/>
      <c r="K561" s="296"/>
      <c r="L561" s="296"/>
      <c r="M561" s="299"/>
      <c r="N561" s="299"/>
      <c r="O561" s="299"/>
      <c r="P561" s="299"/>
      <c r="Q561" s="299"/>
      <c r="R561" s="299"/>
      <c r="S561" s="299"/>
      <c r="T561" s="299"/>
      <c r="U561" s="299"/>
      <c r="V561" s="299"/>
      <c r="W561" s="299"/>
      <c r="X561" s="299"/>
      <c r="Y561" s="299"/>
      <c r="Z561" s="299"/>
      <c r="AA561" s="299"/>
      <c r="AB561" s="299"/>
      <c r="AC561" s="300"/>
      <c r="AD561" s="300"/>
    </row>
    <row r="562" spans="1:30" ht="12.75" customHeight="1" x14ac:dyDescent="0.2">
      <c r="A562" s="296"/>
      <c r="B562" s="296"/>
      <c r="C562" s="296"/>
      <c r="D562" s="298"/>
      <c r="E562" s="298"/>
      <c r="F562" s="296"/>
      <c r="G562" s="296"/>
      <c r="H562" s="296"/>
      <c r="I562" s="296"/>
      <c r="J562" s="296"/>
      <c r="K562" s="296"/>
      <c r="L562" s="296"/>
      <c r="M562" s="299"/>
      <c r="N562" s="299"/>
      <c r="O562" s="299"/>
      <c r="P562" s="299"/>
      <c r="Q562" s="299"/>
      <c r="R562" s="299"/>
      <c r="S562" s="299"/>
      <c r="T562" s="299"/>
      <c r="U562" s="299"/>
      <c r="V562" s="299"/>
      <c r="W562" s="299"/>
      <c r="X562" s="299"/>
      <c r="Y562" s="299"/>
      <c r="Z562" s="299"/>
      <c r="AA562" s="299"/>
      <c r="AB562" s="299"/>
      <c r="AC562" s="300"/>
      <c r="AD562" s="300"/>
    </row>
    <row r="563" spans="1:30" ht="12.75" customHeight="1" x14ac:dyDescent="0.2">
      <c r="A563" s="296"/>
      <c r="B563" s="296"/>
      <c r="C563" s="296"/>
      <c r="D563" s="298"/>
      <c r="E563" s="298"/>
      <c r="F563" s="296"/>
      <c r="G563" s="296"/>
      <c r="H563" s="296"/>
      <c r="I563" s="296"/>
      <c r="J563" s="296"/>
      <c r="K563" s="296"/>
      <c r="L563" s="296"/>
      <c r="M563" s="299"/>
      <c r="N563" s="299"/>
      <c r="O563" s="299"/>
      <c r="P563" s="299"/>
      <c r="Q563" s="299"/>
      <c r="R563" s="299"/>
      <c r="S563" s="299"/>
      <c r="T563" s="299"/>
      <c r="U563" s="299"/>
      <c r="V563" s="299"/>
      <c r="W563" s="299"/>
      <c r="X563" s="299"/>
      <c r="Y563" s="299"/>
      <c r="Z563" s="299"/>
      <c r="AA563" s="299"/>
      <c r="AB563" s="299"/>
      <c r="AC563" s="300"/>
      <c r="AD563" s="300"/>
    </row>
    <row r="564" spans="1:30" ht="12.75" customHeight="1" x14ac:dyDescent="0.2">
      <c r="A564" s="296"/>
      <c r="B564" s="296"/>
      <c r="C564" s="296"/>
      <c r="D564" s="298"/>
      <c r="E564" s="298"/>
      <c r="F564" s="296"/>
      <c r="G564" s="296"/>
      <c r="H564" s="296"/>
      <c r="I564" s="296"/>
      <c r="J564" s="296"/>
      <c r="K564" s="296"/>
      <c r="L564" s="296"/>
      <c r="M564" s="299"/>
      <c r="N564" s="299"/>
      <c r="O564" s="299"/>
      <c r="P564" s="299"/>
      <c r="Q564" s="299"/>
      <c r="R564" s="299"/>
      <c r="S564" s="299"/>
      <c r="T564" s="299"/>
      <c r="U564" s="299"/>
      <c r="V564" s="299"/>
      <c r="W564" s="299"/>
      <c r="X564" s="299"/>
      <c r="Y564" s="299"/>
      <c r="Z564" s="299"/>
      <c r="AA564" s="299"/>
      <c r="AB564" s="299"/>
      <c r="AC564" s="300"/>
      <c r="AD564" s="300"/>
    </row>
    <row r="565" spans="1:30" ht="12.75" customHeight="1" x14ac:dyDescent="0.2">
      <c r="A565" s="296"/>
      <c r="B565" s="296"/>
      <c r="C565" s="296"/>
      <c r="D565" s="298"/>
      <c r="E565" s="298"/>
      <c r="F565" s="296"/>
      <c r="G565" s="296"/>
      <c r="H565" s="296"/>
      <c r="I565" s="296"/>
      <c r="J565" s="296"/>
      <c r="K565" s="296"/>
      <c r="L565" s="296"/>
      <c r="M565" s="299"/>
      <c r="N565" s="299"/>
      <c r="O565" s="299"/>
      <c r="P565" s="299"/>
      <c r="Q565" s="299"/>
      <c r="R565" s="299"/>
      <c r="S565" s="299"/>
      <c r="T565" s="299"/>
      <c r="U565" s="299"/>
      <c r="V565" s="299"/>
      <c r="W565" s="299"/>
      <c r="X565" s="299"/>
      <c r="Y565" s="299"/>
      <c r="Z565" s="299"/>
      <c r="AA565" s="299"/>
      <c r="AB565" s="299"/>
      <c r="AC565" s="300"/>
      <c r="AD565" s="300"/>
    </row>
    <row r="566" spans="1:30" ht="12.75" customHeight="1" x14ac:dyDescent="0.2">
      <c r="A566" s="296"/>
      <c r="B566" s="296"/>
      <c r="C566" s="296"/>
      <c r="D566" s="298"/>
      <c r="E566" s="298"/>
      <c r="F566" s="296"/>
      <c r="G566" s="296"/>
      <c r="H566" s="296"/>
      <c r="I566" s="296"/>
      <c r="J566" s="296"/>
      <c r="K566" s="296"/>
      <c r="L566" s="296"/>
      <c r="M566" s="299"/>
      <c r="N566" s="299"/>
      <c r="O566" s="299"/>
      <c r="P566" s="299"/>
      <c r="Q566" s="299"/>
      <c r="R566" s="299"/>
      <c r="S566" s="299"/>
      <c r="T566" s="299"/>
      <c r="U566" s="299"/>
      <c r="V566" s="299"/>
      <c r="W566" s="299"/>
      <c r="X566" s="299"/>
      <c r="Y566" s="299"/>
      <c r="Z566" s="299"/>
      <c r="AA566" s="299"/>
      <c r="AB566" s="299"/>
      <c r="AC566" s="300"/>
      <c r="AD566" s="300"/>
    </row>
    <row r="567" spans="1:30" ht="12.75" customHeight="1" x14ac:dyDescent="0.2">
      <c r="A567" s="296"/>
      <c r="B567" s="296"/>
      <c r="C567" s="296"/>
      <c r="D567" s="298"/>
      <c r="E567" s="298"/>
      <c r="F567" s="296"/>
      <c r="G567" s="296"/>
      <c r="H567" s="296"/>
      <c r="I567" s="296"/>
      <c r="J567" s="296"/>
      <c r="K567" s="296"/>
      <c r="L567" s="296"/>
      <c r="M567" s="299"/>
      <c r="N567" s="299"/>
      <c r="O567" s="299"/>
      <c r="P567" s="299"/>
      <c r="Q567" s="299"/>
      <c r="R567" s="299"/>
      <c r="S567" s="299"/>
      <c r="T567" s="299"/>
      <c r="U567" s="299"/>
      <c r="V567" s="299"/>
      <c r="W567" s="299"/>
      <c r="X567" s="299"/>
      <c r="Y567" s="299"/>
      <c r="Z567" s="299"/>
      <c r="AA567" s="299"/>
      <c r="AB567" s="299"/>
      <c r="AC567" s="300"/>
      <c r="AD567" s="300"/>
    </row>
    <row r="568" spans="1:30" ht="12.75" customHeight="1" x14ac:dyDescent="0.2">
      <c r="A568" s="296"/>
      <c r="B568" s="296"/>
      <c r="C568" s="296"/>
      <c r="D568" s="298"/>
      <c r="E568" s="298"/>
      <c r="F568" s="296"/>
      <c r="G568" s="296"/>
      <c r="H568" s="296"/>
      <c r="I568" s="296"/>
      <c r="J568" s="296"/>
      <c r="K568" s="296"/>
      <c r="L568" s="296"/>
      <c r="M568" s="299"/>
      <c r="N568" s="299"/>
      <c r="O568" s="299"/>
      <c r="P568" s="299"/>
      <c r="Q568" s="299"/>
      <c r="R568" s="299"/>
      <c r="S568" s="299"/>
      <c r="T568" s="299"/>
      <c r="U568" s="299"/>
      <c r="V568" s="299"/>
      <c r="W568" s="299"/>
      <c r="X568" s="299"/>
      <c r="Y568" s="299"/>
      <c r="Z568" s="299"/>
      <c r="AA568" s="299"/>
      <c r="AB568" s="299"/>
      <c r="AC568" s="300"/>
      <c r="AD568" s="300"/>
    </row>
    <row r="569" spans="1:30" ht="12.75" customHeight="1" x14ac:dyDescent="0.2">
      <c r="A569" s="296"/>
      <c r="B569" s="296"/>
      <c r="C569" s="296"/>
      <c r="D569" s="298"/>
      <c r="E569" s="298"/>
      <c r="F569" s="296"/>
      <c r="G569" s="296"/>
      <c r="H569" s="296"/>
      <c r="I569" s="296"/>
      <c r="J569" s="296"/>
      <c r="K569" s="296"/>
      <c r="L569" s="296"/>
      <c r="M569" s="299"/>
      <c r="N569" s="299"/>
      <c r="O569" s="299"/>
      <c r="P569" s="299"/>
      <c r="Q569" s="299"/>
      <c r="R569" s="299"/>
      <c r="S569" s="299"/>
      <c r="T569" s="299"/>
      <c r="U569" s="299"/>
      <c r="V569" s="299"/>
      <c r="W569" s="299"/>
      <c r="X569" s="299"/>
      <c r="Y569" s="299"/>
      <c r="Z569" s="299"/>
      <c r="AA569" s="299"/>
      <c r="AB569" s="299"/>
      <c r="AC569" s="300"/>
      <c r="AD569" s="300"/>
    </row>
    <row r="570" spans="1:30" ht="12.75" customHeight="1" x14ac:dyDescent="0.2">
      <c r="A570" s="296"/>
      <c r="B570" s="296"/>
      <c r="C570" s="296"/>
      <c r="D570" s="298"/>
      <c r="E570" s="298"/>
      <c r="F570" s="296"/>
      <c r="G570" s="296"/>
      <c r="H570" s="296"/>
      <c r="I570" s="296"/>
      <c r="J570" s="296"/>
      <c r="K570" s="296"/>
      <c r="L570" s="296"/>
      <c r="M570" s="299"/>
      <c r="N570" s="299"/>
      <c r="O570" s="299"/>
      <c r="P570" s="299"/>
      <c r="Q570" s="299"/>
      <c r="R570" s="299"/>
      <c r="S570" s="299"/>
      <c r="T570" s="299"/>
      <c r="U570" s="299"/>
      <c r="V570" s="299"/>
      <c r="W570" s="299"/>
      <c r="X570" s="299"/>
      <c r="Y570" s="299"/>
      <c r="Z570" s="299"/>
      <c r="AA570" s="299"/>
      <c r="AB570" s="299"/>
      <c r="AC570" s="300"/>
      <c r="AD570" s="300"/>
    </row>
    <row r="571" spans="1:30" ht="12.75" customHeight="1" x14ac:dyDescent="0.2">
      <c r="A571" s="296"/>
      <c r="B571" s="296"/>
      <c r="C571" s="296"/>
      <c r="D571" s="298"/>
      <c r="E571" s="298"/>
      <c r="F571" s="296"/>
      <c r="G571" s="296"/>
      <c r="H571" s="296"/>
      <c r="I571" s="296"/>
      <c r="J571" s="296"/>
      <c r="K571" s="296"/>
      <c r="L571" s="296"/>
      <c r="M571" s="299"/>
      <c r="N571" s="299"/>
      <c r="O571" s="299"/>
      <c r="P571" s="299"/>
      <c r="Q571" s="299"/>
      <c r="R571" s="299"/>
      <c r="S571" s="299"/>
      <c r="T571" s="299"/>
      <c r="U571" s="299"/>
      <c r="V571" s="299"/>
      <c r="W571" s="299"/>
      <c r="X571" s="299"/>
      <c r="Y571" s="299"/>
      <c r="Z571" s="299"/>
      <c r="AA571" s="299"/>
      <c r="AB571" s="299"/>
      <c r="AC571" s="300"/>
      <c r="AD571" s="300"/>
    </row>
    <row r="572" spans="1:30" ht="12.75" customHeight="1" x14ac:dyDescent="0.2">
      <c r="A572" s="296"/>
      <c r="B572" s="296"/>
      <c r="C572" s="296"/>
      <c r="D572" s="298"/>
      <c r="E572" s="298"/>
      <c r="F572" s="296"/>
      <c r="G572" s="296"/>
      <c r="H572" s="296"/>
      <c r="I572" s="296"/>
      <c r="J572" s="296"/>
      <c r="K572" s="296"/>
      <c r="L572" s="296"/>
      <c r="M572" s="299"/>
      <c r="N572" s="299"/>
      <c r="O572" s="299"/>
      <c r="P572" s="299"/>
      <c r="Q572" s="299"/>
      <c r="R572" s="299"/>
      <c r="S572" s="299"/>
      <c r="T572" s="299"/>
      <c r="U572" s="299"/>
      <c r="V572" s="299"/>
      <c r="W572" s="299"/>
      <c r="X572" s="299"/>
      <c r="Y572" s="299"/>
      <c r="Z572" s="299"/>
      <c r="AA572" s="299"/>
      <c r="AB572" s="299"/>
      <c r="AC572" s="300"/>
      <c r="AD572" s="300"/>
    </row>
    <row r="573" spans="1:30" ht="12.75" customHeight="1" x14ac:dyDescent="0.2">
      <c r="A573" s="296"/>
      <c r="B573" s="296"/>
      <c r="C573" s="296"/>
      <c r="D573" s="298"/>
      <c r="E573" s="298"/>
      <c r="F573" s="296"/>
      <c r="G573" s="296"/>
      <c r="H573" s="296"/>
      <c r="I573" s="296"/>
      <c r="J573" s="296"/>
      <c r="K573" s="296"/>
      <c r="L573" s="296"/>
      <c r="M573" s="299"/>
      <c r="N573" s="299"/>
      <c r="O573" s="299"/>
      <c r="P573" s="299"/>
      <c r="Q573" s="299"/>
      <c r="R573" s="299"/>
      <c r="S573" s="299"/>
      <c r="T573" s="299"/>
      <c r="U573" s="299"/>
      <c r="V573" s="299"/>
      <c r="W573" s="299"/>
      <c r="X573" s="299"/>
      <c r="Y573" s="299"/>
      <c r="Z573" s="299"/>
      <c r="AA573" s="299"/>
      <c r="AB573" s="299"/>
      <c r="AC573" s="300"/>
      <c r="AD573" s="300"/>
    </row>
    <row r="574" spans="1:30" ht="12.75" customHeight="1" x14ac:dyDescent="0.2">
      <c r="A574" s="296"/>
      <c r="B574" s="296"/>
      <c r="C574" s="296"/>
      <c r="D574" s="298"/>
      <c r="E574" s="298"/>
      <c r="F574" s="296"/>
      <c r="G574" s="296"/>
      <c r="H574" s="296"/>
      <c r="I574" s="296"/>
      <c r="J574" s="296"/>
      <c r="K574" s="296"/>
      <c r="L574" s="296"/>
      <c r="M574" s="299"/>
      <c r="N574" s="299"/>
      <c r="O574" s="299"/>
      <c r="P574" s="299"/>
      <c r="Q574" s="299"/>
      <c r="R574" s="299"/>
      <c r="S574" s="299"/>
      <c r="T574" s="299"/>
      <c r="U574" s="299"/>
      <c r="V574" s="299"/>
      <c r="W574" s="299"/>
      <c r="X574" s="299"/>
      <c r="Y574" s="299"/>
      <c r="Z574" s="299"/>
      <c r="AA574" s="299"/>
      <c r="AB574" s="299"/>
      <c r="AC574" s="300"/>
      <c r="AD574" s="300"/>
    </row>
    <row r="575" spans="1:30" ht="12.75" customHeight="1" x14ac:dyDescent="0.2">
      <c r="A575" s="296"/>
      <c r="B575" s="296"/>
      <c r="C575" s="296"/>
      <c r="D575" s="298"/>
      <c r="E575" s="298"/>
      <c r="F575" s="296"/>
      <c r="G575" s="296"/>
      <c r="H575" s="296"/>
      <c r="I575" s="296"/>
      <c r="J575" s="296"/>
      <c r="K575" s="296"/>
      <c r="L575" s="296"/>
      <c r="M575" s="299"/>
      <c r="N575" s="299"/>
      <c r="O575" s="299"/>
      <c r="P575" s="299"/>
      <c r="Q575" s="299"/>
      <c r="R575" s="299"/>
      <c r="S575" s="299"/>
      <c r="T575" s="299"/>
      <c r="U575" s="299"/>
      <c r="V575" s="299"/>
      <c r="W575" s="299"/>
      <c r="X575" s="299"/>
      <c r="Y575" s="299"/>
      <c r="Z575" s="299"/>
      <c r="AA575" s="299"/>
      <c r="AB575" s="299"/>
      <c r="AC575" s="300"/>
      <c r="AD575" s="300"/>
    </row>
    <row r="576" spans="1:30" ht="12.75" customHeight="1" x14ac:dyDescent="0.2">
      <c r="A576" s="296"/>
      <c r="B576" s="296"/>
      <c r="C576" s="296"/>
      <c r="D576" s="298"/>
      <c r="E576" s="298"/>
      <c r="F576" s="296"/>
      <c r="G576" s="296"/>
      <c r="H576" s="296"/>
      <c r="I576" s="296"/>
      <c r="J576" s="296"/>
      <c r="K576" s="296"/>
      <c r="L576" s="296"/>
      <c r="M576" s="299"/>
      <c r="N576" s="299"/>
      <c r="O576" s="299"/>
      <c r="P576" s="299"/>
      <c r="Q576" s="299"/>
      <c r="R576" s="299"/>
      <c r="S576" s="299"/>
      <c r="T576" s="299"/>
      <c r="U576" s="299"/>
      <c r="V576" s="299"/>
      <c r="W576" s="299"/>
      <c r="X576" s="299"/>
      <c r="Y576" s="299"/>
      <c r="Z576" s="299"/>
      <c r="AA576" s="299"/>
      <c r="AB576" s="299"/>
      <c r="AC576" s="300"/>
      <c r="AD576" s="300"/>
    </row>
    <row r="577" spans="1:30" ht="12.75" customHeight="1" x14ac:dyDescent="0.2">
      <c r="A577" s="296"/>
      <c r="B577" s="296"/>
      <c r="C577" s="296"/>
      <c r="D577" s="298"/>
      <c r="E577" s="298"/>
      <c r="F577" s="296"/>
      <c r="G577" s="296"/>
      <c r="H577" s="296"/>
      <c r="I577" s="296"/>
      <c r="J577" s="296"/>
      <c r="K577" s="296"/>
      <c r="L577" s="296"/>
      <c r="M577" s="299"/>
      <c r="N577" s="299"/>
      <c r="O577" s="299"/>
      <c r="P577" s="299"/>
      <c r="Q577" s="299"/>
      <c r="R577" s="299"/>
      <c r="S577" s="299"/>
      <c r="T577" s="299"/>
      <c r="U577" s="299"/>
      <c r="V577" s="299"/>
      <c r="W577" s="299"/>
      <c r="X577" s="299"/>
      <c r="Y577" s="299"/>
      <c r="Z577" s="299"/>
      <c r="AA577" s="299"/>
      <c r="AB577" s="299"/>
      <c r="AC577" s="300"/>
      <c r="AD577" s="300"/>
    </row>
    <row r="578" spans="1:30" ht="12.75" customHeight="1" x14ac:dyDescent="0.2">
      <c r="A578" s="296"/>
      <c r="B578" s="296"/>
      <c r="C578" s="296"/>
      <c r="D578" s="298"/>
      <c r="E578" s="298"/>
      <c r="F578" s="296"/>
      <c r="G578" s="296"/>
      <c r="H578" s="296"/>
      <c r="I578" s="296"/>
      <c r="J578" s="296"/>
      <c r="K578" s="296"/>
      <c r="L578" s="296"/>
      <c r="M578" s="299"/>
      <c r="N578" s="299"/>
      <c r="O578" s="299"/>
      <c r="P578" s="299"/>
      <c r="Q578" s="299"/>
      <c r="R578" s="299"/>
      <c r="S578" s="299"/>
      <c r="T578" s="299"/>
      <c r="U578" s="299"/>
      <c r="V578" s="299"/>
      <c r="W578" s="299"/>
      <c r="X578" s="299"/>
      <c r="Y578" s="299"/>
      <c r="Z578" s="299"/>
      <c r="AA578" s="299"/>
      <c r="AB578" s="299"/>
      <c r="AC578" s="300"/>
      <c r="AD578" s="300"/>
    </row>
    <row r="579" spans="1:30" ht="12.75" customHeight="1" x14ac:dyDescent="0.2">
      <c r="A579" s="296"/>
      <c r="B579" s="296"/>
      <c r="C579" s="296"/>
      <c r="D579" s="298"/>
      <c r="E579" s="298"/>
      <c r="F579" s="296"/>
      <c r="G579" s="296"/>
      <c r="H579" s="296"/>
      <c r="I579" s="296"/>
      <c r="J579" s="296"/>
      <c r="K579" s="296"/>
      <c r="L579" s="296"/>
      <c r="M579" s="299"/>
      <c r="N579" s="299"/>
      <c r="O579" s="299"/>
      <c r="P579" s="299"/>
      <c r="Q579" s="299"/>
      <c r="R579" s="299"/>
      <c r="S579" s="299"/>
      <c r="T579" s="299"/>
      <c r="U579" s="299"/>
      <c r="V579" s="299"/>
      <c r="W579" s="299"/>
      <c r="X579" s="299"/>
      <c r="Y579" s="299"/>
      <c r="Z579" s="299"/>
      <c r="AA579" s="299"/>
      <c r="AB579" s="299"/>
      <c r="AC579" s="300"/>
      <c r="AD579" s="300"/>
    </row>
    <row r="580" spans="1:30" ht="12.75" customHeight="1" x14ac:dyDescent="0.2">
      <c r="A580" s="296"/>
      <c r="B580" s="296"/>
      <c r="C580" s="296"/>
      <c r="D580" s="298"/>
      <c r="E580" s="298"/>
      <c r="F580" s="296"/>
      <c r="G580" s="296"/>
      <c r="H580" s="296"/>
      <c r="I580" s="296"/>
      <c r="J580" s="296"/>
      <c r="K580" s="296"/>
      <c r="L580" s="296"/>
      <c r="M580" s="299"/>
      <c r="N580" s="299"/>
      <c r="O580" s="299"/>
      <c r="P580" s="299"/>
      <c r="Q580" s="299"/>
      <c r="R580" s="299"/>
      <c r="S580" s="299"/>
      <c r="T580" s="299"/>
      <c r="U580" s="299"/>
      <c r="V580" s="299"/>
      <c r="W580" s="299"/>
      <c r="X580" s="299"/>
      <c r="Y580" s="299"/>
      <c r="Z580" s="299"/>
      <c r="AA580" s="299"/>
      <c r="AB580" s="299"/>
      <c r="AC580" s="300"/>
      <c r="AD580" s="300"/>
    </row>
    <row r="581" spans="1:30" ht="12.75" customHeight="1" x14ac:dyDescent="0.2">
      <c r="A581" s="296"/>
      <c r="B581" s="296"/>
      <c r="C581" s="296"/>
      <c r="D581" s="298"/>
      <c r="E581" s="298"/>
      <c r="F581" s="296"/>
      <c r="G581" s="296"/>
      <c r="H581" s="296"/>
      <c r="I581" s="296"/>
      <c r="J581" s="296"/>
      <c r="K581" s="296"/>
      <c r="L581" s="296"/>
      <c r="M581" s="299"/>
      <c r="N581" s="299"/>
      <c r="O581" s="299"/>
      <c r="P581" s="299"/>
      <c r="Q581" s="299"/>
      <c r="R581" s="299"/>
      <c r="S581" s="299"/>
      <c r="T581" s="299"/>
      <c r="U581" s="299"/>
      <c r="V581" s="299"/>
      <c r="W581" s="299"/>
      <c r="X581" s="299"/>
      <c r="Y581" s="299"/>
      <c r="Z581" s="299"/>
      <c r="AA581" s="299"/>
      <c r="AB581" s="299"/>
      <c r="AC581" s="300"/>
      <c r="AD581" s="300"/>
    </row>
    <row r="582" spans="1:30" ht="12.75" customHeight="1" x14ac:dyDescent="0.2">
      <c r="A582" s="296"/>
      <c r="B582" s="296"/>
      <c r="C582" s="296"/>
      <c r="D582" s="298"/>
      <c r="E582" s="298"/>
      <c r="F582" s="296"/>
      <c r="G582" s="296"/>
      <c r="H582" s="296"/>
      <c r="I582" s="296"/>
      <c r="J582" s="296"/>
      <c r="K582" s="296"/>
      <c r="L582" s="296"/>
      <c r="M582" s="299"/>
      <c r="N582" s="299"/>
      <c r="O582" s="299"/>
      <c r="P582" s="299"/>
      <c r="Q582" s="299"/>
      <c r="R582" s="299"/>
      <c r="S582" s="299"/>
      <c r="T582" s="299"/>
      <c r="U582" s="299"/>
      <c r="V582" s="299"/>
      <c r="W582" s="299"/>
      <c r="X582" s="299"/>
      <c r="Y582" s="299"/>
      <c r="Z582" s="299"/>
      <c r="AA582" s="299"/>
      <c r="AB582" s="299"/>
      <c r="AC582" s="300"/>
      <c r="AD582" s="300"/>
    </row>
    <row r="583" spans="1:30" ht="12.75" customHeight="1" x14ac:dyDescent="0.2">
      <c r="A583" s="296"/>
      <c r="B583" s="296"/>
      <c r="C583" s="296"/>
      <c r="D583" s="298"/>
      <c r="E583" s="298"/>
      <c r="F583" s="296"/>
      <c r="G583" s="296"/>
      <c r="H583" s="296"/>
      <c r="I583" s="296"/>
      <c r="J583" s="296"/>
      <c r="K583" s="296"/>
      <c r="L583" s="296"/>
      <c r="M583" s="299"/>
      <c r="N583" s="299"/>
      <c r="O583" s="299"/>
      <c r="P583" s="299"/>
      <c r="Q583" s="299"/>
      <c r="R583" s="299"/>
      <c r="S583" s="299"/>
      <c r="T583" s="299"/>
      <c r="U583" s="299"/>
      <c r="V583" s="299"/>
      <c r="W583" s="299"/>
      <c r="X583" s="299"/>
      <c r="Y583" s="299"/>
      <c r="Z583" s="299"/>
      <c r="AA583" s="299"/>
      <c r="AB583" s="299"/>
      <c r="AC583" s="300"/>
      <c r="AD583" s="300"/>
    </row>
    <row r="584" spans="1:30" ht="12.75" customHeight="1" x14ac:dyDescent="0.2">
      <c r="A584" s="296"/>
      <c r="B584" s="296"/>
      <c r="C584" s="296"/>
      <c r="D584" s="298"/>
      <c r="E584" s="298"/>
      <c r="F584" s="296"/>
      <c r="G584" s="296"/>
      <c r="H584" s="296"/>
      <c r="I584" s="296"/>
      <c r="J584" s="296"/>
      <c r="K584" s="296"/>
      <c r="L584" s="296"/>
      <c r="M584" s="299"/>
      <c r="N584" s="299"/>
      <c r="O584" s="299"/>
      <c r="P584" s="299"/>
      <c r="Q584" s="299"/>
      <c r="R584" s="299"/>
      <c r="S584" s="299"/>
      <c r="T584" s="299"/>
      <c r="U584" s="299"/>
      <c r="V584" s="299"/>
      <c r="W584" s="299"/>
      <c r="X584" s="299"/>
      <c r="Y584" s="299"/>
      <c r="Z584" s="299"/>
      <c r="AA584" s="299"/>
      <c r="AB584" s="299"/>
      <c r="AC584" s="300"/>
      <c r="AD584" s="300"/>
    </row>
    <row r="585" spans="1:30" ht="12.75" customHeight="1" x14ac:dyDescent="0.2">
      <c r="A585" s="296"/>
      <c r="B585" s="296"/>
      <c r="C585" s="296"/>
      <c r="D585" s="298"/>
      <c r="E585" s="298"/>
      <c r="F585" s="296"/>
      <c r="G585" s="296"/>
      <c r="H585" s="296"/>
      <c r="I585" s="296"/>
      <c r="J585" s="296"/>
      <c r="K585" s="296"/>
      <c r="L585" s="296"/>
      <c r="M585" s="299"/>
      <c r="N585" s="299"/>
      <c r="O585" s="299"/>
      <c r="P585" s="299"/>
      <c r="Q585" s="299"/>
      <c r="R585" s="299"/>
      <c r="S585" s="299"/>
      <c r="T585" s="299"/>
      <c r="U585" s="299"/>
      <c r="V585" s="299"/>
      <c r="W585" s="299"/>
      <c r="X585" s="299"/>
      <c r="Y585" s="299"/>
      <c r="Z585" s="299"/>
      <c r="AA585" s="299"/>
      <c r="AB585" s="299"/>
      <c r="AC585" s="300"/>
      <c r="AD585" s="300"/>
    </row>
    <row r="586" spans="1:30" ht="12.75" customHeight="1" x14ac:dyDescent="0.2">
      <c r="A586" s="296"/>
      <c r="B586" s="296"/>
      <c r="C586" s="296"/>
      <c r="D586" s="298"/>
      <c r="E586" s="298"/>
      <c r="F586" s="296"/>
      <c r="G586" s="296"/>
      <c r="H586" s="296"/>
      <c r="I586" s="296"/>
      <c r="J586" s="296"/>
      <c r="K586" s="296"/>
      <c r="L586" s="296"/>
      <c r="M586" s="299"/>
      <c r="N586" s="299"/>
      <c r="O586" s="299"/>
      <c r="P586" s="299"/>
      <c r="Q586" s="299"/>
      <c r="R586" s="299"/>
      <c r="S586" s="299"/>
      <c r="T586" s="299"/>
      <c r="U586" s="299"/>
      <c r="V586" s="299"/>
      <c r="W586" s="299"/>
      <c r="X586" s="299"/>
      <c r="Y586" s="299"/>
      <c r="Z586" s="299"/>
      <c r="AA586" s="299"/>
      <c r="AB586" s="299"/>
      <c r="AC586" s="300"/>
      <c r="AD586" s="300"/>
    </row>
    <row r="587" spans="1:30" ht="12.75" customHeight="1" x14ac:dyDescent="0.2">
      <c r="A587" s="296"/>
      <c r="B587" s="296"/>
      <c r="C587" s="296"/>
      <c r="D587" s="298"/>
      <c r="E587" s="298"/>
      <c r="F587" s="296"/>
      <c r="G587" s="296"/>
      <c r="H587" s="296"/>
      <c r="I587" s="296"/>
      <c r="J587" s="296"/>
      <c r="K587" s="296"/>
      <c r="L587" s="296"/>
      <c r="M587" s="299"/>
      <c r="N587" s="299"/>
      <c r="O587" s="299"/>
      <c r="P587" s="299"/>
      <c r="Q587" s="299"/>
      <c r="R587" s="299"/>
      <c r="S587" s="299"/>
      <c r="T587" s="299"/>
      <c r="U587" s="299"/>
      <c r="V587" s="299"/>
      <c r="W587" s="299"/>
      <c r="X587" s="299"/>
      <c r="Y587" s="299"/>
      <c r="Z587" s="299"/>
      <c r="AA587" s="299"/>
      <c r="AB587" s="299"/>
      <c r="AC587" s="300"/>
      <c r="AD587" s="300"/>
    </row>
    <row r="588" spans="1:30" ht="12.75" customHeight="1" x14ac:dyDescent="0.2">
      <c r="A588" s="296"/>
      <c r="B588" s="296"/>
      <c r="C588" s="296"/>
      <c r="D588" s="298"/>
      <c r="E588" s="298"/>
      <c r="F588" s="296"/>
      <c r="G588" s="296"/>
      <c r="H588" s="296"/>
      <c r="I588" s="296"/>
      <c r="J588" s="296"/>
      <c r="K588" s="296"/>
      <c r="L588" s="296"/>
      <c r="M588" s="299"/>
      <c r="N588" s="299"/>
      <c r="O588" s="299"/>
      <c r="P588" s="299"/>
      <c r="Q588" s="299"/>
      <c r="R588" s="299"/>
      <c r="S588" s="299"/>
      <c r="T588" s="299"/>
      <c r="U588" s="299"/>
      <c r="V588" s="299"/>
      <c r="W588" s="299"/>
      <c r="X588" s="299"/>
      <c r="Y588" s="299"/>
      <c r="Z588" s="299"/>
      <c r="AA588" s="299"/>
      <c r="AB588" s="299"/>
      <c r="AC588" s="300"/>
      <c r="AD588" s="300"/>
    </row>
    <row r="589" spans="1:30" ht="12.75" customHeight="1" x14ac:dyDescent="0.2">
      <c r="A589" s="296"/>
      <c r="B589" s="296"/>
      <c r="C589" s="296"/>
      <c r="D589" s="298"/>
      <c r="E589" s="298"/>
      <c r="F589" s="296"/>
      <c r="G589" s="296"/>
      <c r="H589" s="296"/>
      <c r="I589" s="296"/>
      <c r="J589" s="296"/>
      <c r="K589" s="296"/>
      <c r="L589" s="296"/>
      <c r="M589" s="299"/>
      <c r="N589" s="299"/>
      <c r="O589" s="299"/>
      <c r="P589" s="299"/>
      <c r="Q589" s="299"/>
      <c r="R589" s="299"/>
      <c r="S589" s="299"/>
      <c r="T589" s="299"/>
      <c r="U589" s="299"/>
      <c r="V589" s="299"/>
      <c r="W589" s="299"/>
      <c r="X589" s="299"/>
      <c r="Y589" s="299"/>
      <c r="Z589" s="299"/>
      <c r="AA589" s="299"/>
      <c r="AB589" s="299"/>
      <c r="AC589" s="300"/>
      <c r="AD589" s="300"/>
    </row>
    <row r="590" spans="1:30" ht="12.75" customHeight="1" x14ac:dyDescent="0.2">
      <c r="A590" s="296"/>
      <c r="B590" s="296"/>
      <c r="C590" s="296"/>
      <c r="D590" s="298"/>
      <c r="E590" s="298"/>
      <c r="F590" s="296"/>
      <c r="G590" s="296"/>
      <c r="H590" s="296"/>
      <c r="I590" s="296"/>
      <c r="J590" s="296"/>
      <c r="K590" s="296"/>
      <c r="L590" s="296"/>
      <c r="M590" s="299"/>
      <c r="N590" s="299"/>
      <c r="O590" s="299"/>
      <c r="P590" s="299"/>
      <c r="Q590" s="299"/>
      <c r="R590" s="299"/>
      <c r="S590" s="299"/>
      <c r="T590" s="299"/>
      <c r="U590" s="299"/>
      <c r="V590" s="299"/>
      <c r="W590" s="299"/>
      <c r="X590" s="299"/>
      <c r="Y590" s="299"/>
      <c r="Z590" s="299"/>
      <c r="AA590" s="299"/>
      <c r="AB590" s="299"/>
      <c r="AC590" s="300"/>
      <c r="AD590" s="300"/>
    </row>
    <row r="591" spans="1:30" ht="12.75" customHeight="1" x14ac:dyDescent="0.2">
      <c r="A591" s="296"/>
      <c r="B591" s="296"/>
      <c r="C591" s="296"/>
      <c r="D591" s="298"/>
      <c r="E591" s="298"/>
      <c r="F591" s="296"/>
      <c r="G591" s="296"/>
      <c r="H591" s="296"/>
      <c r="I591" s="296"/>
      <c r="J591" s="296"/>
      <c r="K591" s="296"/>
      <c r="L591" s="296"/>
      <c r="M591" s="299"/>
      <c r="N591" s="299"/>
      <c r="O591" s="299"/>
      <c r="P591" s="299"/>
      <c r="Q591" s="299"/>
      <c r="R591" s="299"/>
      <c r="S591" s="299"/>
      <c r="T591" s="299"/>
      <c r="U591" s="299"/>
      <c r="V591" s="299"/>
      <c r="W591" s="299"/>
      <c r="X591" s="299"/>
      <c r="Y591" s="299"/>
      <c r="Z591" s="299"/>
      <c r="AA591" s="299"/>
      <c r="AB591" s="299"/>
      <c r="AC591" s="300"/>
      <c r="AD591" s="300"/>
    </row>
    <row r="592" spans="1:30" ht="12.75" customHeight="1" x14ac:dyDescent="0.2">
      <c r="A592" s="296"/>
      <c r="B592" s="296"/>
      <c r="C592" s="296"/>
      <c r="D592" s="298"/>
      <c r="E592" s="298"/>
      <c r="F592" s="296"/>
      <c r="G592" s="296"/>
      <c r="H592" s="296"/>
      <c r="I592" s="296"/>
      <c r="J592" s="296"/>
      <c r="K592" s="296"/>
      <c r="L592" s="296"/>
      <c r="M592" s="299"/>
      <c r="N592" s="299"/>
      <c r="O592" s="299"/>
      <c r="P592" s="299"/>
      <c r="Q592" s="299"/>
      <c r="R592" s="299"/>
      <c r="S592" s="299"/>
      <c r="T592" s="299"/>
      <c r="U592" s="299"/>
      <c r="V592" s="299"/>
      <c r="W592" s="299"/>
      <c r="X592" s="299"/>
      <c r="Y592" s="299"/>
      <c r="Z592" s="299"/>
      <c r="AA592" s="299"/>
      <c r="AB592" s="299"/>
      <c r="AC592" s="300"/>
      <c r="AD592" s="300"/>
    </row>
    <row r="593" spans="1:30" ht="12.75" customHeight="1" x14ac:dyDescent="0.2">
      <c r="A593" s="296"/>
      <c r="B593" s="296"/>
      <c r="C593" s="296"/>
      <c r="D593" s="298"/>
      <c r="E593" s="298"/>
      <c r="F593" s="296"/>
      <c r="G593" s="296"/>
      <c r="H593" s="296"/>
      <c r="I593" s="296"/>
      <c r="J593" s="296"/>
      <c r="K593" s="296"/>
      <c r="L593" s="296"/>
      <c r="M593" s="299"/>
      <c r="N593" s="299"/>
      <c r="O593" s="299"/>
      <c r="P593" s="299"/>
      <c r="Q593" s="299"/>
      <c r="R593" s="299"/>
      <c r="S593" s="299"/>
      <c r="T593" s="299"/>
      <c r="U593" s="299"/>
      <c r="V593" s="299"/>
      <c r="W593" s="299"/>
      <c r="X593" s="299"/>
      <c r="Y593" s="299"/>
      <c r="Z593" s="299"/>
      <c r="AA593" s="299"/>
      <c r="AB593" s="299"/>
      <c r="AC593" s="300"/>
      <c r="AD593" s="300"/>
    </row>
    <row r="594" spans="1:30" ht="12.75" customHeight="1" x14ac:dyDescent="0.2">
      <c r="A594" s="296"/>
      <c r="B594" s="296"/>
      <c r="C594" s="296"/>
      <c r="D594" s="298"/>
      <c r="E594" s="298"/>
      <c r="F594" s="296"/>
      <c r="G594" s="296"/>
      <c r="H594" s="296"/>
      <c r="I594" s="296"/>
      <c r="J594" s="296"/>
      <c r="K594" s="296"/>
      <c r="L594" s="296"/>
      <c r="M594" s="299"/>
      <c r="N594" s="299"/>
      <c r="O594" s="299"/>
      <c r="P594" s="299"/>
      <c r="Q594" s="299"/>
      <c r="R594" s="299"/>
      <c r="S594" s="299"/>
      <c r="T594" s="299"/>
      <c r="U594" s="299"/>
      <c r="V594" s="299"/>
      <c r="W594" s="299"/>
      <c r="X594" s="299"/>
      <c r="Y594" s="299"/>
      <c r="Z594" s="299"/>
      <c r="AA594" s="299"/>
      <c r="AB594" s="299"/>
      <c r="AC594" s="300"/>
      <c r="AD594" s="300"/>
    </row>
    <row r="595" spans="1:30" ht="12.75" customHeight="1" x14ac:dyDescent="0.2">
      <c r="A595" s="296"/>
      <c r="B595" s="296"/>
      <c r="C595" s="296"/>
      <c r="D595" s="298"/>
      <c r="E595" s="298"/>
      <c r="F595" s="296"/>
      <c r="G595" s="296"/>
      <c r="H595" s="296"/>
      <c r="I595" s="296"/>
      <c r="J595" s="296"/>
      <c r="K595" s="296"/>
      <c r="L595" s="296"/>
      <c r="M595" s="299"/>
      <c r="N595" s="299"/>
      <c r="O595" s="299"/>
      <c r="P595" s="299"/>
      <c r="Q595" s="299"/>
      <c r="R595" s="299"/>
      <c r="S595" s="299"/>
      <c r="T595" s="299"/>
      <c r="U595" s="299"/>
      <c r="V595" s="299"/>
      <c r="W595" s="299"/>
      <c r="X595" s="299"/>
      <c r="Y595" s="299"/>
      <c r="Z595" s="299"/>
      <c r="AA595" s="299"/>
      <c r="AB595" s="299"/>
      <c r="AC595" s="300"/>
      <c r="AD595" s="300"/>
    </row>
    <row r="596" spans="1:30" ht="12.75" customHeight="1" x14ac:dyDescent="0.2">
      <c r="A596" s="296"/>
      <c r="B596" s="296"/>
      <c r="C596" s="296"/>
      <c r="D596" s="298"/>
      <c r="E596" s="298"/>
      <c r="F596" s="296"/>
      <c r="G596" s="296"/>
      <c r="H596" s="296"/>
      <c r="I596" s="296"/>
      <c r="J596" s="296"/>
      <c r="K596" s="296"/>
      <c r="L596" s="296"/>
      <c r="M596" s="299"/>
      <c r="N596" s="299"/>
      <c r="O596" s="299"/>
      <c r="P596" s="299"/>
      <c r="Q596" s="299"/>
      <c r="R596" s="299"/>
      <c r="S596" s="299"/>
      <c r="T596" s="299"/>
      <c r="U596" s="299"/>
      <c r="V596" s="299"/>
      <c r="W596" s="299"/>
      <c r="X596" s="299"/>
      <c r="Y596" s="299"/>
      <c r="Z596" s="299"/>
      <c r="AA596" s="299"/>
      <c r="AB596" s="299"/>
      <c r="AC596" s="300"/>
      <c r="AD596" s="300"/>
    </row>
    <row r="597" spans="1:30" ht="12.75" customHeight="1" x14ac:dyDescent="0.2">
      <c r="A597" s="296"/>
      <c r="B597" s="296"/>
      <c r="C597" s="296"/>
      <c r="D597" s="298"/>
      <c r="E597" s="298"/>
      <c r="F597" s="296"/>
      <c r="G597" s="296"/>
      <c r="H597" s="296"/>
      <c r="I597" s="296"/>
      <c r="J597" s="296"/>
      <c r="K597" s="296"/>
      <c r="L597" s="296"/>
      <c r="M597" s="299"/>
      <c r="N597" s="299"/>
      <c r="O597" s="299"/>
      <c r="P597" s="299"/>
      <c r="Q597" s="299"/>
      <c r="R597" s="299"/>
      <c r="S597" s="299"/>
      <c r="T597" s="299"/>
      <c r="U597" s="299"/>
      <c r="V597" s="299"/>
      <c r="W597" s="299"/>
      <c r="X597" s="299"/>
      <c r="Y597" s="299"/>
      <c r="Z597" s="299"/>
      <c r="AA597" s="299"/>
      <c r="AB597" s="299"/>
      <c r="AC597" s="300"/>
      <c r="AD597" s="300"/>
    </row>
    <row r="598" spans="1:30" ht="12.75" customHeight="1" x14ac:dyDescent="0.2">
      <c r="A598" s="296"/>
      <c r="B598" s="296"/>
      <c r="C598" s="296"/>
      <c r="D598" s="298"/>
      <c r="E598" s="298"/>
      <c r="F598" s="296"/>
      <c r="G598" s="296"/>
      <c r="H598" s="296"/>
      <c r="I598" s="296"/>
      <c r="J598" s="296"/>
      <c r="K598" s="296"/>
      <c r="L598" s="296"/>
      <c r="M598" s="299"/>
      <c r="N598" s="299"/>
      <c r="O598" s="299"/>
      <c r="P598" s="299"/>
      <c r="Q598" s="299"/>
      <c r="R598" s="299"/>
      <c r="S598" s="299"/>
      <c r="T598" s="299"/>
      <c r="U598" s="299"/>
      <c r="V598" s="299"/>
      <c r="W598" s="299"/>
      <c r="X598" s="299"/>
      <c r="Y598" s="299"/>
      <c r="Z598" s="299"/>
      <c r="AA598" s="299"/>
      <c r="AB598" s="299"/>
      <c r="AC598" s="300"/>
      <c r="AD598" s="300"/>
    </row>
    <row r="599" spans="1:30" ht="12.75" customHeight="1" x14ac:dyDescent="0.2">
      <c r="A599" s="296"/>
      <c r="B599" s="296"/>
      <c r="C599" s="296"/>
      <c r="D599" s="298"/>
      <c r="E599" s="298"/>
      <c r="F599" s="296"/>
      <c r="G599" s="296"/>
      <c r="H599" s="296"/>
      <c r="I599" s="296"/>
      <c r="J599" s="296"/>
      <c r="K599" s="296"/>
      <c r="L599" s="296"/>
      <c r="M599" s="299"/>
      <c r="N599" s="299"/>
      <c r="O599" s="299"/>
      <c r="P599" s="299"/>
      <c r="Q599" s="299"/>
      <c r="R599" s="299"/>
      <c r="S599" s="299"/>
      <c r="T599" s="299"/>
      <c r="U599" s="299"/>
      <c r="V599" s="299"/>
      <c r="W599" s="299"/>
      <c r="X599" s="299"/>
      <c r="Y599" s="299"/>
      <c r="Z599" s="299"/>
      <c r="AA599" s="299"/>
      <c r="AB599" s="299"/>
      <c r="AC599" s="300"/>
      <c r="AD599" s="300"/>
    </row>
    <row r="600" spans="1:30" ht="12.75" customHeight="1" x14ac:dyDescent="0.2">
      <c r="A600" s="296"/>
      <c r="B600" s="296"/>
      <c r="C600" s="296"/>
      <c r="D600" s="298"/>
      <c r="E600" s="298"/>
      <c r="F600" s="296"/>
      <c r="G600" s="296"/>
      <c r="H600" s="296"/>
      <c r="I600" s="296"/>
      <c r="J600" s="296"/>
      <c r="K600" s="296"/>
      <c r="L600" s="296"/>
      <c r="M600" s="299"/>
      <c r="N600" s="299"/>
      <c r="O600" s="299"/>
      <c r="P600" s="299"/>
      <c r="Q600" s="299"/>
      <c r="R600" s="299"/>
      <c r="S600" s="299"/>
      <c r="T600" s="299"/>
      <c r="U600" s="299"/>
      <c r="V600" s="299"/>
      <c r="W600" s="299"/>
      <c r="X600" s="299"/>
      <c r="Y600" s="299"/>
      <c r="Z600" s="299"/>
      <c r="AA600" s="299"/>
      <c r="AB600" s="299"/>
      <c r="AC600" s="300"/>
      <c r="AD600" s="300"/>
    </row>
    <row r="601" spans="1:30" ht="12.75" customHeight="1" x14ac:dyDescent="0.2">
      <c r="A601" s="296"/>
      <c r="B601" s="296"/>
      <c r="C601" s="296"/>
      <c r="D601" s="298"/>
      <c r="E601" s="298"/>
      <c r="F601" s="296"/>
      <c r="G601" s="296"/>
      <c r="H601" s="296"/>
      <c r="I601" s="296"/>
      <c r="J601" s="296"/>
      <c r="K601" s="296"/>
      <c r="L601" s="296"/>
      <c r="M601" s="299"/>
      <c r="N601" s="299"/>
      <c r="O601" s="299"/>
      <c r="P601" s="299"/>
      <c r="Q601" s="299"/>
      <c r="R601" s="299"/>
      <c r="S601" s="299"/>
      <c r="T601" s="299"/>
      <c r="U601" s="299"/>
      <c r="V601" s="299"/>
      <c r="W601" s="299"/>
      <c r="X601" s="299"/>
      <c r="Y601" s="299"/>
      <c r="Z601" s="299"/>
      <c r="AA601" s="299"/>
      <c r="AB601" s="299"/>
      <c r="AC601" s="300"/>
      <c r="AD601" s="300"/>
    </row>
    <row r="602" spans="1:30" ht="12.75" customHeight="1" x14ac:dyDescent="0.2">
      <c r="A602" s="296"/>
      <c r="B602" s="296"/>
      <c r="C602" s="296"/>
      <c r="D602" s="298"/>
      <c r="E602" s="298"/>
      <c r="F602" s="296"/>
      <c r="G602" s="296"/>
      <c r="H602" s="296"/>
      <c r="I602" s="296"/>
      <c r="J602" s="296"/>
      <c r="K602" s="296"/>
      <c r="L602" s="296"/>
      <c r="M602" s="299"/>
      <c r="N602" s="299"/>
      <c r="O602" s="299"/>
      <c r="P602" s="299"/>
      <c r="Q602" s="299"/>
      <c r="R602" s="299"/>
      <c r="S602" s="299"/>
      <c r="T602" s="299"/>
      <c r="U602" s="299"/>
      <c r="V602" s="299"/>
      <c r="W602" s="299"/>
      <c r="X602" s="299"/>
      <c r="Y602" s="299"/>
      <c r="Z602" s="299"/>
      <c r="AA602" s="299"/>
      <c r="AB602" s="299"/>
      <c r="AC602" s="300"/>
      <c r="AD602" s="300"/>
    </row>
    <row r="603" spans="1:30" ht="12.75" customHeight="1" x14ac:dyDescent="0.2">
      <c r="A603" s="296"/>
      <c r="B603" s="296"/>
      <c r="C603" s="296"/>
      <c r="D603" s="298"/>
      <c r="E603" s="298"/>
      <c r="F603" s="296"/>
      <c r="G603" s="296"/>
      <c r="H603" s="296"/>
      <c r="I603" s="296"/>
      <c r="J603" s="296"/>
      <c r="K603" s="296"/>
      <c r="L603" s="296"/>
      <c r="M603" s="299"/>
      <c r="N603" s="299"/>
      <c r="O603" s="299"/>
      <c r="P603" s="299"/>
      <c r="Q603" s="299"/>
      <c r="R603" s="299"/>
      <c r="S603" s="299"/>
      <c r="T603" s="299"/>
      <c r="U603" s="299"/>
      <c r="V603" s="299"/>
      <c r="W603" s="299"/>
      <c r="X603" s="299"/>
      <c r="Y603" s="299"/>
      <c r="Z603" s="299"/>
      <c r="AA603" s="299"/>
      <c r="AB603" s="299"/>
      <c r="AC603" s="300"/>
      <c r="AD603" s="300"/>
    </row>
    <row r="604" spans="1:30" ht="12.75" customHeight="1" x14ac:dyDescent="0.2">
      <c r="A604" s="296"/>
      <c r="B604" s="296"/>
      <c r="C604" s="296"/>
      <c r="D604" s="298"/>
      <c r="E604" s="298"/>
      <c r="F604" s="296"/>
      <c r="G604" s="296"/>
      <c r="H604" s="296"/>
      <c r="I604" s="296"/>
      <c r="J604" s="296"/>
      <c r="K604" s="296"/>
      <c r="L604" s="296"/>
      <c r="M604" s="299"/>
      <c r="N604" s="299"/>
      <c r="O604" s="299"/>
      <c r="P604" s="299"/>
      <c r="Q604" s="299"/>
      <c r="R604" s="299"/>
      <c r="S604" s="299"/>
      <c r="T604" s="299"/>
      <c r="U604" s="299"/>
      <c r="V604" s="299"/>
      <c r="W604" s="299"/>
      <c r="X604" s="299"/>
      <c r="Y604" s="299"/>
      <c r="Z604" s="299"/>
      <c r="AA604" s="299"/>
      <c r="AB604" s="299"/>
      <c r="AC604" s="300"/>
      <c r="AD604" s="300"/>
    </row>
    <row r="605" spans="1:30" ht="12.75" customHeight="1" x14ac:dyDescent="0.2">
      <c r="A605" s="296"/>
      <c r="B605" s="296"/>
      <c r="C605" s="296"/>
      <c r="D605" s="298"/>
      <c r="E605" s="298"/>
      <c r="F605" s="296"/>
      <c r="G605" s="296"/>
      <c r="H605" s="296"/>
      <c r="I605" s="296"/>
      <c r="J605" s="296"/>
      <c r="K605" s="296"/>
      <c r="L605" s="296"/>
      <c r="M605" s="299"/>
      <c r="N605" s="299"/>
      <c r="O605" s="299"/>
      <c r="P605" s="299"/>
      <c r="Q605" s="299"/>
      <c r="R605" s="299"/>
      <c r="S605" s="299"/>
      <c r="T605" s="299"/>
      <c r="U605" s="299"/>
      <c r="V605" s="299"/>
      <c r="W605" s="299"/>
      <c r="X605" s="299"/>
      <c r="Y605" s="299"/>
      <c r="Z605" s="299"/>
      <c r="AA605" s="299"/>
      <c r="AB605" s="299"/>
      <c r="AC605" s="300"/>
      <c r="AD605" s="300"/>
    </row>
    <row r="606" spans="1:30" ht="12.75" customHeight="1" x14ac:dyDescent="0.2">
      <c r="A606" s="296"/>
      <c r="B606" s="296"/>
      <c r="C606" s="296"/>
      <c r="D606" s="298"/>
      <c r="E606" s="298"/>
      <c r="F606" s="296"/>
      <c r="G606" s="296"/>
      <c r="H606" s="296"/>
      <c r="I606" s="296"/>
      <c r="J606" s="296"/>
      <c r="K606" s="296"/>
      <c r="L606" s="296"/>
      <c r="M606" s="299"/>
      <c r="N606" s="299"/>
      <c r="O606" s="299"/>
      <c r="P606" s="299"/>
      <c r="Q606" s="299"/>
      <c r="R606" s="299"/>
      <c r="S606" s="299"/>
      <c r="T606" s="299"/>
      <c r="U606" s="299"/>
      <c r="V606" s="299"/>
      <c r="W606" s="299"/>
      <c r="X606" s="299"/>
      <c r="Y606" s="299"/>
      <c r="Z606" s="299"/>
      <c r="AA606" s="299"/>
      <c r="AB606" s="299"/>
      <c r="AC606" s="300"/>
      <c r="AD606" s="300"/>
    </row>
    <row r="607" spans="1:30" ht="12.75" customHeight="1" x14ac:dyDescent="0.2">
      <c r="A607" s="296"/>
      <c r="B607" s="296"/>
      <c r="C607" s="296"/>
      <c r="D607" s="298"/>
      <c r="E607" s="298"/>
      <c r="F607" s="296"/>
      <c r="G607" s="296"/>
      <c r="H607" s="296"/>
      <c r="I607" s="296"/>
      <c r="J607" s="296"/>
      <c r="K607" s="296"/>
      <c r="L607" s="296"/>
      <c r="M607" s="299"/>
      <c r="N607" s="299"/>
      <c r="O607" s="299"/>
      <c r="P607" s="299"/>
      <c r="Q607" s="299"/>
      <c r="R607" s="299"/>
      <c r="S607" s="299"/>
      <c r="T607" s="299"/>
      <c r="U607" s="299"/>
      <c r="V607" s="299"/>
      <c r="W607" s="299"/>
      <c r="X607" s="299"/>
      <c r="Y607" s="299"/>
      <c r="Z607" s="299"/>
      <c r="AA607" s="299"/>
      <c r="AB607" s="299"/>
      <c r="AC607" s="300"/>
      <c r="AD607" s="300"/>
    </row>
    <row r="608" spans="1:30" ht="12.75" customHeight="1" x14ac:dyDescent="0.2">
      <c r="A608" s="296"/>
      <c r="B608" s="296"/>
      <c r="C608" s="296"/>
      <c r="D608" s="298"/>
      <c r="E608" s="298"/>
      <c r="F608" s="296"/>
      <c r="G608" s="296"/>
      <c r="H608" s="296"/>
      <c r="I608" s="296"/>
      <c r="J608" s="296"/>
      <c r="K608" s="296"/>
      <c r="L608" s="296"/>
      <c r="M608" s="299"/>
      <c r="N608" s="299"/>
      <c r="O608" s="299"/>
      <c r="P608" s="299"/>
      <c r="Q608" s="299"/>
      <c r="R608" s="299"/>
      <c r="S608" s="299"/>
      <c r="T608" s="299"/>
      <c r="U608" s="299"/>
      <c r="V608" s="299"/>
      <c r="W608" s="299"/>
      <c r="X608" s="299"/>
      <c r="Y608" s="299"/>
      <c r="Z608" s="299"/>
      <c r="AA608" s="299"/>
      <c r="AB608" s="299"/>
      <c r="AC608" s="300"/>
      <c r="AD608" s="300"/>
    </row>
    <row r="609" spans="1:30" ht="12.75" customHeight="1" x14ac:dyDescent="0.2">
      <c r="A609" s="296"/>
      <c r="B609" s="296"/>
      <c r="C609" s="296"/>
      <c r="D609" s="298"/>
      <c r="E609" s="298"/>
      <c r="F609" s="296"/>
      <c r="G609" s="296"/>
      <c r="H609" s="296"/>
      <c r="I609" s="296"/>
      <c r="J609" s="296"/>
      <c r="K609" s="296"/>
      <c r="L609" s="296"/>
      <c r="M609" s="299"/>
      <c r="N609" s="299"/>
      <c r="O609" s="299"/>
      <c r="P609" s="299"/>
      <c r="Q609" s="299"/>
      <c r="R609" s="299"/>
      <c r="S609" s="299"/>
      <c r="T609" s="299"/>
      <c r="U609" s="299"/>
      <c r="V609" s="299"/>
      <c r="W609" s="299"/>
      <c r="X609" s="299"/>
      <c r="Y609" s="299"/>
      <c r="Z609" s="299"/>
      <c r="AA609" s="299"/>
      <c r="AB609" s="299"/>
      <c r="AC609" s="300"/>
      <c r="AD609" s="300"/>
    </row>
    <row r="610" spans="1:30" ht="12.75" customHeight="1" x14ac:dyDescent="0.2">
      <c r="A610" s="296"/>
      <c r="B610" s="296"/>
      <c r="C610" s="296"/>
      <c r="D610" s="298"/>
      <c r="E610" s="298"/>
      <c r="F610" s="296"/>
      <c r="G610" s="296"/>
      <c r="H610" s="296"/>
      <c r="I610" s="296"/>
      <c r="J610" s="296"/>
      <c r="K610" s="296"/>
      <c r="L610" s="296"/>
      <c r="M610" s="299"/>
      <c r="N610" s="299"/>
      <c r="O610" s="299"/>
      <c r="P610" s="299"/>
      <c r="Q610" s="299"/>
      <c r="R610" s="299"/>
      <c r="S610" s="299"/>
      <c r="T610" s="299"/>
      <c r="U610" s="299"/>
      <c r="V610" s="299"/>
      <c r="W610" s="299"/>
      <c r="X610" s="299"/>
      <c r="Y610" s="299"/>
      <c r="Z610" s="299"/>
      <c r="AA610" s="299"/>
      <c r="AB610" s="299"/>
      <c r="AC610" s="300"/>
      <c r="AD610" s="300"/>
    </row>
    <row r="611" spans="1:30" ht="12.75" customHeight="1" x14ac:dyDescent="0.2">
      <c r="A611" s="296"/>
      <c r="B611" s="296"/>
      <c r="C611" s="296"/>
      <c r="D611" s="298"/>
      <c r="E611" s="298"/>
      <c r="F611" s="296"/>
      <c r="G611" s="296"/>
      <c r="H611" s="296"/>
      <c r="I611" s="296"/>
      <c r="J611" s="296"/>
      <c r="K611" s="296"/>
      <c r="L611" s="296"/>
      <c r="M611" s="299"/>
      <c r="N611" s="299"/>
      <c r="O611" s="299"/>
      <c r="P611" s="299"/>
      <c r="Q611" s="299"/>
      <c r="R611" s="299"/>
      <c r="S611" s="299"/>
      <c r="T611" s="299"/>
      <c r="U611" s="299"/>
      <c r="V611" s="299"/>
      <c r="W611" s="299"/>
      <c r="X611" s="299"/>
      <c r="Y611" s="299"/>
      <c r="Z611" s="299"/>
      <c r="AA611" s="299"/>
      <c r="AB611" s="299"/>
      <c r="AC611" s="300"/>
      <c r="AD611" s="300"/>
    </row>
    <row r="612" spans="1:30" ht="12.75" customHeight="1" x14ac:dyDescent="0.2">
      <c r="A612" s="296"/>
      <c r="B612" s="296"/>
      <c r="C612" s="296"/>
      <c r="D612" s="298"/>
      <c r="E612" s="298"/>
      <c r="F612" s="296"/>
      <c r="G612" s="296"/>
      <c r="H612" s="296"/>
      <c r="I612" s="296"/>
      <c r="J612" s="296"/>
      <c r="K612" s="296"/>
      <c r="L612" s="296"/>
      <c r="M612" s="299"/>
      <c r="N612" s="299"/>
      <c r="O612" s="299"/>
      <c r="P612" s="299"/>
      <c r="Q612" s="299"/>
      <c r="R612" s="299"/>
      <c r="S612" s="299"/>
      <c r="T612" s="299"/>
      <c r="U612" s="299"/>
      <c r="V612" s="299"/>
      <c r="W612" s="299"/>
      <c r="X612" s="299"/>
      <c r="Y612" s="299"/>
      <c r="Z612" s="299"/>
      <c r="AA612" s="299"/>
      <c r="AB612" s="299"/>
      <c r="AC612" s="300"/>
      <c r="AD612" s="300"/>
    </row>
    <row r="613" spans="1:30" ht="12.75" customHeight="1" x14ac:dyDescent="0.2">
      <c r="A613" s="296"/>
      <c r="B613" s="296"/>
      <c r="C613" s="296"/>
      <c r="D613" s="298"/>
      <c r="E613" s="298"/>
      <c r="F613" s="296"/>
      <c r="G613" s="296"/>
      <c r="H613" s="296"/>
      <c r="I613" s="296"/>
      <c r="J613" s="296"/>
      <c r="K613" s="296"/>
      <c r="L613" s="296"/>
      <c r="M613" s="299"/>
      <c r="N613" s="299"/>
      <c r="O613" s="299"/>
      <c r="P613" s="299"/>
      <c r="Q613" s="299"/>
      <c r="R613" s="299"/>
      <c r="S613" s="299"/>
      <c r="T613" s="299"/>
      <c r="U613" s="299"/>
      <c r="V613" s="299"/>
      <c r="W613" s="299"/>
      <c r="X613" s="299"/>
      <c r="Y613" s="299"/>
      <c r="Z613" s="299"/>
      <c r="AA613" s="299"/>
      <c r="AB613" s="299"/>
      <c r="AC613" s="300"/>
      <c r="AD613" s="300"/>
    </row>
    <row r="614" spans="1:30" ht="12.75" customHeight="1" x14ac:dyDescent="0.2">
      <c r="A614" s="296"/>
      <c r="B614" s="296"/>
      <c r="C614" s="296"/>
      <c r="D614" s="298"/>
      <c r="E614" s="298"/>
      <c r="F614" s="296"/>
      <c r="G614" s="296"/>
      <c r="H614" s="296"/>
      <c r="I614" s="296"/>
      <c r="J614" s="296"/>
      <c r="K614" s="296"/>
      <c r="L614" s="296"/>
      <c r="M614" s="299"/>
      <c r="N614" s="299"/>
      <c r="O614" s="299"/>
      <c r="P614" s="299"/>
      <c r="Q614" s="299"/>
      <c r="R614" s="299"/>
      <c r="S614" s="299"/>
      <c r="T614" s="299"/>
      <c r="U614" s="299"/>
      <c r="V614" s="299"/>
      <c r="W614" s="299"/>
      <c r="X614" s="299"/>
      <c r="Y614" s="299"/>
      <c r="Z614" s="299"/>
      <c r="AA614" s="299"/>
      <c r="AB614" s="299"/>
      <c r="AC614" s="300"/>
      <c r="AD614" s="300"/>
    </row>
    <row r="615" spans="1:30" ht="12.75" customHeight="1" x14ac:dyDescent="0.2">
      <c r="A615" s="296"/>
      <c r="B615" s="296"/>
      <c r="C615" s="296"/>
      <c r="D615" s="298"/>
      <c r="E615" s="298"/>
      <c r="F615" s="296"/>
      <c r="G615" s="296"/>
      <c r="H615" s="296"/>
      <c r="I615" s="296"/>
      <c r="J615" s="296"/>
      <c r="K615" s="296"/>
      <c r="L615" s="296"/>
      <c r="M615" s="299"/>
      <c r="N615" s="299"/>
      <c r="O615" s="299"/>
      <c r="P615" s="299"/>
      <c r="Q615" s="299"/>
      <c r="R615" s="299"/>
      <c r="S615" s="299"/>
      <c r="T615" s="299"/>
      <c r="U615" s="299"/>
      <c r="V615" s="299"/>
      <c r="W615" s="299"/>
      <c r="X615" s="299"/>
      <c r="Y615" s="299"/>
      <c r="Z615" s="299"/>
      <c r="AA615" s="299"/>
      <c r="AB615" s="299"/>
      <c r="AC615" s="300"/>
      <c r="AD615" s="300"/>
    </row>
    <row r="616" spans="1:30" ht="12.75" customHeight="1" x14ac:dyDescent="0.2">
      <c r="A616" s="296"/>
      <c r="B616" s="296"/>
      <c r="C616" s="296"/>
      <c r="D616" s="298"/>
      <c r="E616" s="298"/>
      <c r="F616" s="296"/>
      <c r="G616" s="296"/>
      <c r="H616" s="296"/>
      <c r="I616" s="296"/>
      <c r="J616" s="296"/>
      <c r="K616" s="296"/>
      <c r="L616" s="296"/>
      <c r="M616" s="299"/>
      <c r="N616" s="299"/>
      <c r="O616" s="299"/>
      <c r="P616" s="299"/>
      <c r="Q616" s="299"/>
      <c r="R616" s="299"/>
      <c r="S616" s="299"/>
      <c r="T616" s="299"/>
      <c r="U616" s="299"/>
      <c r="V616" s="299"/>
      <c r="W616" s="299"/>
      <c r="X616" s="299"/>
      <c r="Y616" s="299"/>
      <c r="Z616" s="299"/>
      <c r="AA616" s="299"/>
      <c r="AB616" s="299"/>
      <c r="AC616" s="300"/>
      <c r="AD616" s="300"/>
    </row>
    <row r="617" spans="1:30" ht="12.75" customHeight="1" x14ac:dyDescent="0.2">
      <c r="A617" s="296"/>
      <c r="B617" s="296"/>
      <c r="C617" s="296"/>
      <c r="D617" s="298"/>
      <c r="E617" s="298"/>
      <c r="F617" s="296"/>
      <c r="G617" s="296"/>
      <c r="H617" s="296"/>
      <c r="I617" s="296"/>
      <c r="J617" s="296"/>
      <c r="K617" s="296"/>
      <c r="L617" s="296"/>
      <c r="M617" s="299"/>
      <c r="N617" s="299"/>
      <c r="O617" s="299"/>
      <c r="P617" s="299"/>
      <c r="Q617" s="299"/>
      <c r="R617" s="299"/>
      <c r="S617" s="299"/>
      <c r="T617" s="299"/>
      <c r="U617" s="299"/>
      <c r="V617" s="299"/>
      <c r="W617" s="299"/>
      <c r="X617" s="299"/>
      <c r="Y617" s="299"/>
      <c r="Z617" s="299"/>
      <c r="AA617" s="299"/>
      <c r="AB617" s="299"/>
      <c r="AC617" s="300"/>
      <c r="AD617" s="300"/>
    </row>
    <row r="618" spans="1:30" ht="12.75" customHeight="1" x14ac:dyDescent="0.2">
      <c r="A618" s="296"/>
      <c r="B618" s="296"/>
      <c r="C618" s="296"/>
      <c r="D618" s="298"/>
      <c r="E618" s="298"/>
      <c r="F618" s="296"/>
      <c r="G618" s="296"/>
      <c r="H618" s="296"/>
      <c r="I618" s="296"/>
      <c r="J618" s="296"/>
      <c r="K618" s="296"/>
      <c r="L618" s="296"/>
      <c r="M618" s="299"/>
      <c r="N618" s="299"/>
      <c r="O618" s="299"/>
      <c r="P618" s="299"/>
      <c r="Q618" s="299"/>
      <c r="R618" s="299"/>
      <c r="S618" s="299"/>
      <c r="T618" s="299"/>
      <c r="U618" s="299"/>
      <c r="V618" s="299"/>
      <c r="W618" s="299"/>
      <c r="X618" s="299"/>
      <c r="Y618" s="299"/>
      <c r="Z618" s="299"/>
      <c r="AA618" s="299"/>
      <c r="AB618" s="299"/>
      <c r="AC618" s="300"/>
      <c r="AD618" s="300"/>
    </row>
    <row r="619" spans="1:30" ht="12.75" customHeight="1" x14ac:dyDescent="0.2">
      <c r="A619" s="296"/>
      <c r="B619" s="296"/>
      <c r="C619" s="296"/>
      <c r="D619" s="298"/>
      <c r="E619" s="298"/>
      <c r="F619" s="296"/>
      <c r="G619" s="296"/>
      <c r="H619" s="296"/>
      <c r="I619" s="296"/>
      <c r="J619" s="296"/>
      <c r="K619" s="296"/>
      <c r="L619" s="296"/>
      <c r="M619" s="299"/>
      <c r="N619" s="299"/>
      <c r="O619" s="299"/>
      <c r="P619" s="299"/>
      <c r="Q619" s="299"/>
      <c r="R619" s="299"/>
      <c r="S619" s="299"/>
      <c r="T619" s="299"/>
      <c r="U619" s="299"/>
      <c r="V619" s="299"/>
      <c r="W619" s="299"/>
      <c r="X619" s="299"/>
      <c r="Y619" s="299"/>
      <c r="Z619" s="299"/>
      <c r="AA619" s="299"/>
      <c r="AB619" s="299"/>
      <c r="AC619" s="300"/>
      <c r="AD619" s="300"/>
    </row>
    <row r="620" spans="1:30" ht="12.75" customHeight="1" x14ac:dyDescent="0.2">
      <c r="A620" s="296"/>
      <c r="B620" s="296"/>
      <c r="C620" s="296"/>
      <c r="D620" s="298"/>
      <c r="E620" s="298"/>
      <c r="F620" s="296"/>
      <c r="G620" s="296"/>
      <c r="H620" s="296"/>
      <c r="I620" s="296"/>
      <c r="J620" s="296"/>
      <c r="K620" s="296"/>
      <c r="L620" s="296"/>
      <c r="M620" s="299"/>
      <c r="N620" s="299"/>
      <c r="O620" s="299"/>
      <c r="P620" s="299"/>
      <c r="Q620" s="299"/>
      <c r="R620" s="299"/>
      <c r="S620" s="299"/>
      <c r="T620" s="299"/>
      <c r="U620" s="299"/>
      <c r="V620" s="299"/>
      <c r="W620" s="299"/>
      <c r="X620" s="299"/>
      <c r="Y620" s="299"/>
      <c r="Z620" s="299"/>
      <c r="AA620" s="299"/>
      <c r="AB620" s="299"/>
      <c r="AC620" s="300"/>
      <c r="AD620" s="300"/>
    </row>
    <row r="621" spans="1:30" ht="12.75" customHeight="1" x14ac:dyDescent="0.2">
      <c r="A621" s="296"/>
      <c r="B621" s="296"/>
      <c r="C621" s="296"/>
      <c r="D621" s="298"/>
      <c r="E621" s="298"/>
      <c r="F621" s="296"/>
      <c r="G621" s="296"/>
      <c r="H621" s="296"/>
      <c r="I621" s="296"/>
      <c r="J621" s="296"/>
      <c r="K621" s="296"/>
      <c r="L621" s="296"/>
      <c r="M621" s="299"/>
      <c r="N621" s="299"/>
      <c r="O621" s="299"/>
      <c r="P621" s="299"/>
      <c r="Q621" s="299"/>
      <c r="R621" s="299"/>
      <c r="S621" s="299"/>
      <c r="T621" s="299"/>
      <c r="U621" s="299"/>
      <c r="V621" s="299"/>
      <c r="W621" s="299"/>
      <c r="X621" s="299"/>
      <c r="Y621" s="299"/>
      <c r="Z621" s="299"/>
      <c r="AA621" s="299"/>
      <c r="AB621" s="299"/>
      <c r="AC621" s="300"/>
      <c r="AD621" s="300"/>
    </row>
    <row r="622" spans="1:30" ht="12.75" customHeight="1" x14ac:dyDescent="0.2">
      <c r="A622" s="296"/>
      <c r="B622" s="296"/>
      <c r="C622" s="296"/>
      <c r="D622" s="298"/>
      <c r="E622" s="298"/>
      <c r="F622" s="296"/>
      <c r="G622" s="296"/>
      <c r="H622" s="296"/>
      <c r="I622" s="296"/>
      <c r="J622" s="296"/>
      <c r="K622" s="296"/>
      <c r="L622" s="296"/>
      <c r="M622" s="299"/>
      <c r="N622" s="299"/>
      <c r="O622" s="299"/>
      <c r="P622" s="299"/>
      <c r="Q622" s="299"/>
      <c r="R622" s="299"/>
      <c r="S622" s="299"/>
      <c r="T622" s="299"/>
      <c r="U622" s="299"/>
      <c r="V622" s="299"/>
      <c r="W622" s="299"/>
      <c r="X622" s="299"/>
      <c r="Y622" s="299"/>
      <c r="Z622" s="299"/>
      <c r="AA622" s="299"/>
      <c r="AB622" s="299"/>
      <c r="AC622" s="300"/>
      <c r="AD622" s="300"/>
    </row>
    <row r="623" spans="1:30" ht="12.75" customHeight="1" x14ac:dyDescent="0.2">
      <c r="A623" s="296"/>
      <c r="B623" s="296"/>
      <c r="C623" s="296"/>
      <c r="D623" s="298"/>
      <c r="E623" s="298"/>
      <c r="F623" s="296"/>
      <c r="G623" s="296"/>
      <c r="H623" s="296"/>
      <c r="I623" s="296"/>
      <c r="J623" s="296"/>
      <c r="K623" s="296"/>
      <c r="L623" s="296"/>
      <c r="M623" s="299"/>
      <c r="N623" s="299"/>
      <c r="O623" s="299"/>
      <c r="P623" s="299"/>
      <c r="Q623" s="299"/>
      <c r="R623" s="299"/>
      <c r="S623" s="299"/>
      <c r="T623" s="299"/>
      <c r="U623" s="299"/>
      <c r="V623" s="299"/>
      <c r="W623" s="299"/>
      <c r="X623" s="299"/>
      <c r="Y623" s="299"/>
      <c r="Z623" s="299"/>
      <c r="AA623" s="299"/>
      <c r="AB623" s="299"/>
      <c r="AC623" s="300"/>
      <c r="AD623" s="300"/>
    </row>
    <row r="624" spans="1:30" ht="12.75" customHeight="1" x14ac:dyDescent="0.2">
      <c r="A624" s="296"/>
      <c r="B624" s="296"/>
      <c r="C624" s="296"/>
      <c r="D624" s="298"/>
      <c r="E624" s="298"/>
      <c r="F624" s="296"/>
      <c r="G624" s="296"/>
      <c r="H624" s="296"/>
      <c r="I624" s="296"/>
      <c r="J624" s="296"/>
      <c r="K624" s="296"/>
      <c r="L624" s="296"/>
      <c r="M624" s="299"/>
      <c r="N624" s="299"/>
      <c r="O624" s="299"/>
      <c r="P624" s="299"/>
      <c r="Q624" s="299"/>
      <c r="R624" s="299"/>
      <c r="S624" s="299"/>
      <c r="T624" s="299"/>
      <c r="U624" s="299"/>
      <c r="V624" s="299"/>
      <c r="W624" s="299"/>
      <c r="X624" s="299"/>
      <c r="Y624" s="299"/>
      <c r="Z624" s="299"/>
      <c r="AA624" s="299"/>
      <c r="AB624" s="299"/>
      <c r="AC624" s="300"/>
      <c r="AD624" s="300"/>
    </row>
    <row r="625" spans="1:30" ht="12.75" customHeight="1" x14ac:dyDescent="0.2">
      <c r="A625" s="296"/>
      <c r="B625" s="296"/>
      <c r="C625" s="296"/>
      <c r="D625" s="298"/>
      <c r="E625" s="298"/>
      <c r="F625" s="296"/>
      <c r="G625" s="296"/>
      <c r="H625" s="296"/>
      <c r="I625" s="296"/>
      <c r="J625" s="296"/>
      <c r="K625" s="296"/>
      <c r="L625" s="296"/>
      <c r="M625" s="299"/>
      <c r="N625" s="299"/>
      <c r="O625" s="299"/>
      <c r="P625" s="299"/>
      <c r="Q625" s="299"/>
      <c r="R625" s="299"/>
      <c r="S625" s="299"/>
      <c r="T625" s="299"/>
      <c r="U625" s="299"/>
      <c r="V625" s="299"/>
      <c r="W625" s="299"/>
      <c r="X625" s="299"/>
      <c r="Y625" s="299"/>
      <c r="Z625" s="299"/>
      <c r="AA625" s="299"/>
      <c r="AB625" s="299"/>
      <c r="AC625" s="300"/>
      <c r="AD625" s="300"/>
    </row>
    <row r="626" spans="1:30" ht="12.75" customHeight="1" x14ac:dyDescent="0.2">
      <c r="A626" s="296"/>
      <c r="B626" s="296"/>
      <c r="C626" s="296"/>
      <c r="D626" s="298"/>
      <c r="E626" s="298"/>
      <c r="F626" s="296"/>
      <c r="G626" s="296"/>
      <c r="H626" s="296"/>
      <c r="I626" s="296"/>
      <c r="J626" s="296"/>
      <c r="K626" s="296"/>
      <c r="L626" s="296"/>
      <c r="M626" s="299"/>
      <c r="N626" s="299"/>
      <c r="O626" s="299"/>
      <c r="P626" s="299"/>
      <c r="Q626" s="299"/>
      <c r="R626" s="299"/>
      <c r="S626" s="299"/>
      <c r="T626" s="299"/>
      <c r="U626" s="299"/>
      <c r="V626" s="299"/>
      <c r="W626" s="299"/>
      <c r="X626" s="299"/>
      <c r="Y626" s="299"/>
      <c r="Z626" s="299"/>
      <c r="AA626" s="299"/>
      <c r="AB626" s="299"/>
      <c r="AC626" s="300"/>
      <c r="AD626" s="300"/>
    </row>
    <row r="627" spans="1:30" ht="12.75" customHeight="1" x14ac:dyDescent="0.2">
      <c r="A627" s="296"/>
      <c r="B627" s="296"/>
      <c r="C627" s="296"/>
      <c r="D627" s="298"/>
      <c r="E627" s="298"/>
      <c r="F627" s="296"/>
      <c r="G627" s="296"/>
      <c r="H627" s="296"/>
      <c r="I627" s="296"/>
      <c r="J627" s="296"/>
      <c r="K627" s="296"/>
      <c r="L627" s="296"/>
      <c r="M627" s="299"/>
      <c r="N627" s="299"/>
      <c r="O627" s="299"/>
      <c r="P627" s="299"/>
      <c r="Q627" s="299"/>
      <c r="R627" s="299"/>
      <c r="S627" s="299"/>
      <c r="T627" s="299"/>
      <c r="U627" s="299"/>
      <c r="V627" s="299"/>
      <c r="W627" s="299"/>
      <c r="X627" s="299"/>
      <c r="Y627" s="299"/>
      <c r="Z627" s="299"/>
      <c r="AA627" s="299"/>
      <c r="AB627" s="299"/>
      <c r="AC627" s="300"/>
      <c r="AD627" s="300"/>
    </row>
    <row r="628" spans="1:30" ht="12.75" customHeight="1" x14ac:dyDescent="0.2">
      <c r="A628" s="296"/>
      <c r="B628" s="296"/>
      <c r="C628" s="296"/>
      <c r="D628" s="298"/>
      <c r="E628" s="298"/>
      <c r="F628" s="296"/>
      <c r="G628" s="296"/>
      <c r="H628" s="296"/>
      <c r="I628" s="296"/>
      <c r="J628" s="296"/>
      <c r="K628" s="296"/>
      <c r="L628" s="296"/>
      <c r="M628" s="299"/>
      <c r="N628" s="299"/>
      <c r="O628" s="299"/>
      <c r="P628" s="299"/>
      <c r="Q628" s="299"/>
      <c r="R628" s="299"/>
      <c r="S628" s="299"/>
      <c r="T628" s="299"/>
      <c r="U628" s="299"/>
      <c r="V628" s="299"/>
      <c r="W628" s="299"/>
      <c r="X628" s="299"/>
      <c r="Y628" s="299"/>
      <c r="Z628" s="299"/>
      <c r="AA628" s="299"/>
      <c r="AB628" s="299"/>
      <c r="AC628" s="300"/>
      <c r="AD628" s="300"/>
    </row>
    <row r="629" spans="1:30" ht="12.75" customHeight="1" x14ac:dyDescent="0.2">
      <c r="A629" s="296"/>
      <c r="B629" s="296"/>
      <c r="C629" s="296"/>
      <c r="D629" s="298"/>
      <c r="E629" s="298"/>
      <c r="F629" s="296"/>
      <c r="G629" s="296"/>
      <c r="H629" s="296"/>
      <c r="I629" s="296"/>
      <c r="J629" s="296"/>
      <c r="K629" s="296"/>
      <c r="L629" s="296"/>
      <c r="M629" s="299"/>
      <c r="N629" s="299"/>
      <c r="O629" s="299"/>
      <c r="P629" s="299"/>
      <c r="Q629" s="299"/>
      <c r="R629" s="299"/>
      <c r="S629" s="299"/>
      <c r="T629" s="299"/>
      <c r="U629" s="299"/>
      <c r="V629" s="299"/>
      <c r="W629" s="299"/>
      <c r="X629" s="299"/>
      <c r="Y629" s="299"/>
      <c r="Z629" s="299"/>
      <c r="AA629" s="299"/>
      <c r="AB629" s="299"/>
      <c r="AC629" s="300"/>
      <c r="AD629" s="300"/>
    </row>
    <row r="630" spans="1:30" ht="12.75" customHeight="1" x14ac:dyDescent="0.2">
      <c r="A630" s="296"/>
      <c r="B630" s="296"/>
      <c r="C630" s="296"/>
      <c r="D630" s="298"/>
      <c r="E630" s="298"/>
      <c r="F630" s="296"/>
      <c r="G630" s="296"/>
      <c r="H630" s="296"/>
      <c r="I630" s="296"/>
      <c r="J630" s="296"/>
      <c r="K630" s="296"/>
      <c r="L630" s="296"/>
      <c r="M630" s="299"/>
      <c r="N630" s="299"/>
      <c r="O630" s="299"/>
      <c r="P630" s="299"/>
      <c r="Q630" s="299"/>
      <c r="R630" s="299"/>
      <c r="S630" s="299"/>
      <c r="T630" s="299"/>
      <c r="U630" s="299"/>
      <c r="V630" s="299"/>
      <c r="W630" s="299"/>
      <c r="X630" s="299"/>
      <c r="Y630" s="299"/>
      <c r="Z630" s="299"/>
      <c r="AA630" s="299"/>
      <c r="AB630" s="299"/>
      <c r="AC630" s="300"/>
      <c r="AD630" s="300"/>
    </row>
    <row r="631" spans="1:30" ht="12.75" customHeight="1" x14ac:dyDescent="0.2">
      <c r="A631" s="296"/>
      <c r="B631" s="296"/>
      <c r="C631" s="296"/>
      <c r="D631" s="298"/>
      <c r="E631" s="298"/>
      <c r="F631" s="296"/>
      <c r="G631" s="296"/>
      <c r="H631" s="296"/>
      <c r="I631" s="296"/>
      <c r="J631" s="296"/>
      <c r="K631" s="296"/>
      <c r="L631" s="296"/>
      <c r="M631" s="299"/>
      <c r="N631" s="299"/>
      <c r="O631" s="299"/>
      <c r="P631" s="299"/>
      <c r="Q631" s="299"/>
      <c r="R631" s="299"/>
      <c r="S631" s="299"/>
      <c r="T631" s="299"/>
      <c r="U631" s="299"/>
      <c r="V631" s="299"/>
      <c r="W631" s="299"/>
      <c r="X631" s="299"/>
      <c r="Y631" s="299"/>
      <c r="Z631" s="299"/>
      <c r="AA631" s="299"/>
      <c r="AB631" s="299"/>
      <c r="AC631" s="300"/>
      <c r="AD631" s="300"/>
    </row>
    <row r="632" spans="1:30" ht="12.75" customHeight="1" x14ac:dyDescent="0.2">
      <c r="A632" s="296"/>
      <c r="B632" s="296"/>
      <c r="C632" s="296"/>
      <c r="D632" s="298"/>
      <c r="E632" s="298"/>
      <c r="F632" s="296"/>
      <c r="G632" s="296"/>
      <c r="H632" s="296"/>
      <c r="I632" s="296"/>
      <c r="J632" s="296"/>
      <c r="K632" s="296"/>
      <c r="L632" s="296"/>
      <c r="M632" s="299"/>
      <c r="N632" s="299"/>
      <c r="O632" s="299"/>
      <c r="P632" s="299"/>
      <c r="Q632" s="299"/>
      <c r="R632" s="299"/>
      <c r="S632" s="299"/>
      <c r="T632" s="299"/>
      <c r="U632" s="299"/>
      <c r="V632" s="299"/>
      <c r="W632" s="299"/>
      <c r="X632" s="299"/>
      <c r="Y632" s="299"/>
      <c r="Z632" s="299"/>
      <c r="AA632" s="299"/>
      <c r="AB632" s="299"/>
      <c r="AC632" s="300"/>
      <c r="AD632" s="300"/>
    </row>
    <row r="633" spans="1:30" ht="12.75" customHeight="1" x14ac:dyDescent="0.2">
      <c r="A633" s="296"/>
      <c r="B633" s="296"/>
      <c r="C633" s="296"/>
      <c r="D633" s="298"/>
      <c r="E633" s="298"/>
      <c r="F633" s="296"/>
      <c r="G633" s="296"/>
      <c r="H633" s="296"/>
      <c r="I633" s="296"/>
      <c r="J633" s="296"/>
      <c r="K633" s="296"/>
      <c r="L633" s="296"/>
      <c r="M633" s="299"/>
      <c r="N633" s="299"/>
      <c r="O633" s="299"/>
      <c r="P633" s="299"/>
      <c r="Q633" s="299"/>
      <c r="R633" s="299"/>
      <c r="S633" s="299"/>
      <c r="T633" s="299"/>
      <c r="U633" s="299"/>
      <c r="V633" s="299"/>
      <c r="W633" s="299"/>
      <c r="X633" s="299"/>
      <c r="Y633" s="299"/>
      <c r="Z633" s="299"/>
      <c r="AA633" s="299"/>
      <c r="AB633" s="299"/>
      <c r="AC633" s="300"/>
      <c r="AD633" s="300"/>
    </row>
    <row r="634" spans="1:30" ht="12.75" customHeight="1" x14ac:dyDescent="0.2">
      <c r="A634" s="296"/>
      <c r="B634" s="296"/>
      <c r="C634" s="296"/>
      <c r="D634" s="298"/>
      <c r="E634" s="298"/>
      <c r="F634" s="296"/>
      <c r="G634" s="296"/>
      <c r="H634" s="296"/>
      <c r="I634" s="296"/>
      <c r="J634" s="296"/>
      <c r="K634" s="296"/>
      <c r="L634" s="296"/>
      <c r="M634" s="299"/>
      <c r="N634" s="299"/>
      <c r="O634" s="299"/>
      <c r="P634" s="299"/>
      <c r="Q634" s="299"/>
      <c r="R634" s="299"/>
      <c r="S634" s="299"/>
      <c r="T634" s="299"/>
      <c r="U634" s="299"/>
      <c r="V634" s="299"/>
      <c r="W634" s="299"/>
      <c r="X634" s="299"/>
      <c r="Y634" s="299"/>
      <c r="Z634" s="299"/>
      <c r="AA634" s="299"/>
      <c r="AB634" s="299"/>
      <c r="AC634" s="300"/>
      <c r="AD634" s="300"/>
    </row>
    <row r="635" spans="1:30" ht="12.75" customHeight="1" x14ac:dyDescent="0.2">
      <c r="A635" s="296"/>
      <c r="B635" s="296"/>
      <c r="C635" s="296"/>
      <c r="D635" s="298"/>
      <c r="E635" s="298"/>
      <c r="F635" s="296"/>
      <c r="G635" s="296"/>
      <c r="H635" s="296"/>
      <c r="I635" s="296"/>
      <c r="J635" s="296"/>
      <c r="K635" s="296"/>
      <c r="L635" s="296"/>
      <c r="M635" s="299"/>
      <c r="N635" s="299"/>
      <c r="O635" s="299"/>
      <c r="P635" s="299"/>
      <c r="Q635" s="299"/>
      <c r="R635" s="299"/>
      <c r="S635" s="299"/>
      <c r="T635" s="299"/>
      <c r="U635" s="299"/>
      <c r="V635" s="299"/>
      <c r="W635" s="299"/>
      <c r="X635" s="299"/>
      <c r="Y635" s="299"/>
      <c r="Z635" s="299"/>
      <c r="AA635" s="299"/>
      <c r="AB635" s="299"/>
      <c r="AC635" s="300"/>
      <c r="AD635" s="300"/>
    </row>
    <row r="636" spans="1:30" ht="12.75" customHeight="1" x14ac:dyDescent="0.2">
      <c r="A636" s="296"/>
      <c r="B636" s="296"/>
      <c r="C636" s="296"/>
      <c r="D636" s="298"/>
      <c r="E636" s="298"/>
      <c r="F636" s="296"/>
      <c r="G636" s="296"/>
      <c r="H636" s="296"/>
      <c r="I636" s="296"/>
      <c r="J636" s="296"/>
      <c r="K636" s="296"/>
      <c r="L636" s="296"/>
      <c r="M636" s="299"/>
      <c r="N636" s="299"/>
      <c r="O636" s="299"/>
      <c r="P636" s="299"/>
      <c r="Q636" s="299"/>
      <c r="R636" s="299"/>
      <c r="S636" s="299"/>
      <c r="T636" s="299"/>
      <c r="U636" s="299"/>
      <c r="V636" s="299"/>
      <c r="W636" s="299"/>
      <c r="X636" s="299"/>
      <c r="Y636" s="299"/>
      <c r="Z636" s="299"/>
      <c r="AA636" s="299"/>
      <c r="AB636" s="299"/>
      <c r="AC636" s="300"/>
      <c r="AD636" s="300"/>
    </row>
    <row r="637" spans="1:30" ht="12.75" customHeight="1" x14ac:dyDescent="0.2">
      <c r="A637" s="296"/>
      <c r="B637" s="296"/>
      <c r="C637" s="296"/>
      <c r="D637" s="298"/>
      <c r="E637" s="298"/>
      <c r="F637" s="296"/>
      <c r="G637" s="296"/>
      <c r="H637" s="296"/>
      <c r="I637" s="296"/>
      <c r="J637" s="296"/>
      <c r="K637" s="296"/>
      <c r="L637" s="296"/>
      <c r="M637" s="299"/>
      <c r="N637" s="299"/>
      <c r="O637" s="299"/>
      <c r="P637" s="299"/>
      <c r="Q637" s="299"/>
      <c r="R637" s="299"/>
      <c r="S637" s="299"/>
      <c r="T637" s="299"/>
      <c r="U637" s="299"/>
      <c r="V637" s="299"/>
      <c r="W637" s="299"/>
      <c r="X637" s="299"/>
      <c r="Y637" s="299"/>
      <c r="Z637" s="299"/>
      <c r="AA637" s="299"/>
      <c r="AB637" s="299"/>
      <c r="AC637" s="300"/>
      <c r="AD637" s="300"/>
    </row>
    <row r="638" spans="1:30" ht="12.75" customHeight="1" x14ac:dyDescent="0.2">
      <c r="A638" s="296"/>
      <c r="B638" s="296"/>
      <c r="C638" s="296"/>
      <c r="D638" s="298"/>
      <c r="E638" s="298"/>
      <c r="F638" s="296"/>
      <c r="G638" s="296"/>
      <c r="H638" s="296"/>
      <c r="I638" s="296"/>
      <c r="J638" s="296"/>
      <c r="K638" s="296"/>
      <c r="L638" s="296"/>
      <c r="M638" s="299"/>
      <c r="N638" s="299"/>
      <c r="O638" s="299"/>
      <c r="P638" s="299"/>
      <c r="Q638" s="299"/>
      <c r="R638" s="299"/>
      <c r="S638" s="299"/>
      <c r="T638" s="299"/>
      <c r="U638" s="299"/>
      <c r="V638" s="299"/>
      <c r="W638" s="299"/>
      <c r="X638" s="299"/>
      <c r="Y638" s="299"/>
      <c r="Z638" s="299"/>
      <c r="AA638" s="299"/>
      <c r="AB638" s="299"/>
      <c r="AC638" s="300"/>
      <c r="AD638" s="300"/>
    </row>
    <row r="639" spans="1:30" ht="12.75" customHeight="1" x14ac:dyDescent="0.2">
      <c r="A639" s="296"/>
      <c r="B639" s="296"/>
      <c r="C639" s="296"/>
      <c r="D639" s="298"/>
      <c r="E639" s="298"/>
      <c r="F639" s="296"/>
      <c r="G639" s="296"/>
      <c r="H639" s="296"/>
      <c r="I639" s="296"/>
      <c r="J639" s="296"/>
      <c r="K639" s="296"/>
      <c r="L639" s="296"/>
      <c r="M639" s="299"/>
      <c r="N639" s="299"/>
      <c r="O639" s="299"/>
      <c r="P639" s="299"/>
      <c r="Q639" s="299"/>
      <c r="R639" s="299"/>
      <c r="S639" s="299"/>
      <c r="T639" s="299"/>
      <c r="U639" s="299"/>
      <c r="V639" s="299"/>
      <c r="W639" s="299"/>
      <c r="X639" s="299"/>
      <c r="Y639" s="299"/>
      <c r="Z639" s="299"/>
      <c r="AA639" s="299"/>
      <c r="AB639" s="299"/>
      <c r="AC639" s="300"/>
      <c r="AD639" s="300"/>
    </row>
    <row r="640" spans="1:30" ht="12.75" customHeight="1" x14ac:dyDescent="0.2">
      <c r="A640" s="296"/>
      <c r="B640" s="296"/>
      <c r="C640" s="296"/>
      <c r="D640" s="298"/>
      <c r="E640" s="298"/>
      <c r="F640" s="296"/>
      <c r="G640" s="296"/>
      <c r="H640" s="296"/>
      <c r="I640" s="296"/>
      <c r="J640" s="296"/>
      <c r="K640" s="296"/>
      <c r="L640" s="296"/>
      <c r="M640" s="299"/>
      <c r="N640" s="299"/>
      <c r="O640" s="299"/>
      <c r="P640" s="299"/>
      <c r="Q640" s="299"/>
      <c r="R640" s="299"/>
      <c r="S640" s="299"/>
      <c r="T640" s="299"/>
      <c r="U640" s="299"/>
      <c r="V640" s="299"/>
      <c r="W640" s="299"/>
      <c r="X640" s="299"/>
      <c r="Y640" s="299"/>
      <c r="Z640" s="299"/>
      <c r="AA640" s="299"/>
      <c r="AB640" s="299"/>
      <c r="AC640" s="300"/>
      <c r="AD640" s="300"/>
    </row>
    <row r="641" spans="1:30" ht="12.75" customHeight="1" x14ac:dyDescent="0.2">
      <c r="A641" s="296"/>
      <c r="B641" s="296"/>
      <c r="C641" s="296"/>
      <c r="D641" s="298"/>
      <c r="E641" s="298"/>
      <c r="F641" s="296"/>
      <c r="G641" s="296"/>
      <c r="H641" s="296"/>
      <c r="I641" s="296"/>
      <c r="J641" s="296"/>
      <c r="K641" s="296"/>
      <c r="L641" s="296"/>
      <c r="M641" s="299"/>
      <c r="N641" s="299"/>
      <c r="O641" s="299"/>
      <c r="P641" s="299"/>
      <c r="Q641" s="299"/>
      <c r="R641" s="299"/>
      <c r="S641" s="299"/>
      <c r="T641" s="299"/>
      <c r="U641" s="299"/>
      <c r="V641" s="299"/>
      <c r="W641" s="299"/>
      <c r="X641" s="299"/>
      <c r="Y641" s="299"/>
      <c r="Z641" s="299"/>
      <c r="AA641" s="299"/>
      <c r="AB641" s="299"/>
      <c r="AC641" s="300"/>
      <c r="AD641" s="300"/>
    </row>
    <row r="642" spans="1:30" ht="12.75" customHeight="1" x14ac:dyDescent="0.2">
      <c r="A642" s="296"/>
      <c r="B642" s="296"/>
      <c r="C642" s="296"/>
      <c r="D642" s="298"/>
      <c r="E642" s="298"/>
      <c r="F642" s="296"/>
      <c r="G642" s="296"/>
      <c r="H642" s="296"/>
      <c r="I642" s="296"/>
      <c r="J642" s="296"/>
      <c r="K642" s="296"/>
      <c r="L642" s="296"/>
      <c r="M642" s="299"/>
      <c r="N642" s="299"/>
      <c r="O642" s="299"/>
      <c r="P642" s="299"/>
      <c r="Q642" s="299"/>
      <c r="R642" s="299"/>
      <c r="S642" s="299"/>
      <c r="T642" s="299"/>
      <c r="U642" s="299"/>
      <c r="V642" s="299"/>
      <c r="W642" s="299"/>
      <c r="X642" s="299"/>
      <c r="Y642" s="299"/>
      <c r="Z642" s="299"/>
      <c r="AA642" s="299"/>
      <c r="AB642" s="299"/>
      <c r="AC642" s="300"/>
      <c r="AD642" s="300"/>
    </row>
    <row r="643" spans="1:30" ht="12.75" customHeight="1" x14ac:dyDescent="0.2">
      <c r="A643" s="296"/>
      <c r="B643" s="296"/>
      <c r="C643" s="296"/>
      <c r="D643" s="298"/>
      <c r="E643" s="298"/>
      <c r="F643" s="296"/>
      <c r="G643" s="296"/>
      <c r="H643" s="296"/>
      <c r="I643" s="296"/>
      <c r="J643" s="296"/>
      <c r="K643" s="296"/>
      <c r="L643" s="296"/>
      <c r="M643" s="299"/>
      <c r="N643" s="299"/>
      <c r="O643" s="299"/>
      <c r="P643" s="299"/>
      <c r="Q643" s="299"/>
      <c r="R643" s="299"/>
      <c r="S643" s="299"/>
      <c r="T643" s="299"/>
      <c r="U643" s="299"/>
      <c r="V643" s="299"/>
      <c r="W643" s="299"/>
      <c r="X643" s="299"/>
      <c r="Y643" s="299"/>
      <c r="Z643" s="299"/>
      <c r="AA643" s="299"/>
      <c r="AB643" s="299"/>
      <c r="AC643" s="300"/>
      <c r="AD643" s="300"/>
    </row>
    <row r="644" spans="1:30" ht="12.75" customHeight="1" x14ac:dyDescent="0.2">
      <c r="A644" s="296"/>
      <c r="B644" s="296"/>
      <c r="C644" s="296"/>
      <c r="D644" s="298"/>
      <c r="E644" s="298"/>
      <c r="F644" s="296"/>
      <c r="G644" s="296"/>
      <c r="H644" s="296"/>
      <c r="I644" s="296"/>
      <c r="J644" s="296"/>
      <c r="K644" s="296"/>
      <c r="L644" s="296"/>
      <c r="M644" s="299"/>
      <c r="N644" s="299"/>
      <c r="O644" s="299"/>
      <c r="P644" s="299"/>
      <c r="Q644" s="299"/>
      <c r="R644" s="299"/>
      <c r="S644" s="299"/>
      <c r="T644" s="299"/>
      <c r="U644" s="299"/>
      <c r="V644" s="299"/>
      <c r="W644" s="299"/>
      <c r="X644" s="299"/>
      <c r="Y644" s="299"/>
      <c r="Z644" s="299"/>
      <c r="AA644" s="299"/>
      <c r="AB644" s="299"/>
      <c r="AC644" s="300"/>
      <c r="AD644" s="300"/>
    </row>
    <row r="645" spans="1:30" ht="12.75" customHeight="1" x14ac:dyDescent="0.2">
      <c r="A645" s="296"/>
      <c r="B645" s="296"/>
      <c r="C645" s="296"/>
      <c r="D645" s="298"/>
      <c r="E645" s="298"/>
      <c r="F645" s="296"/>
      <c r="G645" s="296"/>
      <c r="H645" s="296"/>
      <c r="I645" s="296"/>
      <c r="J645" s="296"/>
      <c r="K645" s="296"/>
      <c r="L645" s="296"/>
      <c r="M645" s="299"/>
      <c r="N645" s="299"/>
      <c r="O645" s="299"/>
      <c r="P645" s="299"/>
      <c r="Q645" s="299"/>
      <c r="R645" s="299"/>
      <c r="S645" s="299"/>
      <c r="T645" s="299"/>
      <c r="U645" s="299"/>
      <c r="V645" s="299"/>
      <c r="W645" s="299"/>
      <c r="X645" s="299"/>
      <c r="Y645" s="299"/>
      <c r="Z645" s="299"/>
      <c r="AA645" s="299"/>
      <c r="AB645" s="299"/>
      <c r="AC645" s="300"/>
      <c r="AD645" s="300"/>
    </row>
    <row r="646" spans="1:30" ht="12.75" customHeight="1" x14ac:dyDescent="0.2">
      <c r="A646" s="296"/>
      <c r="B646" s="296"/>
      <c r="C646" s="296"/>
      <c r="D646" s="298"/>
      <c r="E646" s="298"/>
      <c r="F646" s="296"/>
      <c r="G646" s="296"/>
      <c r="H646" s="296"/>
      <c r="I646" s="296"/>
      <c r="J646" s="296"/>
      <c r="K646" s="296"/>
      <c r="L646" s="296"/>
      <c r="M646" s="299"/>
      <c r="N646" s="299"/>
      <c r="O646" s="299"/>
      <c r="P646" s="299"/>
      <c r="Q646" s="299"/>
      <c r="R646" s="299"/>
      <c r="S646" s="299"/>
      <c r="T646" s="299"/>
      <c r="U646" s="299"/>
      <c r="V646" s="299"/>
      <c r="W646" s="299"/>
      <c r="X646" s="299"/>
      <c r="Y646" s="299"/>
      <c r="Z646" s="299"/>
      <c r="AA646" s="299"/>
      <c r="AB646" s="299"/>
      <c r="AC646" s="300"/>
      <c r="AD646" s="300"/>
    </row>
    <row r="647" spans="1:30" ht="12.75" customHeight="1" x14ac:dyDescent="0.2">
      <c r="A647" s="296"/>
      <c r="B647" s="296"/>
      <c r="C647" s="296"/>
      <c r="D647" s="298"/>
      <c r="E647" s="298"/>
      <c r="F647" s="296"/>
      <c r="G647" s="296"/>
      <c r="H647" s="296"/>
      <c r="I647" s="296"/>
      <c r="J647" s="296"/>
      <c r="K647" s="296"/>
      <c r="L647" s="296"/>
      <c r="M647" s="299"/>
      <c r="N647" s="299"/>
      <c r="O647" s="299"/>
      <c r="P647" s="299"/>
      <c r="Q647" s="299"/>
      <c r="R647" s="299"/>
      <c r="S647" s="299"/>
      <c r="T647" s="299"/>
      <c r="U647" s="299"/>
      <c r="V647" s="299"/>
      <c r="W647" s="299"/>
      <c r="X647" s="299"/>
      <c r="Y647" s="299"/>
      <c r="Z647" s="299"/>
      <c r="AA647" s="299"/>
      <c r="AB647" s="299"/>
      <c r="AC647" s="300"/>
      <c r="AD647" s="300"/>
    </row>
    <row r="648" spans="1:30" ht="12.75" customHeight="1" x14ac:dyDescent="0.2">
      <c r="A648" s="296"/>
      <c r="B648" s="296"/>
      <c r="C648" s="296"/>
      <c r="D648" s="298"/>
      <c r="E648" s="298"/>
      <c r="F648" s="296"/>
      <c r="G648" s="296"/>
      <c r="H648" s="296"/>
      <c r="I648" s="296"/>
      <c r="J648" s="296"/>
      <c r="K648" s="296"/>
      <c r="L648" s="296"/>
      <c r="M648" s="299"/>
      <c r="N648" s="299"/>
      <c r="O648" s="299"/>
      <c r="P648" s="299"/>
      <c r="Q648" s="299"/>
      <c r="R648" s="299"/>
      <c r="S648" s="299"/>
      <c r="T648" s="299"/>
      <c r="U648" s="299"/>
      <c r="V648" s="299"/>
      <c r="W648" s="299"/>
      <c r="X648" s="299"/>
      <c r="Y648" s="299"/>
      <c r="Z648" s="299"/>
      <c r="AA648" s="299"/>
      <c r="AB648" s="299"/>
      <c r="AC648" s="300"/>
      <c r="AD648" s="300"/>
    </row>
    <row r="649" spans="1:30" ht="12.75" customHeight="1" x14ac:dyDescent="0.2">
      <c r="A649" s="296"/>
      <c r="B649" s="296"/>
      <c r="C649" s="296"/>
      <c r="D649" s="298"/>
      <c r="E649" s="298"/>
      <c r="F649" s="296"/>
      <c r="G649" s="296"/>
      <c r="H649" s="296"/>
      <c r="I649" s="296"/>
      <c r="J649" s="296"/>
      <c r="K649" s="296"/>
      <c r="L649" s="296"/>
      <c r="M649" s="299"/>
      <c r="N649" s="299"/>
      <c r="O649" s="299"/>
      <c r="P649" s="299"/>
      <c r="Q649" s="299"/>
      <c r="R649" s="299"/>
      <c r="S649" s="299"/>
      <c r="T649" s="299"/>
      <c r="U649" s="299"/>
      <c r="V649" s="299"/>
      <c r="W649" s="299"/>
      <c r="X649" s="299"/>
      <c r="Y649" s="299"/>
      <c r="Z649" s="299"/>
      <c r="AA649" s="299"/>
      <c r="AB649" s="299"/>
      <c r="AC649" s="300"/>
      <c r="AD649" s="300"/>
    </row>
    <row r="650" spans="1:30" ht="12.75" customHeight="1" x14ac:dyDescent="0.2">
      <c r="A650" s="296"/>
      <c r="B650" s="296"/>
      <c r="C650" s="296"/>
      <c r="D650" s="298"/>
      <c r="E650" s="298"/>
      <c r="F650" s="296"/>
      <c r="G650" s="296"/>
      <c r="H650" s="296"/>
      <c r="I650" s="296"/>
      <c r="J650" s="296"/>
      <c r="K650" s="296"/>
      <c r="L650" s="296"/>
      <c r="M650" s="299"/>
      <c r="N650" s="299"/>
      <c r="O650" s="299"/>
      <c r="P650" s="299"/>
      <c r="Q650" s="299"/>
      <c r="R650" s="299"/>
      <c r="S650" s="299"/>
      <c r="T650" s="299"/>
      <c r="U650" s="299"/>
      <c r="V650" s="299"/>
      <c r="W650" s="299"/>
      <c r="X650" s="299"/>
      <c r="Y650" s="299"/>
      <c r="Z650" s="299"/>
      <c r="AA650" s="299"/>
      <c r="AB650" s="299"/>
      <c r="AC650" s="300"/>
      <c r="AD650" s="300"/>
    </row>
    <row r="651" spans="1:30" ht="12.75" customHeight="1" x14ac:dyDescent="0.2">
      <c r="A651" s="296"/>
      <c r="B651" s="296"/>
      <c r="C651" s="296"/>
      <c r="D651" s="298"/>
      <c r="E651" s="298"/>
      <c r="F651" s="296"/>
      <c r="G651" s="296"/>
      <c r="H651" s="296"/>
      <c r="I651" s="296"/>
      <c r="J651" s="296"/>
      <c r="K651" s="296"/>
      <c r="L651" s="296"/>
      <c r="M651" s="299"/>
      <c r="N651" s="299"/>
      <c r="O651" s="299"/>
      <c r="P651" s="299"/>
      <c r="Q651" s="299"/>
      <c r="R651" s="299"/>
      <c r="S651" s="299"/>
      <c r="T651" s="299"/>
      <c r="U651" s="299"/>
      <c r="V651" s="299"/>
      <c r="W651" s="299"/>
      <c r="X651" s="299"/>
      <c r="Y651" s="299"/>
      <c r="Z651" s="299"/>
      <c r="AA651" s="299"/>
      <c r="AB651" s="299"/>
      <c r="AC651" s="300"/>
      <c r="AD651" s="300"/>
    </row>
    <row r="652" spans="1:30" ht="12.75" customHeight="1" x14ac:dyDescent="0.2">
      <c r="A652" s="296"/>
      <c r="B652" s="296"/>
      <c r="C652" s="296"/>
      <c r="D652" s="298"/>
      <c r="E652" s="298"/>
      <c r="F652" s="296"/>
      <c r="G652" s="296"/>
      <c r="H652" s="296"/>
      <c r="I652" s="296"/>
      <c r="J652" s="296"/>
      <c r="K652" s="296"/>
      <c r="L652" s="296"/>
      <c r="M652" s="299"/>
      <c r="N652" s="299"/>
      <c r="O652" s="299"/>
      <c r="P652" s="299"/>
      <c r="Q652" s="299"/>
      <c r="R652" s="299"/>
      <c r="S652" s="299"/>
      <c r="T652" s="299"/>
      <c r="U652" s="299"/>
      <c r="V652" s="299"/>
      <c r="W652" s="299"/>
      <c r="X652" s="299"/>
      <c r="Y652" s="299"/>
      <c r="Z652" s="299"/>
      <c r="AA652" s="299"/>
      <c r="AB652" s="299"/>
      <c r="AC652" s="300"/>
      <c r="AD652" s="300"/>
    </row>
    <row r="653" spans="1:30" ht="12.75" customHeight="1" x14ac:dyDescent="0.2">
      <c r="A653" s="296"/>
      <c r="B653" s="296"/>
      <c r="C653" s="296"/>
      <c r="D653" s="298"/>
      <c r="E653" s="298"/>
      <c r="F653" s="296"/>
      <c r="G653" s="296"/>
      <c r="H653" s="296"/>
      <c r="I653" s="296"/>
      <c r="J653" s="296"/>
      <c r="K653" s="296"/>
      <c r="L653" s="296"/>
      <c r="M653" s="299"/>
      <c r="N653" s="299"/>
      <c r="O653" s="299"/>
      <c r="P653" s="299"/>
      <c r="Q653" s="299"/>
      <c r="R653" s="299"/>
      <c r="S653" s="299"/>
      <c r="T653" s="299"/>
      <c r="U653" s="299"/>
      <c r="V653" s="299"/>
      <c r="W653" s="299"/>
      <c r="X653" s="299"/>
      <c r="Y653" s="299"/>
      <c r="Z653" s="299"/>
      <c r="AA653" s="299"/>
      <c r="AB653" s="299"/>
      <c r="AC653" s="300"/>
      <c r="AD653" s="300"/>
    </row>
    <row r="654" spans="1:30" ht="12.75" customHeight="1" x14ac:dyDescent="0.2">
      <c r="A654" s="296"/>
      <c r="B654" s="296"/>
      <c r="C654" s="296"/>
      <c r="D654" s="298"/>
      <c r="E654" s="298"/>
      <c r="F654" s="296"/>
      <c r="G654" s="296"/>
      <c r="H654" s="296"/>
      <c r="I654" s="296"/>
      <c r="J654" s="296"/>
      <c r="K654" s="296"/>
      <c r="L654" s="296"/>
      <c r="M654" s="299"/>
      <c r="N654" s="299"/>
      <c r="O654" s="299"/>
      <c r="P654" s="299"/>
      <c r="Q654" s="299"/>
      <c r="R654" s="299"/>
      <c r="S654" s="299"/>
      <c r="T654" s="299"/>
      <c r="U654" s="299"/>
      <c r="V654" s="299"/>
      <c r="W654" s="299"/>
      <c r="X654" s="299"/>
      <c r="Y654" s="299"/>
      <c r="Z654" s="299"/>
      <c r="AA654" s="299"/>
      <c r="AB654" s="299"/>
      <c r="AC654" s="300"/>
      <c r="AD654" s="300"/>
    </row>
    <row r="655" spans="1:30" ht="12.75" customHeight="1" x14ac:dyDescent="0.2">
      <c r="A655" s="296"/>
      <c r="B655" s="296"/>
      <c r="C655" s="296"/>
      <c r="D655" s="298"/>
      <c r="E655" s="298"/>
      <c r="F655" s="296"/>
      <c r="G655" s="296"/>
      <c r="H655" s="296"/>
      <c r="I655" s="296"/>
      <c r="J655" s="296"/>
      <c r="K655" s="296"/>
      <c r="L655" s="296"/>
      <c r="M655" s="299"/>
      <c r="N655" s="299"/>
      <c r="O655" s="299"/>
      <c r="P655" s="299"/>
      <c r="Q655" s="299"/>
      <c r="R655" s="299"/>
      <c r="S655" s="299"/>
      <c r="T655" s="299"/>
      <c r="U655" s="299"/>
      <c r="V655" s="299"/>
      <c r="W655" s="299"/>
      <c r="X655" s="299"/>
      <c r="Y655" s="299"/>
      <c r="Z655" s="299"/>
      <c r="AA655" s="299"/>
      <c r="AB655" s="299"/>
      <c r="AC655" s="300"/>
      <c r="AD655" s="300"/>
    </row>
    <row r="656" spans="1:30" ht="12.75" customHeight="1" x14ac:dyDescent="0.2">
      <c r="A656" s="296"/>
      <c r="B656" s="296"/>
      <c r="C656" s="296"/>
      <c r="D656" s="298"/>
      <c r="E656" s="298"/>
      <c r="F656" s="296"/>
      <c r="G656" s="296"/>
      <c r="H656" s="296"/>
      <c r="I656" s="296"/>
      <c r="J656" s="296"/>
      <c r="K656" s="296"/>
      <c r="L656" s="296"/>
      <c r="M656" s="299"/>
      <c r="N656" s="299"/>
      <c r="O656" s="299"/>
      <c r="P656" s="299"/>
      <c r="Q656" s="299"/>
      <c r="R656" s="299"/>
      <c r="S656" s="299"/>
      <c r="T656" s="299"/>
      <c r="U656" s="299"/>
      <c r="V656" s="299"/>
      <c r="W656" s="299"/>
      <c r="X656" s="299"/>
      <c r="Y656" s="299"/>
      <c r="Z656" s="299"/>
      <c r="AA656" s="299"/>
      <c r="AB656" s="299"/>
      <c r="AC656" s="300"/>
      <c r="AD656" s="300"/>
    </row>
    <row r="657" spans="1:30" ht="12.75" customHeight="1" x14ac:dyDescent="0.2">
      <c r="A657" s="296"/>
      <c r="B657" s="296"/>
      <c r="C657" s="296"/>
      <c r="D657" s="298"/>
      <c r="E657" s="298"/>
      <c r="F657" s="296"/>
      <c r="G657" s="296"/>
      <c r="H657" s="296"/>
      <c r="I657" s="296"/>
      <c r="J657" s="296"/>
      <c r="K657" s="296"/>
      <c r="L657" s="296"/>
      <c r="M657" s="299"/>
      <c r="N657" s="299"/>
      <c r="O657" s="299"/>
      <c r="P657" s="299"/>
      <c r="Q657" s="299"/>
      <c r="R657" s="299"/>
      <c r="S657" s="299"/>
      <c r="T657" s="299"/>
      <c r="U657" s="299"/>
      <c r="V657" s="299"/>
      <c r="W657" s="299"/>
      <c r="X657" s="299"/>
      <c r="Y657" s="299"/>
      <c r="Z657" s="299"/>
      <c r="AA657" s="299"/>
      <c r="AB657" s="299"/>
      <c r="AC657" s="300"/>
      <c r="AD657" s="300"/>
    </row>
    <row r="658" spans="1:30" ht="12.75" customHeight="1" x14ac:dyDescent="0.2">
      <c r="A658" s="296"/>
      <c r="B658" s="296"/>
      <c r="C658" s="296"/>
      <c r="D658" s="298"/>
      <c r="E658" s="298"/>
      <c r="F658" s="296"/>
      <c r="G658" s="296"/>
      <c r="H658" s="296"/>
      <c r="I658" s="296"/>
      <c r="J658" s="296"/>
      <c r="K658" s="296"/>
      <c r="L658" s="296"/>
      <c r="M658" s="299"/>
      <c r="N658" s="299"/>
      <c r="O658" s="299"/>
      <c r="P658" s="299"/>
      <c r="Q658" s="299"/>
      <c r="R658" s="299"/>
      <c r="S658" s="299"/>
      <c r="T658" s="299"/>
      <c r="U658" s="299"/>
      <c r="V658" s="299"/>
      <c r="W658" s="299"/>
      <c r="X658" s="299"/>
      <c r="Y658" s="299"/>
      <c r="Z658" s="299"/>
      <c r="AA658" s="299"/>
      <c r="AB658" s="299"/>
      <c r="AC658" s="300"/>
      <c r="AD658" s="300"/>
    </row>
    <row r="659" spans="1:30" ht="12.75" customHeight="1" x14ac:dyDescent="0.2">
      <c r="A659" s="296"/>
      <c r="B659" s="296"/>
      <c r="C659" s="296"/>
      <c r="D659" s="298"/>
      <c r="E659" s="298"/>
      <c r="F659" s="296"/>
      <c r="G659" s="296"/>
      <c r="H659" s="296"/>
      <c r="I659" s="296"/>
      <c r="J659" s="296"/>
      <c r="K659" s="296"/>
      <c r="L659" s="296"/>
      <c r="M659" s="299"/>
      <c r="N659" s="299"/>
      <c r="O659" s="299"/>
      <c r="P659" s="299"/>
      <c r="Q659" s="299"/>
      <c r="R659" s="299"/>
      <c r="S659" s="299"/>
      <c r="T659" s="299"/>
      <c r="U659" s="299"/>
      <c r="V659" s="299"/>
      <c r="W659" s="299"/>
      <c r="X659" s="299"/>
      <c r="Y659" s="299"/>
      <c r="Z659" s="299"/>
      <c r="AA659" s="299"/>
      <c r="AB659" s="299"/>
      <c r="AC659" s="300"/>
      <c r="AD659" s="300"/>
    </row>
    <row r="660" spans="1:30" ht="12.75" customHeight="1" x14ac:dyDescent="0.2">
      <c r="A660" s="296"/>
      <c r="B660" s="296"/>
      <c r="C660" s="296"/>
      <c r="D660" s="298"/>
      <c r="E660" s="298"/>
      <c r="F660" s="296"/>
      <c r="G660" s="296"/>
      <c r="H660" s="296"/>
      <c r="I660" s="296"/>
      <c r="J660" s="296"/>
      <c r="K660" s="296"/>
      <c r="L660" s="296"/>
      <c r="M660" s="299"/>
      <c r="N660" s="299"/>
      <c r="O660" s="299"/>
      <c r="P660" s="299"/>
      <c r="Q660" s="299"/>
      <c r="R660" s="299"/>
      <c r="S660" s="299"/>
      <c r="T660" s="299"/>
      <c r="U660" s="299"/>
      <c r="V660" s="299"/>
      <c r="W660" s="299"/>
      <c r="X660" s="299"/>
      <c r="Y660" s="299"/>
      <c r="Z660" s="299"/>
      <c r="AA660" s="299"/>
      <c r="AB660" s="299"/>
      <c r="AC660" s="300"/>
      <c r="AD660" s="300"/>
    </row>
    <row r="661" spans="1:30" ht="12.75" customHeight="1" x14ac:dyDescent="0.2">
      <c r="A661" s="296"/>
      <c r="B661" s="296"/>
      <c r="C661" s="296"/>
      <c r="D661" s="298"/>
      <c r="E661" s="298"/>
      <c r="F661" s="296"/>
      <c r="G661" s="296"/>
      <c r="H661" s="296"/>
      <c r="I661" s="296"/>
      <c r="J661" s="296"/>
      <c r="K661" s="296"/>
      <c r="L661" s="296"/>
      <c r="M661" s="299"/>
      <c r="N661" s="299"/>
      <c r="O661" s="299"/>
      <c r="P661" s="299"/>
      <c r="Q661" s="299"/>
      <c r="R661" s="299"/>
      <c r="S661" s="299"/>
      <c r="T661" s="299"/>
      <c r="U661" s="299"/>
      <c r="V661" s="299"/>
      <c r="W661" s="299"/>
      <c r="X661" s="299"/>
      <c r="Y661" s="299"/>
      <c r="Z661" s="299"/>
      <c r="AA661" s="299"/>
      <c r="AB661" s="299"/>
      <c r="AC661" s="300"/>
      <c r="AD661" s="300"/>
    </row>
    <row r="662" spans="1:30" ht="12.75" customHeight="1" x14ac:dyDescent="0.2">
      <c r="A662" s="296"/>
      <c r="B662" s="296"/>
      <c r="C662" s="296"/>
      <c r="D662" s="298"/>
      <c r="E662" s="298"/>
      <c r="F662" s="296"/>
      <c r="G662" s="296"/>
      <c r="H662" s="296"/>
      <c r="I662" s="296"/>
      <c r="J662" s="296"/>
      <c r="K662" s="296"/>
      <c r="L662" s="296"/>
      <c r="M662" s="299"/>
      <c r="N662" s="299"/>
      <c r="O662" s="299"/>
      <c r="P662" s="299"/>
      <c r="Q662" s="299"/>
      <c r="R662" s="299"/>
      <c r="S662" s="299"/>
      <c r="T662" s="299"/>
      <c r="U662" s="299"/>
      <c r="V662" s="299"/>
      <c r="W662" s="299"/>
      <c r="X662" s="299"/>
      <c r="Y662" s="299"/>
      <c r="Z662" s="299"/>
      <c r="AA662" s="299"/>
      <c r="AB662" s="299"/>
      <c r="AC662" s="300"/>
      <c r="AD662" s="300"/>
    </row>
    <row r="663" spans="1:30" ht="12.75" customHeight="1" x14ac:dyDescent="0.2">
      <c r="A663" s="296"/>
      <c r="B663" s="296"/>
      <c r="C663" s="296"/>
      <c r="D663" s="298"/>
      <c r="E663" s="298"/>
      <c r="F663" s="296"/>
      <c r="G663" s="296"/>
      <c r="H663" s="296"/>
      <c r="I663" s="296"/>
      <c r="J663" s="296"/>
      <c r="K663" s="296"/>
      <c r="L663" s="296"/>
      <c r="M663" s="299"/>
      <c r="N663" s="299"/>
      <c r="O663" s="299"/>
      <c r="P663" s="299"/>
      <c r="Q663" s="299"/>
      <c r="R663" s="299"/>
      <c r="S663" s="299"/>
      <c r="T663" s="299"/>
      <c r="U663" s="299"/>
      <c r="V663" s="299"/>
      <c r="W663" s="299"/>
      <c r="X663" s="299"/>
      <c r="Y663" s="299"/>
      <c r="Z663" s="299"/>
      <c r="AA663" s="299"/>
      <c r="AB663" s="299"/>
      <c r="AC663" s="300"/>
      <c r="AD663" s="300"/>
    </row>
    <row r="664" spans="1:30" ht="12.75" customHeight="1" x14ac:dyDescent="0.2">
      <c r="A664" s="296"/>
      <c r="B664" s="296"/>
      <c r="C664" s="296"/>
      <c r="D664" s="298"/>
      <c r="E664" s="298"/>
      <c r="F664" s="296"/>
      <c r="G664" s="296"/>
      <c r="H664" s="296"/>
      <c r="I664" s="296"/>
      <c r="J664" s="296"/>
      <c r="K664" s="296"/>
      <c r="L664" s="296"/>
      <c r="M664" s="299"/>
      <c r="N664" s="299"/>
      <c r="O664" s="299"/>
      <c r="P664" s="299"/>
      <c r="Q664" s="299"/>
      <c r="R664" s="299"/>
      <c r="S664" s="299"/>
      <c r="T664" s="299"/>
      <c r="U664" s="299"/>
      <c r="V664" s="299"/>
      <c r="W664" s="299"/>
      <c r="X664" s="299"/>
      <c r="Y664" s="299"/>
      <c r="Z664" s="299"/>
      <c r="AA664" s="299"/>
      <c r="AB664" s="299"/>
      <c r="AC664" s="300"/>
      <c r="AD664" s="300"/>
    </row>
    <row r="665" spans="1:30" ht="12.75" customHeight="1" x14ac:dyDescent="0.2">
      <c r="A665" s="296"/>
      <c r="B665" s="296"/>
      <c r="C665" s="296"/>
      <c r="D665" s="298"/>
      <c r="E665" s="298"/>
      <c r="F665" s="296"/>
      <c r="G665" s="296"/>
      <c r="H665" s="296"/>
      <c r="I665" s="296"/>
      <c r="J665" s="296"/>
      <c r="K665" s="296"/>
      <c r="L665" s="296"/>
      <c r="M665" s="299"/>
      <c r="N665" s="299"/>
      <c r="O665" s="299"/>
      <c r="P665" s="299"/>
      <c r="Q665" s="299"/>
      <c r="R665" s="299"/>
      <c r="S665" s="299"/>
      <c r="T665" s="299"/>
      <c r="U665" s="299"/>
      <c r="V665" s="299"/>
      <c r="W665" s="299"/>
      <c r="X665" s="299"/>
      <c r="Y665" s="299"/>
      <c r="Z665" s="299"/>
      <c r="AA665" s="299"/>
      <c r="AB665" s="299"/>
      <c r="AC665" s="300"/>
      <c r="AD665" s="300"/>
    </row>
    <row r="666" spans="1:30" ht="12.75" customHeight="1" x14ac:dyDescent="0.2">
      <c r="A666" s="296"/>
      <c r="B666" s="296"/>
      <c r="C666" s="296"/>
      <c r="D666" s="298"/>
      <c r="E666" s="298"/>
      <c r="F666" s="296"/>
      <c r="G666" s="296"/>
      <c r="H666" s="296"/>
      <c r="I666" s="296"/>
      <c r="J666" s="296"/>
      <c r="K666" s="296"/>
      <c r="L666" s="296"/>
      <c r="M666" s="299"/>
      <c r="N666" s="299"/>
      <c r="O666" s="299"/>
      <c r="P666" s="299"/>
      <c r="Q666" s="299"/>
      <c r="R666" s="299"/>
      <c r="S666" s="299"/>
      <c r="T666" s="299"/>
      <c r="U666" s="299"/>
      <c r="V666" s="299"/>
      <c r="W666" s="299"/>
      <c r="X666" s="299"/>
      <c r="Y666" s="299"/>
      <c r="Z666" s="299"/>
      <c r="AA666" s="299"/>
      <c r="AB666" s="299"/>
      <c r="AC666" s="300"/>
      <c r="AD666" s="300"/>
    </row>
    <row r="667" spans="1:30" ht="12.75" customHeight="1" x14ac:dyDescent="0.2">
      <c r="A667" s="296"/>
      <c r="B667" s="296"/>
      <c r="C667" s="296"/>
      <c r="D667" s="298"/>
      <c r="E667" s="298"/>
      <c r="F667" s="296"/>
      <c r="G667" s="296"/>
      <c r="H667" s="296"/>
      <c r="I667" s="296"/>
      <c r="J667" s="296"/>
      <c r="K667" s="296"/>
      <c r="L667" s="296"/>
      <c r="M667" s="299"/>
      <c r="N667" s="299"/>
      <c r="O667" s="299"/>
      <c r="P667" s="299"/>
      <c r="Q667" s="299"/>
      <c r="R667" s="299"/>
      <c r="S667" s="299"/>
      <c r="T667" s="299"/>
      <c r="U667" s="299"/>
      <c r="V667" s="299"/>
      <c r="W667" s="299"/>
      <c r="X667" s="299"/>
      <c r="Y667" s="299"/>
      <c r="Z667" s="299"/>
      <c r="AA667" s="299"/>
      <c r="AB667" s="299"/>
      <c r="AC667" s="300"/>
      <c r="AD667" s="300"/>
    </row>
    <row r="668" spans="1:30" ht="12.75" customHeight="1" x14ac:dyDescent="0.2">
      <c r="A668" s="296"/>
      <c r="B668" s="296"/>
      <c r="C668" s="296"/>
      <c r="D668" s="298"/>
      <c r="E668" s="298"/>
      <c r="F668" s="296"/>
      <c r="G668" s="296"/>
      <c r="H668" s="296"/>
      <c r="I668" s="296"/>
      <c r="J668" s="296"/>
      <c r="K668" s="296"/>
      <c r="L668" s="296"/>
      <c r="M668" s="299"/>
      <c r="N668" s="299"/>
      <c r="O668" s="299"/>
      <c r="P668" s="299"/>
      <c r="Q668" s="299"/>
      <c r="R668" s="299"/>
      <c r="S668" s="299"/>
      <c r="T668" s="299"/>
      <c r="U668" s="299"/>
      <c r="V668" s="299"/>
      <c r="W668" s="299"/>
      <c r="X668" s="299"/>
      <c r="Y668" s="299"/>
      <c r="Z668" s="299"/>
      <c r="AA668" s="299"/>
      <c r="AB668" s="299"/>
      <c r="AC668" s="300"/>
      <c r="AD668" s="300"/>
    </row>
    <row r="669" spans="1:30" ht="12.75" customHeight="1" x14ac:dyDescent="0.2">
      <c r="A669" s="296"/>
      <c r="B669" s="296"/>
      <c r="C669" s="296"/>
      <c r="D669" s="298"/>
      <c r="E669" s="298"/>
      <c r="F669" s="296"/>
      <c r="G669" s="296"/>
      <c r="H669" s="296"/>
      <c r="I669" s="296"/>
      <c r="J669" s="296"/>
      <c r="K669" s="296"/>
      <c r="L669" s="296"/>
      <c r="M669" s="299"/>
      <c r="N669" s="299"/>
      <c r="O669" s="299"/>
      <c r="P669" s="299"/>
      <c r="Q669" s="299"/>
      <c r="R669" s="299"/>
      <c r="S669" s="299"/>
      <c r="T669" s="299"/>
      <c r="U669" s="299"/>
      <c r="V669" s="299"/>
      <c r="W669" s="299"/>
      <c r="X669" s="299"/>
      <c r="Y669" s="299"/>
      <c r="Z669" s="299"/>
      <c r="AA669" s="299"/>
      <c r="AB669" s="299"/>
      <c r="AC669" s="300"/>
      <c r="AD669" s="300"/>
    </row>
    <row r="670" spans="1:30" ht="12.75" customHeight="1" x14ac:dyDescent="0.2">
      <c r="A670" s="296"/>
      <c r="B670" s="296"/>
      <c r="C670" s="296"/>
      <c r="D670" s="298"/>
      <c r="E670" s="298"/>
      <c r="F670" s="296"/>
      <c r="G670" s="296"/>
      <c r="H670" s="296"/>
      <c r="I670" s="296"/>
      <c r="J670" s="296"/>
      <c r="K670" s="296"/>
      <c r="L670" s="296"/>
      <c r="M670" s="299"/>
      <c r="N670" s="299"/>
      <c r="O670" s="299"/>
      <c r="P670" s="299"/>
      <c r="Q670" s="299"/>
      <c r="R670" s="299"/>
      <c r="S670" s="299"/>
      <c r="T670" s="299"/>
      <c r="U670" s="299"/>
      <c r="V670" s="299"/>
      <c r="W670" s="299"/>
      <c r="X670" s="299"/>
      <c r="Y670" s="299"/>
      <c r="Z670" s="299"/>
      <c r="AA670" s="299"/>
      <c r="AB670" s="299"/>
      <c r="AC670" s="300"/>
      <c r="AD670" s="300"/>
    </row>
    <row r="671" spans="1:30" ht="12.75" customHeight="1" x14ac:dyDescent="0.2">
      <c r="A671" s="296"/>
      <c r="B671" s="296"/>
      <c r="C671" s="296"/>
      <c r="D671" s="298"/>
      <c r="E671" s="298"/>
      <c r="F671" s="296"/>
      <c r="G671" s="296"/>
      <c r="H671" s="296"/>
      <c r="I671" s="296"/>
      <c r="J671" s="296"/>
      <c r="K671" s="296"/>
      <c r="L671" s="296"/>
      <c r="M671" s="299"/>
      <c r="N671" s="299"/>
      <c r="O671" s="299"/>
      <c r="P671" s="299"/>
      <c r="Q671" s="299"/>
      <c r="R671" s="299"/>
      <c r="S671" s="299"/>
      <c r="T671" s="299"/>
      <c r="U671" s="299"/>
      <c r="V671" s="299"/>
      <c r="W671" s="299"/>
      <c r="X671" s="299"/>
      <c r="Y671" s="299"/>
      <c r="Z671" s="299"/>
      <c r="AA671" s="299"/>
      <c r="AB671" s="299"/>
      <c r="AC671" s="300"/>
      <c r="AD671" s="300"/>
    </row>
    <row r="672" spans="1:30" ht="12.75" customHeight="1" x14ac:dyDescent="0.2">
      <c r="A672" s="296"/>
      <c r="B672" s="296"/>
      <c r="C672" s="296"/>
      <c r="D672" s="298"/>
      <c r="E672" s="298"/>
      <c r="F672" s="296"/>
      <c r="G672" s="296"/>
      <c r="H672" s="296"/>
      <c r="I672" s="296"/>
      <c r="J672" s="296"/>
      <c r="K672" s="296"/>
      <c r="L672" s="296"/>
      <c r="M672" s="299"/>
      <c r="N672" s="299"/>
      <c r="O672" s="299"/>
      <c r="P672" s="299"/>
      <c r="Q672" s="299"/>
      <c r="R672" s="299"/>
      <c r="S672" s="299"/>
      <c r="T672" s="299"/>
      <c r="U672" s="299"/>
      <c r="V672" s="299"/>
      <c r="W672" s="299"/>
      <c r="X672" s="299"/>
      <c r="Y672" s="299"/>
      <c r="Z672" s="299"/>
      <c r="AA672" s="299"/>
      <c r="AB672" s="299"/>
      <c r="AC672" s="300"/>
      <c r="AD672" s="300"/>
    </row>
    <row r="673" spans="1:30" ht="12.75" customHeight="1" x14ac:dyDescent="0.2">
      <c r="A673" s="296"/>
      <c r="B673" s="296"/>
      <c r="C673" s="296"/>
      <c r="D673" s="298"/>
      <c r="E673" s="298"/>
      <c r="F673" s="296"/>
      <c r="G673" s="296"/>
      <c r="H673" s="296"/>
      <c r="I673" s="296"/>
      <c r="J673" s="296"/>
      <c r="K673" s="296"/>
      <c r="L673" s="296"/>
      <c r="M673" s="299"/>
      <c r="N673" s="299"/>
      <c r="O673" s="299"/>
      <c r="P673" s="299"/>
      <c r="Q673" s="299"/>
      <c r="R673" s="299"/>
      <c r="S673" s="299"/>
      <c r="T673" s="299"/>
      <c r="U673" s="299"/>
      <c r="V673" s="299"/>
      <c r="W673" s="299"/>
      <c r="X673" s="299"/>
      <c r="Y673" s="299"/>
      <c r="Z673" s="299"/>
      <c r="AA673" s="299"/>
      <c r="AB673" s="299"/>
      <c r="AC673" s="300"/>
      <c r="AD673" s="300"/>
    </row>
    <row r="674" spans="1:30" ht="12.75" customHeight="1" x14ac:dyDescent="0.2">
      <c r="A674" s="296"/>
      <c r="B674" s="296"/>
      <c r="C674" s="296"/>
      <c r="D674" s="298"/>
      <c r="E674" s="298"/>
      <c r="F674" s="296"/>
      <c r="G674" s="296"/>
      <c r="H674" s="296"/>
      <c r="I674" s="296"/>
      <c r="J674" s="296"/>
      <c r="K674" s="296"/>
      <c r="L674" s="296"/>
      <c r="M674" s="299"/>
      <c r="N674" s="299"/>
      <c r="O674" s="299"/>
      <c r="P674" s="299"/>
      <c r="Q674" s="299"/>
      <c r="R674" s="299"/>
      <c r="S674" s="299"/>
      <c r="T674" s="299"/>
      <c r="U674" s="299"/>
      <c r="V674" s="299"/>
      <c r="W674" s="299"/>
      <c r="X674" s="299"/>
      <c r="Y674" s="299"/>
      <c r="Z674" s="299"/>
      <c r="AA674" s="299"/>
      <c r="AB674" s="299"/>
      <c r="AC674" s="300"/>
      <c r="AD674" s="300"/>
    </row>
    <row r="675" spans="1:30" ht="12.75" customHeight="1" x14ac:dyDescent="0.2">
      <c r="A675" s="296"/>
      <c r="B675" s="296"/>
      <c r="C675" s="296"/>
      <c r="D675" s="298"/>
      <c r="E675" s="298"/>
      <c r="F675" s="296"/>
      <c r="G675" s="296"/>
      <c r="H675" s="296"/>
      <c r="I675" s="296"/>
      <c r="J675" s="296"/>
      <c r="K675" s="296"/>
      <c r="L675" s="296"/>
      <c r="M675" s="299"/>
      <c r="N675" s="299"/>
      <c r="O675" s="299"/>
      <c r="P675" s="299"/>
      <c r="Q675" s="299"/>
      <c r="R675" s="299"/>
      <c r="S675" s="299"/>
      <c r="T675" s="299"/>
      <c r="U675" s="299"/>
      <c r="V675" s="299"/>
      <c r="W675" s="299"/>
      <c r="X675" s="299"/>
      <c r="Y675" s="299"/>
      <c r="Z675" s="299"/>
      <c r="AA675" s="299"/>
      <c r="AB675" s="299"/>
      <c r="AC675" s="300"/>
      <c r="AD675" s="300"/>
    </row>
    <row r="676" spans="1:30" ht="12.75" customHeight="1" x14ac:dyDescent="0.2">
      <c r="A676" s="296"/>
      <c r="B676" s="296"/>
      <c r="C676" s="296"/>
      <c r="D676" s="298"/>
      <c r="E676" s="298"/>
      <c r="F676" s="296"/>
      <c r="G676" s="296"/>
      <c r="H676" s="296"/>
      <c r="I676" s="296"/>
      <c r="J676" s="296"/>
      <c r="K676" s="296"/>
      <c r="L676" s="296"/>
      <c r="M676" s="299"/>
      <c r="N676" s="299"/>
      <c r="O676" s="299"/>
      <c r="P676" s="299"/>
      <c r="Q676" s="299"/>
      <c r="R676" s="299"/>
      <c r="S676" s="299"/>
      <c r="T676" s="299"/>
      <c r="U676" s="299"/>
      <c r="V676" s="299"/>
      <c r="W676" s="299"/>
      <c r="X676" s="299"/>
      <c r="Y676" s="299"/>
      <c r="Z676" s="299"/>
      <c r="AA676" s="299"/>
      <c r="AB676" s="299"/>
      <c r="AC676" s="300"/>
      <c r="AD676" s="300"/>
    </row>
    <row r="677" spans="1:30" ht="12.75" customHeight="1" x14ac:dyDescent="0.2">
      <c r="A677" s="296"/>
      <c r="B677" s="296"/>
      <c r="C677" s="296"/>
      <c r="D677" s="298"/>
      <c r="E677" s="298"/>
      <c r="F677" s="296"/>
      <c r="G677" s="296"/>
      <c r="H677" s="296"/>
      <c r="I677" s="296"/>
      <c r="J677" s="296"/>
      <c r="K677" s="296"/>
      <c r="L677" s="296"/>
      <c r="M677" s="299"/>
      <c r="N677" s="299"/>
      <c r="O677" s="299"/>
      <c r="P677" s="299"/>
      <c r="Q677" s="299"/>
      <c r="R677" s="299"/>
      <c r="S677" s="299"/>
      <c r="T677" s="299"/>
      <c r="U677" s="299"/>
      <c r="V677" s="299"/>
      <c r="W677" s="299"/>
      <c r="X677" s="299"/>
      <c r="Y677" s="299"/>
      <c r="Z677" s="299"/>
      <c r="AA677" s="299"/>
      <c r="AB677" s="299"/>
      <c r="AC677" s="300"/>
      <c r="AD677" s="300"/>
    </row>
    <row r="678" spans="1:30" ht="12.75" customHeight="1" x14ac:dyDescent="0.2">
      <c r="A678" s="296"/>
      <c r="B678" s="296"/>
      <c r="C678" s="296"/>
      <c r="D678" s="298"/>
      <c r="E678" s="298"/>
      <c r="F678" s="296"/>
      <c r="G678" s="296"/>
      <c r="H678" s="296"/>
      <c r="I678" s="296"/>
      <c r="J678" s="296"/>
      <c r="K678" s="296"/>
      <c r="L678" s="296"/>
      <c r="M678" s="299"/>
      <c r="N678" s="299"/>
      <c r="O678" s="299"/>
      <c r="P678" s="299"/>
      <c r="Q678" s="299"/>
      <c r="R678" s="299"/>
      <c r="S678" s="299"/>
      <c r="T678" s="299"/>
      <c r="U678" s="299"/>
      <c r="V678" s="299"/>
      <c r="W678" s="299"/>
      <c r="X678" s="299"/>
      <c r="Y678" s="299"/>
      <c r="Z678" s="299"/>
      <c r="AA678" s="299"/>
      <c r="AB678" s="299"/>
      <c r="AC678" s="300"/>
      <c r="AD678" s="300"/>
    </row>
    <row r="679" spans="1:30" ht="12.75" customHeight="1" x14ac:dyDescent="0.2">
      <c r="A679" s="296"/>
      <c r="B679" s="296"/>
      <c r="C679" s="296"/>
      <c r="D679" s="298"/>
      <c r="E679" s="298"/>
      <c r="F679" s="296"/>
      <c r="G679" s="296"/>
      <c r="H679" s="296"/>
      <c r="I679" s="296"/>
      <c r="J679" s="296"/>
      <c r="K679" s="296"/>
      <c r="L679" s="296"/>
      <c r="M679" s="299"/>
      <c r="N679" s="299"/>
      <c r="O679" s="299"/>
      <c r="P679" s="299"/>
      <c r="Q679" s="299"/>
      <c r="R679" s="299"/>
      <c r="S679" s="299"/>
      <c r="T679" s="299"/>
      <c r="U679" s="299"/>
      <c r="V679" s="299"/>
      <c r="W679" s="299"/>
      <c r="X679" s="299"/>
      <c r="Y679" s="299"/>
      <c r="Z679" s="299"/>
      <c r="AA679" s="299"/>
      <c r="AB679" s="299"/>
      <c r="AC679" s="300"/>
      <c r="AD679" s="300"/>
    </row>
    <row r="680" spans="1:30" ht="12.75" customHeight="1" x14ac:dyDescent="0.2">
      <c r="A680" s="296"/>
      <c r="B680" s="296"/>
      <c r="C680" s="296"/>
      <c r="D680" s="298"/>
      <c r="E680" s="298"/>
      <c r="F680" s="296"/>
      <c r="G680" s="296"/>
      <c r="H680" s="296"/>
      <c r="I680" s="296"/>
      <c r="J680" s="296"/>
      <c r="K680" s="296"/>
      <c r="L680" s="296"/>
      <c r="M680" s="299"/>
      <c r="N680" s="299"/>
      <c r="O680" s="299"/>
      <c r="P680" s="299"/>
      <c r="Q680" s="299"/>
      <c r="R680" s="299"/>
      <c r="S680" s="299"/>
      <c r="T680" s="299"/>
      <c r="U680" s="299"/>
      <c r="V680" s="299"/>
      <c r="W680" s="299"/>
      <c r="X680" s="299"/>
      <c r="Y680" s="299"/>
      <c r="Z680" s="299"/>
      <c r="AA680" s="299"/>
      <c r="AB680" s="299"/>
      <c r="AC680" s="300"/>
      <c r="AD680" s="300"/>
    </row>
    <row r="681" spans="1:30" ht="12.75" customHeight="1" x14ac:dyDescent="0.2">
      <c r="A681" s="296"/>
      <c r="B681" s="296"/>
      <c r="C681" s="296"/>
      <c r="D681" s="298"/>
      <c r="E681" s="298"/>
      <c r="F681" s="296"/>
      <c r="G681" s="296"/>
      <c r="H681" s="296"/>
      <c r="I681" s="296"/>
      <c r="J681" s="296"/>
      <c r="K681" s="296"/>
      <c r="L681" s="296"/>
      <c r="M681" s="299"/>
      <c r="N681" s="299"/>
      <c r="O681" s="299"/>
      <c r="P681" s="299"/>
      <c r="Q681" s="299"/>
      <c r="R681" s="299"/>
      <c r="S681" s="299"/>
      <c r="T681" s="299"/>
      <c r="U681" s="299"/>
      <c r="V681" s="299"/>
      <c r="W681" s="299"/>
      <c r="X681" s="299"/>
      <c r="Y681" s="299"/>
      <c r="Z681" s="299"/>
      <c r="AA681" s="299"/>
      <c r="AB681" s="299"/>
      <c r="AC681" s="300"/>
      <c r="AD681" s="300"/>
    </row>
    <row r="682" spans="1:30" ht="12.75" customHeight="1" x14ac:dyDescent="0.2">
      <c r="A682" s="296"/>
      <c r="B682" s="296"/>
      <c r="C682" s="296"/>
      <c r="D682" s="298"/>
      <c r="E682" s="298"/>
      <c r="F682" s="296"/>
      <c r="G682" s="296"/>
      <c r="H682" s="296"/>
      <c r="I682" s="296"/>
      <c r="J682" s="296"/>
      <c r="K682" s="296"/>
      <c r="L682" s="296"/>
      <c r="M682" s="299"/>
      <c r="N682" s="299"/>
      <c r="O682" s="299"/>
      <c r="P682" s="299"/>
      <c r="Q682" s="299"/>
      <c r="R682" s="299"/>
      <c r="S682" s="299"/>
      <c r="T682" s="299"/>
      <c r="U682" s="299"/>
      <c r="V682" s="299"/>
      <c r="W682" s="299"/>
      <c r="X682" s="299"/>
      <c r="Y682" s="299"/>
      <c r="Z682" s="299"/>
      <c r="AA682" s="299"/>
      <c r="AB682" s="299"/>
      <c r="AC682" s="300"/>
      <c r="AD682" s="300"/>
    </row>
    <row r="683" spans="1:30" ht="12.75" customHeight="1" x14ac:dyDescent="0.2">
      <c r="A683" s="296"/>
      <c r="B683" s="296"/>
      <c r="C683" s="296"/>
      <c r="D683" s="298"/>
      <c r="E683" s="298"/>
      <c r="F683" s="296"/>
      <c r="G683" s="296"/>
      <c r="H683" s="296"/>
      <c r="I683" s="296"/>
      <c r="J683" s="296"/>
      <c r="K683" s="296"/>
      <c r="L683" s="296"/>
      <c r="M683" s="299"/>
      <c r="N683" s="299"/>
      <c r="O683" s="299"/>
      <c r="P683" s="299"/>
      <c r="Q683" s="299"/>
      <c r="R683" s="299"/>
      <c r="S683" s="299"/>
      <c r="T683" s="299"/>
      <c r="U683" s="299"/>
      <c r="V683" s="299"/>
      <c r="W683" s="299"/>
      <c r="X683" s="299"/>
      <c r="Y683" s="299"/>
      <c r="Z683" s="299"/>
      <c r="AA683" s="299"/>
      <c r="AB683" s="299"/>
      <c r="AC683" s="300"/>
      <c r="AD683" s="300"/>
    </row>
    <row r="684" spans="1:30" ht="12.75" customHeight="1" x14ac:dyDescent="0.2">
      <c r="A684" s="296"/>
      <c r="B684" s="296"/>
      <c r="C684" s="296"/>
      <c r="D684" s="298"/>
      <c r="E684" s="298"/>
      <c r="F684" s="296"/>
      <c r="G684" s="296"/>
      <c r="H684" s="296"/>
      <c r="I684" s="296"/>
      <c r="J684" s="296"/>
      <c r="K684" s="296"/>
      <c r="L684" s="296"/>
      <c r="M684" s="299"/>
      <c r="N684" s="299"/>
      <c r="O684" s="299"/>
      <c r="P684" s="299"/>
      <c r="Q684" s="299"/>
      <c r="R684" s="299"/>
      <c r="S684" s="299"/>
      <c r="T684" s="299"/>
      <c r="U684" s="299"/>
      <c r="V684" s="299"/>
      <c r="W684" s="299"/>
      <c r="X684" s="299"/>
      <c r="Y684" s="299"/>
      <c r="Z684" s="299"/>
      <c r="AA684" s="299"/>
      <c r="AB684" s="299"/>
      <c r="AC684" s="300"/>
      <c r="AD684" s="300"/>
    </row>
    <row r="685" spans="1:30" ht="12.75" customHeight="1" x14ac:dyDescent="0.2">
      <c r="A685" s="296"/>
      <c r="B685" s="296"/>
      <c r="C685" s="296"/>
      <c r="D685" s="298"/>
      <c r="E685" s="298"/>
      <c r="F685" s="296"/>
      <c r="G685" s="296"/>
      <c r="H685" s="296"/>
      <c r="I685" s="296"/>
      <c r="J685" s="296"/>
      <c r="K685" s="296"/>
      <c r="L685" s="296"/>
      <c r="M685" s="299"/>
      <c r="N685" s="299"/>
      <c r="O685" s="299"/>
      <c r="P685" s="299"/>
      <c r="Q685" s="299"/>
      <c r="R685" s="299"/>
      <c r="S685" s="299"/>
      <c r="T685" s="299"/>
      <c r="U685" s="299"/>
      <c r="V685" s="299"/>
      <c r="W685" s="299"/>
      <c r="X685" s="299"/>
      <c r="Y685" s="299"/>
      <c r="Z685" s="299"/>
      <c r="AA685" s="299"/>
      <c r="AB685" s="299"/>
      <c r="AC685" s="300"/>
      <c r="AD685" s="300"/>
    </row>
    <row r="686" spans="1:30" ht="12.75" customHeight="1" x14ac:dyDescent="0.2">
      <c r="A686" s="296"/>
      <c r="B686" s="296"/>
      <c r="C686" s="296"/>
      <c r="D686" s="298"/>
      <c r="E686" s="298"/>
      <c r="F686" s="296"/>
      <c r="G686" s="296"/>
      <c r="H686" s="296"/>
      <c r="I686" s="296"/>
      <c r="J686" s="296"/>
      <c r="K686" s="296"/>
      <c r="L686" s="296"/>
      <c r="M686" s="299"/>
      <c r="N686" s="299"/>
      <c r="O686" s="299"/>
      <c r="P686" s="299"/>
      <c r="Q686" s="299"/>
      <c r="R686" s="299"/>
      <c r="S686" s="299"/>
      <c r="T686" s="299"/>
      <c r="U686" s="299"/>
      <c r="V686" s="299"/>
      <c r="W686" s="299"/>
      <c r="X686" s="299"/>
      <c r="Y686" s="299"/>
      <c r="Z686" s="299"/>
      <c r="AA686" s="299"/>
      <c r="AB686" s="299"/>
      <c r="AC686" s="300"/>
      <c r="AD686" s="300"/>
    </row>
    <row r="687" spans="1:30" ht="12.75" customHeight="1" x14ac:dyDescent="0.2">
      <c r="A687" s="296"/>
      <c r="B687" s="296"/>
      <c r="C687" s="296"/>
      <c r="D687" s="298"/>
      <c r="E687" s="298"/>
      <c r="F687" s="296"/>
      <c r="G687" s="296"/>
      <c r="H687" s="296"/>
      <c r="I687" s="296"/>
      <c r="J687" s="296"/>
      <c r="K687" s="296"/>
      <c r="L687" s="296"/>
      <c r="M687" s="299"/>
      <c r="N687" s="299"/>
      <c r="O687" s="299"/>
      <c r="P687" s="299"/>
      <c r="Q687" s="299"/>
      <c r="R687" s="299"/>
      <c r="S687" s="299"/>
      <c r="T687" s="299"/>
      <c r="U687" s="299"/>
      <c r="V687" s="299"/>
      <c r="W687" s="299"/>
      <c r="X687" s="299"/>
      <c r="Y687" s="299"/>
      <c r="Z687" s="299"/>
      <c r="AA687" s="299"/>
      <c r="AB687" s="299"/>
      <c r="AC687" s="300"/>
      <c r="AD687" s="300"/>
    </row>
    <row r="688" spans="1:30" ht="12.75" customHeight="1" x14ac:dyDescent="0.2">
      <c r="A688" s="296"/>
      <c r="B688" s="296"/>
      <c r="C688" s="296"/>
      <c r="D688" s="298"/>
      <c r="E688" s="298"/>
      <c r="F688" s="296"/>
      <c r="G688" s="296"/>
      <c r="H688" s="296"/>
      <c r="I688" s="296"/>
      <c r="J688" s="296"/>
      <c r="K688" s="296"/>
      <c r="L688" s="296"/>
      <c r="M688" s="299"/>
      <c r="N688" s="299"/>
      <c r="O688" s="299"/>
      <c r="P688" s="299"/>
      <c r="Q688" s="299"/>
      <c r="R688" s="299"/>
      <c r="S688" s="299"/>
      <c r="T688" s="299"/>
      <c r="U688" s="299"/>
      <c r="V688" s="299"/>
      <c r="W688" s="299"/>
      <c r="X688" s="299"/>
      <c r="Y688" s="299"/>
      <c r="Z688" s="299"/>
      <c r="AA688" s="299"/>
      <c r="AB688" s="299"/>
      <c r="AC688" s="300"/>
      <c r="AD688" s="300"/>
    </row>
    <row r="689" spans="1:30" ht="12.75" customHeight="1" x14ac:dyDescent="0.2">
      <c r="A689" s="296"/>
      <c r="B689" s="296"/>
      <c r="C689" s="296"/>
      <c r="D689" s="298"/>
      <c r="E689" s="298"/>
      <c r="F689" s="296"/>
      <c r="G689" s="296"/>
      <c r="H689" s="296"/>
      <c r="I689" s="296"/>
      <c r="J689" s="296"/>
      <c r="K689" s="296"/>
      <c r="L689" s="296"/>
      <c r="M689" s="299"/>
      <c r="N689" s="299"/>
      <c r="O689" s="299"/>
      <c r="P689" s="299"/>
      <c r="Q689" s="299"/>
      <c r="R689" s="299"/>
      <c r="S689" s="299"/>
      <c r="T689" s="299"/>
      <c r="U689" s="299"/>
      <c r="V689" s="299"/>
      <c r="W689" s="299"/>
      <c r="X689" s="299"/>
      <c r="Y689" s="299"/>
      <c r="Z689" s="299"/>
      <c r="AA689" s="299"/>
      <c r="AB689" s="299"/>
      <c r="AC689" s="300"/>
      <c r="AD689" s="300"/>
    </row>
    <row r="690" spans="1:30" ht="12.75" customHeight="1" x14ac:dyDescent="0.2">
      <c r="A690" s="296"/>
      <c r="B690" s="296"/>
      <c r="C690" s="296"/>
      <c r="D690" s="298"/>
      <c r="E690" s="298"/>
      <c r="F690" s="296"/>
      <c r="G690" s="296"/>
      <c r="H690" s="296"/>
      <c r="I690" s="296"/>
      <c r="J690" s="296"/>
      <c r="K690" s="296"/>
      <c r="L690" s="296"/>
      <c r="M690" s="299"/>
      <c r="N690" s="299"/>
      <c r="O690" s="299"/>
      <c r="P690" s="299"/>
      <c r="Q690" s="299"/>
      <c r="R690" s="299"/>
      <c r="S690" s="299"/>
      <c r="T690" s="299"/>
      <c r="U690" s="299"/>
      <c r="V690" s="299"/>
      <c r="W690" s="299"/>
      <c r="X690" s="299"/>
      <c r="Y690" s="299"/>
      <c r="Z690" s="299"/>
      <c r="AA690" s="299"/>
      <c r="AB690" s="299"/>
      <c r="AC690" s="300"/>
      <c r="AD690" s="300"/>
    </row>
    <row r="691" spans="1:30" ht="12.75" customHeight="1" x14ac:dyDescent="0.2">
      <c r="A691" s="296"/>
      <c r="B691" s="296"/>
      <c r="C691" s="296"/>
      <c r="D691" s="298"/>
      <c r="E691" s="298"/>
      <c r="F691" s="296"/>
      <c r="G691" s="296"/>
      <c r="H691" s="296"/>
      <c r="I691" s="296"/>
      <c r="J691" s="296"/>
      <c r="K691" s="296"/>
      <c r="L691" s="296"/>
      <c r="M691" s="299"/>
      <c r="N691" s="299"/>
      <c r="O691" s="299"/>
      <c r="P691" s="299"/>
      <c r="Q691" s="299"/>
      <c r="R691" s="299"/>
      <c r="S691" s="299"/>
      <c r="T691" s="299"/>
      <c r="U691" s="299"/>
      <c r="V691" s="299"/>
      <c r="W691" s="299"/>
      <c r="X691" s="299"/>
      <c r="Y691" s="299"/>
      <c r="Z691" s="299"/>
      <c r="AA691" s="299"/>
      <c r="AB691" s="299"/>
      <c r="AC691" s="300"/>
      <c r="AD691" s="300"/>
    </row>
    <row r="692" spans="1:30" ht="12.75" customHeight="1" x14ac:dyDescent="0.2">
      <c r="A692" s="296"/>
      <c r="B692" s="296"/>
      <c r="C692" s="296"/>
      <c r="D692" s="298"/>
      <c r="E692" s="298"/>
      <c r="F692" s="296"/>
      <c r="G692" s="296"/>
      <c r="H692" s="296"/>
      <c r="I692" s="296"/>
      <c r="J692" s="296"/>
      <c r="K692" s="296"/>
      <c r="L692" s="296"/>
      <c r="M692" s="299"/>
      <c r="N692" s="299"/>
      <c r="O692" s="299"/>
      <c r="P692" s="299"/>
      <c r="Q692" s="299"/>
      <c r="R692" s="299"/>
      <c r="S692" s="299"/>
      <c r="T692" s="299"/>
      <c r="U692" s="299"/>
      <c r="V692" s="299"/>
      <c r="W692" s="299"/>
      <c r="X692" s="299"/>
      <c r="Y692" s="299"/>
      <c r="Z692" s="299"/>
      <c r="AA692" s="299"/>
      <c r="AB692" s="299"/>
      <c r="AC692" s="300"/>
      <c r="AD692" s="300"/>
    </row>
    <row r="693" spans="1:30" ht="12.75" customHeight="1" x14ac:dyDescent="0.2">
      <c r="A693" s="296"/>
      <c r="B693" s="296"/>
      <c r="C693" s="296"/>
      <c r="D693" s="298"/>
      <c r="E693" s="298"/>
      <c r="F693" s="296"/>
      <c r="G693" s="296"/>
      <c r="H693" s="296"/>
      <c r="I693" s="296"/>
      <c r="J693" s="296"/>
      <c r="K693" s="296"/>
      <c r="L693" s="296"/>
      <c r="M693" s="299"/>
      <c r="N693" s="299"/>
      <c r="O693" s="299"/>
      <c r="P693" s="299"/>
      <c r="Q693" s="299"/>
      <c r="R693" s="299"/>
      <c r="S693" s="299"/>
      <c r="T693" s="299"/>
      <c r="U693" s="299"/>
      <c r="V693" s="299"/>
      <c r="W693" s="299"/>
      <c r="X693" s="299"/>
      <c r="Y693" s="299"/>
      <c r="Z693" s="299"/>
      <c r="AA693" s="299"/>
      <c r="AB693" s="299"/>
      <c r="AC693" s="300"/>
      <c r="AD693" s="300"/>
    </row>
    <row r="694" spans="1:30" ht="12.75" customHeight="1" x14ac:dyDescent="0.2">
      <c r="A694" s="296"/>
      <c r="B694" s="296"/>
      <c r="C694" s="296"/>
      <c r="D694" s="298"/>
      <c r="E694" s="298"/>
      <c r="F694" s="296"/>
      <c r="G694" s="296"/>
      <c r="H694" s="296"/>
      <c r="I694" s="296"/>
      <c r="J694" s="296"/>
      <c r="K694" s="296"/>
      <c r="L694" s="296"/>
      <c r="M694" s="299"/>
      <c r="N694" s="299"/>
      <c r="O694" s="299"/>
      <c r="P694" s="299"/>
      <c r="Q694" s="299"/>
      <c r="R694" s="299"/>
      <c r="S694" s="299"/>
      <c r="T694" s="299"/>
      <c r="U694" s="299"/>
      <c r="V694" s="299"/>
      <c r="W694" s="299"/>
      <c r="X694" s="299"/>
      <c r="Y694" s="299"/>
      <c r="Z694" s="299"/>
      <c r="AA694" s="299"/>
      <c r="AB694" s="299"/>
      <c r="AC694" s="300"/>
      <c r="AD694" s="300"/>
    </row>
    <row r="695" spans="1:30" ht="12.75" customHeight="1" x14ac:dyDescent="0.2">
      <c r="A695" s="296"/>
      <c r="B695" s="296"/>
      <c r="C695" s="296"/>
      <c r="D695" s="298"/>
      <c r="E695" s="298"/>
      <c r="F695" s="296"/>
      <c r="G695" s="296"/>
      <c r="H695" s="296"/>
      <c r="I695" s="296"/>
      <c r="J695" s="296"/>
      <c r="K695" s="296"/>
      <c r="L695" s="296"/>
      <c r="M695" s="299"/>
      <c r="N695" s="299"/>
      <c r="O695" s="299"/>
      <c r="P695" s="299"/>
      <c r="Q695" s="299"/>
      <c r="R695" s="299"/>
      <c r="S695" s="299"/>
      <c r="T695" s="299"/>
      <c r="U695" s="299"/>
      <c r="V695" s="299"/>
      <c r="W695" s="299"/>
      <c r="X695" s="299"/>
      <c r="Y695" s="299"/>
      <c r="Z695" s="299"/>
      <c r="AA695" s="299"/>
      <c r="AB695" s="299"/>
      <c r="AC695" s="300"/>
      <c r="AD695" s="300"/>
    </row>
    <row r="696" spans="1:30" ht="12.75" customHeight="1" x14ac:dyDescent="0.2">
      <c r="A696" s="296"/>
      <c r="B696" s="296"/>
      <c r="C696" s="296"/>
      <c r="D696" s="298"/>
      <c r="E696" s="298"/>
      <c r="F696" s="296"/>
      <c r="G696" s="296"/>
      <c r="H696" s="296"/>
      <c r="I696" s="296"/>
      <c r="J696" s="296"/>
      <c r="K696" s="296"/>
      <c r="L696" s="296"/>
      <c r="M696" s="299"/>
      <c r="N696" s="299"/>
      <c r="O696" s="299"/>
      <c r="P696" s="299"/>
      <c r="Q696" s="299"/>
      <c r="R696" s="299"/>
      <c r="S696" s="299"/>
      <c r="T696" s="299"/>
      <c r="U696" s="299"/>
      <c r="V696" s="299"/>
      <c r="W696" s="299"/>
      <c r="X696" s="299"/>
      <c r="Y696" s="299"/>
      <c r="Z696" s="299"/>
      <c r="AA696" s="299"/>
      <c r="AB696" s="299"/>
      <c r="AC696" s="300"/>
      <c r="AD696" s="300"/>
    </row>
    <row r="697" spans="1:30" ht="12.75" customHeight="1" x14ac:dyDescent="0.2">
      <c r="A697" s="296"/>
      <c r="B697" s="296"/>
      <c r="C697" s="296"/>
      <c r="D697" s="298"/>
      <c r="E697" s="298"/>
      <c r="F697" s="296"/>
      <c r="G697" s="296"/>
      <c r="H697" s="296"/>
      <c r="I697" s="296"/>
      <c r="J697" s="296"/>
      <c r="K697" s="296"/>
      <c r="L697" s="296"/>
      <c r="M697" s="299"/>
      <c r="N697" s="299"/>
      <c r="O697" s="299"/>
      <c r="P697" s="299"/>
      <c r="Q697" s="299"/>
      <c r="R697" s="299"/>
      <c r="S697" s="299"/>
      <c r="T697" s="299"/>
      <c r="U697" s="299"/>
      <c r="V697" s="299"/>
      <c r="W697" s="299"/>
      <c r="X697" s="299"/>
      <c r="Y697" s="299"/>
      <c r="Z697" s="299"/>
      <c r="AA697" s="299"/>
      <c r="AB697" s="299"/>
      <c r="AC697" s="300"/>
      <c r="AD697" s="300"/>
    </row>
    <row r="698" spans="1:30" ht="12.75" customHeight="1" x14ac:dyDescent="0.2">
      <c r="A698" s="296"/>
      <c r="B698" s="296"/>
      <c r="C698" s="296"/>
      <c r="D698" s="298"/>
      <c r="E698" s="298"/>
      <c r="F698" s="296"/>
      <c r="G698" s="296"/>
      <c r="H698" s="296"/>
      <c r="I698" s="296"/>
      <c r="J698" s="296"/>
      <c r="K698" s="296"/>
      <c r="L698" s="296"/>
      <c r="M698" s="299"/>
      <c r="N698" s="299"/>
      <c r="O698" s="299"/>
      <c r="P698" s="299"/>
      <c r="Q698" s="299"/>
      <c r="R698" s="299"/>
      <c r="S698" s="299"/>
      <c r="T698" s="299"/>
      <c r="U698" s="299"/>
      <c r="V698" s="299"/>
      <c r="W698" s="299"/>
      <c r="X698" s="299"/>
      <c r="Y698" s="299"/>
      <c r="Z698" s="299"/>
      <c r="AA698" s="299"/>
      <c r="AB698" s="299"/>
      <c r="AC698" s="300"/>
      <c r="AD698" s="300"/>
    </row>
    <row r="699" spans="1:30" ht="12.75" customHeight="1" x14ac:dyDescent="0.2">
      <c r="A699" s="296"/>
      <c r="B699" s="296"/>
      <c r="C699" s="296"/>
      <c r="D699" s="298"/>
      <c r="E699" s="298"/>
      <c r="F699" s="296"/>
      <c r="G699" s="296"/>
      <c r="H699" s="296"/>
      <c r="I699" s="296"/>
      <c r="J699" s="296"/>
      <c r="K699" s="296"/>
      <c r="L699" s="296"/>
      <c r="M699" s="299"/>
      <c r="N699" s="299"/>
      <c r="O699" s="299"/>
      <c r="P699" s="299"/>
      <c r="Q699" s="299"/>
      <c r="R699" s="299"/>
      <c r="S699" s="299"/>
      <c r="T699" s="299"/>
      <c r="U699" s="299"/>
      <c r="V699" s="299"/>
      <c r="W699" s="299"/>
      <c r="X699" s="299"/>
      <c r="Y699" s="299"/>
      <c r="Z699" s="299"/>
      <c r="AA699" s="299"/>
      <c r="AB699" s="299"/>
      <c r="AC699" s="300"/>
      <c r="AD699" s="300"/>
    </row>
    <row r="700" spans="1:30" ht="12.75" customHeight="1" x14ac:dyDescent="0.2">
      <c r="A700" s="296"/>
      <c r="B700" s="296"/>
      <c r="C700" s="296"/>
      <c r="D700" s="298"/>
      <c r="E700" s="298"/>
      <c r="F700" s="296"/>
      <c r="G700" s="296"/>
      <c r="H700" s="296"/>
      <c r="I700" s="296"/>
      <c r="J700" s="296"/>
      <c r="K700" s="296"/>
      <c r="L700" s="296"/>
      <c r="M700" s="299"/>
      <c r="N700" s="299"/>
      <c r="O700" s="299"/>
      <c r="P700" s="299"/>
      <c r="Q700" s="299"/>
      <c r="R700" s="299"/>
      <c r="S700" s="299"/>
      <c r="T700" s="299"/>
      <c r="U700" s="299"/>
      <c r="V700" s="299"/>
      <c r="W700" s="299"/>
      <c r="X700" s="299"/>
      <c r="Y700" s="299"/>
      <c r="Z700" s="299"/>
      <c r="AA700" s="299"/>
      <c r="AB700" s="299"/>
      <c r="AC700" s="300"/>
      <c r="AD700" s="300"/>
    </row>
    <row r="701" spans="1:30" ht="12.75" customHeight="1" x14ac:dyDescent="0.2">
      <c r="A701" s="296"/>
      <c r="B701" s="296"/>
      <c r="C701" s="296"/>
      <c r="D701" s="298"/>
      <c r="E701" s="298"/>
      <c r="F701" s="296"/>
      <c r="G701" s="296"/>
      <c r="H701" s="296"/>
      <c r="I701" s="296"/>
      <c r="J701" s="296"/>
      <c r="K701" s="296"/>
      <c r="L701" s="296"/>
      <c r="M701" s="299"/>
      <c r="N701" s="299"/>
      <c r="O701" s="299"/>
      <c r="P701" s="299"/>
      <c r="Q701" s="299"/>
      <c r="R701" s="299"/>
      <c r="S701" s="299"/>
      <c r="T701" s="299"/>
      <c r="U701" s="299"/>
      <c r="V701" s="299"/>
      <c r="W701" s="299"/>
      <c r="X701" s="299"/>
      <c r="Y701" s="299"/>
      <c r="Z701" s="299"/>
      <c r="AA701" s="299"/>
      <c r="AB701" s="299"/>
      <c r="AC701" s="300"/>
      <c r="AD701" s="300"/>
    </row>
    <row r="702" spans="1:30" ht="12.75" customHeight="1" x14ac:dyDescent="0.2">
      <c r="A702" s="296"/>
      <c r="B702" s="296"/>
      <c r="C702" s="296"/>
      <c r="D702" s="298"/>
      <c r="E702" s="298"/>
      <c r="F702" s="296"/>
      <c r="G702" s="296"/>
      <c r="H702" s="296"/>
      <c r="I702" s="296"/>
      <c r="J702" s="296"/>
      <c r="K702" s="296"/>
      <c r="L702" s="296"/>
      <c r="M702" s="299"/>
      <c r="N702" s="299"/>
      <c r="O702" s="299"/>
      <c r="P702" s="299"/>
      <c r="Q702" s="299"/>
      <c r="R702" s="299"/>
      <c r="S702" s="299"/>
      <c r="T702" s="299"/>
      <c r="U702" s="299"/>
      <c r="V702" s="299"/>
      <c r="W702" s="299"/>
      <c r="X702" s="299"/>
      <c r="Y702" s="299"/>
      <c r="Z702" s="299"/>
      <c r="AA702" s="299"/>
      <c r="AB702" s="299"/>
      <c r="AC702" s="300"/>
      <c r="AD702" s="300"/>
    </row>
    <row r="703" spans="1:30" ht="12.75" customHeight="1" x14ac:dyDescent="0.2">
      <c r="A703" s="296"/>
      <c r="B703" s="296"/>
      <c r="C703" s="296"/>
      <c r="D703" s="298"/>
      <c r="E703" s="298"/>
      <c r="F703" s="296"/>
      <c r="G703" s="296"/>
      <c r="H703" s="296"/>
      <c r="I703" s="296"/>
      <c r="J703" s="296"/>
      <c r="K703" s="296"/>
      <c r="L703" s="296"/>
      <c r="M703" s="299"/>
      <c r="N703" s="299"/>
      <c r="O703" s="299"/>
      <c r="P703" s="299"/>
      <c r="Q703" s="299"/>
      <c r="R703" s="299"/>
      <c r="S703" s="299"/>
      <c r="T703" s="299"/>
      <c r="U703" s="299"/>
      <c r="V703" s="299"/>
      <c r="W703" s="299"/>
      <c r="X703" s="299"/>
      <c r="Y703" s="299"/>
      <c r="Z703" s="299"/>
      <c r="AA703" s="299"/>
      <c r="AB703" s="299"/>
      <c r="AC703" s="300"/>
      <c r="AD703" s="300"/>
    </row>
    <row r="704" spans="1:30" ht="12.75" customHeight="1" x14ac:dyDescent="0.2">
      <c r="A704" s="296"/>
      <c r="B704" s="296"/>
      <c r="C704" s="296"/>
      <c r="D704" s="298"/>
      <c r="E704" s="298"/>
      <c r="F704" s="296"/>
      <c r="G704" s="296"/>
      <c r="H704" s="296"/>
      <c r="I704" s="296"/>
      <c r="J704" s="296"/>
      <c r="K704" s="296"/>
      <c r="L704" s="296"/>
      <c r="M704" s="299"/>
      <c r="N704" s="299"/>
      <c r="O704" s="299"/>
      <c r="P704" s="299"/>
      <c r="Q704" s="299"/>
      <c r="R704" s="299"/>
      <c r="S704" s="299"/>
      <c r="T704" s="299"/>
      <c r="U704" s="299"/>
      <c r="V704" s="299"/>
      <c r="W704" s="299"/>
      <c r="X704" s="299"/>
      <c r="Y704" s="299"/>
      <c r="Z704" s="299"/>
      <c r="AA704" s="299"/>
      <c r="AB704" s="299"/>
      <c r="AC704" s="300"/>
      <c r="AD704" s="300"/>
    </row>
    <row r="705" spans="1:30" ht="12.75" customHeight="1" x14ac:dyDescent="0.2">
      <c r="A705" s="296"/>
      <c r="B705" s="296"/>
      <c r="C705" s="296"/>
      <c r="D705" s="298"/>
      <c r="E705" s="298"/>
      <c r="F705" s="296"/>
      <c r="G705" s="296"/>
      <c r="H705" s="296"/>
      <c r="I705" s="296"/>
      <c r="J705" s="296"/>
      <c r="K705" s="296"/>
      <c r="L705" s="296"/>
      <c r="M705" s="299"/>
      <c r="N705" s="299"/>
      <c r="O705" s="299"/>
      <c r="P705" s="299"/>
      <c r="Q705" s="299"/>
      <c r="R705" s="299"/>
      <c r="S705" s="299"/>
      <c r="T705" s="299"/>
      <c r="U705" s="299"/>
      <c r="V705" s="299"/>
      <c r="W705" s="299"/>
      <c r="X705" s="299"/>
      <c r="Y705" s="299"/>
      <c r="Z705" s="299"/>
      <c r="AA705" s="299"/>
      <c r="AB705" s="299"/>
      <c r="AC705" s="300"/>
      <c r="AD705" s="300"/>
    </row>
    <row r="706" spans="1:30" ht="12.75" customHeight="1" x14ac:dyDescent="0.2">
      <c r="A706" s="296"/>
      <c r="B706" s="296"/>
      <c r="C706" s="296"/>
      <c r="D706" s="298"/>
      <c r="E706" s="298"/>
      <c r="F706" s="296"/>
      <c r="G706" s="296"/>
      <c r="H706" s="296"/>
      <c r="I706" s="296"/>
      <c r="J706" s="296"/>
      <c r="K706" s="296"/>
      <c r="L706" s="296"/>
      <c r="M706" s="299"/>
      <c r="N706" s="299"/>
      <c r="O706" s="299"/>
      <c r="P706" s="299"/>
      <c r="Q706" s="299"/>
      <c r="R706" s="299"/>
      <c r="S706" s="299"/>
      <c r="T706" s="299"/>
      <c r="U706" s="299"/>
      <c r="V706" s="299"/>
      <c r="W706" s="299"/>
      <c r="X706" s="299"/>
      <c r="Y706" s="299"/>
      <c r="Z706" s="299"/>
      <c r="AA706" s="299"/>
      <c r="AB706" s="299"/>
      <c r="AC706" s="300"/>
      <c r="AD706" s="300"/>
    </row>
    <row r="707" spans="1:30" ht="12.75" customHeight="1" x14ac:dyDescent="0.2">
      <c r="A707" s="296"/>
      <c r="B707" s="296"/>
      <c r="C707" s="296"/>
      <c r="D707" s="298"/>
      <c r="E707" s="298"/>
      <c r="F707" s="296"/>
      <c r="G707" s="296"/>
      <c r="H707" s="296"/>
      <c r="I707" s="296"/>
      <c r="J707" s="296"/>
      <c r="K707" s="296"/>
      <c r="L707" s="296"/>
      <c r="M707" s="299"/>
      <c r="N707" s="299"/>
      <c r="O707" s="299"/>
      <c r="P707" s="299"/>
      <c r="Q707" s="299"/>
      <c r="R707" s="299"/>
      <c r="S707" s="299"/>
      <c r="T707" s="299"/>
      <c r="U707" s="299"/>
      <c r="V707" s="299"/>
      <c r="W707" s="299"/>
      <c r="X707" s="299"/>
      <c r="Y707" s="299"/>
      <c r="Z707" s="299"/>
      <c r="AA707" s="299"/>
      <c r="AB707" s="299"/>
      <c r="AC707" s="300"/>
      <c r="AD707" s="300"/>
    </row>
    <row r="708" spans="1:30" ht="12.75" customHeight="1" x14ac:dyDescent="0.2">
      <c r="A708" s="296"/>
      <c r="B708" s="296"/>
      <c r="C708" s="296"/>
      <c r="D708" s="298"/>
      <c r="E708" s="298"/>
      <c r="F708" s="296"/>
      <c r="G708" s="296"/>
      <c r="H708" s="296"/>
      <c r="I708" s="296"/>
      <c r="J708" s="296"/>
      <c r="K708" s="296"/>
      <c r="L708" s="296"/>
      <c r="M708" s="299"/>
      <c r="N708" s="299"/>
      <c r="O708" s="299"/>
      <c r="P708" s="299"/>
      <c r="Q708" s="299"/>
      <c r="R708" s="299"/>
      <c r="S708" s="299"/>
      <c r="T708" s="299"/>
      <c r="U708" s="299"/>
      <c r="V708" s="299"/>
      <c r="W708" s="299"/>
      <c r="X708" s="299"/>
      <c r="Y708" s="299"/>
      <c r="Z708" s="299"/>
      <c r="AA708" s="299"/>
      <c r="AB708" s="299"/>
      <c r="AC708" s="300"/>
      <c r="AD708" s="300"/>
    </row>
    <row r="709" spans="1:30" ht="12.75" customHeight="1" x14ac:dyDescent="0.2">
      <c r="A709" s="296"/>
      <c r="B709" s="296"/>
      <c r="C709" s="296"/>
      <c r="D709" s="298"/>
      <c r="E709" s="298"/>
      <c r="F709" s="296"/>
      <c r="G709" s="296"/>
      <c r="H709" s="296"/>
      <c r="I709" s="296"/>
      <c r="J709" s="296"/>
      <c r="K709" s="296"/>
      <c r="L709" s="296"/>
      <c r="M709" s="299"/>
      <c r="N709" s="299"/>
      <c r="O709" s="299"/>
      <c r="P709" s="299"/>
      <c r="Q709" s="299"/>
      <c r="R709" s="299"/>
      <c r="S709" s="299"/>
      <c r="T709" s="299"/>
      <c r="U709" s="299"/>
      <c r="V709" s="299"/>
      <c r="W709" s="299"/>
      <c r="X709" s="299"/>
      <c r="Y709" s="299"/>
      <c r="Z709" s="299"/>
      <c r="AA709" s="299"/>
      <c r="AB709" s="299"/>
      <c r="AC709" s="300"/>
      <c r="AD709" s="300"/>
    </row>
    <row r="710" spans="1:30" ht="12.75" customHeight="1" x14ac:dyDescent="0.2">
      <c r="A710" s="296"/>
      <c r="B710" s="296"/>
      <c r="C710" s="296"/>
      <c r="D710" s="298"/>
      <c r="E710" s="298"/>
      <c r="F710" s="296"/>
      <c r="G710" s="296"/>
      <c r="H710" s="296"/>
      <c r="I710" s="296"/>
      <c r="J710" s="296"/>
      <c r="K710" s="296"/>
      <c r="L710" s="296"/>
      <c r="M710" s="299"/>
      <c r="N710" s="299"/>
      <c r="O710" s="299"/>
      <c r="P710" s="299"/>
      <c r="Q710" s="299"/>
      <c r="R710" s="299"/>
      <c r="S710" s="299"/>
      <c r="T710" s="299"/>
      <c r="U710" s="299"/>
      <c r="V710" s="299"/>
      <c r="W710" s="299"/>
      <c r="X710" s="299"/>
      <c r="Y710" s="299"/>
      <c r="Z710" s="299"/>
      <c r="AA710" s="299"/>
      <c r="AB710" s="299"/>
      <c r="AC710" s="300"/>
      <c r="AD710" s="300"/>
    </row>
    <row r="711" spans="1:30" ht="12.75" customHeight="1" x14ac:dyDescent="0.2">
      <c r="A711" s="296"/>
      <c r="B711" s="296"/>
      <c r="C711" s="296"/>
      <c r="D711" s="298"/>
      <c r="E711" s="298"/>
      <c r="F711" s="296"/>
      <c r="G711" s="296"/>
      <c r="H711" s="296"/>
      <c r="I711" s="296"/>
      <c r="J711" s="296"/>
      <c r="K711" s="296"/>
      <c r="L711" s="296"/>
      <c r="M711" s="299"/>
      <c r="N711" s="299"/>
      <c r="O711" s="299"/>
      <c r="P711" s="299"/>
      <c r="Q711" s="299"/>
      <c r="R711" s="299"/>
      <c r="S711" s="299"/>
      <c r="T711" s="299"/>
      <c r="U711" s="299"/>
      <c r="V711" s="299"/>
      <c r="W711" s="299"/>
      <c r="X711" s="299"/>
      <c r="Y711" s="299"/>
      <c r="Z711" s="299"/>
      <c r="AA711" s="299"/>
      <c r="AB711" s="299"/>
      <c r="AC711" s="300"/>
      <c r="AD711" s="300"/>
    </row>
    <row r="712" spans="1:30" ht="12.75" customHeight="1" x14ac:dyDescent="0.2">
      <c r="A712" s="296"/>
      <c r="B712" s="296"/>
      <c r="C712" s="296"/>
      <c r="D712" s="298"/>
      <c r="E712" s="298"/>
      <c r="F712" s="296"/>
      <c r="G712" s="296"/>
      <c r="H712" s="296"/>
      <c r="I712" s="296"/>
      <c r="J712" s="296"/>
      <c r="K712" s="296"/>
      <c r="L712" s="296"/>
      <c r="M712" s="299"/>
      <c r="N712" s="299"/>
      <c r="O712" s="299"/>
      <c r="P712" s="299"/>
      <c r="Q712" s="299"/>
      <c r="R712" s="299"/>
      <c r="S712" s="299"/>
      <c r="T712" s="299"/>
      <c r="U712" s="299"/>
      <c r="V712" s="299"/>
      <c r="W712" s="299"/>
      <c r="X712" s="299"/>
      <c r="Y712" s="299"/>
      <c r="Z712" s="299"/>
      <c r="AA712" s="299"/>
      <c r="AB712" s="299"/>
      <c r="AC712" s="300"/>
      <c r="AD712" s="300"/>
    </row>
    <row r="713" spans="1:30" ht="12.75" customHeight="1" x14ac:dyDescent="0.2">
      <c r="A713" s="296"/>
      <c r="B713" s="296"/>
      <c r="C713" s="296"/>
      <c r="D713" s="298"/>
      <c r="E713" s="298"/>
      <c r="F713" s="296"/>
      <c r="G713" s="296"/>
      <c r="H713" s="296"/>
      <c r="I713" s="296"/>
      <c r="J713" s="296"/>
      <c r="K713" s="296"/>
      <c r="L713" s="296"/>
      <c r="M713" s="299"/>
      <c r="N713" s="299"/>
      <c r="O713" s="299"/>
      <c r="P713" s="299"/>
      <c r="Q713" s="299"/>
      <c r="R713" s="299"/>
      <c r="S713" s="299"/>
      <c r="T713" s="299"/>
      <c r="U713" s="299"/>
      <c r="V713" s="299"/>
      <c r="W713" s="299"/>
      <c r="X713" s="299"/>
      <c r="Y713" s="299"/>
      <c r="Z713" s="299"/>
      <c r="AA713" s="299"/>
      <c r="AB713" s="299"/>
      <c r="AC713" s="300"/>
      <c r="AD713" s="300"/>
    </row>
    <row r="714" spans="1:30" ht="12.75" customHeight="1" x14ac:dyDescent="0.2">
      <c r="A714" s="296"/>
      <c r="B714" s="296"/>
      <c r="C714" s="296"/>
      <c r="D714" s="298"/>
      <c r="E714" s="298"/>
      <c r="F714" s="296"/>
      <c r="G714" s="296"/>
      <c r="H714" s="296"/>
      <c r="I714" s="296"/>
      <c r="J714" s="296"/>
      <c r="K714" s="296"/>
      <c r="L714" s="296"/>
      <c r="M714" s="299"/>
      <c r="N714" s="299"/>
      <c r="O714" s="299"/>
      <c r="P714" s="299"/>
      <c r="Q714" s="299"/>
      <c r="R714" s="299"/>
      <c r="S714" s="299"/>
      <c r="T714" s="299"/>
      <c r="U714" s="299"/>
      <c r="V714" s="299"/>
      <c r="W714" s="299"/>
      <c r="X714" s="299"/>
      <c r="Y714" s="299"/>
      <c r="Z714" s="299"/>
      <c r="AA714" s="299"/>
      <c r="AB714" s="299"/>
      <c r="AC714" s="300"/>
      <c r="AD714" s="300"/>
    </row>
    <row r="715" spans="1:30" ht="12.75" customHeight="1" x14ac:dyDescent="0.2">
      <c r="A715" s="296"/>
      <c r="B715" s="296"/>
      <c r="C715" s="296"/>
      <c r="D715" s="298"/>
      <c r="E715" s="298"/>
      <c r="F715" s="296"/>
      <c r="G715" s="296"/>
      <c r="H715" s="296"/>
      <c r="I715" s="296"/>
      <c r="J715" s="296"/>
      <c r="K715" s="296"/>
      <c r="L715" s="296"/>
      <c r="M715" s="299"/>
      <c r="N715" s="299"/>
      <c r="O715" s="299"/>
      <c r="P715" s="299"/>
      <c r="Q715" s="299"/>
      <c r="R715" s="299"/>
      <c r="S715" s="299"/>
      <c r="T715" s="299"/>
      <c r="U715" s="299"/>
      <c r="V715" s="299"/>
      <c r="W715" s="299"/>
      <c r="X715" s="299"/>
      <c r="Y715" s="299"/>
      <c r="Z715" s="299"/>
      <c r="AA715" s="299"/>
      <c r="AB715" s="299"/>
      <c r="AC715" s="300"/>
      <c r="AD715" s="300"/>
    </row>
    <row r="716" spans="1:30" ht="12.75" customHeight="1" x14ac:dyDescent="0.2">
      <c r="A716" s="296"/>
      <c r="B716" s="296"/>
      <c r="C716" s="296"/>
      <c r="D716" s="298"/>
      <c r="E716" s="298"/>
      <c r="F716" s="296"/>
      <c r="G716" s="296"/>
      <c r="H716" s="296"/>
      <c r="I716" s="296"/>
      <c r="J716" s="296"/>
      <c r="K716" s="296"/>
      <c r="L716" s="296"/>
      <c r="M716" s="299"/>
      <c r="N716" s="299"/>
      <c r="O716" s="299"/>
      <c r="P716" s="299"/>
      <c r="Q716" s="299"/>
      <c r="R716" s="299"/>
      <c r="S716" s="299"/>
      <c r="T716" s="299"/>
      <c r="U716" s="299"/>
      <c r="V716" s="299"/>
      <c r="W716" s="299"/>
      <c r="X716" s="299"/>
      <c r="Y716" s="299"/>
      <c r="Z716" s="299"/>
      <c r="AA716" s="299"/>
      <c r="AB716" s="299"/>
      <c r="AC716" s="300"/>
      <c r="AD716" s="300"/>
    </row>
    <row r="717" spans="1:30" ht="12.75" customHeight="1" x14ac:dyDescent="0.2">
      <c r="A717" s="296"/>
      <c r="B717" s="296"/>
      <c r="C717" s="296"/>
      <c r="D717" s="298"/>
      <c r="E717" s="298"/>
      <c r="F717" s="296"/>
      <c r="G717" s="296"/>
      <c r="H717" s="296"/>
      <c r="I717" s="296"/>
      <c r="J717" s="296"/>
      <c r="K717" s="296"/>
      <c r="L717" s="296"/>
      <c r="M717" s="299"/>
      <c r="N717" s="299"/>
      <c r="O717" s="299"/>
      <c r="P717" s="299"/>
      <c r="Q717" s="299"/>
      <c r="R717" s="299"/>
      <c r="S717" s="299"/>
      <c r="T717" s="299"/>
      <c r="U717" s="299"/>
      <c r="V717" s="299"/>
      <c r="W717" s="299"/>
      <c r="X717" s="299"/>
      <c r="Y717" s="299"/>
      <c r="Z717" s="299"/>
      <c r="AA717" s="299"/>
      <c r="AB717" s="299"/>
      <c r="AC717" s="300"/>
      <c r="AD717" s="300"/>
    </row>
    <row r="718" spans="1:30" ht="12.75" customHeight="1" x14ac:dyDescent="0.2">
      <c r="A718" s="296"/>
      <c r="B718" s="296"/>
      <c r="C718" s="296"/>
      <c r="D718" s="298"/>
      <c r="E718" s="298"/>
      <c r="F718" s="296"/>
      <c r="G718" s="296"/>
      <c r="H718" s="296"/>
      <c r="I718" s="296"/>
      <c r="J718" s="296"/>
      <c r="K718" s="296"/>
      <c r="L718" s="296"/>
      <c r="M718" s="299"/>
      <c r="N718" s="299"/>
      <c r="O718" s="299"/>
      <c r="P718" s="299"/>
      <c r="Q718" s="299"/>
      <c r="R718" s="299"/>
      <c r="S718" s="299"/>
      <c r="T718" s="299"/>
      <c r="U718" s="299"/>
      <c r="V718" s="299"/>
      <c r="W718" s="299"/>
      <c r="X718" s="299"/>
      <c r="Y718" s="299"/>
      <c r="Z718" s="299"/>
      <c r="AA718" s="299"/>
      <c r="AB718" s="299"/>
      <c r="AC718" s="300"/>
      <c r="AD718" s="300"/>
    </row>
    <row r="719" spans="1:30" ht="12.75" customHeight="1" x14ac:dyDescent="0.2">
      <c r="A719" s="296"/>
      <c r="B719" s="296"/>
      <c r="C719" s="296"/>
      <c r="D719" s="298"/>
      <c r="E719" s="298"/>
      <c r="F719" s="296"/>
      <c r="G719" s="296"/>
      <c r="H719" s="296"/>
      <c r="I719" s="296"/>
      <c r="J719" s="296"/>
      <c r="K719" s="296"/>
      <c r="L719" s="296"/>
      <c r="M719" s="299"/>
      <c r="N719" s="299"/>
      <c r="O719" s="299"/>
      <c r="P719" s="299"/>
      <c r="Q719" s="299"/>
      <c r="R719" s="299"/>
      <c r="S719" s="299"/>
      <c r="T719" s="299"/>
      <c r="U719" s="299"/>
      <c r="V719" s="299"/>
      <c r="W719" s="299"/>
      <c r="X719" s="299"/>
      <c r="Y719" s="299"/>
      <c r="Z719" s="299"/>
      <c r="AA719" s="299"/>
      <c r="AB719" s="299"/>
      <c r="AC719" s="300"/>
      <c r="AD719" s="300"/>
    </row>
    <row r="720" spans="1:30" ht="12.75" customHeight="1" x14ac:dyDescent="0.2">
      <c r="A720" s="296"/>
      <c r="B720" s="296"/>
      <c r="C720" s="296"/>
      <c r="D720" s="298"/>
      <c r="E720" s="298"/>
      <c r="F720" s="296"/>
      <c r="G720" s="296"/>
      <c r="H720" s="296"/>
      <c r="I720" s="296"/>
      <c r="J720" s="296"/>
      <c r="K720" s="296"/>
      <c r="L720" s="296"/>
      <c r="M720" s="299"/>
      <c r="N720" s="299"/>
      <c r="O720" s="299"/>
      <c r="P720" s="299"/>
      <c r="Q720" s="299"/>
      <c r="R720" s="299"/>
      <c r="S720" s="299"/>
      <c r="T720" s="299"/>
      <c r="U720" s="299"/>
      <c r="V720" s="299"/>
      <c r="W720" s="299"/>
      <c r="X720" s="299"/>
      <c r="Y720" s="299"/>
      <c r="Z720" s="299"/>
      <c r="AA720" s="299"/>
      <c r="AB720" s="299"/>
      <c r="AC720" s="300"/>
      <c r="AD720" s="300"/>
    </row>
    <row r="721" spans="1:30" ht="12.75" customHeight="1" x14ac:dyDescent="0.2">
      <c r="A721" s="296"/>
      <c r="B721" s="296"/>
      <c r="C721" s="296"/>
      <c r="D721" s="298"/>
      <c r="E721" s="298"/>
      <c r="F721" s="296"/>
      <c r="G721" s="296"/>
      <c r="H721" s="296"/>
      <c r="I721" s="296"/>
      <c r="J721" s="296"/>
      <c r="K721" s="296"/>
      <c r="L721" s="296"/>
      <c r="M721" s="299"/>
      <c r="N721" s="299"/>
      <c r="O721" s="299"/>
      <c r="P721" s="299"/>
      <c r="Q721" s="299"/>
      <c r="R721" s="299"/>
      <c r="S721" s="299"/>
      <c r="T721" s="299"/>
      <c r="U721" s="299"/>
      <c r="V721" s="299"/>
      <c r="W721" s="299"/>
      <c r="X721" s="299"/>
      <c r="Y721" s="299"/>
      <c r="Z721" s="299"/>
      <c r="AA721" s="299"/>
      <c r="AB721" s="299"/>
      <c r="AC721" s="300"/>
      <c r="AD721" s="300"/>
    </row>
    <row r="722" spans="1:30" ht="12.75" customHeight="1" x14ac:dyDescent="0.2">
      <c r="A722" s="296"/>
      <c r="B722" s="296"/>
      <c r="C722" s="296"/>
      <c r="D722" s="298"/>
      <c r="E722" s="298"/>
      <c r="F722" s="296"/>
      <c r="G722" s="296"/>
      <c r="H722" s="296"/>
      <c r="I722" s="296"/>
      <c r="J722" s="296"/>
      <c r="K722" s="296"/>
      <c r="L722" s="296"/>
      <c r="M722" s="299"/>
      <c r="N722" s="299"/>
      <c r="O722" s="299"/>
      <c r="P722" s="299"/>
      <c r="Q722" s="299"/>
      <c r="R722" s="299"/>
      <c r="S722" s="299"/>
      <c r="T722" s="299"/>
      <c r="U722" s="299"/>
      <c r="V722" s="299"/>
      <c r="W722" s="299"/>
      <c r="X722" s="299"/>
      <c r="Y722" s="299"/>
      <c r="Z722" s="299"/>
      <c r="AA722" s="299"/>
      <c r="AB722" s="299"/>
      <c r="AC722" s="300"/>
      <c r="AD722" s="300"/>
    </row>
    <row r="723" spans="1:30" ht="12.75" customHeight="1" x14ac:dyDescent="0.2">
      <c r="A723" s="296"/>
      <c r="B723" s="296"/>
      <c r="C723" s="296"/>
      <c r="D723" s="298"/>
      <c r="E723" s="298"/>
      <c r="F723" s="296"/>
      <c r="G723" s="296"/>
      <c r="H723" s="296"/>
      <c r="I723" s="296"/>
      <c r="J723" s="296"/>
      <c r="K723" s="296"/>
      <c r="L723" s="296"/>
      <c r="M723" s="299"/>
      <c r="N723" s="299"/>
      <c r="O723" s="299"/>
      <c r="P723" s="299"/>
      <c r="Q723" s="299"/>
      <c r="R723" s="299"/>
      <c r="S723" s="299"/>
      <c r="T723" s="299"/>
      <c r="U723" s="299"/>
      <c r="V723" s="299"/>
      <c r="W723" s="299"/>
      <c r="X723" s="299"/>
      <c r="Y723" s="299"/>
      <c r="Z723" s="299"/>
      <c r="AA723" s="299"/>
      <c r="AB723" s="299"/>
      <c r="AC723" s="300"/>
      <c r="AD723" s="300"/>
    </row>
    <row r="724" spans="1:30" ht="12.75" customHeight="1" x14ac:dyDescent="0.2">
      <c r="A724" s="296"/>
      <c r="B724" s="296"/>
      <c r="C724" s="296"/>
      <c r="D724" s="298"/>
      <c r="E724" s="298"/>
      <c r="F724" s="296"/>
      <c r="G724" s="296"/>
      <c r="H724" s="296"/>
      <c r="I724" s="296"/>
      <c r="J724" s="296"/>
      <c r="K724" s="296"/>
      <c r="L724" s="296"/>
      <c r="M724" s="299"/>
      <c r="N724" s="299"/>
      <c r="O724" s="299"/>
      <c r="P724" s="299"/>
      <c r="Q724" s="299"/>
      <c r="R724" s="299"/>
      <c r="S724" s="299"/>
      <c r="T724" s="299"/>
      <c r="U724" s="299"/>
      <c r="V724" s="299"/>
      <c r="W724" s="299"/>
      <c r="X724" s="299"/>
      <c r="Y724" s="299"/>
      <c r="Z724" s="299"/>
      <c r="AA724" s="299"/>
      <c r="AB724" s="299"/>
      <c r="AC724" s="300"/>
      <c r="AD724" s="300"/>
    </row>
    <row r="725" spans="1:30" ht="12.75" customHeight="1" x14ac:dyDescent="0.2">
      <c r="A725" s="296"/>
      <c r="B725" s="296"/>
      <c r="C725" s="296"/>
      <c r="D725" s="298"/>
      <c r="E725" s="298"/>
      <c r="F725" s="296"/>
      <c r="G725" s="296"/>
      <c r="H725" s="296"/>
      <c r="I725" s="296"/>
      <c r="J725" s="296"/>
      <c r="K725" s="296"/>
      <c r="L725" s="296"/>
      <c r="M725" s="299"/>
      <c r="N725" s="299"/>
      <c r="O725" s="299"/>
      <c r="P725" s="299"/>
      <c r="Q725" s="299"/>
      <c r="R725" s="299"/>
      <c r="S725" s="299"/>
      <c r="T725" s="299"/>
      <c r="U725" s="299"/>
      <c r="V725" s="299"/>
      <c r="W725" s="299"/>
      <c r="X725" s="299"/>
      <c r="Y725" s="299"/>
      <c r="Z725" s="299"/>
      <c r="AA725" s="299"/>
      <c r="AB725" s="299"/>
      <c r="AC725" s="300"/>
      <c r="AD725" s="300"/>
    </row>
    <row r="726" spans="1:30" ht="12.75" customHeight="1" x14ac:dyDescent="0.2">
      <c r="A726" s="296"/>
      <c r="B726" s="296"/>
      <c r="C726" s="296"/>
      <c r="D726" s="298"/>
      <c r="E726" s="298"/>
      <c r="F726" s="296"/>
      <c r="G726" s="296"/>
      <c r="H726" s="296"/>
      <c r="I726" s="296"/>
      <c r="J726" s="296"/>
      <c r="K726" s="296"/>
      <c r="L726" s="296"/>
      <c r="M726" s="299"/>
      <c r="N726" s="299"/>
      <c r="O726" s="299"/>
      <c r="P726" s="299"/>
      <c r="Q726" s="299"/>
      <c r="R726" s="299"/>
      <c r="S726" s="299"/>
      <c r="T726" s="299"/>
      <c r="U726" s="299"/>
      <c r="V726" s="299"/>
      <c r="W726" s="299"/>
      <c r="X726" s="299"/>
      <c r="Y726" s="299"/>
      <c r="Z726" s="299"/>
      <c r="AA726" s="299"/>
      <c r="AB726" s="299"/>
      <c r="AC726" s="300"/>
      <c r="AD726" s="300"/>
    </row>
    <row r="727" spans="1:30" ht="12.75" customHeight="1" x14ac:dyDescent="0.2">
      <c r="A727" s="296"/>
      <c r="B727" s="296"/>
      <c r="C727" s="296"/>
      <c r="D727" s="298"/>
      <c r="E727" s="298"/>
      <c r="F727" s="296"/>
      <c r="G727" s="296"/>
      <c r="H727" s="296"/>
      <c r="I727" s="296"/>
      <c r="J727" s="296"/>
      <c r="K727" s="296"/>
      <c r="L727" s="296"/>
      <c r="M727" s="299"/>
      <c r="N727" s="299"/>
      <c r="O727" s="299"/>
      <c r="P727" s="299"/>
      <c r="Q727" s="299"/>
      <c r="R727" s="299"/>
      <c r="S727" s="299"/>
      <c r="T727" s="299"/>
      <c r="U727" s="299"/>
      <c r="V727" s="299"/>
      <c r="W727" s="299"/>
      <c r="X727" s="299"/>
      <c r="Y727" s="299"/>
      <c r="Z727" s="299"/>
      <c r="AA727" s="299"/>
      <c r="AB727" s="299"/>
      <c r="AC727" s="300"/>
      <c r="AD727" s="300"/>
    </row>
    <row r="728" spans="1:30" ht="12.75" customHeight="1" x14ac:dyDescent="0.2">
      <c r="A728" s="296"/>
      <c r="B728" s="296"/>
      <c r="C728" s="296"/>
      <c r="D728" s="298"/>
      <c r="E728" s="298"/>
      <c r="F728" s="296"/>
      <c r="G728" s="296"/>
      <c r="H728" s="296"/>
      <c r="I728" s="296"/>
      <c r="J728" s="296"/>
      <c r="K728" s="296"/>
      <c r="L728" s="296"/>
      <c r="M728" s="299"/>
      <c r="N728" s="299"/>
      <c r="O728" s="299"/>
      <c r="P728" s="299"/>
      <c r="Q728" s="299"/>
      <c r="R728" s="299"/>
      <c r="S728" s="299"/>
      <c r="T728" s="299"/>
      <c r="U728" s="299"/>
      <c r="V728" s="299"/>
      <c r="W728" s="299"/>
      <c r="X728" s="299"/>
      <c r="Y728" s="299"/>
      <c r="Z728" s="299"/>
      <c r="AA728" s="299"/>
      <c r="AB728" s="299"/>
      <c r="AC728" s="300"/>
      <c r="AD728" s="300"/>
    </row>
    <row r="729" spans="1:30" ht="12.75" customHeight="1" x14ac:dyDescent="0.2">
      <c r="A729" s="296"/>
      <c r="B729" s="296"/>
      <c r="C729" s="296"/>
      <c r="D729" s="298"/>
      <c r="E729" s="298"/>
      <c r="F729" s="296"/>
      <c r="G729" s="296"/>
      <c r="H729" s="296"/>
      <c r="I729" s="296"/>
      <c r="J729" s="296"/>
      <c r="K729" s="296"/>
      <c r="L729" s="296"/>
      <c r="M729" s="299"/>
      <c r="N729" s="299"/>
      <c r="O729" s="299"/>
      <c r="P729" s="299"/>
      <c r="Q729" s="299"/>
      <c r="R729" s="299"/>
      <c r="S729" s="299"/>
      <c r="T729" s="299"/>
      <c r="U729" s="299"/>
      <c r="V729" s="299"/>
      <c r="W729" s="299"/>
      <c r="X729" s="299"/>
      <c r="Y729" s="299"/>
      <c r="Z729" s="299"/>
      <c r="AA729" s="299"/>
      <c r="AB729" s="299"/>
      <c r="AC729" s="300"/>
      <c r="AD729" s="300"/>
    </row>
    <row r="730" spans="1:30" ht="12.75" customHeight="1" x14ac:dyDescent="0.2">
      <c r="A730" s="296"/>
      <c r="B730" s="296"/>
      <c r="C730" s="296"/>
      <c r="D730" s="298"/>
      <c r="E730" s="298"/>
      <c r="F730" s="296"/>
      <c r="G730" s="296"/>
      <c r="H730" s="296"/>
      <c r="I730" s="296"/>
      <c r="J730" s="296"/>
      <c r="K730" s="296"/>
      <c r="L730" s="296"/>
      <c r="M730" s="299"/>
      <c r="N730" s="299"/>
      <c r="O730" s="299"/>
      <c r="P730" s="299"/>
      <c r="Q730" s="299"/>
      <c r="R730" s="299"/>
      <c r="S730" s="299"/>
      <c r="T730" s="299"/>
      <c r="U730" s="299"/>
      <c r="V730" s="299"/>
      <c r="W730" s="299"/>
      <c r="X730" s="299"/>
      <c r="Y730" s="299"/>
      <c r="Z730" s="299"/>
      <c r="AA730" s="299"/>
      <c r="AB730" s="299"/>
      <c r="AC730" s="300"/>
      <c r="AD730" s="300"/>
    </row>
    <row r="731" spans="1:30" ht="12.75" customHeight="1" x14ac:dyDescent="0.2">
      <c r="A731" s="296"/>
      <c r="B731" s="296"/>
      <c r="C731" s="296"/>
      <c r="D731" s="298"/>
      <c r="E731" s="298"/>
      <c r="F731" s="296"/>
      <c r="G731" s="296"/>
      <c r="H731" s="296"/>
      <c r="I731" s="296"/>
      <c r="J731" s="296"/>
      <c r="K731" s="296"/>
      <c r="L731" s="296"/>
      <c r="M731" s="299"/>
      <c r="N731" s="299"/>
      <c r="O731" s="299"/>
      <c r="P731" s="299"/>
      <c r="Q731" s="299"/>
      <c r="R731" s="299"/>
      <c r="S731" s="299"/>
      <c r="T731" s="299"/>
      <c r="U731" s="299"/>
      <c r="V731" s="299"/>
      <c r="W731" s="299"/>
      <c r="X731" s="299"/>
      <c r="Y731" s="299"/>
      <c r="Z731" s="299"/>
      <c r="AA731" s="299"/>
      <c r="AB731" s="299"/>
      <c r="AC731" s="300"/>
      <c r="AD731" s="300"/>
    </row>
    <row r="732" spans="1:30" ht="12.75" customHeight="1" x14ac:dyDescent="0.2">
      <c r="A732" s="296"/>
      <c r="B732" s="296"/>
      <c r="C732" s="296"/>
      <c r="D732" s="298"/>
      <c r="E732" s="298"/>
      <c r="F732" s="296"/>
      <c r="G732" s="296"/>
      <c r="H732" s="296"/>
      <c r="I732" s="296"/>
      <c r="J732" s="296"/>
      <c r="K732" s="296"/>
      <c r="L732" s="296"/>
      <c r="M732" s="299"/>
      <c r="N732" s="299"/>
      <c r="O732" s="299"/>
      <c r="P732" s="299"/>
      <c r="Q732" s="299"/>
      <c r="R732" s="299"/>
      <c r="S732" s="299"/>
      <c r="T732" s="299"/>
      <c r="U732" s="299"/>
      <c r="V732" s="299"/>
      <c r="W732" s="299"/>
      <c r="X732" s="299"/>
      <c r="Y732" s="299"/>
      <c r="Z732" s="299"/>
      <c r="AA732" s="299"/>
      <c r="AB732" s="299"/>
      <c r="AC732" s="300"/>
      <c r="AD732" s="300"/>
    </row>
    <row r="733" spans="1:30" ht="12.75" customHeight="1" x14ac:dyDescent="0.2">
      <c r="A733" s="296"/>
      <c r="B733" s="296"/>
      <c r="C733" s="296"/>
      <c r="D733" s="298"/>
      <c r="E733" s="298"/>
      <c r="F733" s="296"/>
      <c r="G733" s="296"/>
      <c r="H733" s="296"/>
      <c r="I733" s="296"/>
      <c r="J733" s="296"/>
      <c r="K733" s="296"/>
      <c r="L733" s="296"/>
      <c r="M733" s="299"/>
      <c r="N733" s="299"/>
      <c r="O733" s="299"/>
      <c r="P733" s="299"/>
      <c r="Q733" s="299"/>
      <c r="R733" s="299"/>
      <c r="S733" s="299"/>
      <c r="T733" s="299"/>
      <c r="U733" s="299"/>
      <c r="V733" s="299"/>
      <c r="W733" s="299"/>
      <c r="X733" s="299"/>
      <c r="Y733" s="299"/>
      <c r="Z733" s="299"/>
      <c r="AA733" s="299"/>
      <c r="AB733" s="299"/>
      <c r="AC733" s="300"/>
      <c r="AD733" s="300"/>
    </row>
    <row r="734" spans="1:30" ht="12.75" customHeight="1" x14ac:dyDescent="0.2">
      <c r="A734" s="296"/>
      <c r="B734" s="296"/>
      <c r="C734" s="296"/>
      <c r="D734" s="298"/>
      <c r="E734" s="298"/>
      <c r="F734" s="296"/>
      <c r="G734" s="296"/>
      <c r="H734" s="296"/>
      <c r="I734" s="296"/>
      <c r="J734" s="296"/>
      <c r="K734" s="296"/>
      <c r="L734" s="296"/>
      <c r="M734" s="299"/>
      <c r="N734" s="299"/>
      <c r="O734" s="299"/>
      <c r="P734" s="299"/>
      <c r="Q734" s="299"/>
      <c r="R734" s="299"/>
      <c r="S734" s="299"/>
      <c r="T734" s="299"/>
      <c r="U734" s="299"/>
      <c r="V734" s="299"/>
      <c r="W734" s="299"/>
      <c r="X734" s="299"/>
      <c r="Y734" s="299"/>
      <c r="Z734" s="299"/>
      <c r="AA734" s="299"/>
      <c r="AB734" s="299"/>
      <c r="AC734" s="300"/>
      <c r="AD734" s="300"/>
    </row>
    <row r="735" spans="1:30" ht="12.75" customHeight="1" x14ac:dyDescent="0.2">
      <c r="A735" s="296"/>
      <c r="B735" s="296"/>
      <c r="C735" s="296"/>
      <c r="D735" s="298"/>
      <c r="E735" s="298"/>
      <c r="F735" s="296"/>
      <c r="G735" s="296"/>
      <c r="H735" s="296"/>
      <c r="I735" s="296"/>
      <c r="J735" s="296"/>
      <c r="K735" s="296"/>
      <c r="L735" s="296"/>
      <c r="M735" s="299"/>
      <c r="N735" s="299"/>
      <c r="O735" s="299"/>
      <c r="P735" s="299"/>
      <c r="Q735" s="299"/>
      <c r="R735" s="299"/>
      <c r="S735" s="299"/>
      <c r="T735" s="299"/>
      <c r="U735" s="299"/>
      <c r="V735" s="299"/>
      <c r="W735" s="299"/>
      <c r="X735" s="299"/>
      <c r="Y735" s="299"/>
      <c r="Z735" s="299"/>
      <c r="AA735" s="299"/>
      <c r="AB735" s="299"/>
      <c r="AC735" s="300"/>
      <c r="AD735" s="300"/>
    </row>
    <row r="736" spans="1:30" ht="12.75" customHeight="1" x14ac:dyDescent="0.2">
      <c r="A736" s="296"/>
      <c r="B736" s="296"/>
      <c r="C736" s="296"/>
      <c r="D736" s="298"/>
      <c r="E736" s="298"/>
      <c r="F736" s="296"/>
      <c r="G736" s="296"/>
      <c r="H736" s="296"/>
      <c r="I736" s="296"/>
      <c r="J736" s="296"/>
      <c r="K736" s="296"/>
      <c r="L736" s="296"/>
      <c r="M736" s="299"/>
      <c r="N736" s="299"/>
      <c r="O736" s="299"/>
      <c r="P736" s="299"/>
      <c r="Q736" s="299"/>
      <c r="R736" s="299"/>
      <c r="S736" s="299"/>
      <c r="T736" s="299"/>
      <c r="U736" s="299"/>
      <c r="V736" s="299"/>
      <c r="W736" s="299"/>
      <c r="X736" s="299"/>
      <c r="Y736" s="299"/>
      <c r="Z736" s="299"/>
      <c r="AA736" s="299"/>
      <c r="AB736" s="299"/>
      <c r="AC736" s="300"/>
      <c r="AD736" s="300"/>
    </row>
    <row r="737" spans="1:30" ht="12.75" customHeight="1" x14ac:dyDescent="0.2">
      <c r="A737" s="296"/>
      <c r="B737" s="296"/>
      <c r="C737" s="296"/>
      <c r="D737" s="298"/>
      <c r="E737" s="298"/>
      <c r="F737" s="296"/>
      <c r="G737" s="296"/>
      <c r="H737" s="296"/>
      <c r="I737" s="296"/>
      <c r="J737" s="296"/>
      <c r="K737" s="296"/>
      <c r="L737" s="296"/>
      <c r="M737" s="299"/>
      <c r="N737" s="299"/>
      <c r="O737" s="299"/>
      <c r="P737" s="299"/>
      <c r="Q737" s="299"/>
      <c r="R737" s="299"/>
      <c r="S737" s="299"/>
      <c r="T737" s="299"/>
      <c r="U737" s="299"/>
      <c r="V737" s="299"/>
      <c r="W737" s="299"/>
      <c r="X737" s="299"/>
      <c r="Y737" s="299"/>
      <c r="Z737" s="299"/>
      <c r="AA737" s="299"/>
      <c r="AB737" s="299"/>
      <c r="AC737" s="300"/>
      <c r="AD737" s="300"/>
    </row>
    <row r="738" spans="1:30" ht="12.75" customHeight="1" x14ac:dyDescent="0.2">
      <c r="A738" s="296"/>
      <c r="B738" s="296"/>
      <c r="C738" s="296"/>
      <c r="D738" s="298"/>
      <c r="E738" s="298"/>
      <c r="F738" s="296"/>
      <c r="G738" s="296"/>
      <c r="H738" s="296"/>
      <c r="I738" s="296"/>
      <c r="J738" s="296"/>
      <c r="K738" s="296"/>
      <c r="L738" s="296"/>
      <c r="M738" s="299"/>
      <c r="N738" s="299"/>
      <c r="O738" s="299"/>
      <c r="P738" s="299"/>
      <c r="Q738" s="299"/>
      <c r="R738" s="299"/>
      <c r="S738" s="299"/>
      <c r="T738" s="299"/>
      <c r="U738" s="299"/>
      <c r="V738" s="299"/>
      <c r="W738" s="299"/>
      <c r="X738" s="299"/>
      <c r="Y738" s="299"/>
      <c r="Z738" s="299"/>
      <c r="AA738" s="299"/>
      <c r="AB738" s="299"/>
      <c r="AC738" s="300"/>
      <c r="AD738" s="300"/>
    </row>
    <row r="739" spans="1:30" ht="12.75" customHeight="1" x14ac:dyDescent="0.2">
      <c r="A739" s="296"/>
      <c r="B739" s="296"/>
      <c r="C739" s="296"/>
      <c r="D739" s="298"/>
      <c r="E739" s="298"/>
      <c r="F739" s="296"/>
      <c r="G739" s="296"/>
      <c r="H739" s="296"/>
      <c r="I739" s="296"/>
      <c r="J739" s="296"/>
      <c r="K739" s="296"/>
      <c r="L739" s="296"/>
      <c r="M739" s="299"/>
      <c r="N739" s="299"/>
      <c r="O739" s="299"/>
      <c r="P739" s="299"/>
      <c r="Q739" s="299"/>
      <c r="R739" s="299"/>
      <c r="S739" s="299"/>
      <c r="T739" s="299"/>
      <c r="U739" s="299"/>
      <c r="V739" s="299"/>
      <c r="W739" s="299"/>
      <c r="X739" s="299"/>
      <c r="Y739" s="299"/>
      <c r="Z739" s="299"/>
      <c r="AA739" s="299"/>
      <c r="AB739" s="299"/>
      <c r="AC739" s="300"/>
      <c r="AD739" s="300"/>
    </row>
    <row r="740" spans="1:30" ht="12.75" customHeight="1" x14ac:dyDescent="0.2">
      <c r="A740" s="296"/>
      <c r="B740" s="296"/>
      <c r="C740" s="296"/>
      <c r="D740" s="298"/>
      <c r="E740" s="298"/>
      <c r="F740" s="296"/>
      <c r="G740" s="296"/>
      <c r="H740" s="296"/>
      <c r="I740" s="296"/>
      <c r="J740" s="296"/>
      <c r="K740" s="296"/>
      <c r="L740" s="296"/>
      <c r="M740" s="299"/>
      <c r="N740" s="299"/>
      <c r="O740" s="299"/>
      <c r="P740" s="299"/>
      <c r="Q740" s="299"/>
      <c r="R740" s="299"/>
      <c r="S740" s="299"/>
      <c r="T740" s="299"/>
      <c r="U740" s="299"/>
      <c r="V740" s="299"/>
      <c r="W740" s="299"/>
      <c r="X740" s="299"/>
      <c r="Y740" s="299"/>
      <c r="Z740" s="299"/>
      <c r="AA740" s="299"/>
      <c r="AB740" s="299"/>
      <c r="AC740" s="300"/>
      <c r="AD740" s="300"/>
    </row>
    <row r="741" spans="1:30" ht="12.75" customHeight="1" x14ac:dyDescent="0.2">
      <c r="A741" s="296"/>
      <c r="B741" s="296"/>
      <c r="C741" s="296"/>
      <c r="D741" s="298"/>
      <c r="E741" s="298"/>
      <c r="F741" s="296"/>
      <c r="G741" s="296"/>
      <c r="H741" s="296"/>
      <c r="I741" s="296"/>
      <c r="J741" s="296"/>
      <c r="K741" s="296"/>
      <c r="L741" s="296"/>
      <c r="M741" s="299"/>
      <c r="N741" s="299"/>
      <c r="O741" s="299"/>
      <c r="P741" s="299"/>
      <c r="Q741" s="299"/>
      <c r="R741" s="299"/>
      <c r="S741" s="299"/>
      <c r="T741" s="299"/>
      <c r="U741" s="299"/>
      <c r="V741" s="299"/>
      <c r="W741" s="299"/>
      <c r="X741" s="299"/>
      <c r="Y741" s="299"/>
      <c r="Z741" s="299"/>
      <c r="AA741" s="299"/>
      <c r="AB741" s="299"/>
      <c r="AC741" s="300"/>
      <c r="AD741" s="300"/>
    </row>
    <row r="742" spans="1:30" ht="12.75" customHeight="1" x14ac:dyDescent="0.2">
      <c r="A742" s="296"/>
      <c r="B742" s="296"/>
      <c r="C742" s="296"/>
      <c r="D742" s="298"/>
      <c r="E742" s="298"/>
      <c r="F742" s="296"/>
      <c r="G742" s="296"/>
      <c r="H742" s="296"/>
      <c r="I742" s="296"/>
      <c r="J742" s="296"/>
      <c r="K742" s="296"/>
      <c r="L742" s="296"/>
      <c r="M742" s="299"/>
      <c r="N742" s="299"/>
      <c r="O742" s="299"/>
      <c r="P742" s="299"/>
      <c r="Q742" s="299"/>
      <c r="R742" s="299"/>
      <c r="S742" s="299"/>
      <c r="T742" s="299"/>
      <c r="U742" s="299"/>
      <c r="V742" s="299"/>
      <c r="W742" s="299"/>
      <c r="X742" s="299"/>
      <c r="Y742" s="299"/>
      <c r="Z742" s="299"/>
      <c r="AA742" s="299"/>
      <c r="AB742" s="299"/>
      <c r="AC742" s="300"/>
      <c r="AD742" s="300"/>
    </row>
    <row r="743" spans="1:30" ht="12.75" customHeight="1" x14ac:dyDescent="0.2">
      <c r="A743" s="296"/>
      <c r="B743" s="296"/>
      <c r="C743" s="296"/>
      <c r="D743" s="298"/>
      <c r="E743" s="298"/>
      <c r="F743" s="296"/>
      <c r="G743" s="296"/>
      <c r="H743" s="296"/>
      <c r="I743" s="296"/>
      <c r="J743" s="296"/>
      <c r="K743" s="296"/>
      <c r="L743" s="296"/>
      <c r="M743" s="299"/>
      <c r="N743" s="299"/>
      <c r="O743" s="299"/>
      <c r="P743" s="299"/>
      <c r="Q743" s="299"/>
      <c r="R743" s="299"/>
      <c r="S743" s="299"/>
      <c r="T743" s="299"/>
      <c r="U743" s="299"/>
      <c r="V743" s="299"/>
      <c r="W743" s="299"/>
      <c r="X743" s="299"/>
      <c r="Y743" s="299"/>
      <c r="Z743" s="299"/>
      <c r="AA743" s="299"/>
      <c r="AB743" s="299"/>
      <c r="AC743" s="300"/>
      <c r="AD743" s="300"/>
    </row>
    <row r="744" spans="1:30" ht="12.75" customHeight="1" x14ac:dyDescent="0.2">
      <c r="A744" s="296"/>
      <c r="B744" s="296"/>
      <c r="C744" s="296"/>
      <c r="D744" s="298"/>
      <c r="E744" s="298"/>
      <c r="F744" s="296"/>
      <c r="G744" s="296"/>
      <c r="H744" s="296"/>
      <c r="I744" s="296"/>
      <c r="J744" s="296"/>
      <c r="K744" s="296"/>
      <c r="L744" s="296"/>
      <c r="M744" s="299"/>
      <c r="N744" s="299"/>
      <c r="O744" s="299"/>
      <c r="P744" s="299"/>
      <c r="Q744" s="299"/>
      <c r="R744" s="299"/>
      <c r="S744" s="299"/>
      <c r="T744" s="299"/>
      <c r="U744" s="299"/>
      <c r="V744" s="299"/>
      <c r="W744" s="299"/>
      <c r="X744" s="299"/>
      <c r="Y744" s="299"/>
      <c r="Z744" s="299"/>
      <c r="AA744" s="299"/>
      <c r="AB744" s="299"/>
      <c r="AC744" s="300"/>
      <c r="AD744" s="300"/>
    </row>
    <row r="745" spans="1:30" ht="12.75" customHeight="1" x14ac:dyDescent="0.2">
      <c r="A745" s="296"/>
      <c r="B745" s="296"/>
      <c r="C745" s="296"/>
      <c r="D745" s="298"/>
      <c r="E745" s="298"/>
      <c r="F745" s="296"/>
      <c r="G745" s="296"/>
      <c r="H745" s="296"/>
      <c r="I745" s="296"/>
      <c r="J745" s="296"/>
      <c r="K745" s="296"/>
      <c r="L745" s="296"/>
      <c r="M745" s="299"/>
      <c r="N745" s="299"/>
      <c r="O745" s="299"/>
      <c r="P745" s="299"/>
      <c r="Q745" s="299"/>
      <c r="R745" s="299"/>
      <c r="S745" s="299"/>
      <c r="T745" s="299"/>
      <c r="U745" s="299"/>
      <c r="V745" s="299"/>
      <c r="W745" s="299"/>
      <c r="X745" s="299"/>
      <c r="Y745" s="299"/>
      <c r="Z745" s="299"/>
      <c r="AA745" s="299"/>
      <c r="AB745" s="299"/>
      <c r="AC745" s="300"/>
      <c r="AD745" s="300"/>
    </row>
    <row r="746" spans="1:30" ht="12.75" customHeight="1" x14ac:dyDescent="0.2">
      <c r="A746" s="296"/>
      <c r="B746" s="296"/>
      <c r="C746" s="296"/>
      <c r="D746" s="298"/>
      <c r="E746" s="298"/>
      <c r="F746" s="296"/>
      <c r="G746" s="296"/>
      <c r="H746" s="296"/>
      <c r="I746" s="296"/>
      <c r="J746" s="296"/>
      <c r="K746" s="296"/>
      <c r="L746" s="296"/>
      <c r="M746" s="299"/>
      <c r="N746" s="299"/>
      <c r="O746" s="299"/>
      <c r="P746" s="299"/>
      <c r="Q746" s="299"/>
      <c r="R746" s="299"/>
      <c r="S746" s="299"/>
      <c r="T746" s="299"/>
      <c r="U746" s="299"/>
      <c r="V746" s="299"/>
      <c r="W746" s="299"/>
      <c r="X746" s="299"/>
      <c r="Y746" s="299"/>
      <c r="Z746" s="299"/>
      <c r="AA746" s="299"/>
      <c r="AB746" s="299"/>
      <c r="AC746" s="300"/>
      <c r="AD746" s="300"/>
    </row>
    <row r="747" spans="1:30" ht="12.75" customHeight="1" x14ac:dyDescent="0.2">
      <c r="A747" s="296"/>
      <c r="B747" s="296"/>
      <c r="C747" s="296"/>
      <c r="D747" s="298"/>
      <c r="E747" s="298"/>
      <c r="F747" s="296"/>
      <c r="G747" s="296"/>
      <c r="H747" s="296"/>
      <c r="I747" s="296"/>
      <c r="J747" s="296"/>
      <c r="K747" s="296"/>
      <c r="L747" s="296"/>
      <c r="M747" s="299"/>
      <c r="N747" s="299"/>
      <c r="O747" s="299"/>
      <c r="P747" s="299"/>
      <c r="Q747" s="299"/>
      <c r="R747" s="299"/>
      <c r="S747" s="299"/>
      <c r="T747" s="299"/>
      <c r="U747" s="299"/>
      <c r="V747" s="299"/>
      <c r="W747" s="299"/>
      <c r="X747" s="299"/>
      <c r="Y747" s="299"/>
      <c r="Z747" s="299"/>
      <c r="AA747" s="299"/>
      <c r="AB747" s="299"/>
      <c r="AC747" s="300"/>
      <c r="AD747" s="300"/>
    </row>
    <row r="748" spans="1:30" ht="12.75" customHeight="1" x14ac:dyDescent="0.2">
      <c r="A748" s="296"/>
      <c r="B748" s="296"/>
      <c r="C748" s="296"/>
      <c r="D748" s="298"/>
      <c r="E748" s="298"/>
      <c r="F748" s="296"/>
      <c r="G748" s="296"/>
      <c r="H748" s="296"/>
      <c r="I748" s="296"/>
      <c r="J748" s="296"/>
      <c r="K748" s="296"/>
      <c r="L748" s="296"/>
      <c r="M748" s="299"/>
      <c r="N748" s="299"/>
      <c r="O748" s="299"/>
      <c r="P748" s="299"/>
      <c r="Q748" s="299"/>
      <c r="R748" s="299"/>
      <c r="S748" s="299"/>
      <c r="T748" s="299"/>
      <c r="U748" s="299"/>
      <c r="V748" s="299"/>
      <c r="W748" s="299"/>
      <c r="X748" s="299"/>
      <c r="Y748" s="299"/>
      <c r="Z748" s="299"/>
      <c r="AA748" s="299"/>
      <c r="AB748" s="299"/>
      <c r="AC748" s="300"/>
      <c r="AD748" s="300"/>
    </row>
    <row r="749" spans="1:30" ht="12.75" customHeight="1" x14ac:dyDescent="0.2">
      <c r="A749" s="296"/>
      <c r="B749" s="296"/>
      <c r="C749" s="296"/>
      <c r="D749" s="298"/>
      <c r="E749" s="298"/>
      <c r="F749" s="296"/>
      <c r="G749" s="296"/>
      <c r="H749" s="296"/>
      <c r="I749" s="296"/>
      <c r="J749" s="296"/>
      <c r="K749" s="296"/>
      <c r="L749" s="296"/>
      <c r="M749" s="299"/>
      <c r="N749" s="299"/>
      <c r="O749" s="299"/>
      <c r="P749" s="299"/>
      <c r="Q749" s="299"/>
      <c r="R749" s="299"/>
      <c r="S749" s="299"/>
      <c r="T749" s="299"/>
      <c r="U749" s="299"/>
      <c r="V749" s="299"/>
      <c r="W749" s="299"/>
      <c r="X749" s="299"/>
      <c r="Y749" s="299"/>
      <c r="Z749" s="299"/>
      <c r="AA749" s="299"/>
      <c r="AB749" s="299"/>
      <c r="AC749" s="300"/>
      <c r="AD749" s="300"/>
    </row>
    <row r="750" spans="1:30" ht="12.75" customHeight="1" x14ac:dyDescent="0.2">
      <c r="A750" s="296"/>
      <c r="B750" s="296"/>
      <c r="C750" s="296"/>
      <c r="D750" s="298"/>
      <c r="E750" s="298"/>
      <c r="F750" s="296"/>
      <c r="G750" s="296"/>
      <c r="H750" s="296"/>
      <c r="I750" s="296"/>
      <c r="J750" s="296"/>
      <c r="K750" s="296"/>
      <c r="L750" s="296"/>
      <c r="M750" s="299"/>
      <c r="N750" s="299"/>
      <c r="O750" s="299"/>
      <c r="P750" s="299"/>
      <c r="Q750" s="299"/>
      <c r="R750" s="299"/>
      <c r="S750" s="299"/>
      <c r="T750" s="299"/>
      <c r="U750" s="299"/>
      <c r="V750" s="299"/>
      <c r="W750" s="299"/>
      <c r="X750" s="299"/>
      <c r="Y750" s="299"/>
      <c r="Z750" s="299"/>
      <c r="AA750" s="299"/>
      <c r="AB750" s="299"/>
      <c r="AC750" s="300"/>
      <c r="AD750" s="300"/>
    </row>
    <row r="751" spans="1:30" ht="12.75" customHeight="1" x14ac:dyDescent="0.2">
      <c r="A751" s="296"/>
      <c r="B751" s="296"/>
      <c r="C751" s="296"/>
      <c r="D751" s="298"/>
      <c r="E751" s="298"/>
      <c r="F751" s="296"/>
      <c r="G751" s="296"/>
      <c r="H751" s="296"/>
      <c r="I751" s="296"/>
      <c r="J751" s="296"/>
      <c r="K751" s="296"/>
      <c r="L751" s="296"/>
      <c r="M751" s="299"/>
      <c r="N751" s="299"/>
      <c r="O751" s="299"/>
      <c r="P751" s="299"/>
      <c r="Q751" s="299"/>
      <c r="R751" s="299"/>
      <c r="S751" s="299"/>
      <c r="T751" s="299"/>
      <c r="U751" s="299"/>
      <c r="V751" s="299"/>
      <c r="W751" s="299"/>
      <c r="X751" s="299"/>
      <c r="Y751" s="299"/>
      <c r="Z751" s="299"/>
      <c r="AA751" s="299"/>
      <c r="AB751" s="299"/>
      <c r="AC751" s="300"/>
      <c r="AD751" s="300"/>
    </row>
    <row r="752" spans="1:30" ht="12.75" customHeight="1" x14ac:dyDescent="0.2">
      <c r="A752" s="296"/>
      <c r="B752" s="296"/>
      <c r="C752" s="296"/>
      <c r="D752" s="298"/>
      <c r="E752" s="298"/>
      <c r="F752" s="296"/>
      <c r="G752" s="296"/>
      <c r="H752" s="296"/>
      <c r="I752" s="296"/>
      <c r="J752" s="296"/>
      <c r="K752" s="296"/>
      <c r="L752" s="296"/>
      <c r="M752" s="299"/>
      <c r="N752" s="299"/>
      <c r="O752" s="299"/>
      <c r="P752" s="299"/>
      <c r="Q752" s="299"/>
      <c r="R752" s="299"/>
      <c r="S752" s="299"/>
      <c r="T752" s="299"/>
      <c r="U752" s="299"/>
      <c r="V752" s="299"/>
      <c r="W752" s="299"/>
      <c r="X752" s="299"/>
      <c r="Y752" s="299"/>
      <c r="Z752" s="299"/>
      <c r="AA752" s="299"/>
      <c r="AB752" s="299"/>
      <c r="AC752" s="300"/>
      <c r="AD752" s="300"/>
    </row>
    <row r="753" spans="1:30" ht="12.75" customHeight="1" x14ac:dyDescent="0.2">
      <c r="A753" s="296"/>
      <c r="B753" s="296"/>
      <c r="C753" s="296"/>
      <c r="D753" s="298"/>
      <c r="E753" s="298"/>
      <c r="F753" s="296"/>
      <c r="G753" s="296"/>
      <c r="H753" s="296"/>
      <c r="I753" s="296"/>
      <c r="J753" s="296"/>
      <c r="K753" s="296"/>
      <c r="L753" s="296"/>
      <c r="M753" s="299"/>
      <c r="N753" s="299"/>
      <c r="O753" s="299"/>
      <c r="P753" s="299"/>
      <c r="Q753" s="299"/>
      <c r="R753" s="299"/>
      <c r="S753" s="299"/>
      <c r="T753" s="299"/>
      <c r="U753" s="299"/>
      <c r="V753" s="299"/>
      <c r="W753" s="299"/>
      <c r="X753" s="299"/>
      <c r="Y753" s="299"/>
      <c r="Z753" s="299"/>
      <c r="AA753" s="299"/>
      <c r="AB753" s="299"/>
      <c r="AC753" s="300"/>
      <c r="AD753" s="300"/>
    </row>
    <row r="754" spans="1:30" ht="12.75" customHeight="1" x14ac:dyDescent="0.2">
      <c r="A754" s="296"/>
      <c r="B754" s="296"/>
      <c r="C754" s="296"/>
      <c r="D754" s="298"/>
      <c r="E754" s="298"/>
      <c r="F754" s="296"/>
      <c r="G754" s="296"/>
      <c r="H754" s="296"/>
      <c r="I754" s="296"/>
      <c r="J754" s="296"/>
      <c r="K754" s="296"/>
      <c r="L754" s="296"/>
      <c r="M754" s="299"/>
      <c r="N754" s="299"/>
      <c r="O754" s="299"/>
      <c r="P754" s="299"/>
      <c r="Q754" s="299"/>
      <c r="R754" s="299"/>
      <c r="S754" s="299"/>
      <c r="T754" s="299"/>
      <c r="U754" s="299"/>
      <c r="V754" s="299"/>
      <c r="W754" s="299"/>
      <c r="X754" s="299"/>
      <c r="Y754" s="299"/>
      <c r="Z754" s="299"/>
      <c r="AA754" s="299"/>
      <c r="AB754" s="299"/>
      <c r="AC754" s="300"/>
      <c r="AD754" s="300"/>
    </row>
    <row r="755" spans="1:30" ht="12.75" customHeight="1" x14ac:dyDescent="0.2">
      <c r="A755" s="296"/>
      <c r="B755" s="296"/>
      <c r="C755" s="296"/>
      <c r="D755" s="298"/>
      <c r="E755" s="298"/>
      <c r="F755" s="296"/>
      <c r="G755" s="296"/>
      <c r="H755" s="296"/>
      <c r="I755" s="296"/>
      <c r="J755" s="296"/>
      <c r="K755" s="296"/>
      <c r="L755" s="296"/>
      <c r="M755" s="299"/>
      <c r="N755" s="299"/>
      <c r="O755" s="299"/>
      <c r="P755" s="299"/>
      <c r="Q755" s="299"/>
      <c r="R755" s="299"/>
      <c r="S755" s="299"/>
      <c r="T755" s="299"/>
      <c r="U755" s="299"/>
      <c r="V755" s="299"/>
      <c r="W755" s="299"/>
      <c r="X755" s="299"/>
      <c r="Y755" s="299"/>
      <c r="Z755" s="299"/>
      <c r="AA755" s="299"/>
      <c r="AB755" s="299"/>
      <c r="AC755" s="300"/>
      <c r="AD755" s="300"/>
    </row>
    <row r="756" spans="1:30" ht="12.75" customHeight="1" x14ac:dyDescent="0.2">
      <c r="A756" s="296"/>
      <c r="B756" s="296"/>
      <c r="C756" s="296"/>
      <c r="D756" s="298"/>
      <c r="E756" s="298"/>
      <c r="F756" s="296"/>
      <c r="G756" s="296"/>
      <c r="H756" s="296"/>
      <c r="I756" s="296"/>
      <c r="J756" s="296"/>
      <c r="K756" s="296"/>
      <c r="L756" s="296"/>
      <c r="M756" s="299"/>
      <c r="N756" s="299"/>
      <c r="O756" s="299"/>
      <c r="P756" s="299"/>
      <c r="Q756" s="299"/>
      <c r="R756" s="299"/>
      <c r="S756" s="299"/>
      <c r="T756" s="299"/>
      <c r="U756" s="299"/>
      <c r="V756" s="299"/>
      <c r="W756" s="299"/>
      <c r="X756" s="299"/>
      <c r="Y756" s="299"/>
      <c r="Z756" s="299"/>
      <c r="AA756" s="299"/>
      <c r="AB756" s="299"/>
      <c r="AC756" s="300"/>
      <c r="AD756" s="300"/>
    </row>
    <row r="757" spans="1:30" ht="12.75" customHeight="1" x14ac:dyDescent="0.2">
      <c r="A757" s="296"/>
      <c r="B757" s="296"/>
      <c r="C757" s="296"/>
      <c r="D757" s="298"/>
      <c r="E757" s="298"/>
      <c r="F757" s="296"/>
      <c r="G757" s="296"/>
      <c r="H757" s="296"/>
      <c r="I757" s="296"/>
      <c r="J757" s="296"/>
      <c r="K757" s="296"/>
      <c r="L757" s="296"/>
      <c r="M757" s="299"/>
      <c r="N757" s="299"/>
      <c r="O757" s="299"/>
      <c r="P757" s="299"/>
      <c r="Q757" s="299"/>
      <c r="R757" s="299"/>
      <c r="S757" s="299"/>
      <c r="T757" s="299"/>
      <c r="U757" s="299"/>
      <c r="V757" s="299"/>
      <c r="W757" s="299"/>
      <c r="X757" s="299"/>
      <c r="Y757" s="299"/>
      <c r="Z757" s="299"/>
      <c r="AA757" s="299"/>
      <c r="AB757" s="299"/>
      <c r="AC757" s="300"/>
      <c r="AD757" s="300"/>
    </row>
    <row r="758" spans="1:30" ht="12.75" customHeight="1" x14ac:dyDescent="0.2">
      <c r="A758" s="296"/>
      <c r="B758" s="296"/>
      <c r="C758" s="296"/>
      <c r="D758" s="298"/>
      <c r="E758" s="298"/>
      <c r="F758" s="296"/>
      <c r="G758" s="296"/>
      <c r="H758" s="296"/>
      <c r="I758" s="296"/>
      <c r="J758" s="296"/>
      <c r="K758" s="296"/>
      <c r="L758" s="296"/>
      <c r="M758" s="299"/>
      <c r="N758" s="299"/>
      <c r="O758" s="299"/>
      <c r="P758" s="299"/>
      <c r="Q758" s="299"/>
      <c r="R758" s="299"/>
      <c r="S758" s="299"/>
      <c r="T758" s="299"/>
      <c r="U758" s="299"/>
      <c r="V758" s="299"/>
      <c r="W758" s="299"/>
      <c r="X758" s="299"/>
      <c r="Y758" s="299"/>
      <c r="Z758" s="299"/>
      <c r="AA758" s="299"/>
      <c r="AB758" s="299"/>
      <c r="AC758" s="300"/>
      <c r="AD758" s="300"/>
    </row>
    <row r="759" spans="1:30" ht="12.75" customHeight="1" x14ac:dyDescent="0.2">
      <c r="A759" s="296"/>
      <c r="B759" s="296"/>
      <c r="C759" s="296"/>
      <c r="D759" s="298"/>
      <c r="E759" s="298"/>
      <c r="F759" s="296"/>
      <c r="G759" s="296"/>
      <c r="H759" s="296"/>
      <c r="I759" s="296"/>
      <c r="J759" s="296"/>
      <c r="K759" s="296"/>
      <c r="L759" s="296"/>
      <c r="M759" s="299"/>
      <c r="N759" s="299"/>
      <c r="O759" s="299"/>
      <c r="P759" s="299"/>
      <c r="Q759" s="299"/>
      <c r="R759" s="299"/>
      <c r="S759" s="299"/>
      <c r="T759" s="299"/>
      <c r="U759" s="299"/>
      <c r="V759" s="299"/>
      <c r="W759" s="299"/>
      <c r="X759" s="299"/>
      <c r="Y759" s="299"/>
      <c r="Z759" s="299"/>
      <c r="AA759" s="299"/>
      <c r="AB759" s="299"/>
      <c r="AC759" s="300"/>
      <c r="AD759" s="300"/>
    </row>
    <row r="760" spans="1:30" ht="12.75" customHeight="1" x14ac:dyDescent="0.2">
      <c r="A760" s="296"/>
      <c r="B760" s="296"/>
      <c r="C760" s="296"/>
      <c r="D760" s="298"/>
      <c r="E760" s="298"/>
      <c r="F760" s="296"/>
      <c r="G760" s="296"/>
      <c r="H760" s="296"/>
      <c r="I760" s="296"/>
      <c r="J760" s="296"/>
      <c r="K760" s="296"/>
      <c r="L760" s="296"/>
      <c r="M760" s="299"/>
      <c r="N760" s="299"/>
      <c r="O760" s="299"/>
      <c r="P760" s="299"/>
      <c r="Q760" s="299"/>
      <c r="R760" s="299"/>
      <c r="S760" s="299"/>
      <c r="T760" s="299"/>
      <c r="U760" s="299"/>
      <c r="V760" s="299"/>
      <c r="W760" s="299"/>
      <c r="X760" s="299"/>
      <c r="Y760" s="299"/>
      <c r="Z760" s="299"/>
      <c r="AA760" s="299"/>
      <c r="AB760" s="299"/>
      <c r="AC760" s="300"/>
      <c r="AD760" s="300"/>
    </row>
    <row r="761" spans="1:30" ht="12.75" customHeight="1" x14ac:dyDescent="0.2">
      <c r="A761" s="296"/>
      <c r="B761" s="296"/>
      <c r="C761" s="296"/>
      <c r="D761" s="298"/>
      <c r="E761" s="298"/>
      <c r="F761" s="296"/>
      <c r="G761" s="296"/>
      <c r="H761" s="296"/>
      <c r="I761" s="296"/>
      <c r="J761" s="296"/>
      <c r="K761" s="296"/>
      <c r="L761" s="296"/>
      <c r="M761" s="299"/>
      <c r="N761" s="299"/>
      <c r="O761" s="299"/>
      <c r="P761" s="299"/>
      <c r="Q761" s="299"/>
      <c r="R761" s="299"/>
      <c r="S761" s="299"/>
      <c r="T761" s="299"/>
      <c r="U761" s="299"/>
      <c r="V761" s="299"/>
      <c r="W761" s="299"/>
      <c r="X761" s="299"/>
      <c r="Y761" s="299"/>
      <c r="Z761" s="299"/>
      <c r="AA761" s="299"/>
      <c r="AB761" s="299"/>
      <c r="AC761" s="300"/>
      <c r="AD761" s="300"/>
    </row>
    <row r="762" spans="1:30" ht="12.75" customHeight="1" x14ac:dyDescent="0.2">
      <c r="A762" s="296"/>
      <c r="B762" s="296"/>
      <c r="C762" s="296"/>
      <c r="D762" s="298"/>
      <c r="E762" s="298"/>
      <c r="F762" s="296"/>
      <c r="G762" s="296"/>
      <c r="H762" s="296"/>
      <c r="I762" s="296"/>
      <c r="J762" s="296"/>
      <c r="K762" s="296"/>
      <c r="L762" s="296"/>
      <c r="M762" s="299"/>
      <c r="N762" s="299"/>
      <c r="O762" s="299"/>
      <c r="P762" s="299"/>
      <c r="Q762" s="299"/>
      <c r="R762" s="299"/>
      <c r="S762" s="299"/>
      <c r="T762" s="299"/>
      <c r="U762" s="299"/>
      <c r="V762" s="299"/>
      <c r="W762" s="299"/>
      <c r="X762" s="299"/>
      <c r="Y762" s="299"/>
      <c r="Z762" s="299"/>
      <c r="AA762" s="299"/>
      <c r="AB762" s="299"/>
      <c r="AC762" s="300"/>
      <c r="AD762" s="300"/>
    </row>
    <row r="763" spans="1:30" ht="12.75" customHeight="1" x14ac:dyDescent="0.2">
      <c r="A763" s="296"/>
      <c r="B763" s="296"/>
      <c r="C763" s="296"/>
      <c r="D763" s="298"/>
      <c r="E763" s="298"/>
      <c r="F763" s="296"/>
      <c r="G763" s="296"/>
      <c r="H763" s="296"/>
      <c r="I763" s="296"/>
      <c r="J763" s="296"/>
      <c r="K763" s="296"/>
      <c r="L763" s="296"/>
      <c r="M763" s="299"/>
      <c r="N763" s="299"/>
      <c r="O763" s="299"/>
      <c r="P763" s="299"/>
      <c r="Q763" s="299"/>
      <c r="R763" s="299"/>
      <c r="S763" s="299"/>
      <c r="T763" s="299"/>
      <c r="U763" s="299"/>
      <c r="V763" s="299"/>
      <c r="W763" s="299"/>
      <c r="X763" s="299"/>
      <c r="Y763" s="299"/>
      <c r="Z763" s="299"/>
      <c r="AA763" s="299"/>
      <c r="AB763" s="299"/>
      <c r="AC763" s="300"/>
      <c r="AD763" s="300"/>
    </row>
    <row r="764" spans="1:30" ht="12.75" customHeight="1" x14ac:dyDescent="0.2">
      <c r="A764" s="296"/>
      <c r="B764" s="296"/>
      <c r="C764" s="296"/>
      <c r="D764" s="298"/>
      <c r="E764" s="298"/>
      <c r="F764" s="296"/>
      <c r="G764" s="296"/>
      <c r="H764" s="296"/>
      <c r="I764" s="296"/>
      <c r="J764" s="296"/>
      <c r="K764" s="296"/>
      <c r="L764" s="296"/>
      <c r="M764" s="299"/>
      <c r="N764" s="299"/>
      <c r="O764" s="299"/>
      <c r="P764" s="299"/>
      <c r="Q764" s="299"/>
      <c r="R764" s="299"/>
      <c r="S764" s="299"/>
      <c r="T764" s="299"/>
      <c r="U764" s="299"/>
      <c r="V764" s="299"/>
      <c r="W764" s="299"/>
      <c r="X764" s="299"/>
      <c r="Y764" s="299"/>
      <c r="Z764" s="299"/>
      <c r="AA764" s="299"/>
      <c r="AB764" s="299"/>
      <c r="AC764" s="300"/>
      <c r="AD764" s="300"/>
    </row>
    <row r="765" spans="1:30" ht="12.75" customHeight="1" x14ac:dyDescent="0.2">
      <c r="A765" s="296"/>
      <c r="B765" s="296"/>
      <c r="C765" s="296"/>
      <c r="D765" s="298"/>
      <c r="E765" s="298"/>
      <c r="F765" s="296"/>
      <c r="G765" s="296"/>
      <c r="H765" s="296"/>
      <c r="I765" s="296"/>
      <c r="J765" s="296"/>
      <c r="K765" s="296"/>
      <c r="L765" s="296"/>
      <c r="M765" s="299"/>
      <c r="N765" s="299"/>
      <c r="O765" s="299"/>
      <c r="P765" s="299"/>
      <c r="Q765" s="299"/>
      <c r="R765" s="299"/>
      <c r="S765" s="299"/>
      <c r="T765" s="299"/>
      <c r="U765" s="299"/>
      <c r="V765" s="299"/>
      <c r="W765" s="299"/>
      <c r="X765" s="299"/>
      <c r="Y765" s="299"/>
      <c r="Z765" s="299"/>
      <c r="AA765" s="299"/>
      <c r="AB765" s="299"/>
      <c r="AC765" s="300"/>
      <c r="AD765" s="300"/>
    </row>
    <row r="766" spans="1:30" ht="12.75" customHeight="1" x14ac:dyDescent="0.2">
      <c r="A766" s="296"/>
      <c r="B766" s="296"/>
      <c r="C766" s="296"/>
      <c r="D766" s="298"/>
      <c r="E766" s="298"/>
      <c r="F766" s="296"/>
      <c r="G766" s="296"/>
      <c r="H766" s="296"/>
      <c r="I766" s="296"/>
      <c r="J766" s="296"/>
      <c r="K766" s="296"/>
      <c r="L766" s="296"/>
      <c r="M766" s="299"/>
      <c r="N766" s="299"/>
      <c r="O766" s="299"/>
      <c r="P766" s="299"/>
      <c r="Q766" s="299"/>
      <c r="R766" s="299"/>
      <c r="S766" s="299"/>
      <c r="T766" s="299"/>
      <c r="U766" s="299"/>
      <c r="V766" s="299"/>
      <c r="W766" s="299"/>
      <c r="X766" s="299"/>
      <c r="Y766" s="299"/>
      <c r="Z766" s="299"/>
      <c r="AA766" s="299"/>
      <c r="AB766" s="299"/>
      <c r="AC766" s="300"/>
      <c r="AD766" s="300"/>
    </row>
    <row r="767" spans="1:30" ht="12.75" customHeight="1" x14ac:dyDescent="0.2">
      <c r="A767" s="296"/>
      <c r="B767" s="296"/>
      <c r="C767" s="296"/>
      <c r="D767" s="298"/>
      <c r="E767" s="298"/>
      <c r="F767" s="296"/>
      <c r="G767" s="296"/>
      <c r="H767" s="296"/>
      <c r="I767" s="296"/>
      <c r="J767" s="296"/>
      <c r="K767" s="296"/>
      <c r="L767" s="296"/>
      <c r="M767" s="299"/>
      <c r="N767" s="299"/>
      <c r="O767" s="299"/>
      <c r="P767" s="299"/>
      <c r="Q767" s="299"/>
      <c r="R767" s="299"/>
      <c r="S767" s="299"/>
      <c r="T767" s="299"/>
      <c r="U767" s="299"/>
      <c r="V767" s="299"/>
      <c r="W767" s="299"/>
      <c r="X767" s="299"/>
      <c r="Y767" s="299"/>
      <c r="Z767" s="299"/>
      <c r="AA767" s="299"/>
      <c r="AB767" s="299"/>
      <c r="AC767" s="300"/>
      <c r="AD767" s="300"/>
    </row>
    <row r="768" spans="1:30" ht="12.75" customHeight="1" x14ac:dyDescent="0.2">
      <c r="A768" s="296"/>
      <c r="B768" s="296"/>
      <c r="C768" s="296"/>
      <c r="D768" s="298"/>
      <c r="E768" s="298"/>
      <c r="F768" s="296"/>
      <c r="G768" s="296"/>
      <c r="H768" s="296"/>
      <c r="I768" s="296"/>
      <c r="J768" s="296"/>
      <c r="K768" s="296"/>
      <c r="L768" s="296"/>
      <c r="M768" s="299"/>
      <c r="N768" s="299"/>
      <c r="O768" s="299"/>
      <c r="P768" s="299"/>
      <c r="Q768" s="299"/>
      <c r="R768" s="299"/>
      <c r="S768" s="299"/>
      <c r="T768" s="299"/>
      <c r="U768" s="299"/>
      <c r="V768" s="299"/>
      <c r="W768" s="299"/>
      <c r="X768" s="299"/>
      <c r="Y768" s="299"/>
      <c r="Z768" s="299"/>
      <c r="AA768" s="299"/>
      <c r="AB768" s="299"/>
      <c r="AC768" s="300"/>
      <c r="AD768" s="300"/>
    </row>
    <row r="769" spans="1:30" ht="12.75" customHeight="1" x14ac:dyDescent="0.2">
      <c r="A769" s="296"/>
      <c r="B769" s="296"/>
      <c r="C769" s="296"/>
      <c r="D769" s="298"/>
      <c r="E769" s="298"/>
      <c r="F769" s="296"/>
      <c r="G769" s="296"/>
      <c r="H769" s="296"/>
      <c r="I769" s="296"/>
      <c r="J769" s="296"/>
      <c r="K769" s="296"/>
      <c r="L769" s="296"/>
      <c r="M769" s="299"/>
      <c r="N769" s="299"/>
      <c r="O769" s="299"/>
      <c r="P769" s="299"/>
      <c r="Q769" s="299"/>
      <c r="R769" s="299"/>
      <c r="S769" s="299"/>
      <c r="T769" s="299"/>
      <c r="U769" s="299"/>
      <c r="V769" s="299"/>
      <c r="W769" s="299"/>
      <c r="X769" s="299"/>
      <c r="Y769" s="299"/>
      <c r="Z769" s="299"/>
      <c r="AA769" s="299"/>
      <c r="AB769" s="299"/>
      <c r="AC769" s="300"/>
      <c r="AD769" s="300"/>
    </row>
    <row r="770" spans="1:30" ht="12.75" customHeight="1" x14ac:dyDescent="0.2">
      <c r="A770" s="296"/>
      <c r="B770" s="296"/>
      <c r="C770" s="296"/>
      <c r="D770" s="298"/>
      <c r="E770" s="298"/>
      <c r="F770" s="296"/>
      <c r="G770" s="296"/>
      <c r="H770" s="296"/>
      <c r="I770" s="296"/>
      <c r="J770" s="296"/>
      <c r="K770" s="296"/>
      <c r="L770" s="296"/>
      <c r="M770" s="299"/>
      <c r="N770" s="299"/>
      <c r="O770" s="299"/>
      <c r="P770" s="299"/>
      <c r="Q770" s="299"/>
      <c r="R770" s="299"/>
      <c r="S770" s="299"/>
      <c r="T770" s="299"/>
      <c r="U770" s="299"/>
      <c r="V770" s="299"/>
      <c r="W770" s="299"/>
      <c r="X770" s="299"/>
      <c r="Y770" s="299"/>
      <c r="Z770" s="299"/>
      <c r="AA770" s="299"/>
      <c r="AB770" s="299"/>
      <c r="AC770" s="300"/>
      <c r="AD770" s="300"/>
    </row>
    <row r="771" spans="1:30" ht="12.75" customHeight="1" x14ac:dyDescent="0.2">
      <c r="A771" s="296"/>
      <c r="B771" s="296"/>
      <c r="C771" s="296"/>
      <c r="D771" s="298"/>
      <c r="E771" s="298"/>
      <c r="F771" s="296"/>
      <c r="G771" s="296"/>
      <c r="H771" s="296"/>
      <c r="I771" s="296"/>
      <c r="J771" s="296"/>
      <c r="K771" s="296"/>
      <c r="L771" s="296"/>
      <c r="M771" s="299"/>
      <c r="N771" s="299"/>
      <c r="O771" s="299"/>
      <c r="P771" s="299"/>
      <c r="Q771" s="299"/>
      <c r="R771" s="299"/>
      <c r="S771" s="299"/>
      <c r="T771" s="299"/>
      <c r="U771" s="299"/>
      <c r="V771" s="299"/>
      <c r="W771" s="299"/>
      <c r="X771" s="299"/>
      <c r="Y771" s="299"/>
      <c r="Z771" s="299"/>
      <c r="AA771" s="299"/>
      <c r="AB771" s="299"/>
      <c r="AC771" s="300"/>
      <c r="AD771" s="300"/>
    </row>
    <row r="772" spans="1:30" ht="12.75" customHeight="1" x14ac:dyDescent="0.2">
      <c r="A772" s="296"/>
      <c r="B772" s="296"/>
      <c r="C772" s="296"/>
      <c r="D772" s="298"/>
      <c r="E772" s="298"/>
      <c r="F772" s="296"/>
      <c r="G772" s="296"/>
      <c r="H772" s="296"/>
      <c r="I772" s="296"/>
      <c r="J772" s="296"/>
      <c r="K772" s="296"/>
      <c r="L772" s="296"/>
      <c r="M772" s="299"/>
      <c r="N772" s="299"/>
      <c r="O772" s="299"/>
      <c r="P772" s="299"/>
      <c r="Q772" s="299"/>
      <c r="R772" s="299"/>
      <c r="S772" s="299"/>
      <c r="T772" s="299"/>
      <c r="U772" s="299"/>
      <c r="V772" s="299"/>
      <c r="W772" s="299"/>
      <c r="X772" s="299"/>
      <c r="Y772" s="299"/>
      <c r="Z772" s="299"/>
      <c r="AA772" s="299"/>
      <c r="AB772" s="299"/>
      <c r="AC772" s="300"/>
      <c r="AD772" s="300"/>
    </row>
    <row r="773" spans="1:30" ht="12.75" customHeight="1" x14ac:dyDescent="0.2">
      <c r="A773" s="296"/>
      <c r="B773" s="296"/>
      <c r="C773" s="296"/>
      <c r="D773" s="298"/>
      <c r="E773" s="298"/>
      <c r="F773" s="296"/>
      <c r="G773" s="296"/>
      <c r="H773" s="296"/>
      <c r="I773" s="296"/>
      <c r="J773" s="296"/>
      <c r="K773" s="296"/>
      <c r="L773" s="296"/>
      <c r="M773" s="299"/>
      <c r="N773" s="299"/>
      <c r="O773" s="299"/>
      <c r="P773" s="299"/>
      <c r="Q773" s="299"/>
      <c r="R773" s="299"/>
      <c r="S773" s="299"/>
      <c r="T773" s="299"/>
      <c r="U773" s="299"/>
      <c r="V773" s="299"/>
      <c r="W773" s="299"/>
      <c r="X773" s="299"/>
      <c r="Y773" s="299"/>
      <c r="Z773" s="299"/>
      <c r="AA773" s="299"/>
      <c r="AB773" s="299"/>
      <c r="AC773" s="300"/>
      <c r="AD773" s="300"/>
    </row>
    <row r="774" spans="1:30" ht="12.75" customHeight="1" x14ac:dyDescent="0.2">
      <c r="A774" s="296"/>
      <c r="B774" s="296"/>
      <c r="C774" s="296"/>
      <c r="D774" s="298"/>
      <c r="E774" s="298"/>
      <c r="F774" s="296"/>
      <c r="G774" s="296"/>
      <c r="H774" s="296"/>
      <c r="I774" s="296"/>
      <c r="J774" s="296"/>
      <c r="K774" s="296"/>
      <c r="L774" s="296"/>
      <c r="M774" s="299"/>
      <c r="N774" s="299"/>
      <c r="O774" s="299"/>
      <c r="P774" s="299"/>
      <c r="Q774" s="299"/>
      <c r="R774" s="299"/>
      <c r="S774" s="299"/>
      <c r="T774" s="299"/>
      <c r="U774" s="299"/>
      <c r="V774" s="299"/>
      <c r="W774" s="299"/>
      <c r="X774" s="299"/>
      <c r="Y774" s="299"/>
      <c r="Z774" s="299"/>
      <c r="AA774" s="299"/>
      <c r="AB774" s="299"/>
      <c r="AC774" s="300"/>
      <c r="AD774" s="300"/>
    </row>
    <row r="775" spans="1:30" ht="12.75" customHeight="1" x14ac:dyDescent="0.2">
      <c r="A775" s="296"/>
      <c r="B775" s="296"/>
      <c r="C775" s="296"/>
      <c r="D775" s="298"/>
      <c r="E775" s="298"/>
      <c r="F775" s="296"/>
      <c r="G775" s="296"/>
      <c r="H775" s="296"/>
      <c r="I775" s="296"/>
      <c r="J775" s="296"/>
      <c r="K775" s="296"/>
      <c r="L775" s="296"/>
      <c r="M775" s="299"/>
      <c r="N775" s="299"/>
      <c r="O775" s="299"/>
      <c r="P775" s="299"/>
      <c r="Q775" s="299"/>
      <c r="R775" s="299"/>
      <c r="S775" s="299"/>
      <c r="T775" s="299"/>
      <c r="U775" s="299"/>
      <c r="V775" s="299"/>
      <c r="W775" s="299"/>
      <c r="X775" s="299"/>
      <c r="Y775" s="299"/>
      <c r="Z775" s="299"/>
      <c r="AA775" s="299"/>
      <c r="AB775" s="299"/>
      <c r="AC775" s="300"/>
      <c r="AD775" s="300"/>
    </row>
    <row r="776" spans="1:30" ht="12.75" customHeight="1" x14ac:dyDescent="0.2">
      <c r="A776" s="296"/>
      <c r="B776" s="296"/>
      <c r="C776" s="296"/>
      <c r="D776" s="298"/>
      <c r="E776" s="298"/>
      <c r="F776" s="296"/>
      <c r="G776" s="296"/>
      <c r="H776" s="296"/>
      <c r="I776" s="296"/>
      <c r="J776" s="296"/>
      <c r="K776" s="296"/>
      <c r="L776" s="296"/>
      <c r="M776" s="299"/>
      <c r="N776" s="299"/>
      <c r="O776" s="299"/>
      <c r="P776" s="299"/>
      <c r="Q776" s="299"/>
      <c r="R776" s="299"/>
      <c r="S776" s="299"/>
      <c r="T776" s="299"/>
      <c r="U776" s="299"/>
      <c r="V776" s="299"/>
      <c r="W776" s="299"/>
      <c r="X776" s="299"/>
      <c r="Y776" s="299"/>
      <c r="Z776" s="299"/>
      <c r="AA776" s="299"/>
      <c r="AB776" s="299"/>
      <c r="AC776" s="300"/>
      <c r="AD776" s="300"/>
    </row>
    <row r="777" spans="1:30" ht="12.75" customHeight="1" x14ac:dyDescent="0.2">
      <c r="A777" s="296"/>
      <c r="B777" s="296"/>
      <c r="C777" s="296"/>
      <c r="D777" s="298"/>
      <c r="E777" s="298"/>
      <c r="F777" s="296"/>
      <c r="G777" s="296"/>
      <c r="H777" s="296"/>
      <c r="I777" s="296"/>
      <c r="J777" s="296"/>
      <c r="K777" s="296"/>
      <c r="L777" s="296"/>
      <c r="M777" s="299"/>
      <c r="N777" s="299"/>
      <c r="O777" s="299"/>
      <c r="P777" s="299"/>
      <c r="Q777" s="299"/>
      <c r="R777" s="299"/>
      <c r="S777" s="299"/>
      <c r="T777" s="299"/>
      <c r="U777" s="299"/>
      <c r="V777" s="299"/>
      <c r="W777" s="299"/>
      <c r="X777" s="299"/>
      <c r="Y777" s="299"/>
      <c r="Z777" s="299"/>
      <c r="AA777" s="299"/>
      <c r="AB777" s="299"/>
      <c r="AC777" s="300"/>
      <c r="AD777" s="300"/>
    </row>
    <row r="778" spans="1:30" ht="12.75" customHeight="1" x14ac:dyDescent="0.2">
      <c r="A778" s="296"/>
      <c r="B778" s="296"/>
      <c r="C778" s="296"/>
      <c r="D778" s="298"/>
      <c r="E778" s="298"/>
      <c r="F778" s="296"/>
      <c r="G778" s="296"/>
      <c r="H778" s="296"/>
      <c r="I778" s="296"/>
      <c r="J778" s="296"/>
      <c r="K778" s="296"/>
      <c r="L778" s="296"/>
      <c r="M778" s="299"/>
      <c r="N778" s="299"/>
      <c r="O778" s="299"/>
      <c r="P778" s="299"/>
      <c r="Q778" s="299"/>
      <c r="R778" s="299"/>
      <c r="S778" s="299"/>
      <c r="T778" s="299"/>
      <c r="U778" s="299"/>
      <c r="V778" s="299"/>
      <c r="W778" s="299"/>
      <c r="X778" s="299"/>
      <c r="Y778" s="299"/>
      <c r="Z778" s="299"/>
      <c r="AA778" s="299"/>
      <c r="AB778" s="299"/>
      <c r="AC778" s="300"/>
      <c r="AD778" s="300"/>
    </row>
    <row r="779" spans="1:30" ht="12.75" customHeight="1" x14ac:dyDescent="0.2">
      <c r="A779" s="296"/>
      <c r="B779" s="296"/>
      <c r="C779" s="296"/>
      <c r="D779" s="298"/>
      <c r="E779" s="298"/>
      <c r="F779" s="296"/>
      <c r="G779" s="296"/>
      <c r="H779" s="296"/>
      <c r="I779" s="296"/>
      <c r="J779" s="296"/>
      <c r="K779" s="296"/>
      <c r="L779" s="296"/>
      <c r="M779" s="299"/>
      <c r="N779" s="299"/>
      <c r="O779" s="299"/>
      <c r="P779" s="299"/>
      <c r="Q779" s="299"/>
      <c r="R779" s="299"/>
      <c r="S779" s="299"/>
      <c r="T779" s="299"/>
      <c r="U779" s="299"/>
      <c r="V779" s="299"/>
      <c r="W779" s="299"/>
      <c r="X779" s="299"/>
      <c r="Y779" s="299"/>
      <c r="Z779" s="299"/>
      <c r="AA779" s="299"/>
      <c r="AB779" s="299"/>
      <c r="AC779" s="300"/>
      <c r="AD779" s="300"/>
    </row>
    <row r="780" spans="1:30" ht="12.75" customHeight="1" x14ac:dyDescent="0.2">
      <c r="A780" s="296"/>
      <c r="B780" s="296"/>
      <c r="C780" s="296"/>
      <c r="D780" s="298"/>
      <c r="E780" s="298"/>
      <c r="F780" s="296"/>
      <c r="G780" s="296"/>
      <c r="H780" s="296"/>
      <c r="I780" s="296"/>
      <c r="J780" s="296"/>
      <c r="K780" s="296"/>
      <c r="L780" s="296"/>
      <c r="M780" s="299"/>
      <c r="N780" s="299"/>
      <c r="O780" s="299"/>
      <c r="P780" s="299"/>
      <c r="Q780" s="299"/>
      <c r="R780" s="299"/>
      <c r="S780" s="299"/>
      <c r="T780" s="299"/>
      <c r="U780" s="299"/>
      <c r="V780" s="299"/>
      <c r="W780" s="299"/>
      <c r="X780" s="299"/>
      <c r="Y780" s="299"/>
      <c r="Z780" s="299"/>
      <c r="AA780" s="299"/>
      <c r="AB780" s="299"/>
      <c r="AC780" s="300"/>
      <c r="AD780" s="300"/>
    </row>
    <row r="781" spans="1:30" ht="12.75" customHeight="1" x14ac:dyDescent="0.2">
      <c r="A781" s="296"/>
      <c r="B781" s="296"/>
      <c r="C781" s="296"/>
      <c r="D781" s="298"/>
      <c r="E781" s="298"/>
      <c r="F781" s="296"/>
      <c r="G781" s="296"/>
      <c r="H781" s="296"/>
      <c r="I781" s="296"/>
      <c r="J781" s="296"/>
      <c r="K781" s="296"/>
      <c r="L781" s="296"/>
      <c r="M781" s="299"/>
      <c r="N781" s="299"/>
      <c r="O781" s="299"/>
      <c r="P781" s="299"/>
      <c r="Q781" s="299"/>
      <c r="R781" s="299"/>
      <c r="S781" s="299"/>
      <c r="T781" s="299"/>
      <c r="U781" s="299"/>
      <c r="V781" s="299"/>
      <c r="W781" s="299"/>
      <c r="X781" s="299"/>
      <c r="Y781" s="299"/>
      <c r="Z781" s="299"/>
      <c r="AA781" s="299"/>
      <c r="AB781" s="299"/>
      <c r="AC781" s="300"/>
      <c r="AD781" s="300"/>
    </row>
    <row r="782" spans="1:30" ht="12.75" customHeight="1" x14ac:dyDescent="0.2">
      <c r="A782" s="296"/>
      <c r="B782" s="296"/>
      <c r="C782" s="296"/>
      <c r="D782" s="298"/>
      <c r="E782" s="298"/>
      <c r="F782" s="296"/>
      <c r="G782" s="296"/>
      <c r="H782" s="296"/>
      <c r="I782" s="296"/>
      <c r="J782" s="296"/>
      <c r="K782" s="296"/>
      <c r="L782" s="296"/>
      <c r="M782" s="299"/>
      <c r="N782" s="299"/>
      <c r="O782" s="299"/>
      <c r="P782" s="299"/>
      <c r="Q782" s="299"/>
      <c r="R782" s="299"/>
      <c r="S782" s="299"/>
      <c r="T782" s="299"/>
      <c r="U782" s="299"/>
      <c r="V782" s="299"/>
      <c r="W782" s="299"/>
      <c r="X782" s="299"/>
      <c r="Y782" s="299"/>
      <c r="Z782" s="299"/>
      <c r="AA782" s="299"/>
      <c r="AB782" s="299"/>
      <c r="AC782" s="300"/>
      <c r="AD782" s="300"/>
    </row>
    <row r="783" spans="1:30" ht="12.75" customHeight="1" x14ac:dyDescent="0.2">
      <c r="A783" s="296"/>
      <c r="B783" s="296"/>
      <c r="C783" s="296"/>
      <c r="D783" s="298"/>
      <c r="E783" s="298"/>
      <c r="F783" s="296"/>
      <c r="G783" s="296"/>
      <c r="H783" s="296"/>
      <c r="I783" s="296"/>
      <c r="J783" s="296"/>
      <c r="K783" s="296"/>
      <c r="L783" s="296"/>
      <c r="M783" s="299"/>
      <c r="N783" s="299"/>
      <c r="O783" s="299"/>
      <c r="P783" s="299"/>
      <c r="Q783" s="299"/>
      <c r="R783" s="299"/>
      <c r="S783" s="299"/>
      <c r="T783" s="299"/>
      <c r="U783" s="299"/>
      <c r="V783" s="299"/>
      <c r="W783" s="299"/>
      <c r="X783" s="299"/>
      <c r="Y783" s="299"/>
      <c r="Z783" s="299"/>
      <c r="AA783" s="299"/>
      <c r="AB783" s="299"/>
      <c r="AC783" s="300"/>
      <c r="AD783" s="300"/>
    </row>
    <row r="784" spans="1:30" ht="12.75" customHeight="1" x14ac:dyDescent="0.2">
      <c r="A784" s="296"/>
      <c r="B784" s="296"/>
      <c r="C784" s="296"/>
      <c r="D784" s="298"/>
      <c r="E784" s="298"/>
      <c r="F784" s="296"/>
      <c r="G784" s="296"/>
      <c r="H784" s="296"/>
      <c r="I784" s="296"/>
      <c r="J784" s="296"/>
      <c r="K784" s="296"/>
      <c r="L784" s="296"/>
      <c r="M784" s="299"/>
      <c r="N784" s="299"/>
      <c r="O784" s="299"/>
      <c r="P784" s="299"/>
      <c r="Q784" s="299"/>
      <c r="R784" s="299"/>
      <c r="S784" s="299"/>
      <c r="T784" s="299"/>
      <c r="U784" s="299"/>
      <c r="V784" s="299"/>
      <c r="W784" s="299"/>
      <c r="X784" s="299"/>
      <c r="Y784" s="299"/>
      <c r="Z784" s="299"/>
      <c r="AA784" s="299"/>
      <c r="AB784" s="299"/>
      <c r="AC784" s="300"/>
      <c r="AD784" s="300"/>
    </row>
    <row r="785" spans="1:30" ht="12.75" customHeight="1" x14ac:dyDescent="0.2">
      <c r="A785" s="296"/>
      <c r="B785" s="296"/>
      <c r="C785" s="296"/>
      <c r="D785" s="298"/>
      <c r="E785" s="298"/>
      <c r="F785" s="296"/>
      <c r="G785" s="296"/>
      <c r="H785" s="296"/>
      <c r="I785" s="296"/>
      <c r="J785" s="296"/>
      <c r="K785" s="296"/>
      <c r="L785" s="296"/>
      <c r="M785" s="299"/>
      <c r="N785" s="299"/>
      <c r="O785" s="299"/>
      <c r="P785" s="299"/>
      <c r="Q785" s="299"/>
      <c r="R785" s="299"/>
      <c r="S785" s="299"/>
      <c r="T785" s="299"/>
      <c r="U785" s="299"/>
      <c r="V785" s="299"/>
      <c r="W785" s="299"/>
      <c r="X785" s="299"/>
      <c r="Y785" s="299"/>
      <c r="Z785" s="299"/>
      <c r="AA785" s="299"/>
      <c r="AB785" s="299"/>
      <c r="AC785" s="300"/>
      <c r="AD785" s="300"/>
    </row>
    <row r="786" spans="1:30" ht="12.75" customHeight="1" x14ac:dyDescent="0.2">
      <c r="A786" s="296"/>
      <c r="B786" s="296"/>
      <c r="C786" s="296"/>
      <c r="D786" s="298"/>
      <c r="E786" s="298"/>
      <c r="F786" s="296"/>
      <c r="G786" s="296"/>
      <c r="H786" s="296"/>
      <c r="I786" s="296"/>
      <c r="J786" s="296"/>
      <c r="K786" s="296"/>
      <c r="L786" s="296"/>
      <c r="M786" s="299"/>
      <c r="N786" s="299"/>
      <c r="O786" s="299"/>
      <c r="P786" s="299"/>
      <c r="Q786" s="299"/>
      <c r="R786" s="299"/>
      <c r="S786" s="299"/>
      <c r="T786" s="299"/>
      <c r="U786" s="299"/>
      <c r="V786" s="299"/>
      <c r="W786" s="299"/>
      <c r="X786" s="299"/>
      <c r="Y786" s="299"/>
      <c r="Z786" s="299"/>
      <c r="AA786" s="299"/>
      <c r="AB786" s="299"/>
      <c r="AC786" s="300"/>
      <c r="AD786" s="300"/>
    </row>
    <row r="787" spans="1:30" ht="12.75" customHeight="1" x14ac:dyDescent="0.2">
      <c r="A787" s="296"/>
      <c r="B787" s="296"/>
      <c r="C787" s="296"/>
      <c r="D787" s="298"/>
      <c r="E787" s="298"/>
      <c r="F787" s="296"/>
      <c r="G787" s="296"/>
      <c r="H787" s="296"/>
      <c r="I787" s="296"/>
      <c r="J787" s="296"/>
      <c r="K787" s="296"/>
      <c r="L787" s="296"/>
      <c r="M787" s="299"/>
      <c r="N787" s="299"/>
      <c r="O787" s="299"/>
      <c r="P787" s="299"/>
      <c r="Q787" s="299"/>
      <c r="R787" s="299"/>
      <c r="S787" s="299"/>
      <c r="T787" s="299"/>
      <c r="U787" s="299"/>
      <c r="V787" s="299"/>
      <c r="W787" s="299"/>
      <c r="X787" s="299"/>
      <c r="Y787" s="299"/>
      <c r="Z787" s="299"/>
      <c r="AA787" s="299"/>
      <c r="AB787" s="299"/>
      <c r="AC787" s="300"/>
      <c r="AD787" s="300"/>
    </row>
    <row r="788" spans="1:30" ht="12.75" customHeight="1" x14ac:dyDescent="0.2">
      <c r="A788" s="296"/>
      <c r="B788" s="296"/>
      <c r="C788" s="296"/>
      <c r="D788" s="298"/>
      <c r="E788" s="298"/>
      <c r="F788" s="296"/>
      <c r="G788" s="296"/>
      <c r="H788" s="296"/>
      <c r="I788" s="296"/>
      <c r="J788" s="296"/>
      <c r="K788" s="296"/>
      <c r="L788" s="296"/>
      <c r="M788" s="299"/>
      <c r="N788" s="299"/>
      <c r="O788" s="299"/>
      <c r="P788" s="299"/>
      <c r="Q788" s="299"/>
      <c r="R788" s="299"/>
      <c r="S788" s="299"/>
      <c r="T788" s="299"/>
      <c r="U788" s="299"/>
      <c r="V788" s="299"/>
      <c r="W788" s="299"/>
      <c r="X788" s="299"/>
      <c r="Y788" s="299"/>
      <c r="Z788" s="299"/>
      <c r="AA788" s="299"/>
      <c r="AB788" s="299"/>
      <c r="AC788" s="300"/>
      <c r="AD788" s="300"/>
    </row>
    <row r="789" spans="1:30" ht="12.75" customHeight="1" x14ac:dyDescent="0.2">
      <c r="A789" s="296"/>
      <c r="B789" s="296"/>
      <c r="C789" s="296"/>
      <c r="D789" s="298"/>
      <c r="E789" s="298"/>
      <c r="F789" s="296"/>
      <c r="G789" s="296"/>
      <c r="H789" s="296"/>
      <c r="I789" s="296"/>
      <c r="J789" s="296"/>
      <c r="K789" s="296"/>
      <c r="L789" s="296"/>
      <c r="M789" s="299"/>
      <c r="N789" s="299"/>
      <c r="O789" s="299"/>
      <c r="P789" s="299"/>
      <c r="Q789" s="299"/>
      <c r="R789" s="299"/>
      <c r="S789" s="299"/>
      <c r="T789" s="299"/>
      <c r="U789" s="299"/>
      <c r="V789" s="299"/>
      <c r="W789" s="299"/>
      <c r="X789" s="299"/>
      <c r="Y789" s="299"/>
      <c r="Z789" s="299"/>
      <c r="AA789" s="299"/>
      <c r="AB789" s="299"/>
      <c r="AC789" s="300"/>
      <c r="AD789" s="300"/>
    </row>
    <row r="790" spans="1:30" ht="12.75" customHeight="1" x14ac:dyDescent="0.2">
      <c r="A790" s="296"/>
      <c r="B790" s="296"/>
      <c r="C790" s="296"/>
      <c r="D790" s="298"/>
      <c r="E790" s="298"/>
      <c r="F790" s="296"/>
      <c r="G790" s="296"/>
      <c r="H790" s="296"/>
      <c r="I790" s="296"/>
      <c r="J790" s="296"/>
      <c r="K790" s="296"/>
      <c r="L790" s="296"/>
      <c r="M790" s="299"/>
      <c r="N790" s="299"/>
      <c r="O790" s="299"/>
      <c r="P790" s="299"/>
      <c r="Q790" s="299"/>
      <c r="R790" s="299"/>
      <c r="S790" s="299"/>
      <c r="T790" s="299"/>
      <c r="U790" s="299"/>
      <c r="V790" s="299"/>
      <c r="W790" s="299"/>
      <c r="X790" s="299"/>
      <c r="Y790" s="299"/>
      <c r="Z790" s="299"/>
      <c r="AA790" s="299"/>
      <c r="AB790" s="299"/>
      <c r="AC790" s="300"/>
      <c r="AD790" s="300"/>
    </row>
    <row r="791" spans="1:30" ht="12.75" customHeight="1" x14ac:dyDescent="0.2">
      <c r="A791" s="296"/>
      <c r="B791" s="296"/>
      <c r="C791" s="296"/>
      <c r="D791" s="298"/>
      <c r="E791" s="298"/>
      <c r="F791" s="296"/>
      <c r="G791" s="296"/>
      <c r="H791" s="296"/>
      <c r="I791" s="296"/>
      <c r="J791" s="296"/>
      <c r="K791" s="296"/>
      <c r="L791" s="296"/>
      <c r="M791" s="299"/>
      <c r="N791" s="299"/>
      <c r="O791" s="299"/>
      <c r="P791" s="299"/>
      <c r="Q791" s="299"/>
      <c r="R791" s="299"/>
      <c r="S791" s="299"/>
      <c r="T791" s="299"/>
      <c r="U791" s="299"/>
      <c r="V791" s="299"/>
      <c r="W791" s="299"/>
      <c r="X791" s="299"/>
      <c r="Y791" s="299"/>
      <c r="Z791" s="299"/>
      <c r="AA791" s="299"/>
      <c r="AB791" s="299"/>
      <c r="AC791" s="300"/>
      <c r="AD791" s="300"/>
    </row>
    <row r="792" spans="1:30" ht="12.75" customHeight="1" x14ac:dyDescent="0.2">
      <c r="A792" s="296"/>
      <c r="B792" s="296"/>
      <c r="C792" s="296"/>
      <c r="D792" s="298"/>
      <c r="E792" s="298"/>
      <c r="F792" s="296"/>
      <c r="G792" s="296"/>
      <c r="H792" s="296"/>
      <c r="I792" s="296"/>
      <c r="J792" s="296"/>
      <c r="K792" s="296"/>
      <c r="L792" s="296"/>
      <c r="M792" s="299"/>
      <c r="N792" s="299"/>
      <c r="O792" s="299"/>
      <c r="P792" s="299"/>
      <c r="Q792" s="299"/>
      <c r="R792" s="299"/>
      <c r="S792" s="299"/>
      <c r="T792" s="299"/>
      <c r="U792" s="299"/>
      <c r="V792" s="299"/>
      <c r="W792" s="299"/>
      <c r="X792" s="299"/>
      <c r="Y792" s="299"/>
      <c r="Z792" s="299"/>
      <c r="AA792" s="299"/>
      <c r="AB792" s="299"/>
      <c r="AC792" s="300"/>
      <c r="AD792" s="300"/>
    </row>
    <row r="793" spans="1:30" ht="12.75" customHeight="1" x14ac:dyDescent="0.2">
      <c r="A793" s="296"/>
      <c r="B793" s="296"/>
      <c r="C793" s="296"/>
      <c r="D793" s="298"/>
      <c r="E793" s="298"/>
      <c r="F793" s="296"/>
      <c r="G793" s="296"/>
      <c r="H793" s="296"/>
      <c r="I793" s="296"/>
      <c r="J793" s="296"/>
      <c r="K793" s="296"/>
      <c r="L793" s="296"/>
      <c r="M793" s="299"/>
      <c r="N793" s="299"/>
      <c r="O793" s="299"/>
      <c r="P793" s="299"/>
      <c r="Q793" s="299"/>
      <c r="R793" s="299"/>
      <c r="S793" s="299"/>
      <c r="T793" s="299"/>
      <c r="U793" s="299"/>
      <c r="V793" s="299"/>
      <c r="W793" s="299"/>
      <c r="X793" s="299"/>
      <c r="Y793" s="299"/>
      <c r="Z793" s="299"/>
      <c r="AA793" s="299"/>
      <c r="AB793" s="299"/>
      <c r="AC793" s="300"/>
      <c r="AD793" s="300"/>
    </row>
    <row r="794" spans="1:30" ht="12.75" customHeight="1" x14ac:dyDescent="0.2">
      <c r="A794" s="296"/>
      <c r="B794" s="296"/>
      <c r="C794" s="296"/>
      <c r="D794" s="298"/>
      <c r="E794" s="298"/>
      <c r="F794" s="296"/>
      <c r="G794" s="296"/>
      <c r="H794" s="296"/>
      <c r="I794" s="296"/>
      <c r="J794" s="296"/>
      <c r="K794" s="296"/>
      <c r="L794" s="296"/>
      <c r="M794" s="299"/>
      <c r="N794" s="299"/>
      <c r="O794" s="299"/>
      <c r="P794" s="299"/>
      <c r="Q794" s="299"/>
      <c r="R794" s="299"/>
      <c r="S794" s="299"/>
      <c r="T794" s="299"/>
      <c r="U794" s="299"/>
      <c r="V794" s="299"/>
      <c r="W794" s="299"/>
      <c r="X794" s="299"/>
      <c r="Y794" s="299"/>
      <c r="Z794" s="299"/>
      <c r="AA794" s="299"/>
      <c r="AB794" s="299"/>
      <c r="AC794" s="300"/>
      <c r="AD794" s="300"/>
    </row>
    <row r="795" spans="1:30" ht="12.75" customHeight="1" x14ac:dyDescent="0.2">
      <c r="A795" s="296"/>
      <c r="B795" s="296"/>
      <c r="C795" s="296"/>
      <c r="D795" s="298"/>
      <c r="E795" s="298"/>
      <c r="F795" s="296"/>
      <c r="G795" s="296"/>
      <c r="H795" s="296"/>
      <c r="I795" s="296"/>
      <c r="J795" s="296"/>
      <c r="K795" s="296"/>
      <c r="L795" s="296"/>
      <c r="M795" s="299"/>
      <c r="N795" s="299"/>
      <c r="O795" s="299"/>
      <c r="P795" s="299"/>
      <c r="Q795" s="299"/>
      <c r="R795" s="299"/>
      <c r="S795" s="299"/>
      <c r="T795" s="299"/>
      <c r="U795" s="299"/>
      <c r="V795" s="299"/>
      <c r="W795" s="299"/>
      <c r="X795" s="299"/>
      <c r="Y795" s="299"/>
      <c r="Z795" s="299"/>
      <c r="AA795" s="299"/>
      <c r="AB795" s="299"/>
      <c r="AC795" s="300"/>
      <c r="AD795" s="300"/>
    </row>
    <row r="796" spans="1:30" ht="12.75" customHeight="1" x14ac:dyDescent="0.2">
      <c r="A796" s="296"/>
      <c r="B796" s="296"/>
      <c r="C796" s="296"/>
      <c r="D796" s="298"/>
      <c r="E796" s="298"/>
      <c r="F796" s="296"/>
      <c r="G796" s="296"/>
      <c r="H796" s="296"/>
      <c r="I796" s="296"/>
      <c r="J796" s="296"/>
      <c r="K796" s="296"/>
      <c r="L796" s="296"/>
      <c r="M796" s="299"/>
      <c r="N796" s="299"/>
      <c r="O796" s="299"/>
      <c r="P796" s="299"/>
      <c r="Q796" s="299"/>
      <c r="R796" s="299"/>
      <c r="S796" s="299"/>
      <c r="T796" s="299"/>
      <c r="U796" s="299"/>
      <c r="V796" s="299"/>
      <c r="W796" s="299"/>
      <c r="X796" s="299"/>
      <c r="Y796" s="299"/>
      <c r="Z796" s="299"/>
      <c r="AA796" s="299"/>
      <c r="AB796" s="299"/>
      <c r="AC796" s="300"/>
      <c r="AD796" s="300"/>
    </row>
    <row r="797" spans="1:30" ht="12.75" customHeight="1" x14ac:dyDescent="0.2">
      <c r="A797" s="296"/>
      <c r="B797" s="296"/>
      <c r="C797" s="296"/>
      <c r="D797" s="298"/>
      <c r="E797" s="298"/>
      <c r="F797" s="296"/>
      <c r="G797" s="296"/>
      <c r="H797" s="296"/>
      <c r="I797" s="296"/>
      <c r="J797" s="296"/>
      <c r="K797" s="296"/>
      <c r="L797" s="296"/>
      <c r="M797" s="299"/>
      <c r="N797" s="299"/>
      <c r="O797" s="299"/>
      <c r="P797" s="299"/>
      <c r="Q797" s="299"/>
      <c r="R797" s="299"/>
      <c r="S797" s="299"/>
      <c r="T797" s="299"/>
      <c r="U797" s="299"/>
      <c r="V797" s="299"/>
      <c r="W797" s="299"/>
      <c r="X797" s="299"/>
      <c r="Y797" s="299"/>
      <c r="Z797" s="299"/>
      <c r="AA797" s="299"/>
      <c r="AB797" s="299"/>
      <c r="AC797" s="300"/>
      <c r="AD797" s="300"/>
    </row>
    <row r="798" spans="1:30" ht="12.75" customHeight="1" x14ac:dyDescent="0.2">
      <c r="A798" s="296"/>
      <c r="B798" s="296"/>
      <c r="C798" s="296"/>
      <c r="D798" s="298"/>
      <c r="E798" s="298"/>
      <c r="F798" s="296"/>
      <c r="G798" s="296"/>
      <c r="H798" s="296"/>
      <c r="I798" s="296"/>
      <c r="J798" s="296"/>
      <c r="K798" s="296"/>
      <c r="L798" s="296"/>
      <c r="M798" s="299"/>
      <c r="N798" s="299"/>
      <c r="O798" s="299"/>
      <c r="P798" s="299"/>
      <c r="Q798" s="299"/>
      <c r="R798" s="299"/>
      <c r="S798" s="299"/>
      <c r="T798" s="299"/>
      <c r="U798" s="299"/>
      <c r="V798" s="299"/>
      <c r="W798" s="299"/>
      <c r="X798" s="299"/>
      <c r="Y798" s="299"/>
      <c r="Z798" s="299"/>
      <c r="AA798" s="299"/>
      <c r="AB798" s="299"/>
      <c r="AC798" s="300"/>
      <c r="AD798" s="300"/>
    </row>
    <row r="799" spans="1:30" ht="12.75" customHeight="1" x14ac:dyDescent="0.2">
      <c r="A799" s="296"/>
      <c r="B799" s="296"/>
      <c r="C799" s="296"/>
      <c r="D799" s="298"/>
      <c r="E799" s="298"/>
      <c r="F799" s="296"/>
      <c r="G799" s="296"/>
      <c r="H799" s="296"/>
      <c r="I799" s="296"/>
      <c r="J799" s="296"/>
      <c r="K799" s="296"/>
      <c r="L799" s="296"/>
      <c r="M799" s="299"/>
      <c r="N799" s="299"/>
      <c r="O799" s="299"/>
      <c r="P799" s="299"/>
      <c r="Q799" s="299"/>
      <c r="R799" s="299"/>
      <c r="S799" s="299"/>
      <c r="T799" s="299"/>
      <c r="U799" s="299"/>
      <c r="V799" s="299"/>
      <c r="W799" s="299"/>
      <c r="X799" s="299"/>
      <c r="Y799" s="299"/>
      <c r="Z799" s="299"/>
      <c r="AA799" s="299"/>
      <c r="AB799" s="299"/>
      <c r="AC799" s="300"/>
      <c r="AD799" s="300"/>
    </row>
    <row r="800" spans="1:30" ht="12.75" customHeight="1" x14ac:dyDescent="0.2">
      <c r="A800" s="296"/>
      <c r="B800" s="296"/>
      <c r="C800" s="296"/>
      <c r="D800" s="298"/>
      <c r="E800" s="298"/>
      <c r="F800" s="296"/>
      <c r="G800" s="296"/>
      <c r="H800" s="296"/>
      <c r="I800" s="296"/>
      <c r="J800" s="296"/>
      <c r="K800" s="296"/>
      <c r="L800" s="296"/>
      <c r="M800" s="299"/>
      <c r="N800" s="299"/>
      <c r="O800" s="299"/>
      <c r="P800" s="299"/>
      <c r="Q800" s="299"/>
      <c r="R800" s="299"/>
      <c r="S800" s="299"/>
      <c r="T800" s="299"/>
      <c r="U800" s="299"/>
      <c r="V800" s="299"/>
      <c r="W800" s="299"/>
      <c r="X800" s="299"/>
      <c r="Y800" s="299"/>
      <c r="Z800" s="299"/>
      <c r="AA800" s="299"/>
      <c r="AB800" s="299"/>
      <c r="AC800" s="300"/>
      <c r="AD800" s="300"/>
    </row>
    <row r="801" spans="1:30" ht="12.75" customHeight="1" x14ac:dyDescent="0.2">
      <c r="A801" s="296"/>
      <c r="B801" s="296"/>
      <c r="C801" s="296"/>
      <c r="D801" s="298"/>
      <c r="E801" s="298"/>
      <c r="F801" s="296"/>
      <c r="G801" s="296"/>
      <c r="H801" s="296"/>
      <c r="I801" s="296"/>
      <c r="J801" s="296"/>
      <c r="K801" s="296"/>
      <c r="L801" s="296"/>
      <c r="M801" s="299"/>
      <c r="N801" s="299"/>
      <c r="O801" s="299"/>
      <c r="P801" s="299"/>
      <c r="Q801" s="299"/>
      <c r="R801" s="299"/>
      <c r="S801" s="299"/>
      <c r="T801" s="299"/>
      <c r="U801" s="299"/>
      <c r="V801" s="299"/>
      <c r="W801" s="299"/>
      <c r="X801" s="299"/>
      <c r="Y801" s="299"/>
      <c r="Z801" s="299"/>
      <c r="AA801" s="299"/>
      <c r="AB801" s="299"/>
      <c r="AC801" s="300"/>
      <c r="AD801" s="300"/>
    </row>
    <row r="802" spans="1:30" ht="12.75" customHeight="1" x14ac:dyDescent="0.2">
      <c r="A802" s="296"/>
      <c r="B802" s="296"/>
      <c r="C802" s="296"/>
      <c r="D802" s="298"/>
      <c r="E802" s="298"/>
      <c r="F802" s="296"/>
      <c r="G802" s="296"/>
      <c r="H802" s="296"/>
      <c r="I802" s="296"/>
      <c r="J802" s="296"/>
      <c r="K802" s="296"/>
      <c r="L802" s="296"/>
      <c r="M802" s="299"/>
      <c r="N802" s="299"/>
      <c r="O802" s="299"/>
      <c r="P802" s="299"/>
      <c r="Q802" s="299"/>
      <c r="R802" s="299"/>
      <c r="S802" s="299"/>
      <c r="T802" s="299"/>
      <c r="U802" s="299"/>
      <c r="V802" s="299"/>
      <c r="W802" s="299"/>
      <c r="X802" s="299"/>
      <c r="Y802" s="299"/>
      <c r="Z802" s="299"/>
      <c r="AA802" s="299"/>
      <c r="AB802" s="299"/>
      <c r="AC802" s="300"/>
      <c r="AD802" s="300"/>
    </row>
    <row r="803" spans="1:30" ht="12.75" customHeight="1" x14ac:dyDescent="0.2">
      <c r="A803" s="296"/>
      <c r="B803" s="296"/>
      <c r="C803" s="296"/>
      <c r="D803" s="298"/>
      <c r="E803" s="298"/>
      <c r="F803" s="296"/>
      <c r="G803" s="296"/>
      <c r="H803" s="296"/>
      <c r="I803" s="296"/>
      <c r="J803" s="296"/>
      <c r="K803" s="296"/>
      <c r="L803" s="296"/>
      <c r="M803" s="299"/>
      <c r="N803" s="299"/>
      <c r="O803" s="299"/>
      <c r="P803" s="299"/>
      <c r="Q803" s="299"/>
      <c r="R803" s="299"/>
      <c r="S803" s="299"/>
      <c r="T803" s="299"/>
      <c r="U803" s="299"/>
      <c r="V803" s="299"/>
      <c r="W803" s="299"/>
      <c r="X803" s="299"/>
      <c r="Y803" s="299"/>
      <c r="Z803" s="299"/>
      <c r="AA803" s="299"/>
      <c r="AB803" s="299"/>
      <c r="AC803" s="300"/>
      <c r="AD803" s="300"/>
    </row>
    <row r="804" spans="1:30" ht="12.75" customHeight="1" x14ac:dyDescent="0.2">
      <c r="A804" s="296"/>
      <c r="B804" s="296"/>
      <c r="C804" s="296"/>
      <c r="D804" s="298"/>
      <c r="E804" s="298"/>
      <c r="F804" s="296"/>
      <c r="G804" s="296"/>
      <c r="H804" s="296"/>
      <c r="I804" s="296"/>
      <c r="J804" s="296"/>
      <c r="K804" s="296"/>
      <c r="L804" s="296"/>
      <c r="M804" s="299"/>
      <c r="N804" s="299"/>
      <c r="O804" s="299"/>
      <c r="P804" s="299"/>
      <c r="Q804" s="299"/>
      <c r="R804" s="299"/>
      <c r="S804" s="299"/>
      <c r="T804" s="299"/>
      <c r="U804" s="299"/>
      <c r="V804" s="299"/>
      <c r="W804" s="299"/>
      <c r="X804" s="299"/>
      <c r="Y804" s="299"/>
      <c r="Z804" s="299"/>
      <c r="AA804" s="299"/>
      <c r="AB804" s="299"/>
      <c r="AC804" s="300"/>
      <c r="AD804" s="300"/>
    </row>
    <row r="805" spans="1:30" ht="12.75" customHeight="1" x14ac:dyDescent="0.2">
      <c r="A805" s="296"/>
      <c r="B805" s="296"/>
      <c r="C805" s="296"/>
      <c r="D805" s="298"/>
      <c r="E805" s="298"/>
      <c r="F805" s="296"/>
      <c r="G805" s="296"/>
      <c r="H805" s="296"/>
      <c r="I805" s="296"/>
      <c r="J805" s="296"/>
      <c r="K805" s="296"/>
      <c r="L805" s="296"/>
      <c r="M805" s="299"/>
      <c r="N805" s="299"/>
      <c r="O805" s="299"/>
      <c r="P805" s="299"/>
      <c r="Q805" s="299"/>
      <c r="R805" s="299"/>
      <c r="S805" s="299"/>
      <c r="T805" s="299"/>
      <c r="U805" s="299"/>
      <c r="V805" s="299"/>
      <c r="W805" s="299"/>
      <c r="X805" s="299"/>
      <c r="Y805" s="299"/>
      <c r="Z805" s="299"/>
      <c r="AA805" s="299"/>
      <c r="AB805" s="299"/>
      <c r="AC805" s="300"/>
      <c r="AD805" s="300"/>
    </row>
    <row r="806" spans="1:30" ht="12.75" customHeight="1" x14ac:dyDescent="0.2">
      <c r="A806" s="296"/>
      <c r="B806" s="296"/>
      <c r="C806" s="296"/>
      <c r="D806" s="298"/>
      <c r="E806" s="298"/>
      <c r="F806" s="296"/>
      <c r="G806" s="296"/>
      <c r="H806" s="296"/>
      <c r="I806" s="296"/>
      <c r="J806" s="296"/>
      <c r="K806" s="296"/>
      <c r="L806" s="296"/>
      <c r="M806" s="299"/>
      <c r="N806" s="299"/>
      <c r="O806" s="299"/>
      <c r="P806" s="299"/>
      <c r="Q806" s="299"/>
      <c r="R806" s="299"/>
      <c r="S806" s="299"/>
      <c r="T806" s="299"/>
      <c r="U806" s="299"/>
      <c r="V806" s="299"/>
      <c r="W806" s="299"/>
      <c r="X806" s="299"/>
      <c r="Y806" s="299"/>
      <c r="Z806" s="299"/>
      <c r="AA806" s="299"/>
      <c r="AB806" s="299"/>
      <c r="AC806" s="300"/>
      <c r="AD806" s="300"/>
    </row>
    <row r="807" spans="1:30" ht="12.75" customHeight="1" x14ac:dyDescent="0.2">
      <c r="A807" s="296"/>
      <c r="B807" s="296"/>
      <c r="C807" s="296"/>
      <c r="D807" s="298"/>
      <c r="E807" s="298"/>
      <c r="F807" s="296"/>
      <c r="G807" s="296"/>
      <c r="H807" s="296"/>
      <c r="I807" s="296"/>
      <c r="J807" s="296"/>
      <c r="K807" s="296"/>
      <c r="L807" s="296"/>
      <c r="M807" s="299"/>
      <c r="N807" s="299"/>
      <c r="O807" s="299"/>
      <c r="P807" s="299"/>
      <c r="Q807" s="299"/>
      <c r="R807" s="299"/>
      <c r="S807" s="299"/>
      <c r="T807" s="299"/>
      <c r="U807" s="299"/>
      <c r="V807" s="299"/>
      <c r="W807" s="299"/>
      <c r="X807" s="299"/>
      <c r="Y807" s="299"/>
      <c r="Z807" s="299"/>
      <c r="AA807" s="299"/>
      <c r="AB807" s="299"/>
      <c r="AC807" s="300"/>
      <c r="AD807" s="300"/>
    </row>
    <row r="808" spans="1:30" ht="12.75" customHeight="1" x14ac:dyDescent="0.2">
      <c r="A808" s="296"/>
      <c r="B808" s="296"/>
      <c r="C808" s="296"/>
      <c r="D808" s="298"/>
      <c r="E808" s="298"/>
      <c r="F808" s="296"/>
      <c r="G808" s="296"/>
      <c r="H808" s="296"/>
      <c r="I808" s="296"/>
      <c r="J808" s="296"/>
      <c r="K808" s="296"/>
      <c r="L808" s="296"/>
      <c r="M808" s="299"/>
      <c r="N808" s="299"/>
      <c r="O808" s="299"/>
      <c r="P808" s="299"/>
      <c r="Q808" s="299"/>
      <c r="R808" s="299"/>
      <c r="S808" s="299"/>
      <c r="T808" s="299"/>
      <c r="U808" s="299"/>
      <c r="V808" s="299"/>
      <c r="W808" s="299"/>
      <c r="X808" s="299"/>
      <c r="Y808" s="299"/>
      <c r="Z808" s="299"/>
      <c r="AA808" s="299"/>
      <c r="AB808" s="299"/>
      <c r="AC808" s="300"/>
      <c r="AD808" s="300"/>
    </row>
    <row r="809" spans="1:30" ht="12.75" customHeight="1" x14ac:dyDescent="0.2">
      <c r="A809" s="296"/>
      <c r="B809" s="296"/>
      <c r="C809" s="296"/>
      <c r="D809" s="298"/>
      <c r="E809" s="298"/>
      <c r="F809" s="296"/>
      <c r="G809" s="296"/>
      <c r="H809" s="296"/>
      <c r="I809" s="296"/>
      <c r="J809" s="296"/>
      <c r="K809" s="296"/>
      <c r="L809" s="296"/>
      <c r="M809" s="299"/>
      <c r="N809" s="299"/>
      <c r="O809" s="299"/>
      <c r="P809" s="299"/>
      <c r="Q809" s="299"/>
      <c r="R809" s="299"/>
      <c r="S809" s="299"/>
      <c r="T809" s="299"/>
      <c r="U809" s="299"/>
      <c r="V809" s="299"/>
      <c r="W809" s="299"/>
      <c r="X809" s="299"/>
      <c r="Y809" s="299"/>
      <c r="Z809" s="299"/>
      <c r="AA809" s="299"/>
      <c r="AB809" s="299"/>
      <c r="AC809" s="300"/>
      <c r="AD809" s="300"/>
    </row>
    <row r="810" spans="1:30" ht="12.75" customHeight="1" x14ac:dyDescent="0.2">
      <c r="A810" s="296"/>
      <c r="B810" s="296"/>
      <c r="C810" s="296"/>
      <c r="D810" s="298"/>
      <c r="E810" s="298"/>
      <c r="F810" s="296"/>
      <c r="G810" s="296"/>
      <c r="H810" s="296"/>
      <c r="I810" s="296"/>
      <c r="J810" s="296"/>
      <c r="K810" s="296"/>
      <c r="L810" s="296"/>
      <c r="M810" s="299"/>
      <c r="N810" s="299"/>
      <c r="O810" s="299"/>
      <c r="P810" s="299"/>
      <c r="Q810" s="299"/>
      <c r="R810" s="299"/>
      <c r="S810" s="299"/>
      <c r="T810" s="299"/>
      <c r="U810" s="299"/>
      <c r="V810" s="299"/>
      <c r="W810" s="299"/>
      <c r="X810" s="299"/>
      <c r="Y810" s="299"/>
      <c r="Z810" s="299"/>
      <c r="AA810" s="299"/>
      <c r="AB810" s="299"/>
      <c r="AC810" s="300"/>
      <c r="AD810" s="300"/>
    </row>
    <row r="811" spans="1:30" ht="12.75" customHeight="1" x14ac:dyDescent="0.2">
      <c r="A811" s="296"/>
      <c r="B811" s="296"/>
      <c r="C811" s="296"/>
      <c r="D811" s="298"/>
      <c r="E811" s="298"/>
      <c r="F811" s="296"/>
      <c r="G811" s="296"/>
      <c r="H811" s="296"/>
      <c r="I811" s="296"/>
      <c r="J811" s="296"/>
      <c r="K811" s="296"/>
      <c r="L811" s="296"/>
      <c r="M811" s="299"/>
      <c r="N811" s="299"/>
      <c r="O811" s="299"/>
      <c r="P811" s="299"/>
      <c r="Q811" s="299"/>
      <c r="R811" s="299"/>
      <c r="S811" s="299"/>
      <c r="T811" s="299"/>
      <c r="U811" s="299"/>
      <c r="V811" s="299"/>
      <c r="W811" s="299"/>
      <c r="X811" s="299"/>
      <c r="Y811" s="299"/>
      <c r="Z811" s="299"/>
      <c r="AA811" s="299"/>
      <c r="AB811" s="299"/>
      <c r="AC811" s="300"/>
      <c r="AD811" s="300"/>
    </row>
    <row r="812" spans="1:30" ht="12.75" customHeight="1" x14ac:dyDescent="0.2">
      <c r="A812" s="296"/>
      <c r="B812" s="296"/>
      <c r="C812" s="296"/>
      <c r="D812" s="298"/>
      <c r="E812" s="298"/>
      <c r="F812" s="296"/>
      <c r="G812" s="296"/>
      <c r="H812" s="296"/>
      <c r="I812" s="296"/>
      <c r="J812" s="296"/>
      <c r="K812" s="296"/>
      <c r="L812" s="296"/>
      <c r="M812" s="299"/>
      <c r="N812" s="299"/>
      <c r="O812" s="299"/>
      <c r="P812" s="299"/>
      <c r="Q812" s="299"/>
      <c r="R812" s="299"/>
      <c r="S812" s="299"/>
      <c r="T812" s="299"/>
      <c r="U812" s="299"/>
      <c r="V812" s="299"/>
      <c r="W812" s="299"/>
      <c r="X812" s="299"/>
      <c r="Y812" s="299"/>
      <c r="Z812" s="299"/>
      <c r="AA812" s="299"/>
      <c r="AB812" s="299"/>
      <c r="AC812" s="300"/>
      <c r="AD812" s="300"/>
    </row>
    <row r="813" spans="1:30" ht="12.75" customHeight="1" x14ac:dyDescent="0.2">
      <c r="A813" s="296"/>
      <c r="B813" s="296"/>
      <c r="C813" s="296"/>
      <c r="D813" s="298"/>
      <c r="E813" s="298"/>
      <c r="F813" s="296"/>
      <c r="G813" s="296"/>
      <c r="H813" s="296"/>
      <c r="I813" s="296"/>
      <c r="J813" s="296"/>
      <c r="K813" s="296"/>
      <c r="L813" s="296"/>
      <c r="M813" s="299"/>
      <c r="N813" s="299"/>
      <c r="O813" s="299"/>
      <c r="P813" s="299"/>
      <c r="Q813" s="299"/>
      <c r="R813" s="299"/>
      <c r="S813" s="299"/>
      <c r="T813" s="299"/>
      <c r="U813" s="299"/>
      <c r="V813" s="299"/>
      <c r="W813" s="299"/>
      <c r="X813" s="299"/>
      <c r="Y813" s="299"/>
      <c r="Z813" s="299"/>
      <c r="AA813" s="299"/>
      <c r="AB813" s="299"/>
      <c r="AC813" s="300"/>
      <c r="AD813" s="300"/>
    </row>
    <row r="814" spans="1:30" ht="12.75" customHeight="1" x14ac:dyDescent="0.2">
      <c r="A814" s="296"/>
      <c r="B814" s="296"/>
      <c r="C814" s="296"/>
      <c r="D814" s="298"/>
      <c r="E814" s="298"/>
      <c r="F814" s="296"/>
      <c r="G814" s="296"/>
      <c r="H814" s="296"/>
      <c r="I814" s="296"/>
      <c r="J814" s="296"/>
      <c r="K814" s="296"/>
      <c r="L814" s="296"/>
      <c r="M814" s="299"/>
      <c r="N814" s="299"/>
      <c r="O814" s="299"/>
      <c r="P814" s="299"/>
      <c r="Q814" s="299"/>
      <c r="R814" s="299"/>
      <c r="S814" s="299"/>
      <c r="T814" s="299"/>
      <c r="U814" s="299"/>
      <c r="V814" s="299"/>
      <c r="W814" s="299"/>
      <c r="X814" s="299"/>
      <c r="Y814" s="299"/>
      <c r="Z814" s="299"/>
      <c r="AA814" s="299"/>
      <c r="AB814" s="299"/>
      <c r="AC814" s="300"/>
      <c r="AD814" s="300"/>
    </row>
    <row r="815" spans="1:30" ht="12.75" customHeight="1" x14ac:dyDescent="0.2">
      <c r="A815" s="296"/>
      <c r="B815" s="296"/>
      <c r="C815" s="296"/>
      <c r="D815" s="298"/>
      <c r="E815" s="298"/>
      <c r="F815" s="296"/>
      <c r="G815" s="296"/>
      <c r="H815" s="296"/>
      <c r="I815" s="296"/>
      <c r="J815" s="296"/>
      <c r="K815" s="296"/>
      <c r="L815" s="296"/>
      <c r="M815" s="299"/>
      <c r="N815" s="299"/>
      <c r="O815" s="299"/>
      <c r="P815" s="299"/>
      <c r="Q815" s="299"/>
      <c r="R815" s="299"/>
      <c r="S815" s="299"/>
      <c r="T815" s="299"/>
      <c r="U815" s="299"/>
      <c r="V815" s="299"/>
      <c r="W815" s="299"/>
      <c r="X815" s="299"/>
      <c r="Y815" s="299"/>
      <c r="Z815" s="299"/>
      <c r="AA815" s="299"/>
      <c r="AB815" s="299"/>
      <c r="AC815" s="300"/>
      <c r="AD815" s="300"/>
    </row>
    <row r="816" spans="1:30" ht="12.75" customHeight="1" x14ac:dyDescent="0.2">
      <c r="A816" s="296"/>
      <c r="B816" s="296"/>
      <c r="C816" s="296"/>
      <c r="D816" s="298"/>
      <c r="E816" s="298"/>
      <c r="F816" s="296"/>
      <c r="G816" s="296"/>
      <c r="H816" s="296"/>
      <c r="I816" s="296"/>
      <c r="J816" s="296"/>
      <c r="K816" s="296"/>
      <c r="L816" s="296"/>
      <c r="M816" s="299"/>
      <c r="N816" s="299"/>
      <c r="O816" s="299"/>
      <c r="P816" s="299"/>
      <c r="Q816" s="299"/>
      <c r="R816" s="299"/>
      <c r="S816" s="299"/>
      <c r="T816" s="299"/>
      <c r="U816" s="299"/>
      <c r="V816" s="299"/>
      <c r="W816" s="299"/>
      <c r="X816" s="299"/>
      <c r="Y816" s="299"/>
      <c r="Z816" s="299"/>
      <c r="AA816" s="299"/>
      <c r="AB816" s="299"/>
      <c r="AC816" s="300"/>
      <c r="AD816" s="300"/>
    </row>
    <row r="817" spans="1:30" ht="12.75" customHeight="1" x14ac:dyDescent="0.2">
      <c r="A817" s="296"/>
      <c r="B817" s="296"/>
      <c r="C817" s="296"/>
      <c r="D817" s="298"/>
      <c r="E817" s="298"/>
      <c r="F817" s="296"/>
      <c r="G817" s="296"/>
      <c r="H817" s="296"/>
      <c r="I817" s="296"/>
      <c r="J817" s="296"/>
      <c r="K817" s="296"/>
      <c r="L817" s="296"/>
      <c r="M817" s="299"/>
      <c r="N817" s="299"/>
      <c r="O817" s="299"/>
      <c r="P817" s="299"/>
      <c r="Q817" s="299"/>
      <c r="R817" s="299"/>
      <c r="S817" s="299"/>
      <c r="T817" s="299"/>
      <c r="U817" s="299"/>
      <c r="V817" s="299"/>
      <c r="W817" s="299"/>
      <c r="X817" s="299"/>
      <c r="Y817" s="299"/>
      <c r="Z817" s="299"/>
      <c r="AA817" s="299"/>
      <c r="AB817" s="299"/>
      <c r="AC817" s="300"/>
      <c r="AD817" s="300"/>
    </row>
    <row r="818" spans="1:30" ht="12.75" customHeight="1" x14ac:dyDescent="0.2">
      <c r="A818" s="296"/>
      <c r="B818" s="296"/>
      <c r="C818" s="296"/>
      <c r="D818" s="298"/>
      <c r="E818" s="298"/>
      <c r="F818" s="296"/>
      <c r="G818" s="296"/>
      <c r="H818" s="296"/>
      <c r="I818" s="296"/>
      <c r="J818" s="296"/>
      <c r="K818" s="296"/>
      <c r="L818" s="296"/>
      <c r="M818" s="299"/>
      <c r="N818" s="299"/>
      <c r="O818" s="299"/>
      <c r="P818" s="299"/>
      <c r="Q818" s="299"/>
      <c r="R818" s="299"/>
      <c r="S818" s="299"/>
      <c r="T818" s="299"/>
      <c r="U818" s="299"/>
      <c r="V818" s="299"/>
      <c r="W818" s="299"/>
      <c r="X818" s="299"/>
      <c r="Y818" s="299"/>
      <c r="Z818" s="299"/>
      <c r="AA818" s="299"/>
      <c r="AB818" s="299"/>
      <c r="AC818" s="300"/>
      <c r="AD818" s="300"/>
    </row>
    <row r="819" spans="1:30" ht="12.75" customHeight="1" x14ac:dyDescent="0.2">
      <c r="A819" s="296"/>
      <c r="B819" s="296"/>
      <c r="C819" s="296"/>
      <c r="D819" s="298"/>
      <c r="E819" s="298"/>
      <c r="F819" s="296"/>
      <c r="G819" s="296"/>
      <c r="H819" s="296"/>
      <c r="I819" s="296"/>
      <c r="J819" s="296"/>
      <c r="K819" s="296"/>
      <c r="L819" s="296"/>
      <c r="M819" s="299"/>
      <c r="N819" s="299"/>
      <c r="O819" s="299"/>
      <c r="P819" s="299"/>
      <c r="Q819" s="299"/>
      <c r="R819" s="299"/>
      <c r="S819" s="299"/>
      <c r="T819" s="299"/>
      <c r="U819" s="299"/>
      <c r="V819" s="299"/>
      <c r="W819" s="299"/>
      <c r="X819" s="299"/>
      <c r="Y819" s="299"/>
      <c r="Z819" s="299"/>
      <c r="AA819" s="299"/>
      <c r="AB819" s="299"/>
      <c r="AC819" s="300"/>
      <c r="AD819" s="300"/>
    </row>
    <row r="820" spans="1:30" ht="12.75" customHeight="1" x14ac:dyDescent="0.2">
      <c r="A820" s="296"/>
      <c r="B820" s="296"/>
      <c r="C820" s="296"/>
      <c r="D820" s="298"/>
      <c r="E820" s="298"/>
      <c r="F820" s="296"/>
      <c r="G820" s="296"/>
      <c r="H820" s="296"/>
      <c r="I820" s="296"/>
      <c r="J820" s="296"/>
      <c r="K820" s="296"/>
      <c r="L820" s="296"/>
      <c r="M820" s="299"/>
      <c r="N820" s="299"/>
      <c r="O820" s="299"/>
      <c r="P820" s="299"/>
      <c r="Q820" s="299"/>
      <c r="R820" s="299"/>
      <c r="S820" s="299"/>
      <c r="T820" s="299"/>
      <c r="U820" s="299"/>
      <c r="V820" s="299"/>
      <c r="W820" s="299"/>
      <c r="X820" s="299"/>
      <c r="Y820" s="299"/>
      <c r="Z820" s="299"/>
      <c r="AA820" s="299"/>
      <c r="AB820" s="299"/>
      <c r="AC820" s="300"/>
      <c r="AD820" s="300"/>
    </row>
    <row r="821" spans="1:30" ht="12.75" customHeight="1" x14ac:dyDescent="0.2">
      <c r="A821" s="296"/>
      <c r="B821" s="296"/>
      <c r="C821" s="296"/>
      <c r="D821" s="298"/>
      <c r="E821" s="298"/>
      <c r="F821" s="296"/>
      <c r="G821" s="296"/>
      <c r="H821" s="296"/>
      <c r="I821" s="296"/>
      <c r="J821" s="296"/>
      <c r="K821" s="296"/>
      <c r="L821" s="296"/>
      <c r="M821" s="299"/>
      <c r="N821" s="299"/>
      <c r="O821" s="299"/>
      <c r="P821" s="299"/>
      <c r="Q821" s="299"/>
      <c r="R821" s="299"/>
      <c r="S821" s="299"/>
      <c r="T821" s="299"/>
      <c r="U821" s="299"/>
      <c r="V821" s="299"/>
      <c r="W821" s="299"/>
      <c r="X821" s="299"/>
      <c r="Y821" s="299"/>
      <c r="Z821" s="299"/>
      <c r="AA821" s="299"/>
      <c r="AB821" s="299"/>
      <c r="AC821" s="300"/>
      <c r="AD821" s="300"/>
    </row>
    <row r="822" spans="1:30" ht="12.75" customHeight="1" x14ac:dyDescent="0.2">
      <c r="A822" s="296"/>
      <c r="B822" s="296"/>
      <c r="C822" s="296"/>
      <c r="D822" s="298"/>
      <c r="E822" s="298"/>
      <c r="F822" s="296"/>
      <c r="G822" s="296"/>
      <c r="H822" s="296"/>
      <c r="I822" s="296"/>
      <c r="J822" s="296"/>
      <c r="K822" s="296"/>
      <c r="L822" s="296"/>
      <c r="M822" s="299"/>
      <c r="N822" s="299"/>
      <c r="O822" s="299"/>
      <c r="P822" s="299"/>
      <c r="Q822" s="299"/>
      <c r="R822" s="299"/>
      <c r="S822" s="299"/>
      <c r="T822" s="299"/>
      <c r="U822" s="299"/>
      <c r="V822" s="299"/>
      <c r="W822" s="299"/>
      <c r="X822" s="299"/>
      <c r="Y822" s="299"/>
      <c r="Z822" s="299"/>
      <c r="AA822" s="299"/>
      <c r="AB822" s="299"/>
      <c r="AC822" s="300"/>
      <c r="AD822" s="300"/>
    </row>
    <row r="823" spans="1:30" ht="12.75" customHeight="1" x14ac:dyDescent="0.2">
      <c r="A823" s="296"/>
      <c r="B823" s="296"/>
      <c r="C823" s="296"/>
      <c r="D823" s="298"/>
      <c r="E823" s="298"/>
      <c r="F823" s="296"/>
      <c r="G823" s="296"/>
      <c r="H823" s="296"/>
      <c r="I823" s="296"/>
      <c r="J823" s="296"/>
      <c r="K823" s="296"/>
      <c r="L823" s="296"/>
      <c r="M823" s="299"/>
      <c r="N823" s="299"/>
      <c r="O823" s="299"/>
      <c r="P823" s="299"/>
      <c r="Q823" s="299"/>
      <c r="R823" s="299"/>
      <c r="S823" s="299"/>
      <c r="T823" s="299"/>
      <c r="U823" s="299"/>
      <c r="V823" s="299"/>
      <c r="W823" s="299"/>
      <c r="X823" s="299"/>
      <c r="Y823" s="299"/>
      <c r="Z823" s="299"/>
      <c r="AA823" s="299"/>
      <c r="AB823" s="299"/>
      <c r="AC823" s="300"/>
      <c r="AD823" s="300"/>
    </row>
    <row r="824" spans="1:30" ht="12.75" customHeight="1" x14ac:dyDescent="0.2">
      <c r="A824" s="296"/>
      <c r="B824" s="296"/>
      <c r="C824" s="296"/>
      <c r="D824" s="298"/>
      <c r="E824" s="298"/>
      <c r="F824" s="296"/>
      <c r="G824" s="296"/>
      <c r="H824" s="296"/>
      <c r="I824" s="296"/>
      <c r="J824" s="296"/>
      <c r="K824" s="296"/>
      <c r="L824" s="296"/>
      <c r="M824" s="299"/>
      <c r="N824" s="299"/>
      <c r="O824" s="299"/>
      <c r="P824" s="299"/>
      <c r="Q824" s="299"/>
      <c r="R824" s="299"/>
      <c r="S824" s="299"/>
      <c r="T824" s="299"/>
      <c r="U824" s="299"/>
      <c r="V824" s="299"/>
      <c r="W824" s="299"/>
      <c r="X824" s="299"/>
      <c r="Y824" s="299"/>
      <c r="Z824" s="299"/>
      <c r="AA824" s="299"/>
      <c r="AB824" s="299"/>
      <c r="AC824" s="300"/>
      <c r="AD824" s="300"/>
    </row>
    <row r="825" spans="1:30" ht="12.75" customHeight="1" x14ac:dyDescent="0.2">
      <c r="A825" s="296"/>
      <c r="B825" s="296"/>
      <c r="C825" s="296"/>
      <c r="D825" s="298"/>
      <c r="E825" s="298"/>
      <c r="F825" s="296"/>
      <c r="G825" s="296"/>
      <c r="H825" s="296"/>
      <c r="I825" s="296"/>
      <c r="J825" s="296"/>
      <c r="K825" s="296"/>
      <c r="L825" s="296"/>
      <c r="M825" s="299"/>
      <c r="N825" s="299"/>
      <c r="O825" s="299"/>
      <c r="P825" s="299"/>
      <c r="Q825" s="299"/>
      <c r="R825" s="299"/>
      <c r="S825" s="299"/>
      <c r="T825" s="299"/>
      <c r="U825" s="299"/>
      <c r="V825" s="299"/>
      <c r="W825" s="299"/>
      <c r="X825" s="299"/>
      <c r="Y825" s="299"/>
      <c r="Z825" s="299"/>
      <c r="AA825" s="299"/>
      <c r="AB825" s="299"/>
      <c r="AC825" s="300"/>
      <c r="AD825" s="300"/>
    </row>
    <row r="826" spans="1:30" ht="12.75" customHeight="1" x14ac:dyDescent="0.2">
      <c r="A826" s="296"/>
      <c r="B826" s="296"/>
      <c r="C826" s="296"/>
      <c r="D826" s="298"/>
      <c r="E826" s="298"/>
      <c r="F826" s="296"/>
      <c r="G826" s="296"/>
      <c r="H826" s="296"/>
      <c r="I826" s="296"/>
      <c r="J826" s="296"/>
      <c r="K826" s="296"/>
      <c r="L826" s="296"/>
      <c r="M826" s="299"/>
      <c r="N826" s="299"/>
      <c r="O826" s="299"/>
      <c r="P826" s="299"/>
      <c r="Q826" s="299"/>
      <c r="R826" s="299"/>
      <c r="S826" s="299"/>
      <c r="T826" s="299"/>
      <c r="U826" s="299"/>
      <c r="V826" s="299"/>
      <c r="W826" s="299"/>
      <c r="X826" s="299"/>
      <c r="Y826" s="299"/>
      <c r="Z826" s="299"/>
      <c r="AA826" s="299"/>
      <c r="AB826" s="299"/>
      <c r="AC826" s="300"/>
      <c r="AD826" s="300"/>
    </row>
    <row r="827" spans="1:30" ht="12.75" customHeight="1" x14ac:dyDescent="0.2">
      <c r="A827" s="296"/>
      <c r="B827" s="296"/>
      <c r="C827" s="296"/>
      <c r="D827" s="298"/>
      <c r="E827" s="298"/>
      <c r="F827" s="296"/>
      <c r="G827" s="296"/>
      <c r="H827" s="296"/>
      <c r="I827" s="296"/>
      <c r="J827" s="296"/>
      <c r="K827" s="296"/>
      <c r="L827" s="296"/>
      <c r="M827" s="299"/>
      <c r="N827" s="299"/>
      <c r="O827" s="299"/>
      <c r="P827" s="299"/>
      <c r="Q827" s="299"/>
      <c r="R827" s="299"/>
      <c r="S827" s="299"/>
      <c r="T827" s="299"/>
      <c r="U827" s="299"/>
      <c r="V827" s="299"/>
      <c r="W827" s="299"/>
      <c r="X827" s="299"/>
      <c r="Y827" s="299"/>
      <c r="Z827" s="299"/>
      <c r="AA827" s="299"/>
      <c r="AB827" s="299"/>
      <c r="AC827" s="300"/>
      <c r="AD827" s="300"/>
    </row>
    <row r="828" spans="1:30" ht="12.75" customHeight="1" x14ac:dyDescent="0.2">
      <c r="A828" s="296"/>
      <c r="B828" s="296"/>
      <c r="C828" s="296"/>
      <c r="D828" s="298"/>
      <c r="E828" s="298"/>
      <c r="F828" s="296"/>
      <c r="G828" s="296"/>
      <c r="H828" s="296"/>
      <c r="I828" s="296"/>
      <c r="J828" s="296"/>
      <c r="K828" s="296"/>
      <c r="L828" s="296"/>
      <c r="M828" s="299"/>
      <c r="N828" s="299"/>
      <c r="O828" s="299"/>
      <c r="P828" s="299"/>
      <c r="Q828" s="299"/>
      <c r="R828" s="299"/>
      <c r="S828" s="299"/>
      <c r="T828" s="299"/>
      <c r="U828" s="299"/>
      <c r="V828" s="299"/>
      <c r="W828" s="299"/>
      <c r="X828" s="299"/>
      <c r="Y828" s="299"/>
      <c r="Z828" s="299"/>
      <c r="AA828" s="299"/>
      <c r="AB828" s="299"/>
      <c r="AC828" s="300"/>
      <c r="AD828" s="300"/>
    </row>
    <row r="829" spans="1:30" ht="12.75" customHeight="1" x14ac:dyDescent="0.2">
      <c r="A829" s="296"/>
      <c r="B829" s="296"/>
      <c r="C829" s="296"/>
      <c r="D829" s="298"/>
      <c r="E829" s="298"/>
      <c r="F829" s="296"/>
      <c r="G829" s="296"/>
      <c r="H829" s="296"/>
      <c r="I829" s="296"/>
      <c r="J829" s="296"/>
      <c r="K829" s="296"/>
      <c r="L829" s="296"/>
      <c r="M829" s="299"/>
      <c r="N829" s="299"/>
      <c r="O829" s="299"/>
      <c r="P829" s="299"/>
      <c r="Q829" s="299"/>
      <c r="R829" s="299"/>
      <c r="S829" s="299"/>
      <c r="T829" s="299"/>
      <c r="U829" s="299"/>
      <c r="V829" s="299"/>
      <c r="W829" s="299"/>
      <c r="X829" s="299"/>
      <c r="Y829" s="299"/>
      <c r="Z829" s="299"/>
      <c r="AA829" s="299"/>
      <c r="AB829" s="299"/>
      <c r="AC829" s="300"/>
      <c r="AD829" s="300"/>
    </row>
    <row r="830" spans="1:30" ht="12.75" customHeight="1" x14ac:dyDescent="0.2">
      <c r="A830" s="296"/>
      <c r="B830" s="296"/>
      <c r="C830" s="296"/>
      <c r="D830" s="298"/>
      <c r="E830" s="298"/>
      <c r="F830" s="296"/>
      <c r="G830" s="296"/>
      <c r="H830" s="296"/>
      <c r="I830" s="296"/>
      <c r="J830" s="296"/>
      <c r="K830" s="296"/>
      <c r="L830" s="296"/>
      <c r="M830" s="299"/>
      <c r="N830" s="299"/>
      <c r="O830" s="299"/>
      <c r="P830" s="299"/>
      <c r="Q830" s="299"/>
      <c r="R830" s="299"/>
      <c r="S830" s="299"/>
      <c r="T830" s="299"/>
      <c r="U830" s="299"/>
      <c r="V830" s="299"/>
      <c r="W830" s="299"/>
      <c r="X830" s="299"/>
      <c r="Y830" s="299"/>
      <c r="Z830" s="299"/>
      <c r="AA830" s="299"/>
      <c r="AB830" s="299"/>
      <c r="AC830" s="300"/>
      <c r="AD830" s="300"/>
    </row>
    <row r="831" spans="1:30" ht="12.75" customHeight="1" x14ac:dyDescent="0.2">
      <c r="A831" s="296"/>
      <c r="B831" s="296"/>
      <c r="C831" s="296"/>
      <c r="D831" s="298"/>
      <c r="E831" s="298"/>
      <c r="F831" s="296"/>
      <c r="G831" s="296"/>
      <c r="H831" s="296"/>
      <c r="I831" s="296"/>
      <c r="J831" s="296"/>
      <c r="K831" s="296"/>
      <c r="L831" s="296"/>
      <c r="M831" s="299"/>
      <c r="N831" s="299"/>
      <c r="O831" s="299"/>
      <c r="P831" s="299"/>
      <c r="Q831" s="299"/>
      <c r="R831" s="299"/>
      <c r="S831" s="299"/>
      <c r="T831" s="299"/>
      <c r="U831" s="299"/>
      <c r="V831" s="299"/>
      <c r="W831" s="299"/>
      <c r="X831" s="299"/>
      <c r="Y831" s="299"/>
      <c r="Z831" s="299"/>
      <c r="AA831" s="299"/>
      <c r="AB831" s="299"/>
      <c r="AC831" s="300"/>
      <c r="AD831" s="300"/>
    </row>
    <row r="832" spans="1:30" ht="12.75" customHeight="1" x14ac:dyDescent="0.2">
      <c r="A832" s="296"/>
      <c r="B832" s="296"/>
      <c r="C832" s="296"/>
      <c r="D832" s="298"/>
      <c r="E832" s="298"/>
      <c r="F832" s="296"/>
      <c r="G832" s="296"/>
      <c r="H832" s="296"/>
      <c r="I832" s="296"/>
      <c r="J832" s="296"/>
      <c r="K832" s="296"/>
      <c r="L832" s="296"/>
      <c r="M832" s="299"/>
      <c r="N832" s="299"/>
      <c r="O832" s="299"/>
      <c r="P832" s="299"/>
      <c r="Q832" s="299"/>
      <c r="R832" s="299"/>
      <c r="S832" s="299"/>
      <c r="T832" s="299"/>
      <c r="U832" s="299"/>
      <c r="V832" s="299"/>
      <c r="W832" s="299"/>
      <c r="X832" s="299"/>
      <c r="Y832" s="299"/>
      <c r="Z832" s="299"/>
      <c r="AA832" s="299"/>
      <c r="AB832" s="299"/>
      <c r="AC832" s="300"/>
      <c r="AD832" s="300"/>
    </row>
    <row r="833" spans="1:30" ht="12.75" customHeight="1" x14ac:dyDescent="0.2">
      <c r="A833" s="296"/>
      <c r="B833" s="296"/>
      <c r="C833" s="296"/>
      <c r="D833" s="298"/>
      <c r="E833" s="298"/>
      <c r="F833" s="296"/>
      <c r="G833" s="296"/>
      <c r="H833" s="296"/>
      <c r="I833" s="296"/>
      <c r="J833" s="296"/>
      <c r="K833" s="296"/>
      <c r="L833" s="296"/>
      <c r="M833" s="299"/>
      <c r="N833" s="299"/>
      <c r="O833" s="299"/>
      <c r="P833" s="299"/>
      <c r="Q833" s="299"/>
      <c r="R833" s="299"/>
      <c r="S833" s="299"/>
      <c r="T833" s="299"/>
      <c r="U833" s="299"/>
      <c r="V833" s="299"/>
      <c r="W833" s="299"/>
      <c r="X833" s="299"/>
      <c r="Y833" s="299"/>
      <c r="Z833" s="299"/>
      <c r="AA833" s="299"/>
      <c r="AB833" s="299"/>
      <c r="AC833" s="300"/>
      <c r="AD833" s="300"/>
    </row>
    <row r="834" spans="1:30" ht="12.75" customHeight="1" x14ac:dyDescent="0.2">
      <c r="A834" s="296"/>
      <c r="B834" s="296"/>
      <c r="C834" s="296"/>
      <c r="D834" s="298"/>
      <c r="E834" s="298"/>
      <c r="F834" s="296"/>
      <c r="G834" s="296"/>
      <c r="H834" s="296"/>
      <c r="I834" s="296"/>
      <c r="J834" s="296"/>
      <c r="K834" s="296"/>
      <c r="L834" s="296"/>
      <c r="M834" s="299"/>
      <c r="N834" s="299"/>
      <c r="O834" s="299"/>
      <c r="P834" s="299"/>
      <c r="Q834" s="299"/>
      <c r="R834" s="299"/>
      <c r="S834" s="299"/>
      <c r="T834" s="299"/>
      <c r="U834" s="299"/>
      <c r="V834" s="299"/>
      <c r="W834" s="299"/>
      <c r="X834" s="299"/>
      <c r="Y834" s="299"/>
      <c r="Z834" s="299"/>
      <c r="AA834" s="299"/>
      <c r="AB834" s="299"/>
      <c r="AC834" s="300"/>
      <c r="AD834" s="300"/>
    </row>
    <row r="835" spans="1:30" ht="12.75" customHeight="1" x14ac:dyDescent="0.2">
      <c r="A835" s="296"/>
      <c r="B835" s="296"/>
      <c r="C835" s="296"/>
      <c r="D835" s="298"/>
      <c r="E835" s="298"/>
      <c r="F835" s="296"/>
      <c r="G835" s="296"/>
      <c r="H835" s="296"/>
      <c r="I835" s="296"/>
      <c r="J835" s="296"/>
      <c r="K835" s="296"/>
      <c r="L835" s="296"/>
      <c r="M835" s="299"/>
      <c r="N835" s="299"/>
      <c r="O835" s="299"/>
      <c r="P835" s="299"/>
      <c r="Q835" s="299"/>
      <c r="R835" s="299"/>
      <c r="S835" s="299"/>
      <c r="T835" s="299"/>
      <c r="U835" s="299"/>
      <c r="V835" s="299"/>
      <c r="W835" s="299"/>
      <c r="X835" s="299"/>
      <c r="Y835" s="299"/>
      <c r="Z835" s="299"/>
      <c r="AA835" s="299"/>
      <c r="AB835" s="299"/>
      <c r="AC835" s="300"/>
      <c r="AD835" s="300"/>
    </row>
    <row r="836" spans="1:30" ht="12.75" customHeight="1" x14ac:dyDescent="0.2">
      <c r="A836" s="296"/>
      <c r="B836" s="296"/>
      <c r="C836" s="296"/>
      <c r="D836" s="298"/>
      <c r="E836" s="298"/>
      <c r="F836" s="296"/>
      <c r="G836" s="296"/>
      <c r="H836" s="296"/>
      <c r="I836" s="296"/>
      <c r="J836" s="296"/>
      <c r="K836" s="296"/>
      <c r="L836" s="296"/>
      <c r="M836" s="299"/>
      <c r="N836" s="299"/>
      <c r="O836" s="299"/>
      <c r="P836" s="299"/>
      <c r="Q836" s="299"/>
      <c r="R836" s="299"/>
      <c r="S836" s="299"/>
      <c r="T836" s="299"/>
      <c r="U836" s="299"/>
      <c r="V836" s="299"/>
      <c r="W836" s="299"/>
      <c r="X836" s="299"/>
      <c r="Y836" s="299"/>
      <c r="Z836" s="299"/>
      <c r="AA836" s="299"/>
      <c r="AB836" s="299"/>
      <c r="AC836" s="300"/>
      <c r="AD836" s="300"/>
    </row>
    <row r="837" spans="1:30" ht="12.75" customHeight="1" x14ac:dyDescent="0.2">
      <c r="A837" s="296"/>
      <c r="B837" s="296"/>
      <c r="C837" s="296"/>
      <c r="D837" s="298"/>
      <c r="E837" s="298"/>
      <c r="F837" s="296"/>
      <c r="G837" s="296"/>
      <c r="H837" s="296"/>
      <c r="I837" s="296"/>
      <c r="J837" s="296"/>
      <c r="K837" s="296"/>
      <c r="L837" s="296"/>
      <c r="M837" s="299"/>
      <c r="N837" s="299"/>
      <c r="O837" s="299"/>
      <c r="P837" s="299"/>
      <c r="Q837" s="299"/>
      <c r="R837" s="299"/>
      <c r="S837" s="299"/>
      <c r="T837" s="299"/>
      <c r="U837" s="299"/>
      <c r="V837" s="299"/>
      <c r="W837" s="299"/>
      <c r="X837" s="299"/>
      <c r="Y837" s="299"/>
      <c r="Z837" s="299"/>
      <c r="AA837" s="299"/>
      <c r="AB837" s="299"/>
      <c r="AC837" s="300"/>
      <c r="AD837" s="300"/>
    </row>
    <row r="838" spans="1:30" ht="12.75" customHeight="1" x14ac:dyDescent="0.2">
      <c r="A838" s="296"/>
      <c r="B838" s="296"/>
      <c r="C838" s="296"/>
      <c r="D838" s="298"/>
      <c r="E838" s="298"/>
      <c r="F838" s="296"/>
      <c r="G838" s="296"/>
      <c r="H838" s="296"/>
      <c r="I838" s="296"/>
      <c r="J838" s="296"/>
      <c r="K838" s="296"/>
      <c r="L838" s="296"/>
      <c r="M838" s="299"/>
      <c r="N838" s="299"/>
      <c r="O838" s="299"/>
      <c r="P838" s="299"/>
      <c r="Q838" s="299"/>
      <c r="R838" s="299"/>
      <c r="S838" s="299"/>
      <c r="T838" s="299"/>
      <c r="U838" s="299"/>
      <c r="V838" s="299"/>
      <c r="W838" s="299"/>
      <c r="X838" s="299"/>
      <c r="Y838" s="299"/>
      <c r="Z838" s="299"/>
      <c r="AA838" s="299"/>
      <c r="AB838" s="299"/>
      <c r="AC838" s="300"/>
      <c r="AD838" s="300"/>
    </row>
    <row r="839" spans="1:30" ht="12.75" customHeight="1" x14ac:dyDescent="0.2">
      <c r="A839" s="296"/>
      <c r="B839" s="296"/>
      <c r="C839" s="296"/>
      <c r="D839" s="298"/>
      <c r="E839" s="298"/>
      <c r="F839" s="296"/>
      <c r="G839" s="296"/>
      <c r="H839" s="296"/>
      <c r="I839" s="296"/>
      <c r="J839" s="296"/>
      <c r="K839" s="296"/>
      <c r="L839" s="296"/>
      <c r="M839" s="299"/>
      <c r="N839" s="299"/>
      <c r="O839" s="299"/>
      <c r="P839" s="299"/>
      <c r="Q839" s="299"/>
      <c r="R839" s="299"/>
      <c r="S839" s="299"/>
      <c r="T839" s="299"/>
      <c r="U839" s="299"/>
      <c r="V839" s="299"/>
      <c r="W839" s="299"/>
      <c r="X839" s="299"/>
      <c r="Y839" s="299"/>
      <c r="Z839" s="299"/>
      <c r="AA839" s="299"/>
      <c r="AB839" s="299"/>
      <c r="AC839" s="300"/>
      <c r="AD839" s="300"/>
    </row>
    <row r="840" spans="1:30" ht="12.75" customHeight="1" x14ac:dyDescent="0.2">
      <c r="A840" s="296"/>
      <c r="B840" s="296"/>
      <c r="C840" s="296"/>
      <c r="D840" s="298"/>
      <c r="E840" s="298"/>
      <c r="F840" s="296"/>
      <c r="G840" s="296"/>
      <c r="H840" s="296"/>
      <c r="I840" s="296"/>
      <c r="J840" s="296"/>
      <c r="K840" s="296"/>
      <c r="L840" s="296"/>
      <c r="M840" s="299"/>
      <c r="N840" s="299"/>
      <c r="O840" s="299"/>
      <c r="P840" s="299"/>
      <c r="Q840" s="299"/>
      <c r="R840" s="299"/>
      <c r="S840" s="299"/>
      <c r="T840" s="299"/>
      <c r="U840" s="299"/>
      <c r="V840" s="299"/>
      <c r="W840" s="299"/>
      <c r="X840" s="299"/>
      <c r="Y840" s="299"/>
      <c r="Z840" s="299"/>
      <c r="AA840" s="299"/>
      <c r="AB840" s="299"/>
      <c r="AC840" s="300"/>
      <c r="AD840" s="300"/>
    </row>
    <row r="841" spans="1:30" ht="12.75" customHeight="1" x14ac:dyDescent="0.2">
      <c r="A841" s="296"/>
      <c r="B841" s="296"/>
      <c r="C841" s="296"/>
      <c r="D841" s="298"/>
      <c r="E841" s="298"/>
      <c r="F841" s="296"/>
      <c r="G841" s="296"/>
      <c r="H841" s="296"/>
      <c r="I841" s="296"/>
      <c r="J841" s="296"/>
      <c r="K841" s="296"/>
      <c r="L841" s="296"/>
      <c r="M841" s="299"/>
      <c r="N841" s="299"/>
      <c r="O841" s="299"/>
      <c r="P841" s="299"/>
      <c r="Q841" s="299"/>
      <c r="R841" s="299"/>
      <c r="S841" s="299"/>
      <c r="T841" s="299"/>
      <c r="U841" s="299"/>
      <c r="V841" s="299"/>
      <c r="W841" s="299"/>
      <c r="X841" s="299"/>
      <c r="Y841" s="299"/>
      <c r="Z841" s="299"/>
      <c r="AA841" s="299"/>
      <c r="AB841" s="299"/>
      <c r="AC841" s="300"/>
      <c r="AD841" s="300"/>
    </row>
    <row r="842" spans="1:30" ht="12.75" customHeight="1" x14ac:dyDescent="0.2">
      <c r="A842" s="296"/>
      <c r="B842" s="296"/>
      <c r="C842" s="296"/>
      <c r="D842" s="298"/>
      <c r="E842" s="298"/>
      <c r="F842" s="296"/>
      <c r="G842" s="296"/>
      <c r="H842" s="296"/>
      <c r="I842" s="296"/>
      <c r="J842" s="296"/>
      <c r="K842" s="296"/>
      <c r="L842" s="296"/>
      <c r="M842" s="299"/>
      <c r="N842" s="299"/>
      <c r="O842" s="299"/>
      <c r="P842" s="299"/>
      <c r="Q842" s="299"/>
      <c r="R842" s="299"/>
      <c r="S842" s="299"/>
      <c r="T842" s="299"/>
      <c r="U842" s="299"/>
      <c r="V842" s="299"/>
      <c r="W842" s="299"/>
      <c r="X842" s="299"/>
      <c r="Y842" s="299"/>
      <c r="Z842" s="299"/>
      <c r="AA842" s="299"/>
      <c r="AB842" s="299"/>
      <c r="AC842" s="300"/>
      <c r="AD842" s="300"/>
    </row>
    <row r="843" spans="1:30" ht="12.75" customHeight="1" x14ac:dyDescent="0.2">
      <c r="A843" s="296"/>
      <c r="B843" s="296"/>
      <c r="C843" s="296"/>
      <c r="D843" s="298"/>
      <c r="E843" s="298"/>
      <c r="F843" s="296"/>
      <c r="G843" s="296"/>
      <c r="H843" s="296"/>
      <c r="I843" s="296"/>
      <c r="J843" s="296"/>
      <c r="K843" s="296"/>
      <c r="L843" s="296"/>
      <c r="M843" s="299"/>
      <c r="N843" s="299"/>
      <c r="O843" s="299"/>
      <c r="P843" s="299"/>
      <c r="Q843" s="299"/>
      <c r="R843" s="299"/>
      <c r="S843" s="299"/>
      <c r="T843" s="299"/>
      <c r="U843" s="299"/>
      <c r="V843" s="299"/>
      <c r="W843" s="299"/>
      <c r="X843" s="299"/>
      <c r="Y843" s="299"/>
      <c r="Z843" s="299"/>
      <c r="AA843" s="299"/>
      <c r="AB843" s="299"/>
      <c r="AC843" s="300"/>
      <c r="AD843" s="300"/>
    </row>
    <row r="844" spans="1:30" ht="12.75" customHeight="1" x14ac:dyDescent="0.2">
      <c r="A844" s="296"/>
      <c r="B844" s="296"/>
      <c r="C844" s="296"/>
      <c r="D844" s="298"/>
      <c r="E844" s="298"/>
      <c r="F844" s="296"/>
      <c r="G844" s="296"/>
      <c r="H844" s="296"/>
      <c r="I844" s="296"/>
      <c r="J844" s="296"/>
      <c r="K844" s="296"/>
      <c r="L844" s="296"/>
      <c r="M844" s="299"/>
      <c r="N844" s="299"/>
      <c r="O844" s="299"/>
      <c r="P844" s="299"/>
      <c r="Q844" s="299"/>
      <c r="R844" s="299"/>
      <c r="S844" s="299"/>
      <c r="T844" s="299"/>
      <c r="U844" s="299"/>
      <c r="V844" s="299"/>
      <c r="W844" s="299"/>
      <c r="X844" s="299"/>
      <c r="Y844" s="299"/>
      <c r="Z844" s="299"/>
      <c r="AA844" s="299"/>
      <c r="AB844" s="299"/>
      <c r="AC844" s="300"/>
      <c r="AD844" s="300"/>
    </row>
    <row r="845" spans="1:30" ht="12.75" customHeight="1" x14ac:dyDescent="0.2">
      <c r="A845" s="296"/>
      <c r="B845" s="296"/>
      <c r="C845" s="296"/>
      <c r="D845" s="298"/>
      <c r="E845" s="298"/>
      <c r="F845" s="296"/>
      <c r="G845" s="296"/>
      <c r="H845" s="296"/>
      <c r="I845" s="296"/>
      <c r="J845" s="296"/>
      <c r="K845" s="296"/>
      <c r="L845" s="296"/>
      <c r="M845" s="299"/>
      <c r="N845" s="299"/>
      <c r="O845" s="299"/>
      <c r="P845" s="299"/>
      <c r="Q845" s="299"/>
      <c r="R845" s="299"/>
      <c r="S845" s="299"/>
      <c r="T845" s="299"/>
      <c r="U845" s="299"/>
      <c r="V845" s="299"/>
      <c r="W845" s="299"/>
      <c r="X845" s="299"/>
      <c r="Y845" s="299"/>
      <c r="Z845" s="299"/>
      <c r="AA845" s="299"/>
      <c r="AB845" s="299"/>
      <c r="AC845" s="300"/>
      <c r="AD845" s="300"/>
    </row>
    <row r="846" spans="1:30" ht="12.75" customHeight="1" x14ac:dyDescent="0.2">
      <c r="A846" s="296"/>
      <c r="B846" s="296"/>
      <c r="C846" s="296"/>
      <c r="D846" s="298"/>
      <c r="E846" s="298"/>
      <c r="F846" s="296"/>
      <c r="G846" s="296"/>
      <c r="H846" s="296"/>
      <c r="I846" s="296"/>
      <c r="J846" s="296"/>
      <c r="K846" s="296"/>
      <c r="L846" s="296"/>
      <c r="M846" s="299"/>
      <c r="N846" s="299"/>
      <c r="O846" s="299"/>
      <c r="P846" s="299"/>
      <c r="Q846" s="299"/>
      <c r="R846" s="299"/>
      <c r="S846" s="299"/>
      <c r="T846" s="299"/>
      <c r="U846" s="299"/>
      <c r="V846" s="299"/>
      <c r="W846" s="299"/>
      <c r="X846" s="299"/>
      <c r="Y846" s="299"/>
      <c r="Z846" s="299"/>
      <c r="AA846" s="299"/>
      <c r="AB846" s="299"/>
      <c r="AC846" s="300"/>
      <c r="AD846" s="300"/>
    </row>
    <row r="847" spans="1:30" ht="12.75" customHeight="1" x14ac:dyDescent="0.2">
      <c r="A847" s="296"/>
      <c r="B847" s="296"/>
      <c r="C847" s="296"/>
      <c r="D847" s="298"/>
      <c r="E847" s="298"/>
      <c r="F847" s="296"/>
      <c r="G847" s="296"/>
      <c r="H847" s="296"/>
      <c r="I847" s="296"/>
      <c r="J847" s="296"/>
      <c r="K847" s="296"/>
      <c r="L847" s="296"/>
      <c r="M847" s="299"/>
      <c r="N847" s="299"/>
      <c r="O847" s="299"/>
      <c r="P847" s="299"/>
      <c r="Q847" s="299"/>
      <c r="R847" s="299"/>
      <c r="S847" s="299"/>
      <c r="T847" s="299"/>
      <c r="U847" s="299"/>
      <c r="V847" s="299"/>
      <c r="W847" s="299"/>
      <c r="X847" s="299"/>
      <c r="Y847" s="299"/>
      <c r="Z847" s="299"/>
      <c r="AA847" s="299"/>
      <c r="AB847" s="299"/>
      <c r="AC847" s="300"/>
      <c r="AD847" s="300"/>
    </row>
    <row r="848" spans="1:30" ht="12.75" customHeight="1" x14ac:dyDescent="0.2">
      <c r="A848" s="296"/>
      <c r="B848" s="296"/>
      <c r="C848" s="296"/>
      <c r="D848" s="298"/>
      <c r="E848" s="298"/>
      <c r="F848" s="296"/>
      <c r="G848" s="296"/>
      <c r="H848" s="296"/>
      <c r="I848" s="296"/>
      <c r="J848" s="296"/>
      <c r="K848" s="296"/>
      <c r="L848" s="296"/>
      <c r="M848" s="299"/>
      <c r="N848" s="299"/>
      <c r="O848" s="299"/>
      <c r="P848" s="299"/>
      <c r="Q848" s="299"/>
      <c r="R848" s="299"/>
      <c r="S848" s="299"/>
      <c r="T848" s="299"/>
      <c r="U848" s="299"/>
      <c r="V848" s="299"/>
      <c r="W848" s="299"/>
      <c r="X848" s="299"/>
      <c r="Y848" s="299"/>
      <c r="Z848" s="299"/>
      <c r="AA848" s="299"/>
      <c r="AB848" s="299"/>
      <c r="AC848" s="300"/>
      <c r="AD848" s="300"/>
    </row>
    <row r="849" spans="1:30" ht="12.75" customHeight="1" x14ac:dyDescent="0.2">
      <c r="A849" s="296"/>
      <c r="B849" s="296"/>
      <c r="C849" s="296"/>
      <c r="D849" s="298"/>
      <c r="E849" s="298"/>
      <c r="F849" s="296"/>
      <c r="G849" s="296"/>
      <c r="H849" s="296"/>
      <c r="I849" s="296"/>
      <c r="J849" s="296"/>
      <c r="K849" s="296"/>
      <c r="L849" s="296"/>
      <c r="M849" s="299"/>
      <c r="N849" s="299"/>
      <c r="O849" s="299"/>
      <c r="P849" s="299"/>
      <c r="Q849" s="299"/>
      <c r="R849" s="299"/>
      <c r="S849" s="299"/>
      <c r="T849" s="299"/>
      <c r="U849" s="299"/>
      <c r="V849" s="299"/>
      <c r="W849" s="299"/>
      <c r="X849" s="299"/>
      <c r="Y849" s="299"/>
      <c r="Z849" s="299"/>
      <c r="AA849" s="299"/>
      <c r="AB849" s="299"/>
      <c r="AC849" s="300"/>
      <c r="AD849" s="300"/>
    </row>
    <row r="850" spans="1:30" ht="12.75" customHeight="1" x14ac:dyDescent="0.2">
      <c r="A850" s="296"/>
      <c r="B850" s="296"/>
      <c r="C850" s="296"/>
      <c r="D850" s="298"/>
      <c r="E850" s="298"/>
      <c r="F850" s="296"/>
      <c r="G850" s="296"/>
      <c r="H850" s="296"/>
      <c r="I850" s="296"/>
      <c r="J850" s="296"/>
      <c r="K850" s="296"/>
      <c r="L850" s="296"/>
      <c r="M850" s="299"/>
      <c r="N850" s="299"/>
      <c r="O850" s="299"/>
      <c r="P850" s="299"/>
      <c r="Q850" s="299"/>
      <c r="R850" s="299"/>
      <c r="S850" s="299"/>
      <c r="T850" s="299"/>
      <c r="U850" s="299"/>
      <c r="V850" s="299"/>
      <c r="W850" s="299"/>
      <c r="X850" s="299"/>
      <c r="Y850" s="299"/>
      <c r="Z850" s="299"/>
      <c r="AA850" s="299"/>
      <c r="AB850" s="299"/>
      <c r="AC850" s="300"/>
      <c r="AD850" s="300"/>
    </row>
    <row r="851" spans="1:30" ht="12.75" customHeight="1" x14ac:dyDescent="0.2">
      <c r="A851" s="296"/>
      <c r="B851" s="296"/>
      <c r="C851" s="296"/>
      <c r="D851" s="298"/>
      <c r="E851" s="298"/>
      <c r="F851" s="296"/>
      <c r="G851" s="296"/>
      <c r="H851" s="296"/>
      <c r="I851" s="296"/>
      <c r="J851" s="296"/>
      <c r="K851" s="296"/>
      <c r="L851" s="296"/>
      <c r="M851" s="299"/>
      <c r="N851" s="299"/>
      <c r="O851" s="299"/>
      <c r="P851" s="299"/>
      <c r="Q851" s="299"/>
      <c r="R851" s="299"/>
      <c r="S851" s="299"/>
      <c r="T851" s="299"/>
      <c r="U851" s="299"/>
      <c r="V851" s="299"/>
      <c r="W851" s="299"/>
      <c r="X851" s="299"/>
      <c r="Y851" s="299"/>
      <c r="Z851" s="299"/>
      <c r="AA851" s="299"/>
      <c r="AB851" s="299"/>
      <c r="AC851" s="300"/>
      <c r="AD851" s="300"/>
    </row>
    <row r="852" spans="1:30" ht="12.75" customHeight="1" x14ac:dyDescent="0.2">
      <c r="A852" s="296"/>
      <c r="B852" s="296"/>
      <c r="C852" s="296"/>
      <c r="D852" s="298"/>
      <c r="E852" s="298"/>
      <c r="F852" s="296"/>
      <c r="G852" s="296"/>
      <c r="H852" s="296"/>
      <c r="I852" s="296"/>
      <c r="J852" s="296"/>
      <c r="K852" s="296"/>
      <c r="L852" s="296"/>
      <c r="M852" s="299"/>
      <c r="N852" s="299"/>
      <c r="O852" s="299"/>
      <c r="P852" s="299"/>
      <c r="Q852" s="299"/>
      <c r="R852" s="299"/>
      <c r="S852" s="299"/>
      <c r="T852" s="299"/>
      <c r="U852" s="299"/>
      <c r="V852" s="299"/>
      <c r="W852" s="299"/>
      <c r="X852" s="299"/>
      <c r="Y852" s="299"/>
      <c r="Z852" s="299"/>
      <c r="AA852" s="299"/>
      <c r="AB852" s="299"/>
      <c r="AC852" s="300"/>
      <c r="AD852" s="300"/>
    </row>
    <row r="853" spans="1:30" ht="12.75" customHeight="1" x14ac:dyDescent="0.2">
      <c r="A853" s="296"/>
      <c r="B853" s="296"/>
      <c r="C853" s="296"/>
      <c r="D853" s="298"/>
      <c r="E853" s="298"/>
      <c r="F853" s="296"/>
      <c r="G853" s="296"/>
      <c r="H853" s="296"/>
      <c r="I853" s="296"/>
      <c r="J853" s="296"/>
      <c r="K853" s="296"/>
      <c r="L853" s="296"/>
      <c r="M853" s="299"/>
      <c r="N853" s="299"/>
      <c r="O853" s="299"/>
      <c r="P853" s="299"/>
      <c r="Q853" s="299"/>
      <c r="R853" s="299"/>
      <c r="S853" s="299"/>
      <c r="T853" s="299"/>
      <c r="U853" s="299"/>
      <c r="V853" s="299"/>
      <c r="W853" s="299"/>
      <c r="X853" s="299"/>
      <c r="Y853" s="299"/>
      <c r="Z853" s="299"/>
      <c r="AA853" s="299"/>
      <c r="AB853" s="299"/>
      <c r="AC853" s="300"/>
      <c r="AD853" s="300"/>
    </row>
    <row r="854" spans="1:30" ht="12.75" customHeight="1" x14ac:dyDescent="0.2">
      <c r="A854" s="296"/>
      <c r="B854" s="296"/>
      <c r="C854" s="296"/>
      <c r="D854" s="298"/>
      <c r="E854" s="298"/>
      <c r="F854" s="296"/>
      <c r="G854" s="296"/>
      <c r="H854" s="296"/>
      <c r="I854" s="296"/>
      <c r="J854" s="296"/>
      <c r="K854" s="296"/>
      <c r="L854" s="296"/>
      <c r="M854" s="299"/>
      <c r="N854" s="299"/>
      <c r="O854" s="299"/>
      <c r="P854" s="299"/>
      <c r="Q854" s="299"/>
      <c r="R854" s="299"/>
      <c r="S854" s="299"/>
      <c r="T854" s="299"/>
      <c r="U854" s="299"/>
      <c r="V854" s="299"/>
      <c r="W854" s="299"/>
      <c r="X854" s="299"/>
      <c r="Y854" s="299"/>
      <c r="Z854" s="299"/>
      <c r="AA854" s="299"/>
      <c r="AB854" s="299"/>
      <c r="AC854" s="300"/>
      <c r="AD854" s="300"/>
    </row>
    <row r="855" spans="1:30" ht="12.75" customHeight="1" x14ac:dyDescent="0.2">
      <c r="A855" s="296"/>
      <c r="B855" s="296"/>
      <c r="C855" s="296"/>
      <c r="D855" s="298"/>
      <c r="E855" s="298"/>
      <c r="F855" s="296"/>
      <c r="G855" s="296"/>
      <c r="H855" s="296"/>
      <c r="I855" s="296"/>
      <c r="J855" s="296"/>
      <c r="K855" s="296"/>
      <c r="L855" s="296"/>
      <c r="M855" s="299"/>
      <c r="N855" s="299"/>
      <c r="O855" s="299"/>
      <c r="P855" s="299"/>
      <c r="Q855" s="299"/>
      <c r="R855" s="299"/>
      <c r="S855" s="299"/>
      <c r="T855" s="299"/>
      <c r="U855" s="299"/>
      <c r="V855" s="299"/>
      <c r="W855" s="299"/>
      <c r="X855" s="299"/>
      <c r="Y855" s="299"/>
      <c r="Z855" s="299"/>
      <c r="AA855" s="299"/>
      <c r="AB855" s="299"/>
      <c r="AC855" s="300"/>
      <c r="AD855" s="300"/>
    </row>
    <row r="856" spans="1:30" ht="12.75" customHeight="1" x14ac:dyDescent="0.2">
      <c r="A856" s="296"/>
      <c r="B856" s="296"/>
      <c r="C856" s="296"/>
      <c r="D856" s="298"/>
      <c r="E856" s="298"/>
      <c r="F856" s="296"/>
      <c r="G856" s="296"/>
      <c r="H856" s="296"/>
      <c r="I856" s="296"/>
      <c r="J856" s="296"/>
      <c r="K856" s="296"/>
      <c r="L856" s="296"/>
      <c r="M856" s="299"/>
      <c r="N856" s="299"/>
      <c r="O856" s="299"/>
      <c r="P856" s="299"/>
      <c r="Q856" s="299"/>
      <c r="R856" s="299"/>
      <c r="S856" s="299"/>
      <c r="T856" s="299"/>
      <c r="U856" s="299"/>
      <c r="V856" s="299"/>
      <c r="W856" s="299"/>
      <c r="X856" s="299"/>
      <c r="Y856" s="299"/>
      <c r="Z856" s="299"/>
      <c r="AA856" s="299"/>
      <c r="AB856" s="299"/>
      <c r="AC856" s="300"/>
      <c r="AD856" s="300"/>
    </row>
    <row r="857" spans="1:30" ht="12.75" customHeight="1" x14ac:dyDescent="0.2">
      <c r="A857" s="296"/>
      <c r="B857" s="296"/>
      <c r="C857" s="296"/>
      <c r="D857" s="298"/>
      <c r="E857" s="298"/>
      <c r="F857" s="296"/>
      <c r="G857" s="296"/>
      <c r="H857" s="296"/>
      <c r="I857" s="296"/>
      <c r="J857" s="296"/>
      <c r="K857" s="296"/>
      <c r="L857" s="296"/>
      <c r="M857" s="299"/>
      <c r="N857" s="299"/>
      <c r="O857" s="299"/>
      <c r="P857" s="299"/>
      <c r="Q857" s="299"/>
      <c r="R857" s="299"/>
      <c r="S857" s="299"/>
      <c r="T857" s="299"/>
      <c r="U857" s="299"/>
      <c r="V857" s="299"/>
      <c r="W857" s="299"/>
      <c r="X857" s="299"/>
      <c r="Y857" s="299"/>
      <c r="Z857" s="299"/>
      <c r="AA857" s="299"/>
      <c r="AB857" s="299"/>
      <c r="AC857" s="300"/>
      <c r="AD857" s="300"/>
    </row>
    <row r="858" spans="1:30" ht="12.75" customHeight="1" x14ac:dyDescent="0.2">
      <c r="A858" s="296"/>
      <c r="B858" s="296"/>
      <c r="C858" s="296"/>
      <c r="D858" s="298"/>
      <c r="E858" s="298"/>
      <c r="F858" s="296"/>
      <c r="G858" s="296"/>
      <c r="H858" s="296"/>
      <c r="I858" s="296"/>
      <c r="J858" s="296"/>
      <c r="K858" s="296"/>
      <c r="L858" s="296"/>
      <c r="M858" s="299"/>
      <c r="N858" s="299"/>
      <c r="O858" s="299"/>
      <c r="P858" s="299"/>
      <c r="Q858" s="299"/>
      <c r="R858" s="299"/>
      <c r="S858" s="299"/>
      <c r="T858" s="299"/>
      <c r="U858" s="299"/>
      <c r="V858" s="299"/>
      <c r="W858" s="299"/>
      <c r="X858" s="299"/>
      <c r="Y858" s="299"/>
      <c r="Z858" s="299"/>
      <c r="AA858" s="299"/>
      <c r="AB858" s="299"/>
      <c r="AC858" s="300"/>
      <c r="AD858" s="300"/>
    </row>
    <row r="859" spans="1:30" ht="12.75" customHeight="1" x14ac:dyDescent="0.2">
      <c r="A859" s="296"/>
      <c r="B859" s="296"/>
      <c r="C859" s="296"/>
      <c r="D859" s="298"/>
      <c r="E859" s="298"/>
      <c r="F859" s="296"/>
      <c r="G859" s="296"/>
      <c r="H859" s="296"/>
      <c r="I859" s="296"/>
      <c r="J859" s="296"/>
      <c r="K859" s="296"/>
      <c r="L859" s="296"/>
      <c r="M859" s="299"/>
      <c r="N859" s="299"/>
      <c r="O859" s="299"/>
      <c r="P859" s="299"/>
      <c r="Q859" s="299"/>
      <c r="R859" s="299"/>
      <c r="S859" s="299"/>
      <c r="T859" s="299"/>
      <c r="U859" s="299"/>
      <c r="V859" s="299"/>
      <c r="W859" s="299"/>
      <c r="X859" s="299"/>
      <c r="Y859" s="299"/>
      <c r="Z859" s="299"/>
      <c r="AA859" s="299"/>
      <c r="AB859" s="299"/>
      <c r="AC859" s="300"/>
      <c r="AD859" s="300"/>
    </row>
    <row r="860" spans="1:30" ht="12.75" customHeight="1" x14ac:dyDescent="0.2">
      <c r="A860" s="296"/>
      <c r="B860" s="296"/>
      <c r="C860" s="296"/>
      <c r="D860" s="298"/>
      <c r="E860" s="298"/>
      <c r="F860" s="296"/>
      <c r="G860" s="296"/>
      <c r="H860" s="296"/>
      <c r="I860" s="296"/>
      <c r="J860" s="296"/>
      <c r="K860" s="296"/>
      <c r="L860" s="296"/>
      <c r="M860" s="299"/>
      <c r="N860" s="299"/>
      <c r="O860" s="299"/>
      <c r="P860" s="299"/>
      <c r="Q860" s="299"/>
      <c r="R860" s="299"/>
      <c r="S860" s="299"/>
      <c r="T860" s="299"/>
      <c r="U860" s="299"/>
      <c r="V860" s="299"/>
      <c r="W860" s="299"/>
      <c r="X860" s="299"/>
      <c r="Y860" s="299"/>
      <c r="Z860" s="299"/>
      <c r="AA860" s="299"/>
      <c r="AB860" s="299"/>
      <c r="AC860" s="300"/>
      <c r="AD860" s="300"/>
    </row>
    <row r="861" spans="1:30" ht="12.75" customHeight="1" x14ac:dyDescent="0.2">
      <c r="A861" s="296"/>
      <c r="B861" s="296"/>
      <c r="C861" s="296"/>
      <c r="D861" s="298"/>
      <c r="E861" s="298"/>
      <c r="F861" s="296"/>
      <c r="G861" s="296"/>
      <c r="H861" s="296"/>
      <c r="I861" s="296"/>
      <c r="J861" s="296"/>
      <c r="K861" s="296"/>
      <c r="L861" s="296"/>
      <c r="M861" s="299"/>
      <c r="N861" s="299"/>
      <c r="O861" s="299"/>
      <c r="P861" s="299"/>
      <c r="Q861" s="299"/>
      <c r="R861" s="299"/>
      <c r="S861" s="299"/>
      <c r="T861" s="299"/>
      <c r="U861" s="299"/>
      <c r="V861" s="299"/>
      <c r="W861" s="299"/>
      <c r="X861" s="299"/>
      <c r="Y861" s="299"/>
      <c r="Z861" s="299"/>
      <c r="AA861" s="299"/>
      <c r="AB861" s="299"/>
      <c r="AC861" s="300"/>
      <c r="AD861" s="300"/>
    </row>
    <row r="862" spans="1:30" ht="12.75" customHeight="1" x14ac:dyDescent="0.2">
      <c r="A862" s="296"/>
      <c r="B862" s="296"/>
      <c r="C862" s="296"/>
      <c r="D862" s="298"/>
      <c r="E862" s="298"/>
      <c r="F862" s="296"/>
      <c r="G862" s="296"/>
      <c r="H862" s="296"/>
      <c r="I862" s="296"/>
      <c r="J862" s="296"/>
      <c r="K862" s="296"/>
      <c r="L862" s="296"/>
      <c r="M862" s="299"/>
      <c r="N862" s="299"/>
      <c r="O862" s="299"/>
      <c r="P862" s="299"/>
      <c r="Q862" s="299"/>
      <c r="R862" s="299"/>
      <c r="S862" s="299"/>
      <c r="T862" s="299"/>
      <c r="U862" s="299"/>
      <c r="V862" s="299"/>
      <c r="W862" s="299"/>
      <c r="X862" s="299"/>
      <c r="Y862" s="299"/>
      <c r="Z862" s="299"/>
      <c r="AA862" s="299"/>
      <c r="AB862" s="299"/>
      <c r="AC862" s="300"/>
      <c r="AD862" s="300"/>
    </row>
    <row r="863" spans="1:30" ht="12.75" customHeight="1" x14ac:dyDescent="0.2">
      <c r="A863" s="296"/>
      <c r="B863" s="296"/>
      <c r="C863" s="296"/>
      <c r="D863" s="298"/>
      <c r="E863" s="298"/>
      <c r="F863" s="296"/>
      <c r="G863" s="296"/>
      <c r="H863" s="296"/>
      <c r="I863" s="296"/>
      <c r="J863" s="296"/>
      <c r="K863" s="296"/>
      <c r="L863" s="296"/>
      <c r="M863" s="299"/>
      <c r="N863" s="299"/>
      <c r="O863" s="299"/>
      <c r="P863" s="299"/>
      <c r="Q863" s="299"/>
      <c r="R863" s="299"/>
      <c r="S863" s="299"/>
      <c r="T863" s="299"/>
      <c r="U863" s="299"/>
      <c r="V863" s="299"/>
      <c r="W863" s="299"/>
      <c r="X863" s="299"/>
      <c r="Y863" s="299"/>
      <c r="Z863" s="299"/>
      <c r="AA863" s="299"/>
      <c r="AB863" s="299"/>
      <c r="AC863" s="300"/>
      <c r="AD863" s="300"/>
    </row>
    <row r="864" spans="1:30" ht="12.75" customHeight="1" x14ac:dyDescent="0.2">
      <c r="A864" s="296"/>
      <c r="B864" s="296"/>
      <c r="C864" s="296"/>
      <c r="D864" s="298"/>
      <c r="E864" s="298"/>
      <c r="F864" s="296"/>
      <c r="G864" s="296"/>
      <c r="H864" s="296"/>
      <c r="I864" s="296"/>
      <c r="J864" s="296"/>
      <c r="K864" s="296"/>
      <c r="L864" s="296"/>
      <c r="M864" s="299"/>
      <c r="N864" s="299"/>
      <c r="O864" s="299"/>
      <c r="P864" s="299"/>
      <c r="Q864" s="299"/>
      <c r="R864" s="299"/>
      <c r="S864" s="299"/>
      <c r="T864" s="299"/>
      <c r="U864" s="299"/>
      <c r="V864" s="299"/>
      <c r="W864" s="299"/>
      <c r="X864" s="299"/>
      <c r="Y864" s="299"/>
      <c r="Z864" s="299"/>
      <c r="AA864" s="299"/>
      <c r="AB864" s="299"/>
      <c r="AC864" s="300"/>
      <c r="AD864" s="300"/>
    </row>
    <row r="865" spans="1:30" ht="12.75" customHeight="1" x14ac:dyDescent="0.2">
      <c r="A865" s="296"/>
      <c r="B865" s="296"/>
      <c r="C865" s="296"/>
      <c r="D865" s="298"/>
      <c r="E865" s="298"/>
      <c r="F865" s="296"/>
      <c r="G865" s="296"/>
      <c r="H865" s="296"/>
      <c r="I865" s="296"/>
      <c r="J865" s="296"/>
      <c r="K865" s="296"/>
      <c r="L865" s="296"/>
      <c r="M865" s="299"/>
      <c r="N865" s="299"/>
      <c r="O865" s="299"/>
      <c r="P865" s="299"/>
      <c r="Q865" s="299"/>
      <c r="R865" s="299"/>
      <c r="S865" s="299"/>
      <c r="T865" s="299"/>
      <c r="U865" s="299"/>
      <c r="V865" s="299"/>
      <c r="W865" s="299"/>
      <c r="X865" s="299"/>
      <c r="Y865" s="299"/>
      <c r="Z865" s="299"/>
      <c r="AA865" s="299"/>
      <c r="AB865" s="299"/>
      <c r="AC865" s="300"/>
      <c r="AD865" s="300"/>
    </row>
    <row r="866" spans="1:30" ht="12.75" customHeight="1" x14ac:dyDescent="0.2">
      <c r="A866" s="296"/>
      <c r="B866" s="296"/>
      <c r="C866" s="296"/>
      <c r="D866" s="298"/>
      <c r="E866" s="298"/>
      <c r="F866" s="296"/>
      <c r="G866" s="296"/>
      <c r="H866" s="296"/>
      <c r="I866" s="296"/>
      <c r="J866" s="296"/>
      <c r="K866" s="296"/>
      <c r="L866" s="296"/>
      <c r="M866" s="299"/>
      <c r="N866" s="299"/>
      <c r="O866" s="299"/>
      <c r="P866" s="299"/>
      <c r="Q866" s="299"/>
      <c r="R866" s="299"/>
      <c r="S866" s="299"/>
      <c r="T866" s="299"/>
      <c r="U866" s="299"/>
      <c r="V866" s="299"/>
      <c r="W866" s="299"/>
      <c r="X866" s="299"/>
      <c r="Y866" s="299"/>
      <c r="Z866" s="299"/>
      <c r="AA866" s="299"/>
      <c r="AB866" s="299"/>
      <c r="AC866" s="300"/>
      <c r="AD866" s="300"/>
    </row>
    <row r="867" spans="1:30" ht="12.75" customHeight="1" x14ac:dyDescent="0.2">
      <c r="A867" s="296"/>
      <c r="B867" s="296"/>
      <c r="C867" s="296"/>
      <c r="D867" s="298"/>
      <c r="E867" s="298"/>
      <c r="F867" s="296"/>
      <c r="G867" s="296"/>
      <c r="H867" s="296"/>
      <c r="I867" s="296"/>
      <c r="J867" s="296"/>
      <c r="K867" s="296"/>
      <c r="L867" s="296"/>
      <c r="M867" s="299"/>
      <c r="N867" s="299"/>
      <c r="O867" s="299"/>
      <c r="P867" s="299"/>
      <c r="Q867" s="299"/>
      <c r="R867" s="299"/>
      <c r="S867" s="299"/>
      <c r="T867" s="299"/>
      <c r="U867" s="299"/>
      <c r="V867" s="299"/>
      <c r="W867" s="299"/>
      <c r="X867" s="299"/>
      <c r="Y867" s="299"/>
      <c r="Z867" s="299"/>
      <c r="AA867" s="299"/>
      <c r="AB867" s="299"/>
      <c r="AC867" s="300"/>
      <c r="AD867" s="300"/>
    </row>
    <row r="868" spans="1:30" ht="12.75" customHeight="1" x14ac:dyDescent="0.2">
      <c r="A868" s="296"/>
      <c r="B868" s="296"/>
      <c r="C868" s="296"/>
      <c r="D868" s="298"/>
      <c r="E868" s="298"/>
      <c r="F868" s="296"/>
      <c r="G868" s="296"/>
      <c r="H868" s="296"/>
      <c r="I868" s="296"/>
      <c r="J868" s="296"/>
      <c r="K868" s="296"/>
      <c r="L868" s="296"/>
      <c r="M868" s="299"/>
      <c r="N868" s="299"/>
      <c r="O868" s="299"/>
      <c r="P868" s="299"/>
      <c r="Q868" s="299"/>
      <c r="R868" s="299"/>
      <c r="S868" s="299"/>
      <c r="T868" s="299"/>
      <c r="U868" s="299"/>
      <c r="V868" s="299"/>
      <c r="W868" s="299"/>
      <c r="X868" s="299"/>
      <c r="Y868" s="299"/>
      <c r="Z868" s="299"/>
      <c r="AA868" s="299"/>
      <c r="AB868" s="299"/>
      <c r="AC868" s="300"/>
      <c r="AD868" s="300"/>
    </row>
    <row r="869" spans="1:30" ht="12.75" customHeight="1" x14ac:dyDescent="0.2">
      <c r="A869" s="296"/>
      <c r="B869" s="296"/>
      <c r="C869" s="296"/>
      <c r="D869" s="298"/>
      <c r="E869" s="298"/>
      <c r="F869" s="296"/>
      <c r="G869" s="296"/>
      <c r="H869" s="296"/>
      <c r="I869" s="296"/>
      <c r="J869" s="296"/>
      <c r="K869" s="296"/>
      <c r="L869" s="296"/>
      <c r="M869" s="299"/>
      <c r="N869" s="299"/>
      <c r="O869" s="299"/>
      <c r="P869" s="299"/>
      <c r="Q869" s="299"/>
      <c r="R869" s="299"/>
      <c r="S869" s="299"/>
      <c r="T869" s="299"/>
      <c r="U869" s="299"/>
      <c r="V869" s="299"/>
      <c r="W869" s="299"/>
      <c r="X869" s="299"/>
      <c r="Y869" s="299"/>
      <c r="Z869" s="299"/>
      <c r="AA869" s="299"/>
      <c r="AB869" s="299"/>
      <c r="AC869" s="300"/>
      <c r="AD869" s="300"/>
    </row>
    <row r="870" spans="1:30" ht="12.75" customHeight="1" x14ac:dyDescent="0.2">
      <c r="A870" s="296"/>
      <c r="B870" s="296"/>
      <c r="C870" s="296"/>
      <c r="D870" s="298"/>
      <c r="E870" s="298"/>
      <c r="F870" s="296"/>
      <c r="G870" s="296"/>
      <c r="H870" s="296"/>
      <c r="I870" s="296"/>
      <c r="J870" s="296"/>
      <c r="K870" s="296"/>
      <c r="L870" s="296"/>
      <c r="M870" s="299"/>
      <c r="N870" s="299"/>
      <c r="O870" s="299"/>
      <c r="P870" s="299"/>
      <c r="Q870" s="299"/>
      <c r="R870" s="299"/>
      <c r="S870" s="299"/>
      <c r="T870" s="299"/>
      <c r="U870" s="299"/>
      <c r="V870" s="299"/>
      <c r="W870" s="299"/>
      <c r="X870" s="299"/>
      <c r="Y870" s="299"/>
      <c r="Z870" s="299"/>
      <c r="AA870" s="299"/>
      <c r="AB870" s="299"/>
      <c r="AC870" s="300"/>
      <c r="AD870" s="300"/>
    </row>
    <row r="871" spans="1:30" ht="12.75" customHeight="1" x14ac:dyDescent="0.2">
      <c r="A871" s="296"/>
      <c r="B871" s="296"/>
      <c r="C871" s="296"/>
      <c r="D871" s="298"/>
      <c r="E871" s="298"/>
      <c r="F871" s="296"/>
      <c r="G871" s="296"/>
      <c r="H871" s="296"/>
      <c r="I871" s="296"/>
      <c r="J871" s="296"/>
      <c r="K871" s="296"/>
      <c r="L871" s="296"/>
      <c r="M871" s="299"/>
      <c r="N871" s="299"/>
      <c r="O871" s="299"/>
      <c r="P871" s="299"/>
      <c r="Q871" s="299"/>
      <c r="R871" s="299"/>
      <c r="S871" s="299"/>
      <c r="T871" s="299"/>
      <c r="U871" s="299"/>
      <c r="V871" s="299"/>
      <c r="W871" s="299"/>
      <c r="X871" s="299"/>
      <c r="Y871" s="299"/>
      <c r="Z871" s="299"/>
      <c r="AA871" s="299"/>
      <c r="AB871" s="299"/>
      <c r="AC871" s="300"/>
      <c r="AD871" s="300"/>
    </row>
    <row r="872" spans="1:30" ht="12.75" customHeight="1" x14ac:dyDescent="0.2">
      <c r="A872" s="296"/>
      <c r="B872" s="296"/>
      <c r="C872" s="296"/>
      <c r="D872" s="298"/>
      <c r="E872" s="298"/>
      <c r="F872" s="296"/>
      <c r="G872" s="296"/>
      <c r="H872" s="296"/>
      <c r="I872" s="296"/>
      <c r="J872" s="296"/>
      <c r="K872" s="296"/>
      <c r="L872" s="296"/>
      <c r="M872" s="299"/>
      <c r="N872" s="299"/>
      <c r="O872" s="299"/>
      <c r="P872" s="299"/>
      <c r="Q872" s="299"/>
      <c r="R872" s="299"/>
      <c r="S872" s="299"/>
      <c r="T872" s="299"/>
      <c r="U872" s="299"/>
      <c r="V872" s="299"/>
      <c r="W872" s="299"/>
      <c r="X872" s="299"/>
      <c r="Y872" s="299"/>
      <c r="Z872" s="299"/>
      <c r="AA872" s="299"/>
      <c r="AB872" s="299"/>
      <c r="AC872" s="300"/>
      <c r="AD872" s="300"/>
    </row>
    <row r="873" spans="1:30" ht="12.75" customHeight="1" x14ac:dyDescent="0.2">
      <c r="A873" s="296"/>
      <c r="B873" s="296"/>
      <c r="C873" s="296"/>
      <c r="D873" s="298"/>
      <c r="E873" s="298"/>
      <c r="F873" s="296"/>
      <c r="G873" s="296"/>
      <c r="H873" s="296"/>
      <c r="I873" s="296"/>
      <c r="J873" s="296"/>
      <c r="K873" s="296"/>
      <c r="L873" s="296"/>
      <c r="M873" s="299"/>
      <c r="N873" s="299"/>
      <c r="O873" s="299"/>
      <c r="P873" s="299"/>
      <c r="Q873" s="299"/>
      <c r="R873" s="299"/>
      <c r="S873" s="299"/>
      <c r="T873" s="299"/>
      <c r="U873" s="299"/>
      <c r="V873" s="299"/>
      <c r="W873" s="299"/>
      <c r="X873" s="299"/>
      <c r="Y873" s="299"/>
      <c r="Z873" s="299"/>
      <c r="AA873" s="299"/>
      <c r="AB873" s="299"/>
      <c r="AC873" s="300"/>
      <c r="AD873" s="300"/>
    </row>
    <row r="874" spans="1:30" ht="12.75" customHeight="1" x14ac:dyDescent="0.2">
      <c r="A874" s="296"/>
      <c r="B874" s="296"/>
      <c r="C874" s="296"/>
      <c r="D874" s="298"/>
      <c r="E874" s="298"/>
      <c r="F874" s="296"/>
      <c r="G874" s="296"/>
      <c r="H874" s="296"/>
      <c r="I874" s="296"/>
      <c r="J874" s="296"/>
      <c r="K874" s="296"/>
      <c r="L874" s="296"/>
      <c r="M874" s="299"/>
      <c r="N874" s="299"/>
      <c r="O874" s="299"/>
      <c r="P874" s="299"/>
      <c r="Q874" s="299"/>
      <c r="R874" s="299"/>
      <c r="S874" s="299"/>
      <c r="T874" s="299"/>
      <c r="U874" s="299"/>
      <c r="V874" s="299"/>
      <c r="W874" s="299"/>
      <c r="X874" s="299"/>
      <c r="Y874" s="299"/>
      <c r="Z874" s="299"/>
      <c r="AA874" s="299"/>
      <c r="AB874" s="299"/>
      <c r="AC874" s="300"/>
      <c r="AD874" s="300"/>
    </row>
    <row r="875" spans="1:30" ht="12.75" customHeight="1" x14ac:dyDescent="0.2">
      <c r="A875" s="296"/>
      <c r="B875" s="296"/>
      <c r="C875" s="296"/>
      <c r="D875" s="298"/>
      <c r="E875" s="298"/>
      <c r="F875" s="296"/>
      <c r="G875" s="296"/>
      <c r="H875" s="296"/>
      <c r="I875" s="296"/>
      <c r="J875" s="296"/>
      <c r="K875" s="296"/>
      <c r="L875" s="296"/>
      <c r="M875" s="299"/>
      <c r="N875" s="299"/>
      <c r="O875" s="299"/>
      <c r="P875" s="299"/>
      <c r="Q875" s="299"/>
      <c r="R875" s="299"/>
      <c r="S875" s="299"/>
      <c r="T875" s="299"/>
      <c r="U875" s="299"/>
      <c r="V875" s="299"/>
      <c r="W875" s="299"/>
      <c r="X875" s="299"/>
      <c r="Y875" s="299"/>
      <c r="Z875" s="299"/>
      <c r="AA875" s="299"/>
      <c r="AB875" s="299"/>
      <c r="AC875" s="300"/>
      <c r="AD875" s="300"/>
    </row>
    <row r="876" spans="1:30" ht="12.75" customHeight="1" x14ac:dyDescent="0.2">
      <c r="A876" s="296"/>
      <c r="B876" s="296"/>
      <c r="C876" s="296"/>
      <c r="D876" s="298"/>
      <c r="E876" s="298"/>
      <c r="F876" s="296"/>
      <c r="G876" s="296"/>
      <c r="H876" s="296"/>
      <c r="I876" s="296"/>
      <c r="J876" s="296"/>
      <c r="K876" s="296"/>
      <c r="L876" s="296"/>
      <c r="M876" s="299"/>
      <c r="N876" s="299"/>
      <c r="O876" s="299"/>
      <c r="P876" s="299"/>
      <c r="Q876" s="299"/>
      <c r="R876" s="299"/>
      <c r="S876" s="299"/>
      <c r="T876" s="299"/>
      <c r="U876" s="299"/>
      <c r="V876" s="299"/>
      <c r="W876" s="299"/>
      <c r="X876" s="299"/>
      <c r="Y876" s="299"/>
      <c r="Z876" s="299"/>
      <c r="AA876" s="299"/>
      <c r="AB876" s="299"/>
      <c r="AC876" s="300"/>
      <c r="AD876" s="300"/>
    </row>
    <row r="877" spans="1:30" ht="12.75" customHeight="1" x14ac:dyDescent="0.2">
      <c r="A877" s="296"/>
      <c r="B877" s="296"/>
      <c r="C877" s="296"/>
      <c r="D877" s="298"/>
      <c r="E877" s="298"/>
      <c r="F877" s="296"/>
      <c r="G877" s="296"/>
      <c r="H877" s="296"/>
      <c r="I877" s="296"/>
      <c r="J877" s="296"/>
      <c r="K877" s="296"/>
      <c r="L877" s="296"/>
      <c r="M877" s="299"/>
      <c r="N877" s="299"/>
      <c r="O877" s="299"/>
      <c r="P877" s="299"/>
      <c r="Q877" s="299"/>
      <c r="R877" s="299"/>
      <c r="S877" s="299"/>
      <c r="T877" s="299"/>
      <c r="U877" s="299"/>
      <c r="V877" s="299"/>
      <c r="W877" s="299"/>
      <c r="X877" s="299"/>
      <c r="Y877" s="299"/>
      <c r="Z877" s="299"/>
      <c r="AA877" s="299"/>
      <c r="AB877" s="299"/>
      <c r="AC877" s="300"/>
      <c r="AD877" s="300"/>
    </row>
    <row r="878" spans="1:30" ht="12.75" customHeight="1" x14ac:dyDescent="0.2">
      <c r="A878" s="296"/>
      <c r="B878" s="296"/>
      <c r="C878" s="296"/>
      <c r="D878" s="298"/>
      <c r="E878" s="298"/>
      <c r="F878" s="296"/>
      <c r="G878" s="296"/>
      <c r="H878" s="296"/>
      <c r="I878" s="296"/>
      <c r="J878" s="296"/>
      <c r="K878" s="296"/>
      <c r="L878" s="296"/>
      <c r="M878" s="299"/>
      <c r="N878" s="299"/>
      <c r="O878" s="299"/>
      <c r="P878" s="299"/>
      <c r="Q878" s="299"/>
      <c r="R878" s="299"/>
      <c r="S878" s="299"/>
      <c r="T878" s="299"/>
      <c r="U878" s="299"/>
      <c r="V878" s="299"/>
      <c r="W878" s="299"/>
      <c r="X878" s="299"/>
      <c r="Y878" s="299"/>
      <c r="Z878" s="299"/>
      <c r="AA878" s="299"/>
      <c r="AB878" s="299"/>
      <c r="AC878" s="300"/>
      <c r="AD878" s="300"/>
    </row>
    <row r="879" spans="1:30" ht="12.75" customHeight="1" x14ac:dyDescent="0.2">
      <c r="A879" s="296"/>
      <c r="B879" s="296"/>
      <c r="C879" s="296"/>
      <c r="D879" s="298"/>
      <c r="E879" s="298"/>
      <c r="F879" s="296"/>
      <c r="G879" s="296"/>
      <c r="H879" s="296"/>
      <c r="I879" s="296"/>
      <c r="J879" s="296"/>
      <c r="K879" s="296"/>
      <c r="L879" s="296"/>
      <c r="M879" s="299"/>
      <c r="N879" s="299"/>
      <c r="O879" s="299"/>
      <c r="P879" s="299"/>
      <c r="Q879" s="299"/>
      <c r="R879" s="299"/>
      <c r="S879" s="299"/>
      <c r="T879" s="299"/>
      <c r="U879" s="299"/>
      <c r="V879" s="299"/>
      <c r="W879" s="299"/>
      <c r="X879" s="299"/>
      <c r="Y879" s="299"/>
      <c r="Z879" s="299"/>
      <c r="AA879" s="299"/>
      <c r="AB879" s="299"/>
      <c r="AC879" s="300"/>
      <c r="AD879" s="300"/>
    </row>
    <row r="880" spans="1:30" ht="12.75" customHeight="1" x14ac:dyDescent="0.2">
      <c r="A880" s="296"/>
      <c r="B880" s="296"/>
      <c r="C880" s="296"/>
      <c r="D880" s="298"/>
      <c r="E880" s="298"/>
      <c r="F880" s="296"/>
      <c r="G880" s="296"/>
      <c r="H880" s="296"/>
      <c r="I880" s="296"/>
      <c r="J880" s="296"/>
      <c r="K880" s="296"/>
      <c r="L880" s="296"/>
      <c r="M880" s="299"/>
      <c r="N880" s="299"/>
      <c r="O880" s="299"/>
      <c r="P880" s="299"/>
      <c r="Q880" s="299"/>
      <c r="R880" s="299"/>
      <c r="S880" s="299"/>
      <c r="T880" s="299"/>
      <c r="U880" s="299"/>
      <c r="V880" s="299"/>
      <c r="W880" s="299"/>
      <c r="X880" s="299"/>
      <c r="Y880" s="299"/>
      <c r="Z880" s="299"/>
      <c r="AA880" s="299"/>
      <c r="AB880" s="299"/>
      <c r="AC880" s="300"/>
      <c r="AD880" s="300"/>
    </row>
    <row r="881" spans="1:30" ht="12.75" customHeight="1" x14ac:dyDescent="0.2">
      <c r="A881" s="296"/>
      <c r="B881" s="296"/>
      <c r="C881" s="296"/>
      <c r="D881" s="298"/>
      <c r="E881" s="298"/>
      <c r="F881" s="296"/>
      <c r="G881" s="296"/>
      <c r="H881" s="296"/>
      <c r="I881" s="296"/>
      <c r="J881" s="296"/>
      <c r="K881" s="296"/>
      <c r="L881" s="296"/>
      <c r="M881" s="299"/>
      <c r="N881" s="299"/>
      <c r="O881" s="299"/>
      <c r="P881" s="299"/>
      <c r="Q881" s="299"/>
      <c r="R881" s="299"/>
      <c r="S881" s="299"/>
      <c r="T881" s="299"/>
      <c r="U881" s="299"/>
      <c r="V881" s="299"/>
      <c r="W881" s="299"/>
      <c r="X881" s="299"/>
      <c r="Y881" s="299"/>
      <c r="Z881" s="299"/>
      <c r="AA881" s="299"/>
      <c r="AB881" s="299"/>
      <c r="AC881" s="300"/>
      <c r="AD881" s="300"/>
    </row>
    <row r="882" spans="1:30" ht="12.75" customHeight="1" x14ac:dyDescent="0.2">
      <c r="A882" s="296"/>
      <c r="B882" s="296"/>
      <c r="C882" s="296"/>
      <c r="D882" s="298"/>
      <c r="E882" s="298"/>
      <c r="F882" s="296"/>
      <c r="G882" s="296"/>
      <c r="H882" s="296"/>
      <c r="I882" s="296"/>
      <c r="J882" s="296"/>
      <c r="K882" s="296"/>
      <c r="L882" s="296"/>
      <c r="M882" s="299"/>
      <c r="N882" s="299"/>
      <c r="O882" s="299"/>
      <c r="P882" s="299"/>
      <c r="Q882" s="299"/>
      <c r="R882" s="299"/>
      <c r="S882" s="299"/>
      <c r="T882" s="299"/>
      <c r="U882" s="299"/>
      <c r="V882" s="299"/>
      <c r="W882" s="299"/>
      <c r="X882" s="299"/>
      <c r="Y882" s="299"/>
      <c r="Z882" s="299"/>
      <c r="AA882" s="299"/>
      <c r="AB882" s="299"/>
      <c r="AC882" s="300"/>
      <c r="AD882" s="300"/>
    </row>
    <row r="883" spans="1:30" ht="12.75" customHeight="1" x14ac:dyDescent="0.2">
      <c r="A883" s="296"/>
      <c r="B883" s="296"/>
      <c r="C883" s="296"/>
      <c r="D883" s="298"/>
      <c r="E883" s="298"/>
      <c r="F883" s="296"/>
      <c r="G883" s="296"/>
      <c r="H883" s="296"/>
      <c r="I883" s="296"/>
      <c r="J883" s="296"/>
      <c r="K883" s="296"/>
      <c r="L883" s="296"/>
      <c r="M883" s="299"/>
      <c r="N883" s="299"/>
      <c r="O883" s="299"/>
      <c r="P883" s="299"/>
      <c r="Q883" s="299"/>
      <c r="R883" s="299"/>
      <c r="S883" s="299"/>
      <c r="T883" s="299"/>
      <c r="U883" s="299"/>
      <c r="V883" s="299"/>
      <c r="W883" s="299"/>
      <c r="X883" s="299"/>
      <c r="Y883" s="299"/>
      <c r="Z883" s="299"/>
      <c r="AA883" s="299"/>
      <c r="AB883" s="299"/>
      <c r="AC883" s="300"/>
      <c r="AD883" s="300"/>
    </row>
    <row r="884" spans="1:30" ht="12.75" customHeight="1" x14ac:dyDescent="0.2">
      <c r="A884" s="296"/>
      <c r="B884" s="296"/>
      <c r="C884" s="296"/>
      <c r="D884" s="298"/>
      <c r="E884" s="298"/>
      <c r="F884" s="296"/>
      <c r="G884" s="296"/>
      <c r="H884" s="296"/>
      <c r="I884" s="296"/>
      <c r="J884" s="296"/>
      <c r="K884" s="296"/>
      <c r="L884" s="296"/>
      <c r="M884" s="299"/>
      <c r="N884" s="299"/>
      <c r="O884" s="299"/>
      <c r="P884" s="299"/>
      <c r="Q884" s="299"/>
      <c r="R884" s="299"/>
      <c r="S884" s="299"/>
      <c r="T884" s="299"/>
      <c r="U884" s="299"/>
      <c r="V884" s="299"/>
      <c r="W884" s="299"/>
      <c r="X884" s="299"/>
      <c r="Y884" s="299"/>
      <c r="Z884" s="299"/>
      <c r="AA884" s="299"/>
      <c r="AB884" s="299"/>
      <c r="AC884" s="300"/>
      <c r="AD884" s="300"/>
    </row>
    <row r="885" spans="1:30" ht="12.75" customHeight="1" x14ac:dyDescent="0.2">
      <c r="A885" s="296"/>
      <c r="B885" s="296"/>
      <c r="C885" s="296"/>
      <c r="D885" s="298"/>
      <c r="E885" s="298"/>
      <c r="F885" s="296"/>
      <c r="G885" s="296"/>
      <c r="H885" s="296"/>
      <c r="I885" s="296"/>
      <c r="J885" s="296"/>
      <c r="K885" s="296"/>
      <c r="L885" s="296"/>
      <c r="M885" s="299"/>
      <c r="N885" s="299"/>
      <c r="O885" s="299"/>
      <c r="P885" s="299"/>
      <c r="Q885" s="299"/>
      <c r="R885" s="299"/>
      <c r="S885" s="299"/>
      <c r="T885" s="299"/>
      <c r="U885" s="299"/>
      <c r="V885" s="299"/>
      <c r="W885" s="299"/>
      <c r="X885" s="299"/>
      <c r="Y885" s="299"/>
      <c r="Z885" s="299"/>
      <c r="AA885" s="299"/>
      <c r="AB885" s="299"/>
      <c r="AC885" s="300"/>
      <c r="AD885" s="300"/>
    </row>
    <row r="886" spans="1:30" ht="12.75" customHeight="1" x14ac:dyDescent="0.2">
      <c r="A886" s="296"/>
      <c r="B886" s="296"/>
      <c r="C886" s="296"/>
      <c r="D886" s="298"/>
      <c r="E886" s="298"/>
      <c r="F886" s="296"/>
      <c r="G886" s="296"/>
      <c r="H886" s="296"/>
      <c r="I886" s="296"/>
      <c r="J886" s="296"/>
      <c r="K886" s="296"/>
      <c r="L886" s="296"/>
      <c r="M886" s="299"/>
      <c r="N886" s="299"/>
      <c r="O886" s="299"/>
      <c r="P886" s="299"/>
      <c r="Q886" s="299"/>
      <c r="R886" s="299"/>
      <c r="S886" s="299"/>
      <c r="T886" s="299"/>
      <c r="U886" s="299"/>
      <c r="V886" s="299"/>
      <c r="W886" s="299"/>
      <c r="X886" s="299"/>
      <c r="Y886" s="299"/>
      <c r="Z886" s="299"/>
      <c r="AA886" s="299"/>
      <c r="AB886" s="299"/>
      <c r="AC886" s="300"/>
      <c r="AD886" s="300"/>
    </row>
    <row r="887" spans="1:30" ht="12.75" customHeight="1" x14ac:dyDescent="0.2">
      <c r="A887" s="296"/>
      <c r="B887" s="296"/>
      <c r="C887" s="296"/>
      <c r="D887" s="298"/>
      <c r="E887" s="298"/>
      <c r="F887" s="296"/>
      <c r="G887" s="296"/>
      <c r="H887" s="296"/>
      <c r="I887" s="296"/>
      <c r="J887" s="296"/>
      <c r="K887" s="296"/>
      <c r="L887" s="296"/>
      <c r="M887" s="299"/>
      <c r="N887" s="299"/>
      <c r="O887" s="299"/>
      <c r="P887" s="299"/>
      <c r="Q887" s="299"/>
      <c r="R887" s="299"/>
      <c r="S887" s="299"/>
      <c r="T887" s="299"/>
      <c r="U887" s="299"/>
      <c r="V887" s="299"/>
      <c r="W887" s="299"/>
      <c r="X887" s="299"/>
      <c r="Y887" s="299"/>
      <c r="Z887" s="299"/>
      <c r="AA887" s="299"/>
      <c r="AB887" s="299"/>
      <c r="AC887" s="300"/>
      <c r="AD887" s="300"/>
    </row>
    <row r="888" spans="1:30" ht="12.75" customHeight="1" x14ac:dyDescent="0.2">
      <c r="A888" s="296"/>
      <c r="B888" s="296"/>
      <c r="C888" s="296"/>
      <c r="D888" s="298"/>
      <c r="E888" s="298"/>
      <c r="F888" s="296"/>
      <c r="G888" s="296"/>
      <c r="H888" s="296"/>
      <c r="I888" s="296"/>
      <c r="J888" s="296"/>
      <c r="K888" s="296"/>
      <c r="L888" s="296"/>
      <c r="M888" s="299"/>
      <c r="N888" s="299"/>
      <c r="O888" s="299"/>
      <c r="P888" s="299"/>
      <c r="Q888" s="299"/>
      <c r="R888" s="299"/>
      <c r="S888" s="299"/>
      <c r="T888" s="299"/>
      <c r="U888" s="299"/>
      <c r="V888" s="299"/>
      <c r="W888" s="299"/>
      <c r="X888" s="299"/>
      <c r="Y888" s="299"/>
      <c r="Z888" s="299"/>
      <c r="AA888" s="299"/>
      <c r="AB888" s="299"/>
      <c r="AC888" s="300"/>
      <c r="AD888" s="300"/>
    </row>
    <row r="889" spans="1:30" ht="12.75" customHeight="1" x14ac:dyDescent="0.2">
      <c r="A889" s="296"/>
      <c r="B889" s="296"/>
      <c r="C889" s="296"/>
      <c r="D889" s="298"/>
      <c r="E889" s="298"/>
      <c r="F889" s="296"/>
      <c r="G889" s="296"/>
      <c r="H889" s="296"/>
      <c r="I889" s="296"/>
      <c r="J889" s="296"/>
      <c r="K889" s="296"/>
      <c r="L889" s="296"/>
      <c r="M889" s="299"/>
      <c r="N889" s="299"/>
      <c r="O889" s="299"/>
      <c r="P889" s="299"/>
      <c r="Q889" s="299"/>
      <c r="R889" s="299"/>
      <c r="S889" s="299"/>
      <c r="T889" s="299"/>
      <c r="U889" s="299"/>
      <c r="V889" s="299"/>
      <c r="W889" s="299"/>
      <c r="X889" s="299"/>
      <c r="Y889" s="299"/>
      <c r="Z889" s="299"/>
      <c r="AA889" s="299"/>
      <c r="AB889" s="299"/>
      <c r="AC889" s="300"/>
      <c r="AD889" s="300"/>
    </row>
    <row r="890" spans="1:30" ht="12.75" customHeight="1" x14ac:dyDescent="0.2">
      <c r="A890" s="296"/>
      <c r="B890" s="296"/>
      <c r="C890" s="296"/>
      <c r="D890" s="298"/>
      <c r="E890" s="298"/>
      <c r="F890" s="296"/>
      <c r="G890" s="296"/>
      <c r="H890" s="296"/>
      <c r="I890" s="296"/>
      <c r="J890" s="296"/>
      <c r="K890" s="296"/>
      <c r="L890" s="296"/>
      <c r="M890" s="299"/>
      <c r="N890" s="299"/>
      <c r="O890" s="299"/>
      <c r="P890" s="299"/>
      <c r="Q890" s="299"/>
      <c r="R890" s="299"/>
      <c r="S890" s="299"/>
      <c r="T890" s="299"/>
      <c r="U890" s="299"/>
      <c r="V890" s="299"/>
      <c r="W890" s="299"/>
      <c r="X890" s="299"/>
      <c r="Y890" s="299"/>
      <c r="Z890" s="299"/>
      <c r="AA890" s="299"/>
      <c r="AB890" s="299"/>
      <c r="AC890" s="300"/>
      <c r="AD890" s="300"/>
    </row>
    <row r="891" spans="1:30" ht="12.75" customHeight="1" x14ac:dyDescent="0.2">
      <c r="A891" s="296"/>
      <c r="B891" s="296"/>
      <c r="C891" s="296"/>
      <c r="D891" s="298"/>
      <c r="E891" s="298"/>
      <c r="F891" s="296"/>
      <c r="G891" s="296"/>
      <c r="H891" s="296"/>
      <c r="I891" s="296"/>
      <c r="J891" s="296"/>
      <c r="K891" s="296"/>
      <c r="L891" s="296"/>
      <c r="M891" s="299"/>
      <c r="N891" s="299"/>
      <c r="O891" s="299"/>
      <c r="P891" s="299"/>
      <c r="Q891" s="299"/>
      <c r="R891" s="299"/>
      <c r="S891" s="299"/>
      <c r="T891" s="299"/>
      <c r="U891" s="299"/>
      <c r="V891" s="299"/>
      <c r="W891" s="299"/>
      <c r="X891" s="299"/>
      <c r="Y891" s="299"/>
      <c r="Z891" s="299"/>
      <c r="AA891" s="299"/>
      <c r="AB891" s="299"/>
      <c r="AC891" s="300"/>
      <c r="AD891" s="300"/>
    </row>
    <row r="892" spans="1:30" ht="12.75" customHeight="1" x14ac:dyDescent="0.2">
      <c r="A892" s="296"/>
      <c r="B892" s="296"/>
      <c r="C892" s="296"/>
      <c r="D892" s="298"/>
      <c r="E892" s="298"/>
      <c r="F892" s="296"/>
      <c r="G892" s="296"/>
      <c r="H892" s="296"/>
      <c r="I892" s="296"/>
      <c r="J892" s="296"/>
      <c r="K892" s="296"/>
      <c r="L892" s="296"/>
      <c r="M892" s="299"/>
      <c r="N892" s="299"/>
      <c r="O892" s="299"/>
      <c r="P892" s="299"/>
      <c r="Q892" s="299"/>
      <c r="R892" s="299"/>
      <c r="S892" s="299"/>
      <c r="T892" s="299"/>
      <c r="U892" s="299"/>
      <c r="V892" s="299"/>
      <c r="W892" s="299"/>
      <c r="X892" s="299"/>
      <c r="Y892" s="299"/>
      <c r="Z892" s="299"/>
      <c r="AA892" s="299"/>
      <c r="AB892" s="299"/>
      <c r="AC892" s="300"/>
      <c r="AD892" s="300"/>
    </row>
    <row r="893" spans="1:30" ht="12.75" customHeight="1" x14ac:dyDescent="0.2">
      <c r="A893" s="296"/>
      <c r="B893" s="296"/>
      <c r="C893" s="296"/>
      <c r="D893" s="298"/>
      <c r="E893" s="298"/>
      <c r="F893" s="296"/>
      <c r="G893" s="296"/>
      <c r="H893" s="296"/>
      <c r="I893" s="296"/>
      <c r="J893" s="296"/>
      <c r="K893" s="296"/>
      <c r="L893" s="296"/>
      <c r="M893" s="299"/>
      <c r="N893" s="299"/>
      <c r="O893" s="299"/>
      <c r="P893" s="299"/>
      <c r="Q893" s="299"/>
      <c r="R893" s="299"/>
      <c r="S893" s="299"/>
      <c r="T893" s="299"/>
      <c r="U893" s="299"/>
      <c r="V893" s="299"/>
      <c r="W893" s="299"/>
      <c r="X893" s="299"/>
      <c r="Y893" s="299"/>
      <c r="Z893" s="299"/>
      <c r="AA893" s="299"/>
      <c r="AB893" s="299"/>
      <c r="AC893" s="300"/>
      <c r="AD893" s="300"/>
    </row>
    <row r="894" spans="1:30" ht="12.75" customHeight="1" x14ac:dyDescent="0.2">
      <c r="A894" s="296"/>
      <c r="B894" s="296"/>
      <c r="C894" s="296"/>
      <c r="D894" s="298"/>
      <c r="E894" s="298"/>
      <c r="F894" s="296"/>
      <c r="G894" s="296"/>
      <c r="H894" s="296"/>
      <c r="I894" s="296"/>
      <c r="J894" s="296"/>
      <c r="K894" s="296"/>
      <c r="L894" s="296"/>
      <c r="M894" s="299"/>
      <c r="N894" s="299"/>
      <c r="O894" s="299"/>
      <c r="P894" s="299"/>
      <c r="Q894" s="299"/>
      <c r="R894" s="299"/>
      <c r="S894" s="299"/>
      <c r="T894" s="299"/>
      <c r="U894" s="299"/>
      <c r="V894" s="299"/>
      <c r="W894" s="299"/>
      <c r="X894" s="299"/>
      <c r="Y894" s="299"/>
      <c r="Z894" s="299"/>
      <c r="AA894" s="299"/>
      <c r="AB894" s="299"/>
      <c r="AC894" s="300"/>
      <c r="AD894" s="300"/>
    </row>
    <row r="895" spans="1:30" ht="12.75" customHeight="1" x14ac:dyDescent="0.2">
      <c r="A895" s="296"/>
      <c r="B895" s="296"/>
      <c r="C895" s="296"/>
      <c r="D895" s="298"/>
      <c r="E895" s="298"/>
      <c r="F895" s="296"/>
      <c r="G895" s="296"/>
      <c r="H895" s="296"/>
      <c r="I895" s="296"/>
      <c r="J895" s="296"/>
      <c r="K895" s="296"/>
      <c r="L895" s="296"/>
      <c r="M895" s="299"/>
      <c r="N895" s="299"/>
      <c r="O895" s="299"/>
      <c r="P895" s="299"/>
      <c r="Q895" s="299"/>
      <c r="R895" s="299"/>
      <c r="S895" s="299"/>
      <c r="T895" s="299"/>
      <c r="U895" s="299"/>
      <c r="V895" s="299"/>
      <c r="W895" s="299"/>
      <c r="X895" s="299"/>
      <c r="Y895" s="299"/>
      <c r="Z895" s="299"/>
      <c r="AA895" s="299"/>
      <c r="AB895" s="299"/>
      <c r="AC895" s="300"/>
      <c r="AD895" s="300"/>
    </row>
    <row r="896" spans="1:30" ht="12.75" customHeight="1" x14ac:dyDescent="0.2">
      <c r="A896" s="296"/>
      <c r="B896" s="296"/>
      <c r="C896" s="296"/>
      <c r="D896" s="298"/>
      <c r="E896" s="298"/>
      <c r="F896" s="296"/>
      <c r="G896" s="296"/>
      <c r="H896" s="296"/>
      <c r="I896" s="296"/>
      <c r="J896" s="296"/>
      <c r="K896" s="296"/>
      <c r="L896" s="296"/>
      <c r="M896" s="299"/>
      <c r="N896" s="299"/>
      <c r="O896" s="299"/>
      <c r="P896" s="299"/>
      <c r="Q896" s="299"/>
      <c r="R896" s="299"/>
      <c r="S896" s="299"/>
      <c r="T896" s="299"/>
      <c r="U896" s="299"/>
      <c r="V896" s="299"/>
      <c r="W896" s="299"/>
      <c r="X896" s="299"/>
      <c r="Y896" s="299"/>
      <c r="Z896" s="299"/>
      <c r="AA896" s="299"/>
      <c r="AB896" s="299"/>
      <c r="AC896" s="300"/>
      <c r="AD896" s="300"/>
    </row>
    <row r="897" spans="1:30" ht="12.75" customHeight="1" x14ac:dyDescent="0.2">
      <c r="A897" s="296"/>
      <c r="B897" s="296"/>
      <c r="C897" s="296"/>
      <c r="D897" s="298"/>
      <c r="E897" s="298"/>
      <c r="F897" s="296"/>
      <c r="G897" s="296"/>
      <c r="H897" s="296"/>
      <c r="I897" s="296"/>
      <c r="J897" s="296"/>
      <c r="K897" s="296"/>
      <c r="L897" s="296"/>
      <c r="M897" s="299"/>
      <c r="N897" s="299"/>
      <c r="O897" s="299"/>
      <c r="P897" s="299"/>
      <c r="Q897" s="299"/>
      <c r="R897" s="299"/>
      <c r="S897" s="299"/>
      <c r="T897" s="299"/>
      <c r="U897" s="299"/>
      <c r="V897" s="299"/>
      <c r="W897" s="299"/>
      <c r="X897" s="299"/>
      <c r="Y897" s="299"/>
      <c r="Z897" s="299"/>
      <c r="AA897" s="299"/>
      <c r="AB897" s="299"/>
      <c r="AC897" s="300"/>
      <c r="AD897" s="300"/>
    </row>
    <row r="898" spans="1:30" ht="12.75" customHeight="1" x14ac:dyDescent="0.2">
      <c r="A898" s="296"/>
      <c r="B898" s="296"/>
      <c r="C898" s="296"/>
      <c r="D898" s="298"/>
      <c r="E898" s="298"/>
      <c r="F898" s="296"/>
      <c r="G898" s="296"/>
      <c r="H898" s="296"/>
      <c r="I898" s="296"/>
      <c r="J898" s="296"/>
      <c r="K898" s="296"/>
      <c r="L898" s="296"/>
      <c r="M898" s="299"/>
      <c r="N898" s="299"/>
      <c r="O898" s="299"/>
      <c r="P898" s="299"/>
      <c r="Q898" s="299"/>
      <c r="R898" s="299"/>
      <c r="S898" s="299"/>
      <c r="T898" s="299"/>
      <c r="U898" s="299"/>
      <c r="V898" s="299"/>
      <c r="W898" s="299"/>
      <c r="X898" s="299"/>
      <c r="Y898" s="299"/>
      <c r="Z898" s="299"/>
      <c r="AA898" s="299"/>
      <c r="AB898" s="299"/>
      <c r="AC898" s="300"/>
      <c r="AD898" s="300"/>
    </row>
    <row r="899" spans="1:30" ht="12.75" customHeight="1" x14ac:dyDescent="0.2">
      <c r="A899" s="296"/>
      <c r="B899" s="296"/>
      <c r="C899" s="296"/>
      <c r="D899" s="298"/>
      <c r="E899" s="298"/>
      <c r="F899" s="296"/>
      <c r="G899" s="296"/>
      <c r="H899" s="296"/>
      <c r="I899" s="296"/>
      <c r="J899" s="296"/>
      <c r="K899" s="296"/>
      <c r="L899" s="296"/>
      <c r="M899" s="299"/>
      <c r="N899" s="299"/>
      <c r="O899" s="299"/>
      <c r="P899" s="299"/>
      <c r="Q899" s="299"/>
      <c r="R899" s="299"/>
      <c r="S899" s="299"/>
      <c r="T899" s="299"/>
      <c r="U899" s="299"/>
      <c r="V899" s="299"/>
      <c r="W899" s="299"/>
      <c r="X899" s="299"/>
      <c r="Y899" s="299"/>
      <c r="Z899" s="299"/>
      <c r="AA899" s="299"/>
      <c r="AB899" s="299"/>
      <c r="AC899" s="300"/>
      <c r="AD899" s="300"/>
    </row>
    <row r="900" spans="1:30" ht="12.75" customHeight="1" x14ac:dyDescent="0.2">
      <c r="A900" s="296"/>
      <c r="B900" s="296"/>
      <c r="C900" s="296"/>
      <c r="D900" s="298"/>
      <c r="E900" s="298"/>
      <c r="F900" s="296"/>
      <c r="G900" s="296"/>
      <c r="H900" s="296"/>
      <c r="I900" s="296"/>
      <c r="J900" s="296"/>
      <c r="K900" s="296"/>
      <c r="L900" s="296"/>
      <c r="M900" s="299"/>
      <c r="N900" s="299"/>
      <c r="O900" s="299"/>
      <c r="P900" s="299"/>
      <c r="Q900" s="299"/>
      <c r="R900" s="299"/>
      <c r="S900" s="299"/>
      <c r="T900" s="299"/>
      <c r="U900" s="299"/>
      <c r="V900" s="299"/>
      <c r="W900" s="299"/>
      <c r="X900" s="299"/>
      <c r="Y900" s="299"/>
      <c r="Z900" s="299"/>
      <c r="AA900" s="299"/>
      <c r="AB900" s="299"/>
      <c r="AC900" s="300"/>
      <c r="AD900" s="300"/>
    </row>
    <row r="901" spans="1:30" ht="12.75" customHeight="1" x14ac:dyDescent="0.2">
      <c r="A901" s="296"/>
      <c r="B901" s="296"/>
      <c r="C901" s="296"/>
      <c r="D901" s="298"/>
      <c r="E901" s="298"/>
      <c r="F901" s="296"/>
      <c r="G901" s="296"/>
      <c r="H901" s="296"/>
      <c r="I901" s="296"/>
      <c r="J901" s="296"/>
      <c r="K901" s="296"/>
      <c r="L901" s="296"/>
      <c r="M901" s="299"/>
      <c r="N901" s="299"/>
      <c r="O901" s="299"/>
      <c r="P901" s="299"/>
      <c r="Q901" s="299"/>
      <c r="R901" s="299"/>
      <c r="S901" s="299"/>
      <c r="T901" s="299"/>
      <c r="U901" s="299"/>
      <c r="V901" s="299"/>
      <c r="W901" s="299"/>
      <c r="X901" s="299"/>
      <c r="Y901" s="299"/>
      <c r="Z901" s="299"/>
      <c r="AA901" s="299"/>
      <c r="AB901" s="299"/>
      <c r="AC901" s="300"/>
      <c r="AD901" s="300"/>
    </row>
    <row r="902" spans="1:30" ht="12.75" customHeight="1" x14ac:dyDescent="0.2">
      <c r="A902" s="296"/>
      <c r="B902" s="296"/>
      <c r="C902" s="296"/>
      <c r="D902" s="298"/>
      <c r="E902" s="298"/>
      <c r="F902" s="296"/>
      <c r="G902" s="296"/>
      <c r="H902" s="296"/>
      <c r="I902" s="296"/>
      <c r="J902" s="296"/>
      <c r="K902" s="296"/>
      <c r="L902" s="296"/>
      <c r="M902" s="299"/>
      <c r="N902" s="299"/>
      <c r="O902" s="299"/>
      <c r="P902" s="299"/>
      <c r="Q902" s="299"/>
      <c r="R902" s="299"/>
      <c r="S902" s="299"/>
      <c r="T902" s="299"/>
      <c r="U902" s="299"/>
      <c r="V902" s="299"/>
      <c r="W902" s="299"/>
      <c r="X902" s="299"/>
      <c r="Y902" s="299"/>
      <c r="Z902" s="299"/>
      <c r="AA902" s="299"/>
      <c r="AB902" s="299"/>
      <c r="AC902" s="300"/>
      <c r="AD902" s="300"/>
    </row>
    <row r="903" spans="1:30" ht="12.75" customHeight="1" x14ac:dyDescent="0.2">
      <c r="A903" s="296"/>
      <c r="B903" s="296"/>
      <c r="C903" s="296"/>
      <c r="D903" s="298"/>
      <c r="E903" s="298"/>
      <c r="F903" s="296"/>
      <c r="G903" s="296"/>
      <c r="H903" s="296"/>
      <c r="I903" s="296"/>
      <c r="J903" s="296"/>
      <c r="K903" s="296"/>
      <c r="L903" s="296"/>
      <c r="M903" s="299"/>
      <c r="N903" s="299"/>
      <c r="O903" s="299"/>
      <c r="P903" s="299"/>
      <c r="Q903" s="299"/>
      <c r="R903" s="299"/>
      <c r="S903" s="299"/>
      <c r="T903" s="299"/>
      <c r="U903" s="299"/>
      <c r="V903" s="299"/>
      <c r="W903" s="299"/>
      <c r="X903" s="299"/>
      <c r="Y903" s="299"/>
      <c r="Z903" s="299"/>
      <c r="AA903" s="299"/>
      <c r="AB903" s="299"/>
      <c r="AC903" s="300"/>
      <c r="AD903" s="300"/>
    </row>
    <row r="904" spans="1:30" ht="12.75" customHeight="1" x14ac:dyDescent="0.2">
      <c r="A904" s="296"/>
      <c r="B904" s="296"/>
      <c r="C904" s="296"/>
      <c r="D904" s="298"/>
      <c r="E904" s="298"/>
      <c r="F904" s="296"/>
      <c r="G904" s="296"/>
      <c r="H904" s="296"/>
      <c r="I904" s="296"/>
      <c r="J904" s="296"/>
      <c r="K904" s="296"/>
      <c r="L904" s="296"/>
      <c r="M904" s="299"/>
      <c r="N904" s="299"/>
      <c r="O904" s="299"/>
      <c r="P904" s="299"/>
      <c r="Q904" s="299"/>
      <c r="R904" s="299"/>
      <c r="S904" s="299"/>
      <c r="T904" s="299"/>
      <c r="U904" s="299"/>
      <c r="V904" s="299"/>
      <c r="W904" s="299"/>
      <c r="X904" s="299"/>
      <c r="Y904" s="299"/>
      <c r="Z904" s="299"/>
      <c r="AA904" s="299"/>
      <c r="AB904" s="299"/>
      <c r="AC904" s="300"/>
      <c r="AD904" s="300"/>
    </row>
    <row r="905" spans="1:30" ht="12.75" customHeight="1" x14ac:dyDescent="0.2">
      <c r="A905" s="296"/>
      <c r="B905" s="296"/>
      <c r="C905" s="296"/>
      <c r="D905" s="298"/>
      <c r="E905" s="298"/>
      <c r="F905" s="296"/>
      <c r="G905" s="296"/>
      <c r="H905" s="296"/>
      <c r="I905" s="296"/>
      <c r="J905" s="296"/>
      <c r="K905" s="296"/>
      <c r="L905" s="296"/>
      <c r="M905" s="299"/>
      <c r="N905" s="299"/>
      <c r="O905" s="299"/>
      <c r="P905" s="299"/>
      <c r="Q905" s="299"/>
      <c r="R905" s="299"/>
      <c r="S905" s="299"/>
      <c r="T905" s="299"/>
      <c r="U905" s="299"/>
      <c r="V905" s="299"/>
      <c r="W905" s="299"/>
      <c r="X905" s="299"/>
      <c r="Y905" s="299"/>
      <c r="Z905" s="299"/>
      <c r="AA905" s="299"/>
      <c r="AB905" s="299"/>
      <c r="AC905" s="300"/>
      <c r="AD905" s="300"/>
    </row>
    <row r="906" spans="1:30" ht="12.75" customHeight="1" x14ac:dyDescent="0.2">
      <c r="A906" s="296"/>
      <c r="B906" s="296"/>
      <c r="C906" s="296"/>
      <c r="D906" s="298"/>
      <c r="E906" s="298"/>
      <c r="F906" s="296"/>
      <c r="G906" s="296"/>
      <c r="H906" s="296"/>
      <c r="I906" s="296"/>
      <c r="J906" s="296"/>
      <c r="K906" s="296"/>
      <c r="L906" s="296"/>
      <c r="M906" s="299"/>
      <c r="N906" s="299"/>
      <c r="O906" s="299"/>
      <c r="P906" s="299"/>
      <c r="Q906" s="299"/>
      <c r="R906" s="299"/>
      <c r="S906" s="299"/>
      <c r="T906" s="299"/>
      <c r="U906" s="299"/>
      <c r="V906" s="299"/>
      <c r="W906" s="299"/>
      <c r="X906" s="299"/>
      <c r="Y906" s="299"/>
      <c r="Z906" s="299"/>
      <c r="AA906" s="299"/>
      <c r="AB906" s="299"/>
      <c r="AC906" s="300"/>
      <c r="AD906" s="300"/>
    </row>
    <row r="907" spans="1:30" ht="12.75" customHeight="1" x14ac:dyDescent="0.2">
      <c r="A907" s="296"/>
      <c r="B907" s="296"/>
      <c r="C907" s="296"/>
      <c r="D907" s="298"/>
      <c r="E907" s="298"/>
      <c r="F907" s="296"/>
      <c r="G907" s="296"/>
      <c r="H907" s="296"/>
      <c r="I907" s="296"/>
      <c r="J907" s="296"/>
      <c r="K907" s="296"/>
      <c r="L907" s="296"/>
      <c r="M907" s="299"/>
      <c r="N907" s="299"/>
      <c r="O907" s="299"/>
      <c r="P907" s="299"/>
      <c r="Q907" s="299"/>
      <c r="R907" s="299"/>
      <c r="S907" s="299"/>
      <c r="T907" s="299"/>
      <c r="U907" s="299"/>
      <c r="V907" s="299"/>
      <c r="W907" s="299"/>
      <c r="X907" s="299"/>
      <c r="Y907" s="299"/>
      <c r="Z907" s="299"/>
      <c r="AA907" s="299"/>
      <c r="AB907" s="299"/>
      <c r="AC907" s="300"/>
      <c r="AD907" s="300"/>
    </row>
    <row r="908" spans="1:30" ht="12.75" customHeight="1" x14ac:dyDescent="0.2">
      <c r="A908" s="296"/>
      <c r="B908" s="296"/>
      <c r="C908" s="296"/>
      <c r="D908" s="298"/>
      <c r="E908" s="298"/>
      <c r="F908" s="296"/>
      <c r="G908" s="296"/>
      <c r="H908" s="296"/>
      <c r="I908" s="296"/>
      <c r="J908" s="296"/>
      <c r="K908" s="296"/>
      <c r="L908" s="296"/>
      <c r="M908" s="299"/>
      <c r="N908" s="299"/>
      <c r="O908" s="299"/>
      <c r="P908" s="299"/>
      <c r="Q908" s="299"/>
      <c r="R908" s="299"/>
      <c r="S908" s="299"/>
      <c r="T908" s="299"/>
      <c r="U908" s="299"/>
      <c r="V908" s="299"/>
      <c r="W908" s="299"/>
      <c r="X908" s="299"/>
      <c r="Y908" s="299"/>
      <c r="Z908" s="299"/>
      <c r="AA908" s="299"/>
      <c r="AB908" s="299"/>
      <c r="AC908" s="300"/>
      <c r="AD908" s="300"/>
    </row>
    <row r="909" spans="1:30" ht="12.75" customHeight="1" x14ac:dyDescent="0.2">
      <c r="A909" s="296"/>
      <c r="B909" s="296"/>
      <c r="C909" s="296"/>
      <c r="D909" s="298"/>
      <c r="E909" s="298"/>
      <c r="F909" s="296"/>
      <c r="G909" s="296"/>
      <c r="H909" s="296"/>
      <c r="I909" s="296"/>
      <c r="J909" s="296"/>
      <c r="K909" s="296"/>
      <c r="L909" s="296"/>
      <c r="M909" s="299"/>
      <c r="N909" s="299"/>
      <c r="O909" s="299"/>
      <c r="P909" s="299"/>
      <c r="Q909" s="299"/>
      <c r="R909" s="299"/>
      <c r="S909" s="299"/>
      <c r="T909" s="299"/>
      <c r="U909" s="299"/>
      <c r="V909" s="299"/>
      <c r="W909" s="299"/>
      <c r="X909" s="299"/>
      <c r="Y909" s="299"/>
      <c r="Z909" s="299"/>
      <c r="AA909" s="299"/>
      <c r="AB909" s="299"/>
      <c r="AC909" s="300"/>
      <c r="AD909" s="300"/>
    </row>
    <row r="910" spans="1:30" ht="12.75" customHeight="1" x14ac:dyDescent="0.2">
      <c r="A910" s="296"/>
      <c r="B910" s="296"/>
      <c r="C910" s="296"/>
      <c r="D910" s="298"/>
      <c r="E910" s="298"/>
      <c r="F910" s="296"/>
      <c r="G910" s="296"/>
      <c r="H910" s="296"/>
      <c r="I910" s="296"/>
      <c r="J910" s="296"/>
      <c r="K910" s="296"/>
      <c r="L910" s="296"/>
      <c r="M910" s="299"/>
      <c r="N910" s="299"/>
      <c r="O910" s="299"/>
      <c r="P910" s="299"/>
      <c r="Q910" s="299"/>
      <c r="R910" s="299"/>
      <c r="S910" s="299"/>
      <c r="T910" s="299"/>
      <c r="U910" s="299"/>
      <c r="V910" s="299"/>
      <c r="W910" s="299"/>
      <c r="X910" s="299"/>
      <c r="Y910" s="299"/>
      <c r="Z910" s="299"/>
      <c r="AA910" s="299"/>
      <c r="AB910" s="299"/>
      <c r="AC910" s="300"/>
      <c r="AD910" s="300"/>
    </row>
    <row r="911" spans="1:30" ht="12.75" customHeight="1" x14ac:dyDescent="0.2">
      <c r="A911" s="296"/>
      <c r="B911" s="296"/>
      <c r="C911" s="296"/>
      <c r="D911" s="298"/>
      <c r="E911" s="298"/>
      <c r="F911" s="296"/>
      <c r="G911" s="296"/>
      <c r="H911" s="296"/>
      <c r="I911" s="296"/>
      <c r="J911" s="296"/>
      <c r="K911" s="296"/>
      <c r="L911" s="296"/>
      <c r="M911" s="299"/>
      <c r="N911" s="299"/>
      <c r="O911" s="299"/>
      <c r="P911" s="299"/>
      <c r="Q911" s="299"/>
      <c r="R911" s="299"/>
      <c r="S911" s="299"/>
      <c r="T911" s="299"/>
      <c r="U911" s="299"/>
      <c r="V911" s="299"/>
      <c r="W911" s="299"/>
      <c r="X911" s="299"/>
      <c r="Y911" s="299"/>
      <c r="Z911" s="299"/>
      <c r="AA911" s="299"/>
      <c r="AB911" s="299"/>
      <c r="AC911" s="300"/>
      <c r="AD911" s="300"/>
    </row>
    <row r="912" spans="1:30" ht="12.75" customHeight="1" x14ac:dyDescent="0.2">
      <c r="A912" s="296"/>
      <c r="B912" s="296"/>
      <c r="C912" s="296"/>
      <c r="D912" s="298"/>
      <c r="E912" s="298"/>
      <c r="F912" s="296"/>
      <c r="G912" s="296"/>
      <c r="H912" s="296"/>
      <c r="I912" s="296"/>
      <c r="J912" s="296"/>
      <c r="K912" s="296"/>
      <c r="L912" s="296"/>
      <c r="M912" s="299"/>
      <c r="N912" s="299"/>
      <c r="O912" s="299"/>
      <c r="P912" s="299"/>
      <c r="Q912" s="299"/>
      <c r="R912" s="299"/>
      <c r="S912" s="299"/>
      <c r="T912" s="299"/>
      <c r="U912" s="299"/>
      <c r="V912" s="299"/>
      <c r="W912" s="299"/>
      <c r="X912" s="299"/>
      <c r="Y912" s="299"/>
      <c r="Z912" s="299"/>
      <c r="AA912" s="299"/>
      <c r="AB912" s="299"/>
      <c r="AC912" s="300"/>
      <c r="AD912" s="300"/>
    </row>
    <row r="913" spans="1:30" ht="12.75" customHeight="1" x14ac:dyDescent="0.2">
      <c r="A913" s="296"/>
      <c r="B913" s="296"/>
      <c r="C913" s="296"/>
      <c r="D913" s="298"/>
      <c r="E913" s="298"/>
      <c r="F913" s="296"/>
      <c r="G913" s="296"/>
      <c r="H913" s="296"/>
      <c r="I913" s="296"/>
      <c r="J913" s="296"/>
      <c r="K913" s="296"/>
      <c r="L913" s="296"/>
      <c r="M913" s="299"/>
      <c r="N913" s="299"/>
      <c r="O913" s="299"/>
      <c r="P913" s="299"/>
      <c r="Q913" s="299"/>
      <c r="R913" s="299"/>
      <c r="S913" s="299"/>
      <c r="T913" s="299"/>
      <c r="U913" s="299"/>
      <c r="V913" s="299"/>
      <c r="W913" s="299"/>
      <c r="X913" s="299"/>
      <c r="Y913" s="299"/>
      <c r="Z913" s="299"/>
      <c r="AA913" s="299"/>
      <c r="AB913" s="299"/>
      <c r="AC913" s="300"/>
      <c r="AD913" s="300"/>
    </row>
    <row r="914" spans="1:30" ht="12.75" customHeight="1" x14ac:dyDescent="0.2">
      <c r="A914" s="296"/>
      <c r="B914" s="296"/>
      <c r="C914" s="296"/>
      <c r="D914" s="298"/>
      <c r="E914" s="298"/>
      <c r="F914" s="296"/>
      <c r="G914" s="296"/>
      <c r="H914" s="296"/>
      <c r="I914" s="296"/>
      <c r="J914" s="296"/>
      <c r="K914" s="296"/>
      <c r="L914" s="296"/>
      <c r="M914" s="299"/>
      <c r="N914" s="299"/>
      <c r="O914" s="299"/>
      <c r="P914" s="299"/>
      <c r="Q914" s="299"/>
      <c r="R914" s="299"/>
      <c r="S914" s="299"/>
      <c r="T914" s="299"/>
      <c r="U914" s="299"/>
      <c r="V914" s="299"/>
      <c r="W914" s="299"/>
      <c r="X914" s="299"/>
      <c r="Y914" s="299"/>
      <c r="Z914" s="299"/>
      <c r="AA914" s="299"/>
      <c r="AB914" s="299"/>
      <c r="AC914" s="300"/>
      <c r="AD914" s="300"/>
    </row>
    <row r="915" spans="1:30" ht="12.75" customHeight="1" x14ac:dyDescent="0.2">
      <c r="A915" s="296"/>
      <c r="B915" s="296"/>
      <c r="C915" s="296"/>
      <c r="D915" s="298"/>
      <c r="E915" s="298"/>
      <c r="F915" s="296"/>
      <c r="G915" s="296"/>
      <c r="H915" s="296"/>
      <c r="I915" s="296"/>
      <c r="J915" s="296"/>
      <c r="K915" s="296"/>
      <c r="L915" s="296"/>
      <c r="M915" s="299"/>
      <c r="N915" s="299"/>
      <c r="O915" s="299"/>
      <c r="P915" s="299"/>
      <c r="Q915" s="299"/>
      <c r="R915" s="299"/>
      <c r="S915" s="299"/>
      <c r="T915" s="299"/>
      <c r="U915" s="299"/>
      <c r="V915" s="299"/>
      <c r="W915" s="299"/>
      <c r="X915" s="299"/>
      <c r="Y915" s="299"/>
      <c r="Z915" s="299"/>
      <c r="AA915" s="299"/>
      <c r="AB915" s="299"/>
      <c r="AC915" s="300"/>
      <c r="AD915" s="300"/>
    </row>
    <row r="916" spans="1:30" ht="12.75" customHeight="1" x14ac:dyDescent="0.2">
      <c r="A916" s="296"/>
      <c r="B916" s="296"/>
      <c r="C916" s="296"/>
      <c r="D916" s="298"/>
      <c r="E916" s="298"/>
      <c r="F916" s="296"/>
      <c r="G916" s="296"/>
      <c r="H916" s="296"/>
      <c r="I916" s="296"/>
      <c r="J916" s="296"/>
      <c r="K916" s="296"/>
      <c r="L916" s="296"/>
      <c r="M916" s="299"/>
      <c r="N916" s="299"/>
      <c r="O916" s="299"/>
      <c r="P916" s="299"/>
      <c r="Q916" s="299"/>
      <c r="R916" s="299"/>
      <c r="S916" s="299"/>
      <c r="T916" s="299"/>
      <c r="U916" s="299"/>
      <c r="V916" s="299"/>
      <c r="W916" s="299"/>
      <c r="X916" s="299"/>
      <c r="Y916" s="299"/>
      <c r="Z916" s="299"/>
      <c r="AA916" s="299"/>
      <c r="AB916" s="299"/>
      <c r="AC916" s="300"/>
      <c r="AD916" s="300"/>
    </row>
    <row r="917" spans="1:30" ht="12.75" customHeight="1" x14ac:dyDescent="0.2">
      <c r="A917" s="296"/>
      <c r="B917" s="296"/>
      <c r="C917" s="296"/>
      <c r="D917" s="298"/>
      <c r="E917" s="298"/>
      <c r="F917" s="296"/>
      <c r="G917" s="296"/>
      <c r="H917" s="296"/>
      <c r="I917" s="296"/>
      <c r="J917" s="296"/>
      <c r="K917" s="296"/>
      <c r="L917" s="296"/>
      <c r="M917" s="299"/>
      <c r="N917" s="299"/>
      <c r="O917" s="299"/>
      <c r="P917" s="299"/>
      <c r="Q917" s="299"/>
      <c r="R917" s="299"/>
      <c r="S917" s="299"/>
      <c r="T917" s="299"/>
      <c r="U917" s="299"/>
      <c r="V917" s="299"/>
      <c r="W917" s="299"/>
      <c r="X917" s="299"/>
      <c r="Y917" s="299"/>
      <c r="Z917" s="299"/>
      <c r="AA917" s="299"/>
      <c r="AB917" s="299"/>
      <c r="AC917" s="300"/>
      <c r="AD917" s="300"/>
    </row>
    <row r="918" spans="1:30" ht="12.75" customHeight="1" x14ac:dyDescent="0.2">
      <c r="A918" s="296"/>
      <c r="B918" s="296"/>
      <c r="C918" s="296"/>
      <c r="D918" s="298"/>
      <c r="E918" s="298"/>
      <c r="F918" s="296"/>
      <c r="G918" s="296"/>
      <c r="H918" s="296"/>
      <c r="I918" s="296"/>
      <c r="J918" s="296"/>
      <c r="K918" s="296"/>
      <c r="L918" s="296"/>
      <c r="M918" s="299"/>
      <c r="N918" s="299"/>
      <c r="O918" s="299"/>
      <c r="P918" s="299"/>
      <c r="Q918" s="299"/>
      <c r="R918" s="299"/>
      <c r="S918" s="299"/>
      <c r="T918" s="299"/>
      <c r="U918" s="299"/>
      <c r="V918" s="299"/>
      <c r="W918" s="299"/>
      <c r="X918" s="299"/>
      <c r="Y918" s="299"/>
      <c r="Z918" s="299"/>
      <c r="AA918" s="299"/>
      <c r="AB918" s="299"/>
      <c r="AC918" s="300"/>
      <c r="AD918" s="300"/>
    </row>
    <row r="919" spans="1:30" ht="12.75" customHeight="1" x14ac:dyDescent="0.2">
      <c r="A919" s="296"/>
      <c r="B919" s="296"/>
      <c r="C919" s="296"/>
      <c r="D919" s="298"/>
      <c r="E919" s="298"/>
      <c r="F919" s="296"/>
      <c r="G919" s="296"/>
      <c r="H919" s="296"/>
      <c r="I919" s="296"/>
      <c r="J919" s="296"/>
      <c r="K919" s="296"/>
      <c r="L919" s="296"/>
      <c r="M919" s="299"/>
      <c r="N919" s="299"/>
      <c r="O919" s="299"/>
      <c r="P919" s="299"/>
      <c r="Q919" s="299"/>
      <c r="R919" s="299"/>
      <c r="S919" s="299"/>
      <c r="T919" s="299"/>
      <c r="U919" s="299"/>
      <c r="V919" s="299"/>
      <c r="W919" s="299"/>
      <c r="X919" s="299"/>
      <c r="Y919" s="299"/>
      <c r="Z919" s="299"/>
      <c r="AA919" s="299"/>
      <c r="AB919" s="299"/>
      <c r="AC919" s="300"/>
      <c r="AD919" s="300"/>
    </row>
    <row r="920" spans="1:30" ht="12.75" customHeight="1" x14ac:dyDescent="0.2">
      <c r="A920" s="296"/>
      <c r="B920" s="296"/>
      <c r="C920" s="296"/>
      <c r="D920" s="298"/>
      <c r="E920" s="298"/>
      <c r="F920" s="296"/>
      <c r="G920" s="296"/>
      <c r="H920" s="296"/>
      <c r="I920" s="296"/>
      <c r="J920" s="296"/>
      <c r="K920" s="296"/>
      <c r="L920" s="296"/>
      <c r="M920" s="299"/>
      <c r="N920" s="299"/>
      <c r="O920" s="299"/>
      <c r="P920" s="299"/>
      <c r="Q920" s="299"/>
      <c r="R920" s="299"/>
      <c r="S920" s="299"/>
      <c r="T920" s="299"/>
      <c r="U920" s="299"/>
      <c r="V920" s="299"/>
      <c r="W920" s="299"/>
      <c r="X920" s="299"/>
      <c r="Y920" s="299"/>
      <c r="Z920" s="299"/>
      <c r="AA920" s="299"/>
      <c r="AB920" s="299"/>
      <c r="AC920" s="300"/>
      <c r="AD920" s="300"/>
    </row>
    <row r="921" spans="1:30" ht="12.75" customHeight="1" x14ac:dyDescent="0.2">
      <c r="A921" s="296"/>
      <c r="B921" s="296"/>
      <c r="C921" s="296"/>
      <c r="D921" s="298"/>
      <c r="E921" s="298"/>
      <c r="F921" s="296"/>
      <c r="G921" s="296"/>
      <c r="H921" s="296"/>
      <c r="I921" s="296"/>
      <c r="J921" s="296"/>
      <c r="K921" s="296"/>
      <c r="L921" s="296"/>
      <c r="M921" s="299"/>
      <c r="N921" s="299"/>
      <c r="O921" s="299"/>
      <c r="P921" s="299"/>
      <c r="Q921" s="299"/>
      <c r="R921" s="299"/>
      <c r="S921" s="299"/>
      <c r="T921" s="299"/>
      <c r="U921" s="299"/>
      <c r="V921" s="299"/>
      <c r="W921" s="299"/>
      <c r="X921" s="299"/>
      <c r="Y921" s="299"/>
      <c r="Z921" s="299"/>
      <c r="AA921" s="299"/>
      <c r="AB921" s="299"/>
      <c r="AC921" s="300"/>
      <c r="AD921" s="300"/>
    </row>
    <row r="922" spans="1:30" ht="12.75" customHeight="1" x14ac:dyDescent="0.2">
      <c r="A922" s="296"/>
      <c r="B922" s="296"/>
      <c r="C922" s="296"/>
      <c r="D922" s="298"/>
      <c r="E922" s="298"/>
      <c r="F922" s="296"/>
      <c r="G922" s="296"/>
      <c r="H922" s="296"/>
      <c r="I922" s="296"/>
      <c r="J922" s="296"/>
      <c r="K922" s="296"/>
      <c r="L922" s="296"/>
      <c r="M922" s="299"/>
      <c r="N922" s="299"/>
      <c r="O922" s="299"/>
      <c r="P922" s="299"/>
      <c r="Q922" s="299"/>
      <c r="R922" s="299"/>
      <c r="S922" s="299"/>
      <c r="T922" s="299"/>
      <c r="U922" s="299"/>
      <c r="V922" s="299"/>
      <c r="W922" s="299"/>
      <c r="X922" s="299"/>
      <c r="Y922" s="299"/>
      <c r="Z922" s="299"/>
      <c r="AA922" s="299"/>
      <c r="AB922" s="299"/>
      <c r="AC922" s="300"/>
      <c r="AD922" s="300"/>
    </row>
    <row r="923" spans="1:30" ht="12.75" customHeight="1" x14ac:dyDescent="0.2">
      <c r="A923" s="296"/>
      <c r="B923" s="296"/>
      <c r="C923" s="296"/>
      <c r="D923" s="298"/>
      <c r="E923" s="298"/>
      <c r="F923" s="296"/>
      <c r="G923" s="296"/>
      <c r="H923" s="296"/>
      <c r="I923" s="296"/>
      <c r="J923" s="296"/>
      <c r="K923" s="296"/>
      <c r="L923" s="296"/>
      <c r="M923" s="299"/>
      <c r="N923" s="299"/>
      <c r="O923" s="299"/>
      <c r="P923" s="299"/>
      <c r="Q923" s="299"/>
      <c r="R923" s="299"/>
      <c r="S923" s="299"/>
      <c r="T923" s="299"/>
      <c r="U923" s="299"/>
      <c r="V923" s="299"/>
      <c r="W923" s="299"/>
      <c r="X923" s="299"/>
      <c r="Y923" s="299"/>
      <c r="Z923" s="299"/>
      <c r="AA923" s="299"/>
      <c r="AB923" s="299"/>
      <c r="AC923" s="300"/>
      <c r="AD923" s="300"/>
    </row>
    <row r="924" spans="1:30" ht="12.75" customHeight="1" x14ac:dyDescent="0.2">
      <c r="A924" s="296"/>
      <c r="B924" s="296"/>
      <c r="C924" s="296"/>
      <c r="D924" s="298"/>
      <c r="E924" s="298"/>
      <c r="F924" s="296"/>
      <c r="G924" s="296"/>
      <c r="H924" s="296"/>
      <c r="I924" s="296"/>
      <c r="J924" s="296"/>
      <c r="K924" s="296"/>
      <c r="L924" s="296"/>
      <c r="M924" s="299"/>
      <c r="N924" s="299"/>
      <c r="O924" s="299"/>
      <c r="P924" s="299"/>
      <c r="Q924" s="299"/>
      <c r="R924" s="299"/>
      <c r="S924" s="299"/>
      <c r="T924" s="299"/>
      <c r="U924" s="299"/>
      <c r="V924" s="299"/>
      <c r="W924" s="299"/>
      <c r="X924" s="299"/>
      <c r="Y924" s="299"/>
      <c r="Z924" s="299"/>
      <c r="AA924" s="299"/>
      <c r="AB924" s="299"/>
      <c r="AC924" s="300"/>
      <c r="AD924" s="300"/>
    </row>
    <row r="925" spans="1:30" ht="12.75" customHeight="1" x14ac:dyDescent="0.2">
      <c r="A925" s="296"/>
      <c r="B925" s="296"/>
      <c r="C925" s="296"/>
      <c r="D925" s="298"/>
      <c r="E925" s="298"/>
      <c r="F925" s="296"/>
      <c r="G925" s="296"/>
      <c r="H925" s="296"/>
      <c r="I925" s="296"/>
      <c r="J925" s="296"/>
      <c r="K925" s="296"/>
      <c r="L925" s="296"/>
      <c r="M925" s="299"/>
      <c r="N925" s="299"/>
      <c r="O925" s="299"/>
      <c r="P925" s="299"/>
      <c r="Q925" s="299"/>
      <c r="R925" s="299"/>
      <c r="S925" s="299"/>
      <c r="T925" s="299"/>
      <c r="U925" s="299"/>
      <c r="V925" s="299"/>
      <c r="W925" s="299"/>
      <c r="X925" s="299"/>
      <c r="Y925" s="299"/>
      <c r="Z925" s="299"/>
      <c r="AA925" s="299"/>
      <c r="AB925" s="299"/>
      <c r="AC925" s="300"/>
      <c r="AD925" s="300"/>
    </row>
    <row r="926" spans="1:30" ht="12.75" customHeight="1" x14ac:dyDescent="0.2">
      <c r="A926" s="296"/>
      <c r="B926" s="296"/>
      <c r="C926" s="296"/>
      <c r="D926" s="298"/>
      <c r="E926" s="298"/>
      <c r="F926" s="296"/>
      <c r="G926" s="296"/>
      <c r="H926" s="296"/>
      <c r="I926" s="296"/>
      <c r="J926" s="296"/>
      <c r="K926" s="296"/>
      <c r="L926" s="296"/>
      <c r="M926" s="299"/>
      <c r="N926" s="299"/>
      <c r="O926" s="299"/>
      <c r="P926" s="299"/>
      <c r="Q926" s="299"/>
      <c r="R926" s="299"/>
      <c r="S926" s="299"/>
      <c r="T926" s="299"/>
      <c r="U926" s="299"/>
      <c r="V926" s="299"/>
      <c r="W926" s="299"/>
      <c r="X926" s="299"/>
      <c r="Y926" s="299"/>
      <c r="Z926" s="299"/>
      <c r="AA926" s="299"/>
      <c r="AB926" s="299"/>
      <c r="AC926" s="300"/>
      <c r="AD926" s="300"/>
    </row>
    <row r="927" spans="1:30" ht="12.75" customHeight="1" x14ac:dyDescent="0.2">
      <c r="A927" s="296"/>
      <c r="B927" s="296"/>
      <c r="C927" s="296"/>
      <c r="D927" s="298"/>
      <c r="E927" s="298"/>
      <c r="F927" s="296"/>
      <c r="G927" s="296"/>
      <c r="H927" s="296"/>
      <c r="I927" s="296"/>
      <c r="J927" s="296"/>
      <c r="K927" s="296"/>
      <c r="L927" s="296"/>
      <c r="M927" s="299"/>
      <c r="N927" s="299"/>
      <c r="O927" s="299"/>
      <c r="P927" s="299"/>
      <c r="Q927" s="299"/>
      <c r="R927" s="299"/>
      <c r="S927" s="299"/>
      <c r="T927" s="299"/>
      <c r="U927" s="299"/>
      <c r="V927" s="299"/>
      <c r="W927" s="299"/>
      <c r="X927" s="299"/>
      <c r="Y927" s="299"/>
      <c r="Z927" s="299"/>
      <c r="AA927" s="299"/>
      <c r="AB927" s="299"/>
      <c r="AC927" s="300"/>
      <c r="AD927" s="300"/>
    </row>
    <row r="928" spans="1:30" ht="12.75" customHeight="1" x14ac:dyDescent="0.2">
      <c r="A928" s="296"/>
      <c r="B928" s="296"/>
      <c r="C928" s="296"/>
      <c r="D928" s="298"/>
      <c r="E928" s="298"/>
      <c r="F928" s="296"/>
      <c r="G928" s="296"/>
      <c r="H928" s="296"/>
      <c r="I928" s="296"/>
      <c r="J928" s="296"/>
      <c r="K928" s="296"/>
      <c r="L928" s="296"/>
      <c r="M928" s="299"/>
      <c r="N928" s="299"/>
      <c r="O928" s="299"/>
      <c r="P928" s="299"/>
      <c r="Q928" s="299"/>
      <c r="R928" s="299"/>
      <c r="S928" s="299"/>
      <c r="T928" s="299"/>
      <c r="U928" s="299"/>
      <c r="V928" s="299"/>
      <c r="W928" s="299"/>
      <c r="X928" s="299"/>
      <c r="Y928" s="299"/>
      <c r="Z928" s="299"/>
      <c r="AA928" s="299"/>
      <c r="AB928" s="299"/>
      <c r="AC928" s="300"/>
      <c r="AD928" s="300"/>
    </row>
    <row r="929" spans="1:30" ht="12.75" customHeight="1" x14ac:dyDescent="0.2">
      <c r="A929" s="296"/>
      <c r="B929" s="296"/>
      <c r="C929" s="296"/>
      <c r="D929" s="298"/>
      <c r="E929" s="298"/>
      <c r="F929" s="296"/>
      <c r="G929" s="296"/>
      <c r="H929" s="296"/>
      <c r="I929" s="296"/>
      <c r="J929" s="296"/>
      <c r="K929" s="296"/>
      <c r="L929" s="296"/>
      <c r="M929" s="299"/>
      <c r="N929" s="299"/>
      <c r="O929" s="299"/>
      <c r="P929" s="299"/>
      <c r="Q929" s="299"/>
      <c r="R929" s="299"/>
      <c r="S929" s="299"/>
      <c r="T929" s="299"/>
      <c r="U929" s="299"/>
      <c r="V929" s="299"/>
      <c r="W929" s="299"/>
      <c r="X929" s="299"/>
      <c r="Y929" s="299"/>
      <c r="Z929" s="299"/>
      <c r="AA929" s="299"/>
      <c r="AB929" s="299"/>
      <c r="AC929" s="300"/>
      <c r="AD929" s="300"/>
    </row>
    <row r="930" spans="1:30" ht="12.75" customHeight="1" x14ac:dyDescent="0.2">
      <c r="A930" s="296"/>
      <c r="B930" s="296"/>
      <c r="C930" s="296"/>
      <c r="D930" s="298"/>
      <c r="E930" s="298"/>
      <c r="F930" s="296"/>
      <c r="G930" s="296"/>
      <c r="H930" s="296"/>
      <c r="I930" s="296"/>
      <c r="J930" s="296"/>
      <c r="K930" s="296"/>
      <c r="L930" s="296"/>
      <c r="M930" s="299"/>
      <c r="N930" s="299"/>
      <c r="O930" s="299"/>
      <c r="P930" s="299"/>
      <c r="Q930" s="299"/>
      <c r="R930" s="299"/>
      <c r="S930" s="299"/>
      <c r="T930" s="299"/>
      <c r="U930" s="299"/>
      <c r="V930" s="299"/>
      <c r="W930" s="299"/>
      <c r="X930" s="299"/>
      <c r="Y930" s="299"/>
      <c r="Z930" s="299"/>
      <c r="AA930" s="299"/>
      <c r="AB930" s="299"/>
      <c r="AC930" s="300"/>
      <c r="AD930" s="300"/>
    </row>
    <row r="931" spans="1:30" ht="12.75" customHeight="1" x14ac:dyDescent="0.2">
      <c r="A931" s="296"/>
      <c r="B931" s="296"/>
      <c r="C931" s="296"/>
      <c r="D931" s="298"/>
      <c r="E931" s="298"/>
      <c r="F931" s="296"/>
      <c r="G931" s="296"/>
      <c r="H931" s="296"/>
      <c r="I931" s="296"/>
      <c r="J931" s="296"/>
      <c r="K931" s="296"/>
      <c r="L931" s="296"/>
      <c r="M931" s="299"/>
      <c r="N931" s="299"/>
      <c r="O931" s="299"/>
      <c r="P931" s="299"/>
      <c r="Q931" s="299"/>
      <c r="R931" s="299"/>
      <c r="S931" s="299"/>
      <c r="T931" s="299"/>
      <c r="U931" s="299"/>
      <c r="V931" s="299"/>
      <c r="W931" s="299"/>
      <c r="X931" s="299"/>
      <c r="Y931" s="299"/>
      <c r="Z931" s="299"/>
      <c r="AA931" s="299"/>
      <c r="AB931" s="299"/>
      <c r="AC931" s="300"/>
      <c r="AD931" s="300"/>
    </row>
    <row r="932" spans="1:30" ht="12.75" customHeight="1" x14ac:dyDescent="0.2">
      <c r="A932" s="296"/>
      <c r="B932" s="296"/>
      <c r="C932" s="296"/>
      <c r="D932" s="298"/>
      <c r="E932" s="298"/>
      <c r="F932" s="296"/>
      <c r="G932" s="296"/>
      <c r="H932" s="296"/>
      <c r="I932" s="296"/>
      <c r="J932" s="296"/>
      <c r="K932" s="296"/>
      <c r="L932" s="296"/>
      <c r="M932" s="299"/>
      <c r="N932" s="299"/>
      <c r="O932" s="299"/>
      <c r="P932" s="299"/>
      <c r="Q932" s="299"/>
      <c r="R932" s="299"/>
      <c r="S932" s="299"/>
      <c r="T932" s="299"/>
      <c r="U932" s="299"/>
      <c r="V932" s="299"/>
      <c r="W932" s="299"/>
      <c r="X932" s="299"/>
      <c r="Y932" s="299"/>
      <c r="Z932" s="299"/>
      <c r="AA932" s="299"/>
      <c r="AB932" s="299"/>
      <c r="AC932" s="300"/>
      <c r="AD932" s="300"/>
    </row>
    <row r="933" spans="1:30" ht="12.75" customHeight="1" x14ac:dyDescent="0.2">
      <c r="A933" s="296"/>
      <c r="B933" s="296"/>
      <c r="C933" s="296"/>
      <c r="D933" s="298"/>
      <c r="E933" s="298"/>
      <c r="F933" s="296"/>
      <c r="G933" s="296"/>
      <c r="H933" s="296"/>
      <c r="I933" s="296"/>
      <c r="J933" s="296"/>
      <c r="K933" s="296"/>
      <c r="L933" s="296"/>
      <c r="M933" s="299"/>
      <c r="N933" s="299"/>
      <c r="O933" s="299"/>
      <c r="P933" s="299"/>
      <c r="Q933" s="299"/>
      <c r="R933" s="299"/>
      <c r="S933" s="299"/>
      <c r="T933" s="299"/>
      <c r="U933" s="299"/>
      <c r="V933" s="299"/>
      <c r="W933" s="299"/>
      <c r="X933" s="299"/>
      <c r="Y933" s="299"/>
      <c r="Z933" s="299"/>
      <c r="AA933" s="299"/>
      <c r="AB933" s="299"/>
      <c r="AC933" s="300"/>
      <c r="AD933" s="300"/>
    </row>
    <row r="934" spans="1:30" ht="12.75" customHeight="1" x14ac:dyDescent="0.2">
      <c r="A934" s="296"/>
      <c r="B934" s="296"/>
      <c r="C934" s="296"/>
      <c r="D934" s="298"/>
      <c r="E934" s="298"/>
      <c r="F934" s="296"/>
      <c r="G934" s="296"/>
      <c r="H934" s="296"/>
      <c r="I934" s="296"/>
      <c r="J934" s="296"/>
      <c r="K934" s="296"/>
      <c r="L934" s="296"/>
      <c r="M934" s="299"/>
      <c r="N934" s="299"/>
      <c r="O934" s="299"/>
      <c r="P934" s="299"/>
      <c r="Q934" s="299"/>
      <c r="R934" s="299"/>
      <c r="S934" s="299"/>
      <c r="T934" s="299"/>
      <c r="U934" s="299"/>
      <c r="V934" s="299"/>
      <c r="W934" s="299"/>
      <c r="X934" s="299"/>
      <c r="Y934" s="299"/>
      <c r="Z934" s="299"/>
      <c r="AA934" s="299"/>
      <c r="AB934" s="299"/>
      <c r="AC934" s="300"/>
      <c r="AD934" s="300"/>
    </row>
    <row r="935" spans="1:30" ht="12.75" customHeight="1" x14ac:dyDescent="0.2">
      <c r="A935" s="296"/>
      <c r="B935" s="296"/>
      <c r="C935" s="296"/>
      <c r="D935" s="298"/>
      <c r="E935" s="298"/>
      <c r="F935" s="296"/>
      <c r="G935" s="296"/>
      <c r="H935" s="296"/>
      <c r="I935" s="296"/>
      <c r="J935" s="296"/>
      <c r="K935" s="296"/>
      <c r="L935" s="296"/>
      <c r="M935" s="299"/>
      <c r="N935" s="299"/>
      <c r="O935" s="299"/>
      <c r="P935" s="299"/>
      <c r="Q935" s="299"/>
      <c r="R935" s="299"/>
      <c r="S935" s="299"/>
      <c r="T935" s="299"/>
      <c r="U935" s="299"/>
      <c r="V935" s="299"/>
      <c r="W935" s="299"/>
      <c r="X935" s="299"/>
      <c r="Y935" s="299"/>
      <c r="Z935" s="299"/>
      <c r="AA935" s="299"/>
      <c r="AB935" s="299"/>
      <c r="AC935" s="300"/>
      <c r="AD935" s="300"/>
    </row>
    <row r="936" spans="1:30" ht="12.75" customHeight="1" x14ac:dyDescent="0.2">
      <c r="A936" s="296"/>
      <c r="B936" s="296"/>
      <c r="C936" s="296"/>
      <c r="D936" s="298"/>
      <c r="E936" s="298"/>
      <c r="F936" s="296"/>
      <c r="G936" s="296"/>
      <c r="H936" s="296"/>
      <c r="I936" s="296"/>
      <c r="J936" s="296"/>
      <c r="K936" s="296"/>
      <c r="L936" s="296"/>
      <c r="M936" s="299"/>
      <c r="N936" s="299"/>
      <c r="O936" s="299"/>
      <c r="P936" s="299"/>
      <c r="Q936" s="299"/>
      <c r="R936" s="299"/>
      <c r="S936" s="299"/>
      <c r="T936" s="299"/>
      <c r="U936" s="299"/>
      <c r="V936" s="299"/>
      <c r="W936" s="299"/>
      <c r="X936" s="299"/>
      <c r="Y936" s="299"/>
      <c r="Z936" s="299"/>
      <c r="AA936" s="299"/>
      <c r="AB936" s="299"/>
      <c r="AC936" s="300"/>
      <c r="AD936" s="300"/>
    </row>
    <row r="937" spans="1:30" ht="12.75" customHeight="1" x14ac:dyDescent="0.2">
      <c r="A937" s="296"/>
      <c r="B937" s="296"/>
      <c r="C937" s="296"/>
      <c r="D937" s="298"/>
      <c r="E937" s="298"/>
      <c r="F937" s="296"/>
      <c r="G937" s="296"/>
      <c r="H937" s="296"/>
      <c r="I937" s="296"/>
      <c r="J937" s="296"/>
      <c r="K937" s="296"/>
      <c r="L937" s="296"/>
      <c r="M937" s="299"/>
      <c r="N937" s="299"/>
      <c r="O937" s="299"/>
      <c r="P937" s="299"/>
      <c r="Q937" s="299"/>
      <c r="R937" s="299"/>
      <c r="S937" s="299"/>
      <c r="T937" s="299"/>
      <c r="U937" s="299"/>
      <c r="V937" s="299"/>
      <c r="W937" s="299"/>
      <c r="X937" s="299"/>
      <c r="Y937" s="299"/>
      <c r="Z937" s="299"/>
      <c r="AA937" s="299"/>
      <c r="AB937" s="299"/>
      <c r="AC937" s="300"/>
      <c r="AD937" s="300"/>
    </row>
    <row r="938" spans="1:30" ht="12.75" customHeight="1" x14ac:dyDescent="0.2">
      <c r="A938" s="296"/>
      <c r="B938" s="296"/>
      <c r="C938" s="296"/>
      <c r="D938" s="298"/>
      <c r="E938" s="298"/>
      <c r="F938" s="296"/>
      <c r="G938" s="296"/>
      <c r="H938" s="296"/>
      <c r="I938" s="296"/>
      <c r="J938" s="296"/>
      <c r="K938" s="296"/>
      <c r="L938" s="296"/>
      <c r="M938" s="299"/>
      <c r="N938" s="299"/>
      <c r="O938" s="299"/>
      <c r="P938" s="299"/>
      <c r="Q938" s="299"/>
      <c r="R938" s="299"/>
      <c r="S938" s="299"/>
      <c r="T938" s="299"/>
      <c r="U938" s="299"/>
      <c r="V938" s="299"/>
      <c r="W938" s="299"/>
      <c r="X938" s="299"/>
      <c r="Y938" s="299"/>
      <c r="Z938" s="299"/>
      <c r="AA938" s="299"/>
      <c r="AB938" s="299"/>
      <c r="AC938" s="300"/>
      <c r="AD938" s="300"/>
    </row>
    <row r="939" spans="1:30" ht="12.75" customHeight="1" x14ac:dyDescent="0.2">
      <c r="A939" s="296"/>
      <c r="B939" s="296"/>
      <c r="C939" s="296"/>
      <c r="D939" s="298"/>
      <c r="E939" s="298"/>
      <c r="F939" s="296"/>
      <c r="G939" s="296"/>
      <c r="H939" s="296"/>
      <c r="I939" s="296"/>
      <c r="J939" s="296"/>
      <c r="K939" s="296"/>
      <c r="L939" s="296"/>
      <c r="M939" s="299"/>
      <c r="N939" s="299"/>
      <c r="O939" s="299"/>
      <c r="P939" s="299"/>
      <c r="Q939" s="299"/>
      <c r="R939" s="299"/>
      <c r="S939" s="299"/>
      <c r="T939" s="299"/>
      <c r="U939" s="299"/>
      <c r="V939" s="299"/>
      <c r="W939" s="299"/>
      <c r="X939" s="299"/>
      <c r="Y939" s="299"/>
      <c r="Z939" s="299"/>
      <c r="AA939" s="299"/>
      <c r="AB939" s="299"/>
      <c r="AC939" s="300"/>
      <c r="AD939" s="300"/>
    </row>
    <row r="940" spans="1:30" ht="12.75" customHeight="1" x14ac:dyDescent="0.2">
      <c r="A940" s="296"/>
      <c r="B940" s="296"/>
      <c r="C940" s="296"/>
      <c r="D940" s="298"/>
      <c r="E940" s="298"/>
      <c r="F940" s="296"/>
      <c r="G940" s="296"/>
      <c r="H940" s="296"/>
      <c r="I940" s="296"/>
      <c r="J940" s="296"/>
      <c r="K940" s="296"/>
      <c r="L940" s="296"/>
      <c r="M940" s="299"/>
      <c r="N940" s="299"/>
      <c r="O940" s="299"/>
      <c r="P940" s="299"/>
      <c r="Q940" s="299"/>
      <c r="R940" s="299"/>
      <c r="S940" s="299"/>
      <c r="T940" s="299"/>
      <c r="U940" s="299"/>
      <c r="V940" s="299"/>
      <c r="W940" s="299"/>
      <c r="X940" s="299"/>
      <c r="Y940" s="299"/>
      <c r="Z940" s="299"/>
      <c r="AA940" s="299"/>
      <c r="AB940" s="299"/>
      <c r="AC940" s="300"/>
      <c r="AD940" s="300"/>
    </row>
    <row r="941" spans="1:30" ht="12.75" customHeight="1" x14ac:dyDescent="0.2">
      <c r="A941" s="296"/>
      <c r="B941" s="296"/>
      <c r="C941" s="296"/>
      <c r="D941" s="298"/>
      <c r="E941" s="298"/>
      <c r="F941" s="296"/>
      <c r="G941" s="296"/>
      <c r="H941" s="296"/>
      <c r="I941" s="296"/>
      <c r="J941" s="296"/>
      <c r="K941" s="296"/>
      <c r="L941" s="296"/>
      <c r="M941" s="299"/>
      <c r="N941" s="299"/>
      <c r="O941" s="299"/>
      <c r="P941" s="299"/>
      <c r="Q941" s="299"/>
      <c r="R941" s="299"/>
      <c r="S941" s="299"/>
      <c r="T941" s="299"/>
      <c r="U941" s="299"/>
      <c r="V941" s="299"/>
      <c r="W941" s="299"/>
      <c r="X941" s="299"/>
      <c r="Y941" s="299"/>
      <c r="Z941" s="299"/>
      <c r="AA941" s="299"/>
      <c r="AB941" s="299"/>
      <c r="AC941" s="300"/>
      <c r="AD941" s="300"/>
    </row>
    <row r="942" spans="1:30" ht="12.75" customHeight="1" x14ac:dyDescent="0.2">
      <c r="A942" s="296"/>
      <c r="B942" s="296"/>
      <c r="C942" s="296"/>
      <c r="D942" s="298"/>
      <c r="E942" s="298"/>
      <c r="F942" s="296"/>
      <c r="G942" s="296"/>
      <c r="H942" s="296"/>
      <c r="I942" s="296"/>
      <c r="J942" s="296"/>
      <c r="K942" s="296"/>
      <c r="L942" s="296"/>
      <c r="M942" s="299"/>
      <c r="N942" s="299"/>
      <c r="O942" s="299"/>
      <c r="P942" s="299"/>
      <c r="Q942" s="299"/>
      <c r="R942" s="299"/>
      <c r="S942" s="299"/>
      <c r="T942" s="299"/>
      <c r="U942" s="299"/>
      <c r="V942" s="299"/>
      <c r="W942" s="299"/>
      <c r="X942" s="299"/>
      <c r="Y942" s="299"/>
      <c r="Z942" s="299"/>
      <c r="AA942" s="299"/>
      <c r="AB942" s="299"/>
      <c r="AC942" s="300"/>
      <c r="AD942" s="300"/>
    </row>
    <row r="943" spans="1:30" ht="12.75" customHeight="1" x14ac:dyDescent="0.2">
      <c r="A943" s="296"/>
      <c r="B943" s="296"/>
      <c r="C943" s="296"/>
      <c r="D943" s="298"/>
      <c r="E943" s="298"/>
      <c r="F943" s="296"/>
      <c r="G943" s="296"/>
      <c r="H943" s="296"/>
      <c r="I943" s="296"/>
      <c r="J943" s="296"/>
      <c r="K943" s="296"/>
      <c r="L943" s="296"/>
      <c r="M943" s="299"/>
      <c r="N943" s="299"/>
      <c r="O943" s="299"/>
      <c r="P943" s="299"/>
      <c r="Q943" s="299"/>
      <c r="R943" s="299"/>
      <c r="S943" s="299"/>
      <c r="T943" s="299"/>
      <c r="U943" s="299"/>
      <c r="V943" s="299"/>
      <c r="W943" s="299"/>
      <c r="X943" s="299"/>
      <c r="Y943" s="299"/>
      <c r="Z943" s="299"/>
      <c r="AA943" s="299"/>
      <c r="AB943" s="299"/>
      <c r="AC943" s="300"/>
      <c r="AD943" s="300"/>
    </row>
    <row r="944" spans="1:30" ht="12.75" customHeight="1" x14ac:dyDescent="0.2">
      <c r="A944" s="296"/>
      <c r="B944" s="296"/>
      <c r="C944" s="296"/>
      <c r="D944" s="298"/>
      <c r="E944" s="298"/>
      <c r="F944" s="296"/>
      <c r="G944" s="296"/>
      <c r="H944" s="296"/>
      <c r="I944" s="296"/>
      <c r="J944" s="296"/>
      <c r="K944" s="296"/>
      <c r="L944" s="296"/>
      <c r="M944" s="299"/>
      <c r="N944" s="299"/>
      <c r="O944" s="299"/>
      <c r="P944" s="299"/>
      <c r="Q944" s="299"/>
      <c r="R944" s="299"/>
      <c r="S944" s="299"/>
      <c r="T944" s="299"/>
      <c r="U944" s="299"/>
      <c r="V944" s="299"/>
      <c r="W944" s="299"/>
      <c r="X944" s="299"/>
      <c r="Y944" s="299"/>
      <c r="Z944" s="299"/>
      <c r="AA944" s="299"/>
      <c r="AB944" s="299"/>
      <c r="AC944" s="300"/>
      <c r="AD944" s="300"/>
    </row>
    <row r="945" spans="1:30" ht="12.75" customHeight="1" x14ac:dyDescent="0.2">
      <c r="A945" s="296"/>
      <c r="B945" s="296"/>
      <c r="C945" s="296"/>
      <c r="D945" s="298"/>
      <c r="E945" s="298"/>
      <c r="F945" s="296"/>
      <c r="G945" s="296"/>
      <c r="H945" s="296"/>
      <c r="I945" s="296"/>
      <c r="J945" s="296"/>
      <c r="K945" s="296"/>
      <c r="L945" s="296"/>
      <c r="M945" s="299"/>
      <c r="N945" s="299"/>
      <c r="O945" s="299"/>
      <c r="P945" s="299"/>
      <c r="Q945" s="299"/>
      <c r="R945" s="299"/>
      <c r="S945" s="299"/>
      <c r="T945" s="299"/>
      <c r="U945" s="299"/>
      <c r="V945" s="299"/>
      <c r="W945" s="299"/>
      <c r="X945" s="299"/>
      <c r="Y945" s="299"/>
      <c r="Z945" s="299"/>
      <c r="AA945" s="299"/>
      <c r="AB945" s="299"/>
      <c r="AC945" s="300"/>
      <c r="AD945" s="300"/>
    </row>
    <row r="946" spans="1:30" ht="12.75" customHeight="1" x14ac:dyDescent="0.2">
      <c r="A946" s="296"/>
      <c r="B946" s="296"/>
      <c r="C946" s="296"/>
      <c r="D946" s="298"/>
      <c r="E946" s="298"/>
      <c r="F946" s="296"/>
      <c r="G946" s="296"/>
      <c r="H946" s="296"/>
      <c r="I946" s="296"/>
      <c r="J946" s="296"/>
      <c r="K946" s="296"/>
      <c r="L946" s="296"/>
      <c r="M946" s="299"/>
      <c r="N946" s="299"/>
      <c r="O946" s="299"/>
      <c r="P946" s="299"/>
      <c r="Q946" s="299"/>
      <c r="R946" s="299"/>
      <c r="S946" s="299"/>
      <c r="T946" s="299"/>
      <c r="U946" s="299"/>
      <c r="V946" s="299"/>
      <c r="W946" s="299"/>
      <c r="X946" s="299"/>
      <c r="Y946" s="299"/>
      <c r="Z946" s="299"/>
      <c r="AA946" s="299"/>
      <c r="AB946" s="299"/>
      <c r="AC946" s="300"/>
      <c r="AD946" s="300"/>
    </row>
    <row r="947" spans="1:30" ht="12.75" customHeight="1" x14ac:dyDescent="0.2">
      <c r="A947" s="296"/>
      <c r="B947" s="296"/>
      <c r="C947" s="296"/>
      <c r="D947" s="298"/>
      <c r="E947" s="298"/>
      <c r="F947" s="296"/>
      <c r="G947" s="296"/>
      <c r="H947" s="296"/>
      <c r="I947" s="296"/>
      <c r="J947" s="296"/>
      <c r="K947" s="296"/>
      <c r="L947" s="296"/>
      <c r="M947" s="299"/>
      <c r="N947" s="299"/>
      <c r="O947" s="299"/>
      <c r="P947" s="299"/>
      <c r="Q947" s="299"/>
      <c r="R947" s="299"/>
      <c r="S947" s="299"/>
      <c r="T947" s="299"/>
      <c r="U947" s="299"/>
      <c r="V947" s="299"/>
      <c r="W947" s="299"/>
      <c r="X947" s="299"/>
      <c r="Y947" s="299"/>
      <c r="Z947" s="299"/>
      <c r="AA947" s="299"/>
      <c r="AB947" s="299"/>
      <c r="AC947" s="300"/>
      <c r="AD947" s="300"/>
    </row>
    <row r="948" spans="1:30" ht="12.75" customHeight="1" x14ac:dyDescent="0.2">
      <c r="A948" s="296"/>
      <c r="B948" s="296"/>
      <c r="C948" s="296"/>
      <c r="D948" s="298"/>
      <c r="E948" s="298"/>
      <c r="F948" s="296"/>
      <c r="G948" s="296"/>
      <c r="H948" s="296"/>
      <c r="I948" s="296"/>
      <c r="J948" s="296"/>
      <c r="K948" s="296"/>
      <c r="L948" s="296"/>
      <c r="M948" s="299"/>
      <c r="N948" s="299"/>
      <c r="O948" s="299"/>
      <c r="P948" s="299"/>
      <c r="Q948" s="299"/>
      <c r="R948" s="299"/>
      <c r="S948" s="299"/>
      <c r="T948" s="299"/>
      <c r="U948" s="299"/>
      <c r="V948" s="299"/>
      <c r="W948" s="299"/>
      <c r="X948" s="299"/>
      <c r="Y948" s="299"/>
      <c r="Z948" s="299"/>
      <c r="AA948" s="299"/>
      <c r="AB948" s="299"/>
      <c r="AC948" s="300"/>
      <c r="AD948" s="300"/>
    </row>
    <row r="949" spans="1:30" ht="12.75" customHeight="1" x14ac:dyDescent="0.2">
      <c r="A949" s="296"/>
      <c r="B949" s="296"/>
      <c r="C949" s="296"/>
      <c r="D949" s="298"/>
      <c r="E949" s="298"/>
      <c r="F949" s="296"/>
      <c r="G949" s="296"/>
      <c r="H949" s="296"/>
      <c r="I949" s="296"/>
      <c r="J949" s="296"/>
      <c r="K949" s="296"/>
      <c r="L949" s="296"/>
      <c r="M949" s="299"/>
      <c r="N949" s="299"/>
      <c r="O949" s="299"/>
      <c r="P949" s="299"/>
      <c r="Q949" s="299"/>
      <c r="R949" s="299"/>
      <c r="S949" s="299"/>
      <c r="T949" s="299"/>
      <c r="U949" s="299"/>
      <c r="V949" s="299"/>
      <c r="W949" s="299"/>
      <c r="X949" s="299"/>
      <c r="Y949" s="299"/>
      <c r="Z949" s="299"/>
      <c r="AA949" s="299"/>
      <c r="AB949" s="299"/>
      <c r="AC949" s="300"/>
      <c r="AD949" s="300"/>
    </row>
    <row r="950" spans="1:30" ht="12.75" customHeight="1" x14ac:dyDescent="0.2">
      <c r="A950" s="296"/>
      <c r="B950" s="296"/>
      <c r="C950" s="296"/>
      <c r="D950" s="298"/>
      <c r="E950" s="298"/>
      <c r="F950" s="296"/>
      <c r="G950" s="296"/>
      <c r="H950" s="296"/>
      <c r="I950" s="296"/>
      <c r="J950" s="296"/>
      <c r="K950" s="296"/>
      <c r="L950" s="296"/>
      <c r="M950" s="299"/>
      <c r="N950" s="299"/>
      <c r="O950" s="299"/>
      <c r="P950" s="299"/>
      <c r="Q950" s="299"/>
      <c r="R950" s="299"/>
      <c r="S950" s="299"/>
      <c r="T950" s="299"/>
      <c r="U950" s="299"/>
      <c r="V950" s="299"/>
      <c r="W950" s="299"/>
      <c r="X950" s="299"/>
      <c r="Y950" s="299"/>
      <c r="Z950" s="299"/>
      <c r="AA950" s="299"/>
      <c r="AB950" s="299"/>
      <c r="AC950" s="300"/>
      <c r="AD950" s="300"/>
    </row>
    <row r="951" spans="1:30" ht="12.75" customHeight="1" x14ac:dyDescent="0.2">
      <c r="A951" s="296"/>
      <c r="B951" s="296"/>
      <c r="C951" s="296"/>
      <c r="D951" s="298"/>
      <c r="E951" s="298"/>
      <c r="F951" s="296"/>
      <c r="G951" s="296"/>
      <c r="H951" s="296"/>
      <c r="I951" s="296"/>
      <c r="J951" s="296"/>
      <c r="K951" s="296"/>
      <c r="L951" s="296"/>
      <c r="M951" s="299"/>
      <c r="N951" s="299"/>
      <c r="O951" s="299"/>
      <c r="P951" s="299"/>
      <c r="Q951" s="299"/>
      <c r="R951" s="299"/>
      <c r="S951" s="299"/>
      <c r="T951" s="299"/>
      <c r="U951" s="299"/>
      <c r="V951" s="299"/>
      <c r="W951" s="299"/>
      <c r="X951" s="299"/>
      <c r="Y951" s="299"/>
      <c r="Z951" s="299"/>
      <c r="AA951" s="299"/>
      <c r="AB951" s="299"/>
      <c r="AC951" s="300"/>
      <c r="AD951" s="300"/>
    </row>
    <row r="952" spans="1:30" ht="12.75" customHeight="1" x14ac:dyDescent="0.2">
      <c r="A952" s="296"/>
      <c r="B952" s="296"/>
      <c r="C952" s="296"/>
      <c r="D952" s="298"/>
      <c r="E952" s="298"/>
      <c r="F952" s="296"/>
      <c r="G952" s="296"/>
      <c r="H952" s="296"/>
      <c r="I952" s="296"/>
      <c r="J952" s="296"/>
      <c r="K952" s="296"/>
      <c r="L952" s="296"/>
      <c r="M952" s="299"/>
      <c r="N952" s="299"/>
      <c r="O952" s="299"/>
      <c r="P952" s="299"/>
      <c r="Q952" s="299"/>
      <c r="R952" s="299"/>
      <c r="S952" s="299"/>
      <c r="T952" s="299"/>
      <c r="U952" s="299"/>
      <c r="V952" s="299"/>
      <c r="W952" s="299"/>
      <c r="X952" s="299"/>
      <c r="Y952" s="299"/>
      <c r="Z952" s="299"/>
      <c r="AA952" s="299"/>
      <c r="AB952" s="299"/>
      <c r="AC952" s="300"/>
      <c r="AD952" s="300"/>
    </row>
    <row r="953" spans="1:30" ht="12.75" customHeight="1" x14ac:dyDescent="0.2">
      <c r="A953" s="296"/>
      <c r="B953" s="296"/>
      <c r="C953" s="296"/>
      <c r="D953" s="298"/>
      <c r="E953" s="298"/>
      <c r="F953" s="296"/>
      <c r="G953" s="296"/>
      <c r="H953" s="296"/>
      <c r="I953" s="296"/>
      <c r="J953" s="296"/>
      <c r="K953" s="296"/>
      <c r="L953" s="296"/>
      <c r="M953" s="299"/>
      <c r="N953" s="299"/>
      <c r="O953" s="299"/>
      <c r="P953" s="299"/>
      <c r="Q953" s="299"/>
      <c r="R953" s="299"/>
      <c r="S953" s="299"/>
      <c r="T953" s="299"/>
      <c r="U953" s="299"/>
      <c r="V953" s="299"/>
      <c r="W953" s="299"/>
      <c r="X953" s="299"/>
      <c r="Y953" s="299"/>
      <c r="Z953" s="299"/>
      <c r="AA953" s="299"/>
      <c r="AB953" s="299"/>
      <c r="AC953" s="300"/>
      <c r="AD953" s="300"/>
    </row>
    <row r="954" spans="1:30" ht="12.75" customHeight="1" x14ac:dyDescent="0.2">
      <c r="A954" s="296"/>
      <c r="B954" s="296"/>
      <c r="C954" s="296"/>
      <c r="D954" s="298"/>
      <c r="E954" s="298"/>
      <c r="F954" s="296"/>
      <c r="G954" s="296"/>
      <c r="H954" s="296"/>
      <c r="I954" s="296"/>
      <c r="J954" s="296"/>
      <c r="K954" s="296"/>
      <c r="L954" s="296"/>
      <c r="M954" s="299"/>
      <c r="N954" s="299"/>
      <c r="O954" s="299"/>
      <c r="P954" s="299"/>
      <c r="Q954" s="299"/>
      <c r="R954" s="299"/>
      <c r="S954" s="299"/>
      <c r="T954" s="299"/>
      <c r="U954" s="299"/>
      <c r="V954" s="299"/>
      <c r="W954" s="299"/>
      <c r="X954" s="299"/>
      <c r="Y954" s="299"/>
      <c r="Z954" s="299"/>
      <c r="AA954" s="299"/>
      <c r="AB954" s="299"/>
      <c r="AC954" s="300"/>
      <c r="AD954" s="300"/>
    </row>
    <row r="955" spans="1:30" ht="12.75" customHeight="1" x14ac:dyDescent="0.2">
      <c r="A955" s="296"/>
      <c r="B955" s="296"/>
      <c r="C955" s="296"/>
      <c r="D955" s="298"/>
      <c r="E955" s="298"/>
      <c r="F955" s="296"/>
      <c r="G955" s="296"/>
      <c r="H955" s="296"/>
      <c r="I955" s="296"/>
      <c r="J955" s="296"/>
      <c r="K955" s="296"/>
      <c r="L955" s="296"/>
      <c r="M955" s="299"/>
      <c r="N955" s="299"/>
      <c r="O955" s="299"/>
      <c r="P955" s="299"/>
      <c r="Q955" s="299"/>
      <c r="R955" s="299"/>
      <c r="S955" s="299"/>
      <c r="T955" s="299"/>
      <c r="U955" s="299"/>
      <c r="V955" s="299"/>
      <c r="W955" s="299"/>
      <c r="X955" s="299"/>
      <c r="Y955" s="299"/>
      <c r="Z955" s="299"/>
      <c r="AA955" s="299"/>
      <c r="AB955" s="299"/>
      <c r="AC955" s="300"/>
      <c r="AD955" s="300"/>
    </row>
    <row r="956" spans="1:30" ht="12.75" customHeight="1" x14ac:dyDescent="0.2">
      <c r="A956" s="296"/>
      <c r="B956" s="296"/>
      <c r="C956" s="296"/>
      <c r="D956" s="298"/>
      <c r="E956" s="298"/>
      <c r="F956" s="296"/>
      <c r="G956" s="296"/>
      <c r="H956" s="296"/>
      <c r="I956" s="296"/>
      <c r="J956" s="296"/>
      <c r="K956" s="296"/>
      <c r="L956" s="296"/>
      <c r="M956" s="299"/>
      <c r="N956" s="299"/>
      <c r="O956" s="299"/>
      <c r="P956" s="299"/>
      <c r="Q956" s="299"/>
      <c r="R956" s="299"/>
      <c r="S956" s="299"/>
      <c r="T956" s="299"/>
      <c r="U956" s="299"/>
      <c r="V956" s="299"/>
      <c r="W956" s="299"/>
      <c r="X956" s="299"/>
      <c r="Y956" s="299"/>
      <c r="Z956" s="299"/>
      <c r="AA956" s="299"/>
      <c r="AB956" s="299"/>
      <c r="AC956" s="300"/>
      <c r="AD956" s="300"/>
    </row>
    <row r="957" spans="1:30" ht="12.75" customHeight="1" x14ac:dyDescent="0.2">
      <c r="A957" s="296"/>
      <c r="B957" s="296"/>
      <c r="C957" s="296"/>
      <c r="D957" s="298"/>
      <c r="E957" s="298"/>
      <c r="F957" s="296"/>
      <c r="G957" s="296"/>
      <c r="H957" s="296"/>
      <c r="I957" s="296"/>
      <c r="J957" s="296"/>
      <c r="K957" s="296"/>
      <c r="L957" s="296"/>
      <c r="M957" s="299"/>
      <c r="N957" s="299"/>
      <c r="O957" s="299"/>
      <c r="P957" s="299"/>
      <c r="Q957" s="299"/>
      <c r="R957" s="299"/>
      <c r="S957" s="299"/>
      <c r="T957" s="299"/>
      <c r="U957" s="299"/>
      <c r="V957" s="299"/>
      <c r="W957" s="299"/>
      <c r="X957" s="299"/>
      <c r="Y957" s="299"/>
      <c r="Z957" s="299"/>
      <c r="AA957" s="299"/>
      <c r="AB957" s="299"/>
      <c r="AC957" s="300"/>
      <c r="AD957" s="300"/>
    </row>
    <row r="958" spans="1:30" ht="12.75" customHeight="1" x14ac:dyDescent="0.2">
      <c r="A958" s="296"/>
      <c r="B958" s="296"/>
      <c r="C958" s="296"/>
      <c r="D958" s="298"/>
      <c r="E958" s="298"/>
      <c r="F958" s="296"/>
      <c r="G958" s="296"/>
      <c r="H958" s="296"/>
      <c r="I958" s="296"/>
      <c r="J958" s="296"/>
      <c r="K958" s="296"/>
      <c r="L958" s="296"/>
      <c r="M958" s="299"/>
      <c r="N958" s="299"/>
      <c r="O958" s="299"/>
      <c r="P958" s="299"/>
      <c r="Q958" s="299"/>
      <c r="R958" s="299"/>
      <c r="S958" s="299"/>
      <c r="T958" s="299"/>
      <c r="U958" s="299"/>
      <c r="V958" s="299"/>
      <c r="W958" s="299"/>
      <c r="X958" s="299"/>
      <c r="Y958" s="299"/>
      <c r="Z958" s="299"/>
      <c r="AA958" s="299"/>
      <c r="AB958" s="299"/>
      <c r="AC958" s="300"/>
      <c r="AD958" s="300"/>
    </row>
    <row r="959" spans="1:30" ht="12.75" customHeight="1" x14ac:dyDescent="0.2">
      <c r="A959" s="296"/>
      <c r="B959" s="296"/>
      <c r="C959" s="296"/>
      <c r="D959" s="298"/>
      <c r="E959" s="298"/>
      <c r="F959" s="296"/>
      <c r="G959" s="296"/>
      <c r="H959" s="296"/>
      <c r="I959" s="296"/>
      <c r="J959" s="296"/>
      <c r="K959" s="296"/>
      <c r="L959" s="296"/>
      <c r="M959" s="299"/>
      <c r="N959" s="299"/>
      <c r="O959" s="299"/>
      <c r="P959" s="299"/>
      <c r="Q959" s="299"/>
      <c r="R959" s="299"/>
      <c r="S959" s="299"/>
      <c r="T959" s="299"/>
      <c r="U959" s="299"/>
      <c r="V959" s="299"/>
      <c r="W959" s="299"/>
      <c r="X959" s="299"/>
      <c r="Y959" s="299"/>
      <c r="Z959" s="299"/>
      <c r="AA959" s="299"/>
      <c r="AB959" s="299"/>
      <c r="AC959" s="300"/>
      <c r="AD959" s="300"/>
    </row>
    <row r="960" spans="1:30" ht="12.75" customHeight="1" x14ac:dyDescent="0.2">
      <c r="A960" s="296"/>
      <c r="B960" s="296"/>
      <c r="C960" s="296"/>
      <c r="D960" s="298"/>
      <c r="E960" s="298"/>
      <c r="F960" s="296"/>
      <c r="G960" s="296"/>
      <c r="H960" s="296"/>
      <c r="I960" s="296"/>
      <c r="J960" s="296"/>
      <c r="K960" s="296"/>
      <c r="L960" s="296"/>
      <c r="M960" s="299"/>
      <c r="N960" s="299"/>
      <c r="O960" s="299"/>
      <c r="P960" s="299"/>
      <c r="Q960" s="299"/>
      <c r="R960" s="299"/>
      <c r="S960" s="299"/>
      <c r="T960" s="299"/>
      <c r="U960" s="299"/>
      <c r="V960" s="299"/>
      <c r="W960" s="299"/>
      <c r="X960" s="299"/>
      <c r="Y960" s="299"/>
      <c r="Z960" s="299"/>
      <c r="AA960" s="299"/>
      <c r="AB960" s="299"/>
      <c r="AC960" s="300"/>
      <c r="AD960" s="300"/>
    </row>
    <row r="961" spans="1:30" ht="12.75" customHeight="1" x14ac:dyDescent="0.2">
      <c r="A961" s="296"/>
      <c r="B961" s="296"/>
      <c r="C961" s="296"/>
      <c r="D961" s="298"/>
      <c r="E961" s="298"/>
      <c r="F961" s="296"/>
      <c r="G961" s="296"/>
      <c r="H961" s="296"/>
      <c r="I961" s="296"/>
      <c r="J961" s="296"/>
      <c r="K961" s="296"/>
      <c r="L961" s="296"/>
      <c r="M961" s="299"/>
      <c r="N961" s="299"/>
      <c r="O961" s="299"/>
      <c r="P961" s="299"/>
      <c r="Q961" s="299"/>
      <c r="R961" s="299"/>
      <c r="S961" s="299"/>
      <c r="T961" s="299"/>
      <c r="U961" s="299"/>
      <c r="V961" s="299"/>
      <c r="W961" s="299"/>
      <c r="X961" s="299"/>
      <c r="Y961" s="299"/>
      <c r="Z961" s="299"/>
      <c r="AA961" s="299"/>
      <c r="AB961" s="299"/>
      <c r="AC961" s="300"/>
      <c r="AD961" s="300"/>
    </row>
    <row r="962" spans="1:30" ht="12.75" customHeight="1" x14ac:dyDescent="0.2">
      <c r="A962" s="296"/>
      <c r="B962" s="296"/>
      <c r="C962" s="296"/>
      <c r="D962" s="298"/>
      <c r="E962" s="298"/>
      <c r="F962" s="296"/>
      <c r="G962" s="296"/>
      <c r="H962" s="296"/>
      <c r="I962" s="296"/>
      <c r="J962" s="296"/>
      <c r="K962" s="296"/>
      <c r="L962" s="296"/>
      <c r="M962" s="299"/>
      <c r="N962" s="299"/>
      <c r="O962" s="299"/>
      <c r="P962" s="299"/>
      <c r="Q962" s="299"/>
      <c r="R962" s="299"/>
      <c r="S962" s="299"/>
      <c r="T962" s="299"/>
      <c r="U962" s="299"/>
      <c r="V962" s="299"/>
      <c r="W962" s="299"/>
      <c r="X962" s="299"/>
      <c r="Y962" s="299"/>
      <c r="Z962" s="299"/>
      <c r="AA962" s="299"/>
      <c r="AB962" s="299"/>
      <c r="AC962" s="300"/>
      <c r="AD962" s="300"/>
    </row>
    <row r="963" spans="1:30" ht="12.75" customHeight="1" x14ac:dyDescent="0.2">
      <c r="A963" s="296"/>
      <c r="B963" s="296"/>
      <c r="C963" s="296"/>
      <c r="D963" s="298"/>
      <c r="E963" s="298"/>
      <c r="F963" s="296"/>
      <c r="G963" s="296"/>
      <c r="H963" s="296"/>
      <c r="I963" s="296"/>
      <c r="J963" s="296"/>
      <c r="K963" s="296"/>
      <c r="L963" s="296"/>
      <c r="M963" s="299"/>
      <c r="N963" s="299"/>
      <c r="O963" s="299"/>
      <c r="P963" s="299"/>
      <c r="Q963" s="299"/>
      <c r="R963" s="299"/>
      <c r="S963" s="299"/>
      <c r="T963" s="299"/>
      <c r="U963" s="299"/>
      <c r="V963" s="299"/>
      <c r="W963" s="299"/>
      <c r="X963" s="299"/>
      <c r="Y963" s="299"/>
      <c r="Z963" s="299"/>
      <c r="AA963" s="299"/>
      <c r="AB963" s="299"/>
      <c r="AC963" s="300"/>
      <c r="AD963" s="300"/>
    </row>
    <row r="964" spans="1:30" ht="12.75" customHeight="1" x14ac:dyDescent="0.2">
      <c r="A964" s="296"/>
      <c r="B964" s="296"/>
      <c r="C964" s="296"/>
      <c r="D964" s="298"/>
      <c r="E964" s="298"/>
      <c r="F964" s="296"/>
      <c r="G964" s="296"/>
      <c r="H964" s="296"/>
      <c r="I964" s="296"/>
      <c r="J964" s="296"/>
      <c r="K964" s="296"/>
      <c r="L964" s="296"/>
      <c r="M964" s="299"/>
      <c r="N964" s="299"/>
      <c r="O964" s="299"/>
      <c r="P964" s="299"/>
      <c r="Q964" s="299"/>
      <c r="R964" s="299"/>
      <c r="S964" s="299"/>
      <c r="T964" s="299"/>
      <c r="U964" s="299"/>
      <c r="V964" s="299"/>
      <c r="W964" s="299"/>
      <c r="X964" s="299"/>
      <c r="Y964" s="299"/>
      <c r="Z964" s="299"/>
      <c r="AA964" s="299"/>
      <c r="AB964" s="299"/>
      <c r="AC964" s="300"/>
      <c r="AD964" s="300"/>
    </row>
    <row r="965" spans="1:30" ht="12.75" customHeight="1" x14ac:dyDescent="0.2">
      <c r="A965" s="296"/>
      <c r="B965" s="296"/>
      <c r="C965" s="296"/>
      <c r="D965" s="298"/>
      <c r="E965" s="298"/>
      <c r="F965" s="296"/>
      <c r="G965" s="296"/>
      <c r="H965" s="296"/>
      <c r="I965" s="296"/>
      <c r="J965" s="296"/>
      <c r="K965" s="296"/>
      <c r="L965" s="296"/>
      <c r="M965" s="299"/>
      <c r="N965" s="299"/>
      <c r="O965" s="299"/>
      <c r="P965" s="299"/>
      <c r="Q965" s="299"/>
      <c r="R965" s="299"/>
      <c r="S965" s="299"/>
      <c r="T965" s="299"/>
      <c r="U965" s="299"/>
      <c r="V965" s="299"/>
      <c r="W965" s="299"/>
      <c r="X965" s="299"/>
      <c r="Y965" s="299"/>
      <c r="Z965" s="299"/>
      <c r="AA965" s="299"/>
      <c r="AB965" s="299"/>
      <c r="AC965" s="300"/>
      <c r="AD965" s="300"/>
    </row>
    <row r="966" spans="1:30" ht="12.75" customHeight="1" x14ac:dyDescent="0.2">
      <c r="A966" s="296"/>
      <c r="B966" s="296"/>
      <c r="C966" s="296"/>
      <c r="D966" s="298"/>
      <c r="E966" s="298"/>
      <c r="F966" s="296"/>
      <c r="G966" s="296"/>
      <c r="H966" s="296"/>
      <c r="I966" s="296"/>
      <c r="J966" s="296"/>
      <c r="K966" s="296"/>
      <c r="L966" s="296"/>
      <c r="M966" s="299"/>
      <c r="N966" s="299"/>
      <c r="O966" s="299"/>
      <c r="P966" s="299"/>
      <c r="Q966" s="299"/>
      <c r="R966" s="299"/>
      <c r="S966" s="299"/>
      <c r="T966" s="299"/>
      <c r="U966" s="299"/>
      <c r="V966" s="299"/>
      <c r="W966" s="299"/>
      <c r="X966" s="299"/>
      <c r="Y966" s="299"/>
      <c r="Z966" s="299"/>
      <c r="AA966" s="299"/>
      <c r="AB966" s="299"/>
      <c r="AC966" s="300"/>
      <c r="AD966" s="300"/>
    </row>
    <row r="967" spans="1:30" ht="12.75" customHeight="1" x14ac:dyDescent="0.2">
      <c r="A967" s="296"/>
      <c r="B967" s="296"/>
      <c r="C967" s="296"/>
      <c r="D967" s="298"/>
      <c r="E967" s="298"/>
      <c r="F967" s="296"/>
      <c r="G967" s="296"/>
      <c r="H967" s="296"/>
      <c r="I967" s="296"/>
      <c r="J967" s="296"/>
      <c r="K967" s="296"/>
      <c r="L967" s="296"/>
      <c r="M967" s="299"/>
      <c r="N967" s="299"/>
      <c r="O967" s="299"/>
      <c r="P967" s="299"/>
      <c r="Q967" s="299"/>
      <c r="R967" s="299"/>
      <c r="S967" s="299"/>
      <c r="T967" s="299"/>
      <c r="U967" s="299"/>
      <c r="V967" s="299"/>
      <c r="W967" s="299"/>
      <c r="X967" s="299"/>
      <c r="Y967" s="299"/>
      <c r="Z967" s="299"/>
      <c r="AA967" s="299"/>
      <c r="AB967" s="299"/>
      <c r="AC967" s="300"/>
      <c r="AD967" s="300"/>
    </row>
    <row r="968" spans="1:30" ht="12.75" customHeight="1" x14ac:dyDescent="0.2">
      <c r="A968" s="296"/>
      <c r="B968" s="296"/>
      <c r="C968" s="296"/>
      <c r="D968" s="298"/>
      <c r="E968" s="298"/>
      <c r="F968" s="296"/>
      <c r="G968" s="296"/>
      <c r="H968" s="296"/>
      <c r="I968" s="296"/>
      <c r="J968" s="296"/>
      <c r="K968" s="296"/>
      <c r="L968" s="296"/>
      <c r="M968" s="299"/>
      <c r="N968" s="299"/>
      <c r="O968" s="299"/>
      <c r="P968" s="299"/>
      <c r="Q968" s="299"/>
      <c r="R968" s="299"/>
      <c r="S968" s="299"/>
      <c r="T968" s="299"/>
      <c r="U968" s="299"/>
      <c r="V968" s="299"/>
      <c r="W968" s="299"/>
      <c r="X968" s="299"/>
      <c r="Y968" s="299"/>
      <c r="Z968" s="299"/>
      <c r="AA968" s="299"/>
      <c r="AB968" s="299"/>
      <c r="AC968" s="300"/>
      <c r="AD968" s="300"/>
    </row>
    <row r="969" spans="1:30" ht="12.75" customHeight="1" x14ac:dyDescent="0.2">
      <c r="A969" s="296"/>
      <c r="B969" s="296"/>
      <c r="C969" s="296"/>
      <c r="D969" s="298"/>
      <c r="E969" s="298"/>
      <c r="F969" s="296"/>
      <c r="G969" s="296"/>
      <c r="H969" s="296"/>
      <c r="I969" s="296"/>
      <c r="J969" s="296"/>
      <c r="K969" s="296"/>
      <c r="L969" s="296"/>
      <c r="M969" s="299"/>
      <c r="N969" s="299"/>
      <c r="O969" s="299"/>
      <c r="P969" s="299"/>
      <c r="Q969" s="299"/>
      <c r="R969" s="299"/>
      <c r="S969" s="299"/>
      <c r="T969" s="299"/>
      <c r="U969" s="299"/>
      <c r="V969" s="299"/>
      <c r="W969" s="299"/>
      <c r="X969" s="299"/>
      <c r="Y969" s="299"/>
      <c r="Z969" s="299"/>
      <c r="AA969" s="299"/>
      <c r="AB969" s="299"/>
      <c r="AC969" s="300"/>
      <c r="AD969" s="300"/>
    </row>
    <row r="970" spans="1:30" ht="12.75" customHeight="1" x14ac:dyDescent="0.2">
      <c r="A970" s="296"/>
      <c r="B970" s="296"/>
      <c r="C970" s="296"/>
      <c r="D970" s="298"/>
      <c r="E970" s="298"/>
      <c r="F970" s="296"/>
      <c r="G970" s="296"/>
      <c r="H970" s="296"/>
      <c r="I970" s="296"/>
      <c r="J970" s="296"/>
      <c r="K970" s="296"/>
      <c r="L970" s="296"/>
      <c r="M970" s="299"/>
      <c r="N970" s="299"/>
      <c r="O970" s="299"/>
      <c r="P970" s="299"/>
      <c r="Q970" s="299"/>
      <c r="R970" s="299"/>
      <c r="S970" s="299"/>
      <c r="T970" s="299"/>
      <c r="U970" s="299"/>
      <c r="V970" s="299"/>
      <c r="W970" s="299"/>
      <c r="X970" s="299"/>
      <c r="Y970" s="299"/>
      <c r="Z970" s="299"/>
      <c r="AA970" s="299"/>
      <c r="AB970" s="299"/>
      <c r="AC970" s="300"/>
      <c r="AD970" s="300"/>
    </row>
    <row r="971" spans="1:30" ht="12.75" customHeight="1" x14ac:dyDescent="0.2">
      <c r="A971" s="296"/>
      <c r="B971" s="296"/>
      <c r="C971" s="296"/>
      <c r="D971" s="298"/>
      <c r="E971" s="298"/>
      <c r="F971" s="296"/>
      <c r="G971" s="296"/>
      <c r="H971" s="296"/>
      <c r="I971" s="296"/>
      <c r="J971" s="296"/>
      <c r="K971" s="296"/>
      <c r="L971" s="296"/>
      <c r="M971" s="299"/>
      <c r="N971" s="299"/>
      <c r="O971" s="299"/>
      <c r="P971" s="299"/>
      <c r="Q971" s="299"/>
      <c r="R971" s="299"/>
      <c r="S971" s="299"/>
      <c r="T971" s="299"/>
      <c r="U971" s="299"/>
      <c r="V971" s="299"/>
      <c r="W971" s="299"/>
      <c r="X971" s="299"/>
      <c r="Y971" s="299"/>
      <c r="Z971" s="299"/>
      <c r="AA971" s="299"/>
      <c r="AB971" s="299"/>
      <c r="AC971" s="300"/>
      <c r="AD971" s="300"/>
    </row>
    <row r="972" spans="1:30" ht="12.75" customHeight="1" x14ac:dyDescent="0.2">
      <c r="A972" s="296"/>
      <c r="B972" s="296"/>
      <c r="C972" s="296"/>
      <c r="D972" s="298"/>
      <c r="E972" s="298"/>
      <c r="F972" s="296"/>
      <c r="G972" s="296"/>
      <c r="H972" s="296"/>
      <c r="I972" s="296"/>
      <c r="J972" s="296"/>
      <c r="K972" s="296"/>
      <c r="L972" s="296"/>
      <c r="M972" s="299"/>
      <c r="N972" s="299"/>
      <c r="O972" s="299"/>
      <c r="P972" s="299"/>
      <c r="Q972" s="299"/>
      <c r="R972" s="299"/>
      <c r="S972" s="299"/>
      <c r="T972" s="299"/>
      <c r="U972" s="299"/>
      <c r="V972" s="299"/>
      <c r="W972" s="299"/>
      <c r="X972" s="299"/>
      <c r="Y972" s="299"/>
      <c r="Z972" s="299"/>
      <c r="AA972" s="299"/>
      <c r="AB972" s="299"/>
      <c r="AC972" s="300"/>
      <c r="AD972" s="300"/>
    </row>
  </sheetData>
  <mergeCells count="27">
    <mergeCell ref="A28:A31"/>
    <mergeCell ref="B28:B31"/>
    <mergeCell ref="C28:C31"/>
    <mergeCell ref="A19:A22"/>
    <mergeCell ref="B19:B22"/>
    <mergeCell ref="C19:C22"/>
    <mergeCell ref="A23:A27"/>
    <mergeCell ref="B23:B27"/>
    <mergeCell ref="C23:C27"/>
    <mergeCell ref="A9:A13"/>
    <mergeCell ref="B9:B13"/>
    <mergeCell ref="C9:C13"/>
    <mergeCell ref="A14:A18"/>
    <mergeCell ref="B14:B18"/>
    <mergeCell ref="C14:C18"/>
    <mergeCell ref="A6:C6"/>
    <mergeCell ref="D6:AD6"/>
    <mergeCell ref="A7:L7"/>
    <mergeCell ref="M7:Y7"/>
    <mergeCell ref="Z7:AB7"/>
    <mergeCell ref="AC7:AD7"/>
    <mergeCell ref="A1:C4"/>
    <mergeCell ref="D1:AB4"/>
    <mergeCell ref="AC1:AD2"/>
    <mergeCell ref="AC3:AD4"/>
    <mergeCell ref="A5:C5"/>
    <mergeCell ref="D5:AD5"/>
  </mergeCells>
  <dataValidations count="9">
    <dataValidation type="list" allowBlank="1" showErrorMessage="1" sqref="G9:G31" xr:uid="{00000000-0002-0000-3300-000000000000}">
      <formula1>"Adecuado,Inadecuado,Seleccione"</formula1>
    </dataValidation>
    <dataValidation type="list" allowBlank="1" showErrorMessage="1" sqref="L9:L31" xr:uid="{00000000-0002-0000-3300-000001000000}">
      <formula1>"Completa,Incompleta,No existe,Seleccione"</formula1>
    </dataValidation>
    <dataValidation type="list" allowBlank="1" showErrorMessage="1" sqref="H9:H31" xr:uid="{00000000-0002-0000-3300-000002000000}">
      <formula1>"Oportuna,Inoportuna,Seleccione"</formula1>
    </dataValidation>
    <dataValidation type="list" allowBlank="1" showErrorMessage="1" sqref="U9:V31" xr:uid="{00000000-0002-0000-3300-000003000000}">
      <formula1>"SI,NO,Seleccione"</formula1>
    </dataValidation>
    <dataValidation type="list" allowBlank="1" showErrorMessage="1" sqref="Z9:Z31" xr:uid="{00000000-0002-0000-3300-000004000000}">
      <formula1>"Siempre se ejecuta,Algunas veces se ejecuta,No se ejecuta,Seleccione"</formula1>
    </dataValidation>
    <dataValidation type="list" allowBlank="1" showErrorMessage="1" sqref="K9:K31" xr:uid="{00000000-0002-0000-3300-000005000000}">
      <formula1>"Se investigan y resuelven oportunamente,No se investigan y resuelven oportunamente,Seleccione"</formula1>
    </dataValidation>
    <dataValidation type="list" allowBlank="1" showErrorMessage="1" sqref="F9:F31" xr:uid="{00000000-0002-0000-3300-000006000000}">
      <formula1>"Asignado,No asignado,Seleccione"</formula1>
    </dataValidation>
    <dataValidation type="list" allowBlank="1" showErrorMessage="1" sqref="J9:J31" xr:uid="{00000000-0002-0000-3300-000007000000}">
      <formula1>"Confiable,No Confiable,Seleccione"</formula1>
    </dataValidation>
    <dataValidation type="list" allowBlank="1" showErrorMessage="1" sqref="I9:I31" xr:uid="{00000000-0002-0000-3300-000008000000}">
      <formula1>"Prevenir,Detectar,No es un control,Seleccione"</formula1>
    </dataValidation>
  </dataValidations>
  <pageMargins left="0.11811023622047245" right="0.11811023622047245" top="1.1417322834645669" bottom="0.74803149606299213" header="0" footer="0"/>
  <pageSetup orientation="landscape" r:id="rId1"/>
  <headerFooter>
    <oddHeader>&amp;C Matriz de Riesgos</oddHeader>
  </headerFooter>
  <rowBreaks count="1" manualBreakCount="1">
    <brk id="18" man="1"/>
  </rowBreaks>
  <colBreaks count="1" manualBreakCount="1">
    <brk id="12" man="1"/>
  </colBreaks>
  <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X13"/>
  <sheetViews>
    <sheetView showGridLines="0" zoomScale="70" zoomScaleNormal="70" workbookViewId="0">
      <selection activeCell="D7" sqref="D7:D8"/>
    </sheetView>
  </sheetViews>
  <sheetFormatPr baseColWidth="10" defaultRowHeight="14.25" x14ac:dyDescent="0.2"/>
  <cols>
    <col min="1" max="1" width="3.625" style="626" customWidth="1"/>
    <col min="2" max="2" width="26.625" style="626" customWidth="1"/>
    <col min="3" max="3" width="38.875" style="626" customWidth="1"/>
    <col min="4" max="4" width="38.5" style="626" customWidth="1"/>
    <col min="5" max="5" width="20.5" style="626" customWidth="1"/>
    <col min="6" max="6" width="25.875" style="626" customWidth="1"/>
    <col min="7" max="7" width="23" style="626" customWidth="1"/>
    <col min="8" max="10" width="19.375" style="626" customWidth="1"/>
    <col min="11" max="11" width="18.25" style="651" customWidth="1"/>
    <col min="12" max="12" width="41.625" style="626" customWidth="1"/>
    <col min="13" max="13" width="27.25" style="626" customWidth="1"/>
    <col min="14" max="15" width="10.75" style="626" customWidth="1"/>
    <col min="16" max="16" width="27.25" style="626" customWidth="1"/>
    <col min="17" max="22" width="25.75" style="626" customWidth="1"/>
    <col min="23" max="23" width="33.5" style="626" customWidth="1"/>
    <col min="24" max="24" width="45.625" style="626" customWidth="1"/>
    <col min="25" max="16384" width="11" style="626"/>
  </cols>
  <sheetData>
    <row r="1" spans="1:24" ht="36.75" customHeight="1" x14ac:dyDescent="0.2">
      <c r="A1" s="1412"/>
      <c r="B1" s="1412"/>
      <c r="C1" s="1412"/>
      <c r="D1" s="1413" t="s">
        <v>314</v>
      </c>
      <c r="E1" s="1414"/>
      <c r="F1" s="1414"/>
      <c r="G1" s="1414"/>
      <c r="H1" s="1414"/>
      <c r="I1" s="1414"/>
      <c r="J1" s="1414"/>
      <c r="K1" s="1414"/>
      <c r="L1" s="1414"/>
      <c r="M1" s="1414"/>
      <c r="N1" s="1414"/>
      <c r="O1" s="1414"/>
      <c r="P1" s="1414"/>
      <c r="Q1" s="1414"/>
      <c r="R1" s="1414"/>
      <c r="S1" s="1414"/>
      <c r="T1" s="1414"/>
      <c r="U1" s="1414"/>
      <c r="V1" s="1415"/>
      <c r="W1" s="624" t="s">
        <v>315</v>
      </c>
      <c r="X1" s="625"/>
    </row>
    <row r="2" spans="1:24" ht="36.75" customHeight="1" x14ac:dyDescent="0.2">
      <c r="A2" s="1412"/>
      <c r="B2" s="1412"/>
      <c r="C2" s="1412"/>
      <c r="D2" s="1416"/>
      <c r="E2" s="1417"/>
      <c r="F2" s="1417"/>
      <c r="G2" s="1417"/>
      <c r="H2" s="1417"/>
      <c r="I2" s="1417"/>
      <c r="J2" s="1417"/>
      <c r="K2" s="1417"/>
      <c r="L2" s="1417"/>
      <c r="M2" s="1417"/>
      <c r="N2" s="1417"/>
      <c r="O2" s="1417"/>
      <c r="P2" s="1417"/>
      <c r="Q2" s="1417"/>
      <c r="R2" s="1417"/>
      <c r="S2" s="1417"/>
      <c r="T2" s="1417"/>
      <c r="U2" s="1417"/>
      <c r="V2" s="1418"/>
      <c r="W2" s="624" t="s">
        <v>316</v>
      </c>
      <c r="X2" s="625"/>
    </row>
    <row r="3" spans="1:24" ht="30" x14ac:dyDescent="0.2">
      <c r="A3" s="1419" t="s">
        <v>57</v>
      </c>
      <c r="B3" s="1420"/>
      <c r="C3" s="1420"/>
      <c r="D3" s="1420"/>
      <c r="E3" s="1420"/>
      <c r="F3" s="1420"/>
      <c r="G3" s="1421"/>
      <c r="H3" s="1422"/>
      <c r="I3" s="1422"/>
      <c r="J3" s="1422"/>
      <c r="K3" s="1422"/>
      <c r="L3" s="1423" t="s">
        <v>60</v>
      </c>
      <c r="M3" s="1422"/>
      <c r="N3" s="1422"/>
      <c r="O3" s="1422"/>
      <c r="P3" s="1424"/>
      <c r="Q3" s="1425" t="s">
        <v>61</v>
      </c>
      <c r="R3" s="1426"/>
      <c r="S3" s="1426"/>
      <c r="T3" s="1426"/>
      <c r="U3" s="1426"/>
      <c r="V3" s="1427"/>
      <c r="W3" s="627" t="s">
        <v>62</v>
      </c>
      <c r="X3" s="627" t="s">
        <v>63</v>
      </c>
    </row>
    <row r="4" spans="1:24" s="651" customFormat="1" ht="38.25" x14ac:dyDescent="0.2">
      <c r="A4" s="629" t="s">
        <v>44</v>
      </c>
      <c r="B4" s="630" t="s">
        <v>64</v>
      </c>
      <c r="C4" s="630" t="s">
        <v>65</v>
      </c>
      <c r="D4" s="630" t="s">
        <v>317</v>
      </c>
      <c r="E4" s="630" t="s">
        <v>68</v>
      </c>
      <c r="F4" s="630" t="s">
        <v>69</v>
      </c>
      <c r="G4" s="631" t="s">
        <v>71</v>
      </c>
      <c r="H4" s="630" t="s">
        <v>81</v>
      </c>
      <c r="I4" s="630" t="s">
        <v>82</v>
      </c>
      <c r="J4" s="630" t="s">
        <v>83</v>
      </c>
      <c r="K4" s="632" t="s">
        <v>84</v>
      </c>
      <c r="L4" s="629" t="s">
        <v>85</v>
      </c>
      <c r="M4" s="630" t="s">
        <v>86</v>
      </c>
      <c r="N4" s="630" t="s">
        <v>87</v>
      </c>
      <c r="O4" s="630" t="s">
        <v>88</v>
      </c>
      <c r="P4" s="631" t="s">
        <v>89</v>
      </c>
      <c r="Q4" s="629" t="s">
        <v>90</v>
      </c>
      <c r="R4" s="630" t="s">
        <v>91</v>
      </c>
      <c r="S4" s="630" t="s">
        <v>92</v>
      </c>
      <c r="T4" s="630" t="s">
        <v>91</v>
      </c>
      <c r="U4" s="630" t="s">
        <v>93</v>
      </c>
      <c r="V4" s="631" t="s">
        <v>91</v>
      </c>
      <c r="W4" s="633" t="s">
        <v>94</v>
      </c>
      <c r="X4" s="633" t="s">
        <v>95</v>
      </c>
    </row>
    <row r="5" spans="1:24" ht="66" customHeight="1" x14ac:dyDescent="0.2">
      <c r="A5" s="1428">
        <v>1</v>
      </c>
      <c r="B5" s="1488" t="s">
        <v>720</v>
      </c>
      <c r="C5" s="1490" t="s">
        <v>722</v>
      </c>
      <c r="D5" s="1490" t="s">
        <v>723</v>
      </c>
      <c r="E5" s="1311" t="s">
        <v>224</v>
      </c>
      <c r="F5" s="1486" t="s">
        <v>204</v>
      </c>
      <c r="G5" s="1496" t="s">
        <v>151</v>
      </c>
      <c r="H5" s="1436" t="s">
        <v>237</v>
      </c>
      <c r="I5" s="1436" t="s">
        <v>226</v>
      </c>
      <c r="J5" s="1434" t="s">
        <v>152</v>
      </c>
      <c r="K5" s="1486" t="s">
        <v>959</v>
      </c>
      <c r="L5" s="641" t="s">
        <v>741</v>
      </c>
      <c r="M5" s="642" t="s">
        <v>742</v>
      </c>
      <c r="N5" s="643">
        <v>44197</v>
      </c>
      <c r="O5" s="643">
        <v>45291</v>
      </c>
      <c r="P5" s="640"/>
      <c r="Q5" s="645"/>
      <c r="R5" s="645"/>
      <c r="S5" s="645"/>
      <c r="T5" s="645"/>
      <c r="U5" s="645"/>
      <c r="V5" s="645"/>
      <c r="W5" s="645"/>
      <c r="X5" s="645"/>
    </row>
    <row r="6" spans="1:24" ht="66" customHeight="1" x14ac:dyDescent="0.2">
      <c r="A6" s="1429"/>
      <c r="B6" s="1489"/>
      <c r="C6" s="1491"/>
      <c r="D6" s="1491"/>
      <c r="E6" s="1463"/>
      <c r="F6" s="1487"/>
      <c r="G6" s="1497"/>
      <c r="H6" s="1437"/>
      <c r="I6" s="1437"/>
      <c r="J6" s="1435"/>
      <c r="K6" s="1487"/>
      <c r="L6" s="658" t="s">
        <v>745</v>
      </c>
      <c r="M6" s="659" t="s">
        <v>742</v>
      </c>
      <c r="N6" s="660">
        <v>44197</v>
      </c>
      <c r="O6" s="660">
        <v>44561</v>
      </c>
      <c r="P6" s="640"/>
      <c r="Q6" s="645"/>
      <c r="R6" s="645"/>
      <c r="S6" s="645"/>
      <c r="T6" s="645"/>
      <c r="U6" s="645"/>
      <c r="V6" s="645"/>
      <c r="W6" s="645"/>
      <c r="X6" s="645"/>
    </row>
    <row r="7" spans="1:24" ht="171" customHeight="1" x14ac:dyDescent="0.2">
      <c r="A7" s="1428">
        <v>2</v>
      </c>
      <c r="B7" s="1488" t="s">
        <v>724</v>
      </c>
      <c r="C7" s="1492" t="s">
        <v>726</v>
      </c>
      <c r="D7" s="1494" t="s">
        <v>727</v>
      </c>
      <c r="E7" s="1410" t="s">
        <v>237</v>
      </c>
      <c r="F7" s="1410" t="s">
        <v>184</v>
      </c>
      <c r="G7" s="1499" t="s">
        <v>150</v>
      </c>
      <c r="H7" s="1436" t="s">
        <v>237</v>
      </c>
      <c r="I7" s="1436" t="s">
        <v>204</v>
      </c>
      <c r="J7" s="1434" t="s">
        <v>151</v>
      </c>
      <c r="K7" s="1486" t="s">
        <v>959</v>
      </c>
      <c r="L7" s="646" t="s">
        <v>755</v>
      </c>
      <c r="M7" s="647" t="s">
        <v>742</v>
      </c>
      <c r="N7" s="648">
        <v>44197</v>
      </c>
      <c r="O7" s="648">
        <v>44561</v>
      </c>
      <c r="P7" s="640"/>
      <c r="Q7" s="645"/>
      <c r="R7" s="645"/>
      <c r="S7" s="645"/>
      <c r="T7" s="645"/>
      <c r="U7" s="645"/>
      <c r="V7" s="645"/>
      <c r="W7" s="645"/>
      <c r="X7" s="645"/>
    </row>
    <row r="8" spans="1:24" ht="42.75" x14ac:dyDescent="0.2">
      <c r="A8" s="1429"/>
      <c r="B8" s="1489"/>
      <c r="C8" s="1493"/>
      <c r="D8" s="1495"/>
      <c r="E8" s="1411"/>
      <c r="F8" s="1411"/>
      <c r="G8" s="1500"/>
      <c r="H8" s="1437"/>
      <c r="I8" s="1437"/>
      <c r="J8" s="1435"/>
      <c r="K8" s="1411"/>
      <c r="L8" s="646" t="s">
        <v>758</v>
      </c>
      <c r="M8" s="647" t="s">
        <v>742</v>
      </c>
      <c r="N8" s="648">
        <v>44197</v>
      </c>
      <c r="O8" s="648">
        <v>44561</v>
      </c>
      <c r="P8" s="640"/>
      <c r="Q8" s="645"/>
      <c r="R8" s="645"/>
      <c r="S8" s="645"/>
      <c r="T8" s="645"/>
      <c r="U8" s="645"/>
      <c r="V8" s="645"/>
      <c r="W8" s="645"/>
      <c r="X8" s="645"/>
    </row>
    <row r="9" spans="1:24" ht="199.5" x14ac:dyDescent="0.2">
      <c r="A9" s="635">
        <v>3</v>
      </c>
      <c r="B9" s="384" t="s">
        <v>728</v>
      </c>
      <c r="C9" s="661" t="s">
        <v>730</v>
      </c>
      <c r="D9" s="304" t="s">
        <v>731</v>
      </c>
      <c r="E9" s="637" t="s">
        <v>237</v>
      </c>
      <c r="F9" s="637" t="s">
        <v>199</v>
      </c>
      <c r="G9" s="662" t="s">
        <v>149</v>
      </c>
      <c r="H9" s="649" t="s">
        <v>237</v>
      </c>
      <c r="I9" s="649" t="s">
        <v>204</v>
      </c>
      <c r="J9" s="638" t="s">
        <v>151</v>
      </c>
      <c r="K9" s="640" t="s">
        <v>959</v>
      </c>
      <c r="L9" s="640" t="s">
        <v>765</v>
      </c>
      <c r="M9" s="647" t="s">
        <v>742</v>
      </c>
      <c r="N9" s="648">
        <v>44197</v>
      </c>
      <c r="O9" s="648">
        <v>44561</v>
      </c>
      <c r="P9" s="640"/>
      <c r="Q9" s="663"/>
      <c r="R9" s="663"/>
      <c r="S9" s="663"/>
      <c r="T9" s="663"/>
      <c r="U9" s="663"/>
      <c r="V9" s="663"/>
      <c r="W9" s="663"/>
      <c r="X9" s="663"/>
    </row>
    <row r="10" spans="1:24" ht="213.75" x14ac:dyDescent="0.2">
      <c r="A10" s="664">
        <v>4</v>
      </c>
      <c r="B10" s="665" t="s">
        <v>732</v>
      </c>
      <c r="C10" s="666" t="s">
        <v>734</v>
      </c>
      <c r="D10" s="667" t="s">
        <v>735</v>
      </c>
      <c r="E10" s="668" t="s">
        <v>237</v>
      </c>
      <c r="F10" s="668" t="s">
        <v>184</v>
      </c>
      <c r="G10" s="669" t="s">
        <v>150</v>
      </c>
      <c r="H10" s="670" t="s">
        <v>237</v>
      </c>
      <c r="I10" s="670" t="s">
        <v>204</v>
      </c>
      <c r="J10" s="671" t="s">
        <v>151</v>
      </c>
      <c r="K10" s="672" t="s">
        <v>959</v>
      </c>
      <c r="L10" s="673" t="s">
        <v>775</v>
      </c>
      <c r="M10" s="674" t="s">
        <v>742</v>
      </c>
      <c r="N10" s="675">
        <v>44197</v>
      </c>
      <c r="O10" s="675">
        <v>44561</v>
      </c>
      <c r="P10" s="672"/>
      <c r="Q10" s="663"/>
      <c r="R10" s="663"/>
      <c r="S10" s="663"/>
      <c r="T10" s="663"/>
      <c r="U10" s="663"/>
      <c r="V10" s="663"/>
      <c r="W10" s="663"/>
      <c r="X10" s="663"/>
    </row>
    <row r="11" spans="1:24" ht="73.5" customHeight="1" x14ac:dyDescent="0.2">
      <c r="A11" s="1501">
        <v>5</v>
      </c>
      <c r="B11" s="1502" t="s">
        <v>736</v>
      </c>
      <c r="C11" s="1503" t="s">
        <v>737</v>
      </c>
      <c r="D11" s="1310" t="s">
        <v>738</v>
      </c>
      <c r="E11" s="1498" t="s">
        <v>237</v>
      </c>
      <c r="F11" s="1498" t="s">
        <v>199</v>
      </c>
      <c r="G11" s="1504" t="s">
        <v>149</v>
      </c>
      <c r="H11" s="1505" t="s">
        <v>237</v>
      </c>
      <c r="I11" s="1505" t="s">
        <v>204</v>
      </c>
      <c r="J11" s="1506" t="s">
        <v>151</v>
      </c>
      <c r="K11" s="1507" t="s">
        <v>959</v>
      </c>
      <c r="L11" s="676" t="s">
        <v>784</v>
      </c>
      <c r="M11" s="659" t="s">
        <v>742</v>
      </c>
      <c r="N11" s="643">
        <v>44197</v>
      </c>
      <c r="O11" s="643">
        <v>44561</v>
      </c>
      <c r="P11" s="640"/>
      <c r="Q11" s="677"/>
      <c r="R11" s="663"/>
      <c r="S11" s="663"/>
      <c r="T11" s="663"/>
      <c r="U11" s="663"/>
      <c r="V11" s="663"/>
      <c r="W11" s="663"/>
      <c r="X11" s="663"/>
    </row>
    <row r="12" spans="1:24" ht="73.5" customHeight="1" x14ac:dyDescent="0.2">
      <c r="A12" s="1501"/>
      <c r="B12" s="1502"/>
      <c r="C12" s="1503"/>
      <c r="D12" s="1310"/>
      <c r="E12" s="1498"/>
      <c r="F12" s="1498"/>
      <c r="G12" s="1504"/>
      <c r="H12" s="1505"/>
      <c r="I12" s="1505"/>
      <c r="J12" s="1506"/>
      <c r="K12" s="1498"/>
      <c r="L12" s="678" t="s">
        <v>787</v>
      </c>
      <c r="M12" s="659" t="s">
        <v>742</v>
      </c>
      <c r="N12" s="643">
        <v>44197</v>
      </c>
      <c r="O12" s="643">
        <v>44561</v>
      </c>
      <c r="P12" s="640"/>
      <c r="Q12" s="677"/>
      <c r="R12" s="663"/>
      <c r="S12" s="663"/>
      <c r="T12" s="663"/>
      <c r="U12" s="663"/>
      <c r="V12" s="663"/>
      <c r="W12" s="663"/>
      <c r="X12" s="663"/>
    </row>
    <row r="13" spans="1:24" ht="73.5" customHeight="1" x14ac:dyDescent="0.2">
      <c r="A13" s="1501"/>
      <c r="B13" s="1502"/>
      <c r="C13" s="1503"/>
      <c r="D13" s="1310"/>
      <c r="E13" s="1498"/>
      <c r="F13" s="1498"/>
      <c r="G13" s="1504"/>
      <c r="H13" s="1505"/>
      <c r="I13" s="1505"/>
      <c r="J13" s="1506"/>
      <c r="K13" s="1498"/>
      <c r="L13" s="679" t="s">
        <v>790</v>
      </c>
      <c r="M13" s="659" t="s">
        <v>742</v>
      </c>
      <c r="N13" s="643">
        <v>44197</v>
      </c>
      <c r="O13" s="643">
        <v>44561</v>
      </c>
      <c r="P13" s="640"/>
      <c r="Q13" s="677"/>
      <c r="R13" s="663"/>
      <c r="S13" s="663"/>
      <c r="T13" s="663"/>
      <c r="U13" s="663"/>
      <c r="V13" s="663"/>
      <c r="W13" s="663"/>
      <c r="X13" s="663"/>
    </row>
  </sheetData>
  <mergeCells count="39">
    <mergeCell ref="J11:J13"/>
    <mergeCell ref="K11:K13"/>
    <mergeCell ref="A11:A13"/>
    <mergeCell ref="B11:B13"/>
    <mergeCell ref="C11:C13"/>
    <mergeCell ref="D11:D13"/>
    <mergeCell ref="E11:E13"/>
    <mergeCell ref="F11:F13"/>
    <mergeCell ref="F7:F8"/>
    <mergeCell ref="G7:G8"/>
    <mergeCell ref="H7:H8"/>
    <mergeCell ref="I7:I8"/>
    <mergeCell ref="G11:G13"/>
    <mergeCell ref="H11:H13"/>
    <mergeCell ref="I11:I13"/>
    <mergeCell ref="J7:J8"/>
    <mergeCell ref="K7:K8"/>
    <mergeCell ref="G5:G6"/>
    <mergeCell ref="H5:H6"/>
    <mergeCell ref="I5:I6"/>
    <mergeCell ref="J5:J6"/>
    <mergeCell ref="K5:K6"/>
    <mergeCell ref="A7:A8"/>
    <mergeCell ref="B7:B8"/>
    <mergeCell ref="C7:C8"/>
    <mergeCell ref="D7:D8"/>
    <mergeCell ref="E7:E8"/>
    <mergeCell ref="F5:F6"/>
    <mergeCell ref="A1:C2"/>
    <mergeCell ref="D1:V2"/>
    <mergeCell ref="A3:G3"/>
    <mergeCell ref="H3:K3"/>
    <mergeCell ref="L3:P3"/>
    <mergeCell ref="Q3:V3"/>
    <mergeCell ref="A5:A6"/>
    <mergeCell ref="B5:B6"/>
    <mergeCell ref="C5:C6"/>
    <mergeCell ref="D5:D6"/>
    <mergeCell ref="E5:E6"/>
  </mergeCells>
  <conditionalFormatting sqref="J5 J7 J9:J11">
    <cfRule type="cellIs" dxfId="111" priority="1" operator="equal">
      <formula>"Extremo"</formula>
    </cfRule>
    <cfRule type="cellIs" dxfId="110" priority="2" operator="equal">
      <formula>"Moderado"</formula>
    </cfRule>
    <cfRule type="cellIs" dxfId="109" priority="3" operator="equal">
      <formula>"Bajo"</formula>
    </cfRule>
    <cfRule type="cellIs" dxfId="108" priority="4" operator="equal">
      <formula>"Alto"</formula>
    </cfRule>
  </conditionalFormatting>
  <pageMargins left="0.7" right="0.7" top="0.75" bottom="0.75" header="0.3" footer="0.3"/>
  <drawing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E1000"/>
  <sheetViews>
    <sheetView showGridLines="0" workbookViewId="0">
      <selection sqref="A1:A4"/>
    </sheetView>
  </sheetViews>
  <sheetFormatPr baseColWidth="10" defaultColWidth="12.625" defaultRowHeight="15" customHeight="1" x14ac:dyDescent="0.2"/>
  <cols>
    <col min="1" max="1" width="20.375" style="228" customWidth="1"/>
    <col min="2" max="2" width="37.125" style="228" customWidth="1"/>
    <col min="3" max="3" width="39" style="228" customWidth="1"/>
    <col min="4" max="4" width="14.25" style="228" customWidth="1"/>
    <col min="5" max="5" width="21.125" style="228" customWidth="1"/>
    <col min="6" max="26" width="9.375" style="228" customWidth="1"/>
    <col min="27" max="16384" width="12.625" style="228"/>
  </cols>
  <sheetData>
    <row r="1" spans="1:5" ht="14.25" x14ac:dyDescent="0.2">
      <c r="A1" s="1509"/>
      <c r="B1" s="1510" t="s">
        <v>0</v>
      </c>
      <c r="C1" s="1355"/>
      <c r="D1" s="1356"/>
      <c r="E1" s="1511" t="s">
        <v>29</v>
      </c>
    </row>
    <row r="2" spans="1:5" ht="14.25" x14ac:dyDescent="0.2">
      <c r="A2" s="1340"/>
      <c r="B2" s="1357"/>
      <c r="C2" s="1203"/>
      <c r="D2" s="1340"/>
      <c r="E2" s="1343"/>
    </row>
    <row r="3" spans="1:5" ht="14.25" x14ac:dyDescent="0.2">
      <c r="A3" s="1340"/>
      <c r="B3" s="1357"/>
      <c r="C3" s="1203"/>
      <c r="D3" s="1340"/>
      <c r="E3" s="1511" t="s">
        <v>2</v>
      </c>
    </row>
    <row r="4" spans="1:5" thickBot="1" x14ac:dyDescent="0.25">
      <c r="A4" s="1340"/>
      <c r="B4" s="1358"/>
      <c r="C4" s="1338"/>
      <c r="D4" s="1341"/>
      <c r="E4" s="1343"/>
    </row>
    <row r="5" spans="1:5" thickBot="1" x14ac:dyDescent="0.25">
      <c r="A5" s="1512" t="s">
        <v>30</v>
      </c>
      <c r="B5" s="1513"/>
      <c r="C5" s="1513"/>
      <c r="D5" s="1513"/>
      <c r="E5" s="1514"/>
    </row>
    <row r="6" spans="1:5" ht="15" customHeight="1" x14ac:dyDescent="0.2">
      <c r="A6" s="443" t="s">
        <v>31</v>
      </c>
      <c r="B6" s="444" t="s">
        <v>32</v>
      </c>
      <c r="C6" s="443" t="s">
        <v>33</v>
      </c>
      <c r="D6" s="1515" t="s">
        <v>34</v>
      </c>
      <c r="E6" s="1379"/>
    </row>
    <row r="7" spans="1:5" ht="409.5" customHeight="1" x14ac:dyDescent="0.2">
      <c r="A7" s="445"/>
      <c r="B7" s="446" t="s">
        <v>798</v>
      </c>
      <c r="C7" s="447" t="s">
        <v>799</v>
      </c>
      <c r="D7" s="1508" t="s">
        <v>800</v>
      </c>
      <c r="E7" s="1346"/>
    </row>
    <row r="15" spans="1:5" x14ac:dyDescent="0.2">
      <c r="C15" s="448"/>
    </row>
    <row r="16" spans="1:5" x14ac:dyDescent="0.2">
      <c r="C16" s="448"/>
    </row>
    <row r="17" spans="2:3" ht="90" x14ac:dyDescent="0.2">
      <c r="B17" s="449" t="s">
        <v>801</v>
      </c>
      <c r="C17" s="448"/>
    </row>
    <row r="18" spans="2:3" x14ac:dyDescent="0.2">
      <c r="C18" s="448"/>
    </row>
    <row r="19" spans="2:3" x14ac:dyDescent="0.2">
      <c r="C19" s="448"/>
    </row>
    <row r="20" spans="2:3" x14ac:dyDescent="0.2">
      <c r="C20" s="448"/>
    </row>
    <row r="21" spans="2:3" ht="15.75" customHeight="1" x14ac:dyDescent="0.2">
      <c r="C21" s="450"/>
    </row>
    <row r="22" spans="2:3" ht="15.75" customHeight="1" x14ac:dyDescent="0.2"/>
    <row r="23" spans="2:3" ht="15.75" customHeight="1" x14ac:dyDescent="0.2"/>
    <row r="24" spans="2:3" ht="15.75" customHeight="1" x14ac:dyDescent="0.2"/>
    <row r="25" spans="2:3" ht="15.75" customHeight="1" x14ac:dyDescent="0.2"/>
    <row r="26" spans="2:3" ht="15.75" customHeight="1" x14ac:dyDescent="0.2"/>
    <row r="27" spans="2:3" ht="15.75" customHeight="1" x14ac:dyDescent="0.2"/>
    <row r="28" spans="2:3" ht="15.75" customHeight="1" x14ac:dyDescent="0.2"/>
    <row r="29" spans="2:3" ht="15.75" customHeight="1" x14ac:dyDescent="0.2"/>
    <row r="30" spans="2:3" ht="15.75" customHeight="1" x14ac:dyDescent="0.2"/>
    <row r="31" spans="2:3" ht="15.75" customHeight="1" x14ac:dyDescent="0.2"/>
    <row r="32" spans="2:3"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7">
    <mergeCell ref="D7:E7"/>
    <mergeCell ref="A1:A4"/>
    <mergeCell ref="B1:D4"/>
    <mergeCell ref="E1:E2"/>
    <mergeCell ref="E3:E4"/>
    <mergeCell ref="A5:E5"/>
    <mergeCell ref="D6:E6"/>
  </mergeCells>
  <pageMargins left="0.31496062992125984" right="0.31496062992125984" top="1.1417322834645669" bottom="0.35433070866141736" header="0" footer="0"/>
  <pageSetup scale="88" orientation="landscape" r:id="rId1"/>
  <headerFooter>
    <oddHeader>&amp;C Matriz de Riesgos</oddHeader>
  </headerFooter>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N1000"/>
  <sheetViews>
    <sheetView showGridLines="0" workbookViewId="0">
      <pane xSplit="5" ySplit="2" topLeftCell="F3" activePane="bottomRight" state="frozen"/>
      <selection pane="topRight" activeCell="F1" sqref="F1"/>
      <selection pane="bottomLeft" activeCell="A3" sqref="A3"/>
      <selection pane="bottomRight" activeCell="E9" sqref="E9"/>
    </sheetView>
  </sheetViews>
  <sheetFormatPr baseColWidth="10" defaultColWidth="12.625" defaultRowHeight="15" customHeight="1" x14ac:dyDescent="0.2"/>
  <cols>
    <col min="1" max="2" width="13.25" style="228" customWidth="1"/>
    <col min="3" max="3" width="16.875" style="228" customWidth="1"/>
    <col min="4" max="4" width="3.625" style="228" customWidth="1"/>
    <col min="5" max="5" width="18.375" style="228" customWidth="1"/>
    <col min="6" max="6" width="21.625" style="228" customWidth="1"/>
    <col min="7" max="7" width="15" style="228" customWidth="1"/>
    <col min="8" max="8" width="40" style="228" customWidth="1"/>
    <col min="9" max="9" width="33.375" style="228" customWidth="1"/>
    <col min="10" max="10" width="20.625" style="228" customWidth="1"/>
    <col min="11" max="11" width="14.75" style="228" customWidth="1"/>
    <col min="12" max="12" width="18.75" style="228" customWidth="1"/>
    <col min="13" max="13" width="12.75" style="228" customWidth="1"/>
    <col min="14" max="14" width="27.125" style="228" customWidth="1"/>
    <col min="15" max="26" width="9.375" style="228" customWidth="1"/>
    <col min="27" max="16384" width="12.625" style="228"/>
  </cols>
  <sheetData>
    <row r="1" spans="1:14" ht="14.25" x14ac:dyDescent="0.2">
      <c r="A1" s="1337"/>
      <c r="B1" s="1203"/>
      <c r="C1" s="1203"/>
      <c r="D1" s="1339" t="s">
        <v>0</v>
      </c>
      <c r="E1" s="1203"/>
      <c r="F1" s="1203"/>
      <c r="G1" s="1203"/>
      <c r="H1" s="1203"/>
      <c r="I1" s="1203"/>
      <c r="J1" s="1203"/>
      <c r="K1" s="1203"/>
      <c r="L1" s="1203"/>
      <c r="M1" s="1340"/>
      <c r="N1" s="1342" t="s">
        <v>35</v>
      </c>
    </row>
    <row r="2" spans="1:14" ht="14.25" x14ac:dyDescent="0.2">
      <c r="A2" s="1203"/>
      <c r="B2" s="1203"/>
      <c r="C2" s="1203"/>
      <c r="D2" s="1203"/>
      <c r="E2" s="1203"/>
      <c r="F2" s="1203"/>
      <c r="G2" s="1203"/>
      <c r="H2" s="1203"/>
      <c r="I2" s="1203"/>
      <c r="J2" s="1203"/>
      <c r="K2" s="1203"/>
      <c r="L2" s="1203"/>
      <c r="M2" s="1340"/>
      <c r="N2" s="1343"/>
    </row>
    <row r="3" spans="1:14" ht="14.25" x14ac:dyDescent="0.2">
      <c r="A3" s="1203"/>
      <c r="B3" s="1203"/>
      <c r="C3" s="1203"/>
      <c r="D3" s="1203"/>
      <c r="E3" s="1203"/>
      <c r="F3" s="1203"/>
      <c r="G3" s="1203"/>
      <c r="H3" s="1203"/>
      <c r="I3" s="1203"/>
      <c r="J3" s="1203"/>
      <c r="K3" s="1203"/>
      <c r="L3" s="1203"/>
      <c r="M3" s="1340"/>
      <c r="N3" s="1342" t="s">
        <v>2</v>
      </c>
    </row>
    <row r="4" spans="1:14" ht="14.25" x14ac:dyDescent="0.2">
      <c r="A4" s="1338"/>
      <c r="B4" s="1338"/>
      <c r="C4" s="1338"/>
      <c r="D4" s="1338"/>
      <c r="E4" s="1338"/>
      <c r="F4" s="1338"/>
      <c r="G4" s="1338"/>
      <c r="H4" s="1338"/>
      <c r="I4" s="1338"/>
      <c r="J4" s="1338"/>
      <c r="K4" s="1338"/>
      <c r="L4" s="1338"/>
      <c r="M4" s="1341"/>
      <c r="N4" s="1343"/>
    </row>
    <row r="5" spans="1:14" ht="21" x14ac:dyDescent="0.2">
      <c r="A5" s="1344" t="s">
        <v>36</v>
      </c>
      <c r="B5" s="1345"/>
      <c r="C5" s="1346"/>
      <c r="D5" s="1516" t="s">
        <v>802</v>
      </c>
      <c r="E5" s="1345"/>
      <c r="F5" s="1345"/>
      <c r="G5" s="1345"/>
      <c r="H5" s="1345"/>
      <c r="I5" s="1345"/>
      <c r="J5" s="1345"/>
      <c r="K5" s="1345"/>
      <c r="L5" s="1345"/>
      <c r="M5" s="1345"/>
      <c r="N5" s="1346"/>
    </row>
    <row r="6" spans="1:14" ht="21" x14ac:dyDescent="0.2">
      <c r="A6" s="1344" t="s">
        <v>37</v>
      </c>
      <c r="B6" s="1345"/>
      <c r="C6" s="1346"/>
      <c r="D6" s="1517" t="s">
        <v>803</v>
      </c>
      <c r="E6" s="1345"/>
      <c r="F6" s="1345"/>
      <c r="G6" s="1345"/>
      <c r="H6" s="1345"/>
      <c r="I6" s="1345"/>
      <c r="J6" s="1345"/>
      <c r="K6" s="1345"/>
      <c r="L6" s="1345"/>
      <c r="M6" s="1345"/>
      <c r="N6" s="1346"/>
    </row>
    <row r="7" spans="1:14" x14ac:dyDescent="0.25">
      <c r="A7" s="1348" t="s">
        <v>38</v>
      </c>
      <c r="B7" s="1345"/>
      <c r="C7" s="1346"/>
      <c r="D7" s="1349" t="s">
        <v>39</v>
      </c>
      <c r="E7" s="1345"/>
      <c r="F7" s="1345"/>
      <c r="G7" s="1345"/>
      <c r="H7" s="1345"/>
      <c r="I7" s="1346"/>
      <c r="J7" s="1348" t="s">
        <v>40</v>
      </c>
      <c r="K7" s="1345"/>
      <c r="L7" s="1345"/>
      <c r="M7" s="1345"/>
      <c r="N7" s="1346"/>
    </row>
    <row r="8" spans="1:14" ht="36" x14ac:dyDescent="0.2">
      <c r="A8" s="324" t="s">
        <v>41</v>
      </c>
      <c r="B8" s="324" t="s">
        <v>42</v>
      </c>
      <c r="C8" s="324" t="s">
        <v>43</v>
      </c>
      <c r="D8" s="324" t="s">
        <v>44</v>
      </c>
      <c r="E8" s="324" t="s">
        <v>45</v>
      </c>
      <c r="F8" s="324" t="s">
        <v>46</v>
      </c>
      <c r="G8" s="324" t="s">
        <v>47</v>
      </c>
      <c r="H8" s="324" t="s">
        <v>48</v>
      </c>
      <c r="I8" s="324" t="s">
        <v>49</v>
      </c>
      <c r="J8" s="325" t="s">
        <v>50</v>
      </c>
      <c r="K8" s="325" t="s">
        <v>51</v>
      </c>
      <c r="L8" s="325" t="s">
        <v>52</v>
      </c>
      <c r="M8" s="325" t="s">
        <v>53</v>
      </c>
      <c r="N8" s="325" t="s">
        <v>54</v>
      </c>
    </row>
    <row r="9" spans="1:14" ht="292.5" customHeight="1" x14ac:dyDescent="0.2">
      <c r="A9" s="326"/>
      <c r="B9" s="326" t="s">
        <v>219</v>
      </c>
      <c r="C9" s="326" t="s">
        <v>178</v>
      </c>
      <c r="D9" s="328">
        <v>1</v>
      </c>
      <c r="E9" s="329" t="s">
        <v>804</v>
      </c>
      <c r="F9" s="329" t="s">
        <v>805</v>
      </c>
      <c r="G9" s="330" t="s">
        <v>246</v>
      </c>
      <c r="H9" s="329" t="s">
        <v>806</v>
      </c>
      <c r="I9" s="329" t="s">
        <v>807</v>
      </c>
      <c r="J9" s="330" t="s">
        <v>122</v>
      </c>
      <c r="K9" s="330" t="s">
        <v>263</v>
      </c>
      <c r="L9" s="330" t="s">
        <v>263</v>
      </c>
      <c r="M9" s="330" t="s">
        <v>263</v>
      </c>
      <c r="N9" s="332" t="str">
        <f t="shared" ref="N9:N13" si="0">IF(COUNTIF(J9:M9,"SI")=4,"Riesgo de Corrupción","No es Riesgo de Corrupción")</f>
        <v>No es Riesgo de Corrupción</v>
      </c>
    </row>
    <row r="10" spans="1:14" ht="237" customHeight="1" x14ac:dyDescent="0.2">
      <c r="A10" s="326" t="s">
        <v>243</v>
      </c>
      <c r="B10" s="326" t="s">
        <v>232</v>
      </c>
      <c r="C10" s="326" t="s">
        <v>207</v>
      </c>
      <c r="D10" s="328">
        <v>2</v>
      </c>
      <c r="E10" s="329" t="s">
        <v>808</v>
      </c>
      <c r="F10" s="329" t="s">
        <v>809</v>
      </c>
      <c r="G10" s="330" t="s">
        <v>246</v>
      </c>
      <c r="H10" s="329" t="s">
        <v>810</v>
      </c>
      <c r="I10" s="329" t="s">
        <v>811</v>
      </c>
      <c r="J10" s="330" t="s">
        <v>122</v>
      </c>
      <c r="K10" s="330" t="s">
        <v>263</v>
      </c>
      <c r="L10" s="330" t="s">
        <v>263</v>
      </c>
      <c r="M10" s="330" t="s">
        <v>263</v>
      </c>
      <c r="N10" s="332" t="str">
        <f t="shared" si="0"/>
        <v>No es Riesgo de Corrupción</v>
      </c>
    </row>
    <row r="11" spans="1:14" ht="144.75" customHeight="1" x14ac:dyDescent="0.2">
      <c r="A11" s="326" t="s">
        <v>218</v>
      </c>
      <c r="B11" s="326" t="s">
        <v>219</v>
      </c>
      <c r="C11" s="326" t="s">
        <v>207</v>
      </c>
      <c r="D11" s="328">
        <v>3</v>
      </c>
      <c r="E11" s="329" t="s">
        <v>812</v>
      </c>
      <c r="F11" s="329" t="s">
        <v>813</v>
      </c>
      <c r="G11" s="330" t="s">
        <v>252</v>
      </c>
      <c r="H11" s="329" t="s">
        <v>814</v>
      </c>
      <c r="I11" s="329" t="s">
        <v>811</v>
      </c>
      <c r="J11" s="330" t="s">
        <v>122</v>
      </c>
      <c r="K11" s="330" t="s">
        <v>122</v>
      </c>
      <c r="L11" s="330" t="s">
        <v>122</v>
      </c>
      <c r="M11" s="330" t="s">
        <v>122</v>
      </c>
      <c r="N11" s="332" t="str">
        <f t="shared" si="0"/>
        <v>Riesgo de Corrupción</v>
      </c>
    </row>
    <row r="12" spans="1:14" ht="142.5" customHeight="1" x14ac:dyDescent="0.2">
      <c r="A12" s="326"/>
      <c r="B12" s="326" t="s">
        <v>219</v>
      </c>
      <c r="C12" s="326" t="s">
        <v>207</v>
      </c>
      <c r="D12" s="328">
        <v>4</v>
      </c>
      <c r="E12" s="329" t="s">
        <v>815</v>
      </c>
      <c r="F12" s="329" t="s">
        <v>816</v>
      </c>
      <c r="G12" s="330" t="s">
        <v>208</v>
      </c>
      <c r="H12" s="329" t="s">
        <v>817</v>
      </c>
      <c r="I12" s="329" t="s">
        <v>818</v>
      </c>
      <c r="J12" s="330" t="s">
        <v>122</v>
      </c>
      <c r="K12" s="330" t="s">
        <v>263</v>
      </c>
      <c r="L12" s="330" t="s">
        <v>122</v>
      </c>
      <c r="M12" s="330" t="s">
        <v>263</v>
      </c>
      <c r="N12" s="332" t="str">
        <f t="shared" si="0"/>
        <v>No es Riesgo de Corrupción</v>
      </c>
    </row>
    <row r="13" spans="1:14" ht="137.25" customHeight="1" x14ac:dyDescent="0.2">
      <c r="A13" s="326"/>
      <c r="B13" s="326" t="s">
        <v>219</v>
      </c>
      <c r="C13" s="326"/>
      <c r="D13" s="328">
        <v>5</v>
      </c>
      <c r="E13" s="329" t="s">
        <v>819</v>
      </c>
      <c r="F13" s="329" t="s">
        <v>820</v>
      </c>
      <c r="G13" s="330" t="s">
        <v>246</v>
      </c>
      <c r="H13" s="329" t="s">
        <v>821</v>
      </c>
      <c r="I13" s="329" t="s">
        <v>818</v>
      </c>
      <c r="J13" s="330" t="s">
        <v>122</v>
      </c>
      <c r="K13" s="330" t="s">
        <v>263</v>
      </c>
      <c r="L13" s="330" t="s">
        <v>263</v>
      </c>
      <c r="M13" s="330" t="s">
        <v>263</v>
      </c>
      <c r="N13" s="332" t="str">
        <f t="shared" si="0"/>
        <v>No es Riesgo de Corrupción</v>
      </c>
    </row>
    <row r="14" spans="1:14" x14ac:dyDescent="0.2">
      <c r="D14" s="333"/>
    </row>
    <row r="15" spans="1:14" x14ac:dyDescent="0.2">
      <c r="D15" s="333"/>
    </row>
    <row r="16" spans="1:14" x14ac:dyDescent="0.2">
      <c r="D16" s="333"/>
    </row>
    <row r="17" spans="4:4" x14ac:dyDescent="0.2">
      <c r="D17" s="333"/>
    </row>
    <row r="18" spans="4:4" x14ac:dyDescent="0.2">
      <c r="D18" s="333"/>
    </row>
    <row r="19" spans="4:4" x14ac:dyDescent="0.2">
      <c r="D19" s="333"/>
    </row>
    <row r="20" spans="4:4" x14ac:dyDescent="0.2">
      <c r="D20" s="333"/>
    </row>
    <row r="21" spans="4:4" ht="15.75" customHeight="1" x14ac:dyDescent="0.2">
      <c r="D21" s="333"/>
    </row>
    <row r="22" spans="4:4" ht="15.75" customHeight="1" x14ac:dyDescent="0.2">
      <c r="D22" s="333"/>
    </row>
    <row r="23" spans="4:4" ht="15.75" customHeight="1" x14ac:dyDescent="0.2">
      <c r="D23" s="333"/>
    </row>
    <row r="24" spans="4:4" ht="15.75" customHeight="1" x14ac:dyDescent="0.2">
      <c r="D24" s="333"/>
    </row>
    <row r="25" spans="4:4" ht="15.75" customHeight="1" x14ac:dyDescent="0.2">
      <c r="D25" s="333"/>
    </row>
    <row r="26" spans="4:4" ht="15.75" customHeight="1" x14ac:dyDescent="0.2">
      <c r="D26" s="333"/>
    </row>
    <row r="27" spans="4:4" ht="15.75" customHeight="1" x14ac:dyDescent="0.2">
      <c r="D27" s="333"/>
    </row>
    <row r="28" spans="4:4" ht="15.75" customHeight="1" x14ac:dyDescent="0.2">
      <c r="D28" s="333"/>
    </row>
    <row r="29" spans="4:4" ht="15.75" customHeight="1" x14ac:dyDescent="0.2">
      <c r="D29" s="333"/>
    </row>
    <row r="30" spans="4:4" ht="15.75" customHeight="1" x14ac:dyDescent="0.2">
      <c r="D30" s="333"/>
    </row>
    <row r="31" spans="4:4" ht="15.75" customHeight="1" x14ac:dyDescent="0.2">
      <c r="D31" s="333"/>
    </row>
    <row r="32" spans="4:4" ht="15.75" customHeight="1" x14ac:dyDescent="0.2">
      <c r="D32" s="333"/>
    </row>
    <row r="33" spans="4:4" ht="15.75" customHeight="1" x14ac:dyDescent="0.2">
      <c r="D33" s="333"/>
    </row>
    <row r="34" spans="4:4" ht="15.75" customHeight="1" x14ac:dyDescent="0.2">
      <c r="D34" s="333"/>
    </row>
    <row r="35" spans="4:4" ht="15.75" customHeight="1" x14ac:dyDescent="0.2">
      <c r="D35" s="333"/>
    </row>
    <row r="36" spans="4:4" ht="15.75" customHeight="1" x14ac:dyDescent="0.2">
      <c r="D36" s="333"/>
    </row>
    <row r="37" spans="4:4" ht="15.75" customHeight="1" x14ac:dyDescent="0.2">
      <c r="D37" s="333"/>
    </row>
    <row r="38" spans="4:4" ht="15.75" customHeight="1" x14ac:dyDescent="0.2">
      <c r="D38" s="333"/>
    </row>
    <row r="39" spans="4:4" ht="15.75" customHeight="1" x14ac:dyDescent="0.2">
      <c r="D39" s="333"/>
    </row>
    <row r="40" spans="4:4" ht="15.75" customHeight="1" x14ac:dyDescent="0.2">
      <c r="D40" s="333"/>
    </row>
    <row r="41" spans="4:4" ht="15.75" customHeight="1" x14ac:dyDescent="0.2">
      <c r="D41" s="333"/>
    </row>
    <row r="42" spans="4:4" ht="15.75" customHeight="1" x14ac:dyDescent="0.2">
      <c r="D42" s="333"/>
    </row>
    <row r="43" spans="4:4" ht="15.75" customHeight="1" x14ac:dyDescent="0.2">
      <c r="D43" s="333"/>
    </row>
    <row r="44" spans="4:4" ht="15.75" customHeight="1" x14ac:dyDescent="0.2">
      <c r="D44" s="333"/>
    </row>
    <row r="45" spans="4:4" ht="15.75" customHeight="1" x14ac:dyDescent="0.2">
      <c r="D45" s="333"/>
    </row>
    <row r="46" spans="4:4" ht="15.75" customHeight="1" x14ac:dyDescent="0.2">
      <c r="D46" s="333"/>
    </row>
    <row r="47" spans="4:4" ht="15.75" customHeight="1" x14ac:dyDescent="0.2">
      <c r="D47" s="333"/>
    </row>
    <row r="48" spans="4:4" ht="15.75" customHeight="1" x14ac:dyDescent="0.2">
      <c r="D48" s="333"/>
    </row>
    <row r="49" spans="4:4" ht="15.75" customHeight="1" x14ac:dyDescent="0.2">
      <c r="D49" s="333"/>
    </row>
    <row r="50" spans="4:4" ht="15.75" customHeight="1" x14ac:dyDescent="0.2">
      <c r="D50" s="333"/>
    </row>
    <row r="51" spans="4:4" ht="15.75" customHeight="1" x14ac:dyDescent="0.2">
      <c r="D51" s="333"/>
    </row>
    <row r="52" spans="4:4" ht="15.75" customHeight="1" x14ac:dyDescent="0.2">
      <c r="D52" s="333"/>
    </row>
    <row r="53" spans="4:4" ht="15.75" customHeight="1" x14ac:dyDescent="0.2">
      <c r="D53" s="333"/>
    </row>
    <row r="54" spans="4:4" ht="15.75" customHeight="1" x14ac:dyDescent="0.2">
      <c r="D54" s="333"/>
    </row>
    <row r="55" spans="4:4" ht="15.75" customHeight="1" x14ac:dyDescent="0.2">
      <c r="D55" s="333"/>
    </row>
    <row r="56" spans="4:4" ht="15.75" customHeight="1" x14ac:dyDescent="0.2">
      <c r="D56" s="333"/>
    </row>
    <row r="57" spans="4:4" ht="15.75" customHeight="1" x14ac:dyDescent="0.2">
      <c r="D57" s="333"/>
    </row>
    <row r="58" spans="4:4" ht="15.75" customHeight="1" x14ac:dyDescent="0.2">
      <c r="D58" s="333"/>
    </row>
    <row r="59" spans="4:4" ht="15.75" customHeight="1" x14ac:dyDescent="0.2">
      <c r="D59" s="333"/>
    </row>
    <row r="60" spans="4:4" ht="15.75" customHeight="1" x14ac:dyDescent="0.2">
      <c r="D60" s="333"/>
    </row>
    <row r="61" spans="4:4" ht="15.75" customHeight="1" x14ac:dyDescent="0.2">
      <c r="D61" s="333"/>
    </row>
    <row r="62" spans="4:4" ht="15.75" customHeight="1" x14ac:dyDescent="0.2">
      <c r="D62" s="333"/>
    </row>
    <row r="63" spans="4:4" ht="15.75" customHeight="1" x14ac:dyDescent="0.2">
      <c r="D63" s="333"/>
    </row>
    <row r="64" spans="4:4" ht="15.75" customHeight="1" x14ac:dyDescent="0.2">
      <c r="D64" s="333"/>
    </row>
    <row r="65" spans="4:4" ht="15.75" customHeight="1" x14ac:dyDescent="0.2">
      <c r="D65" s="333"/>
    </row>
    <row r="66" spans="4:4" ht="15.75" customHeight="1" x14ac:dyDescent="0.2">
      <c r="D66" s="333"/>
    </row>
    <row r="67" spans="4:4" ht="15.75" customHeight="1" x14ac:dyDescent="0.2">
      <c r="D67" s="333"/>
    </row>
    <row r="68" spans="4:4" ht="15.75" customHeight="1" x14ac:dyDescent="0.2">
      <c r="D68" s="333"/>
    </row>
    <row r="69" spans="4:4" ht="15.75" customHeight="1" x14ac:dyDescent="0.2">
      <c r="D69" s="333"/>
    </row>
    <row r="70" spans="4:4" ht="15.75" customHeight="1" x14ac:dyDescent="0.2">
      <c r="D70" s="333"/>
    </row>
    <row r="71" spans="4:4" ht="15.75" customHeight="1" x14ac:dyDescent="0.2">
      <c r="D71" s="333"/>
    </row>
    <row r="72" spans="4:4" ht="15.75" customHeight="1" x14ac:dyDescent="0.2">
      <c r="D72" s="333"/>
    </row>
    <row r="73" spans="4:4" ht="15.75" customHeight="1" x14ac:dyDescent="0.2">
      <c r="D73" s="333"/>
    </row>
    <row r="74" spans="4:4" ht="15.75" customHeight="1" x14ac:dyDescent="0.2">
      <c r="D74" s="333"/>
    </row>
    <row r="75" spans="4:4" ht="15.75" customHeight="1" x14ac:dyDescent="0.2">
      <c r="D75" s="333"/>
    </row>
    <row r="76" spans="4:4" ht="15.75" customHeight="1" x14ac:dyDescent="0.2">
      <c r="D76" s="333"/>
    </row>
    <row r="77" spans="4:4" ht="15.75" customHeight="1" x14ac:dyDescent="0.2">
      <c r="D77" s="333"/>
    </row>
    <row r="78" spans="4:4" ht="15.75" customHeight="1" x14ac:dyDescent="0.2">
      <c r="D78" s="333"/>
    </row>
    <row r="79" spans="4:4" ht="15.75" customHeight="1" x14ac:dyDescent="0.2">
      <c r="D79" s="333"/>
    </row>
    <row r="80" spans="4:4" ht="15.75" customHeight="1" x14ac:dyDescent="0.2">
      <c r="D80" s="333"/>
    </row>
    <row r="81" spans="4:4" ht="15.75" customHeight="1" x14ac:dyDescent="0.2">
      <c r="D81" s="333"/>
    </row>
    <row r="82" spans="4:4" ht="15.75" customHeight="1" x14ac:dyDescent="0.2">
      <c r="D82" s="333"/>
    </row>
    <row r="83" spans="4:4" ht="15.75" customHeight="1" x14ac:dyDescent="0.2">
      <c r="D83" s="333"/>
    </row>
    <row r="84" spans="4:4" ht="15.75" customHeight="1" x14ac:dyDescent="0.2">
      <c r="D84" s="333"/>
    </row>
    <row r="85" spans="4:4" ht="15.75" customHeight="1" x14ac:dyDescent="0.2">
      <c r="D85" s="333"/>
    </row>
    <row r="86" spans="4:4" ht="15.75" customHeight="1" x14ac:dyDescent="0.2">
      <c r="D86" s="333"/>
    </row>
    <row r="87" spans="4:4" ht="15.75" customHeight="1" x14ac:dyDescent="0.2">
      <c r="D87" s="333"/>
    </row>
    <row r="88" spans="4:4" ht="15.75" customHeight="1" x14ac:dyDescent="0.2">
      <c r="D88" s="333"/>
    </row>
    <row r="89" spans="4:4" ht="15.75" customHeight="1" x14ac:dyDescent="0.2">
      <c r="D89" s="333"/>
    </row>
    <row r="90" spans="4:4" ht="15.75" customHeight="1" x14ac:dyDescent="0.2">
      <c r="D90" s="333"/>
    </row>
    <row r="91" spans="4:4" ht="15.75" customHeight="1" x14ac:dyDescent="0.2">
      <c r="D91" s="333"/>
    </row>
    <row r="92" spans="4:4" ht="15.75" customHeight="1" x14ac:dyDescent="0.2">
      <c r="D92" s="333"/>
    </row>
    <row r="93" spans="4:4" ht="15.75" customHeight="1" x14ac:dyDescent="0.2">
      <c r="D93" s="333"/>
    </row>
    <row r="94" spans="4:4" ht="15.75" customHeight="1" x14ac:dyDescent="0.2">
      <c r="D94" s="333"/>
    </row>
    <row r="95" spans="4:4" ht="15.75" customHeight="1" x14ac:dyDescent="0.2">
      <c r="D95" s="333"/>
    </row>
    <row r="96" spans="4:4" ht="15.75" customHeight="1" x14ac:dyDescent="0.2">
      <c r="D96" s="333"/>
    </row>
    <row r="97" spans="4:4" ht="15.75" customHeight="1" x14ac:dyDescent="0.2">
      <c r="D97" s="333"/>
    </row>
    <row r="98" spans="4:4" ht="15.75" customHeight="1" x14ac:dyDescent="0.2">
      <c r="D98" s="333"/>
    </row>
    <row r="99" spans="4:4" ht="15.75" customHeight="1" x14ac:dyDescent="0.2">
      <c r="D99" s="333"/>
    </row>
    <row r="100" spans="4:4" ht="15.75" customHeight="1" x14ac:dyDescent="0.2">
      <c r="D100" s="333"/>
    </row>
    <row r="101" spans="4:4" ht="15.75" customHeight="1" x14ac:dyDescent="0.2">
      <c r="D101" s="333"/>
    </row>
    <row r="102" spans="4:4" ht="15.75" customHeight="1" x14ac:dyDescent="0.2">
      <c r="D102" s="333"/>
    </row>
    <row r="103" spans="4:4" ht="15.75" customHeight="1" x14ac:dyDescent="0.2">
      <c r="D103" s="333"/>
    </row>
    <row r="104" spans="4:4" ht="15.75" customHeight="1" x14ac:dyDescent="0.2">
      <c r="D104" s="333"/>
    </row>
    <row r="105" spans="4:4" ht="15.75" customHeight="1" x14ac:dyDescent="0.2">
      <c r="D105" s="333"/>
    </row>
    <row r="106" spans="4:4" ht="15.75" customHeight="1" x14ac:dyDescent="0.2">
      <c r="D106" s="333"/>
    </row>
    <row r="107" spans="4:4" ht="15.75" customHeight="1" x14ac:dyDescent="0.2">
      <c r="D107" s="333"/>
    </row>
    <row r="108" spans="4:4" ht="15.75" customHeight="1" x14ac:dyDescent="0.2">
      <c r="D108" s="333"/>
    </row>
    <row r="109" spans="4:4" ht="15.75" customHeight="1" x14ac:dyDescent="0.2">
      <c r="D109" s="333"/>
    </row>
    <row r="110" spans="4:4" ht="15.75" customHeight="1" x14ac:dyDescent="0.2">
      <c r="D110" s="333"/>
    </row>
    <row r="111" spans="4:4" ht="15.75" customHeight="1" x14ac:dyDescent="0.2">
      <c r="D111" s="333"/>
    </row>
    <row r="112" spans="4:4" ht="15.75" customHeight="1" x14ac:dyDescent="0.2">
      <c r="D112" s="333"/>
    </row>
    <row r="113" spans="4:4" ht="15.75" customHeight="1" x14ac:dyDescent="0.2">
      <c r="D113" s="333"/>
    </row>
    <row r="114" spans="4:4" ht="15.75" customHeight="1" x14ac:dyDescent="0.2">
      <c r="D114" s="333"/>
    </row>
    <row r="115" spans="4:4" ht="15.75" customHeight="1" x14ac:dyDescent="0.2">
      <c r="D115" s="333"/>
    </row>
    <row r="116" spans="4:4" ht="15.75" customHeight="1" x14ac:dyDescent="0.2">
      <c r="D116" s="333"/>
    </row>
    <row r="117" spans="4:4" ht="15.75" customHeight="1" x14ac:dyDescent="0.2">
      <c r="D117" s="333"/>
    </row>
    <row r="118" spans="4:4" ht="15.75" customHeight="1" x14ac:dyDescent="0.2">
      <c r="D118" s="333"/>
    </row>
    <row r="119" spans="4:4" ht="15.75" customHeight="1" x14ac:dyDescent="0.2">
      <c r="D119" s="333"/>
    </row>
    <row r="120" spans="4:4" ht="15.75" customHeight="1" x14ac:dyDescent="0.2">
      <c r="D120" s="333"/>
    </row>
    <row r="121" spans="4:4" ht="15.75" customHeight="1" x14ac:dyDescent="0.2">
      <c r="D121" s="333"/>
    </row>
    <row r="122" spans="4:4" ht="15.75" customHeight="1" x14ac:dyDescent="0.2">
      <c r="D122" s="333"/>
    </row>
    <row r="123" spans="4:4" ht="15.75" customHeight="1" x14ac:dyDescent="0.2">
      <c r="D123" s="333"/>
    </row>
    <row r="124" spans="4:4" ht="15.75" customHeight="1" x14ac:dyDescent="0.2">
      <c r="D124" s="333"/>
    </row>
    <row r="125" spans="4:4" ht="15.75" customHeight="1" x14ac:dyDescent="0.2">
      <c r="D125" s="333"/>
    </row>
    <row r="126" spans="4:4" ht="15.75" customHeight="1" x14ac:dyDescent="0.2">
      <c r="D126" s="333"/>
    </row>
    <row r="127" spans="4:4" ht="15.75" customHeight="1" x14ac:dyDescent="0.2">
      <c r="D127" s="333"/>
    </row>
    <row r="128" spans="4:4" ht="15.75" customHeight="1" x14ac:dyDescent="0.2">
      <c r="D128" s="333"/>
    </row>
    <row r="129" spans="4:4" ht="15.75" customHeight="1" x14ac:dyDescent="0.2">
      <c r="D129" s="333"/>
    </row>
    <row r="130" spans="4:4" ht="15.75" customHeight="1" x14ac:dyDescent="0.2">
      <c r="D130" s="333"/>
    </row>
    <row r="131" spans="4:4" ht="15.75" customHeight="1" x14ac:dyDescent="0.2">
      <c r="D131" s="333"/>
    </row>
    <row r="132" spans="4:4" ht="15.75" customHeight="1" x14ac:dyDescent="0.2">
      <c r="D132" s="333"/>
    </row>
    <row r="133" spans="4:4" ht="15.75" customHeight="1" x14ac:dyDescent="0.2">
      <c r="D133" s="333"/>
    </row>
    <row r="134" spans="4:4" ht="15.75" customHeight="1" x14ac:dyDescent="0.2">
      <c r="D134" s="333"/>
    </row>
    <row r="135" spans="4:4" ht="15.75" customHeight="1" x14ac:dyDescent="0.2">
      <c r="D135" s="333"/>
    </row>
    <row r="136" spans="4:4" ht="15.75" customHeight="1" x14ac:dyDescent="0.2">
      <c r="D136" s="333"/>
    </row>
    <row r="137" spans="4:4" ht="15.75" customHeight="1" x14ac:dyDescent="0.2">
      <c r="D137" s="333"/>
    </row>
    <row r="138" spans="4:4" ht="15.75" customHeight="1" x14ac:dyDescent="0.2">
      <c r="D138" s="333"/>
    </row>
    <row r="139" spans="4:4" ht="15.75" customHeight="1" x14ac:dyDescent="0.2">
      <c r="D139" s="333"/>
    </row>
    <row r="140" spans="4:4" ht="15.75" customHeight="1" x14ac:dyDescent="0.2">
      <c r="D140" s="333"/>
    </row>
    <row r="141" spans="4:4" ht="15.75" customHeight="1" x14ac:dyDescent="0.2">
      <c r="D141" s="333"/>
    </row>
    <row r="142" spans="4:4" ht="15.75" customHeight="1" x14ac:dyDescent="0.2">
      <c r="D142" s="333"/>
    </row>
    <row r="143" spans="4:4" ht="15.75" customHeight="1" x14ac:dyDescent="0.2">
      <c r="D143" s="333"/>
    </row>
    <row r="144" spans="4:4" ht="15.75" customHeight="1" x14ac:dyDescent="0.2">
      <c r="D144" s="333"/>
    </row>
    <row r="145" spans="4:4" ht="15.75" customHeight="1" x14ac:dyDescent="0.2">
      <c r="D145" s="333"/>
    </row>
    <row r="146" spans="4:4" ht="15.75" customHeight="1" x14ac:dyDescent="0.2">
      <c r="D146" s="333"/>
    </row>
    <row r="147" spans="4:4" ht="15.75" customHeight="1" x14ac:dyDescent="0.2">
      <c r="D147" s="333"/>
    </row>
    <row r="148" spans="4:4" ht="15.75" customHeight="1" x14ac:dyDescent="0.2">
      <c r="D148" s="333"/>
    </row>
    <row r="149" spans="4:4" ht="15.75" customHeight="1" x14ac:dyDescent="0.2">
      <c r="D149" s="333"/>
    </row>
    <row r="150" spans="4:4" ht="15.75" customHeight="1" x14ac:dyDescent="0.2">
      <c r="D150" s="333"/>
    </row>
    <row r="151" spans="4:4" ht="15.75" customHeight="1" x14ac:dyDescent="0.2">
      <c r="D151" s="333"/>
    </row>
    <row r="152" spans="4:4" ht="15.75" customHeight="1" x14ac:dyDescent="0.2">
      <c r="D152" s="333"/>
    </row>
    <row r="153" spans="4:4" ht="15.75" customHeight="1" x14ac:dyDescent="0.2">
      <c r="D153" s="333"/>
    </row>
    <row r="154" spans="4:4" ht="15.75" customHeight="1" x14ac:dyDescent="0.2">
      <c r="D154" s="333"/>
    </row>
    <row r="155" spans="4:4" ht="15.75" customHeight="1" x14ac:dyDescent="0.2">
      <c r="D155" s="333"/>
    </row>
    <row r="156" spans="4:4" ht="15.75" customHeight="1" x14ac:dyDescent="0.2">
      <c r="D156" s="333"/>
    </row>
    <row r="157" spans="4:4" ht="15.75" customHeight="1" x14ac:dyDescent="0.2">
      <c r="D157" s="333"/>
    </row>
    <row r="158" spans="4:4" ht="15.75" customHeight="1" x14ac:dyDescent="0.2">
      <c r="D158" s="333"/>
    </row>
    <row r="159" spans="4:4" ht="15.75" customHeight="1" x14ac:dyDescent="0.2">
      <c r="D159" s="333"/>
    </row>
    <row r="160" spans="4:4" ht="15.75" customHeight="1" x14ac:dyDescent="0.2">
      <c r="D160" s="333"/>
    </row>
    <row r="161" spans="4:4" ht="15.75" customHeight="1" x14ac:dyDescent="0.2">
      <c r="D161" s="333"/>
    </row>
    <row r="162" spans="4:4" ht="15.75" customHeight="1" x14ac:dyDescent="0.2">
      <c r="D162" s="333"/>
    </row>
    <row r="163" spans="4:4" ht="15.75" customHeight="1" x14ac:dyDescent="0.2">
      <c r="D163" s="333"/>
    </row>
    <row r="164" spans="4:4" ht="15.75" customHeight="1" x14ac:dyDescent="0.2">
      <c r="D164" s="333"/>
    </row>
    <row r="165" spans="4:4" ht="15.75" customHeight="1" x14ac:dyDescent="0.2">
      <c r="D165" s="333"/>
    </row>
    <row r="166" spans="4:4" ht="15.75" customHeight="1" x14ac:dyDescent="0.2">
      <c r="D166" s="333"/>
    </row>
    <row r="167" spans="4:4" ht="15.75" customHeight="1" x14ac:dyDescent="0.2">
      <c r="D167" s="333"/>
    </row>
    <row r="168" spans="4:4" ht="15.75" customHeight="1" x14ac:dyDescent="0.2">
      <c r="D168" s="333"/>
    </row>
    <row r="169" spans="4:4" ht="15.75" customHeight="1" x14ac:dyDescent="0.2">
      <c r="D169" s="333"/>
    </row>
    <row r="170" spans="4:4" ht="15.75" customHeight="1" x14ac:dyDescent="0.2">
      <c r="D170" s="333"/>
    </row>
    <row r="171" spans="4:4" ht="15.75" customHeight="1" x14ac:dyDescent="0.2">
      <c r="D171" s="333"/>
    </row>
    <row r="172" spans="4:4" ht="15.75" customHeight="1" x14ac:dyDescent="0.2">
      <c r="D172" s="333"/>
    </row>
    <row r="173" spans="4:4" ht="15.75" customHeight="1" x14ac:dyDescent="0.2">
      <c r="D173" s="333"/>
    </row>
    <row r="174" spans="4:4" ht="15.75" customHeight="1" x14ac:dyDescent="0.2">
      <c r="D174" s="333"/>
    </row>
    <row r="175" spans="4:4" ht="15.75" customHeight="1" x14ac:dyDescent="0.2">
      <c r="D175" s="333"/>
    </row>
    <row r="176" spans="4:4" ht="15.75" customHeight="1" x14ac:dyDescent="0.2">
      <c r="D176" s="333"/>
    </row>
    <row r="177" spans="4:4" ht="15.75" customHeight="1" x14ac:dyDescent="0.2">
      <c r="D177" s="333"/>
    </row>
    <row r="178" spans="4:4" ht="15.75" customHeight="1" x14ac:dyDescent="0.2">
      <c r="D178" s="333"/>
    </row>
    <row r="179" spans="4:4" ht="15.75" customHeight="1" x14ac:dyDescent="0.2">
      <c r="D179" s="333"/>
    </row>
    <row r="180" spans="4:4" ht="15.75" customHeight="1" x14ac:dyDescent="0.2">
      <c r="D180" s="333"/>
    </row>
    <row r="181" spans="4:4" ht="15.75" customHeight="1" x14ac:dyDescent="0.2">
      <c r="D181" s="333"/>
    </row>
    <row r="182" spans="4:4" ht="15.75" customHeight="1" x14ac:dyDescent="0.2">
      <c r="D182" s="333"/>
    </row>
    <row r="183" spans="4:4" ht="15.75" customHeight="1" x14ac:dyDescent="0.2">
      <c r="D183" s="333"/>
    </row>
    <row r="184" spans="4:4" ht="15.75" customHeight="1" x14ac:dyDescent="0.2">
      <c r="D184" s="333"/>
    </row>
    <row r="185" spans="4:4" ht="15.75" customHeight="1" x14ac:dyDescent="0.2">
      <c r="D185" s="333"/>
    </row>
    <row r="186" spans="4:4" ht="15.75" customHeight="1" x14ac:dyDescent="0.2">
      <c r="D186" s="333"/>
    </row>
    <row r="187" spans="4:4" ht="15.75" customHeight="1" x14ac:dyDescent="0.2">
      <c r="D187" s="333"/>
    </row>
    <row r="188" spans="4:4" ht="15.75" customHeight="1" x14ac:dyDescent="0.2">
      <c r="D188" s="333"/>
    </row>
    <row r="189" spans="4:4" ht="15.75" customHeight="1" x14ac:dyDescent="0.2">
      <c r="D189" s="333"/>
    </row>
    <row r="190" spans="4:4" ht="15.75" customHeight="1" x14ac:dyDescent="0.2">
      <c r="D190" s="333"/>
    </row>
    <row r="191" spans="4:4" ht="15.75" customHeight="1" x14ac:dyDescent="0.2">
      <c r="D191" s="333"/>
    </row>
    <row r="192" spans="4:4" ht="15.75" customHeight="1" x14ac:dyDescent="0.2">
      <c r="D192" s="333"/>
    </row>
    <row r="193" spans="4:4" ht="15.75" customHeight="1" x14ac:dyDescent="0.2">
      <c r="D193" s="333"/>
    </row>
    <row r="194" spans="4:4" ht="15.75" customHeight="1" x14ac:dyDescent="0.2">
      <c r="D194" s="333"/>
    </row>
    <row r="195" spans="4:4" ht="15.75" customHeight="1" x14ac:dyDescent="0.2">
      <c r="D195" s="333"/>
    </row>
    <row r="196" spans="4:4" ht="15.75" customHeight="1" x14ac:dyDescent="0.2">
      <c r="D196" s="333"/>
    </row>
    <row r="197" spans="4:4" ht="15.75" customHeight="1" x14ac:dyDescent="0.2">
      <c r="D197" s="333"/>
    </row>
    <row r="198" spans="4:4" ht="15.75" customHeight="1" x14ac:dyDescent="0.2">
      <c r="D198" s="333"/>
    </row>
    <row r="199" spans="4:4" ht="15.75" customHeight="1" x14ac:dyDescent="0.2">
      <c r="D199" s="333"/>
    </row>
    <row r="200" spans="4:4" ht="15.75" customHeight="1" x14ac:dyDescent="0.2">
      <c r="D200" s="333"/>
    </row>
    <row r="201" spans="4:4" ht="15.75" customHeight="1" x14ac:dyDescent="0.2">
      <c r="D201" s="333"/>
    </row>
    <row r="202" spans="4:4" ht="15.75" customHeight="1" x14ac:dyDescent="0.2">
      <c r="D202" s="333"/>
    </row>
    <row r="203" spans="4:4" ht="15.75" customHeight="1" x14ac:dyDescent="0.2">
      <c r="D203" s="333"/>
    </row>
    <row r="204" spans="4:4" ht="15.75" customHeight="1" x14ac:dyDescent="0.2">
      <c r="D204" s="333"/>
    </row>
    <row r="205" spans="4:4" ht="15.75" customHeight="1" x14ac:dyDescent="0.2">
      <c r="D205" s="333"/>
    </row>
    <row r="206" spans="4:4" ht="15.75" customHeight="1" x14ac:dyDescent="0.2">
      <c r="D206" s="333"/>
    </row>
    <row r="207" spans="4:4" ht="15.75" customHeight="1" x14ac:dyDescent="0.2">
      <c r="D207" s="333"/>
    </row>
    <row r="208" spans="4:4" ht="15.75" customHeight="1" x14ac:dyDescent="0.2">
      <c r="D208" s="333"/>
    </row>
    <row r="209" spans="4:4" ht="15.75" customHeight="1" x14ac:dyDescent="0.2">
      <c r="D209" s="333"/>
    </row>
    <row r="210" spans="4:4" ht="15.75" customHeight="1" x14ac:dyDescent="0.2">
      <c r="D210" s="333"/>
    </row>
    <row r="211" spans="4:4" ht="15.75" customHeight="1" x14ac:dyDescent="0.2">
      <c r="D211" s="333"/>
    </row>
    <row r="212" spans="4:4" ht="15.75" customHeight="1" x14ac:dyDescent="0.2">
      <c r="D212" s="333"/>
    </row>
    <row r="213" spans="4:4" ht="15.75" customHeight="1" x14ac:dyDescent="0.2">
      <c r="D213" s="333"/>
    </row>
    <row r="214" spans="4:4" ht="15.75" customHeight="1" x14ac:dyDescent="0.2">
      <c r="D214" s="333"/>
    </row>
    <row r="215" spans="4:4" ht="15.75" customHeight="1" x14ac:dyDescent="0.2">
      <c r="D215" s="333"/>
    </row>
    <row r="216" spans="4:4" ht="15.75" customHeight="1" x14ac:dyDescent="0.2">
      <c r="D216" s="333"/>
    </row>
    <row r="217" spans="4:4" ht="15.75" customHeight="1" x14ac:dyDescent="0.2">
      <c r="D217" s="333"/>
    </row>
    <row r="218" spans="4:4" ht="15.75" customHeight="1" x14ac:dyDescent="0.2">
      <c r="D218" s="333"/>
    </row>
    <row r="219" spans="4:4" ht="15.75" customHeight="1" x14ac:dyDescent="0.2">
      <c r="D219" s="333"/>
    </row>
    <row r="220" spans="4:4" ht="15.75" customHeight="1" x14ac:dyDescent="0.2">
      <c r="D220" s="333"/>
    </row>
    <row r="221" spans="4:4" ht="15.75" customHeight="1" x14ac:dyDescent="0.2">
      <c r="D221" s="333"/>
    </row>
    <row r="222" spans="4:4" ht="15.75" customHeight="1" x14ac:dyDescent="0.2">
      <c r="D222" s="333"/>
    </row>
    <row r="223" spans="4:4" ht="15.75" customHeight="1" x14ac:dyDescent="0.2">
      <c r="D223" s="333"/>
    </row>
    <row r="224" spans="4:4" ht="15.75" customHeight="1" x14ac:dyDescent="0.2">
      <c r="D224" s="333"/>
    </row>
    <row r="225" spans="4:4" ht="15.75" customHeight="1" x14ac:dyDescent="0.2">
      <c r="D225" s="333"/>
    </row>
    <row r="226" spans="4:4" ht="15.75" customHeight="1" x14ac:dyDescent="0.2">
      <c r="D226" s="333"/>
    </row>
    <row r="227" spans="4:4" ht="15.75" customHeight="1" x14ac:dyDescent="0.2">
      <c r="D227" s="333"/>
    </row>
    <row r="228" spans="4:4" ht="15.75" customHeight="1" x14ac:dyDescent="0.2">
      <c r="D228" s="333"/>
    </row>
    <row r="229" spans="4:4" ht="15.75" customHeight="1" x14ac:dyDescent="0.2">
      <c r="D229" s="333"/>
    </row>
    <row r="230" spans="4:4" ht="15.75" customHeight="1" x14ac:dyDescent="0.2">
      <c r="D230" s="333"/>
    </row>
    <row r="231" spans="4:4" ht="15.75" customHeight="1" x14ac:dyDescent="0.2">
      <c r="D231" s="333"/>
    </row>
    <row r="232" spans="4:4" ht="15.75" customHeight="1" x14ac:dyDescent="0.2">
      <c r="D232" s="333"/>
    </row>
    <row r="233" spans="4:4" ht="15.75" customHeight="1" x14ac:dyDescent="0.2">
      <c r="D233" s="333"/>
    </row>
    <row r="234" spans="4:4" ht="15.75" customHeight="1" x14ac:dyDescent="0.2">
      <c r="D234" s="333"/>
    </row>
    <row r="235" spans="4:4" ht="15.75" customHeight="1" x14ac:dyDescent="0.2">
      <c r="D235" s="333"/>
    </row>
    <row r="236" spans="4:4" ht="15.75" customHeight="1" x14ac:dyDescent="0.2">
      <c r="D236" s="333"/>
    </row>
    <row r="237" spans="4:4" ht="15.75" customHeight="1" x14ac:dyDescent="0.2">
      <c r="D237" s="333"/>
    </row>
    <row r="238" spans="4:4" ht="15.75" customHeight="1" x14ac:dyDescent="0.2">
      <c r="D238" s="333"/>
    </row>
    <row r="239" spans="4:4" ht="15.75" customHeight="1" x14ac:dyDescent="0.2">
      <c r="D239" s="333"/>
    </row>
    <row r="240" spans="4:4" ht="15.75" customHeight="1" x14ac:dyDescent="0.2">
      <c r="D240" s="333"/>
    </row>
    <row r="241" spans="4:4" ht="15.75" customHeight="1" x14ac:dyDescent="0.2">
      <c r="D241" s="333"/>
    </row>
    <row r="242" spans="4:4" ht="15.75" customHeight="1" x14ac:dyDescent="0.2">
      <c r="D242" s="333"/>
    </row>
    <row r="243" spans="4:4" ht="15.75" customHeight="1" x14ac:dyDescent="0.2">
      <c r="D243" s="333"/>
    </row>
    <row r="244" spans="4:4" ht="15.75" customHeight="1" x14ac:dyDescent="0.2">
      <c r="D244" s="333"/>
    </row>
    <row r="245" spans="4:4" ht="15.75" customHeight="1" x14ac:dyDescent="0.2">
      <c r="D245" s="333"/>
    </row>
    <row r="246" spans="4:4" ht="15.75" customHeight="1" x14ac:dyDescent="0.2">
      <c r="D246" s="333"/>
    </row>
    <row r="247" spans="4:4" ht="15.75" customHeight="1" x14ac:dyDescent="0.2">
      <c r="D247" s="333"/>
    </row>
    <row r="248" spans="4:4" ht="15.75" customHeight="1" x14ac:dyDescent="0.2">
      <c r="D248" s="333"/>
    </row>
    <row r="249" spans="4:4" ht="15.75" customHeight="1" x14ac:dyDescent="0.2">
      <c r="D249" s="333"/>
    </row>
    <row r="250" spans="4:4" ht="15.75" customHeight="1" x14ac:dyDescent="0.2">
      <c r="D250" s="333"/>
    </row>
    <row r="251" spans="4:4" ht="15.75" customHeight="1" x14ac:dyDescent="0.2">
      <c r="D251" s="333"/>
    </row>
    <row r="252" spans="4:4" ht="15.75" customHeight="1" x14ac:dyDescent="0.2">
      <c r="D252" s="333"/>
    </row>
    <row r="253" spans="4:4" ht="15.75" customHeight="1" x14ac:dyDescent="0.2">
      <c r="D253" s="333"/>
    </row>
    <row r="254" spans="4:4" ht="15.75" customHeight="1" x14ac:dyDescent="0.2">
      <c r="D254" s="333"/>
    </row>
    <row r="255" spans="4:4" ht="15.75" customHeight="1" x14ac:dyDescent="0.2">
      <c r="D255" s="333"/>
    </row>
    <row r="256" spans="4:4" ht="15.75" customHeight="1" x14ac:dyDescent="0.2">
      <c r="D256" s="333"/>
    </row>
    <row r="257" spans="4:4" ht="15.75" customHeight="1" x14ac:dyDescent="0.2">
      <c r="D257" s="333"/>
    </row>
    <row r="258" spans="4:4" ht="15.75" customHeight="1" x14ac:dyDescent="0.2">
      <c r="D258" s="333"/>
    </row>
    <row r="259" spans="4:4" ht="15.75" customHeight="1" x14ac:dyDescent="0.2">
      <c r="D259" s="333"/>
    </row>
    <row r="260" spans="4:4" ht="15.75" customHeight="1" x14ac:dyDescent="0.2">
      <c r="D260" s="333"/>
    </row>
    <row r="261" spans="4:4" ht="15.75" customHeight="1" x14ac:dyDescent="0.2">
      <c r="D261" s="333"/>
    </row>
    <row r="262" spans="4:4" ht="15.75" customHeight="1" x14ac:dyDescent="0.2">
      <c r="D262" s="333"/>
    </row>
    <row r="263" spans="4:4" ht="15.75" customHeight="1" x14ac:dyDescent="0.2">
      <c r="D263" s="333"/>
    </row>
    <row r="264" spans="4:4" ht="15.75" customHeight="1" x14ac:dyDescent="0.2">
      <c r="D264" s="333"/>
    </row>
    <row r="265" spans="4:4" ht="15.75" customHeight="1" x14ac:dyDescent="0.2">
      <c r="D265" s="333"/>
    </row>
    <row r="266" spans="4:4" ht="15.75" customHeight="1" x14ac:dyDescent="0.2">
      <c r="D266" s="333"/>
    </row>
    <row r="267" spans="4:4" ht="15.75" customHeight="1" x14ac:dyDescent="0.2">
      <c r="D267" s="333"/>
    </row>
    <row r="268" spans="4:4" ht="15.75" customHeight="1" x14ac:dyDescent="0.2">
      <c r="D268" s="333"/>
    </row>
    <row r="269" spans="4:4" ht="15.75" customHeight="1" x14ac:dyDescent="0.2">
      <c r="D269" s="333"/>
    </row>
    <row r="270" spans="4:4" ht="15.75" customHeight="1" x14ac:dyDescent="0.2">
      <c r="D270" s="333"/>
    </row>
    <row r="271" spans="4:4" ht="15.75" customHeight="1" x14ac:dyDescent="0.2">
      <c r="D271" s="333"/>
    </row>
    <row r="272" spans="4:4" ht="15.75" customHeight="1" x14ac:dyDescent="0.2">
      <c r="D272" s="333"/>
    </row>
    <row r="273" spans="4:4" ht="15.75" customHeight="1" x14ac:dyDescent="0.2">
      <c r="D273" s="333"/>
    </row>
    <row r="274" spans="4:4" ht="15.75" customHeight="1" x14ac:dyDescent="0.2">
      <c r="D274" s="333"/>
    </row>
    <row r="275" spans="4:4" ht="15.75" customHeight="1" x14ac:dyDescent="0.2">
      <c r="D275" s="333"/>
    </row>
    <row r="276" spans="4:4" ht="15.75" customHeight="1" x14ac:dyDescent="0.2">
      <c r="D276" s="333"/>
    </row>
    <row r="277" spans="4:4" ht="15.75" customHeight="1" x14ac:dyDescent="0.2">
      <c r="D277" s="333"/>
    </row>
    <row r="278" spans="4:4" ht="15.75" customHeight="1" x14ac:dyDescent="0.2">
      <c r="D278" s="333"/>
    </row>
    <row r="279" spans="4:4" ht="15.75" customHeight="1" x14ac:dyDescent="0.2">
      <c r="D279" s="333"/>
    </row>
    <row r="280" spans="4:4" ht="15.75" customHeight="1" x14ac:dyDescent="0.2">
      <c r="D280" s="333"/>
    </row>
    <row r="281" spans="4:4" ht="15.75" customHeight="1" x14ac:dyDescent="0.2">
      <c r="D281" s="333"/>
    </row>
    <row r="282" spans="4:4" ht="15.75" customHeight="1" x14ac:dyDescent="0.2">
      <c r="D282" s="333"/>
    </row>
    <row r="283" spans="4:4" ht="15.75" customHeight="1" x14ac:dyDescent="0.2">
      <c r="D283" s="333"/>
    </row>
    <row r="284" spans="4:4" ht="15.75" customHeight="1" x14ac:dyDescent="0.2">
      <c r="D284" s="333"/>
    </row>
    <row r="285" spans="4:4" ht="15.75" customHeight="1" x14ac:dyDescent="0.2">
      <c r="D285" s="333"/>
    </row>
    <row r="286" spans="4:4" ht="15.75" customHeight="1" x14ac:dyDescent="0.2">
      <c r="D286" s="333"/>
    </row>
    <row r="287" spans="4:4" ht="15.75" customHeight="1" x14ac:dyDescent="0.2">
      <c r="D287" s="333"/>
    </row>
    <row r="288" spans="4:4" ht="15.75" customHeight="1" x14ac:dyDescent="0.2">
      <c r="D288" s="333"/>
    </row>
    <row r="289" spans="4:4" ht="15.75" customHeight="1" x14ac:dyDescent="0.2">
      <c r="D289" s="333"/>
    </row>
    <row r="290" spans="4:4" ht="15.75" customHeight="1" x14ac:dyDescent="0.2">
      <c r="D290" s="333"/>
    </row>
    <row r="291" spans="4:4" ht="15.75" customHeight="1" x14ac:dyDescent="0.2">
      <c r="D291" s="333"/>
    </row>
    <row r="292" spans="4:4" ht="15.75" customHeight="1" x14ac:dyDescent="0.2">
      <c r="D292" s="333"/>
    </row>
    <row r="293" spans="4:4" ht="15.75" customHeight="1" x14ac:dyDescent="0.2">
      <c r="D293" s="333"/>
    </row>
    <row r="294" spans="4:4" ht="15.75" customHeight="1" x14ac:dyDescent="0.2">
      <c r="D294" s="333"/>
    </row>
    <row r="295" spans="4:4" ht="15.75" customHeight="1" x14ac:dyDescent="0.2">
      <c r="D295" s="333"/>
    </row>
    <row r="296" spans="4:4" ht="15.75" customHeight="1" x14ac:dyDescent="0.2">
      <c r="D296" s="333"/>
    </row>
    <row r="297" spans="4:4" ht="15.75" customHeight="1" x14ac:dyDescent="0.2">
      <c r="D297" s="333"/>
    </row>
    <row r="298" spans="4:4" ht="15.75" customHeight="1" x14ac:dyDescent="0.2">
      <c r="D298" s="333"/>
    </row>
    <row r="299" spans="4:4" ht="15.75" customHeight="1" x14ac:dyDescent="0.2">
      <c r="D299" s="333"/>
    </row>
    <row r="300" spans="4:4" ht="15.75" customHeight="1" x14ac:dyDescent="0.2">
      <c r="D300" s="333"/>
    </row>
    <row r="301" spans="4:4" ht="15.75" customHeight="1" x14ac:dyDescent="0.2">
      <c r="D301" s="333"/>
    </row>
    <row r="302" spans="4:4" ht="15.75" customHeight="1" x14ac:dyDescent="0.2">
      <c r="D302" s="333"/>
    </row>
    <row r="303" spans="4:4" ht="15.75" customHeight="1" x14ac:dyDescent="0.2">
      <c r="D303" s="333"/>
    </row>
    <row r="304" spans="4:4" ht="15.75" customHeight="1" x14ac:dyDescent="0.2">
      <c r="D304" s="333"/>
    </row>
    <row r="305" spans="4:4" ht="15.75" customHeight="1" x14ac:dyDescent="0.2">
      <c r="D305" s="333"/>
    </row>
    <row r="306" spans="4:4" ht="15.75" customHeight="1" x14ac:dyDescent="0.2">
      <c r="D306" s="333"/>
    </row>
    <row r="307" spans="4:4" ht="15.75" customHeight="1" x14ac:dyDescent="0.2">
      <c r="D307" s="333"/>
    </row>
    <row r="308" spans="4:4" ht="15.75" customHeight="1" x14ac:dyDescent="0.2">
      <c r="D308" s="333"/>
    </row>
    <row r="309" spans="4:4" ht="15.75" customHeight="1" x14ac:dyDescent="0.2">
      <c r="D309" s="333"/>
    </row>
    <row r="310" spans="4:4" ht="15.75" customHeight="1" x14ac:dyDescent="0.2">
      <c r="D310" s="333"/>
    </row>
    <row r="311" spans="4:4" ht="15.75" customHeight="1" x14ac:dyDescent="0.2">
      <c r="D311" s="333"/>
    </row>
    <row r="312" spans="4:4" ht="15.75" customHeight="1" x14ac:dyDescent="0.2">
      <c r="D312" s="333"/>
    </row>
    <row r="313" spans="4:4" ht="15.75" customHeight="1" x14ac:dyDescent="0.2">
      <c r="D313" s="333"/>
    </row>
    <row r="314" spans="4:4" ht="15.75" customHeight="1" x14ac:dyDescent="0.2">
      <c r="D314" s="333"/>
    </row>
    <row r="315" spans="4:4" ht="15.75" customHeight="1" x14ac:dyDescent="0.2">
      <c r="D315" s="333"/>
    </row>
    <row r="316" spans="4:4" ht="15.75" customHeight="1" x14ac:dyDescent="0.2">
      <c r="D316" s="333"/>
    </row>
    <row r="317" spans="4:4" ht="15.75" customHeight="1" x14ac:dyDescent="0.2">
      <c r="D317" s="333"/>
    </row>
    <row r="318" spans="4:4" ht="15.75" customHeight="1" x14ac:dyDescent="0.2">
      <c r="D318" s="333"/>
    </row>
    <row r="319" spans="4:4" ht="15.75" customHeight="1" x14ac:dyDescent="0.2">
      <c r="D319" s="333"/>
    </row>
    <row r="320" spans="4:4" ht="15.75" customHeight="1" x14ac:dyDescent="0.2">
      <c r="D320" s="333"/>
    </row>
    <row r="321" spans="4:4" ht="15.75" customHeight="1" x14ac:dyDescent="0.2">
      <c r="D321" s="333"/>
    </row>
    <row r="322" spans="4:4" ht="15.75" customHeight="1" x14ac:dyDescent="0.2">
      <c r="D322" s="333"/>
    </row>
    <row r="323" spans="4:4" ht="15.75" customHeight="1" x14ac:dyDescent="0.2">
      <c r="D323" s="333"/>
    </row>
    <row r="324" spans="4:4" ht="15.75" customHeight="1" x14ac:dyDescent="0.2">
      <c r="D324" s="333"/>
    </row>
    <row r="325" spans="4:4" ht="15.75" customHeight="1" x14ac:dyDescent="0.2">
      <c r="D325" s="333"/>
    </row>
    <row r="326" spans="4:4" ht="15.75" customHeight="1" x14ac:dyDescent="0.2">
      <c r="D326" s="333"/>
    </row>
    <row r="327" spans="4:4" ht="15.75" customHeight="1" x14ac:dyDescent="0.2">
      <c r="D327" s="333"/>
    </row>
    <row r="328" spans="4:4" ht="15.75" customHeight="1" x14ac:dyDescent="0.2">
      <c r="D328" s="333"/>
    </row>
    <row r="329" spans="4:4" ht="15.75" customHeight="1" x14ac:dyDescent="0.2">
      <c r="D329" s="333"/>
    </row>
    <row r="330" spans="4:4" ht="15.75" customHeight="1" x14ac:dyDescent="0.2">
      <c r="D330" s="333"/>
    </row>
    <row r="331" spans="4:4" ht="15.75" customHeight="1" x14ac:dyDescent="0.2">
      <c r="D331" s="333"/>
    </row>
    <row r="332" spans="4:4" ht="15.75" customHeight="1" x14ac:dyDescent="0.2">
      <c r="D332" s="333"/>
    </row>
    <row r="333" spans="4:4" ht="15.75" customHeight="1" x14ac:dyDescent="0.2">
      <c r="D333" s="333"/>
    </row>
    <row r="334" spans="4:4" ht="15.75" customHeight="1" x14ac:dyDescent="0.2">
      <c r="D334" s="333"/>
    </row>
    <row r="335" spans="4:4" ht="15.75" customHeight="1" x14ac:dyDescent="0.2">
      <c r="D335" s="333"/>
    </row>
    <row r="336" spans="4:4" ht="15.75" customHeight="1" x14ac:dyDescent="0.2">
      <c r="D336" s="333"/>
    </row>
    <row r="337" spans="4:4" ht="15.75" customHeight="1" x14ac:dyDescent="0.2">
      <c r="D337" s="333"/>
    </row>
    <row r="338" spans="4:4" ht="15.75" customHeight="1" x14ac:dyDescent="0.2">
      <c r="D338" s="333"/>
    </row>
    <row r="339" spans="4:4" ht="15.75" customHeight="1" x14ac:dyDescent="0.2">
      <c r="D339" s="333"/>
    </row>
    <row r="340" spans="4:4" ht="15.75" customHeight="1" x14ac:dyDescent="0.2">
      <c r="D340" s="333"/>
    </row>
    <row r="341" spans="4:4" ht="15.75" customHeight="1" x14ac:dyDescent="0.2">
      <c r="D341" s="333"/>
    </row>
    <row r="342" spans="4:4" ht="15.75" customHeight="1" x14ac:dyDescent="0.2">
      <c r="D342" s="333"/>
    </row>
    <row r="343" spans="4:4" ht="15.75" customHeight="1" x14ac:dyDescent="0.2">
      <c r="D343" s="333"/>
    </row>
    <row r="344" spans="4:4" ht="15.75" customHeight="1" x14ac:dyDescent="0.2">
      <c r="D344" s="333"/>
    </row>
    <row r="345" spans="4:4" ht="15.75" customHeight="1" x14ac:dyDescent="0.2">
      <c r="D345" s="333"/>
    </row>
    <row r="346" spans="4:4" ht="15.75" customHeight="1" x14ac:dyDescent="0.2">
      <c r="D346" s="333"/>
    </row>
    <row r="347" spans="4:4" ht="15.75" customHeight="1" x14ac:dyDescent="0.2">
      <c r="D347" s="333"/>
    </row>
    <row r="348" spans="4:4" ht="15.75" customHeight="1" x14ac:dyDescent="0.2">
      <c r="D348" s="333"/>
    </row>
    <row r="349" spans="4:4" ht="15.75" customHeight="1" x14ac:dyDescent="0.2">
      <c r="D349" s="333"/>
    </row>
    <row r="350" spans="4:4" ht="15.75" customHeight="1" x14ac:dyDescent="0.2">
      <c r="D350" s="333"/>
    </row>
    <row r="351" spans="4:4" ht="15.75" customHeight="1" x14ac:dyDescent="0.2">
      <c r="D351" s="333"/>
    </row>
    <row r="352" spans="4:4" ht="15.75" customHeight="1" x14ac:dyDescent="0.2">
      <c r="D352" s="333"/>
    </row>
    <row r="353" spans="4:4" ht="15.75" customHeight="1" x14ac:dyDescent="0.2">
      <c r="D353" s="333"/>
    </row>
    <row r="354" spans="4:4" ht="15.75" customHeight="1" x14ac:dyDescent="0.2">
      <c r="D354" s="333"/>
    </row>
    <row r="355" spans="4:4" ht="15.75" customHeight="1" x14ac:dyDescent="0.2">
      <c r="D355" s="333"/>
    </row>
    <row r="356" spans="4:4" ht="15.75" customHeight="1" x14ac:dyDescent="0.2">
      <c r="D356" s="333"/>
    </row>
    <row r="357" spans="4:4" ht="15.75" customHeight="1" x14ac:dyDescent="0.2">
      <c r="D357" s="333"/>
    </row>
    <row r="358" spans="4:4" ht="15.75" customHeight="1" x14ac:dyDescent="0.2">
      <c r="D358" s="333"/>
    </row>
    <row r="359" spans="4:4" ht="15.75" customHeight="1" x14ac:dyDescent="0.2">
      <c r="D359" s="333"/>
    </row>
    <row r="360" spans="4:4" ht="15.75" customHeight="1" x14ac:dyDescent="0.2">
      <c r="D360" s="333"/>
    </row>
    <row r="361" spans="4:4" ht="15.75" customHeight="1" x14ac:dyDescent="0.2">
      <c r="D361" s="333"/>
    </row>
    <row r="362" spans="4:4" ht="15.75" customHeight="1" x14ac:dyDescent="0.2">
      <c r="D362" s="333"/>
    </row>
    <row r="363" spans="4:4" ht="15.75" customHeight="1" x14ac:dyDescent="0.2">
      <c r="D363" s="333"/>
    </row>
    <row r="364" spans="4:4" ht="15.75" customHeight="1" x14ac:dyDescent="0.2">
      <c r="D364" s="333"/>
    </row>
    <row r="365" spans="4:4" ht="15.75" customHeight="1" x14ac:dyDescent="0.2">
      <c r="D365" s="333"/>
    </row>
    <row r="366" spans="4:4" ht="15.75" customHeight="1" x14ac:dyDescent="0.2">
      <c r="D366" s="333"/>
    </row>
    <row r="367" spans="4:4" ht="15.75" customHeight="1" x14ac:dyDescent="0.2">
      <c r="D367" s="333"/>
    </row>
    <row r="368" spans="4:4" ht="15.75" customHeight="1" x14ac:dyDescent="0.2">
      <c r="D368" s="333"/>
    </row>
    <row r="369" spans="4:4" ht="15.75" customHeight="1" x14ac:dyDescent="0.2">
      <c r="D369" s="333"/>
    </row>
    <row r="370" spans="4:4" ht="15.75" customHeight="1" x14ac:dyDescent="0.2">
      <c r="D370" s="333"/>
    </row>
    <row r="371" spans="4:4" ht="15.75" customHeight="1" x14ac:dyDescent="0.2">
      <c r="D371" s="333"/>
    </row>
    <row r="372" spans="4:4" ht="15.75" customHeight="1" x14ac:dyDescent="0.2">
      <c r="D372" s="333"/>
    </row>
    <row r="373" spans="4:4" ht="15.75" customHeight="1" x14ac:dyDescent="0.2">
      <c r="D373" s="333"/>
    </row>
    <row r="374" spans="4:4" ht="15.75" customHeight="1" x14ac:dyDescent="0.2">
      <c r="D374" s="333"/>
    </row>
    <row r="375" spans="4:4" ht="15.75" customHeight="1" x14ac:dyDescent="0.2">
      <c r="D375" s="333"/>
    </row>
    <row r="376" spans="4:4" ht="15.75" customHeight="1" x14ac:dyDescent="0.2">
      <c r="D376" s="333"/>
    </row>
    <row r="377" spans="4:4" ht="15.75" customHeight="1" x14ac:dyDescent="0.2">
      <c r="D377" s="333"/>
    </row>
    <row r="378" spans="4:4" ht="15.75" customHeight="1" x14ac:dyDescent="0.2">
      <c r="D378" s="333"/>
    </row>
    <row r="379" spans="4:4" ht="15.75" customHeight="1" x14ac:dyDescent="0.2">
      <c r="D379" s="333"/>
    </row>
    <row r="380" spans="4:4" ht="15.75" customHeight="1" x14ac:dyDescent="0.2">
      <c r="D380" s="333"/>
    </row>
    <row r="381" spans="4:4" ht="15.75" customHeight="1" x14ac:dyDescent="0.2">
      <c r="D381" s="333"/>
    </row>
    <row r="382" spans="4:4" ht="15.75" customHeight="1" x14ac:dyDescent="0.2">
      <c r="D382" s="333"/>
    </row>
    <row r="383" spans="4:4" ht="15.75" customHeight="1" x14ac:dyDescent="0.2">
      <c r="D383" s="333"/>
    </row>
    <row r="384" spans="4:4" ht="15.75" customHeight="1" x14ac:dyDescent="0.2">
      <c r="D384" s="333"/>
    </row>
    <row r="385" spans="4:4" ht="15.75" customHeight="1" x14ac:dyDescent="0.2">
      <c r="D385" s="333"/>
    </row>
    <row r="386" spans="4:4" ht="15.75" customHeight="1" x14ac:dyDescent="0.2">
      <c r="D386" s="333"/>
    </row>
    <row r="387" spans="4:4" ht="15.75" customHeight="1" x14ac:dyDescent="0.2">
      <c r="D387" s="333"/>
    </row>
    <row r="388" spans="4:4" ht="15.75" customHeight="1" x14ac:dyDescent="0.2">
      <c r="D388" s="333"/>
    </row>
    <row r="389" spans="4:4" ht="15.75" customHeight="1" x14ac:dyDescent="0.2">
      <c r="D389" s="333"/>
    </row>
    <row r="390" spans="4:4" ht="15.75" customHeight="1" x14ac:dyDescent="0.2">
      <c r="D390" s="333"/>
    </row>
    <row r="391" spans="4:4" ht="15.75" customHeight="1" x14ac:dyDescent="0.2">
      <c r="D391" s="333"/>
    </row>
    <row r="392" spans="4:4" ht="15.75" customHeight="1" x14ac:dyDescent="0.2">
      <c r="D392" s="333"/>
    </row>
    <row r="393" spans="4:4" ht="15.75" customHeight="1" x14ac:dyDescent="0.2">
      <c r="D393" s="333"/>
    </row>
    <row r="394" spans="4:4" ht="15.75" customHeight="1" x14ac:dyDescent="0.2">
      <c r="D394" s="333"/>
    </row>
    <row r="395" spans="4:4" ht="15.75" customHeight="1" x14ac:dyDescent="0.2">
      <c r="D395" s="333"/>
    </row>
    <row r="396" spans="4:4" ht="15.75" customHeight="1" x14ac:dyDescent="0.2">
      <c r="D396" s="333"/>
    </row>
    <row r="397" spans="4:4" ht="15.75" customHeight="1" x14ac:dyDescent="0.2">
      <c r="D397" s="333"/>
    </row>
    <row r="398" spans="4:4" ht="15.75" customHeight="1" x14ac:dyDescent="0.2">
      <c r="D398" s="333"/>
    </row>
    <row r="399" spans="4:4" ht="15.75" customHeight="1" x14ac:dyDescent="0.2">
      <c r="D399" s="333"/>
    </row>
    <row r="400" spans="4:4" ht="15.75" customHeight="1" x14ac:dyDescent="0.2">
      <c r="D400" s="333"/>
    </row>
    <row r="401" spans="4:4" ht="15.75" customHeight="1" x14ac:dyDescent="0.2">
      <c r="D401" s="333"/>
    </row>
    <row r="402" spans="4:4" ht="15.75" customHeight="1" x14ac:dyDescent="0.2">
      <c r="D402" s="333"/>
    </row>
    <row r="403" spans="4:4" ht="15.75" customHeight="1" x14ac:dyDescent="0.2">
      <c r="D403" s="333"/>
    </row>
    <row r="404" spans="4:4" ht="15.75" customHeight="1" x14ac:dyDescent="0.2">
      <c r="D404" s="333"/>
    </row>
    <row r="405" spans="4:4" ht="15.75" customHeight="1" x14ac:dyDescent="0.2">
      <c r="D405" s="333"/>
    </row>
    <row r="406" spans="4:4" ht="15.75" customHeight="1" x14ac:dyDescent="0.2">
      <c r="D406" s="333"/>
    </row>
    <row r="407" spans="4:4" ht="15.75" customHeight="1" x14ac:dyDescent="0.2">
      <c r="D407" s="333"/>
    </row>
    <row r="408" spans="4:4" ht="15.75" customHeight="1" x14ac:dyDescent="0.2">
      <c r="D408" s="333"/>
    </row>
    <row r="409" spans="4:4" ht="15.75" customHeight="1" x14ac:dyDescent="0.2">
      <c r="D409" s="333"/>
    </row>
    <row r="410" spans="4:4" ht="15.75" customHeight="1" x14ac:dyDescent="0.2">
      <c r="D410" s="333"/>
    </row>
    <row r="411" spans="4:4" ht="15.75" customHeight="1" x14ac:dyDescent="0.2">
      <c r="D411" s="333"/>
    </row>
    <row r="412" spans="4:4" ht="15.75" customHeight="1" x14ac:dyDescent="0.2">
      <c r="D412" s="333"/>
    </row>
    <row r="413" spans="4:4" ht="15.75" customHeight="1" x14ac:dyDescent="0.2">
      <c r="D413" s="333"/>
    </row>
    <row r="414" spans="4:4" ht="15.75" customHeight="1" x14ac:dyDescent="0.2">
      <c r="D414" s="333"/>
    </row>
    <row r="415" spans="4:4" ht="15.75" customHeight="1" x14ac:dyDescent="0.2">
      <c r="D415" s="333"/>
    </row>
    <row r="416" spans="4:4" ht="15.75" customHeight="1" x14ac:dyDescent="0.2">
      <c r="D416" s="333"/>
    </row>
    <row r="417" spans="4:4" ht="15.75" customHeight="1" x14ac:dyDescent="0.2">
      <c r="D417" s="333"/>
    </row>
    <row r="418" spans="4:4" ht="15.75" customHeight="1" x14ac:dyDescent="0.2">
      <c r="D418" s="333"/>
    </row>
    <row r="419" spans="4:4" ht="15.75" customHeight="1" x14ac:dyDescent="0.2">
      <c r="D419" s="333"/>
    </row>
    <row r="420" spans="4:4" ht="15.75" customHeight="1" x14ac:dyDescent="0.2">
      <c r="D420" s="333"/>
    </row>
    <row r="421" spans="4:4" ht="15.75" customHeight="1" x14ac:dyDescent="0.2">
      <c r="D421" s="333"/>
    </row>
    <row r="422" spans="4:4" ht="15.75" customHeight="1" x14ac:dyDescent="0.2">
      <c r="D422" s="333"/>
    </row>
    <row r="423" spans="4:4" ht="15.75" customHeight="1" x14ac:dyDescent="0.2">
      <c r="D423" s="333"/>
    </row>
    <row r="424" spans="4:4" ht="15.75" customHeight="1" x14ac:dyDescent="0.2">
      <c r="D424" s="333"/>
    </row>
    <row r="425" spans="4:4" ht="15.75" customHeight="1" x14ac:dyDescent="0.2">
      <c r="D425" s="333"/>
    </row>
    <row r="426" spans="4:4" ht="15.75" customHeight="1" x14ac:dyDescent="0.2">
      <c r="D426" s="333"/>
    </row>
    <row r="427" spans="4:4" ht="15.75" customHeight="1" x14ac:dyDescent="0.2">
      <c r="D427" s="333"/>
    </row>
    <row r="428" spans="4:4" ht="15.75" customHeight="1" x14ac:dyDescent="0.2">
      <c r="D428" s="333"/>
    </row>
    <row r="429" spans="4:4" ht="15.75" customHeight="1" x14ac:dyDescent="0.2">
      <c r="D429" s="333"/>
    </row>
    <row r="430" spans="4:4" ht="15.75" customHeight="1" x14ac:dyDescent="0.2">
      <c r="D430" s="333"/>
    </row>
    <row r="431" spans="4:4" ht="15.75" customHeight="1" x14ac:dyDescent="0.2">
      <c r="D431" s="333"/>
    </row>
    <row r="432" spans="4:4" ht="15.75" customHeight="1" x14ac:dyDescent="0.2">
      <c r="D432" s="333"/>
    </row>
    <row r="433" spans="4:4" ht="15.75" customHeight="1" x14ac:dyDescent="0.2">
      <c r="D433" s="333"/>
    </row>
    <row r="434" spans="4:4" ht="15.75" customHeight="1" x14ac:dyDescent="0.2">
      <c r="D434" s="333"/>
    </row>
    <row r="435" spans="4:4" ht="15.75" customHeight="1" x14ac:dyDescent="0.2">
      <c r="D435" s="333"/>
    </row>
    <row r="436" spans="4:4" ht="15.75" customHeight="1" x14ac:dyDescent="0.2">
      <c r="D436" s="333"/>
    </row>
    <row r="437" spans="4:4" ht="15.75" customHeight="1" x14ac:dyDescent="0.2">
      <c r="D437" s="333"/>
    </row>
    <row r="438" spans="4:4" ht="15.75" customHeight="1" x14ac:dyDescent="0.2">
      <c r="D438" s="333"/>
    </row>
    <row r="439" spans="4:4" ht="15.75" customHeight="1" x14ac:dyDescent="0.2">
      <c r="D439" s="333"/>
    </row>
    <row r="440" spans="4:4" ht="15.75" customHeight="1" x14ac:dyDescent="0.2">
      <c r="D440" s="333"/>
    </row>
    <row r="441" spans="4:4" ht="15.75" customHeight="1" x14ac:dyDescent="0.2">
      <c r="D441" s="333"/>
    </row>
    <row r="442" spans="4:4" ht="15.75" customHeight="1" x14ac:dyDescent="0.2">
      <c r="D442" s="333"/>
    </row>
    <row r="443" spans="4:4" ht="15.75" customHeight="1" x14ac:dyDescent="0.2">
      <c r="D443" s="333"/>
    </row>
    <row r="444" spans="4:4" ht="15.75" customHeight="1" x14ac:dyDescent="0.2">
      <c r="D444" s="333"/>
    </row>
    <row r="445" spans="4:4" ht="15.75" customHeight="1" x14ac:dyDescent="0.2">
      <c r="D445" s="333"/>
    </row>
    <row r="446" spans="4:4" ht="15.75" customHeight="1" x14ac:dyDescent="0.2">
      <c r="D446" s="333"/>
    </row>
    <row r="447" spans="4:4" ht="15.75" customHeight="1" x14ac:dyDescent="0.2">
      <c r="D447" s="333"/>
    </row>
    <row r="448" spans="4:4" ht="15.75" customHeight="1" x14ac:dyDescent="0.2">
      <c r="D448" s="333"/>
    </row>
    <row r="449" spans="4:4" ht="15.75" customHeight="1" x14ac:dyDescent="0.2">
      <c r="D449" s="333"/>
    </row>
    <row r="450" spans="4:4" ht="15.75" customHeight="1" x14ac:dyDescent="0.2">
      <c r="D450" s="333"/>
    </row>
    <row r="451" spans="4:4" ht="15.75" customHeight="1" x14ac:dyDescent="0.2">
      <c r="D451" s="333"/>
    </row>
    <row r="452" spans="4:4" ht="15.75" customHeight="1" x14ac:dyDescent="0.2">
      <c r="D452" s="333"/>
    </row>
    <row r="453" spans="4:4" ht="15.75" customHeight="1" x14ac:dyDescent="0.2">
      <c r="D453" s="333"/>
    </row>
    <row r="454" spans="4:4" ht="15.75" customHeight="1" x14ac:dyDescent="0.2">
      <c r="D454" s="333"/>
    </row>
    <row r="455" spans="4:4" ht="15.75" customHeight="1" x14ac:dyDescent="0.2">
      <c r="D455" s="333"/>
    </row>
    <row r="456" spans="4:4" ht="15.75" customHeight="1" x14ac:dyDescent="0.2">
      <c r="D456" s="333"/>
    </row>
    <row r="457" spans="4:4" ht="15.75" customHeight="1" x14ac:dyDescent="0.2">
      <c r="D457" s="333"/>
    </row>
    <row r="458" spans="4:4" ht="15.75" customHeight="1" x14ac:dyDescent="0.2">
      <c r="D458" s="333"/>
    </row>
    <row r="459" spans="4:4" ht="15.75" customHeight="1" x14ac:dyDescent="0.2">
      <c r="D459" s="333"/>
    </row>
    <row r="460" spans="4:4" ht="15.75" customHeight="1" x14ac:dyDescent="0.2">
      <c r="D460" s="333"/>
    </row>
    <row r="461" spans="4:4" ht="15.75" customHeight="1" x14ac:dyDescent="0.2">
      <c r="D461" s="333"/>
    </row>
    <row r="462" spans="4:4" ht="15.75" customHeight="1" x14ac:dyDescent="0.2">
      <c r="D462" s="333"/>
    </row>
    <row r="463" spans="4:4" ht="15.75" customHeight="1" x14ac:dyDescent="0.2">
      <c r="D463" s="333"/>
    </row>
    <row r="464" spans="4:4" ht="15.75" customHeight="1" x14ac:dyDescent="0.2">
      <c r="D464" s="333"/>
    </row>
    <row r="465" spans="4:4" ht="15.75" customHeight="1" x14ac:dyDescent="0.2">
      <c r="D465" s="333"/>
    </row>
    <row r="466" spans="4:4" ht="15.75" customHeight="1" x14ac:dyDescent="0.2">
      <c r="D466" s="333"/>
    </row>
    <row r="467" spans="4:4" ht="15.75" customHeight="1" x14ac:dyDescent="0.2">
      <c r="D467" s="333"/>
    </row>
    <row r="468" spans="4:4" ht="15.75" customHeight="1" x14ac:dyDescent="0.2">
      <c r="D468" s="333"/>
    </row>
    <row r="469" spans="4:4" ht="15.75" customHeight="1" x14ac:dyDescent="0.2">
      <c r="D469" s="333"/>
    </row>
    <row r="470" spans="4:4" ht="15.75" customHeight="1" x14ac:dyDescent="0.2">
      <c r="D470" s="333"/>
    </row>
    <row r="471" spans="4:4" ht="15.75" customHeight="1" x14ac:dyDescent="0.2">
      <c r="D471" s="333"/>
    </row>
    <row r="472" spans="4:4" ht="15.75" customHeight="1" x14ac:dyDescent="0.2">
      <c r="D472" s="333"/>
    </row>
    <row r="473" spans="4:4" ht="15.75" customHeight="1" x14ac:dyDescent="0.2">
      <c r="D473" s="333"/>
    </row>
    <row r="474" spans="4:4" ht="15.75" customHeight="1" x14ac:dyDescent="0.2">
      <c r="D474" s="333"/>
    </row>
    <row r="475" spans="4:4" ht="15.75" customHeight="1" x14ac:dyDescent="0.2">
      <c r="D475" s="333"/>
    </row>
    <row r="476" spans="4:4" ht="15.75" customHeight="1" x14ac:dyDescent="0.2">
      <c r="D476" s="333"/>
    </row>
    <row r="477" spans="4:4" ht="15.75" customHeight="1" x14ac:dyDescent="0.2">
      <c r="D477" s="333"/>
    </row>
    <row r="478" spans="4:4" ht="15.75" customHeight="1" x14ac:dyDescent="0.2">
      <c r="D478" s="333"/>
    </row>
    <row r="479" spans="4:4" ht="15.75" customHeight="1" x14ac:dyDescent="0.2">
      <c r="D479" s="333"/>
    </row>
    <row r="480" spans="4:4" ht="15.75" customHeight="1" x14ac:dyDescent="0.2">
      <c r="D480" s="333"/>
    </row>
    <row r="481" spans="4:4" ht="15.75" customHeight="1" x14ac:dyDescent="0.2">
      <c r="D481" s="333"/>
    </row>
    <row r="482" spans="4:4" ht="15.75" customHeight="1" x14ac:dyDescent="0.2">
      <c r="D482" s="333"/>
    </row>
    <row r="483" spans="4:4" ht="15.75" customHeight="1" x14ac:dyDescent="0.2">
      <c r="D483" s="333"/>
    </row>
    <row r="484" spans="4:4" ht="15.75" customHeight="1" x14ac:dyDescent="0.2">
      <c r="D484" s="333"/>
    </row>
    <row r="485" spans="4:4" ht="15.75" customHeight="1" x14ac:dyDescent="0.2">
      <c r="D485" s="333"/>
    </row>
    <row r="486" spans="4:4" ht="15.75" customHeight="1" x14ac:dyDescent="0.2">
      <c r="D486" s="333"/>
    </row>
    <row r="487" spans="4:4" ht="15.75" customHeight="1" x14ac:dyDescent="0.2">
      <c r="D487" s="333"/>
    </row>
    <row r="488" spans="4:4" ht="15.75" customHeight="1" x14ac:dyDescent="0.2">
      <c r="D488" s="333"/>
    </row>
    <row r="489" spans="4:4" ht="15.75" customHeight="1" x14ac:dyDescent="0.2">
      <c r="D489" s="333"/>
    </row>
    <row r="490" spans="4:4" ht="15.75" customHeight="1" x14ac:dyDescent="0.2">
      <c r="D490" s="333"/>
    </row>
    <row r="491" spans="4:4" ht="15.75" customHeight="1" x14ac:dyDescent="0.2">
      <c r="D491" s="333"/>
    </row>
    <row r="492" spans="4:4" ht="15.75" customHeight="1" x14ac:dyDescent="0.2">
      <c r="D492" s="333"/>
    </row>
    <row r="493" spans="4:4" ht="15.75" customHeight="1" x14ac:dyDescent="0.2">
      <c r="D493" s="333"/>
    </row>
    <row r="494" spans="4:4" ht="15.75" customHeight="1" x14ac:dyDescent="0.2">
      <c r="D494" s="333"/>
    </row>
    <row r="495" spans="4:4" ht="15.75" customHeight="1" x14ac:dyDescent="0.2">
      <c r="D495" s="333"/>
    </row>
    <row r="496" spans="4:4" ht="15.75" customHeight="1" x14ac:dyDescent="0.2">
      <c r="D496" s="333"/>
    </row>
    <row r="497" spans="4:4" ht="15.75" customHeight="1" x14ac:dyDescent="0.2">
      <c r="D497" s="333"/>
    </row>
    <row r="498" spans="4:4" ht="15.75" customHeight="1" x14ac:dyDescent="0.2">
      <c r="D498" s="333"/>
    </row>
    <row r="499" spans="4:4" ht="15.75" customHeight="1" x14ac:dyDescent="0.2">
      <c r="D499" s="333"/>
    </row>
    <row r="500" spans="4:4" ht="15.75" customHeight="1" x14ac:dyDescent="0.2">
      <c r="D500" s="333"/>
    </row>
    <row r="501" spans="4:4" ht="15.75" customHeight="1" x14ac:dyDescent="0.2">
      <c r="D501" s="333"/>
    </row>
    <row r="502" spans="4:4" ht="15.75" customHeight="1" x14ac:dyDescent="0.2">
      <c r="D502" s="333"/>
    </row>
    <row r="503" spans="4:4" ht="15.75" customHeight="1" x14ac:dyDescent="0.2">
      <c r="D503" s="333"/>
    </row>
    <row r="504" spans="4:4" ht="15.75" customHeight="1" x14ac:dyDescent="0.2">
      <c r="D504" s="333"/>
    </row>
    <row r="505" spans="4:4" ht="15.75" customHeight="1" x14ac:dyDescent="0.2">
      <c r="D505" s="333"/>
    </row>
    <row r="506" spans="4:4" ht="15.75" customHeight="1" x14ac:dyDescent="0.2">
      <c r="D506" s="333"/>
    </row>
    <row r="507" spans="4:4" ht="15.75" customHeight="1" x14ac:dyDescent="0.2">
      <c r="D507" s="333"/>
    </row>
    <row r="508" spans="4:4" ht="15.75" customHeight="1" x14ac:dyDescent="0.2">
      <c r="D508" s="333"/>
    </row>
    <row r="509" spans="4:4" ht="15.75" customHeight="1" x14ac:dyDescent="0.2">
      <c r="D509" s="333"/>
    </row>
    <row r="510" spans="4:4" ht="15.75" customHeight="1" x14ac:dyDescent="0.2">
      <c r="D510" s="333"/>
    </row>
    <row r="511" spans="4:4" ht="15.75" customHeight="1" x14ac:dyDescent="0.2">
      <c r="D511" s="333"/>
    </row>
    <row r="512" spans="4:4" ht="15.75" customHeight="1" x14ac:dyDescent="0.2">
      <c r="D512" s="333"/>
    </row>
    <row r="513" spans="4:4" ht="15.75" customHeight="1" x14ac:dyDescent="0.2">
      <c r="D513" s="333"/>
    </row>
    <row r="514" spans="4:4" ht="15.75" customHeight="1" x14ac:dyDescent="0.2">
      <c r="D514" s="333"/>
    </row>
    <row r="515" spans="4:4" ht="15.75" customHeight="1" x14ac:dyDescent="0.2">
      <c r="D515" s="333"/>
    </row>
    <row r="516" spans="4:4" ht="15.75" customHeight="1" x14ac:dyDescent="0.2">
      <c r="D516" s="333"/>
    </row>
    <row r="517" spans="4:4" ht="15.75" customHeight="1" x14ac:dyDescent="0.2">
      <c r="D517" s="333"/>
    </row>
    <row r="518" spans="4:4" ht="15.75" customHeight="1" x14ac:dyDescent="0.2">
      <c r="D518" s="333"/>
    </row>
    <row r="519" spans="4:4" ht="15.75" customHeight="1" x14ac:dyDescent="0.2">
      <c r="D519" s="333"/>
    </row>
    <row r="520" spans="4:4" ht="15.75" customHeight="1" x14ac:dyDescent="0.2">
      <c r="D520" s="333"/>
    </row>
    <row r="521" spans="4:4" ht="15.75" customHeight="1" x14ac:dyDescent="0.2">
      <c r="D521" s="333"/>
    </row>
    <row r="522" spans="4:4" ht="15.75" customHeight="1" x14ac:dyDescent="0.2">
      <c r="D522" s="333"/>
    </row>
    <row r="523" spans="4:4" ht="15.75" customHeight="1" x14ac:dyDescent="0.2">
      <c r="D523" s="333"/>
    </row>
    <row r="524" spans="4:4" ht="15.75" customHeight="1" x14ac:dyDescent="0.2">
      <c r="D524" s="333"/>
    </row>
    <row r="525" spans="4:4" ht="15.75" customHeight="1" x14ac:dyDescent="0.2">
      <c r="D525" s="333"/>
    </row>
    <row r="526" spans="4:4" ht="15.75" customHeight="1" x14ac:dyDescent="0.2">
      <c r="D526" s="333"/>
    </row>
    <row r="527" spans="4:4" ht="15.75" customHeight="1" x14ac:dyDescent="0.2">
      <c r="D527" s="333"/>
    </row>
    <row r="528" spans="4:4" ht="15.75" customHeight="1" x14ac:dyDescent="0.2">
      <c r="D528" s="333"/>
    </row>
    <row r="529" spans="4:4" ht="15.75" customHeight="1" x14ac:dyDescent="0.2">
      <c r="D529" s="333"/>
    </row>
    <row r="530" spans="4:4" ht="15.75" customHeight="1" x14ac:dyDescent="0.2">
      <c r="D530" s="333"/>
    </row>
    <row r="531" spans="4:4" ht="15.75" customHeight="1" x14ac:dyDescent="0.2">
      <c r="D531" s="333"/>
    </row>
    <row r="532" spans="4:4" ht="15.75" customHeight="1" x14ac:dyDescent="0.2">
      <c r="D532" s="333"/>
    </row>
    <row r="533" spans="4:4" ht="15.75" customHeight="1" x14ac:dyDescent="0.2">
      <c r="D533" s="333"/>
    </row>
    <row r="534" spans="4:4" ht="15.75" customHeight="1" x14ac:dyDescent="0.2">
      <c r="D534" s="333"/>
    </row>
    <row r="535" spans="4:4" ht="15.75" customHeight="1" x14ac:dyDescent="0.2">
      <c r="D535" s="333"/>
    </row>
    <row r="536" spans="4:4" ht="15.75" customHeight="1" x14ac:dyDescent="0.2">
      <c r="D536" s="333"/>
    </row>
    <row r="537" spans="4:4" ht="15.75" customHeight="1" x14ac:dyDescent="0.2">
      <c r="D537" s="333"/>
    </row>
    <row r="538" spans="4:4" ht="15.75" customHeight="1" x14ac:dyDescent="0.2">
      <c r="D538" s="333"/>
    </row>
    <row r="539" spans="4:4" ht="15.75" customHeight="1" x14ac:dyDescent="0.2">
      <c r="D539" s="333"/>
    </row>
    <row r="540" spans="4:4" ht="15.75" customHeight="1" x14ac:dyDescent="0.2">
      <c r="D540" s="333"/>
    </row>
    <row r="541" spans="4:4" ht="15.75" customHeight="1" x14ac:dyDescent="0.2">
      <c r="D541" s="333"/>
    </row>
    <row r="542" spans="4:4" ht="15.75" customHeight="1" x14ac:dyDescent="0.2">
      <c r="D542" s="333"/>
    </row>
    <row r="543" spans="4:4" ht="15.75" customHeight="1" x14ac:dyDescent="0.2">
      <c r="D543" s="333"/>
    </row>
    <row r="544" spans="4:4" ht="15.75" customHeight="1" x14ac:dyDescent="0.2">
      <c r="D544" s="333"/>
    </row>
    <row r="545" spans="4:4" ht="15.75" customHeight="1" x14ac:dyDescent="0.2">
      <c r="D545" s="333"/>
    </row>
    <row r="546" spans="4:4" ht="15.75" customHeight="1" x14ac:dyDescent="0.2">
      <c r="D546" s="333"/>
    </row>
    <row r="547" spans="4:4" ht="15.75" customHeight="1" x14ac:dyDescent="0.2">
      <c r="D547" s="333"/>
    </row>
    <row r="548" spans="4:4" ht="15.75" customHeight="1" x14ac:dyDescent="0.2">
      <c r="D548" s="333"/>
    </row>
    <row r="549" spans="4:4" ht="15.75" customHeight="1" x14ac:dyDescent="0.2">
      <c r="D549" s="333"/>
    </row>
    <row r="550" spans="4:4" ht="15.75" customHeight="1" x14ac:dyDescent="0.2">
      <c r="D550" s="333"/>
    </row>
    <row r="551" spans="4:4" ht="15.75" customHeight="1" x14ac:dyDescent="0.2">
      <c r="D551" s="333"/>
    </row>
    <row r="552" spans="4:4" ht="15.75" customHeight="1" x14ac:dyDescent="0.2">
      <c r="D552" s="333"/>
    </row>
    <row r="553" spans="4:4" ht="15.75" customHeight="1" x14ac:dyDescent="0.2">
      <c r="D553" s="333"/>
    </row>
    <row r="554" spans="4:4" ht="15.75" customHeight="1" x14ac:dyDescent="0.2">
      <c r="D554" s="333"/>
    </row>
    <row r="555" spans="4:4" ht="15.75" customHeight="1" x14ac:dyDescent="0.2">
      <c r="D555" s="333"/>
    </row>
    <row r="556" spans="4:4" ht="15.75" customHeight="1" x14ac:dyDescent="0.2">
      <c r="D556" s="333"/>
    </row>
    <row r="557" spans="4:4" ht="15.75" customHeight="1" x14ac:dyDescent="0.2">
      <c r="D557" s="333"/>
    </row>
    <row r="558" spans="4:4" ht="15.75" customHeight="1" x14ac:dyDescent="0.2">
      <c r="D558" s="333"/>
    </row>
    <row r="559" spans="4:4" ht="15.75" customHeight="1" x14ac:dyDescent="0.2">
      <c r="D559" s="333"/>
    </row>
    <row r="560" spans="4:4" ht="15.75" customHeight="1" x14ac:dyDescent="0.2">
      <c r="D560" s="333"/>
    </row>
    <row r="561" spans="4:4" ht="15.75" customHeight="1" x14ac:dyDescent="0.2">
      <c r="D561" s="333"/>
    </row>
    <row r="562" spans="4:4" ht="15.75" customHeight="1" x14ac:dyDescent="0.2">
      <c r="D562" s="333"/>
    </row>
    <row r="563" spans="4:4" ht="15.75" customHeight="1" x14ac:dyDescent="0.2">
      <c r="D563" s="333"/>
    </row>
    <row r="564" spans="4:4" ht="15.75" customHeight="1" x14ac:dyDescent="0.2">
      <c r="D564" s="333"/>
    </row>
    <row r="565" spans="4:4" ht="15.75" customHeight="1" x14ac:dyDescent="0.2">
      <c r="D565" s="333"/>
    </row>
    <row r="566" spans="4:4" ht="15.75" customHeight="1" x14ac:dyDescent="0.2">
      <c r="D566" s="333"/>
    </row>
    <row r="567" spans="4:4" ht="15.75" customHeight="1" x14ac:dyDescent="0.2">
      <c r="D567" s="333"/>
    </row>
    <row r="568" spans="4:4" ht="15.75" customHeight="1" x14ac:dyDescent="0.2">
      <c r="D568" s="333"/>
    </row>
    <row r="569" spans="4:4" ht="15.75" customHeight="1" x14ac:dyDescent="0.2">
      <c r="D569" s="333"/>
    </row>
    <row r="570" spans="4:4" ht="15.75" customHeight="1" x14ac:dyDescent="0.2">
      <c r="D570" s="333"/>
    </row>
    <row r="571" spans="4:4" ht="15.75" customHeight="1" x14ac:dyDescent="0.2">
      <c r="D571" s="333"/>
    </row>
    <row r="572" spans="4:4" ht="15.75" customHeight="1" x14ac:dyDescent="0.2">
      <c r="D572" s="333"/>
    </row>
    <row r="573" spans="4:4" ht="15.75" customHeight="1" x14ac:dyDescent="0.2">
      <c r="D573" s="333"/>
    </row>
    <row r="574" spans="4:4" ht="15.75" customHeight="1" x14ac:dyDescent="0.2">
      <c r="D574" s="333"/>
    </row>
    <row r="575" spans="4:4" ht="15.75" customHeight="1" x14ac:dyDescent="0.2">
      <c r="D575" s="333"/>
    </row>
    <row r="576" spans="4:4" ht="15.75" customHeight="1" x14ac:dyDescent="0.2">
      <c r="D576" s="333"/>
    </row>
    <row r="577" spans="4:4" ht="15.75" customHeight="1" x14ac:dyDescent="0.2">
      <c r="D577" s="333"/>
    </row>
    <row r="578" spans="4:4" ht="15.75" customHeight="1" x14ac:dyDescent="0.2">
      <c r="D578" s="333"/>
    </row>
    <row r="579" spans="4:4" ht="15.75" customHeight="1" x14ac:dyDescent="0.2">
      <c r="D579" s="333"/>
    </row>
    <row r="580" spans="4:4" ht="15.75" customHeight="1" x14ac:dyDescent="0.2">
      <c r="D580" s="333"/>
    </row>
    <row r="581" spans="4:4" ht="15.75" customHeight="1" x14ac:dyDescent="0.2">
      <c r="D581" s="333"/>
    </row>
    <row r="582" spans="4:4" ht="15.75" customHeight="1" x14ac:dyDescent="0.2">
      <c r="D582" s="333"/>
    </row>
    <row r="583" spans="4:4" ht="15.75" customHeight="1" x14ac:dyDescent="0.2">
      <c r="D583" s="333"/>
    </row>
    <row r="584" spans="4:4" ht="15.75" customHeight="1" x14ac:dyDescent="0.2">
      <c r="D584" s="333"/>
    </row>
    <row r="585" spans="4:4" ht="15.75" customHeight="1" x14ac:dyDescent="0.2">
      <c r="D585" s="333"/>
    </row>
    <row r="586" spans="4:4" ht="15.75" customHeight="1" x14ac:dyDescent="0.2">
      <c r="D586" s="333"/>
    </row>
    <row r="587" spans="4:4" ht="15.75" customHeight="1" x14ac:dyDescent="0.2">
      <c r="D587" s="333"/>
    </row>
    <row r="588" spans="4:4" ht="15.75" customHeight="1" x14ac:dyDescent="0.2">
      <c r="D588" s="333"/>
    </row>
    <row r="589" spans="4:4" ht="15.75" customHeight="1" x14ac:dyDescent="0.2">
      <c r="D589" s="333"/>
    </row>
    <row r="590" spans="4:4" ht="15.75" customHeight="1" x14ac:dyDescent="0.2">
      <c r="D590" s="333"/>
    </row>
    <row r="591" spans="4:4" ht="15.75" customHeight="1" x14ac:dyDescent="0.2">
      <c r="D591" s="333"/>
    </row>
    <row r="592" spans="4:4" ht="15.75" customHeight="1" x14ac:dyDescent="0.2">
      <c r="D592" s="333"/>
    </row>
    <row r="593" spans="4:4" ht="15.75" customHeight="1" x14ac:dyDescent="0.2">
      <c r="D593" s="333"/>
    </row>
    <row r="594" spans="4:4" ht="15.75" customHeight="1" x14ac:dyDescent="0.2">
      <c r="D594" s="333"/>
    </row>
    <row r="595" spans="4:4" ht="15.75" customHeight="1" x14ac:dyDescent="0.2">
      <c r="D595" s="333"/>
    </row>
    <row r="596" spans="4:4" ht="15.75" customHeight="1" x14ac:dyDescent="0.2">
      <c r="D596" s="333"/>
    </row>
    <row r="597" spans="4:4" ht="15.75" customHeight="1" x14ac:dyDescent="0.2">
      <c r="D597" s="333"/>
    </row>
    <row r="598" spans="4:4" ht="15.75" customHeight="1" x14ac:dyDescent="0.2">
      <c r="D598" s="333"/>
    </row>
    <row r="599" spans="4:4" ht="15.75" customHeight="1" x14ac:dyDescent="0.2">
      <c r="D599" s="333"/>
    </row>
    <row r="600" spans="4:4" ht="15.75" customHeight="1" x14ac:dyDescent="0.2">
      <c r="D600" s="333"/>
    </row>
    <row r="601" spans="4:4" ht="15.75" customHeight="1" x14ac:dyDescent="0.2">
      <c r="D601" s="333"/>
    </row>
    <row r="602" spans="4:4" ht="15.75" customHeight="1" x14ac:dyDescent="0.2">
      <c r="D602" s="333"/>
    </row>
    <row r="603" spans="4:4" ht="15.75" customHeight="1" x14ac:dyDescent="0.2">
      <c r="D603" s="333"/>
    </row>
    <row r="604" spans="4:4" ht="15.75" customHeight="1" x14ac:dyDescent="0.2">
      <c r="D604" s="333"/>
    </row>
    <row r="605" spans="4:4" ht="15.75" customHeight="1" x14ac:dyDescent="0.2">
      <c r="D605" s="333"/>
    </row>
    <row r="606" spans="4:4" ht="15.75" customHeight="1" x14ac:dyDescent="0.2">
      <c r="D606" s="333"/>
    </row>
    <row r="607" spans="4:4" ht="15.75" customHeight="1" x14ac:dyDescent="0.2">
      <c r="D607" s="333"/>
    </row>
    <row r="608" spans="4:4" ht="15.75" customHeight="1" x14ac:dyDescent="0.2">
      <c r="D608" s="333"/>
    </row>
    <row r="609" spans="4:4" ht="15.75" customHeight="1" x14ac:dyDescent="0.2">
      <c r="D609" s="333"/>
    </row>
    <row r="610" spans="4:4" ht="15.75" customHeight="1" x14ac:dyDescent="0.2">
      <c r="D610" s="333"/>
    </row>
    <row r="611" spans="4:4" ht="15.75" customHeight="1" x14ac:dyDescent="0.2">
      <c r="D611" s="333"/>
    </row>
    <row r="612" spans="4:4" ht="15.75" customHeight="1" x14ac:dyDescent="0.2">
      <c r="D612" s="333"/>
    </row>
    <row r="613" spans="4:4" ht="15.75" customHeight="1" x14ac:dyDescent="0.2">
      <c r="D613" s="333"/>
    </row>
    <row r="614" spans="4:4" ht="15.75" customHeight="1" x14ac:dyDescent="0.2">
      <c r="D614" s="333"/>
    </row>
    <row r="615" spans="4:4" ht="15.75" customHeight="1" x14ac:dyDescent="0.2">
      <c r="D615" s="333"/>
    </row>
    <row r="616" spans="4:4" ht="15.75" customHeight="1" x14ac:dyDescent="0.2">
      <c r="D616" s="333"/>
    </row>
    <row r="617" spans="4:4" ht="15.75" customHeight="1" x14ac:dyDescent="0.2">
      <c r="D617" s="333"/>
    </row>
    <row r="618" spans="4:4" ht="15.75" customHeight="1" x14ac:dyDescent="0.2">
      <c r="D618" s="333"/>
    </row>
    <row r="619" spans="4:4" ht="15.75" customHeight="1" x14ac:dyDescent="0.2">
      <c r="D619" s="333"/>
    </row>
    <row r="620" spans="4:4" ht="15.75" customHeight="1" x14ac:dyDescent="0.2">
      <c r="D620" s="333"/>
    </row>
    <row r="621" spans="4:4" ht="15.75" customHeight="1" x14ac:dyDescent="0.2">
      <c r="D621" s="333"/>
    </row>
    <row r="622" spans="4:4" ht="15.75" customHeight="1" x14ac:dyDescent="0.2">
      <c r="D622" s="333"/>
    </row>
    <row r="623" spans="4:4" ht="15.75" customHeight="1" x14ac:dyDescent="0.2">
      <c r="D623" s="333"/>
    </row>
    <row r="624" spans="4:4" ht="15.75" customHeight="1" x14ac:dyDescent="0.2">
      <c r="D624" s="333"/>
    </row>
    <row r="625" spans="4:4" ht="15.75" customHeight="1" x14ac:dyDescent="0.2">
      <c r="D625" s="333"/>
    </row>
    <row r="626" spans="4:4" ht="15.75" customHeight="1" x14ac:dyDescent="0.2">
      <c r="D626" s="333"/>
    </row>
    <row r="627" spans="4:4" ht="15.75" customHeight="1" x14ac:dyDescent="0.2">
      <c r="D627" s="333"/>
    </row>
    <row r="628" spans="4:4" ht="15.75" customHeight="1" x14ac:dyDescent="0.2">
      <c r="D628" s="333"/>
    </row>
    <row r="629" spans="4:4" ht="15.75" customHeight="1" x14ac:dyDescent="0.2">
      <c r="D629" s="333"/>
    </row>
    <row r="630" spans="4:4" ht="15.75" customHeight="1" x14ac:dyDescent="0.2">
      <c r="D630" s="333"/>
    </row>
    <row r="631" spans="4:4" ht="15.75" customHeight="1" x14ac:dyDescent="0.2">
      <c r="D631" s="333"/>
    </row>
    <row r="632" spans="4:4" ht="15.75" customHeight="1" x14ac:dyDescent="0.2">
      <c r="D632" s="333"/>
    </row>
    <row r="633" spans="4:4" ht="15.75" customHeight="1" x14ac:dyDescent="0.2">
      <c r="D633" s="333"/>
    </row>
    <row r="634" spans="4:4" ht="15.75" customHeight="1" x14ac:dyDescent="0.2">
      <c r="D634" s="333"/>
    </row>
    <row r="635" spans="4:4" ht="15.75" customHeight="1" x14ac:dyDescent="0.2">
      <c r="D635" s="333"/>
    </row>
    <row r="636" spans="4:4" ht="15.75" customHeight="1" x14ac:dyDescent="0.2">
      <c r="D636" s="333"/>
    </row>
    <row r="637" spans="4:4" ht="15.75" customHeight="1" x14ac:dyDescent="0.2">
      <c r="D637" s="333"/>
    </row>
    <row r="638" spans="4:4" ht="15.75" customHeight="1" x14ac:dyDescent="0.2">
      <c r="D638" s="333"/>
    </row>
    <row r="639" spans="4:4" ht="15.75" customHeight="1" x14ac:dyDescent="0.2">
      <c r="D639" s="333"/>
    </row>
    <row r="640" spans="4:4" ht="15.75" customHeight="1" x14ac:dyDescent="0.2">
      <c r="D640" s="333"/>
    </row>
    <row r="641" spans="4:4" ht="15.75" customHeight="1" x14ac:dyDescent="0.2">
      <c r="D641" s="333"/>
    </row>
    <row r="642" spans="4:4" ht="15.75" customHeight="1" x14ac:dyDescent="0.2">
      <c r="D642" s="333"/>
    </row>
    <row r="643" spans="4:4" ht="15.75" customHeight="1" x14ac:dyDescent="0.2">
      <c r="D643" s="333"/>
    </row>
    <row r="644" spans="4:4" ht="15.75" customHeight="1" x14ac:dyDescent="0.2">
      <c r="D644" s="333"/>
    </row>
    <row r="645" spans="4:4" ht="15.75" customHeight="1" x14ac:dyDescent="0.2">
      <c r="D645" s="333"/>
    </row>
    <row r="646" spans="4:4" ht="15.75" customHeight="1" x14ac:dyDescent="0.2">
      <c r="D646" s="333"/>
    </row>
    <row r="647" spans="4:4" ht="15.75" customHeight="1" x14ac:dyDescent="0.2">
      <c r="D647" s="333"/>
    </row>
    <row r="648" spans="4:4" ht="15.75" customHeight="1" x14ac:dyDescent="0.2">
      <c r="D648" s="333"/>
    </row>
    <row r="649" spans="4:4" ht="15.75" customHeight="1" x14ac:dyDescent="0.2">
      <c r="D649" s="333"/>
    </row>
    <row r="650" spans="4:4" ht="15.75" customHeight="1" x14ac:dyDescent="0.2">
      <c r="D650" s="333"/>
    </row>
    <row r="651" spans="4:4" ht="15.75" customHeight="1" x14ac:dyDescent="0.2">
      <c r="D651" s="333"/>
    </row>
    <row r="652" spans="4:4" ht="15.75" customHeight="1" x14ac:dyDescent="0.2">
      <c r="D652" s="333"/>
    </row>
    <row r="653" spans="4:4" ht="15.75" customHeight="1" x14ac:dyDescent="0.2">
      <c r="D653" s="333"/>
    </row>
    <row r="654" spans="4:4" ht="15.75" customHeight="1" x14ac:dyDescent="0.2">
      <c r="D654" s="333"/>
    </row>
    <row r="655" spans="4:4" ht="15.75" customHeight="1" x14ac:dyDescent="0.2">
      <c r="D655" s="333"/>
    </row>
    <row r="656" spans="4:4" ht="15.75" customHeight="1" x14ac:dyDescent="0.2">
      <c r="D656" s="333"/>
    </row>
    <row r="657" spans="4:4" ht="15.75" customHeight="1" x14ac:dyDescent="0.2">
      <c r="D657" s="333"/>
    </row>
    <row r="658" spans="4:4" ht="15.75" customHeight="1" x14ac:dyDescent="0.2">
      <c r="D658" s="333"/>
    </row>
    <row r="659" spans="4:4" ht="15.75" customHeight="1" x14ac:dyDescent="0.2">
      <c r="D659" s="333"/>
    </row>
    <row r="660" spans="4:4" ht="15.75" customHeight="1" x14ac:dyDescent="0.2">
      <c r="D660" s="333"/>
    </row>
    <row r="661" spans="4:4" ht="15.75" customHeight="1" x14ac:dyDescent="0.2">
      <c r="D661" s="333"/>
    </row>
    <row r="662" spans="4:4" ht="15.75" customHeight="1" x14ac:dyDescent="0.2">
      <c r="D662" s="333"/>
    </row>
    <row r="663" spans="4:4" ht="15.75" customHeight="1" x14ac:dyDescent="0.2">
      <c r="D663" s="333"/>
    </row>
    <row r="664" spans="4:4" ht="15.75" customHeight="1" x14ac:dyDescent="0.2">
      <c r="D664" s="333"/>
    </row>
    <row r="665" spans="4:4" ht="15.75" customHeight="1" x14ac:dyDescent="0.2">
      <c r="D665" s="333"/>
    </row>
    <row r="666" spans="4:4" ht="15.75" customHeight="1" x14ac:dyDescent="0.2">
      <c r="D666" s="333"/>
    </row>
    <row r="667" spans="4:4" ht="15.75" customHeight="1" x14ac:dyDescent="0.2">
      <c r="D667" s="333"/>
    </row>
    <row r="668" spans="4:4" ht="15.75" customHeight="1" x14ac:dyDescent="0.2">
      <c r="D668" s="333"/>
    </row>
    <row r="669" spans="4:4" ht="15.75" customHeight="1" x14ac:dyDescent="0.2">
      <c r="D669" s="333"/>
    </row>
    <row r="670" spans="4:4" ht="15.75" customHeight="1" x14ac:dyDescent="0.2">
      <c r="D670" s="333"/>
    </row>
    <row r="671" spans="4:4" ht="15.75" customHeight="1" x14ac:dyDescent="0.2">
      <c r="D671" s="333"/>
    </row>
    <row r="672" spans="4:4" ht="15.75" customHeight="1" x14ac:dyDescent="0.2">
      <c r="D672" s="333"/>
    </row>
    <row r="673" spans="4:4" ht="15.75" customHeight="1" x14ac:dyDescent="0.2">
      <c r="D673" s="333"/>
    </row>
    <row r="674" spans="4:4" ht="15.75" customHeight="1" x14ac:dyDescent="0.2">
      <c r="D674" s="333"/>
    </row>
    <row r="675" spans="4:4" ht="15.75" customHeight="1" x14ac:dyDescent="0.2">
      <c r="D675" s="333"/>
    </row>
    <row r="676" spans="4:4" ht="15.75" customHeight="1" x14ac:dyDescent="0.2">
      <c r="D676" s="333"/>
    </row>
    <row r="677" spans="4:4" ht="15.75" customHeight="1" x14ac:dyDescent="0.2">
      <c r="D677" s="333"/>
    </row>
    <row r="678" spans="4:4" ht="15.75" customHeight="1" x14ac:dyDescent="0.2">
      <c r="D678" s="333"/>
    </row>
    <row r="679" spans="4:4" ht="15.75" customHeight="1" x14ac:dyDescent="0.2">
      <c r="D679" s="333"/>
    </row>
    <row r="680" spans="4:4" ht="15.75" customHeight="1" x14ac:dyDescent="0.2">
      <c r="D680" s="333"/>
    </row>
    <row r="681" spans="4:4" ht="15.75" customHeight="1" x14ac:dyDescent="0.2">
      <c r="D681" s="333"/>
    </row>
    <row r="682" spans="4:4" ht="15.75" customHeight="1" x14ac:dyDescent="0.2">
      <c r="D682" s="333"/>
    </row>
    <row r="683" spans="4:4" ht="15.75" customHeight="1" x14ac:dyDescent="0.2">
      <c r="D683" s="333"/>
    </row>
    <row r="684" spans="4:4" ht="15.75" customHeight="1" x14ac:dyDescent="0.2">
      <c r="D684" s="333"/>
    </row>
    <row r="685" spans="4:4" ht="15.75" customHeight="1" x14ac:dyDescent="0.2">
      <c r="D685" s="333"/>
    </row>
    <row r="686" spans="4:4" ht="15.75" customHeight="1" x14ac:dyDescent="0.2">
      <c r="D686" s="333"/>
    </row>
    <row r="687" spans="4:4" ht="15.75" customHeight="1" x14ac:dyDescent="0.2">
      <c r="D687" s="333"/>
    </row>
    <row r="688" spans="4:4" ht="15.75" customHeight="1" x14ac:dyDescent="0.2">
      <c r="D688" s="333"/>
    </row>
    <row r="689" spans="4:4" ht="15.75" customHeight="1" x14ac:dyDescent="0.2">
      <c r="D689" s="333"/>
    </row>
    <row r="690" spans="4:4" ht="15.75" customHeight="1" x14ac:dyDescent="0.2">
      <c r="D690" s="333"/>
    </row>
    <row r="691" spans="4:4" ht="15.75" customHeight="1" x14ac:dyDescent="0.2">
      <c r="D691" s="333"/>
    </row>
    <row r="692" spans="4:4" ht="15.75" customHeight="1" x14ac:dyDescent="0.2">
      <c r="D692" s="333"/>
    </row>
    <row r="693" spans="4:4" ht="15.75" customHeight="1" x14ac:dyDescent="0.2">
      <c r="D693" s="333"/>
    </row>
    <row r="694" spans="4:4" ht="15.75" customHeight="1" x14ac:dyDescent="0.2">
      <c r="D694" s="333"/>
    </row>
    <row r="695" spans="4:4" ht="15.75" customHeight="1" x14ac:dyDescent="0.2">
      <c r="D695" s="333"/>
    </row>
    <row r="696" spans="4:4" ht="15.75" customHeight="1" x14ac:dyDescent="0.2">
      <c r="D696" s="333"/>
    </row>
    <row r="697" spans="4:4" ht="15.75" customHeight="1" x14ac:dyDescent="0.2">
      <c r="D697" s="333"/>
    </row>
    <row r="698" spans="4:4" ht="15.75" customHeight="1" x14ac:dyDescent="0.2">
      <c r="D698" s="333"/>
    </row>
    <row r="699" spans="4:4" ht="15.75" customHeight="1" x14ac:dyDescent="0.2">
      <c r="D699" s="333"/>
    </row>
    <row r="700" spans="4:4" ht="15.75" customHeight="1" x14ac:dyDescent="0.2">
      <c r="D700" s="333"/>
    </row>
    <row r="701" spans="4:4" ht="15.75" customHeight="1" x14ac:dyDescent="0.2">
      <c r="D701" s="333"/>
    </row>
    <row r="702" spans="4:4" ht="15.75" customHeight="1" x14ac:dyDescent="0.2">
      <c r="D702" s="333"/>
    </row>
    <row r="703" spans="4:4" ht="15.75" customHeight="1" x14ac:dyDescent="0.2">
      <c r="D703" s="333"/>
    </row>
    <row r="704" spans="4:4" ht="15.75" customHeight="1" x14ac:dyDescent="0.2">
      <c r="D704" s="333"/>
    </row>
    <row r="705" spans="4:4" ht="15.75" customHeight="1" x14ac:dyDescent="0.2">
      <c r="D705" s="333"/>
    </row>
    <row r="706" spans="4:4" ht="15.75" customHeight="1" x14ac:dyDescent="0.2">
      <c r="D706" s="333"/>
    </row>
    <row r="707" spans="4:4" ht="15.75" customHeight="1" x14ac:dyDescent="0.2">
      <c r="D707" s="333"/>
    </row>
    <row r="708" spans="4:4" ht="15.75" customHeight="1" x14ac:dyDescent="0.2">
      <c r="D708" s="333"/>
    </row>
    <row r="709" spans="4:4" ht="15.75" customHeight="1" x14ac:dyDescent="0.2">
      <c r="D709" s="333"/>
    </row>
    <row r="710" spans="4:4" ht="15.75" customHeight="1" x14ac:dyDescent="0.2">
      <c r="D710" s="333"/>
    </row>
    <row r="711" spans="4:4" ht="15.75" customHeight="1" x14ac:dyDescent="0.2">
      <c r="D711" s="333"/>
    </row>
    <row r="712" spans="4:4" ht="15.75" customHeight="1" x14ac:dyDescent="0.2">
      <c r="D712" s="333"/>
    </row>
    <row r="713" spans="4:4" ht="15.75" customHeight="1" x14ac:dyDescent="0.2">
      <c r="D713" s="333"/>
    </row>
    <row r="714" spans="4:4" ht="15.75" customHeight="1" x14ac:dyDescent="0.2">
      <c r="D714" s="333"/>
    </row>
    <row r="715" spans="4:4" ht="15.75" customHeight="1" x14ac:dyDescent="0.2">
      <c r="D715" s="333"/>
    </row>
    <row r="716" spans="4:4" ht="15.75" customHeight="1" x14ac:dyDescent="0.2">
      <c r="D716" s="333"/>
    </row>
    <row r="717" spans="4:4" ht="15.75" customHeight="1" x14ac:dyDescent="0.2">
      <c r="D717" s="333"/>
    </row>
    <row r="718" spans="4:4" ht="15.75" customHeight="1" x14ac:dyDescent="0.2">
      <c r="D718" s="333"/>
    </row>
    <row r="719" spans="4:4" ht="15.75" customHeight="1" x14ac:dyDescent="0.2">
      <c r="D719" s="333"/>
    </row>
    <row r="720" spans="4:4" ht="15.75" customHeight="1" x14ac:dyDescent="0.2">
      <c r="D720" s="333"/>
    </row>
    <row r="721" spans="4:4" ht="15.75" customHeight="1" x14ac:dyDescent="0.2">
      <c r="D721" s="333"/>
    </row>
    <row r="722" spans="4:4" ht="15.75" customHeight="1" x14ac:dyDescent="0.2">
      <c r="D722" s="333"/>
    </row>
    <row r="723" spans="4:4" ht="15.75" customHeight="1" x14ac:dyDescent="0.2">
      <c r="D723" s="333"/>
    </row>
    <row r="724" spans="4:4" ht="15.75" customHeight="1" x14ac:dyDescent="0.2">
      <c r="D724" s="333"/>
    </row>
    <row r="725" spans="4:4" ht="15.75" customHeight="1" x14ac:dyDescent="0.2">
      <c r="D725" s="333"/>
    </row>
    <row r="726" spans="4:4" ht="15.75" customHeight="1" x14ac:dyDescent="0.2">
      <c r="D726" s="333"/>
    </row>
    <row r="727" spans="4:4" ht="15.75" customHeight="1" x14ac:dyDescent="0.2">
      <c r="D727" s="333"/>
    </row>
    <row r="728" spans="4:4" ht="15.75" customHeight="1" x14ac:dyDescent="0.2">
      <c r="D728" s="333"/>
    </row>
    <row r="729" spans="4:4" ht="15.75" customHeight="1" x14ac:dyDescent="0.2">
      <c r="D729" s="333"/>
    </row>
    <row r="730" spans="4:4" ht="15.75" customHeight="1" x14ac:dyDescent="0.2">
      <c r="D730" s="333"/>
    </row>
    <row r="731" spans="4:4" ht="15.75" customHeight="1" x14ac:dyDescent="0.2">
      <c r="D731" s="333"/>
    </row>
    <row r="732" spans="4:4" ht="15.75" customHeight="1" x14ac:dyDescent="0.2">
      <c r="D732" s="333"/>
    </row>
    <row r="733" spans="4:4" ht="15.75" customHeight="1" x14ac:dyDescent="0.2">
      <c r="D733" s="333"/>
    </row>
    <row r="734" spans="4:4" ht="15.75" customHeight="1" x14ac:dyDescent="0.2">
      <c r="D734" s="333"/>
    </row>
    <row r="735" spans="4:4" ht="15.75" customHeight="1" x14ac:dyDescent="0.2">
      <c r="D735" s="333"/>
    </row>
    <row r="736" spans="4:4" ht="15.75" customHeight="1" x14ac:dyDescent="0.2">
      <c r="D736" s="333"/>
    </row>
    <row r="737" spans="4:4" ht="15.75" customHeight="1" x14ac:dyDescent="0.2">
      <c r="D737" s="333"/>
    </row>
    <row r="738" spans="4:4" ht="15.75" customHeight="1" x14ac:dyDescent="0.2">
      <c r="D738" s="333"/>
    </row>
    <row r="739" spans="4:4" ht="15.75" customHeight="1" x14ac:dyDescent="0.2">
      <c r="D739" s="333"/>
    </row>
    <row r="740" spans="4:4" ht="15.75" customHeight="1" x14ac:dyDescent="0.2">
      <c r="D740" s="333"/>
    </row>
    <row r="741" spans="4:4" ht="15.75" customHeight="1" x14ac:dyDescent="0.2">
      <c r="D741" s="333"/>
    </row>
    <row r="742" spans="4:4" ht="15.75" customHeight="1" x14ac:dyDescent="0.2">
      <c r="D742" s="333"/>
    </row>
    <row r="743" spans="4:4" ht="15.75" customHeight="1" x14ac:dyDescent="0.2">
      <c r="D743" s="333"/>
    </row>
    <row r="744" spans="4:4" ht="15.75" customHeight="1" x14ac:dyDescent="0.2">
      <c r="D744" s="333"/>
    </row>
    <row r="745" spans="4:4" ht="15.75" customHeight="1" x14ac:dyDescent="0.2">
      <c r="D745" s="333"/>
    </row>
    <row r="746" spans="4:4" ht="15.75" customHeight="1" x14ac:dyDescent="0.2">
      <c r="D746" s="333"/>
    </row>
    <row r="747" spans="4:4" ht="15.75" customHeight="1" x14ac:dyDescent="0.2">
      <c r="D747" s="333"/>
    </row>
    <row r="748" spans="4:4" ht="15.75" customHeight="1" x14ac:dyDescent="0.2">
      <c r="D748" s="333"/>
    </row>
    <row r="749" spans="4:4" ht="15.75" customHeight="1" x14ac:dyDescent="0.2">
      <c r="D749" s="333"/>
    </row>
    <row r="750" spans="4:4" ht="15.75" customHeight="1" x14ac:dyDescent="0.2">
      <c r="D750" s="333"/>
    </row>
    <row r="751" spans="4:4" ht="15.75" customHeight="1" x14ac:dyDescent="0.2">
      <c r="D751" s="333"/>
    </row>
    <row r="752" spans="4:4" ht="15.75" customHeight="1" x14ac:dyDescent="0.2">
      <c r="D752" s="333"/>
    </row>
    <row r="753" spans="4:4" ht="15.75" customHeight="1" x14ac:dyDescent="0.2">
      <c r="D753" s="333"/>
    </row>
    <row r="754" spans="4:4" ht="15.75" customHeight="1" x14ac:dyDescent="0.2">
      <c r="D754" s="333"/>
    </row>
    <row r="755" spans="4:4" ht="15.75" customHeight="1" x14ac:dyDescent="0.2">
      <c r="D755" s="333"/>
    </row>
    <row r="756" spans="4:4" ht="15.75" customHeight="1" x14ac:dyDescent="0.2">
      <c r="D756" s="333"/>
    </row>
    <row r="757" spans="4:4" ht="15.75" customHeight="1" x14ac:dyDescent="0.2">
      <c r="D757" s="333"/>
    </row>
    <row r="758" spans="4:4" ht="15.75" customHeight="1" x14ac:dyDescent="0.2">
      <c r="D758" s="333"/>
    </row>
    <row r="759" spans="4:4" ht="15.75" customHeight="1" x14ac:dyDescent="0.2">
      <c r="D759" s="333"/>
    </row>
    <row r="760" spans="4:4" ht="15.75" customHeight="1" x14ac:dyDescent="0.2">
      <c r="D760" s="333"/>
    </row>
    <row r="761" spans="4:4" ht="15.75" customHeight="1" x14ac:dyDescent="0.2">
      <c r="D761" s="333"/>
    </row>
    <row r="762" spans="4:4" ht="15.75" customHeight="1" x14ac:dyDescent="0.2">
      <c r="D762" s="333"/>
    </row>
    <row r="763" spans="4:4" ht="15.75" customHeight="1" x14ac:dyDescent="0.2">
      <c r="D763" s="333"/>
    </row>
    <row r="764" spans="4:4" ht="15.75" customHeight="1" x14ac:dyDescent="0.2">
      <c r="D764" s="333"/>
    </row>
    <row r="765" spans="4:4" ht="15.75" customHeight="1" x14ac:dyDescent="0.2">
      <c r="D765" s="333"/>
    </row>
    <row r="766" spans="4:4" ht="15.75" customHeight="1" x14ac:dyDescent="0.2">
      <c r="D766" s="333"/>
    </row>
    <row r="767" spans="4:4" ht="15.75" customHeight="1" x14ac:dyDescent="0.2">
      <c r="D767" s="333"/>
    </row>
    <row r="768" spans="4:4" ht="15.75" customHeight="1" x14ac:dyDescent="0.2">
      <c r="D768" s="333"/>
    </row>
    <row r="769" spans="4:4" ht="15.75" customHeight="1" x14ac:dyDescent="0.2">
      <c r="D769" s="333"/>
    </row>
    <row r="770" spans="4:4" ht="15.75" customHeight="1" x14ac:dyDescent="0.2">
      <c r="D770" s="333"/>
    </row>
    <row r="771" spans="4:4" ht="15.75" customHeight="1" x14ac:dyDescent="0.2">
      <c r="D771" s="333"/>
    </row>
    <row r="772" spans="4:4" ht="15.75" customHeight="1" x14ac:dyDescent="0.2">
      <c r="D772" s="333"/>
    </row>
    <row r="773" spans="4:4" ht="15.75" customHeight="1" x14ac:dyDescent="0.2">
      <c r="D773" s="333"/>
    </row>
    <row r="774" spans="4:4" ht="15.75" customHeight="1" x14ac:dyDescent="0.2">
      <c r="D774" s="333"/>
    </row>
    <row r="775" spans="4:4" ht="15.75" customHeight="1" x14ac:dyDescent="0.2">
      <c r="D775" s="333"/>
    </row>
    <row r="776" spans="4:4" ht="15.75" customHeight="1" x14ac:dyDescent="0.2">
      <c r="D776" s="333"/>
    </row>
    <row r="777" spans="4:4" ht="15.75" customHeight="1" x14ac:dyDescent="0.2">
      <c r="D777" s="333"/>
    </row>
    <row r="778" spans="4:4" ht="15.75" customHeight="1" x14ac:dyDescent="0.2">
      <c r="D778" s="333"/>
    </row>
    <row r="779" spans="4:4" ht="15.75" customHeight="1" x14ac:dyDescent="0.2">
      <c r="D779" s="333"/>
    </row>
    <row r="780" spans="4:4" ht="15.75" customHeight="1" x14ac:dyDescent="0.2">
      <c r="D780" s="333"/>
    </row>
    <row r="781" spans="4:4" ht="15.75" customHeight="1" x14ac:dyDescent="0.2">
      <c r="D781" s="333"/>
    </row>
    <row r="782" spans="4:4" ht="15.75" customHeight="1" x14ac:dyDescent="0.2">
      <c r="D782" s="333"/>
    </row>
    <row r="783" spans="4:4" ht="15.75" customHeight="1" x14ac:dyDescent="0.2">
      <c r="D783" s="333"/>
    </row>
    <row r="784" spans="4:4" ht="15.75" customHeight="1" x14ac:dyDescent="0.2">
      <c r="D784" s="333"/>
    </row>
    <row r="785" spans="4:4" ht="15.75" customHeight="1" x14ac:dyDescent="0.2">
      <c r="D785" s="333"/>
    </row>
    <row r="786" spans="4:4" ht="15.75" customHeight="1" x14ac:dyDescent="0.2">
      <c r="D786" s="333"/>
    </row>
    <row r="787" spans="4:4" ht="15.75" customHeight="1" x14ac:dyDescent="0.2">
      <c r="D787" s="333"/>
    </row>
    <row r="788" spans="4:4" ht="15.75" customHeight="1" x14ac:dyDescent="0.2">
      <c r="D788" s="333"/>
    </row>
    <row r="789" spans="4:4" ht="15.75" customHeight="1" x14ac:dyDescent="0.2">
      <c r="D789" s="333"/>
    </row>
    <row r="790" spans="4:4" ht="15.75" customHeight="1" x14ac:dyDescent="0.2">
      <c r="D790" s="333"/>
    </row>
    <row r="791" spans="4:4" ht="15.75" customHeight="1" x14ac:dyDescent="0.2">
      <c r="D791" s="333"/>
    </row>
    <row r="792" spans="4:4" ht="15.75" customHeight="1" x14ac:dyDescent="0.2">
      <c r="D792" s="333"/>
    </row>
    <row r="793" spans="4:4" ht="15.75" customHeight="1" x14ac:dyDescent="0.2">
      <c r="D793" s="333"/>
    </row>
    <row r="794" spans="4:4" ht="15.75" customHeight="1" x14ac:dyDescent="0.2">
      <c r="D794" s="333"/>
    </row>
    <row r="795" spans="4:4" ht="15.75" customHeight="1" x14ac:dyDescent="0.2">
      <c r="D795" s="333"/>
    </row>
    <row r="796" spans="4:4" ht="15.75" customHeight="1" x14ac:dyDescent="0.2">
      <c r="D796" s="333"/>
    </row>
    <row r="797" spans="4:4" ht="15.75" customHeight="1" x14ac:dyDescent="0.2">
      <c r="D797" s="333"/>
    </row>
    <row r="798" spans="4:4" ht="15.75" customHeight="1" x14ac:dyDescent="0.2">
      <c r="D798" s="333"/>
    </row>
    <row r="799" spans="4:4" ht="15.75" customHeight="1" x14ac:dyDescent="0.2">
      <c r="D799" s="333"/>
    </row>
    <row r="800" spans="4:4" ht="15.75" customHeight="1" x14ac:dyDescent="0.2">
      <c r="D800" s="333"/>
    </row>
    <row r="801" spans="4:4" ht="15.75" customHeight="1" x14ac:dyDescent="0.2">
      <c r="D801" s="333"/>
    </row>
    <row r="802" spans="4:4" ht="15.75" customHeight="1" x14ac:dyDescent="0.2">
      <c r="D802" s="333"/>
    </row>
    <row r="803" spans="4:4" ht="15.75" customHeight="1" x14ac:dyDescent="0.2">
      <c r="D803" s="333"/>
    </row>
    <row r="804" spans="4:4" ht="15.75" customHeight="1" x14ac:dyDescent="0.2">
      <c r="D804" s="333"/>
    </row>
    <row r="805" spans="4:4" ht="15.75" customHeight="1" x14ac:dyDescent="0.2">
      <c r="D805" s="333"/>
    </row>
    <row r="806" spans="4:4" ht="15.75" customHeight="1" x14ac:dyDescent="0.2">
      <c r="D806" s="333"/>
    </row>
    <row r="807" spans="4:4" ht="15.75" customHeight="1" x14ac:dyDescent="0.2">
      <c r="D807" s="333"/>
    </row>
    <row r="808" spans="4:4" ht="15.75" customHeight="1" x14ac:dyDescent="0.2">
      <c r="D808" s="333"/>
    </row>
    <row r="809" spans="4:4" ht="15.75" customHeight="1" x14ac:dyDescent="0.2">
      <c r="D809" s="333"/>
    </row>
    <row r="810" spans="4:4" ht="15.75" customHeight="1" x14ac:dyDescent="0.2">
      <c r="D810" s="333"/>
    </row>
    <row r="811" spans="4:4" ht="15.75" customHeight="1" x14ac:dyDescent="0.2">
      <c r="D811" s="333"/>
    </row>
    <row r="812" spans="4:4" ht="15.75" customHeight="1" x14ac:dyDescent="0.2">
      <c r="D812" s="333"/>
    </row>
    <row r="813" spans="4:4" ht="15.75" customHeight="1" x14ac:dyDescent="0.2">
      <c r="D813" s="333"/>
    </row>
    <row r="814" spans="4:4" ht="15.75" customHeight="1" x14ac:dyDescent="0.2">
      <c r="D814" s="333"/>
    </row>
    <row r="815" spans="4:4" ht="15.75" customHeight="1" x14ac:dyDescent="0.2">
      <c r="D815" s="333"/>
    </row>
    <row r="816" spans="4:4" ht="15.75" customHeight="1" x14ac:dyDescent="0.2">
      <c r="D816" s="333"/>
    </row>
    <row r="817" spans="4:4" ht="15.75" customHeight="1" x14ac:dyDescent="0.2">
      <c r="D817" s="333"/>
    </row>
    <row r="818" spans="4:4" ht="15.75" customHeight="1" x14ac:dyDescent="0.2">
      <c r="D818" s="333"/>
    </row>
    <row r="819" spans="4:4" ht="15.75" customHeight="1" x14ac:dyDescent="0.2">
      <c r="D819" s="333"/>
    </row>
    <row r="820" spans="4:4" ht="15.75" customHeight="1" x14ac:dyDescent="0.2">
      <c r="D820" s="333"/>
    </row>
    <row r="821" spans="4:4" ht="15.75" customHeight="1" x14ac:dyDescent="0.2">
      <c r="D821" s="333"/>
    </row>
    <row r="822" spans="4:4" ht="15.75" customHeight="1" x14ac:dyDescent="0.2">
      <c r="D822" s="333"/>
    </row>
    <row r="823" spans="4:4" ht="15.75" customHeight="1" x14ac:dyDescent="0.2">
      <c r="D823" s="333"/>
    </row>
    <row r="824" spans="4:4" ht="15.75" customHeight="1" x14ac:dyDescent="0.2">
      <c r="D824" s="333"/>
    </row>
    <row r="825" spans="4:4" ht="15.75" customHeight="1" x14ac:dyDescent="0.2">
      <c r="D825" s="333"/>
    </row>
    <row r="826" spans="4:4" ht="15.75" customHeight="1" x14ac:dyDescent="0.2">
      <c r="D826" s="333"/>
    </row>
    <row r="827" spans="4:4" ht="15.75" customHeight="1" x14ac:dyDescent="0.2">
      <c r="D827" s="333"/>
    </row>
    <row r="828" spans="4:4" ht="15.75" customHeight="1" x14ac:dyDescent="0.2">
      <c r="D828" s="333"/>
    </row>
    <row r="829" spans="4:4" ht="15.75" customHeight="1" x14ac:dyDescent="0.2">
      <c r="D829" s="333"/>
    </row>
    <row r="830" spans="4:4" ht="15.75" customHeight="1" x14ac:dyDescent="0.2">
      <c r="D830" s="333"/>
    </row>
    <row r="831" spans="4:4" ht="15.75" customHeight="1" x14ac:dyDescent="0.2">
      <c r="D831" s="333"/>
    </row>
    <row r="832" spans="4:4" ht="15.75" customHeight="1" x14ac:dyDescent="0.2">
      <c r="D832" s="333"/>
    </row>
    <row r="833" spans="4:4" ht="15.75" customHeight="1" x14ac:dyDescent="0.2">
      <c r="D833" s="333"/>
    </row>
    <row r="834" spans="4:4" ht="15.75" customHeight="1" x14ac:dyDescent="0.2">
      <c r="D834" s="333"/>
    </row>
    <row r="835" spans="4:4" ht="15.75" customHeight="1" x14ac:dyDescent="0.2">
      <c r="D835" s="333"/>
    </row>
    <row r="836" spans="4:4" ht="15.75" customHeight="1" x14ac:dyDescent="0.2">
      <c r="D836" s="333"/>
    </row>
    <row r="837" spans="4:4" ht="15.75" customHeight="1" x14ac:dyDescent="0.2">
      <c r="D837" s="333"/>
    </row>
    <row r="838" spans="4:4" ht="15.75" customHeight="1" x14ac:dyDescent="0.2">
      <c r="D838" s="333"/>
    </row>
    <row r="839" spans="4:4" ht="15.75" customHeight="1" x14ac:dyDescent="0.2">
      <c r="D839" s="333"/>
    </row>
    <row r="840" spans="4:4" ht="15.75" customHeight="1" x14ac:dyDescent="0.2">
      <c r="D840" s="333"/>
    </row>
    <row r="841" spans="4:4" ht="15.75" customHeight="1" x14ac:dyDescent="0.2">
      <c r="D841" s="333"/>
    </row>
    <row r="842" spans="4:4" ht="15.75" customHeight="1" x14ac:dyDescent="0.2">
      <c r="D842" s="333"/>
    </row>
    <row r="843" spans="4:4" ht="15.75" customHeight="1" x14ac:dyDescent="0.2">
      <c r="D843" s="333"/>
    </row>
    <row r="844" spans="4:4" ht="15.75" customHeight="1" x14ac:dyDescent="0.2">
      <c r="D844" s="333"/>
    </row>
    <row r="845" spans="4:4" ht="15.75" customHeight="1" x14ac:dyDescent="0.2">
      <c r="D845" s="333"/>
    </row>
    <row r="846" spans="4:4" ht="15.75" customHeight="1" x14ac:dyDescent="0.2">
      <c r="D846" s="333"/>
    </row>
    <row r="847" spans="4:4" ht="15.75" customHeight="1" x14ac:dyDescent="0.2">
      <c r="D847" s="333"/>
    </row>
    <row r="848" spans="4:4" ht="15.75" customHeight="1" x14ac:dyDescent="0.2">
      <c r="D848" s="333"/>
    </row>
    <row r="849" spans="4:4" ht="15.75" customHeight="1" x14ac:dyDescent="0.2">
      <c r="D849" s="333"/>
    </row>
    <row r="850" spans="4:4" ht="15.75" customHeight="1" x14ac:dyDescent="0.2">
      <c r="D850" s="333"/>
    </row>
    <row r="851" spans="4:4" ht="15.75" customHeight="1" x14ac:dyDescent="0.2">
      <c r="D851" s="333"/>
    </row>
    <row r="852" spans="4:4" ht="15.75" customHeight="1" x14ac:dyDescent="0.2">
      <c r="D852" s="333"/>
    </row>
    <row r="853" spans="4:4" ht="15.75" customHeight="1" x14ac:dyDescent="0.2">
      <c r="D853" s="333"/>
    </row>
    <row r="854" spans="4:4" ht="15.75" customHeight="1" x14ac:dyDescent="0.2">
      <c r="D854" s="333"/>
    </row>
    <row r="855" spans="4:4" ht="15.75" customHeight="1" x14ac:dyDescent="0.2">
      <c r="D855" s="333"/>
    </row>
    <row r="856" spans="4:4" ht="15.75" customHeight="1" x14ac:dyDescent="0.2">
      <c r="D856" s="333"/>
    </row>
    <row r="857" spans="4:4" ht="15.75" customHeight="1" x14ac:dyDescent="0.2">
      <c r="D857" s="333"/>
    </row>
    <row r="858" spans="4:4" ht="15.75" customHeight="1" x14ac:dyDescent="0.2">
      <c r="D858" s="333"/>
    </row>
    <row r="859" spans="4:4" ht="15.75" customHeight="1" x14ac:dyDescent="0.2">
      <c r="D859" s="333"/>
    </row>
    <row r="860" spans="4:4" ht="15.75" customHeight="1" x14ac:dyDescent="0.2">
      <c r="D860" s="333"/>
    </row>
    <row r="861" spans="4:4" ht="15.75" customHeight="1" x14ac:dyDescent="0.2">
      <c r="D861" s="333"/>
    </row>
    <row r="862" spans="4:4" ht="15.75" customHeight="1" x14ac:dyDescent="0.2">
      <c r="D862" s="333"/>
    </row>
    <row r="863" spans="4:4" ht="15.75" customHeight="1" x14ac:dyDescent="0.2">
      <c r="D863" s="333"/>
    </row>
    <row r="864" spans="4:4" ht="15.75" customHeight="1" x14ac:dyDescent="0.2">
      <c r="D864" s="333"/>
    </row>
    <row r="865" spans="4:4" ht="15.75" customHeight="1" x14ac:dyDescent="0.2">
      <c r="D865" s="333"/>
    </row>
    <row r="866" spans="4:4" ht="15.75" customHeight="1" x14ac:dyDescent="0.2">
      <c r="D866" s="333"/>
    </row>
    <row r="867" spans="4:4" ht="15.75" customHeight="1" x14ac:dyDescent="0.2">
      <c r="D867" s="333"/>
    </row>
    <row r="868" spans="4:4" ht="15.75" customHeight="1" x14ac:dyDescent="0.2">
      <c r="D868" s="333"/>
    </row>
    <row r="869" spans="4:4" ht="15.75" customHeight="1" x14ac:dyDescent="0.2">
      <c r="D869" s="333"/>
    </row>
    <row r="870" spans="4:4" ht="15.75" customHeight="1" x14ac:dyDescent="0.2">
      <c r="D870" s="333"/>
    </row>
    <row r="871" spans="4:4" ht="15.75" customHeight="1" x14ac:dyDescent="0.2">
      <c r="D871" s="333"/>
    </row>
    <row r="872" spans="4:4" ht="15.75" customHeight="1" x14ac:dyDescent="0.2">
      <c r="D872" s="333"/>
    </row>
    <row r="873" spans="4:4" ht="15.75" customHeight="1" x14ac:dyDescent="0.2">
      <c r="D873" s="333"/>
    </row>
    <row r="874" spans="4:4" ht="15.75" customHeight="1" x14ac:dyDescent="0.2">
      <c r="D874" s="333"/>
    </row>
    <row r="875" spans="4:4" ht="15.75" customHeight="1" x14ac:dyDescent="0.2">
      <c r="D875" s="333"/>
    </row>
    <row r="876" spans="4:4" ht="15.75" customHeight="1" x14ac:dyDescent="0.2">
      <c r="D876" s="333"/>
    </row>
    <row r="877" spans="4:4" ht="15.75" customHeight="1" x14ac:dyDescent="0.2">
      <c r="D877" s="333"/>
    </row>
    <row r="878" spans="4:4" ht="15.75" customHeight="1" x14ac:dyDescent="0.2">
      <c r="D878" s="333"/>
    </row>
    <row r="879" spans="4:4" ht="15.75" customHeight="1" x14ac:dyDescent="0.2">
      <c r="D879" s="333"/>
    </row>
    <row r="880" spans="4:4" ht="15.75" customHeight="1" x14ac:dyDescent="0.2">
      <c r="D880" s="333"/>
    </row>
    <row r="881" spans="4:4" ht="15.75" customHeight="1" x14ac:dyDescent="0.2">
      <c r="D881" s="333"/>
    </row>
    <row r="882" spans="4:4" ht="15.75" customHeight="1" x14ac:dyDescent="0.2">
      <c r="D882" s="333"/>
    </row>
    <row r="883" spans="4:4" ht="15.75" customHeight="1" x14ac:dyDescent="0.2">
      <c r="D883" s="333"/>
    </row>
    <row r="884" spans="4:4" ht="15.75" customHeight="1" x14ac:dyDescent="0.2">
      <c r="D884" s="333"/>
    </row>
    <row r="885" spans="4:4" ht="15.75" customHeight="1" x14ac:dyDescent="0.2">
      <c r="D885" s="333"/>
    </row>
    <row r="886" spans="4:4" ht="15.75" customHeight="1" x14ac:dyDescent="0.2">
      <c r="D886" s="333"/>
    </row>
    <row r="887" spans="4:4" ht="15.75" customHeight="1" x14ac:dyDescent="0.2">
      <c r="D887" s="333"/>
    </row>
    <row r="888" spans="4:4" ht="15.75" customHeight="1" x14ac:dyDescent="0.2">
      <c r="D888" s="333"/>
    </row>
    <row r="889" spans="4:4" ht="15.75" customHeight="1" x14ac:dyDescent="0.2">
      <c r="D889" s="333"/>
    </row>
    <row r="890" spans="4:4" ht="15.75" customHeight="1" x14ac:dyDescent="0.2">
      <c r="D890" s="333"/>
    </row>
    <row r="891" spans="4:4" ht="15.75" customHeight="1" x14ac:dyDescent="0.2">
      <c r="D891" s="333"/>
    </row>
    <row r="892" spans="4:4" ht="15.75" customHeight="1" x14ac:dyDescent="0.2">
      <c r="D892" s="333"/>
    </row>
    <row r="893" spans="4:4" ht="15.75" customHeight="1" x14ac:dyDescent="0.2">
      <c r="D893" s="333"/>
    </row>
    <row r="894" spans="4:4" ht="15.75" customHeight="1" x14ac:dyDescent="0.2">
      <c r="D894" s="333"/>
    </row>
    <row r="895" spans="4:4" ht="15.75" customHeight="1" x14ac:dyDescent="0.2">
      <c r="D895" s="333"/>
    </row>
    <row r="896" spans="4:4" ht="15.75" customHeight="1" x14ac:dyDescent="0.2">
      <c r="D896" s="333"/>
    </row>
    <row r="897" spans="4:4" ht="15.75" customHeight="1" x14ac:dyDescent="0.2">
      <c r="D897" s="333"/>
    </row>
    <row r="898" spans="4:4" ht="15.75" customHeight="1" x14ac:dyDescent="0.2">
      <c r="D898" s="333"/>
    </row>
    <row r="899" spans="4:4" ht="15.75" customHeight="1" x14ac:dyDescent="0.2">
      <c r="D899" s="333"/>
    </row>
    <row r="900" spans="4:4" ht="15.75" customHeight="1" x14ac:dyDescent="0.2">
      <c r="D900" s="333"/>
    </row>
    <row r="901" spans="4:4" ht="15.75" customHeight="1" x14ac:dyDescent="0.2">
      <c r="D901" s="333"/>
    </row>
    <row r="902" spans="4:4" ht="15.75" customHeight="1" x14ac:dyDescent="0.2">
      <c r="D902" s="333"/>
    </row>
    <row r="903" spans="4:4" ht="15.75" customHeight="1" x14ac:dyDescent="0.2">
      <c r="D903" s="333"/>
    </row>
    <row r="904" spans="4:4" ht="15.75" customHeight="1" x14ac:dyDescent="0.2">
      <c r="D904" s="333"/>
    </row>
    <row r="905" spans="4:4" ht="15.75" customHeight="1" x14ac:dyDescent="0.2">
      <c r="D905" s="333"/>
    </row>
    <row r="906" spans="4:4" ht="15.75" customHeight="1" x14ac:dyDescent="0.2">
      <c r="D906" s="333"/>
    </row>
    <row r="907" spans="4:4" ht="15.75" customHeight="1" x14ac:dyDescent="0.2">
      <c r="D907" s="333"/>
    </row>
    <row r="908" spans="4:4" ht="15.75" customHeight="1" x14ac:dyDescent="0.2">
      <c r="D908" s="333"/>
    </row>
    <row r="909" spans="4:4" ht="15.75" customHeight="1" x14ac:dyDescent="0.2">
      <c r="D909" s="333"/>
    </row>
    <row r="910" spans="4:4" ht="15.75" customHeight="1" x14ac:dyDescent="0.2">
      <c r="D910" s="333"/>
    </row>
    <row r="911" spans="4:4" ht="15.75" customHeight="1" x14ac:dyDescent="0.2">
      <c r="D911" s="333"/>
    </row>
    <row r="912" spans="4:4" ht="15.75" customHeight="1" x14ac:dyDescent="0.2">
      <c r="D912" s="333"/>
    </row>
    <row r="913" spans="4:4" ht="15.75" customHeight="1" x14ac:dyDescent="0.2">
      <c r="D913" s="333"/>
    </row>
    <row r="914" spans="4:4" ht="15.75" customHeight="1" x14ac:dyDescent="0.2">
      <c r="D914" s="333"/>
    </row>
    <row r="915" spans="4:4" ht="15.75" customHeight="1" x14ac:dyDescent="0.2">
      <c r="D915" s="333"/>
    </row>
    <row r="916" spans="4:4" ht="15.75" customHeight="1" x14ac:dyDescent="0.2">
      <c r="D916" s="333"/>
    </row>
    <row r="917" spans="4:4" ht="15.75" customHeight="1" x14ac:dyDescent="0.2">
      <c r="D917" s="333"/>
    </row>
    <row r="918" spans="4:4" ht="15.75" customHeight="1" x14ac:dyDescent="0.2">
      <c r="D918" s="333"/>
    </row>
    <row r="919" spans="4:4" ht="15.75" customHeight="1" x14ac:dyDescent="0.2">
      <c r="D919" s="333"/>
    </row>
    <row r="920" spans="4:4" ht="15.75" customHeight="1" x14ac:dyDescent="0.2">
      <c r="D920" s="333"/>
    </row>
    <row r="921" spans="4:4" ht="15.75" customHeight="1" x14ac:dyDescent="0.2">
      <c r="D921" s="333"/>
    </row>
    <row r="922" spans="4:4" ht="15.75" customHeight="1" x14ac:dyDescent="0.2">
      <c r="D922" s="333"/>
    </row>
    <row r="923" spans="4:4" ht="15.75" customHeight="1" x14ac:dyDescent="0.2">
      <c r="D923" s="333"/>
    </row>
    <row r="924" spans="4:4" ht="15.75" customHeight="1" x14ac:dyDescent="0.2">
      <c r="D924" s="333"/>
    </row>
    <row r="925" spans="4:4" ht="15.75" customHeight="1" x14ac:dyDescent="0.2">
      <c r="D925" s="333"/>
    </row>
    <row r="926" spans="4:4" ht="15.75" customHeight="1" x14ac:dyDescent="0.2">
      <c r="D926" s="333"/>
    </row>
    <row r="927" spans="4:4" ht="15.75" customHeight="1" x14ac:dyDescent="0.2">
      <c r="D927" s="333"/>
    </row>
    <row r="928" spans="4:4" ht="15.75" customHeight="1" x14ac:dyDescent="0.2">
      <c r="D928" s="333"/>
    </row>
    <row r="929" spans="4:4" ht="15.75" customHeight="1" x14ac:dyDescent="0.2">
      <c r="D929" s="333"/>
    </row>
    <row r="930" spans="4:4" ht="15.75" customHeight="1" x14ac:dyDescent="0.2">
      <c r="D930" s="333"/>
    </row>
    <row r="931" spans="4:4" ht="15.75" customHeight="1" x14ac:dyDescent="0.2">
      <c r="D931" s="333"/>
    </row>
    <row r="932" spans="4:4" ht="15.75" customHeight="1" x14ac:dyDescent="0.2">
      <c r="D932" s="333"/>
    </row>
    <row r="933" spans="4:4" ht="15.75" customHeight="1" x14ac:dyDescent="0.2">
      <c r="D933" s="333"/>
    </row>
    <row r="934" spans="4:4" ht="15.75" customHeight="1" x14ac:dyDescent="0.2">
      <c r="D934" s="333"/>
    </row>
    <row r="935" spans="4:4" ht="15.75" customHeight="1" x14ac:dyDescent="0.2">
      <c r="D935" s="333"/>
    </row>
    <row r="936" spans="4:4" ht="15.75" customHeight="1" x14ac:dyDescent="0.2">
      <c r="D936" s="333"/>
    </row>
    <row r="937" spans="4:4" ht="15.75" customHeight="1" x14ac:dyDescent="0.2">
      <c r="D937" s="333"/>
    </row>
    <row r="938" spans="4:4" ht="15.75" customHeight="1" x14ac:dyDescent="0.2">
      <c r="D938" s="333"/>
    </row>
    <row r="939" spans="4:4" ht="15.75" customHeight="1" x14ac:dyDescent="0.2">
      <c r="D939" s="333"/>
    </row>
    <row r="940" spans="4:4" ht="15.75" customHeight="1" x14ac:dyDescent="0.2">
      <c r="D940" s="333"/>
    </row>
    <row r="941" spans="4:4" ht="15.75" customHeight="1" x14ac:dyDescent="0.2">
      <c r="D941" s="333"/>
    </row>
    <row r="942" spans="4:4" ht="15.75" customHeight="1" x14ac:dyDescent="0.2">
      <c r="D942" s="333"/>
    </row>
    <row r="943" spans="4:4" ht="15.75" customHeight="1" x14ac:dyDescent="0.2">
      <c r="D943" s="333"/>
    </row>
    <row r="944" spans="4:4" ht="15.75" customHeight="1" x14ac:dyDescent="0.2">
      <c r="D944" s="333"/>
    </row>
    <row r="945" spans="4:4" ht="15.75" customHeight="1" x14ac:dyDescent="0.2">
      <c r="D945" s="333"/>
    </row>
    <row r="946" spans="4:4" ht="15.75" customHeight="1" x14ac:dyDescent="0.2">
      <c r="D946" s="333"/>
    </row>
    <row r="947" spans="4:4" ht="15.75" customHeight="1" x14ac:dyDescent="0.2">
      <c r="D947" s="333"/>
    </row>
    <row r="948" spans="4:4" ht="15.75" customHeight="1" x14ac:dyDescent="0.2">
      <c r="D948" s="333"/>
    </row>
    <row r="949" spans="4:4" ht="15.75" customHeight="1" x14ac:dyDescent="0.2">
      <c r="D949" s="333"/>
    </row>
    <row r="950" spans="4:4" ht="15.75" customHeight="1" x14ac:dyDescent="0.2">
      <c r="D950" s="333"/>
    </row>
    <row r="951" spans="4:4" ht="15.75" customHeight="1" x14ac:dyDescent="0.2">
      <c r="D951" s="333"/>
    </row>
    <row r="952" spans="4:4" ht="15.75" customHeight="1" x14ac:dyDescent="0.2">
      <c r="D952" s="333"/>
    </row>
    <row r="953" spans="4:4" ht="15.75" customHeight="1" x14ac:dyDescent="0.2">
      <c r="D953" s="333"/>
    </row>
    <row r="954" spans="4:4" ht="15.75" customHeight="1" x14ac:dyDescent="0.2">
      <c r="D954" s="333"/>
    </row>
    <row r="955" spans="4:4" ht="15.75" customHeight="1" x14ac:dyDescent="0.2">
      <c r="D955" s="333"/>
    </row>
    <row r="956" spans="4:4" ht="15.75" customHeight="1" x14ac:dyDescent="0.2">
      <c r="D956" s="333"/>
    </row>
    <row r="957" spans="4:4" ht="15.75" customHeight="1" x14ac:dyDescent="0.2">
      <c r="D957" s="333"/>
    </row>
    <row r="958" spans="4:4" ht="15.75" customHeight="1" x14ac:dyDescent="0.2">
      <c r="D958" s="333"/>
    </row>
    <row r="959" spans="4:4" ht="15.75" customHeight="1" x14ac:dyDescent="0.2">
      <c r="D959" s="333"/>
    </row>
    <row r="960" spans="4:4" ht="15.75" customHeight="1" x14ac:dyDescent="0.2">
      <c r="D960" s="333"/>
    </row>
    <row r="961" spans="4:4" ht="15.75" customHeight="1" x14ac:dyDescent="0.2">
      <c r="D961" s="333"/>
    </row>
    <row r="962" spans="4:4" ht="15.75" customHeight="1" x14ac:dyDescent="0.2">
      <c r="D962" s="333"/>
    </row>
    <row r="963" spans="4:4" ht="15.75" customHeight="1" x14ac:dyDescent="0.2">
      <c r="D963" s="333"/>
    </row>
    <row r="964" spans="4:4" ht="15.75" customHeight="1" x14ac:dyDescent="0.2">
      <c r="D964" s="333"/>
    </row>
    <row r="965" spans="4:4" ht="15.75" customHeight="1" x14ac:dyDescent="0.2">
      <c r="D965" s="333"/>
    </row>
    <row r="966" spans="4:4" ht="15.75" customHeight="1" x14ac:dyDescent="0.2">
      <c r="D966" s="333"/>
    </row>
    <row r="967" spans="4:4" ht="15.75" customHeight="1" x14ac:dyDescent="0.2">
      <c r="D967" s="333"/>
    </row>
    <row r="968" spans="4:4" ht="15.75" customHeight="1" x14ac:dyDescent="0.2">
      <c r="D968" s="333"/>
    </row>
    <row r="969" spans="4:4" ht="15.75" customHeight="1" x14ac:dyDescent="0.2">
      <c r="D969" s="333"/>
    </row>
    <row r="970" spans="4:4" ht="15.75" customHeight="1" x14ac:dyDescent="0.2">
      <c r="D970" s="333"/>
    </row>
    <row r="971" spans="4:4" ht="15.75" customHeight="1" x14ac:dyDescent="0.2">
      <c r="D971" s="333"/>
    </row>
    <row r="972" spans="4:4" ht="15.75" customHeight="1" x14ac:dyDescent="0.2">
      <c r="D972" s="333"/>
    </row>
    <row r="973" spans="4:4" ht="15.75" customHeight="1" x14ac:dyDescent="0.2">
      <c r="D973" s="333"/>
    </row>
    <row r="974" spans="4:4" ht="15.75" customHeight="1" x14ac:dyDescent="0.2">
      <c r="D974" s="333"/>
    </row>
    <row r="975" spans="4:4" ht="15.75" customHeight="1" x14ac:dyDescent="0.2">
      <c r="D975" s="333"/>
    </row>
    <row r="976" spans="4:4" ht="15.75" customHeight="1" x14ac:dyDescent="0.2">
      <c r="D976" s="333"/>
    </row>
    <row r="977" spans="4:4" ht="15.75" customHeight="1" x14ac:dyDescent="0.2">
      <c r="D977" s="333"/>
    </row>
    <row r="978" spans="4:4" ht="15.75" customHeight="1" x14ac:dyDescent="0.2">
      <c r="D978" s="333"/>
    </row>
    <row r="979" spans="4:4" ht="15.75" customHeight="1" x14ac:dyDescent="0.2">
      <c r="D979" s="333"/>
    </row>
    <row r="980" spans="4:4" ht="15.75" customHeight="1" x14ac:dyDescent="0.2">
      <c r="D980" s="333"/>
    </row>
    <row r="981" spans="4:4" ht="15.75" customHeight="1" x14ac:dyDescent="0.2">
      <c r="D981" s="333"/>
    </row>
    <row r="982" spans="4:4" ht="15.75" customHeight="1" x14ac:dyDescent="0.2">
      <c r="D982" s="333"/>
    </row>
    <row r="983" spans="4:4" ht="15.75" customHeight="1" x14ac:dyDescent="0.2">
      <c r="D983" s="333"/>
    </row>
    <row r="984" spans="4:4" ht="15.75" customHeight="1" x14ac:dyDescent="0.2">
      <c r="D984" s="333"/>
    </row>
    <row r="985" spans="4:4" ht="15.75" customHeight="1" x14ac:dyDescent="0.2">
      <c r="D985" s="333"/>
    </row>
    <row r="986" spans="4:4" ht="15.75" customHeight="1" x14ac:dyDescent="0.2">
      <c r="D986" s="333"/>
    </row>
    <row r="987" spans="4:4" ht="15.75" customHeight="1" x14ac:dyDescent="0.2">
      <c r="D987" s="333"/>
    </row>
    <row r="988" spans="4:4" ht="15.75" customHeight="1" x14ac:dyDescent="0.2">
      <c r="D988" s="333"/>
    </row>
    <row r="989" spans="4:4" ht="15.75" customHeight="1" x14ac:dyDescent="0.2">
      <c r="D989" s="333"/>
    </row>
    <row r="990" spans="4:4" ht="15.75" customHeight="1" x14ac:dyDescent="0.2">
      <c r="D990" s="333"/>
    </row>
    <row r="991" spans="4:4" ht="15.75" customHeight="1" x14ac:dyDescent="0.2">
      <c r="D991" s="333"/>
    </row>
    <row r="992" spans="4:4" ht="15.75" customHeight="1" x14ac:dyDescent="0.2">
      <c r="D992" s="333"/>
    </row>
    <row r="993" spans="4:4" ht="15.75" customHeight="1" x14ac:dyDescent="0.2">
      <c r="D993" s="333"/>
    </row>
    <row r="994" spans="4:4" ht="15.75" customHeight="1" x14ac:dyDescent="0.2">
      <c r="D994" s="333"/>
    </row>
    <row r="995" spans="4:4" ht="15.75" customHeight="1" x14ac:dyDescent="0.2">
      <c r="D995" s="333"/>
    </row>
    <row r="996" spans="4:4" ht="15.75" customHeight="1" x14ac:dyDescent="0.2">
      <c r="D996" s="333"/>
    </row>
    <row r="997" spans="4:4" ht="15.75" customHeight="1" x14ac:dyDescent="0.2">
      <c r="D997" s="333"/>
    </row>
    <row r="998" spans="4:4" ht="15.75" customHeight="1" x14ac:dyDescent="0.2">
      <c r="D998" s="333"/>
    </row>
    <row r="999" spans="4:4" ht="15.75" customHeight="1" x14ac:dyDescent="0.2">
      <c r="D999" s="333"/>
    </row>
    <row r="1000" spans="4:4" ht="15.75" customHeight="1" x14ac:dyDescent="0.2">
      <c r="D1000" s="333"/>
    </row>
  </sheetData>
  <mergeCells count="11">
    <mergeCell ref="A6:C6"/>
    <mergeCell ref="D6:N6"/>
    <mergeCell ref="A7:C7"/>
    <mergeCell ref="D7:I7"/>
    <mergeCell ref="J7:N7"/>
    <mergeCell ref="A1:C4"/>
    <mergeCell ref="D1:M4"/>
    <mergeCell ref="N1:N2"/>
    <mergeCell ref="N3:N4"/>
    <mergeCell ref="A5:C5"/>
    <mergeCell ref="D5:N5"/>
  </mergeCells>
  <dataValidations count="1">
    <dataValidation type="list" allowBlank="1" showErrorMessage="1" sqref="J9:M13" xr:uid="{00000000-0002-0000-3600-000000000000}">
      <formula1>"SI,NO"</formula1>
    </dataValidation>
  </dataValidations>
  <pageMargins left="0.11811023622047245" right="0.11811023622047245" top="1.1417322834645669" bottom="0.19685039370078741" header="0" footer="0"/>
  <pageSetup scale="79" orientation="landscape" r:id="rId1"/>
  <headerFooter>
    <oddHeader>&amp;C Matriz de Riesgos</oddHead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ErrorMessage="1" xr:uid="{00000000-0002-0000-3600-000001000000}">
          <x14:formula1>
            <xm:f>'C:\Users\sgomez.UPME\Documents\UPME 2020\Documents\Mapas de riesgos\[Mapa de riesgos. Atencion ciudadano.xlsx]Datos'!#REF!</xm:f>
          </x14:formula1>
          <xm:sqref>G9:G13 A9:C13</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Z1000"/>
  <sheetViews>
    <sheetView showGridLines="0" workbookViewId="0">
      <selection sqref="A1:C4"/>
    </sheetView>
  </sheetViews>
  <sheetFormatPr baseColWidth="10" defaultColWidth="12.625" defaultRowHeight="15" customHeight="1" x14ac:dyDescent="0.2"/>
  <cols>
    <col min="1" max="1" width="4.75" style="228" customWidth="1"/>
    <col min="2" max="2" width="18.125" style="228" customWidth="1"/>
    <col min="3" max="3" width="56.25" style="228" customWidth="1"/>
    <col min="4" max="4" width="26.25" style="228" customWidth="1"/>
    <col min="5" max="5" width="10.625" style="228" customWidth="1"/>
    <col min="6" max="6" width="17.25" style="228" customWidth="1"/>
    <col min="7" max="7" width="12.875" style="228" customWidth="1"/>
    <col min="8" max="8" width="5.375" style="228" customWidth="1"/>
    <col min="9" max="9" width="14" style="228" customWidth="1"/>
    <col min="10" max="10" width="12.75" style="228" customWidth="1"/>
    <col min="11" max="11" width="22.875" style="228" customWidth="1"/>
    <col min="12" max="12" width="41" style="228" customWidth="1"/>
    <col min="13" max="13" width="13.75" style="228" customWidth="1"/>
    <col min="14" max="14" width="15" style="228" customWidth="1"/>
    <col min="15" max="15" width="19.25" style="228" customWidth="1"/>
    <col min="16" max="16" width="18.875" style="228" customWidth="1"/>
    <col min="17" max="17" width="12" style="228" hidden="1" customWidth="1"/>
    <col min="18" max="18" width="12.625" style="228" hidden="1" customWidth="1"/>
    <col min="19" max="20" width="13.625" style="228" hidden="1" customWidth="1"/>
    <col min="21" max="21" width="17.5" style="228" customWidth="1"/>
    <col min="22" max="22" width="12.125" style="228" customWidth="1"/>
    <col min="23" max="23" width="13.875" style="228" customWidth="1"/>
    <col min="24" max="24" width="35.75" style="228" customWidth="1"/>
    <col min="25" max="26" width="9.375" style="228" customWidth="1"/>
    <col min="27" max="16384" width="12.625" style="228"/>
  </cols>
  <sheetData>
    <row r="1" spans="1:26" ht="15" customHeight="1" x14ac:dyDescent="0.2">
      <c r="A1" s="1354"/>
      <c r="B1" s="1355"/>
      <c r="C1" s="1356"/>
      <c r="D1" s="1359" t="s">
        <v>55</v>
      </c>
      <c r="E1" s="1355"/>
      <c r="F1" s="1355"/>
      <c r="G1" s="1355"/>
      <c r="H1" s="1355"/>
      <c r="I1" s="1355"/>
      <c r="J1" s="1355"/>
      <c r="K1" s="1355"/>
      <c r="L1" s="1355"/>
      <c r="M1" s="1355"/>
      <c r="N1" s="1355"/>
      <c r="O1" s="1355"/>
      <c r="P1" s="1355"/>
      <c r="Q1" s="1355"/>
      <c r="R1" s="1355"/>
      <c r="S1" s="1355"/>
      <c r="T1" s="1355"/>
      <c r="U1" s="1355"/>
      <c r="V1" s="1355"/>
      <c r="W1" s="1356"/>
      <c r="X1" s="1360" t="s">
        <v>35</v>
      </c>
    </row>
    <row r="2" spans="1:26" ht="15" customHeight="1" x14ac:dyDescent="0.2">
      <c r="A2" s="1357"/>
      <c r="B2" s="1203"/>
      <c r="C2" s="1340"/>
      <c r="D2" s="1357"/>
      <c r="E2" s="1203"/>
      <c r="F2" s="1203"/>
      <c r="G2" s="1203"/>
      <c r="H2" s="1203"/>
      <c r="I2" s="1203"/>
      <c r="J2" s="1203"/>
      <c r="K2" s="1203"/>
      <c r="L2" s="1203"/>
      <c r="M2" s="1203"/>
      <c r="N2" s="1203"/>
      <c r="O2" s="1203"/>
      <c r="P2" s="1203"/>
      <c r="Q2" s="1203"/>
      <c r="R2" s="1203"/>
      <c r="S2" s="1203"/>
      <c r="T2" s="1203"/>
      <c r="U2" s="1203"/>
      <c r="V2" s="1203"/>
      <c r="W2" s="1340"/>
      <c r="X2" s="1343"/>
    </row>
    <row r="3" spans="1:26" ht="15" customHeight="1" x14ac:dyDescent="0.2">
      <c r="A3" s="1357"/>
      <c r="B3" s="1203"/>
      <c r="C3" s="1340"/>
      <c r="D3" s="1357"/>
      <c r="E3" s="1203"/>
      <c r="F3" s="1203"/>
      <c r="G3" s="1203"/>
      <c r="H3" s="1203"/>
      <c r="I3" s="1203"/>
      <c r="J3" s="1203"/>
      <c r="K3" s="1203"/>
      <c r="L3" s="1203"/>
      <c r="M3" s="1203"/>
      <c r="N3" s="1203"/>
      <c r="O3" s="1203"/>
      <c r="P3" s="1203"/>
      <c r="Q3" s="1203"/>
      <c r="R3" s="1203"/>
      <c r="S3" s="1203"/>
      <c r="T3" s="1203"/>
      <c r="U3" s="1203"/>
      <c r="V3" s="1203"/>
      <c r="W3" s="1340"/>
      <c r="X3" s="1360" t="s">
        <v>56</v>
      </c>
    </row>
    <row r="4" spans="1:26" ht="15.75" customHeight="1" x14ac:dyDescent="0.2">
      <c r="A4" s="1358"/>
      <c r="B4" s="1338"/>
      <c r="C4" s="1341"/>
      <c r="D4" s="1358"/>
      <c r="E4" s="1338"/>
      <c r="F4" s="1338"/>
      <c r="G4" s="1338"/>
      <c r="H4" s="1338"/>
      <c r="I4" s="1338"/>
      <c r="J4" s="1338"/>
      <c r="K4" s="1338"/>
      <c r="L4" s="1338"/>
      <c r="M4" s="1338"/>
      <c r="N4" s="1338"/>
      <c r="O4" s="1338"/>
      <c r="P4" s="1338"/>
      <c r="Q4" s="1338"/>
      <c r="R4" s="1338"/>
      <c r="S4" s="1338"/>
      <c r="T4" s="1338"/>
      <c r="U4" s="1338"/>
      <c r="V4" s="1338"/>
      <c r="W4" s="1341"/>
      <c r="X4" s="1343"/>
    </row>
    <row r="5" spans="1:26" ht="18.75" customHeight="1" x14ac:dyDescent="0.25">
      <c r="A5" s="1361" t="s">
        <v>57</v>
      </c>
      <c r="B5" s="1345"/>
      <c r="C5" s="1345"/>
      <c r="D5" s="1345"/>
      <c r="E5" s="1345"/>
      <c r="F5" s="1345"/>
      <c r="G5" s="1345"/>
      <c r="H5" s="1345"/>
      <c r="I5" s="1346"/>
      <c r="J5" s="324"/>
      <c r="K5" s="1348" t="s">
        <v>58</v>
      </c>
      <c r="L5" s="1345"/>
      <c r="M5" s="1345"/>
      <c r="N5" s="1345"/>
      <c r="O5" s="1345"/>
      <c r="P5" s="1346"/>
      <c r="Q5" s="1348" t="s">
        <v>59</v>
      </c>
      <c r="R5" s="1345"/>
      <c r="S5" s="1345"/>
      <c r="T5" s="1345"/>
      <c r="U5" s="1345"/>
      <c r="V5" s="1345"/>
      <c r="W5" s="1345"/>
      <c r="X5" s="1346"/>
    </row>
    <row r="6" spans="1:26" ht="51" x14ac:dyDescent="0.2">
      <c r="A6" s="335" t="s">
        <v>44</v>
      </c>
      <c r="B6" s="335" t="s">
        <v>64</v>
      </c>
      <c r="C6" s="335" t="s">
        <v>65</v>
      </c>
      <c r="D6" s="336" t="s">
        <v>66</v>
      </c>
      <c r="E6" s="335" t="s">
        <v>67</v>
      </c>
      <c r="F6" s="335" t="s">
        <v>68</v>
      </c>
      <c r="G6" s="336" t="s">
        <v>69</v>
      </c>
      <c r="H6" s="336" t="s">
        <v>70</v>
      </c>
      <c r="I6" s="335" t="s">
        <v>71</v>
      </c>
      <c r="J6" s="335" t="s">
        <v>72</v>
      </c>
      <c r="K6" s="335" t="s">
        <v>73</v>
      </c>
      <c r="L6" s="335" t="s">
        <v>74</v>
      </c>
      <c r="M6" s="337" t="s">
        <v>75</v>
      </c>
      <c r="N6" s="335" t="s">
        <v>76</v>
      </c>
      <c r="O6" s="335" t="s">
        <v>77</v>
      </c>
      <c r="P6" s="335" t="s">
        <v>78</v>
      </c>
      <c r="Q6" s="335" t="s">
        <v>79</v>
      </c>
      <c r="R6" s="335" t="s">
        <v>80</v>
      </c>
      <c r="S6" s="335" t="s">
        <v>67</v>
      </c>
      <c r="T6" s="335" t="s">
        <v>70</v>
      </c>
      <c r="U6" s="335" t="s">
        <v>81</v>
      </c>
      <c r="V6" s="335" t="s">
        <v>82</v>
      </c>
      <c r="W6" s="335" t="s">
        <v>83</v>
      </c>
      <c r="X6" s="335" t="s">
        <v>84</v>
      </c>
      <c r="Y6" s="380"/>
      <c r="Z6" s="380"/>
    </row>
    <row r="7" spans="1:26" ht="295.5" customHeight="1" x14ac:dyDescent="0.2">
      <c r="A7" s="451" t="e">
        <f>#REF!</f>
        <v>#REF!</v>
      </c>
      <c r="B7" s="452" t="e">
        <f>#REF!</f>
        <v>#REF!</v>
      </c>
      <c r="C7" s="452" t="e">
        <f>#REF!</f>
        <v>#REF!</v>
      </c>
      <c r="D7" s="277" t="s">
        <v>223</v>
      </c>
      <c r="E7" s="451">
        <f>IF(D7="Selecciona un descriptor de frecuencia."," ",IF(D7="","",VLOOKUP(D7,[8]Datos!$G$8:$J$12,2,FALSE)))</f>
        <v>2</v>
      </c>
      <c r="F7" s="451" t="str">
        <f>IF(D7="Selecciona un descriptor de frecuencia."," ",IF(D7="","",VLOOKUP(D7,[8]Datos!$G$8:$J$12,3,FALSE)))</f>
        <v>Improbable</v>
      </c>
      <c r="G7" s="277" t="s">
        <v>204</v>
      </c>
      <c r="H7" s="451">
        <f>IF(G7="Selecciona un descriptor de impacto."," ",IF(G7="","",VLOOKUP(G7,[8]Datos!$K$8:$L$12,2,FALSE)))</f>
        <v>3</v>
      </c>
      <c r="I7" s="453" t="str">
        <f>IF(D7="Selecciona un descriptor de frecuencia."," ",IF(G7="Selecciona un descriptor de impacto."," ",IF(E7+H7=" ","",IF(E7="","",VLOOKUP(E7,[8]Datos!$U$8:$Z$12,MATCH(H7,[8]Datos!$V$7:$Z$7,0)+1,FALSE)))))</f>
        <v>MODERADO</v>
      </c>
      <c r="J7" s="276" t="s">
        <v>122</v>
      </c>
      <c r="K7" s="343" t="s">
        <v>822</v>
      </c>
      <c r="L7" s="343" t="s">
        <v>823</v>
      </c>
      <c r="M7" s="278">
        <f>[8]Controles!T9</f>
        <v>100</v>
      </c>
      <c r="N7" s="278" t="str">
        <f>[8]Controles!AB9</f>
        <v>No</v>
      </c>
      <c r="O7" s="344">
        <f>[8]Controles!W9</f>
        <v>1</v>
      </c>
      <c r="P7" s="344">
        <f>[8]Controles!X9</f>
        <v>1</v>
      </c>
      <c r="Q7" s="344">
        <f t="shared" ref="Q7:R11" si="0">SUM(O7)</f>
        <v>1</v>
      </c>
      <c r="R7" s="344">
        <f t="shared" si="0"/>
        <v>1</v>
      </c>
      <c r="S7" s="454">
        <f t="shared" ref="S7:S11" si="1">IF(D7="Selecciona un descriptor de frecuencia."," ",IF(ROUNDUP(E7-Q7,0)&lt;0,1,ROUNDUP(E7-Q7,0)))</f>
        <v>1</v>
      </c>
      <c r="T7" s="454">
        <f t="shared" ref="T7:T11" si="2">IF(G7="Selecciona un descriptor de impacto."," ",IF(ROUNDUP(H7-R7,0)&lt;0,1,ROUNDUP(H7-R7,0)))</f>
        <v>2</v>
      </c>
      <c r="U7" s="344" t="str">
        <f>IF(D7="Selecciona un descriptor de frecuencia."," ",VLOOKUP(S7,[8]Datos!$H$8:$I$12,2,FALSE))</f>
        <v>Rara vez</v>
      </c>
      <c r="V7" s="344" t="str">
        <f>IF(G7="Selecciona un descriptor de impacto."," ",VLOOKUP(T7,[8]Datos!$L$8:$M$12,2,FALSE))</f>
        <v>Menor</v>
      </c>
      <c r="W7" s="453" t="str">
        <f>IF(S7=" "," ",VLOOKUP(S7,[8]Datos!$U$8:$Z$12,MATCH(T7,[8]Datos!$V$7:$Z$7,0)+1,FALSE))</f>
        <v>BAJO</v>
      </c>
      <c r="X7" s="277" t="s">
        <v>202</v>
      </c>
      <c r="Y7" s="455"/>
      <c r="Z7" s="455"/>
    </row>
    <row r="8" spans="1:26" ht="99.75" x14ac:dyDescent="0.2">
      <c r="A8" s="456" t="e">
        <f>#REF!</f>
        <v>#REF!</v>
      </c>
      <c r="B8" s="452" t="e">
        <f>#REF!</f>
        <v>#REF!</v>
      </c>
      <c r="C8" s="452" t="e">
        <f>#REF!</f>
        <v>#REF!</v>
      </c>
      <c r="D8" s="277" t="s">
        <v>181</v>
      </c>
      <c r="E8" s="451">
        <f>IF(D8="Selecciona un descriptor de frecuencia."," ",IF(D8="","",VLOOKUP(D8,[8]Datos!$G$8:$J$12,2,FALSE)))</f>
        <v>5</v>
      </c>
      <c r="F8" s="451" t="str">
        <f>IF(D8="Selecciona un descriptor de frecuencia."," ",IF(D8="","",VLOOKUP(D8,[8]Datos!$G$8:$J$12,3,FALSE)))</f>
        <v>Casi Seguro</v>
      </c>
      <c r="G8" s="277" t="s">
        <v>199</v>
      </c>
      <c r="H8" s="456">
        <f>IF(G8="","",VLOOKUP(G8,[8]Datos!$K$8:$L$12,2,FALSE))</f>
        <v>4</v>
      </c>
      <c r="I8" s="453" t="str">
        <f>IF(D8="Selecciona un descriptor de frecuencia."," ",IF(G8="Selecciona un descriptor de impacto."," ",IF(E8+H8=" ","",IF(E8="","",VLOOKUP(E8,[8]Datos!$U$8:$Z$12,MATCH(H8,[8]Datos!$V$7:$Z$7,0)+1,FALSE)))))</f>
        <v>EXTREMO</v>
      </c>
      <c r="J8" s="277" t="s">
        <v>122</v>
      </c>
      <c r="K8" s="343" t="s">
        <v>824</v>
      </c>
      <c r="L8" s="355" t="s">
        <v>825</v>
      </c>
      <c r="M8" s="278">
        <f>[8]Controles!T10</f>
        <v>70</v>
      </c>
      <c r="N8" s="278" t="str">
        <f>[8]Controles!AB10</f>
        <v>SI</v>
      </c>
      <c r="O8" s="344">
        <f>[8]Controles!W10</f>
        <v>0.7</v>
      </c>
      <c r="P8" s="344">
        <f>[8]Controles!X10</f>
        <v>0.7</v>
      </c>
      <c r="Q8" s="457">
        <f t="shared" si="0"/>
        <v>0.7</v>
      </c>
      <c r="R8" s="457">
        <f t="shared" si="0"/>
        <v>0.7</v>
      </c>
      <c r="S8" s="454">
        <f t="shared" si="1"/>
        <v>5</v>
      </c>
      <c r="T8" s="454">
        <f t="shared" si="2"/>
        <v>4</v>
      </c>
      <c r="U8" s="344" t="str">
        <f>IF(D8="Selecciona un descriptor de frecuencia."," ",VLOOKUP(S8,[8]Datos!$H$8:$I$12,2,FALSE))</f>
        <v>Casi Seguro</v>
      </c>
      <c r="V8" s="344" t="str">
        <f>IF(G8="Selecciona un descriptor de impacto."," ",VLOOKUP(T8,[8]Datos!$L$8:$M$12,2,FALSE))</f>
        <v>Mayor</v>
      </c>
      <c r="W8" s="453" t="str">
        <f>IF(S8=" "," ",VLOOKUP(S8,[8]Datos!$U$8:$Z$12,MATCH(T8,[8]Datos!$V$7:$Z$7,0)+1,FALSE))</f>
        <v>EXTREMO</v>
      </c>
      <c r="X8" s="277" t="s">
        <v>202</v>
      </c>
      <c r="Y8" s="458"/>
      <c r="Z8" s="458"/>
    </row>
    <row r="9" spans="1:26" ht="42.75" x14ac:dyDescent="0.2">
      <c r="A9" s="456" t="e">
        <f>#REF!</f>
        <v>#REF!</v>
      </c>
      <c r="B9" s="452" t="e">
        <f>#REF!</f>
        <v>#REF!</v>
      </c>
      <c r="C9" s="452" t="e">
        <f>#REF!</f>
        <v>#REF!</v>
      </c>
      <c r="D9" s="277" t="s">
        <v>236</v>
      </c>
      <c r="E9" s="451">
        <f>IF(D9="Selecciona un descriptor de frecuencia."," ",IF(D9="","",VLOOKUP(D9,[8]Datos!$G$8:$J$12,2,FALSE)))</f>
        <v>1</v>
      </c>
      <c r="F9" s="451" t="str">
        <f>IF(D9="Selecciona un descriptor de frecuencia."," ",IF(D9="","",VLOOKUP(D9,[8]Datos!$G$8:$J$12,3,FALSE)))</f>
        <v>Rara vez</v>
      </c>
      <c r="G9" s="277" t="s">
        <v>184</v>
      </c>
      <c r="H9" s="456">
        <f>IF(G9="","",VLOOKUP(G9,[8]Datos!$K$8:$L$12,2,FALSE))</f>
        <v>5</v>
      </c>
      <c r="I9" s="453" t="str">
        <f>IF(D9="Selecciona un descriptor de frecuencia."," ",IF(G9="Selecciona un descriptor de impacto."," ",IF(E9+H9=" ","",IF(E9="","",VLOOKUP(E9,[8]Datos!$U$8:$Z$12,MATCH(H9,[8]Datos!$V$7:$Z$7,0)+1,FALSE)))))</f>
        <v>EXTREMO</v>
      </c>
      <c r="J9" s="277" t="s">
        <v>122</v>
      </c>
      <c r="K9" s="343" t="s">
        <v>826</v>
      </c>
      <c r="L9" s="355" t="s">
        <v>827</v>
      </c>
      <c r="M9" s="278">
        <f>[8]Controles!T11</f>
        <v>70</v>
      </c>
      <c r="N9" s="278" t="str">
        <f>[8]Controles!AB11</f>
        <v>SI</v>
      </c>
      <c r="O9" s="344">
        <f>[8]Controles!W11</f>
        <v>0.7</v>
      </c>
      <c r="P9" s="344">
        <f>[8]Controles!X11</f>
        <v>0.7</v>
      </c>
      <c r="Q9" s="457">
        <f t="shared" si="0"/>
        <v>0.7</v>
      </c>
      <c r="R9" s="457">
        <f t="shared" si="0"/>
        <v>0.7</v>
      </c>
      <c r="S9" s="454">
        <f t="shared" si="1"/>
        <v>1</v>
      </c>
      <c r="T9" s="454">
        <f t="shared" si="2"/>
        <v>5</v>
      </c>
      <c r="U9" s="344" t="str">
        <f>IF(D9="Selecciona un descriptor de frecuencia."," ",VLOOKUP(S9,[8]Datos!$H$8:$I$12,2,FALSE))</f>
        <v>Rara vez</v>
      </c>
      <c r="V9" s="344" t="str">
        <f>IF(G9="Selecciona un descriptor de impacto."," ",VLOOKUP(T9,[8]Datos!$L$8:$M$12,2,FALSE))</f>
        <v>Catastrófico</v>
      </c>
      <c r="W9" s="453" t="str">
        <f>IF(S9=" "," ",VLOOKUP(S9,[8]Datos!$U$8:$Z$12,MATCH(T9,[8]Datos!$V$7:$Z$7,0)+1,FALSE))</f>
        <v>EXTREMO</v>
      </c>
      <c r="X9" s="277" t="s">
        <v>202</v>
      </c>
      <c r="Y9" s="455"/>
      <c r="Z9" s="455"/>
    </row>
    <row r="10" spans="1:26" ht="71.25" x14ac:dyDescent="0.2">
      <c r="A10" s="456" t="e">
        <f>#REF!</f>
        <v>#REF!</v>
      </c>
      <c r="B10" s="452" t="e">
        <f>#REF!</f>
        <v>#REF!</v>
      </c>
      <c r="C10" s="452" t="e">
        <f>#REF!</f>
        <v>#REF!</v>
      </c>
      <c r="D10" s="277" t="s">
        <v>223</v>
      </c>
      <c r="E10" s="451">
        <f>IF(D10="Selecciona un descriptor de frecuencia."," ",IF(D10="","",VLOOKUP(D10,[8]Datos!$G$8:$J$12,2,FALSE)))</f>
        <v>2</v>
      </c>
      <c r="F10" s="451" t="str">
        <f>IF(D10="Selecciona un descriptor de frecuencia."," ",IF(D10="","",VLOOKUP(D10,[8]Datos!$G$8:$J$12,3,FALSE)))</f>
        <v>Improbable</v>
      </c>
      <c r="G10" s="277" t="s">
        <v>204</v>
      </c>
      <c r="H10" s="456">
        <f>IF(G10="","",VLOOKUP(G10,[8]Datos!$K$8:$L$12,2,FALSE))</f>
        <v>3</v>
      </c>
      <c r="I10" s="453" t="str">
        <f>IF(D10="Selecciona un descriptor de frecuencia."," ",IF(G10="Selecciona un descriptor de impacto."," ",IF(E10+H10=" ","",IF(E10="","",VLOOKUP(E10,[8]Datos!$U$8:$Z$12,MATCH(H10,[8]Datos!$V$7:$Z$7,0)+1,FALSE)))))</f>
        <v>MODERADO</v>
      </c>
      <c r="J10" s="277" t="s">
        <v>122</v>
      </c>
      <c r="K10" s="343" t="s">
        <v>828</v>
      </c>
      <c r="L10" s="343" t="s">
        <v>829</v>
      </c>
      <c r="M10" s="278">
        <f>[8]Controles!T12</f>
        <v>100</v>
      </c>
      <c r="N10" s="278" t="str">
        <f>[8]Controles!AB12</f>
        <v>No</v>
      </c>
      <c r="O10" s="344">
        <f>[8]Controles!W12</f>
        <v>1</v>
      </c>
      <c r="P10" s="344">
        <f>[8]Controles!X12</f>
        <v>1</v>
      </c>
      <c r="Q10" s="457">
        <f t="shared" si="0"/>
        <v>1</v>
      </c>
      <c r="R10" s="457">
        <f t="shared" si="0"/>
        <v>1</v>
      </c>
      <c r="S10" s="454">
        <f t="shared" si="1"/>
        <v>1</v>
      </c>
      <c r="T10" s="454">
        <f t="shared" si="2"/>
        <v>2</v>
      </c>
      <c r="U10" s="344" t="str">
        <f>IF(D10="Selecciona un descriptor de frecuencia."," ",VLOOKUP(S10,[8]Datos!$H$8:$I$12,2,FALSE))</f>
        <v>Rara vez</v>
      </c>
      <c r="V10" s="344" t="str">
        <f>IF(G10="Selecciona un descriptor de impacto."," ",VLOOKUP(T10,[8]Datos!$L$8:$M$12,2,FALSE))</f>
        <v>Menor</v>
      </c>
      <c r="W10" s="453" t="str">
        <f>IF(S10=" "," ",VLOOKUP(S10,[8]Datos!$U$8:$Z$12,MATCH(T10,[8]Datos!$V$7:$Z$7,0)+1,FALSE))</f>
        <v>BAJO</v>
      </c>
      <c r="X10" s="277" t="s">
        <v>202</v>
      </c>
      <c r="Y10" s="455"/>
      <c r="Z10" s="455"/>
    </row>
    <row r="11" spans="1:26" ht="128.25" x14ac:dyDescent="0.2">
      <c r="A11" s="456" t="e">
        <f>#REF!</f>
        <v>#REF!</v>
      </c>
      <c r="B11" s="452" t="e">
        <f>#REF!</f>
        <v>#REF!</v>
      </c>
      <c r="C11" s="452" t="e">
        <f>#REF!</f>
        <v>#REF!</v>
      </c>
      <c r="D11" s="277" t="s">
        <v>223</v>
      </c>
      <c r="E11" s="451">
        <f>IF(D11="Selecciona un descriptor de frecuencia."," ",IF(D11="","",VLOOKUP(D11,[8]Datos!$G$8:$J$12,2,FALSE)))</f>
        <v>2</v>
      </c>
      <c r="F11" s="451" t="str">
        <f>IF(D11="Selecciona un descriptor de frecuencia."," ",IF(D11="","",VLOOKUP(D11,[8]Datos!$G$8:$J$12,3,FALSE)))</f>
        <v>Improbable</v>
      </c>
      <c r="G11" s="277" t="s">
        <v>204</v>
      </c>
      <c r="H11" s="456">
        <f>IF(G11="","",VLOOKUP(G11,[8]Datos!$K$8:$L$12,2,FALSE))</f>
        <v>3</v>
      </c>
      <c r="I11" s="453" t="str">
        <f>IF(D11="Selecciona un descriptor de frecuencia."," ",IF(G11="Selecciona un descriptor de impacto."," ",IF(E11+H11=" ","",IF(E11="","",VLOOKUP(E11,[8]Datos!$U$8:$Z$12,MATCH(H11,[8]Datos!$V$7:$Z$7,0)+1,FALSE)))))</f>
        <v>MODERADO</v>
      </c>
      <c r="J11" s="277" t="s">
        <v>122</v>
      </c>
      <c r="K11" s="343" t="s">
        <v>830</v>
      </c>
      <c r="L11" s="343" t="s">
        <v>831</v>
      </c>
      <c r="M11" s="278">
        <f>[8]Controles!T13</f>
        <v>100</v>
      </c>
      <c r="N11" s="278" t="str">
        <f>[8]Controles!AB13</f>
        <v>No</v>
      </c>
      <c r="O11" s="344">
        <f>[8]Controles!W13</f>
        <v>1</v>
      </c>
      <c r="P11" s="344">
        <f>[8]Controles!X13</f>
        <v>1</v>
      </c>
      <c r="Q11" s="457">
        <f t="shared" si="0"/>
        <v>1</v>
      </c>
      <c r="R11" s="457">
        <f t="shared" si="0"/>
        <v>1</v>
      </c>
      <c r="S11" s="454">
        <f t="shared" si="1"/>
        <v>1</v>
      </c>
      <c r="T11" s="454">
        <f t="shared" si="2"/>
        <v>2</v>
      </c>
      <c r="U11" s="344" t="str">
        <f>IF(D11="Selecciona un descriptor de frecuencia."," ",VLOOKUP(S11,[8]Datos!$H$8:$I$12,2,FALSE))</f>
        <v>Rara vez</v>
      </c>
      <c r="V11" s="344" t="str">
        <f>IF(G11="Selecciona un descriptor de impacto."," ",VLOOKUP(T11,[8]Datos!$L$8:$M$12,2,FALSE))</f>
        <v>Menor</v>
      </c>
      <c r="W11" s="453" t="str">
        <f>IF(S11=" "," ",VLOOKUP(S11,[8]Datos!$U$8:$Z$12,MATCH(T11,[8]Datos!$V$7:$Z$7,0)+1,FALSE))</f>
        <v>BAJO</v>
      </c>
      <c r="X11" s="277" t="s">
        <v>202</v>
      </c>
      <c r="Y11" s="455"/>
      <c r="Z11" s="455"/>
    </row>
    <row r="12" spans="1:26" x14ac:dyDescent="0.25">
      <c r="A12" s="333"/>
      <c r="C12" s="360"/>
      <c r="D12" s="361"/>
      <c r="E12" s="333"/>
      <c r="F12" s="333"/>
      <c r="G12" s="333"/>
      <c r="H12" s="333"/>
      <c r="K12" s="362"/>
      <c r="S12" s="333"/>
    </row>
    <row r="13" spans="1:26" x14ac:dyDescent="0.25">
      <c r="A13" s="333"/>
      <c r="C13" s="360"/>
      <c r="D13" s="361"/>
      <c r="E13" s="333"/>
      <c r="F13" s="333"/>
      <c r="G13" s="333"/>
      <c r="H13" s="333"/>
      <c r="K13" s="362"/>
      <c r="S13" s="333"/>
    </row>
    <row r="14" spans="1:26" x14ac:dyDescent="0.25">
      <c r="A14" s="333"/>
      <c r="C14" s="360"/>
      <c r="D14" s="361"/>
      <c r="E14" s="333"/>
      <c r="F14" s="333"/>
      <c r="G14" s="333"/>
      <c r="H14" s="333"/>
      <c r="K14" s="362"/>
      <c r="S14" s="333"/>
    </row>
    <row r="15" spans="1:26" x14ac:dyDescent="0.25">
      <c r="A15" s="333"/>
      <c r="C15" s="360"/>
      <c r="D15" s="361"/>
      <c r="E15" s="333"/>
      <c r="F15" s="333"/>
      <c r="G15" s="333"/>
      <c r="H15" s="333"/>
      <c r="K15" s="362"/>
      <c r="S15" s="333"/>
    </row>
    <row r="16" spans="1:26" x14ac:dyDescent="0.25">
      <c r="A16" s="333"/>
      <c r="C16" s="360"/>
      <c r="D16" s="361"/>
      <c r="E16" s="333"/>
      <c r="F16" s="333"/>
      <c r="G16" s="333"/>
      <c r="H16" s="333"/>
      <c r="K16" s="362"/>
      <c r="S16" s="333"/>
    </row>
    <row r="17" spans="1:19" x14ac:dyDescent="0.25">
      <c r="A17" s="333"/>
      <c r="C17" s="360"/>
      <c r="D17" s="361"/>
      <c r="E17" s="333"/>
      <c r="F17" s="333"/>
      <c r="G17" s="333"/>
      <c r="H17" s="333"/>
      <c r="K17" s="362"/>
      <c r="S17" s="333"/>
    </row>
    <row r="18" spans="1:19" x14ac:dyDescent="0.25">
      <c r="A18" s="333"/>
      <c r="C18" s="360"/>
      <c r="D18" s="361"/>
      <c r="E18" s="333"/>
      <c r="F18" s="333"/>
      <c r="G18" s="333"/>
      <c r="H18" s="333"/>
      <c r="K18" s="362"/>
      <c r="S18" s="333"/>
    </row>
    <row r="19" spans="1:19" x14ac:dyDescent="0.25">
      <c r="A19" s="333"/>
      <c r="C19" s="360"/>
      <c r="D19" s="361"/>
      <c r="E19" s="333"/>
      <c r="F19" s="333"/>
      <c r="G19" s="333"/>
      <c r="H19" s="333"/>
      <c r="K19" s="362"/>
      <c r="S19" s="333"/>
    </row>
    <row r="20" spans="1:19" x14ac:dyDescent="0.25">
      <c r="A20" s="333"/>
      <c r="C20" s="360"/>
      <c r="D20" s="361"/>
      <c r="E20" s="333"/>
      <c r="F20" s="333"/>
      <c r="G20" s="333"/>
      <c r="H20" s="333"/>
      <c r="K20" s="362"/>
      <c r="S20" s="333"/>
    </row>
    <row r="21" spans="1:19" ht="15.75" customHeight="1" x14ac:dyDescent="0.25">
      <c r="A21" s="333"/>
      <c r="C21" s="360"/>
      <c r="D21" s="361"/>
      <c r="E21" s="333"/>
      <c r="F21" s="333"/>
      <c r="G21" s="333"/>
      <c r="H21" s="333"/>
      <c r="K21" s="362"/>
      <c r="S21" s="333"/>
    </row>
    <row r="22" spans="1:19" ht="15.75" customHeight="1" x14ac:dyDescent="0.25">
      <c r="A22" s="333"/>
      <c r="C22" s="360"/>
      <c r="D22" s="361"/>
      <c r="E22" s="333"/>
      <c r="F22" s="333"/>
      <c r="G22" s="333"/>
      <c r="H22" s="333"/>
      <c r="K22" s="362"/>
      <c r="S22" s="333"/>
    </row>
    <row r="23" spans="1:19" ht="15.75" customHeight="1" x14ac:dyDescent="0.25">
      <c r="A23" s="333"/>
      <c r="C23" s="360"/>
      <c r="D23" s="361"/>
      <c r="E23" s="333"/>
      <c r="F23" s="333"/>
      <c r="G23" s="333"/>
      <c r="H23" s="333"/>
      <c r="K23" s="362"/>
      <c r="S23" s="333"/>
    </row>
    <row r="24" spans="1:19" ht="15.75" customHeight="1" x14ac:dyDescent="0.25">
      <c r="A24" s="333"/>
      <c r="C24" s="360"/>
      <c r="D24" s="361"/>
      <c r="E24" s="333"/>
      <c r="F24" s="333"/>
      <c r="G24" s="333"/>
      <c r="H24" s="333"/>
      <c r="K24" s="362"/>
      <c r="S24" s="333"/>
    </row>
    <row r="25" spans="1:19" ht="15.75" customHeight="1" x14ac:dyDescent="0.25">
      <c r="A25" s="333"/>
      <c r="C25" s="360"/>
      <c r="D25" s="361"/>
      <c r="E25" s="333"/>
      <c r="F25" s="333"/>
      <c r="G25" s="333"/>
      <c r="H25" s="333"/>
      <c r="K25" s="362"/>
      <c r="S25" s="333"/>
    </row>
    <row r="26" spans="1:19" ht="15.75" customHeight="1" x14ac:dyDescent="0.25">
      <c r="A26" s="333"/>
      <c r="C26" s="360"/>
      <c r="D26" s="361"/>
      <c r="E26" s="333"/>
      <c r="F26" s="333"/>
      <c r="G26" s="333"/>
      <c r="H26" s="333"/>
      <c r="K26" s="362"/>
      <c r="S26" s="333"/>
    </row>
    <row r="27" spans="1:19" ht="15.75" customHeight="1" x14ac:dyDescent="0.25">
      <c r="A27" s="333"/>
      <c r="C27" s="360"/>
      <c r="D27" s="361"/>
      <c r="E27" s="333"/>
      <c r="F27" s="333"/>
      <c r="G27" s="333"/>
      <c r="H27" s="333"/>
      <c r="K27" s="362"/>
      <c r="S27" s="333"/>
    </row>
    <row r="28" spans="1:19" ht="15.75" customHeight="1" x14ac:dyDescent="0.25">
      <c r="A28" s="333"/>
      <c r="C28" s="360"/>
      <c r="D28" s="361"/>
      <c r="E28" s="333"/>
      <c r="F28" s="333"/>
      <c r="G28" s="333"/>
      <c r="H28" s="333"/>
      <c r="K28" s="362"/>
      <c r="S28" s="333"/>
    </row>
    <row r="29" spans="1:19" ht="15.75" customHeight="1" x14ac:dyDescent="0.25">
      <c r="A29" s="333"/>
      <c r="C29" s="360"/>
      <c r="D29" s="361"/>
      <c r="E29" s="333"/>
      <c r="F29" s="333"/>
      <c r="G29" s="333"/>
      <c r="H29" s="333"/>
      <c r="K29" s="362"/>
      <c r="S29" s="333"/>
    </row>
    <row r="30" spans="1:19" ht="15.75" customHeight="1" x14ac:dyDescent="0.25">
      <c r="A30" s="333"/>
      <c r="C30" s="360"/>
      <c r="D30" s="361"/>
      <c r="E30" s="333"/>
      <c r="F30" s="333"/>
      <c r="G30" s="333"/>
      <c r="H30" s="333"/>
      <c r="K30" s="362"/>
      <c r="S30" s="333"/>
    </row>
    <row r="31" spans="1:19" ht="15.75" customHeight="1" x14ac:dyDescent="0.25">
      <c r="A31" s="333"/>
      <c r="C31" s="360"/>
      <c r="D31" s="361"/>
      <c r="E31" s="333"/>
      <c r="F31" s="333"/>
      <c r="G31" s="333"/>
      <c r="H31" s="333"/>
      <c r="K31" s="362"/>
      <c r="S31" s="333"/>
    </row>
    <row r="32" spans="1:19" ht="15.75" customHeight="1" x14ac:dyDescent="0.25">
      <c r="A32" s="333"/>
      <c r="C32" s="360"/>
      <c r="D32" s="361"/>
      <c r="E32" s="333"/>
      <c r="F32" s="333"/>
      <c r="G32" s="333"/>
      <c r="H32" s="333"/>
      <c r="K32" s="362"/>
      <c r="S32" s="333"/>
    </row>
    <row r="33" spans="1:19" ht="15.75" customHeight="1" x14ac:dyDescent="0.25">
      <c r="A33" s="333"/>
      <c r="C33" s="360"/>
      <c r="D33" s="361"/>
      <c r="E33" s="333"/>
      <c r="F33" s="333"/>
      <c r="G33" s="333"/>
      <c r="H33" s="333"/>
      <c r="K33" s="362"/>
      <c r="S33" s="333"/>
    </row>
    <row r="34" spans="1:19" ht="15.75" customHeight="1" x14ac:dyDescent="0.25">
      <c r="A34" s="333"/>
      <c r="C34" s="360"/>
      <c r="D34" s="361"/>
      <c r="E34" s="333"/>
      <c r="F34" s="333"/>
      <c r="G34" s="333"/>
      <c r="H34" s="333"/>
      <c r="K34" s="362"/>
      <c r="S34" s="333"/>
    </row>
    <row r="35" spans="1:19" ht="15.75" customHeight="1" x14ac:dyDescent="0.25">
      <c r="A35" s="333"/>
      <c r="C35" s="360"/>
      <c r="D35" s="361"/>
      <c r="E35" s="333"/>
      <c r="F35" s="333"/>
      <c r="G35" s="333"/>
      <c r="H35" s="333"/>
      <c r="K35" s="362"/>
      <c r="S35" s="333"/>
    </row>
    <row r="36" spans="1:19" ht="15.75" customHeight="1" x14ac:dyDescent="0.25">
      <c r="A36" s="333"/>
      <c r="C36" s="360"/>
      <c r="D36" s="361"/>
      <c r="E36" s="333"/>
      <c r="F36" s="333"/>
      <c r="G36" s="333"/>
      <c r="H36" s="333"/>
      <c r="K36" s="362"/>
      <c r="S36" s="333"/>
    </row>
    <row r="37" spans="1:19" ht="15.75" customHeight="1" x14ac:dyDescent="0.25">
      <c r="A37" s="333"/>
      <c r="C37" s="360"/>
      <c r="D37" s="361"/>
      <c r="E37" s="333"/>
      <c r="F37" s="333"/>
      <c r="G37" s="333"/>
      <c r="H37" s="333"/>
      <c r="K37" s="362"/>
      <c r="S37" s="333"/>
    </row>
    <row r="38" spans="1:19" ht="15.75" customHeight="1" x14ac:dyDescent="0.25">
      <c r="A38" s="333"/>
      <c r="C38" s="360"/>
      <c r="D38" s="361"/>
      <c r="E38" s="333"/>
      <c r="F38" s="333"/>
      <c r="G38" s="333"/>
      <c r="H38" s="333"/>
      <c r="K38" s="362"/>
      <c r="S38" s="333"/>
    </row>
    <row r="39" spans="1:19" ht="15.75" customHeight="1" x14ac:dyDescent="0.25">
      <c r="A39" s="333"/>
      <c r="C39" s="360"/>
      <c r="D39" s="361"/>
      <c r="E39" s="333"/>
      <c r="F39" s="333"/>
      <c r="G39" s="333"/>
      <c r="H39" s="333"/>
      <c r="K39" s="362"/>
      <c r="S39" s="333"/>
    </row>
    <row r="40" spans="1:19" ht="15.75" customHeight="1" x14ac:dyDescent="0.25">
      <c r="A40" s="333"/>
      <c r="C40" s="360"/>
      <c r="D40" s="361"/>
      <c r="E40" s="333"/>
      <c r="F40" s="333"/>
      <c r="G40" s="333"/>
      <c r="H40" s="333"/>
      <c r="K40" s="362"/>
      <c r="S40" s="333"/>
    </row>
    <row r="41" spans="1:19" ht="15.75" customHeight="1" x14ac:dyDescent="0.25">
      <c r="A41" s="333"/>
      <c r="C41" s="360"/>
      <c r="D41" s="361"/>
      <c r="E41" s="333"/>
      <c r="F41" s="333"/>
      <c r="G41" s="333"/>
      <c r="H41" s="333"/>
      <c r="K41" s="362"/>
      <c r="S41" s="333"/>
    </row>
    <row r="42" spans="1:19" ht="15.75" customHeight="1" x14ac:dyDescent="0.25">
      <c r="A42" s="333"/>
      <c r="C42" s="360"/>
      <c r="D42" s="361"/>
      <c r="E42" s="333"/>
      <c r="F42" s="333"/>
      <c r="G42" s="333"/>
      <c r="H42" s="333"/>
      <c r="K42" s="362"/>
      <c r="S42" s="333"/>
    </row>
    <row r="43" spans="1:19" ht="15.75" customHeight="1" x14ac:dyDescent="0.25">
      <c r="A43" s="333"/>
      <c r="C43" s="360"/>
      <c r="D43" s="361"/>
      <c r="E43" s="333"/>
      <c r="F43" s="333"/>
      <c r="G43" s="333"/>
      <c r="H43" s="333"/>
      <c r="K43" s="362"/>
      <c r="S43" s="333"/>
    </row>
    <row r="44" spans="1:19" ht="15.75" customHeight="1" x14ac:dyDescent="0.25">
      <c r="A44" s="333"/>
      <c r="C44" s="360"/>
      <c r="D44" s="361"/>
      <c r="E44" s="333"/>
      <c r="F44" s="333"/>
      <c r="G44" s="333"/>
      <c r="H44" s="333"/>
      <c r="K44" s="362"/>
      <c r="S44" s="333"/>
    </row>
    <row r="45" spans="1:19" ht="15.75" customHeight="1" x14ac:dyDescent="0.25">
      <c r="A45" s="333"/>
      <c r="C45" s="360"/>
      <c r="D45" s="361"/>
      <c r="E45" s="333"/>
      <c r="F45" s="333"/>
      <c r="G45" s="333"/>
      <c r="H45" s="333"/>
      <c r="K45" s="362"/>
      <c r="S45" s="333"/>
    </row>
    <row r="46" spans="1:19" ht="15.75" customHeight="1" x14ac:dyDescent="0.25">
      <c r="A46" s="333"/>
      <c r="C46" s="360"/>
      <c r="D46" s="361"/>
      <c r="E46" s="333"/>
      <c r="F46" s="333"/>
      <c r="G46" s="333"/>
      <c r="H46" s="333"/>
      <c r="K46" s="362"/>
      <c r="S46" s="333"/>
    </row>
    <row r="47" spans="1:19" ht="15.75" customHeight="1" x14ac:dyDescent="0.25">
      <c r="A47" s="333"/>
      <c r="C47" s="360"/>
      <c r="D47" s="361"/>
      <c r="E47" s="333"/>
      <c r="F47" s="333"/>
      <c r="G47" s="333"/>
      <c r="H47" s="333"/>
      <c r="K47" s="362"/>
      <c r="S47" s="333"/>
    </row>
    <row r="48" spans="1:19" ht="15.75" customHeight="1" x14ac:dyDescent="0.25">
      <c r="A48" s="333"/>
      <c r="C48" s="360"/>
      <c r="D48" s="361"/>
      <c r="E48" s="333"/>
      <c r="F48" s="333"/>
      <c r="G48" s="333"/>
      <c r="H48" s="333"/>
      <c r="K48" s="362"/>
      <c r="S48" s="333"/>
    </row>
    <row r="49" spans="1:19" ht="15.75" customHeight="1" x14ac:dyDescent="0.25">
      <c r="A49" s="333"/>
      <c r="C49" s="360"/>
      <c r="D49" s="361"/>
      <c r="E49" s="333"/>
      <c r="F49" s="333"/>
      <c r="G49" s="333"/>
      <c r="H49" s="333"/>
      <c r="K49" s="362"/>
      <c r="S49" s="333"/>
    </row>
    <row r="50" spans="1:19" ht="15.75" customHeight="1" x14ac:dyDescent="0.25">
      <c r="A50" s="333"/>
      <c r="C50" s="360"/>
      <c r="D50" s="361"/>
      <c r="E50" s="333"/>
      <c r="F50" s="333"/>
      <c r="G50" s="333"/>
      <c r="H50" s="333"/>
      <c r="K50" s="362"/>
      <c r="S50" s="333"/>
    </row>
    <row r="51" spans="1:19" ht="15.75" customHeight="1" x14ac:dyDescent="0.25">
      <c r="A51" s="333"/>
      <c r="C51" s="360"/>
      <c r="D51" s="361"/>
      <c r="E51" s="333"/>
      <c r="F51" s="333"/>
      <c r="G51" s="333"/>
      <c r="H51" s="333"/>
      <c r="K51" s="362"/>
      <c r="S51" s="333"/>
    </row>
    <row r="52" spans="1:19" ht="15.75" customHeight="1" x14ac:dyDescent="0.25">
      <c r="A52" s="333"/>
      <c r="C52" s="360"/>
      <c r="D52" s="361"/>
      <c r="E52" s="333"/>
      <c r="F52" s="333"/>
      <c r="G52" s="333"/>
      <c r="H52" s="333"/>
      <c r="K52" s="362"/>
      <c r="S52" s="333"/>
    </row>
    <row r="53" spans="1:19" ht="15.75" customHeight="1" x14ac:dyDescent="0.25">
      <c r="A53" s="333"/>
      <c r="C53" s="360"/>
      <c r="D53" s="361"/>
      <c r="E53" s="333"/>
      <c r="F53" s="333"/>
      <c r="G53" s="333"/>
      <c r="H53" s="333"/>
      <c r="K53" s="362"/>
      <c r="S53" s="333"/>
    </row>
    <row r="54" spans="1:19" ht="15.75" customHeight="1" x14ac:dyDescent="0.25">
      <c r="A54" s="333"/>
      <c r="C54" s="360"/>
      <c r="D54" s="361"/>
      <c r="E54" s="333"/>
      <c r="F54" s="333"/>
      <c r="G54" s="333"/>
      <c r="H54" s="333"/>
      <c r="K54" s="362"/>
      <c r="S54" s="333"/>
    </row>
    <row r="55" spans="1:19" ht="15.75" customHeight="1" x14ac:dyDescent="0.25">
      <c r="A55" s="333"/>
      <c r="C55" s="360"/>
      <c r="D55" s="361"/>
      <c r="E55" s="333"/>
      <c r="F55" s="333"/>
      <c r="G55" s="333"/>
      <c r="H55" s="333"/>
      <c r="K55" s="362"/>
      <c r="S55" s="333"/>
    </row>
    <row r="56" spans="1:19" ht="15.75" customHeight="1" x14ac:dyDescent="0.25">
      <c r="A56" s="333"/>
      <c r="C56" s="360"/>
      <c r="D56" s="361"/>
      <c r="E56" s="333"/>
      <c r="F56" s="333"/>
      <c r="G56" s="333"/>
      <c r="H56" s="333"/>
      <c r="K56" s="362"/>
      <c r="S56" s="333"/>
    </row>
    <row r="57" spans="1:19" ht="15.75" customHeight="1" x14ac:dyDescent="0.25">
      <c r="A57" s="333"/>
      <c r="C57" s="360"/>
      <c r="D57" s="361"/>
      <c r="E57" s="333"/>
      <c r="F57" s="333"/>
      <c r="G57" s="333"/>
      <c r="H57" s="333"/>
      <c r="K57" s="362"/>
      <c r="S57" s="333"/>
    </row>
    <row r="58" spans="1:19" ht="15.75" customHeight="1" x14ac:dyDescent="0.25">
      <c r="A58" s="333"/>
      <c r="C58" s="360"/>
      <c r="D58" s="361"/>
      <c r="E58" s="333"/>
      <c r="F58" s="333"/>
      <c r="G58" s="333"/>
      <c r="H58" s="333"/>
      <c r="K58" s="362"/>
      <c r="S58" s="333"/>
    </row>
    <row r="59" spans="1:19" ht="15.75" customHeight="1" x14ac:dyDescent="0.25">
      <c r="A59" s="333"/>
      <c r="C59" s="360"/>
      <c r="D59" s="361"/>
      <c r="E59" s="333"/>
      <c r="F59" s="333"/>
      <c r="G59" s="333"/>
      <c r="H59" s="333"/>
      <c r="K59" s="362"/>
      <c r="S59" s="333"/>
    </row>
    <row r="60" spans="1:19" ht="15.75" customHeight="1" x14ac:dyDescent="0.25">
      <c r="A60" s="333"/>
      <c r="C60" s="360"/>
      <c r="D60" s="361"/>
      <c r="E60" s="333"/>
      <c r="F60" s="333"/>
      <c r="G60" s="333"/>
      <c r="H60" s="333"/>
      <c r="K60" s="362"/>
      <c r="S60" s="333"/>
    </row>
    <row r="61" spans="1:19" ht="15.75" customHeight="1" x14ac:dyDescent="0.25">
      <c r="A61" s="333"/>
      <c r="C61" s="360"/>
      <c r="D61" s="361"/>
      <c r="E61" s="333"/>
      <c r="F61" s="333"/>
      <c r="G61" s="333"/>
      <c r="H61" s="333"/>
      <c r="K61" s="362"/>
      <c r="S61" s="333"/>
    </row>
    <row r="62" spans="1:19" ht="15.75" customHeight="1" x14ac:dyDescent="0.25">
      <c r="A62" s="333"/>
      <c r="C62" s="360"/>
      <c r="D62" s="361"/>
      <c r="E62" s="333"/>
      <c r="F62" s="333"/>
      <c r="G62" s="333"/>
      <c r="H62" s="333"/>
      <c r="K62" s="362"/>
      <c r="S62" s="333"/>
    </row>
    <row r="63" spans="1:19" ht="15.75" customHeight="1" x14ac:dyDescent="0.25">
      <c r="A63" s="333"/>
      <c r="C63" s="360"/>
      <c r="D63" s="361"/>
      <c r="E63" s="333"/>
      <c r="F63" s="333"/>
      <c r="G63" s="333"/>
      <c r="H63" s="333"/>
      <c r="K63" s="362"/>
      <c r="S63" s="333"/>
    </row>
    <row r="64" spans="1:19" ht="15.75" customHeight="1" x14ac:dyDescent="0.25">
      <c r="A64" s="333"/>
      <c r="C64" s="360"/>
      <c r="D64" s="361"/>
      <c r="E64" s="333"/>
      <c r="F64" s="333"/>
      <c r="G64" s="333"/>
      <c r="H64" s="333"/>
      <c r="K64" s="362"/>
      <c r="S64" s="333"/>
    </row>
    <row r="65" spans="1:19" ht="15.75" customHeight="1" x14ac:dyDescent="0.25">
      <c r="A65" s="333"/>
      <c r="C65" s="360"/>
      <c r="D65" s="361"/>
      <c r="E65" s="333"/>
      <c r="F65" s="333"/>
      <c r="G65" s="333"/>
      <c r="H65" s="333"/>
      <c r="K65" s="362"/>
      <c r="S65" s="333"/>
    </row>
    <row r="66" spans="1:19" ht="15.75" customHeight="1" x14ac:dyDescent="0.25">
      <c r="A66" s="333"/>
      <c r="C66" s="360"/>
      <c r="D66" s="361"/>
      <c r="E66" s="333"/>
      <c r="F66" s="333"/>
      <c r="G66" s="333"/>
      <c r="H66" s="333"/>
      <c r="K66" s="362"/>
      <c r="S66" s="333"/>
    </row>
    <row r="67" spans="1:19" ht="15.75" customHeight="1" x14ac:dyDescent="0.25">
      <c r="A67" s="333"/>
      <c r="C67" s="360"/>
      <c r="D67" s="361"/>
      <c r="E67" s="333"/>
      <c r="F67" s="333"/>
      <c r="G67" s="333"/>
      <c r="H67" s="333"/>
      <c r="K67" s="362"/>
      <c r="S67" s="333"/>
    </row>
    <row r="68" spans="1:19" ht="15.75" customHeight="1" x14ac:dyDescent="0.25">
      <c r="A68" s="333"/>
      <c r="C68" s="360"/>
      <c r="D68" s="361"/>
      <c r="E68" s="333"/>
      <c r="F68" s="333"/>
      <c r="G68" s="333"/>
      <c r="H68" s="333"/>
      <c r="K68" s="362"/>
      <c r="S68" s="333"/>
    </row>
    <row r="69" spans="1:19" ht="15.75" customHeight="1" x14ac:dyDescent="0.25">
      <c r="A69" s="333"/>
      <c r="C69" s="360"/>
      <c r="D69" s="361"/>
      <c r="E69" s="333"/>
      <c r="F69" s="333"/>
      <c r="G69" s="333"/>
      <c r="H69" s="333"/>
      <c r="K69" s="362"/>
      <c r="S69" s="333"/>
    </row>
    <row r="70" spans="1:19" ht="15.75" customHeight="1" x14ac:dyDescent="0.25">
      <c r="A70" s="333"/>
      <c r="C70" s="360"/>
      <c r="D70" s="361"/>
      <c r="E70" s="333"/>
      <c r="F70" s="333"/>
      <c r="G70" s="333"/>
      <c r="H70" s="333"/>
      <c r="K70" s="362"/>
      <c r="S70" s="333"/>
    </row>
    <row r="71" spans="1:19" ht="15.75" customHeight="1" x14ac:dyDescent="0.25">
      <c r="A71" s="333"/>
      <c r="C71" s="360"/>
      <c r="D71" s="361"/>
      <c r="E71" s="333"/>
      <c r="F71" s="333"/>
      <c r="G71" s="333"/>
      <c r="H71" s="333"/>
      <c r="K71" s="362"/>
      <c r="S71" s="333"/>
    </row>
    <row r="72" spans="1:19" ht="15.75" customHeight="1" x14ac:dyDescent="0.25">
      <c r="A72" s="333"/>
      <c r="C72" s="360"/>
      <c r="D72" s="361"/>
      <c r="E72" s="333"/>
      <c r="F72" s="333"/>
      <c r="G72" s="333"/>
      <c r="H72" s="333"/>
      <c r="K72" s="362"/>
      <c r="S72" s="333"/>
    </row>
    <row r="73" spans="1:19" ht="15.75" customHeight="1" x14ac:dyDescent="0.25">
      <c r="A73" s="333"/>
      <c r="C73" s="360"/>
      <c r="D73" s="361"/>
      <c r="E73" s="333"/>
      <c r="F73" s="333"/>
      <c r="G73" s="333"/>
      <c r="H73" s="333"/>
      <c r="K73" s="362"/>
      <c r="S73" s="333"/>
    </row>
    <row r="74" spans="1:19" ht="15.75" customHeight="1" x14ac:dyDescent="0.25">
      <c r="A74" s="333"/>
      <c r="C74" s="360"/>
      <c r="D74" s="361"/>
      <c r="E74" s="333"/>
      <c r="F74" s="333"/>
      <c r="G74" s="333"/>
      <c r="H74" s="333"/>
      <c r="K74" s="362"/>
      <c r="S74" s="333"/>
    </row>
    <row r="75" spans="1:19" ht="15.75" customHeight="1" x14ac:dyDescent="0.25">
      <c r="A75" s="333"/>
      <c r="C75" s="360"/>
      <c r="D75" s="361"/>
      <c r="E75" s="333"/>
      <c r="F75" s="333"/>
      <c r="G75" s="333"/>
      <c r="H75" s="333"/>
      <c r="K75" s="362"/>
      <c r="S75" s="333"/>
    </row>
    <row r="76" spans="1:19" ht="15.75" customHeight="1" x14ac:dyDescent="0.25">
      <c r="A76" s="333"/>
      <c r="C76" s="360"/>
      <c r="D76" s="361"/>
      <c r="E76" s="333"/>
      <c r="F76" s="333"/>
      <c r="G76" s="333"/>
      <c r="H76" s="333"/>
      <c r="K76" s="362"/>
      <c r="S76" s="333"/>
    </row>
    <row r="77" spans="1:19" ht="15.75" customHeight="1" x14ac:dyDescent="0.25">
      <c r="A77" s="333"/>
      <c r="C77" s="360"/>
      <c r="D77" s="361"/>
      <c r="E77" s="333"/>
      <c r="F77" s="333"/>
      <c r="G77" s="333"/>
      <c r="H77" s="333"/>
      <c r="K77" s="362"/>
      <c r="S77" s="333"/>
    </row>
    <row r="78" spans="1:19" ht="15.75" customHeight="1" x14ac:dyDescent="0.25">
      <c r="A78" s="333"/>
      <c r="C78" s="360"/>
      <c r="D78" s="361"/>
      <c r="E78" s="333"/>
      <c r="F78" s="333"/>
      <c r="G78" s="333"/>
      <c r="H78" s="333"/>
      <c r="K78" s="362"/>
      <c r="S78" s="333"/>
    </row>
    <row r="79" spans="1:19" ht="15.75" customHeight="1" x14ac:dyDescent="0.25">
      <c r="A79" s="333"/>
      <c r="C79" s="360"/>
      <c r="D79" s="361"/>
      <c r="E79" s="333"/>
      <c r="F79" s="333"/>
      <c r="G79" s="333"/>
      <c r="H79" s="333"/>
      <c r="K79" s="362"/>
      <c r="S79" s="333"/>
    </row>
    <row r="80" spans="1:19" ht="15.75" customHeight="1" x14ac:dyDescent="0.25">
      <c r="A80" s="333"/>
      <c r="C80" s="360"/>
      <c r="D80" s="361"/>
      <c r="E80" s="333"/>
      <c r="F80" s="333"/>
      <c r="G80" s="333"/>
      <c r="H80" s="333"/>
      <c r="K80" s="362"/>
      <c r="S80" s="333"/>
    </row>
    <row r="81" spans="1:19" ht="15.75" customHeight="1" x14ac:dyDescent="0.25">
      <c r="A81" s="333"/>
      <c r="C81" s="360"/>
      <c r="D81" s="361"/>
      <c r="E81" s="333"/>
      <c r="F81" s="333"/>
      <c r="G81" s="333"/>
      <c r="H81" s="333"/>
      <c r="K81" s="362"/>
      <c r="S81" s="333"/>
    </row>
    <row r="82" spans="1:19" ht="15.75" customHeight="1" x14ac:dyDescent="0.25">
      <c r="A82" s="333"/>
      <c r="C82" s="360"/>
      <c r="D82" s="361"/>
      <c r="E82" s="333"/>
      <c r="F82" s="333"/>
      <c r="G82" s="333"/>
      <c r="H82" s="333"/>
      <c r="K82" s="362"/>
      <c r="S82" s="333"/>
    </row>
    <row r="83" spans="1:19" ht="15.75" customHeight="1" x14ac:dyDescent="0.25">
      <c r="A83" s="333"/>
      <c r="C83" s="360"/>
      <c r="D83" s="361"/>
      <c r="E83" s="333"/>
      <c r="F83" s="333"/>
      <c r="G83" s="333"/>
      <c r="H83" s="333"/>
      <c r="K83" s="362"/>
      <c r="S83" s="333"/>
    </row>
    <row r="84" spans="1:19" ht="15.75" customHeight="1" x14ac:dyDescent="0.25">
      <c r="A84" s="333"/>
      <c r="C84" s="360"/>
      <c r="D84" s="361"/>
      <c r="E84" s="333"/>
      <c r="F84" s="333"/>
      <c r="G84" s="333"/>
      <c r="H84" s="333"/>
      <c r="K84" s="362"/>
      <c r="S84" s="333"/>
    </row>
    <row r="85" spans="1:19" ht="15.75" customHeight="1" x14ac:dyDescent="0.25">
      <c r="A85" s="333"/>
      <c r="C85" s="360"/>
      <c r="D85" s="361"/>
      <c r="E85" s="333"/>
      <c r="F85" s="333"/>
      <c r="G85" s="333"/>
      <c r="H85" s="333"/>
      <c r="K85" s="362"/>
      <c r="S85" s="333"/>
    </row>
    <row r="86" spans="1:19" ht="15.75" customHeight="1" x14ac:dyDescent="0.25">
      <c r="A86" s="333"/>
      <c r="C86" s="360"/>
      <c r="D86" s="361"/>
      <c r="E86" s="333"/>
      <c r="F86" s="333"/>
      <c r="G86" s="333"/>
      <c r="H86" s="333"/>
      <c r="K86" s="362"/>
      <c r="S86" s="333"/>
    </row>
    <row r="87" spans="1:19" ht="15.75" customHeight="1" x14ac:dyDescent="0.25">
      <c r="A87" s="333"/>
      <c r="C87" s="360"/>
      <c r="D87" s="361"/>
      <c r="E87" s="333"/>
      <c r="F87" s="333"/>
      <c r="G87" s="333"/>
      <c r="H87" s="333"/>
      <c r="K87" s="362"/>
      <c r="S87" s="333"/>
    </row>
    <row r="88" spans="1:19" ht="15.75" customHeight="1" x14ac:dyDescent="0.25">
      <c r="A88" s="333"/>
      <c r="C88" s="360"/>
      <c r="D88" s="361"/>
      <c r="E88" s="333"/>
      <c r="F88" s="333"/>
      <c r="G88" s="333"/>
      <c r="H88" s="333"/>
      <c r="K88" s="362"/>
      <c r="S88" s="333"/>
    </row>
    <row r="89" spans="1:19" ht="15.75" customHeight="1" x14ac:dyDescent="0.25">
      <c r="A89" s="333"/>
      <c r="C89" s="360"/>
      <c r="D89" s="361"/>
      <c r="E89" s="333"/>
      <c r="F89" s="333"/>
      <c r="G89" s="333"/>
      <c r="H89" s="333"/>
      <c r="K89" s="362"/>
      <c r="S89" s="333"/>
    </row>
    <row r="90" spans="1:19" ht="15.75" customHeight="1" x14ac:dyDescent="0.25">
      <c r="A90" s="333"/>
      <c r="C90" s="360"/>
      <c r="D90" s="361"/>
      <c r="E90" s="333"/>
      <c r="F90" s="333"/>
      <c r="G90" s="333"/>
      <c r="H90" s="333"/>
      <c r="K90" s="362"/>
      <c r="S90" s="333"/>
    </row>
    <row r="91" spans="1:19" ht="15.75" customHeight="1" x14ac:dyDescent="0.25">
      <c r="A91" s="333"/>
      <c r="C91" s="360"/>
      <c r="D91" s="361"/>
      <c r="E91" s="333"/>
      <c r="F91" s="333"/>
      <c r="G91" s="333"/>
      <c r="H91" s="333"/>
      <c r="K91" s="362"/>
      <c r="S91" s="333"/>
    </row>
    <row r="92" spans="1:19" ht="15.75" customHeight="1" x14ac:dyDescent="0.25">
      <c r="A92" s="333"/>
      <c r="C92" s="360"/>
      <c r="D92" s="361"/>
      <c r="E92" s="333"/>
      <c r="F92" s="333"/>
      <c r="G92" s="333"/>
      <c r="H92" s="333"/>
      <c r="K92" s="362"/>
      <c r="S92" s="333"/>
    </row>
    <row r="93" spans="1:19" ht="15.75" customHeight="1" x14ac:dyDescent="0.25">
      <c r="A93" s="333"/>
      <c r="C93" s="360"/>
      <c r="D93" s="361"/>
      <c r="E93" s="333"/>
      <c r="F93" s="333"/>
      <c r="G93" s="333"/>
      <c r="H93" s="333"/>
      <c r="K93" s="362"/>
      <c r="S93" s="333"/>
    </row>
    <row r="94" spans="1:19" ht="15.75" customHeight="1" x14ac:dyDescent="0.25">
      <c r="A94" s="333"/>
      <c r="C94" s="360"/>
      <c r="D94" s="361"/>
      <c r="E94" s="333"/>
      <c r="F94" s="333"/>
      <c r="G94" s="333"/>
      <c r="H94" s="333"/>
      <c r="K94" s="362"/>
      <c r="S94" s="333"/>
    </row>
    <row r="95" spans="1:19" ht="15.75" customHeight="1" x14ac:dyDescent="0.25">
      <c r="A95" s="333"/>
      <c r="C95" s="360"/>
      <c r="D95" s="361"/>
      <c r="E95" s="333"/>
      <c r="F95" s="333"/>
      <c r="G95" s="333"/>
      <c r="H95" s="333"/>
      <c r="K95" s="362"/>
      <c r="S95" s="333"/>
    </row>
    <row r="96" spans="1:19" ht="15.75" customHeight="1" x14ac:dyDescent="0.25">
      <c r="A96" s="333"/>
      <c r="C96" s="360"/>
      <c r="D96" s="361"/>
      <c r="E96" s="333"/>
      <c r="F96" s="333"/>
      <c r="G96" s="333"/>
      <c r="H96" s="333"/>
      <c r="K96" s="362"/>
      <c r="S96" s="333"/>
    </row>
    <row r="97" spans="1:19" ht="15.75" customHeight="1" x14ac:dyDescent="0.25">
      <c r="A97" s="333"/>
      <c r="C97" s="360"/>
      <c r="D97" s="361"/>
      <c r="E97" s="333"/>
      <c r="F97" s="333"/>
      <c r="G97" s="333"/>
      <c r="H97" s="333"/>
      <c r="K97" s="362"/>
      <c r="S97" s="333"/>
    </row>
    <row r="98" spans="1:19" ht="15.75" customHeight="1" x14ac:dyDescent="0.25">
      <c r="A98" s="333"/>
      <c r="C98" s="360"/>
      <c r="D98" s="361"/>
      <c r="E98" s="333"/>
      <c r="F98" s="333"/>
      <c r="G98" s="333"/>
      <c r="H98" s="333"/>
      <c r="K98" s="362"/>
      <c r="S98" s="333"/>
    </row>
    <row r="99" spans="1:19" ht="15.75" customHeight="1" x14ac:dyDescent="0.25">
      <c r="A99" s="333"/>
      <c r="C99" s="360"/>
      <c r="D99" s="361"/>
      <c r="E99" s="333"/>
      <c r="F99" s="333"/>
      <c r="G99" s="333"/>
      <c r="H99" s="333"/>
      <c r="K99" s="362"/>
      <c r="S99" s="333"/>
    </row>
    <row r="100" spans="1:19" ht="15.75" customHeight="1" x14ac:dyDescent="0.25">
      <c r="A100" s="333"/>
      <c r="C100" s="360"/>
      <c r="D100" s="361"/>
      <c r="E100" s="333"/>
      <c r="F100" s="333"/>
      <c r="G100" s="333"/>
      <c r="H100" s="333"/>
      <c r="K100" s="362"/>
      <c r="S100" s="333"/>
    </row>
    <row r="101" spans="1:19" ht="15.75" customHeight="1" x14ac:dyDescent="0.25">
      <c r="A101" s="333"/>
      <c r="C101" s="360"/>
      <c r="D101" s="361"/>
      <c r="E101" s="333"/>
      <c r="F101" s="333"/>
      <c r="G101" s="333"/>
      <c r="H101" s="333"/>
      <c r="K101" s="362"/>
      <c r="S101" s="333"/>
    </row>
    <row r="102" spans="1:19" ht="15.75" customHeight="1" x14ac:dyDescent="0.25">
      <c r="A102" s="333"/>
      <c r="C102" s="360"/>
      <c r="D102" s="361"/>
      <c r="E102" s="333"/>
      <c r="F102" s="333"/>
      <c r="G102" s="333"/>
      <c r="H102" s="333"/>
      <c r="K102" s="362"/>
      <c r="S102" s="333"/>
    </row>
    <row r="103" spans="1:19" ht="15.75" customHeight="1" x14ac:dyDescent="0.25">
      <c r="A103" s="333"/>
      <c r="C103" s="360"/>
      <c r="D103" s="361"/>
      <c r="E103" s="333"/>
      <c r="F103" s="333"/>
      <c r="G103" s="333"/>
      <c r="H103" s="333"/>
      <c r="K103" s="362"/>
      <c r="S103" s="333"/>
    </row>
    <row r="104" spans="1:19" ht="15.75" customHeight="1" x14ac:dyDescent="0.25">
      <c r="A104" s="333"/>
      <c r="C104" s="360"/>
      <c r="D104" s="361"/>
      <c r="E104" s="333"/>
      <c r="F104" s="333"/>
      <c r="G104" s="333"/>
      <c r="H104" s="333"/>
      <c r="K104" s="362"/>
      <c r="S104" s="333"/>
    </row>
    <row r="105" spans="1:19" ht="15.75" customHeight="1" x14ac:dyDescent="0.25">
      <c r="A105" s="333"/>
      <c r="C105" s="360"/>
      <c r="D105" s="361"/>
      <c r="E105" s="333"/>
      <c r="F105" s="333"/>
      <c r="G105" s="333"/>
      <c r="H105" s="333"/>
      <c r="K105" s="362"/>
      <c r="S105" s="333"/>
    </row>
    <row r="106" spans="1:19" ht="15.75" customHeight="1" x14ac:dyDescent="0.25">
      <c r="A106" s="333"/>
      <c r="C106" s="360"/>
      <c r="D106" s="361"/>
      <c r="E106" s="333"/>
      <c r="F106" s="333"/>
      <c r="G106" s="333"/>
      <c r="H106" s="333"/>
      <c r="K106" s="362"/>
      <c r="S106" s="333"/>
    </row>
    <row r="107" spans="1:19" ht="15.75" customHeight="1" x14ac:dyDescent="0.25">
      <c r="A107" s="333"/>
      <c r="C107" s="360"/>
      <c r="D107" s="361"/>
      <c r="E107" s="333"/>
      <c r="F107" s="333"/>
      <c r="G107" s="333"/>
      <c r="H107" s="333"/>
      <c r="K107" s="362"/>
      <c r="S107" s="333"/>
    </row>
    <row r="108" spans="1:19" ht="15.75" customHeight="1" x14ac:dyDescent="0.25">
      <c r="A108" s="333"/>
      <c r="C108" s="360"/>
      <c r="D108" s="361"/>
      <c r="E108" s="333"/>
      <c r="F108" s="333"/>
      <c r="G108" s="333"/>
      <c r="H108" s="333"/>
      <c r="K108" s="362"/>
      <c r="S108" s="333"/>
    </row>
    <row r="109" spans="1:19" ht="15.75" customHeight="1" x14ac:dyDescent="0.25">
      <c r="A109" s="333"/>
      <c r="C109" s="360"/>
      <c r="D109" s="361"/>
      <c r="E109" s="333"/>
      <c r="F109" s="333"/>
      <c r="G109" s="333"/>
      <c r="H109" s="333"/>
      <c r="K109" s="362"/>
      <c r="S109" s="333"/>
    </row>
    <row r="110" spans="1:19" ht="15.75" customHeight="1" x14ac:dyDescent="0.25">
      <c r="A110" s="333"/>
      <c r="C110" s="360"/>
      <c r="D110" s="361"/>
      <c r="E110" s="333"/>
      <c r="F110" s="333"/>
      <c r="G110" s="333"/>
      <c r="H110" s="333"/>
      <c r="K110" s="362"/>
      <c r="S110" s="333"/>
    </row>
    <row r="111" spans="1:19" ht="15.75" customHeight="1" x14ac:dyDescent="0.25">
      <c r="A111" s="333"/>
      <c r="C111" s="360"/>
      <c r="D111" s="361"/>
      <c r="E111" s="333"/>
      <c r="F111" s="333"/>
      <c r="G111" s="333"/>
      <c r="H111" s="333"/>
      <c r="K111" s="362"/>
      <c r="S111" s="333"/>
    </row>
    <row r="112" spans="1:19" ht="15.75" customHeight="1" x14ac:dyDescent="0.25">
      <c r="A112" s="333"/>
      <c r="C112" s="360"/>
      <c r="D112" s="361"/>
      <c r="E112" s="333"/>
      <c r="F112" s="333"/>
      <c r="G112" s="333"/>
      <c r="H112" s="333"/>
      <c r="K112" s="362"/>
      <c r="S112" s="333"/>
    </row>
    <row r="113" spans="1:19" ht="15.75" customHeight="1" x14ac:dyDescent="0.25">
      <c r="A113" s="333"/>
      <c r="C113" s="360"/>
      <c r="D113" s="361"/>
      <c r="E113" s="333"/>
      <c r="F113" s="333"/>
      <c r="G113" s="333"/>
      <c r="H113" s="333"/>
      <c r="K113" s="362"/>
      <c r="S113" s="333"/>
    </row>
    <row r="114" spans="1:19" ht="15.75" customHeight="1" x14ac:dyDescent="0.25">
      <c r="A114" s="333"/>
      <c r="C114" s="360"/>
      <c r="D114" s="361"/>
      <c r="E114" s="333"/>
      <c r="F114" s="333"/>
      <c r="G114" s="333"/>
      <c r="H114" s="333"/>
      <c r="K114" s="362"/>
      <c r="S114" s="333"/>
    </row>
    <row r="115" spans="1:19" ht="15.75" customHeight="1" x14ac:dyDescent="0.25">
      <c r="A115" s="333"/>
      <c r="C115" s="360"/>
      <c r="D115" s="361"/>
      <c r="E115" s="333"/>
      <c r="F115" s="333"/>
      <c r="G115" s="333"/>
      <c r="H115" s="333"/>
      <c r="K115" s="362"/>
      <c r="S115" s="333"/>
    </row>
    <row r="116" spans="1:19" ht="15.75" customHeight="1" x14ac:dyDescent="0.25">
      <c r="A116" s="333"/>
      <c r="C116" s="360"/>
      <c r="D116" s="361"/>
      <c r="E116" s="333"/>
      <c r="F116" s="333"/>
      <c r="G116" s="333"/>
      <c r="H116" s="333"/>
      <c r="K116" s="362"/>
      <c r="S116" s="333"/>
    </row>
    <row r="117" spans="1:19" ht="15.75" customHeight="1" x14ac:dyDescent="0.25">
      <c r="A117" s="333"/>
      <c r="C117" s="360"/>
      <c r="D117" s="361"/>
      <c r="E117" s="333"/>
      <c r="F117" s="333"/>
      <c r="G117" s="333"/>
      <c r="H117" s="333"/>
      <c r="K117" s="362"/>
      <c r="S117" s="333"/>
    </row>
    <row r="118" spans="1:19" ht="15.75" customHeight="1" x14ac:dyDescent="0.25">
      <c r="A118" s="333"/>
      <c r="C118" s="360"/>
      <c r="D118" s="361"/>
      <c r="E118" s="333"/>
      <c r="F118" s="333"/>
      <c r="G118" s="333"/>
      <c r="H118" s="333"/>
      <c r="K118" s="362"/>
      <c r="S118" s="333"/>
    </row>
    <row r="119" spans="1:19" ht="15.75" customHeight="1" x14ac:dyDescent="0.25">
      <c r="A119" s="333"/>
      <c r="C119" s="360"/>
      <c r="D119" s="361"/>
      <c r="E119" s="333"/>
      <c r="F119" s="333"/>
      <c r="G119" s="333"/>
      <c r="H119" s="333"/>
      <c r="K119" s="362"/>
      <c r="S119" s="333"/>
    </row>
    <row r="120" spans="1:19" ht="15.75" customHeight="1" x14ac:dyDescent="0.25">
      <c r="A120" s="333"/>
      <c r="C120" s="360"/>
      <c r="D120" s="361"/>
      <c r="E120" s="333"/>
      <c r="F120" s="333"/>
      <c r="G120" s="333"/>
      <c r="H120" s="333"/>
      <c r="K120" s="362"/>
      <c r="S120" s="333"/>
    </row>
    <row r="121" spans="1:19" ht="15.75" customHeight="1" x14ac:dyDescent="0.25">
      <c r="A121" s="333"/>
      <c r="C121" s="360"/>
      <c r="D121" s="361"/>
      <c r="E121" s="333"/>
      <c r="F121" s="333"/>
      <c r="G121" s="333"/>
      <c r="H121" s="333"/>
      <c r="K121" s="362"/>
      <c r="S121" s="333"/>
    </row>
    <row r="122" spans="1:19" ht="15.75" customHeight="1" x14ac:dyDescent="0.25">
      <c r="A122" s="333"/>
      <c r="C122" s="360"/>
      <c r="D122" s="361"/>
      <c r="E122" s="333"/>
      <c r="F122" s="333"/>
      <c r="G122" s="333"/>
      <c r="H122" s="333"/>
      <c r="K122" s="362"/>
      <c r="S122" s="333"/>
    </row>
    <row r="123" spans="1:19" ht="15.75" customHeight="1" x14ac:dyDescent="0.25">
      <c r="A123" s="333"/>
      <c r="C123" s="360"/>
      <c r="D123" s="361"/>
      <c r="E123" s="333"/>
      <c r="F123" s="333"/>
      <c r="G123" s="333"/>
      <c r="H123" s="333"/>
      <c r="K123" s="362"/>
      <c r="S123" s="333"/>
    </row>
    <row r="124" spans="1:19" ht="15.75" customHeight="1" x14ac:dyDescent="0.25">
      <c r="A124" s="333"/>
      <c r="C124" s="360"/>
      <c r="D124" s="361"/>
      <c r="E124" s="333"/>
      <c r="F124" s="333"/>
      <c r="G124" s="333"/>
      <c r="H124" s="333"/>
      <c r="K124" s="362"/>
      <c r="S124" s="333"/>
    </row>
    <row r="125" spans="1:19" ht="15.75" customHeight="1" x14ac:dyDescent="0.25">
      <c r="A125" s="333"/>
      <c r="C125" s="360"/>
      <c r="D125" s="361"/>
      <c r="E125" s="333"/>
      <c r="F125" s="333"/>
      <c r="G125" s="333"/>
      <c r="H125" s="333"/>
      <c r="K125" s="362"/>
      <c r="S125" s="333"/>
    </row>
    <row r="126" spans="1:19" ht="15.75" customHeight="1" x14ac:dyDescent="0.25">
      <c r="A126" s="333"/>
      <c r="C126" s="360"/>
      <c r="D126" s="361"/>
      <c r="E126" s="333"/>
      <c r="F126" s="333"/>
      <c r="G126" s="333"/>
      <c r="H126" s="333"/>
      <c r="K126" s="362"/>
      <c r="S126" s="333"/>
    </row>
    <row r="127" spans="1:19" ht="15.75" customHeight="1" x14ac:dyDescent="0.25">
      <c r="A127" s="333"/>
      <c r="C127" s="360"/>
      <c r="D127" s="361"/>
      <c r="E127" s="333"/>
      <c r="F127" s="333"/>
      <c r="G127" s="333"/>
      <c r="H127" s="333"/>
      <c r="K127" s="362"/>
      <c r="S127" s="333"/>
    </row>
    <row r="128" spans="1:19" ht="15.75" customHeight="1" x14ac:dyDescent="0.25">
      <c r="A128" s="333"/>
      <c r="C128" s="360"/>
      <c r="D128" s="361"/>
      <c r="E128" s="333"/>
      <c r="F128" s="333"/>
      <c r="G128" s="333"/>
      <c r="H128" s="333"/>
      <c r="K128" s="362"/>
      <c r="S128" s="333"/>
    </row>
    <row r="129" spans="1:19" ht="15.75" customHeight="1" x14ac:dyDescent="0.25">
      <c r="A129" s="333"/>
      <c r="C129" s="360"/>
      <c r="D129" s="361"/>
      <c r="E129" s="333"/>
      <c r="F129" s="333"/>
      <c r="G129" s="333"/>
      <c r="H129" s="333"/>
      <c r="K129" s="362"/>
      <c r="S129" s="333"/>
    </row>
    <row r="130" spans="1:19" ht="15.75" customHeight="1" x14ac:dyDescent="0.25">
      <c r="A130" s="333"/>
      <c r="C130" s="360"/>
      <c r="D130" s="361"/>
      <c r="E130" s="333"/>
      <c r="F130" s="333"/>
      <c r="G130" s="333"/>
      <c r="H130" s="333"/>
      <c r="K130" s="362"/>
      <c r="S130" s="333"/>
    </row>
    <row r="131" spans="1:19" ht="15.75" customHeight="1" x14ac:dyDescent="0.25">
      <c r="A131" s="333"/>
      <c r="C131" s="360"/>
      <c r="D131" s="361"/>
      <c r="E131" s="333"/>
      <c r="F131" s="333"/>
      <c r="G131" s="333"/>
      <c r="H131" s="333"/>
      <c r="K131" s="362"/>
      <c r="S131" s="333"/>
    </row>
    <row r="132" spans="1:19" ht="15.75" customHeight="1" x14ac:dyDescent="0.25">
      <c r="A132" s="333"/>
      <c r="C132" s="360"/>
      <c r="D132" s="361"/>
      <c r="E132" s="333"/>
      <c r="F132" s="333"/>
      <c r="G132" s="333"/>
      <c r="H132" s="333"/>
      <c r="K132" s="362"/>
      <c r="S132" s="333"/>
    </row>
    <row r="133" spans="1:19" ht="15.75" customHeight="1" x14ac:dyDescent="0.25">
      <c r="A133" s="333"/>
      <c r="C133" s="360"/>
      <c r="D133" s="361"/>
      <c r="E133" s="333"/>
      <c r="F133" s="333"/>
      <c r="G133" s="333"/>
      <c r="H133" s="333"/>
      <c r="K133" s="362"/>
      <c r="S133" s="333"/>
    </row>
    <row r="134" spans="1:19" ht="15.75" customHeight="1" x14ac:dyDescent="0.25">
      <c r="A134" s="333"/>
      <c r="C134" s="360"/>
      <c r="D134" s="361"/>
      <c r="E134" s="333"/>
      <c r="F134" s="333"/>
      <c r="G134" s="333"/>
      <c r="H134" s="333"/>
      <c r="K134" s="362"/>
      <c r="S134" s="333"/>
    </row>
    <row r="135" spans="1:19" ht="15.75" customHeight="1" x14ac:dyDescent="0.25">
      <c r="A135" s="333"/>
      <c r="C135" s="360"/>
      <c r="D135" s="361"/>
      <c r="E135" s="333"/>
      <c r="F135" s="333"/>
      <c r="G135" s="333"/>
      <c r="H135" s="333"/>
      <c r="K135" s="362"/>
      <c r="S135" s="333"/>
    </row>
    <row r="136" spans="1:19" ht="15.75" customHeight="1" x14ac:dyDescent="0.25">
      <c r="A136" s="333"/>
      <c r="C136" s="360"/>
      <c r="D136" s="361"/>
      <c r="E136" s="333"/>
      <c r="F136" s="333"/>
      <c r="G136" s="333"/>
      <c r="H136" s="333"/>
      <c r="K136" s="362"/>
      <c r="S136" s="333"/>
    </row>
    <row r="137" spans="1:19" ht="15.75" customHeight="1" x14ac:dyDescent="0.25">
      <c r="A137" s="333"/>
      <c r="C137" s="360"/>
      <c r="D137" s="361"/>
      <c r="E137" s="333"/>
      <c r="F137" s="333"/>
      <c r="G137" s="333"/>
      <c r="H137" s="333"/>
      <c r="K137" s="362"/>
      <c r="S137" s="333"/>
    </row>
    <row r="138" spans="1:19" ht="15.75" customHeight="1" x14ac:dyDescent="0.25">
      <c r="A138" s="333"/>
      <c r="C138" s="360"/>
      <c r="D138" s="361"/>
      <c r="E138" s="333"/>
      <c r="F138" s="333"/>
      <c r="G138" s="333"/>
      <c r="H138" s="333"/>
      <c r="K138" s="362"/>
      <c r="S138" s="333"/>
    </row>
    <row r="139" spans="1:19" ht="15.75" customHeight="1" x14ac:dyDescent="0.25">
      <c r="A139" s="333"/>
      <c r="C139" s="360"/>
      <c r="D139" s="361"/>
      <c r="E139" s="333"/>
      <c r="F139" s="333"/>
      <c r="G139" s="333"/>
      <c r="H139" s="333"/>
      <c r="K139" s="362"/>
      <c r="S139" s="333"/>
    </row>
    <row r="140" spans="1:19" ht="15.75" customHeight="1" x14ac:dyDescent="0.25">
      <c r="A140" s="333"/>
      <c r="C140" s="360"/>
      <c r="D140" s="361"/>
      <c r="E140" s="333"/>
      <c r="F140" s="333"/>
      <c r="G140" s="333"/>
      <c r="H140" s="333"/>
      <c r="K140" s="362"/>
      <c r="S140" s="333"/>
    </row>
    <row r="141" spans="1:19" ht="15.75" customHeight="1" x14ac:dyDescent="0.25">
      <c r="A141" s="333"/>
      <c r="C141" s="360"/>
      <c r="D141" s="361"/>
      <c r="E141" s="333"/>
      <c r="F141" s="333"/>
      <c r="G141" s="333"/>
      <c r="H141" s="333"/>
      <c r="K141" s="362"/>
      <c r="S141" s="333"/>
    </row>
    <row r="142" spans="1:19" ht="15.75" customHeight="1" x14ac:dyDescent="0.25">
      <c r="A142" s="333"/>
      <c r="C142" s="360"/>
      <c r="D142" s="361"/>
      <c r="E142" s="333"/>
      <c r="F142" s="333"/>
      <c r="G142" s="333"/>
      <c r="H142" s="333"/>
      <c r="K142" s="362"/>
      <c r="S142" s="333"/>
    </row>
    <row r="143" spans="1:19" ht="15.75" customHeight="1" x14ac:dyDescent="0.25">
      <c r="A143" s="333"/>
      <c r="C143" s="360"/>
      <c r="D143" s="361"/>
      <c r="E143" s="333"/>
      <c r="F143" s="333"/>
      <c r="G143" s="333"/>
      <c r="H143" s="333"/>
      <c r="K143" s="362"/>
      <c r="S143" s="333"/>
    </row>
    <row r="144" spans="1:19" ht="15.75" customHeight="1" x14ac:dyDescent="0.25">
      <c r="A144" s="333"/>
      <c r="C144" s="360"/>
      <c r="D144" s="361"/>
      <c r="E144" s="333"/>
      <c r="F144" s="333"/>
      <c r="G144" s="333"/>
      <c r="H144" s="333"/>
      <c r="K144" s="362"/>
      <c r="S144" s="333"/>
    </row>
    <row r="145" spans="1:19" ht="15.75" customHeight="1" x14ac:dyDescent="0.25">
      <c r="A145" s="333"/>
      <c r="C145" s="360"/>
      <c r="D145" s="361"/>
      <c r="E145" s="333"/>
      <c r="F145" s="333"/>
      <c r="G145" s="333"/>
      <c r="H145" s="333"/>
      <c r="K145" s="362"/>
      <c r="S145" s="333"/>
    </row>
    <row r="146" spans="1:19" ht="15.75" customHeight="1" x14ac:dyDescent="0.25">
      <c r="A146" s="333"/>
      <c r="C146" s="360"/>
      <c r="D146" s="361"/>
      <c r="E146" s="333"/>
      <c r="F146" s="333"/>
      <c r="G146" s="333"/>
      <c r="H146" s="333"/>
      <c r="K146" s="362"/>
      <c r="S146" s="333"/>
    </row>
    <row r="147" spans="1:19" ht="15.75" customHeight="1" x14ac:dyDescent="0.25">
      <c r="A147" s="333"/>
      <c r="C147" s="360"/>
      <c r="D147" s="361"/>
      <c r="E147" s="333"/>
      <c r="F147" s="333"/>
      <c r="G147" s="333"/>
      <c r="H147" s="333"/>
      <c r="K147" s="362"/>
      <c r="S147" s="333"/>
    </row>
    <row r="148" spans="1:19" ht="15.75" customHeight="1" x14ac:dyDescent="0.25">
      <c r="A148" s="333"/>
      <c r="C148" s="360"/>
      <c r="D148" s="361"/>
      <c r="E148" s="333"/>
      <c r="F148" s="333"/>
      <c r="G148" s="333"/>
      <c r="H148" s="333"/>
      <c r="K148" s="362"/>
      <c r="S148" s="333"/>
    </row>
    <row r="149" spans="1:19" ht="15.75" customHeight="1" x14ac:dyDescent="0.25">
      <c r="A149" s="333"/>
      <c r="C149" s="360"/>
      <c r="D149" s="361"/>
      <c r="E149" s="333"/>
      <c r="F149" s="333"/>
      <c r="G149" s="333"/>
      <c r="H149" s="333"/>
      <c r="K149" s="362"/>
      <c r="S149" s="333"/>
    </row>
    <row r="150" spans="1:19" ht="15.75" customHeight="1" x14ac:dyDescent="0.25">
      <c r="A150" s="333"/>
      <c r="C150" s="360"/>
      <c r="D150" s="361"/>
      <c r="E150" s="333"/>
      <c r="F150" s="333"/>
      <c r="G150" s="333"/>
      <c r="H150" s="333"/>
      <c r="K150" s="362"/>
      <c r="S150" s="333"/>
    </row>
    <row r="151" spans="1:19" ht="15.75" customHeight="1" x14ac:dyDescent="0.25">
      <c r="A151" s="333"/>
      <c r="C151" s="360"/>
      <c r="D151" s="361"/>
      <c r="E151" s="333"/>
      <c r="F151" s="333"/>
      <c r="G151" s="333"/>
      <c r="H151" s="333"/>
      <c r="K151" s="362"/>
      <c r="S151" s="333"/>
    </row>
    <row r="152" spans="1:19" ht="15.75" customHeight="1" x14ac:dyDescent="0.25">
      <c r="A152" s="333"/>
      <c r="C152" s="360"/>
      <c r="D152" s="361"/>
      <c r="E152" s="333"/>
      <c r="F152" s="333"/>
      <c r="G152" s="333"/>
      <c r="H152" s="333"/>
      <c r="K152" s="362"/>
      <c r="S152" s="333"/>
    </row>
    <row r="153" spans="1:19" ht="15.75" customHeight="1" x14ac:dyDescent="0.25">
      <c r="A153" s="333"/>
      <c r="C153" s="360"/>
      <c r="D153" s="361"/>
      <c r="E153" s="333"/>
      <c r="F153" s="333"/>
      <c r="G153" s="333"/>
      <c r="H153" s="333"/>
      <c r="K153" s="362"/>
      <c r="S153" s="333"/>
    </row>
    <row r="154" spans="1:19" ht="15.75" customHeight="1" x14ac:dyDescent="0.25">
      <c r="A154" s="333"/>
      <c r="C154" s="360"/>
      <c r="D154" s="361"/>
      <c r="E154" s="333"/>
      <c r="F154" s="333"/>
      <c r="G154" s="333"/>
      <c r="H154" s="333"/>
      <c r="K154" s="362"/>
      <c r="S154" s="333"/>
    </row>
    <row r="155" spans="1:19" ht="15.75" customHeight="1" x14ac:dyDescent="0.25">
      <c r="A155" s="333"/>
      <c r="C155" s="360"/>
      <c r="D155" s="361"/>
      <c r="E155" s="333"/>
      <c r="F155" s="333"/>
      <c r="G155" s="333"/>
      <c r="H155" s="333"/>
      <c r="K155" s="362"/>
      <c r="S155" s="333"/>
    </row>
    <row r="156" spans="1:19" ht="15.75" customHeight="1" x14ac:dyDescent="0.25">
      <c r="A156" s="333"/>
      <c r="C156" s="360"/>
      <c r="D156" s="361"/>
      <c r="E156" s="333"/>
      <c r="F156" s="333"/>
      <c r="G156" s="333"/>
      <c r="H156" s="333"/>
      <c r="K156" s="362"/>
      <c r="S156" s="333"/>
    </row>
    <row r="157" spans="1:19" ht="15.75" customHeight="1" x14ac:dyDescent="0.25">
      <c r="A157" s="333"/>
      <c r="C157" s="360"/>
      <c r="D157" s="361"/>
      <c r="E157" s="333"/>
      <c r="F157" s="333"/>
      <c r="G157" s="333"/>
      <c r="H157" s="333"/>
      <c r="K157" s="362"/>
      <c r="S157" s="333"/>
    </row>
    <row r="158" spans="1:19" ht="15.75" customHeight="1" x14ac:dyDescent="0.25">
      <c r="A158" s="333"/>
      <c r="C158" s="360"/>
      <c r="D158" s="361"/>
      <c r="E158" s="333"/>
      <c r="F158" s="333"/>
      <c r="G158" s="333"/>
      <c r="H158" s="333"/>
      <c r="K158" s="362"/>
      <c r="S158" s="333"/>
    </row>
    <row r="159" spans="1:19" ht="15.75" customHeight="1" x14ac:dyDescent="0.25">
      <c r="A159" s="333"/>
      <c r="C159" s="360"/>
      <c r="D159" s="361"/>
      <c r="E159" s="333"/>
      <c r="F159" s="333"/>
      <c r="G159" s="333"/>
      <c r="H159" s="333"/>
      <c r="K159" s="362"/>
      <c r="S159" s="333"/>
    </row>
    <row r="160" spans="1:19" ht="15.75" customHeight="1" x14ac:dyDescent="0.25">
      <c r="A160" s="333"/>
      <c r="C160" s="360"/>
      <c r="D160" s="361"/>
      <c r="E160" s="333"/>
      <c r="F160" s="333"/>
      <c r="G160" s="333"/>
      <c r="H160" s="333"/>
      <c r="K160" s="362"/>
      <c r="S160" s="333"/>
    </row>
    <row r="161" spans="1:19" ht="15.75" customHeight="1" x14ac:dyDescent="0.25">
      <c r="A161" s="333"/>
      <c r="C161" s="360"/>
      <c r="D161" s="361"/>
      <c r="E161" s="333"/>
      <c r="F161" s="333"/>
      <c r="G161" s="333"/>
      <c r="H161" s="333"/>
      <c r="K161" s="362"/>
      <c r="S161" s="333"/>
    </row>
    <row r="162" spans="1:19" ht="15.75" customHeight="1" x14ac:dyDescent="0.25">
      <c r="A162" s="333"/>
      <c r="C162" s="360"/>
      <c r="D162" s="361"/>
      <c r="E162" s="333"/>
      <c r="F162" s="333"/>
      <c r="G162" s="333"/>
      <c r="H162" s="333"/>
      <c r="K162" s="362"/>
      <c r="S162" s="333"/>
    </row>
    <row r="163" spans="1:19" ht="15.75" customHeight="1" x14ac:dyDescent="0.25">
      <c r="A163" s="333"/>
      <c r="C163" s="360"/>
      <c r="D163" s="361"/>
      <c r="E163" s="333"/>
      <c r="F163" s="333"/>
      <c r="G163" s="333"/>
      <c r="H163" s="333"/>
      <c r="K163" s="362"/>
      <c r="S163" s="333"/>
    </row>
    <row r="164" spans="1:19" ht="15.75" customHeight="1" x14ac:dyDescent="0.25">
      <c r="A164" s="333"/>
      <c r="C164" s="360"/>
      <c r="D164" s="361"/>
      <c r="E164" s="333"/>
      <c r="F164" s="333"/>
      <c r="G164" s="333"/>
      <c r="H164" s="333"/>
      <c r="K164" s="362"/>
      <c r="S164" s="333"/>
    </row>
    <row r="165" spans="1:19" ht="15.75" customHeight="1" x14ac:dyDescent="0.25">
      <c r="A165" s="333"/>
      <c r="C165" s="360"/>
      <c r="D165" s="361"/>
      <c r="E165" s="333"/>
      <c r="F165" s="333"/>
      <c r="G165" s="333"/>
      <c r="H165" s="333"/>
      <c r="K165" s="362"/>
      <c r="S165" s="333"/>
    </row>
    <row r="166" spans="1:19" ht="15.75" customHeight="1" x14ac:dyDescent="0.25">
      <c r="A166" s="333"/>
      <c r="C166" s="360"/>
      <c r="D166" s="361"/>
      <c r="E166" s="333"/>
      <c r="F166" s="333"/>
      <c r="G166" s="333"/>
      <c r="H166" s="333"/>
      <c r="K166" s="362"/>
      <c r="S166" s="333"/>
    </row>
    <row r="167" spans="1:19" ht="15.75" customHeight="1" x14ac:dyDescent="0.25">
      <c r="A167" s="333"/>
      <c r="C167" s="360"/>
      <c r="D167" s="361"/>
      <c r="E167" s="333"/>
      <c r="F167" s="333"/>
      <c r="G167" s="333"/>
      <c r="H167" s="333"/>
      <c r="K167" s="362"/>
      <c r="S167" s="333"/>
    </row>
    <row r="168" spans="1:19" ht="15.75" customHeight="1" x14ac:dyDescent="0.25">
      <c r="A168" s="333"/>
      <c r="C168" s="360"/>
      <c r="D168" s="361"/>
      <c r="E168" s="333"/>
      <c r="F168" s="333"/>
      <c r="G168" s="333"/>
      <c r="H168" s="333"/>
      <c r="K168" s="362"/>
      <c r="S168" s="333"/>
    </row>
    <row r="169" spans="1:19" ht="15.75" customHeight="1" x14ac:dyDescent="0.25">
      <c r="A169" s="333"/>
      <c r="C169" s="360"/>
      <c r="D169" s="361"/>
      <c r="E169" s="333"/>
      <c r="F169" s="333"/>
      <c r="G169" s="333"/>
      <c r="H169" s="333"/>
      <c r="K169" s="362"/>
      <c r="S169" s="333"/>
    </row>
    <row r="170" spans="1:19" ht="15.75" customHeight="1" x14ac:dyDescent="0.25">
      <c r="A170" s="333"/>
      <c r="C170" s="360"/>
      <c r="D170" s="361"/>
      <c r="E170" s="333"/>
      <c r="F170" s="333"/>
      <c r="G170" s="333"/>
      <c r="H170" s="333"/>
      <c r="K170" s="362"/>
      <c r="S170" s="333"/>
    </row>
    <row r="171" spans="1:19" ht="15.75" customHeight="1" x14ac:dyDescent="0.25">
      <c r="A171" s="333"/>
      <c r="C171" s="360"/>
      <c r="D171" s="361"/>
      <c r="E171" s="333"/>
      <c r="F171" s="333"/>
      <c r="G171" s="333"/>
      <c r="H171" s="333"/>
      <c r="K171" s="362"/>
      <c r="S171" s="333"/>
    </row>
    <row r="172" spans="1:19" ht="15.75" customHeight="1" x14ac:dyDescent="0.25">
      <c r="A172" s="333"/>
      <c r="C172" s="360"/>
      <c r="D172" s="361"/>
      <c r="E172" s="333"/>
      <c r="F172" s="333"/>
      <c r="G172" s="333"/>
      <c r="H172" s="333"/>
      <c r="K172" s="362"/>
      <c r="S172" s="333"/>
    </row>
    <row r="173" spans="1:19" ht="15.75" customHeight="1" x14ac:dyDescent="0.25">
      <c r="A173" s="333"/>
      <c r="C173" s="360"/>
      <c r="D173" s="361"/>
      <c r="E173" s="333"/>
      <c r="F173" s="333"/>
      <c r="G173" s="333"/>
      <c r="H173" s="333"/>
      <c r="K173" s="362"/>
      <c r="S173" s="333"/>
    </row>
    <row r="174" spans="1:19" ht="15.75" customHeight="1" x14ac:dyDescent="0.25">
      <c r="A174" s="333"/>
      <c r="C174" s="360"/>
      <c r="D174" s="361"/>
      <c r="E174" s="333"/>
      <c r="F174" s="333"/>
      <c r="G174" s="333"/>
      <c r="H174" s="333"/>
      <c r="K174" s="362"/>
      <c r="S174" s="333"/>
    </row>
    <row r="175" spans="1:19" ht="15.75" customHeight="1" x14ac:dyDescent="0.25">
      <c r="A175" s="333"/>
      <c r="C175" s="360"/>
      <c r="D175" s="361"/>
      <c r="E175" s="333"/>
      <c r="F175" s="333"/>
      <c r="G175" s="333"/>
      <c r="H175" s="333"/>
      <c r="K175" s="362"/>
      <c r="S175" s="333"/>
    </row>
    <row r="176" spans="1:19" ht="15.75" customHeight="1" x14ac:dyDescent="0.25">
      <c r="A176" s="333"/>
      <c r="C176" s="360"/>
      <c r="D176" s="361"/>
      <c r="E176" s="333"/>
      <c r="F176" s="333"/>
      <c r="G176" s="333"/>
      <c r="H176" s="333"/>
      <c r="K176" s="362"/>
      <c r="S176" s="333"/>
    </row>
    <row r="177" spans="1:19" ht="15.75" customHeight="1" x14ac:dyDescent="0.25">
      <c r="A177" s="333"/>
      <c r="C177" s="360"/>
      <c r="D177" s="361"/>
      <c r="E177" s="333"/>
      <c r="F177" s="333"/>
      <c r="G177" s="333"/>
      <c r="H177" s="333"/>
      <c r="K177" s="362"/>
      <c r="S177" s="333"/>
    </row>
    <row r="178" spans="1:19" ht="15.75" customHeight="1" x14ac:dyDescent="0.25">
      <c r="A178" s="333"/>
      <c r="C178" s="360"/>
      <c r="D178" s="361"/>
      <c r="E178" s="333"/>
      <c r="F178" s="333"/>
      <c r="G178" s="333"/>
      <c r="H178" s="333"/>
      <c r="K178" s="362"/>
      <c r="S178" s="333"/>
    </row>
    <row r="179" spans="1:19" ht="15.75" customHeight="1" x14ac:dyDescent="0.25">
      <c r="A179" s="333"/>
      <c r="C179" s="360"/>
      <c r="D179" s="361"/>
      <c r="E179" s="333"/>
      <c r="F179" s="333"/>
      <c r="G179" s="333"/>
      <c r="H179" s="333"/>
      <c r="K179" s="362"/>
      <c r="S179" s="333"/>
    </row>
    <row r="180" spans="1:19" ht="15.75" customHeight="1" x14ac:dyDescent="0.25">
      <c r="A180" s="333"/>
      <c r="C180" s="360"/>
      <c r="D180" s="361"/>
      <c r="E180" s="333"/>
      <c r="F180" s="333"/>
      <c r="G180" s="333"/>
      <c r="H180" s="333"/>
      <c r="K180" s="362"/>
      <c r="S180" s="333"/>
    </row>
    <row r="181" spans="1:19" ht="15.75" customHeight="1" x14ac:dyDescent="0.25">
      <c r="A181" s="333"/>
      <c r="C181" s="360"/>
      <c r="D181" s="361"/>
      <c r="E181" s="333"/>
      <c r="F181" s="333"/>
      <c r="G181" s="333"/>
      <c r="H181" s="333"/>
      <c r="K181" s="362"/>
      <c r="S181" s="333"/>
    </row>
    <row r="182" spans="1:19" ht="15.75" customHeight="1" x14ac:dyDescent="0.25">
      <c r="A182" s="333"/>
      <c r="C182" s="360"/>
      <c r="D182" s="361"/>
      <c r="E182" s="333"/>
      <c r="F182" s="333"/>
      <c r="G182" s="333"/>
      <c r="H182" s="333"/>
      <c r="K182" s="362"/>
      <c r="S182" s="333"/>
    </row>
    <row r="183" spans="1:19" ht="15.75" customHeight="1" x14ac:dyDescent="0.25">
      <c r="A183" s="333"/>
      <c r="C183" s="360"/>
      <c r="D183" s="361"/>
      <c r="E183" s="333"/>
      <c r="F183" s="333"/>
      <c r="G183" s="333"/>
      <c r="H183" s="333"/>
      <c r="K183" s="362"/>
      <c r="S183" s="333"/>
    </row>
    <row r="184" spans="1:19" ht="15.75" customHeight="1" x14ac:dyDescent="0.25">
      <c r="A184" s="333"/>
      <c r="C184" s="360"/>
      <c r="D184" s="361"/>
      <c r="E184" s="333"/>
      <c r="F184" s="333"/>
      <c r="G184" s="333"/>
      <c r="H184" s="333"/>
      <c r="K184" s="362"/>
      <c r="S184" s="333"/>
    </row>
    <row r="185" spans="1:19" ht="15.75" customHeight="1" x14ac:dyDescent="0.25">
      <c r="A185" s="333"/>
      <c r="C185" s="360"/>
      <c r="D185" s="361"/>
      <c r="E185" s="333"/>
      <c r="F185" s="333"/>
      <c r="G185" s="333"/>
      <c r="H185" s="333"/>
      <c r="K185" s="362"/>
      <c r="S185" s="333"/>
    </row>
    <row r="186" spans="1:19" ht="15.75" customHeight="1" x14ac:dyDescent="0.25">
      <c r="A186" s="333"/>
      <c r="C186" s="360"/>
      <c r="D186" s="361"/>
      <c r="E186" s="333"/>
      <c r="F186" s="333"/>
      <c r="G186" s="333"/>
      <c r="H186" s="333"/>
      <c r="K186" s="362"/>
      <c r="S186" s="333"/>
    </row>
    <row r="187" spans="1:19" ht="15.75" customHeight="1" x14ac:dyDescent="0.25">
      <c r="A187" s="333"/>
      <c r="C187" s="360"/>
      <c r="D187" s="361"/>
      <c r="E187" s="333"/>
      <c r="F187" s="333"/>
      <c r="G187" s="333"/>
      <c r="H187" s="333"/>
      <c r="K187" s="362"/>
      <c r="S187" s="333"/>
    </row>
    <row r="188" spans="1:19" ht="15.75" customHeight="1" x14ac:dyDescent="0.25">
      <c r="A188" s="333"/>
      <c r="C188" s="360"/>
      <c r="D188" s="361"/>
      <c r="E188" s="333"/>
      <c r="F188" s="333"/>
      <c r="G188" s="333"/>
      <c r="H188" s="333"/>
      <c r="K188" s="362"/>
      <c r="S188" s="333"/>
    </row>
    <row r="189" spans="1:19" ht="15.75" customHeight="1" x14ac:dyDescent="0.25">
      <c r="A189" s="333"/>
      <c r="C189" s="360"/>
      <c r="D189" s="361"/>
      <c r="E189" s="333"/>
      <c r="F189" s="333"/>
      <c r="G189" s="333"/>
      <c r="H189" s="333"/>
      <c r="K189" s="362"/>
      <c r="S189" s="333"/>
    </row>
    <row r="190" spans="1:19" ht="15.75" customHeight="1" x14ac:dyDescent="0.25">
      <c r="A190" s="333"/>
      <c r="C190" s="360"/>
      <c r="D190" s="361"/>
      <c r="E190" s="333"/>
      <c r="F190" s="333"/>
      <c r="G190" s="333"/>
      <c r="H190" s="333"/>
      <c r="K190" s="362"/>
      <c r="S190" s="333"/>
    </row>
    <row r="191" spans="1:19" ht="15.75" customHeight="1" x14ac:dyDescent="0.25">
      <c r="A191" s="333"/>
      <c r="C191" s="360"/>
      <c r="D191" s="361"/>
      <c r="E191" s="333"/>
      <c r="F191" s="333"/>
      <c r="G191" s="333"/>
      <c r="H191" s="333"/>
      <c r="K191" s="362"/>
      <c r="S191" s="333"/>
    </row>
    <row r="192" spans="1:19" ht="15.75" customHeight="1" x14ac:dyDescent="0.25">
      <c r="A192" s="333"/>
      <c r="C192" s="360"/>
      <c r="D192" s="361"/>
      <c r="E192" s="333"/>
      <c r="F192" s="333"/>
      <c r="G192" s="333"/>
      <c r="H192" s="333"/>
      <c r="K192" s="362"/>
      <c r="S192" s="333"/>
    </row>
    <row r="193" spans="1:19" ht="15.75" customHeight="1" x14ac:dyDescent="0.25">
      <c r="A193" s="333"/>
      <c r="C193" s="360"/>
      <c r="D193" s="361"/>
      <c r="E193" s="333"/>
      <c r="F193" s="333"/>
      <c r="G193" s="333"/>
      <c r="H193" s="333"/>
      <c r="K193" s="362"/>
      <c r="S193" s="333"/>
    </row>
    <row r="194" spans="1:19" ht="15.75" customHeight="1" x14ac:dyDescent="0.25">
      <c r="A194" s="333"/>
      <c r="C194" s="360"/>
      <c r="D194" s="361"/>
      <c r="E194" s="333"/>
      <c r="F194" s="333"/>
      <c r="G194" s="333"/>
      <c r="H194" s="333"/>
      <c r="K194" s="362"/>
      <c r="S194" s="333"/>
    </row>
    <row r="195" spans="1:19" ht="15.75" customHeight="1" x14ac:dyDescent="0.25">
      <c r="A195" s="333"/>
      <c r="C195" s="360"/>
      <c r="D195" s="361"/>
      <c r="E195" s="333"/>
      <c r="F195" s="333"/>
      <c r="G195" s="333"/>
      <c r="H195" s="333"/>
      <c r="K195" s="362"/>
      <c r="S195" s="333"/>
    </row>
    <row r="196" spans="1:19" ht="15.75" customHeight="1" x14ac:dyDescent="0.25">
      <c r="A196" s="333"/>
      <c r="C196" s="360"/>
      <c r="D196" s="361"/>
      <c r="E196" s="333"/>
      <c r="F196" s="333"/>
      <c r="G196" s="333"/>
      <c r="H196" s="333"/>
      <c r="K196" s="362"/>
      <c r="S196" s="333"/>
    </row>
    <row r="197" spans="1:19" ht="15.75" customHeight="1" x14ac:dyDescent="0.25">
      <c r="A197" s="333"/>
      <c r="C197" s="360"/>
      <c r="D197" s="361"/>
      <c r="E197" s="333"/>
      <c r="F197" s="333"/>
      <c r="G197" s="333"/>
      <c r="H197" s="333"/>
      <c r="K197" s="362"/>
      <c r="S197" s="333"/>
    </row>
    <row r="198" spans="1:19" ht="15.75" customHeight="1" x14ac:dyDescent="0.25">
      <c r="A198" s="333"/>
      <c r="C198" s="360"/>
      <c r="D198" s="361"/>
      <c r="E198" s="333"/>
      <c r="F198" s="333"/>
      <c r="G198" s="333"/>
      <c r="H198" s="333"/>
      <c r="K198" s="362"/>
      <c r="S198" s="333"/>
    </row>
    <row r="199" spans="1:19" ht="15.75" customHeight="1" x14ac:dyDescent="0.25">
      <c r="A199" s="333"/>
      <c r="C199" s="360"/>
      <c r="D199" s="361"/>
      <c r="E199" s="333"/>
      <c r="F199" s="333"/>
      <c r="G199" s="333"/>
      <c r="H199" s="333"/>
      <c r="K199" s="362"/>
      <c r="S199" s="333"/>
    </row>
    <row r="200" spans="1:19" ht="15.75" customHeight="1" x14ac:dyDescent="0.25">
      <c r="A200" s="333"/>
      <c r="C200" s="360"/>
      <c r="D200" s="361"/>
      <c r="E200" s="333"/>
      <c r="F200" s="333"/>
      <c r="G200" s="333"/>
      <c r="H200" s="333"/>
      <c r="K200" s="362"/>
      <c r="S200" s="333"/>
    </row>
    <row r="201" spans="1:19" ht="15.75" customHeight="1" x14ac:dyDescent="0.25">
      <c r="A201" s="333"/>
      <c r="C201" s="360"/>
      <c r="D201" s="361"/>
      <c r="E201" s="333"/>
      <c r="F201" s="333"/>
      <c r="G201" s="333"/>
      <c r="H201" s="333"/>
      <c r="K201" s="362"/>
      <c r="S201" s="333"/>
    </row>
    <row r="202" spans="1:19" ht="15.75" customHeight="1" x14ac:dyDescent="0.25">
      <c r="A202" s="333"/>
      <c r="C202" s="360"/>
      <c r="D202" s="361"/>
      <c r="E202" s="333"/>
      <c r="F202" s="333"/>
      <c r="G202" s="333"/>
      <c r="H202" s="333"/>
      <c r="K202" s="362"/>
      <c r="S202" s="333"/>
    </row>
    <row r="203" spans="1:19" ht="15.75" customHeight="1" x14ac:dyDescent="0.25">
      <c r="A203" s="333"/>
      <c r="C203" s="360"/>
      <c r="D203" s="361"/>
      <c r="E203" s="333"/>
      <c r="F203" s="333"/>
      <c r="G203" s="333"/>
      <c r="H203" s="333"/>
      <c r="K203" s="362"/>
      <c r="S203" s="333"/>
    </row>
    <row r="204" spans="1:19" ht="15.75" customHeight="1" x14ac:dyDescent="0.25">
      <c r="A204" s="333"/>
      <c r="C204" s="360"/>
      <c r="D204" s="361"/>
      <c r="E204" s="333"/>
      <c r="F204" s="333"/>
      <c r="G204" s="333"/>
      <c r="H204" s="333"/>
      <c r="K204" s="362"/>
      <c r="S204" s="333"/>
    </row>
    <row r="205" spans="1:19" ht="15.75" customHeight="1" x14ac:dyDescent="0.25">
      <c r="A205" s="333"/>
      <c r="C205" s="360"/>
      <c r="D205" s="361"/>
      <c r="E205" s="333"/>
      <c r="F205" s="333"/>
      <c r="G205" s="333"/>
      <c r="H205" s="333"/>
      <c r="K205" s="362"/>
      <c r="S205" s="333"/>
    </row>
    <row r="206" spans="1:19" ht="15.75" customHeight="1" x14ac:dyDescent="0.25">
      <c r="A206" s="333"/>
      <c r="C206" s="360"/>
      <c r="D206" s="361"/>
      <c r="E206" s="333"/>
      <c r="F206" s="333"/>
      <c r="G206" s="333"/>
      <c r="H206" s="333"/>
      <c r="K206" s="362"/>
      <c r="S206" s="333"/>
    </row>
    <row r="207" spans="1:19" ht="15.75" customHeight="1" x14ac:dyDescent="0.25">
      <c r="A207" s="333"/>
      <c r="C207" s="360"/>
      <c r="D207" s="361"/>
      <c r="E207" s="333"/>
      <c r="F207" s="333"/>
      <c r="G207" s="333"/>
      <c r="H207" s="333"/>
      <c r="K207" s="362"/>
      <c r="S207" s="333"/>
    </row>
    <row r="208" spans="1:19" ht="15.75" customHeight="1" x14ac:dyDescent="0.25">
      <c r="A208" s="333"/>
      <c r="C208" s="360"/>
      <c r="D208" s="361"/>
      <c r="E208" s="333"/>
      <c r="F208" s="333"/>
      <c r="G208" s="333"/>
      <c r="H208" s="333"/>
      <c r="K208" s="362"/>
      <c r="S208" s="333"/>
    </row>
    <row r="209" spans="1:19" ht="15.75" customHeight="1" x14ac:dyDescent="0.25">
      <c r="A209" s="333"/>
      <c r="C209" s="360"/>
      <c r="D209" s="361"/>
      <c r="E209" s="333"/>
      <c r="F209" s="333"/>
      <c r="G209" s="333"/>
      <c r="H209" s="333"/>
      <c r="K209" s="362"/>
      <c r="S209" s="333"/>
    </row>
    <row r="210" spans="1:19" ht="15.75" customHeight="1" x14ac:dyDescent="0.25">
      <c r="A210" s="333"/>
      <c r="C210" s="360"/>
      <c r="D210" s="361"/>
      <c r="E210" s="333"/>
      <c r="F210" s="333"/>
      <c r="G210" s="333"/>
      <c r="H210" s="333"/>
      <c r="K210" s="362"/>
      <c r="S210" s="333"/>
    </row>
    <row r="211" spans="1:19" ht="15.75" customHeight="1" x14ac:dyDescent="0.25">
      <c r="A211" s="333"/>
      <c r="C211" s="360"/>
      <c r="D211" s="361"/>
      <c r="E211" s="333"/>
      <c r="F211" s="333"/>
      <c r="G211" s="333"/>
      <c r="H211" s="333"/>
      <c r="K211" s="362"/>
      <c r="S211" s="333"/>
    </row>
    <row r="212" spans="1:19" ht="15.75" customHeight="1" x14ac:dyDescent="0.25">
      <c r="A212" s="333"/>
      <c r="C212" s="360"/>
      <c r="D212" s="361"/>
      <c r="E212" s="333"/>
      <c r="F212" s="333"/>
      <c r="G212" s="333"/>
      <c r="H212" s="333"/>
      <c r="K212" s="362"/>
      <c r="S212" s="333"/>
    </row>
    <row r="213" spans="1:19" ht="15.75" customHeight="1" x14ac:dyDescent="0.25">
      <c r="A213" s="333"/>
      <c r="C213" s="360"/>
      <c r="D213" s="361"/>
      <c r="E213" s="333"/>
      <c r="F213" s="333"/>
      <c r="G213" s="333"/>
      <c r="H213" s="333"/>
      <c r="K213" s="362"/>
      <c r="S213" s="333"/>
    </row>
    <row r="214" spans="1:19" ht="15.75" customHeight="1" x14ac:dyDescent="0.25">
      <c r="A214" s="333"/>
      <c r="C214" s="360"/>
      <c r="D214" s="361"/>
      <c r="E214" s="333"/>
      <c r="F214" s="333"/>
      <c r="G214" s="333"/>
      <c r="H214" s="333"/>
      <c r="K214" s="362"/>
      <c r="S214" s="333"/>
    </row>
    <row r="215" spans="1:19" ht="15.75" customHeight="1" x14ac:dyDescent="0.25">
      <c r="A215" s="333"/>
      <c r="C215" s="360"/>
      <c r="D215" s="361"/>
      <c r="E215" s="333"/>
      <c r="F215" s="333"/>
      <c r="G215" s="333"/>
      <c r="H215" s="333"/>
      <c r="K215" s="362"/>
      <c r="S215" s="333"/>
    </row>
    <row r="216" spans="1:19" ht="15.75" customHeight="1" x14ac:dyDescent="0.25">
      <c r="A216" s="333"/>
      <c r="C216" s="360"/>
      <c r="D216" s="361"/>
      <c r="E216" s="333"/>
      <c r="F216" s="333"/>
      <c r="G216" s="333"/>
      <c r="H216" s="333"/>
      <c r="K216" s="362"/>
      <c r="S216" s="333"/>
    </row>
    <row r="217" spans="1:19" ht="15.75" customHeight="1" x14ac:dyDescent="0.25">
      <c r="A217" s="333"/>
      <c r="C217" s="360"/>
      <c r="D217" s="361"/>
      <c r="E217" s="333"/>
      <c r="F217" s="333"/>
      <c r="G217" s="333"/>
      <c r="H217" s="333"/>
      <c r="K217" s="362"/>
      <c r="S217" s="333"/>
    </row>
    <row r="218" spans="1:19" ht="15.75" customHeight="1" x14ac:dyDescent="0.25">
      <c r="A218" s="333"/>
      <c r="C218" s="360"/>
      <c r="D218" s="361"/>
      <c r="E218" s="333"/>
      <c r="F218" s="333"/>
      <c r="G218" s="333"/>
      <c r="H218" s="333"/>
      <c r="K218" s="362"/>
      <c r="S218" s="333"/>
    </row>
    <row r="219" spans="1:19" ht="15.75" customHeight="1" x14ac:dyDescent="0.25">
      <c r="A219" s="333"/>
      <c r="C219" s="360"/>
      <c r="D219" s="361"/>
      <c r="E219" s="333"/>
      <c r="F219" s="333"/>
      <c r="G219" s="333"/>
      <c r="H219" s="333"/>
      <c r="K219" s="362"/>
      <c r="S219" s="333"/>
    </row>
    <row r="220" spans="1:19" ht="15.75" customHeight="1" x14ac:dyDescent="0.25">
      <c r="A220" s="333"/>
      <c r="C220" s="360"/>
      <c r="D220" s="361"/>
      <c r="E220" s="333"/>
      <c r="F220" s="333"/>
      <c r="G220" s="333"/>
      <c r="H220" s="333"/>
      <c r="K220" s="362"/>
      <c r="S220" s="333"/>
    </row>
    <row r="221" spans="1:19" ht="15.75" customHeight="1" x14ac:dyDescent="0.25">
      <c r="A221" s="333"/>
      <c r="C221" s="360"/>
      <c r="D221" s="361"/>
      <c r="E221" s="333"/>
      <c r="F221" s="333"/>
      <c r="G221" s="333"/>
      <c r="H221" s="333"/>
      <c r="K221" s="362"/>
      <c r="S221" s="333"/>
    </row>
    <row r="222" spans="1:19" ht="15.75" customHeight="1" x14ac:dyDescent="0.25">
      <c r="A222" s="333"/>
      <c r="C222" s="360"/>
      <c r="D222" s="361"/>
      <c r="E222" s="333"/>
      <c r="F222" s="333"/>
      <c r="G222" s="333"/>
      <c r="H222" s="333"/>
      <c r="K222" s="362"/>
      <c r="S222" s="333"/>
    </row>
    <row r="223" spans="1:19" ht="15.75" customHeight="1" x14ac:dyDescent="0.25">
      <c r="A223" s="333"/>
      <c r="C223" s="360"/>
      <c r="D223" s="361"/>
      <c r="E223" s="333"/>
      <c r="F223" s="333"/>
      <c r="G223" s="333"/>
      <c r="H223" s="333"/>
      <c r="K223" s="362"/>
      <c r="S223" s="333"/>
    </row>
    <row r="224" spans="1:19" ht="15.75" customHeight="1" x14ac:dyDescent="0.25">
      <c r="A224" s="333"/>
      <c r="C224" s="360"/>
      <c r="D224" s="361"/>
      <c r="E224" s="333"/>
      <c r="F224" s="333"/>
      <c r="G224" s="333"/>
      <c r="H224" s="333"/>
      <c r="K224" s="362"/>
      <c r="S224" s="333"/>
    </row>
    <row r="225" spans="1:19" ht="15.75" customHeight="1" x14ac:dyDescent="0.25">
      <c r="A225" s="333"/>
      <c r="C225" s="360"/>
      <c r="D225" s="361"/>
      <c r="E225" s="333"/>
      <c r="F225" s="333"/>
      <c r="G225" s="333"/>
      <c r="H225" s="333"/>
      <c r="K225" s="362"/>
      <c r="S225" s="333"/>
    </row>
    <row r="226" spans="1:19" ht="15.75" customHeight="1" x14ac:dyDescent="0.25">
      <c r="A226" s="333"/>
      <c r="C226" s="360"/>
      <c r="D226" s="361"/>
      <c r="E226" s="333"/>
      <c r="F226" s="333"/>
      <c r="G226" s="333"/>
      <c r="H226" s="333"/>
      <c r="K226" s="362"/>
      <c r="S226" s="333"/>
    </row>
    <row r="227" spans="1:19" ht="15.75" customHeight="1" x14ac:dyDescent="0.25">
      <c r="A227" s="333"/>
      <c r="C227" s="360"/>
      <c r="D227" s="361"/>
      <c r="E227" s="333"/>
      <c r="F227" s="333"/>
      <c r="G227" s="333"/>
      <c r="H227" s="333"/>
      <c r="K227" s="362"/>
      <c r="S227" s="333"/>
    </row>
    <row r="228" spans="1:19" ht="15.75" customHeight="1" x14ac:dyDescent="0.25">
      <c r="A228" s="333"/>
      <c r="C228" s="360"/>
      <c r="D228" s="361"/>
      <c r="E228" s="333"/>
      <c r="F228" s="333"/>
      <c r="G228" s="333"/>
      <c r="H228" s="333"/>
      <c r="K228" s="362"/>
      <c r="S228" s="333"/>
    </row>
    <row r="229" spans="1:19" ht="15.75" customHeight="1" x14ac:dyDescent="0.25">
      <c r="A229" s="333"/>
      <c r="C229" s="360"/>
      <c r="D229" s="361"/>
      <c r="E229" s="333"/>
      <c r="F229" s="333"/>
      <c r="G229" s="333"/>
      <c r="H229" s="333"/>
      <c r="K229" s="362"/>
      <c r="S229" s="333"/>
    </row>
    <row r="230" spans="1:19" ht="15.75" customHeight="1" x14ac:dyDescent="0.25">
      <c r="A230" s="333"/>
      <c r="C230" s="360"/>
      <c r="D230" s="361"/>
      <c r="E230" s="333"/>
      <c r="F230" s="333"/>
      <c r="G230" s="333"/>
      <c r="H230" s="333"/>
      <c r="K230" s="362"/>
      <c r="S230" s="333"/>
    </row>
    <row r="231" spans="1:19" ht="15.75" customHeight="1" x14ac:dyDescent="0.25">
      <c r="A231" s="333"/>
      <c r="C231" s="360"/>
      <c r="D231" s="361"/>
      <c r="E231" s="333"/>
      <c r="F231" s="333"/>
      <c r="G231" s="333"/>
      <c r="H231" s="333"/>
      <c r="K231" s="362"/>
      <c r="S231" s="333"/>
    </row>
    <row r="232" spans="1:19" ht="15.75" customHeight="1" x14ac:dyDescent="0.25">
      <c r="A232" s="333"/>
      <c r="C232" s="360"/>
      <c r="D232" s="361"/>
      <c r="E232" s="333"/>
      <c r="F232" s="333"/>
      <c r="G232" s="333"/>
      <c r="H232" s="333"/>
      <c r="K232" s="362"/>
      <c r="S232" s="333"/>
    </row>
    <row r="233" spans="1:19" ht="15.75" customHeight="1" x14ac:dyDescent="0.25">
      <c r="A233" s="333"/>
      <c r="C233" s="360"/>
      <c r="D233" s="361"/>
      <c r="E233" s="333"/>
      <c r="F233" s="333"/>
      <c r="G233" s="333"/>
      <c r="H233" s="333"/>
      <c r="K233" s="362"/>
      <c r="S233" s="333"/>
    </row>
    <row r="234" spans="1:19" ht="15.75" customHeight="1" x14ac:dyDescent="0.25">
      <c r="A234" s="333"/>
      <c r="C234" s="360"/>
      <c r="D234" s="361"/>
      <c r="E234" s="333"/>
      <c r="F234" s="333"/>
      <c r="G234" s="333"/>
      <c r="H234" s="333"/>
      <c r="K234" s="362"/>
      <c r="S234" s="333"/>
    </row>
    <row r="235" spans="1:19" ht="15.75" customHeight="1" x14ac:dyDescent="0.25">
      <c r="A235" s="333"/>
      <c r="C235" s="360"/>
      <c r="D235" s="361"/>
      <c r="E235" s="333"/>
      <c r="F235" s="333"/>
      <c r="G235" s="333"/>
      <c r="H235" s="333"/>
      <c r="K235" s="362"/>
      <c r="S235" s="333"/>
    </row>
    <row r="236" spans="1:19" ht="15.75" customHeight="1" x14ac:dyDescent="0.25">
      <c r="A236" s="333"/>
      <c r="C236" s="360"/>
      <c r="D236" s="361"/>
      <c r="E236" s="333"/>
      <c r="F236" s="333"/>
      <c r="G236" s="333"/>
      <c r="H236" s="333"/>
      <c r="K236" s="362"/>
      <c r="S236" s="333"/>
    </row>
    <row r="237" spans="1:19" ht="15.75" customHeight="1" x14ac:dyDescent="0.25">
      <c r="A237" s="333"/>
      <c r="C237" s="360"/>
      <c r="D237" s="361"/>
      <c r="E237" s="333"/>
      <c r="F237" s="333"/>
      <c r="G237" s="333"/>
      <c r="H237" s="333"/>
      <c r="K237" s="362"/>
      <c r="S237" s="333"/>
    </row>
    <row r="238" spans="1:19" ht="15.75" customHeight="1" x14ac:dyDescent="0.25">
      <c r="A238" s="333"/>
      <c r="C238" s="360"/>
      <c r="D238" s="361"/>
      <c r="E238" s="333"/>
      <c r="F238" s="333"/>
      <c r="G238" s="333"/>
      <c r="H238" s="333"/>
      <c r="K238" s="362"/>
      <c r="S238" s="333"/>
    </row>
    <row r="239" spans="1:19" ht="15.75" customHeight="1" x14ac:dyDescent="0.25">
      <c r="A239" s="333"/>
      <c r="C239" s="360"/>
      <c r="D239" s="361"/>
      <c r="E239" s="333"/>
      <c r="F239" s="333"/>
      <c r="G239" s="333"/>
      <c r="H239" s="333"/>
      <c r="K239" s="362"/>
      <c r="S239" s="333"/>
    </row>
    <row r="240" spans="1:19" ht="15.75" customHeight="1" x14ac:dyDescent="0.25">
      <c r="A240" s="333"/>
      <c r="C240" s="360"/>
      <c r="D240" s="361"/>
      <c r="E240" s="333"/>
      <c r="F240" s="333"/>
      <c r="G240" s="333"/>
      <c r="H240" s="333"/>
      <c r="K240" s="362"/>
      <c r="S240" s="333"/>
    </row>
    <row r="241" spans="1:19" ht="15.75" customHeight="1" x14ac:dyDescent="0.25">
      <c r="A241" s="333"/>
      <c r="C241" s="360"/>
      <c r="D241" s="361"/>
      <c r="E241" s="333"/>
      <c r="F241" s="333"/>
      <c r="G241" s="333"/>
      <c r="H241" s="333"/>
      <c r="K241" s="362"/>
      <c r="S241" s="333"/>
    </row>
    <row r="242" spans="1:19" ht="15.75" customHeight="1" x14ac:dyDescent="0.25">
      <c r="A242" s="333"/>
      <c r="C242" s="360"/>
      <c r="D242" s="361"/>
      <c r="E242" s="333"/>
      <c r="F242" s="333"/>
      <c r="G242" s="333"/>
      <c r="H242" s="333"/>
      <c r="K242" s="362"/>
      <c r="S242" s="333"/>
    </row>
    <row r="243" spans="1:19" ht="15.75" customHeight="1" x14ac:dyDescent="0.25">
      <c r="A243" s="333"/>
      <c r="C243" s="360"/>
      <c r="D243" s="361"/>
      <c r="E243" s="333"/>
      <c r="F243" s="333"/>
      <c r="G243" s="333"/>
      <c r="H243" s="333"/>
      <c r="K243" s="362"/>
      <c r="S243" s="333"/>
    </row>
    <row r="244" spans="1:19" ht="15.75" customHeight="1" x14ac:dyDescent="0.25">
      <c r="A244" s="333"/>
      <c r="C244" s="360"/>
      <c r="D244" s="361"/>
      <c r="E244" s="333"/>
      <c r="F244" s="333"/>
      <c r="G244" s="333"/>
      <c r="H244" s="333"/>
      <c r="K244" s="362"/>
      <c r="S244" s="333"/>
    </row>
    <row r="245" spans="1:19" ht="15.75" customHeight="1" x14ac:dyDescent="0.25">
      <c r="A245" s="333"/>
      <c r="C245" s="360"/>
      <c r="D245" s="361"/>
      <c r="E245" s="333"/>
      <c r="F245" s="333"/>
      <c r="G245" s="333"/>
      <c r="H245" s="333"/>
      <c r="K245" s="362"/>
      <c r="S245" s="333"/>
    </row>
    <row r="246" spans="1:19" ht="15.75" customHeight="1" x14ac:dyDescent="0.25">
      <c r="A246" s="333"/>
      <c r="C246" s="360"/>
      <c r="D246" s="361"/>
      <c r="E246" s="333"/>
      <c r="F246" s="333"/>
      <c r="G246" s="333"/>
      <c r="H246" s="333"/>
      <c r="K246" s="362"/>
      <c r="S246" s="333"/>
    </row>
    <row r="247" spans="1:19" ht="15.75" customHeight="1" x14ac:dyDescent="0.25">
      <c r="A247" s="333"/>
      <c r="C247" s="360"/>
      <c r="D247" s="361"/>
      <c r="E247" s="333"/>
      <c r="F247" s="333"/>
      <c r="G247" s="333"/>
      <c r="H247" s="333"/>
      <c r="K247" s="362"/>
      <c r="S247" s="333"/>
    </row>
    <row r="248" spans="1:19" ht="15.75" customHeight="1" x14ac:dyDescent="0.25">
      <c r="A248" s="333"/>
      <c r="C248" s="360"/>
      <c r="D248" s="361"/>
      <c r="E248" s="333"/>
      <c r="F248" s="333"/>
      <c r="G248" s="333"/>
      <c r="H248" s="333"/>
      <c r="K248" s="362"/>
      <c r="S248" s="333"/>
    </row>
    <row r="249" spans="1:19" ht="15.75" customHeight="1" x14ac:dyDescent="0.25">
      <c r="A249" s="333"/>
      <c r="C249" s="360"/>
      <c r="D249" s="361"/>
      <c r="E249" s="333"/>
      <c r="F249" s="333"/>
      <c r="G249" s="333"/>
      <c r="H249" s="333"/>
      <c r="K249" s="362"/>
      <c r="S249" s="333"/>
    </row>
    <row r="250" spans="1:19" ht="15.75" customHeight="1" x14ac:dyDescent="0.25">
      <c r="A250" s="333"/>
      <c r="C250" s="360"/>
      <c r="D250" s="361"/>
      <c r="E250" s="333"/>
      <c r="F250" s="333"/>
      <c r="G250" s="333"/>
      <c r="H250" s="333"/>
      <c r="K250" s="362"/>
      <c r="S250" s="333"/>
    </row>
    <row r="251" spans="1:19" ht="15.75" customHeight="1" x14ac:dyDescent="0.25">
      <c r="A251" s="333"/>
      <c r="C251" s="360"/>
      <c r="D251" s="361"/>
      <c r="E251" s="333"/>
      <c r="F251" s="333"/>
      <c r="G251" s="333"/>
      <c r="H251" s="333"/>
      <c r="K251" s="362"/>
      <c r="S251" s="333"/>
    </row>
    <row r="252" spans="1:19" ht="15.75" customHeight="1" x14ac:dyDescent="0.25">
      <c r="A252" s="333"/>
      <c r="C252" s="360"/>
      <c r="D252" s="361"/>
      <c r="E252" s="333"/>
      <c r="F252" s="333"/>
      <c r="G252" s="333"/>
      <c r="H252" s="333"/>
      <c r="K252" s="362"/>
      <c r="S252" s="333"/>
    </row>
    <row r="253" spans="1:19" ht="15.75" customHeight="1" x14ac:dyDescent="0.25">
      <c r="A253" s="333"/>
      <c r="C253" s="360"/>
      <c r="D253" s="361"/>
      <c r="E253" s="333"/>
      <c r="F253" s="333"/>
      <c r="G253" s="333"/>
      <c r="H253" s="333"/>
      <c r="K253" s="362"/>
      <c r="S253" s="333"/>
    </row>
    <row r="254" spans="1:19" ht="15.75" customHeight="1" x14ac:dyDescent="0.25">
      <c r="A254" s="333"/>
      <c r="C254" s="360"/>
      <c r="D254" s="361"/>
      <c r="E254" s="333"/>
      <c r="F254" s="333"/>
      <c r="G254" s="333"/>
      <c r="H254" s="333"/>
      <c r="K254" s="362"/>
      <c r="S254" s="333"/>
    </row>
    <row r="255" spans="1:19" ht="15.75" customHeight="1" x14ac:dyDescent="0.25">
      <c r="A255" s="333"/>
      <c r="C255" s="360"/>
      <c r="D255" s="361"/>
      <c r="E255" s="333"/>
      <c r="F255" s="333"/>
      <c r="G255" s="333"/>
      <c r="H255" s="333"/>
      <c r="K255" s="362"/>
      <c r="S255" s="333"/>
    </row>
    <row r="256" spans="1:19" ht="15.75" customHeight="1" x14ac:dyDescent="0.25">
      <c r="A256" s="333"/>
      <c r="C256" s="360"/>
      <c r="D256" s="361"/>
      <c r="E256" s="333"/>
      <c r="F256" s="333"/>
      <c r="G256" s="333"/>
      <c r="H256" s="333"/>
      <c r="K256" s="362"/>
      <c r="S256" s="333"/>
    </row>
    <row r="257" spans="1:19" ht="15.75" customHeight="1" x14ac:dyDescent="0.25">
      <c r="A257" s="333"/>
      <c r="C257" s="360"/>
      <c r="D257" s="361"/>
      <c r="E257" s="333"/>
      <c r="F257" s="333"/>
      <c r="G257" s="333"/>
      <c r="H257" s="333"/>
      <c r="K257" s="362"/>
      <c r="S257" s="333"/>
    </row>
    <row r="258" spans="1:19" ht="15.75" customHeight="1" x14ac:dyDescent="0.25">
      <c r="A258" s="333"/>
      <c r="C258" s="360"/>
      <c r="D258" s="361"/>
      <c r="E258" s="333"/>
      <c r="F258" s="333"/>
      <c r="G258" s="333"/>
      <c r="H258" s="333"/>
      <c r="K258" s="362"/>
      <c r="S258" s="333"/>
    </row>
    <row r="259" spans="1:19" ht="15.75" customHeight="1" x14ac:dyDescent="0.25">
      <c r="A259" s="333"/>
      <c r="C259" s="360"/>
      <c r="D259" s="361"/>
      <c r="E259" s="333"/>
      <c r="F259" s="333"/>
      <c r="G259" s="333"/>
      <c r="H259" s="333"/>
      <c r="K259" s="362"/>
      <c r="S259" s="333"/>
    </row>
    <row r="260" spans="1:19" ht="15.75" customHeight="1" x14ac:dyDescent="0.25">
      <c r="A260" s="333"/>
      <c r="C260" s="360"/>
      <c r="D260" s="361"/>
      <c r="E260" s="333"/>
      <c r="F260" s="333"/>
      <c r="G260" s="333"/>
      <c r="H260" s="333"/>
      <c r="K260" s="362"/>
      <c r="S260" s="333"/>
    </row>
    <row r="261" spans="1:19" ht="15.75" customHeight="1" x14ac:dyDescent="0.25">
      <c r="A261" s="333"/>
      <c r="C261" s="360"/>
      <c r="D261" s="361"/>
      <c r="E261" s="333"/>
      <c r="F261" s="333"/>
      <c r="G261" s="333"/>
      <c r="H261" s="333"/>
      <c r="K261" s="362"/>
      <c r="S261" s="333"/>
    </row>
    <row r="262" spans="1:19" ht="15.75" customHeight="1" x14ac:dyDescent="0.25">
      <c r="A262" s="333"/>
      <c r="C262" s="360"/>
      <c r="D262" s="361"/>
      <c r="E262" s="333"/>
      <c r="F262" s="333"/>
      <c r="G262" s="333"/>
      <c r="H262" s="333"/>
      <c r="K262" s="362"/>
      <c r="S262" s="333"/>
    </row>
    <row r="263" spans="1:19" ht="15.75" customHeight="1" x14ac:dyDescent="0.25">
      <c r="A263" s="333"/>
      <c r="C263" s="360"/>
      <c r="D263" s="361"/>
      <c r="E263" s="333"/>
      <c r="F263" s="333"/>
      <c r="G263" s="333"/>
      <c r="H263" s="333"/>
      <c r="K263" s="362"/>
      <c r="S263" s="333"/>
    </row>
    <row r="264" spans="1:19" ht="15.75" customHeight="1" x14ac:dyDescent="0.25">
      <c r="A264" s="333"/>
      <c r="C264" s="360"/>
      <c r="D264" s="361"/>
      <c r="E264" s="333"/>
      <c r="F264" s="333"/>
      <c r="G264" s="333"/>
      <c r="H264" s="333"/>
      <c r="K264" s="362"/>
      <c r="S264" s="333"/>
    </row>
    <row r="265" spans="1:19" ht="15.75" customHeight="1" x14ac:dyDescent="0.25">
      <c r="A265" s="333"/>
      <c r="C265" s="360"/>
      <c r="D265" s="361"/>
      <c r="E265" s="333"/>
      <c r="F265" s="333"/>
      <c r="G265" s="333"/>
      <c r="H265" s="333"/>
      <c r="K265" s="362"/>
      <c r="S265" s="333"/>
    </row>
    <row r="266" spans="1:19" ht="15.75" customHeight="1" x14ac:dyDescent="0.25">
      <c r="A266" s="333"/>
      <c r="C266" s="360"/>
      <c r="D266" s="361"/>
      <c r="E266" s="333"/>
      <c r="F266" s="333"/>
      <c r="G266" s="333"/>
      <c r="H266" s="333"/>
      <c r="K266" s="362"/>
      <c r="S266" s="333"/>
    </row>
    <row r="267" spans="1:19" ht="15.75" customHeight="1" x14ac:dyDescent="0.25">
      <c r="A267" s="333"/>
      <c r="C267" s="360"/>
      <c r="D267" s="361"/>
      <c r="E267" s="333"/>
      <c r="F267" s="333"/>
      <c r="G267" s="333"/>
      <c r="H267" s="333"/>
      <c r="K267" s="362"/>
      <c r="S267" s="333"/>
    </row>
    <row r="268" spans="1:19" ht="15.75" customHeight="1" x14ac:dyDescent="0.25">
      <c r="A268" s="333"/>
      <c r="C268" s="360"/>
      <c r="D268" s="361"/>
      <c r="E268" s="333"/>
      <c r="F268" s="333"/>
      <c r="G268" s="333"/>
      <c r="H268" s="333"/>
      <c r="K268" s="362"/>
      <c r="S268" s="333"/>
    </row>
    <row r="269" spans="1:19" ht="15.75" customHeight="1" x14ac:dyDescent="0.25">
      <c r="A269" s="333"/>
      <c r="C269" s="360"/>
      <c r="D269" s="361"/>
      <c r="E269" s="333"/>
      <c r="F269" s="333"/>
      <c r="G269" s="333"/>
      <c r="H269" s="333"/>
      <c r="K269" s="362"/>
      <c r="S269" s="333"/>
    </row>
    <row r="270" spans="1:19" ht="15.75" customHeight="1" x14ac:dyDescent="0.25">
      <c r="A270" s="333"/>
      <c r="C270" s="360"/>
      <c r="D270" s="361"/>
      <c r="E270" s="333"/>
      <c r="F270" s="333"/>
      <c r="G270" s="333"/>
      <c r="H270" s="333"/>
      <c r="K270" s="362"/>
      <c r="S270" s="333"/>
    </row>
    <row r="271" spans="1:19" ht="15.75" customHeight="1" x14ac:dyDescent="0.25">
      <c r="A271" s="333"/>
      <c r="C271" s="360"/>
      <c r="D271" s="361"/>
      <c r="E271" s="333"/>
      <c r="F271" s="333"/>
      <c r="G271" s="333"/>
      <c r="H271" s="333"/>
      <c r="K271" s="362"/>
      <c r="S271" s="333"/>
    </row>
    <row r="272" spans="1:19" ht="15.75" customHeight="1" x14ac:dyDescent="0.25">
      <c r="A272" s="333"/>
      <c r="C272" s="360"/>
      <c r="D272" s="361"/>
      <c r="E272" s="333"/>
      <c r="F272" s="333"/>
      <c r="G272" s="333"/>
      <c r="H272" s="333"/>
      <c r="K272" s="362"/>
      <c r="S272" s="333"/>
    </row>
    <row r="273" spans="1:19" ht="15.75" customHeight="1" x14ac:dyDescent="0.25">
      <c r="A273" s="333"/>
      <c r="C273" s="360"/>
      <c r="D273" s="361"/>
      <c r="E273" s="333"/>
      <c r="F273" s="333"/>
      <c r="G273" s="333"/>
      <c r="H273" s="333"/>
      <c r="K273" s="362"/>
      <c r="S273" s="333"/>
    </row>
    <row r="274" spans="1:19" ht="15.75" customHeight="1" x14ac:dyDescent="0.25">
      <c r="A274" s="333"/>
      <c r="C274" s="360"/>
      <c r="D274" s="361"/>
      <c r="E274" s="333"/>
      <c r="F274" s="333"/>
      <c r="G274" s="333"/>
      <c r="H274" s="333"/>
      <c r="K274" s="362"/>
      <c r="S274" s="333"/>
    </row>
    <row r="275" spans="1:19" ht="15.75" customHeight="1" x14ac:dyDescent="0.25">
      <c r="A275" s="333"/>
      <c r="C275" s="360"/>
      <c r="D275" s="361"/>
      <c r="E275" s="333"/>
      <c r="F275" s="333"/>
      <c r="G275" s="333"/>
      <c r="H275" s="333"/>
      <c r="K275" s="362"/>
      <c r="S275" s="333"/>
    </row>
    <row r="276" spans="1:19" ht="15.75" customHeight="1" x14ac:dyDescent="0.25">
      <c r="A276" s="333"/>
      <c r="C276" s="360"/>
      <c r="D276" s="361"/>
      <c r="E276" s="333"/>
      <c r="F276" s="333"/>
      <c r="G276" s="333"/>
      <c r="H276" s="333"/>
      <c r="K276" s="362"/>
      <c r="S276" s="333"/>
    </row>
    <row r="277" spans="1:19" ht="15.75" customHeight="1" x14ac:dyDescent="0.25">
      <c r="A277" s="333"/>
      <c r="C277" s="360"/>
      <c r="D277" s="361"/>
      <c r="E277" s="333"/>
      <c r="F277" s="333"/>
      <c r="G277" s="333"/>
      <c r="H277" s="333"/>
      <c r="K277" s="362"/>
      <c r="S277" s="333"/>
    </row>
    <row r="278" spans="1:19" ht="15.75" customHeight="1" x14ac:dyDescent="0.25">
      <c r="A278" s="333"/>
      <c r="C278" s="360"/>
      <c r="D278" s="361"/>
      <c r="E278" s="333"/>
      <c r="F278" s="333"/>
      <c r="G278" s="333"/>
      <c r="H278" s="333"/>
      <c r="K278" s="362"/>
      <c r="S278" s="333"/>
    </row>
    <row r="279" spans="1:19" ht="15.75" customHeight="1" x14ac:dyDescent="0.25">
      <c r="A279" s="333"/>
      <c r="C279" s="360"/>
      <c r="D279" s="361"/>
      <c r="E279" s="333"/>
      <c r="F279" s="333"/>
      <c r="G279" s="333"/>
      <c r="H279" s="333"/>
      <c r="K279" s="362"/>
      <c r="S279" s="333"/>
    </row>
    <row r="280" spans="1:19" ht="15.75" customHeight="1" x14ac:dyDescent="0.25">
      <c r="A280" s="333"/>
      <c r="C280" s="360"/>
      <c r="D280" s="361"/>
      <c r="E280" s="333"/>
      <c r="F280" s="333"/>
      <c r="G280" s="333"/>
      <c r="H280" s="333"/>
      <c r="K280" s="362"/>
      <c r="S280" s="333"/>
    </row>
    <row r="281" spans="1:19" ht="15.75" customHeight="1" x14ac:dyDescent="0.25">
      <c r="A281" s="333"/>
      <c r="C281" s="360"/>
      <c r="D281" s="361"/>
      <c r="E281" s="333"/>
      <c r="F281" s="333"/>
      <c r="G281" s="333"/>
      <c r="H281" s="333"/>
      <c r="K281" s="362"/>
      <c r="S281" s="333"/>
    </row>
    <row r="282" spans="1:19" ht="15.75" customHeight="1" x14ac:dyDescent="0.25">
      <c r="A282" s="333"/>
      <c r="C282" s="360"/>
      <c r="D282" s="361"/>
      <c r="E282" s="333"/>
      <c r="F282" s="333"/>
      <c r="G282" s="333"/>
      <c r="H282" s="333"/>
      <c r="K282" s="362"/>
      <c r="S282" s="333"/>
    </row>
    <row r="283" spans="1:19" ht="15.75" customHeight="1" x14ac:dyDescent="0.25">
      <c r="A283" s="333"/>
      <c r="C283" s="360"/>
      <c r="D283" s="361"/>
      <c r="E283" s="333"/>
      <c r="F283" s="333"/>
      <c r="G283" s="333"/>
      <c r="H283" s="333"/>
      <c r="K283" s="362"/>
      <c r="S283" s="333"/>
    </row>
    <row r="284" spans="1:19" ht="15.75" customHeight="1" x14ac:dyDescent="0.25">
      <c r="A284" s="333"/>
      <c r="C284" s="360"/>
      <c r="D284" s="361"/>
      <c r="E284" s="333"/>
      <c r="F284" s="333"/>
      <c r="G284" s="333"/>
      <c r="H284" s="333"/>
      <c r="K284" s="362"/>
      <c r="S284" s="333"/>
    </row>
    <row r="285" spans="1:19" ht="15.75" customHeight="1" x14ac:dyDescent="0.25">
      <c r="A285" s="333"/>
      <c r="C285" s="360"/>
      <c r="D285" s="361"/>
      <c r="E285" s="333"/>
      <c r="F285" s="333"/>
      <c r="G285" s="333"/>
      <c r="H285" s="333"/>
      <c r="K285" s="362"/>
      <c r="S285" s="333"/>
    </row>
    <row r="286" spans="1:19" ht="15.75" customHeight="1" x14ac:dyDescent="0.25">
      <c r="A286" s="333"/>
      <c r="C286" s="360"/>
      <c r="D286" s="361"/>
      <c r="E286" s="333"/>
      <c r="F286" s="333"/>
      <c r="G286" s="333"/>
      <c r="H286" s="333"/>
      <c r="K286" s="362"/>
      <c r="S286" s="333"/>
    </row>
    <row r="287" spans="1:19" ht="15.75" customHeight="1" x14ac:dyDescent="0.25">
      <c r="A287" s="333"/>
      <c r="C287" s="360"/>
      <c r="D287" s="361"/>
      <c r="E287" s="333"/>
      <c r="F287" s="333"/>
      <c r="G287" s="333"/>
      <c r="H287" s="333"/>
      <c r="K287" s="362"/>
      <c r="S287" s="333"/>
    </row>
    <row r="288" spans="1:19" ht="15.75" customHeight="1" x14ac:dyDescent="0.25">
      <c r="A288" s="333"/>
      <c r="C288" s="360"/>
      <c r="D288" s="361"/>
      <c r="E288" s="333"/>
      <c r="F288" s="333"/>
      <c r="G288" s="333"/>
      <c r="H288" s="333"/>
      <c r="K288" s="362"/>
      <c r="S288" s="333"/>
    </row>
    <row r="289" spans="1:19" ht="15.75" customHeight="1" x14ac:dyDescent="0.25">
      <c r="A289" s="333"/>
      <c r="C289" s="360"/>
      <c r="D289" s="361"/>
      <c r="E289" s="333"/>
      <c r="F289" s="333"/>
      <c r="G289" s="333"/>
      <c r="H289" s="333"/>
      <c r="K289" s="362"/>
      <c r="S289" s="333"/>
    </row>
    <row r="290" spans="1:19" ht="15.75" customHeight="1" x14ac:dyDescent="0.25">
      <c r="A290" s="333"/>
      <c r="C290" s="360"/>
      <c r="D290" s="361"/>
      <c r="E290" s="333"/>
      <c r="F290" s="333"/>
      <c r="G290" s="333"/>
      <c r="H290" s="333"/>
      <c r="K290" s="362"/>
      <c r="S290" s="333"/>
    </row>
    <row r="291" spans="1:19" ht="15.75" customHeight="1" x14ac:dyDescent="0.25">
      <c r="A291" s="333"/>
      <c r="C291" s="360"/>
      <c r="D291" s="361"/>
      <c r="E291" s="333"/>
      <c r="F291" s="333"/>
      <c r="G291" s="333"/>
      <c r="H291" s="333"/>
      <c r="K291" s="362"/>
      <c r="S291" s="333"/>
    </row>
    <row r="292" spans="1:19" ht="15.75" customHeight="1" x14ac:dyDescent="0.25">
      <c r="A292" s="333"/>
      <c r="C292" s="360"/>
      <c r="D292" s="361"/>
      <c r="E292" s="333"/>
      <c r="F292" s="333"/>
      <c r="G292" s="333"/>
      <c r="H292" s="333"/>
      <c r="K292" s="362"/>
      <c r="S292" s="333"/>
    </row>
    <row r="293" spans="1:19" ht="15.75" customHeight="1" x14ac:dyDescent="0.25">
      <c r="A293" s="333"/>
      <c r="C293" s="360"/>
      <c r="D293" s="361"/>
      <c r="E293" s="333"/>
      <c r="F293" s="333"/>
      <c r="G293" s="333"/>
      <c r="H293" s="333"/>
      <c r="K293" s="362"/>
      <c r="S293" s="333"/>
    </row>
    <row r="294" spans="1:19" ht="15.75" customHeight="1" x14ac:dyDescent="0.25">
      <c r="A294" s="333"/>
      <c r="C294" s="360"/>
      <c r="D294" s="361"/>
      <c r="E294" s="333"/>
      <c r="F294" s="333"/>
      <c r="G294" s="333"/>
      <c r="H294" s="333"/>
      <c r="K294" s="362"/>
      <c r="S294" s="333"/>
    </row>
    <row r="295" spans="1:19" ht="15.75" customHeight="1" x14ac:dyDescent="0.25">
      <c r="A295" s="333"/>
      <c r="C295" s="360"/>
      <c r="D295" s="361"/>
      <c r="E295" s="333"/>
      <c r="F295" s="333"/>
      <c r="G295" s="333"/>
      <c r="H295" s="333"/>
      <c r="K295" s="362"/>
      <c r="S295" s="333"/>
    </row>
    <row r="296" spans="1:19" ht="15.75" customHeight="1" x14ac:dyDescent="0.25">
      <c r="A296" s="333"/>
      <c r="C296" s="360"/>
      <c r="D296" s="361"/>
      <c r="E296" s="333"/>
      <c r="F296" s="333"/>
      <c r="G296" s="333"/>
      <c r="H296" s="333"/>
      <c r="K296" s="362"/>
      <c r="S296" s="333"/>
    </row>
    <row r="297" spans="1:19" ht="15.75" customHeight="1" x14ac:dyDescent="0.25">
      <c r="A297" s="333"/>
      <c r="C297" s="360"/>
      <c r="D297" s="361"/>
      <c r="E297" s="333"/>
      <c r="F297" s="333"/>
      <c r="G297" s="333"/>
      <c r="H297" s="333"/>
      <c r="K297" s="362"/>
      <c r="S297" s="333"/>
    </row>
    <row r="298" spans="1:19" ht="15.75" customHeight="1" x14ac:dyDescent="0.25">
      <c r="A298" s="333"/>
      <c r="C298" s="360"/>
      <c r="D298" s="361"/>
      <c r="E298" s="333"/>
      <c r="F298" s="333"/>
      <c r="G298" s="333"/>
      <c r="H298" s="333"/>
      <c r="K298" s="362"/>
      <c r="S298" s="333"/>
    </row>
    <row r="299" spans="1:19" ht="15.75" customHeight="1" x14ac:dyDescent="0.25">
      <c r="A299" s="333"/>
      <c r="C299" s="360"/>
      <c r="D299" s="361"/>
      <c r="E299" s="333"/>
      <c r="F299" s="333"/>
      <c r="G299" s="333"/>
      <c r="H299" s="333"/>
      <c r="K299" s="362"/>
      <c r="S299" s="333"/>
    </row>
    <row r="300" spans="1:19" ht="15.75" customHeight="1" x14ac:dyDescent="0.25">
      <c r="A300" s="333"/>
      <c r="C300" s="360"/>
      <c r="D300" s="361"/>
      <c r="E300" s="333"/>
      <c r="F300" s="333"/>
      <c r="G300" s="333"/>
      <c r="H300" s="333"/>
      <c r="K300" s="362"/>
      <c r="S300" s="333"/>
    </row>
    <row r="301" spans="1:19" ht="15.75" customHeight="1" x14ac:dyDescent="0.25">
      <c r="A301" s="333"/>
      <c r="C301" s="360"/>
      <c r="D301" s="361"/>
      <c r="E301" s="333"/>
      <c r="F301" s="333"/>
      <c r="G301" s="333"/>
      <c r="H301" s="333"/>
      <c r="K301" s="362"/>
      <c r="S301" s="333"/>
    </row>
    <row r="302" spans="1:19" ht="15.75" customHeight="1" x14ac:dyDescent="0.25">
      <c r="A302" s="333"/>
      <c r="C302" s="360"/>
      <c r="D302" s="361"/>
      <c r="E302" s="333"/>
      <c r="F302" s="333"/>
      <c r="G302" s="333"/>
      <c r="H302" s="333"/>
      <c r="K302" s="362"/>
      <c r="S302" s="333"/>
    </row>
    <row r="303" spans="1:19" ht="15.75" customHeight="1" x14ac:dyDescent="0.25">
      <c r="A303" s="333"/>
      <c r="C303" s="360"/>
      <c r="D303" s="361"/>
      <c r="E303" s="333"/>
      <c r="F303" s="333"/>
      <c r="G303" s="333"/>
      <c r="H303" s="333"/>
      <c r="K303" s="362"/>
      <c r="S303" s="333"/>
    </row>
    <row r="304" spans="1:19" ht="15.75" customHeight="1" x14ac:dyDescent="0.25">
      <c r="A304" s="333"/>
      <c r="C304" s="360"/>
      <c r="D304" s="361"/>
      <c r="E304" s="333"/>
      <c r="F304" s="333"/>
      <c r="G304" s="333"/>
      <c r="H304" s="333"/>
      <c r="K304" s="362"/>
      <c r="S304" s="333"/>
    </row>
    <row r="305" spans="1:19" ht="15.75" customHeight="1" x14ac:dyDescent="0.25">
      <c r="A305" s="333"/>
      <c r="C305" s="360"/>
      <c r="D305" s="361"/>
      <c r="E305" s="333"/>
      <c r="F305" s="333"/>
      <c r="G305" s="333"/>
      <c r="H305" s="333"/>
      <c r="K305" s="362"/>
      <c r="S305" s="333"/>
    </row>
    <row r="306" spans="1:19" ht="15.75" customHeight="1" x14ac:dyDescent="0.25">
      <c r="A306" s="333"/>
      <c r="C306" s="360"/>
      <c r="D306" s="361"/>
      <c r="E306" s="333"/>
      <c r="F306" s="333"/>
      <c r="G306" s="333"/>
      <c r="H306" s="333"/>
      <c r="K306" s="362"/>
      <c r="S306" s="333"/>
    </row>
    <row r="307" spans="1:19" ht="15.75" customHeight="1" x14ac:dyDescent="0.25">
      <c r="A307" s="333"/>
      <c r="C307" s="360"/>
      <c r="D307" s="361"/>
      <c r="E307" s="333"/>
      <c r="F307" s="333"/>
      <c r="G307" s="333"/>
      <c r="H307" s="333"/>
      <c r="K307" s="362"/>
      <c r="S307" s="333"/>
    </row>
    <row r="308" spans="1:19" ht="15.75" customHeight="1" x14ac:dyDescent="0.25">
      <c r="A308" s="333"/>
      <c r="C308" s="360"/>
      <c r="D308" s="361"/>
      <c r="E308" s="333"/>
      <c r="F308" s="333"/>
      <c r="G308" s="333"/>
      <c r="H308" s="333"/>
      <c r="K308" s="362"/>
      <c r="S308" s="333"/>
    </row>
    <row r="309" spans="1:19" ht="15.75" customHeight="1" x14ac:dyDescent="0.25">
      <c r="A309" s="333"/>
      <c r="C309" s="360"/>
      <c r="D309" s="361"/>
      <c r="E309" s="333"/>
      <c r="F309" s="333"/>
      <c r="G309" s="333"/>
      <c r="H309" s="333"/>
      <c r="K309" s="362"/>
      <c r="S309" s="333"/>
    </row>
    <row r="310" spans="1:19" ht="15.75" customHeight="1" x14ac:dyDescent="0.25">
      <c r="A310" s="333"/>
      <c r="C310" s="360"/>
      <c r="D310" s="361"/>
      <c r="E310" s="333"/>
      <c r="F310" s="333"/>
      <c r="G310" s="333"/>
      <c r="H310" s="333"/>
      <c r="K310" s="362"/>
      <c r="S310" s="333"/>
    </row>
    <row r="311" spans="1:19" ht="15.75" customHeight="1" x14ac:dyDescent="0.25">
      <c r="A311" s="333"/>
      <c r="C311" s="360"/>
      <c r="D311" s="361"/>
      <c r="E311" s="333"/>
      <c r="F311" s="333"/>
      <c r="G311" s="333"/>
      <c r="H311" s="333"/>
      <c r="K311" s="362"/>
      <c r="S311" s="333"/>
    </row>
    <row r="312" spans="1:19" ht="15.75" customHeight="1" x14ac:dyDescent="0.25">
      <c r="A312" s="333"/>
      <c r="C312" s="360"/>
      <c r="D312" s="361"/>
      <c r="E312" s="333"/>
      <c r="F312" s="333"/>
      <c r="G312" s="333"/>
      <c r="H312" s="333"/>
      <c r="K312" s="362"/>
      <c r="S312" s="333"/>
    </row>
    <row r="313" spans="1:19" ht="15.75" customHeight="1" x14ac:dyDescent="0.25">
      <c r="A313" s="333"/>
      <c r="C313" s="360"/>
      <c r="D313" s="361"/>
      <c r="E313" s="333"/>
      <c r="F313" s="333"/>
      <c r="G313" s="333"/>
      <c r="H313" s="333"/>
      <c r="K313" s="362"/>
      <c r="S313" s="333"/>
    </row>
    <row r="314" spans="1:19" ht="15.75" customHeight="1" x14ac:dyDescent="0.25">
      <c r="A314" s="333"/>
      <c r="C314" s="360"/>
      <c r="D314" s="361"/>
      <c r="E314" s="333"/>
      <c r="F314" s="333"/>
      <c r="G314" s="333"/>
      <c r="H314" s="333"/>
      <c r="K314" s="362"/>
      <c r="S314" s="333"/>
    </row>
    <row r="315" spans="1:19" ht="15.75" customHeight="1" x14ac:dyDescent="0.25">
      <c r="A315" s="333"/>
      <c r="C315" s="360"/>
      <c r="D315" s="361"/>
      <c r="E315" s="333"/>
      <c r="F315" s="333"/>
      <c r="G315" s="333"/>
      <c r="H315" s="333"/>
      <c r="K315" s="362"/>
      <c r="S315" s="333"/>
    </row>
    <row r="316" spans="1:19" ht="15.75" customHeight="1" x14ac:dyDescent="0.25">
      <c r="A316" s="333"/>
      <c r="C316" s="360"/>
      <c r="D316" s="361"/>
      <c r="E316" s="333"/>
      <c r="F316" s="333"/>
      <c r="G316" s="333"/>
      <c r="H316" s="333"/>
      <c r="K316" s="362"/>
      <c r="S316" s="333"/>
    </row>
    <row r="317" spans="1:19" ht="15.75" customHeight="1" x14ac:dyDescent="0.25">
      <c r="A317" s="333"/>
      <c r="C317" s="360"/>
      <c r="D317" s="361"/>
      <c r="E317" s="333"/>
      <c r="F317" s="333"/>
      <c r="G317" s="333"/>
      <c r="H317" s="333"/>
      <c r="K317" s="362"/>
      <c r="S317" s="333"/>
    </row>
    <row r="318" spans="1:19" ht="15.75" customHeight="1" x14ac:dyDescent="0.25">
      <c r="A318" s="333"/>
      <c r="C318" s="360"/>
      <c r="D318" s="361"/>
      <c r="E318" s="333"/>
      <c r="F318" s="333"/>
      <c r="G318" s="333"/>
      <c r="H318" s="333"/>
      <c r="K318" s="362"/>
      <c r="S318" s="333"/>
    </row>
    <row r="319" spans="1:19" ht="15.75" customHeight="1" x14ac:dyDescent="0.25">
      <c r="A319" s="333"/>
      <c r="C319" s="360"/>
      <c r="D319" s="361"/>
      <c r="E319" s="333"/>
      <c r="F319" s="333"/>
      <c r="G319" s="333"/>
      <c r="H319" s="333"/>
      <c r="K319" s="362"/>
      <c r="S319" s="333"/>
    </row>
    <row r="320" spans="1:19" ht="15.75" customHeight="1" x14ac:dyDescent="0.25">
      <c r="A320" s="333"/>
      <c r="C320" s="360"/>
      <c r="D320" s="361"/>
      <c r="E320" s="333"/>
      <c r="F320" s="333"/>
      <c r="G320" s="333"/>
      <c r="H320" s="333"/>
      <c r="K320" s="362"/>
      <c r="S320" s="333"/>
    </row>
    <row r="321" spans="1:19" ht="15.75" customHeight="1" x14ac:dyDescent="0.25">
      <c r="A321" s="333"/>
      <c r="C321" s="360"/>
      <c r="D321" s="361"/>
      <c r="E321" s="333"/>
      <c r="F321" s="333"/>
      <c r="G321" s="333"/>
      <c r="H321" s="333"/>
      <c r="K321" s="362"/>
      <c r="S321" s="333"/>
    </row>
    <row r="322" spans="1:19" ht="15.75" customHeight="1" x14ac:dyDescent="0.25">
      <c r="A322" s="333"/>
      <c r="C322" s="360"/>
      <c r="D322" s="361"/>
      <c r="E322" s="333"/>
      <c r="F322" s="333"/>
      <c r="G322" s="333"/>
      <c r="H322" s="333"/>
      <c r="K322" s="362"/>
      <c r="S322" s="333"/>
    </row>
    <row r="323" spans="1:19" ht="15.75" customHeight="1" x14ac:dyDescent="0.25">
      <c r="A323" s="333"/>
      <c r="C323" s="360"/>
      <c r="D323" s="361"/>
      <c r="E323" s="333"/>
      <c r="F323" s="333"/>
      <c r="G323" s="333"/>
      <c r="H323" s="333"/>
      <c r="K323" s="362"/>
      <c r="S323" s="333"/>
    </row>
    <row r="324" spans="1:19" ht="15.75" customHeight="1" x14ac:dyDescent="0.25">
      <c r="A324" s="333"/>
      <c r="C324" s="360"/>
      <c r="D324" s="361"/>
      <c r="E324" s="333"/>
      <c r="F324" s="333"/>
      <c r="G324" s="333"/>
      <c r="H324" s="333"/>
      <c r="K324" s="362"/>
      <c r="S324" s="333"/>
    </row>
    <row r="325" spans="1:19" ht="15.75" customHeight="1" x14ac:dyDescent="0.25">
      <c r="A325" s="333"/>
      <c r="C325" s="360"/>
      <c r="D325" s="361"/>
      <c r="E325" s="333"/>
      <c r="F325" s="333"/>
      <c r="G325" s="333"/>
      <c r="H325" s="333"/>
      <c r="K325" s="362"/>
      <c r="S325" s="333"/>
    </row>
    <row r="326" spans="1:19" ht="15.75" customHeight="1" x14ac:dyDescent="0.25">
      <c r="A326" s="333"/>
      <c r="C326" s="360"/>
      <c r="D326" s="361"/>
      <c r="E326" s="333"/>
      <c r="F326" s="333"/>
      <c r="G326" s="333"/>
      <c r="H326" s="333"/>
      <c r="K326" s="362"/>
      <c r="S326" s="333"/>
    </row>
    <row r="327" spans="1:19" ht="15.75" customHeight="1" x14ac:dyDescent="0.25">
      <c r="A327" s="333"/>
      <c r="C327" s="360"/>
      <c r="D327" s="361"/>
      <c r="E327" s="333"/>
      <c r="F327" s="333"/>
      <c r="G327" s="333"/>
      <c r="H327" s="333"/>
      <c r="K327" s="362"/>
      <c r="S327" s="333"/>
    </row>
    <row r="328" spans="1:19" ht="15.75" customHeight="1" x14ac:dyDescent="0.25">
      <c r="A328" s="333"/>
      <c r="C328" s="360"/>
      <c r="D328" s="361"/>
      <c r="E328" s="333"/>
      <c r="F328" s="333"/>
      <c r="G328" s="333"/>
      <c r="H328" s="333"/>
      <c r="K328" s="362"/>
      <c r="S328" s="333"/>
    </row>
    <row r="329" spans="1:19" ht="15.75" customHeight="1" x14ac:dyDescent="0.25">
      <c r="A329" s="333"/>
      <c r="C329" s="360"/>
      <c r="D329" s="361"/>
      <c r="E329" s="333"/>
      <c r="F329" s="333"/>
      <c r="G329" s="333"/>
      <c r="H329" s="333"/>
      <c r="K329" s="362"/>
      <c r="S329" s="333"/>
    </row>
    <row r="330" spans="1:19" ht="15.75" customHeight="1" x14ac:dyDescent="0.25">
      <c r="A330" s="333"/>
      <c r="C330" s="360"/>
      <c r="D330" s="361"/>
      <c r="E330" s="333"/>
      <c r="F330" s="333"/>
      <c r="G330" s="333"/>
      <c r="H330" s="333"/>
      <c r="K330" s="362"/>
      <c r="S330" s="333"/>
    </row>
    <row r="331" spans="1:19" ht="15.75" customHeight="1" x14ac:dyDescent="0.25">
      <c r="A331" s="333"/>
      <c r="C331" s="360"/>
      <c r="D331" s="361"/>
      <c r="E331" s="333"/>
      <c r="F331" s="333"/>
      <c r="G331" s="333"/>
      <c r="H331" s="333"/>
      <c r="K331" s="362"/>
      <c r="S331" s="333"/>
    </row>
    <row r="332" spans="1:19" ht="15.75" customHeight="1" x14ac:dyDescent="0.25">
      <c r="A332" s="333"/>
      <c r="C332" s="360"/>
      <c r="D332" s="361"/>
      <c r="E332" s="333"/>
      <c r="F332" s="333"/>
      <c r="G332" s="333"/>
      <c r="H332" s="333"/>
      <c r="K332" s="362"/>
      <c r="S332" s="333"/>
    </row>
    <row r="333" spans="1:19" ht="15.75" customHeight="1" x14ac:dyDescent="0.25">
      <c r="A333" s="333"/>
      <c r="C333" s="360"/>
      <c r="D333" s="361"/>
      <c r="E333" s="333"/>
      <c r="F333" s="333"/>
      <c r="G333" s="333"/>
      <c r="H333" s="333"/>
      <c r="K333" s="362"/>
      <c r="S333" s="333"/>
    </row>
    <row r="334" spans="1:19" ht="15.75" customHeight="1" x14ac:dyDescent="0.25">
      <c r="A334" s="333"/>
      <c r="C334" s="360"/>
      <c r="D334" s="361"/>
      <c r="E334" s="333"/>
      <c r="F334" s="333"/>
      <c r="G334" s="333"/>
      <c r="H334" s="333"/>
      <c r="K334" s="362"/>
      <c r="S334" s="333"/>
    </row>
    <row r="335" spans="1:19" ht="15.75" customHeight="1" x14ac:dyDescent="0.25">
      <c r="A335" s="333"/>
      <c r="C335" s="360"/>
      <c r="D335" s="361"/>
      <c r="E335" s="333"/>
      <c r="F335" s="333"/>
      <c r="G335" s="333"/>
      <c r="H335" s="333"/>
      <c r="K335" s="362"/>
      <c r="S335" s="333"/>
    </row>
    <row r="336" spans="1:19" ht="15.75" customHeight="1" x14ac:dyDescent="0.25">
      <c r="A336" s="333"/>
      <c r="C336" s="360"/>
      <c r="D336" s="361"/>
      <c r="E336" s="333"/>
      <c r="F336" s="333"/>
      <c r="G336" s="333"/>
      <c r="H336" s="333"/>
      <c r="K336" s="362"/>
      <c r="S336" s="333"/>
    </row>
    <row r="337" spans="1:19" ht="15.75" customHeight="1" x14ac:dyDescent="0.25">
      <c r="A337" s="333"/>
      <c r="C337" s="360"/>
      <c r="D337" s="361"/>
      <c r="E337" s="333"/>
      <c r="F337" s="333"/>
      <c r="G337" s="333"/>
      <c r="H337" s="333"/>
      <c r="K337" s="362"/>
      <c r="S337" s="333"/>
    </row>
    <row r="338" spans="1:19" ht="15.75" customHeight="1" x14ac:dyDescent="0.25">
      <c r="A338" s="333"/>
      <c r="C338" s="360"/>
      <c r="D338" s="361"/>
      <c r="E338" s="333"/>
      <c r="F338" s="333"/>
      <c r="G338" s="333"/>
      <c r="H338" s="333"/>
      <c r="K338" s="362"/>
      <c r="S338" s="333"/>
    </row>
    <row r="339" spans="1:19" ht="15.75" customHeight="1" x14ac:dyDescent="0.25">
      <c r="A339" s="333"/>
      <c r="C339" s="360"/>
      <c r="D339" s="361"/>
      <c r="E339" s="333"/>
      <c r="F339" s="333"/>
      <c r="G339" s="333"/>
      <c r="H339" s="333"/>
      <c r="K339" s="362"/>
      <c r="S339" s="333"/>
    </row>
    <row r="340" spans="1:19" ht="15.75" customHeight="1" x14ac:dyDescent="0.25">
      <c r="A340" s="333"/>
      <c r="C340" s="360"/>
      <c r="D340" s="361"/>
      <c r="E340" s="333"/>
      <c r="F340" s="333"/>
      <c r="G340" s="333"/>
      <c r="H340" s="333"/>
      <c r="K340" s="362"/>
      <c r="S340" s="333"/>
    </row>
    <row r="341" spans="1:19" ht="15.75" customHeight="1" x14ac:dyDescent="0.25">
      <c r="A341" s="333"/>
      <c r="C341" s="360"/>
      <c r="D341" s="361"/>
      <c r="E341" s="333"/>
      <c r="F341" s="333"/>
      <c r="G341" s="333"/>
      <c r="H341" s="333"/>
      <c r="K341" s="362"/>
      <c r="S341" s="333"/>
    </row>
    <row r="342" spans="1:19" ht="15.75" customHeight="1" x14ac:dyDescent="0.25">
      <c r="A342" s="333"/>
      <c r="C342" s="360"/>
      <c r="D342" s="361"/>
      <c r="E342" s="333"/>
      <c r="F342" s="333"/>
      <c r="G342" s="333"/>
      <c r="H342" s="333"/>
      <c r="K342" s="362"/>
      <c r="S342" s="333"/>
    </row>
    <row r="343" spans="1:19" ht="15.75" customHeight="1" x14ac:dyDescent="0.25">
      <c r="A343" s="333"/>
      <c r="C343" s="360"/>
      <c r="D343" s="361"/>
      <c r="E343" s="333"/>
      <c r="F343" s="333"/>
      <c r="G343" s="333"/>
      <c r="H343" s="333"/>
      <c r="K343" s="362"/>
      <c r="S343" s="333"/>
    </row>
    <row r="344" spans="1:19" ht="15.75" customHeight="1" x14ac:dyDescent="0.25">
      <c r="A344" s="333"/>
      <c r="C344" s="360"/>
      <c r="D344" s="361"/>
      <c r="E344" s="333"/>
      <c r="F344" s="333"/>
      <c r="G344" s="333"/>
      <c r="H344" s="333"/>
      <c r="K344" s="362"/>
      <c r="S344" s="333"/>
    </row>
    <row r="345" spans="1:19" ht="15.75" customHeight="1" x14ac:dyDescent="0.25">
      <c r="A345" s="333"/>
      <c r="C345" s="360"/>
      <c r="D345" s="361"/>
      <c r="E345" s="333"/>
      <c r="F345" s="333"/>
      <c r="G345" s="333"/>
      <c r="H345" s="333"/>
      <c r="K345" s="362"/>
      <c r="S345" s="333"/>
    </row>
    <row r="346" spans="1:19" ht="15.75" customHeight="1" x14ac:dyDescent="0.25">
      <c r="A346" s="333"/>
      <c r="C346" s="360"/>
      <c r="D346" s="361"/>
      <c r="E346" s="333"/>
      <c r="F346" s="333"/>
      <c r="G346" s="333"/>
      <c r="H346" s="333"/>
      <c r="K346" s="362"/>
      <c r="S346" s="333"/>
    </row>
    <row r="347" spans="1:19" ht="15.75" customHeight="1" x14ac:dyDescent="0.25">
      <c r="A347" s="333"/>
      <c r="C347" s="360"/>
      <c r="D347" s="361"/>
      <c r="E347" s="333"/>
      <c r="F347" s="333"/>
      <c r="G347" s="333"/>
      <c r="H347" s="333"/>
      <c r="K347" s="362"/>
      <c r="S347" s="333"/>
    </row>
    <row r="348" spans="1:19" ht="15.75" customHeight="1" x14ac:dyDescent="0.25">
      <c r="A348" s="333"/>
      <c r="C348" s="360"/>
      <c r="D348" s="361"/>
      <c r="E348" s="333"/>
      <c r="F348" s="333"/>
      <c r="G348" s="333"/>
      <c r="H348" s="333"/>
      <c r="K348" s="362"/>
      <c r="S348" s="333"/>
    </row>
    <row r="349" spans="1:19" ht="15.75" customHeight="1" x14ac:dyDescent="0.25">
      <c r="A349" s="333"/>
      <c r="C349" s="360"/>
      <c r="D349" s="361"/>
      <c r="E349" s="333"/>
      <c r="F349" s="333"/>
      <c r="G349" s="333"/>
      <c r="H349" s="333"/>
      <c r="K349" s="362"/>
      <c r="S349" s="333"/>
    </row>
    <row r="350" spans="1:19" ht="15.75" customHeight="1" x14ac:dyDescent="0.25">
      <c r="A350" s="333"/>
      <c r="C350" s="360"/>
      <c r="D350" s="361"/>
      <c r="E350" s="333"/>
      <c r="F350" s="333"/>
      <c r="G350" s="333"/>
      <c r="H350" s="333"/>
      <c r="K350" s="362"/>
      <c r="S350" s="333"/>
    </row>
    <row r="351" spans="1:19" ht="15.75" customHeight="1" x14ac:dyDescent="0.25">
      <c r="A351" s="333"/>
      <c r="C351" s="360"/>
      <c r="D351" s="361"/>
      <c r="E351" s="333"/>
      <c r="F351" s="333"/>
      <c r="G351" s="333"/>
      <c r="H351" s="333"/>
      <c r="K351" s="362"/>
      <c r="S351" s="333"/>
    </row>
    <row r="352" spans="1:19" ht="15.75" customHeight="1" x14ac:dyDescent="0.25">
      <c r="A352" s="333"/>
      <c r="C352" s="360"/>
      <c r="D352" s="361"/>
      <c r="E352" s="333"/>
      <c r="F352" s="333"/>
      <c r="G352" s="333"/>
      <c r="H352" s="333"/>
      <c r="K352" s="362"/>
      <c r="S352" s="333"/>
    </row>
    <row r="353" spans="1:19" ht="15.75" customHeight="1" x14ac:dyDescent="0.25">
      <c r="A353" s="333"/>
      <c r="C353" s="360"/>
      <c r="D353" s="361"/>
      <c r="E353" s="333"/>
      <c r="F353" s="333"/>
      <c r="G353" s="333"/>
      <c r="H353" s="333"/>
      <c r="K353" s="362"/>
      <c r="S353" s="333"/>
    </row>
    <row r="354" spans="1:19" ht="15.75" customHeight="1" x14ac:dyDescent="0.25">
      <c r="A354" s="333"/>
      <c r="C354" s="360"/>
      <c r="D354" s="361"/>
      <c r="E354" s="333"/>
      <c r="F354" s="333"/>
      <c r="G354" s="333"/>
      <c r="H354" s="333"/>
      <c r="K354" s="362"/>
      <c r="S354" s="333"/>
    </row>
    <row r="355" spans="1:19" ht="15.75" customHeight="1" x14ac:dyDescent="0.25">
      <c r="A355" s="333"/>
      <c r="C355" s="360"/>
      <c r="D355" s="361"/>
      <c r="E355" s="333"/>
      <c r="F355" s="333"/>
      <c r="G355" s="333"/>
      <c r="H355" s="333"/>
      <c r="K355" s="362"/>
      <c r="S355" s="333"/>
    </row>
    <row r="356" spans="1:19" ht="15.75" customHeight="1" x14ac:dyDescent="0.25">
      <c r="A356" s="333"/>
      <c r="C356" s="360"/>
      <c r="D356" s="361"/>
      <c r="E356" s="333"/>
      <c r="F356" s="333"/>
      <c r="G356" s="333"/>
      <c r="H356" s="333"/>
      <c r="K356" s="362"/>
      <c r="S356" s="333"/>
    </row>
    <row r="357" spans="1:19" ht="15.75" customHeight="1" x14ac:dyDescent="0.25">
      <c r="A357" s="333"/>
      <c r="C357" s="360"/>
      <c r="D357" s="361"/>
      <c r="E357" s="333"/>
      <c r="F357" s="333"/>
      <c r="G357" s="333"/>
      <c r="H357" s="333"/>
      <c r="K357" s="362"/>
      <c r="S357" s="333"/>
    </row>
    <row r="358" spans="1:19" ht="15.75" customHeight="1" x14ac:dyDescent="0.25">
      <c r="A358" s="333"/>
      <c r="C358" s="360"/>
      <c r="D358" s="361"/>
      <c r="E358" s="333"/>
      <c r="F358" s="333"/>
      <c r="G358" s="333"/>
      <c r="H358" s="333"/>
      <c r="K358" s="362"/>
      <c r="S358" s="333"/>
    </row>
    <row r="359" spans="1:19" ht="15.75" customHeight="1" x14ac:dyDescent="0.25">
      <c r="A359" s="333"/>
      <c r="C359" s="360"/>
      <c r="D359" s="361"/>
      <c r="E359" s="333"/>
      <c r="F359" s="333"/>
      <c r="G359" s="333"/>
      <c r="H359" s="333"/>
      <c r="K359" s="362"/>
      <c r="S359" s="333"/>
    </row>
    <row r="360" spans="1:19" ht="15.75" customHeight="1" x14ac:dyDescent="0.25">
      <c r="A360" s="333"/>
      <c r="C360" s="360"/>
      <c r="D360" s="361"/>
      <c r="E360" s="333"/>
      <c r="F360" s="333"/>
      <c r="G360" s="333"/>
      <c r="H360" s="333"/>
      <c r="K360" s="362"/>
      <c r="S360" s="333"/>
    </row>
    <row r="361" spans="1:19" ht="15.75" customHeight="1" x14ac:dyDescent="0.25">
      <c r="A361" s="333"/>
      <c r="C361" s="360"/>
      <c r="D361" s="361"/>
      <c r="E361" s="333"/>
      <c r="F361" s="333"/>
      <c r="G361" s="333"/>
      <c r="H361" s="333"/>
      <c r="K361" s="362"/>
      <c r="S361" s="333"/>
    </row>
    <row r="362" spans="1:19" ht="15.75" customHeight="1" x14ac:dyDescent="0.25">
      <c r="A362" s="333"/>
      <c r="C362" s="360"/>
      <c r="D362" s="361"/>
      <c r="E362" s="333"/>
      <c r="F362" s="333"/>
      <c r="G362" s="333"/>
      <c r="H362" s="333"/>
      <c r="K362" s="362"/>
      <c r="S362" s="333"/>
    </row>
    <row r="363" spans="1:19" ht="15.75" customHeight="1" x14ac:dyDescent="0.25">
      <c r="A363" s="333"/>
      <c r="C363" s="360"/>
      <c r="D363" s="361"/>
      <c r="E363" s="333"/>
      <c r="F363" s="333"/>
      <c r="G363" s="333"/>
      <c r="H363" s="333"/>
      <c r="K363" s="362"/>
      <c r="S363" s="333"/>
    </row>
    <row r="364" spans="1:19" ht="15.75" customHeight="1" x14ac:dyDescent="0.25">
      <c r="A364" s="333"/>
      <c r="C364" s="360"/>
      <c r="D364" s="361"/>
      <c r="E364" s="333"/>
      <c r="F364" s="333"/>
      <c r="G364" s="333"/>
      <c r="H364" s="333"/>
      <c r="K364" s="362"/>
      <c r="S364" s="333"/>
    </row>
    <row r="365" spans="1:19" ht="15.75" customHeight="1" x14ac:dyDescent="0.25">
      <c r="A365" s="333"/>
      <c r="C365" s="360"/>
      <c r="D365" s="361"/>
      <c r="E365" s="333"/>
      <c r="F365" s="333"/>
      <c r="G365" s="333"/>
      <c r="H365" s="333"/>
      <c r="K365" s="362"/>
      <c r="S365" s="333"/>
    </row>
    <row r="366" spans="1:19" ht="15.75" customHeight="1" x14ac:dyDescent="0.25">
      <c r="A366" s="333"/>
      <c r="C366" s="360"/>
      <c r="D366" s="361"/>
      <c r="E366" s="333"/>
      <c r="F366" s="333"/>
      <c r="G366" s="333"/>
      <c r="H366" s="333"/>
      <c r="K366" s="362"/>
      <c r="S366" s="333"/>
    </row>
    <row r="367" spans="1:19" ht="15.75" customHeight="1" x14ac:dyDescent="0.25">
      <c r="A367" s="333"/>
      <c r="C367" s="360"/>
      <c r="D367" s="361"/>
      <c r="E367" s="333"/>
      <c r="F367" s="333"/>
      <c r="G367" s="333"/>
      <c r="H367" s="333"/>
      <c r="K367" s="362"/>
      <c r="S367" s="333"/>
    </row>
    <row r="368" spans="1:19" ht="15.75" customHeight="1" x14ac:dyDescent="0.25">
      <c r="A368" s="333"/>
      <c r="C368" s="360"/>
      <c r="D368" s="361"/>
      <c r="E368" s="333"/>
      <c r="F368" s="333"/>
      <c r="G368" s="333"/>
      <c r="H368" s="333"/>
      <c r="K368" s="362"/>
      <c r="S368" s="333"/>
    </row>
    <row r="369" spans="1:19" ht="15.75" customHeight="1" x14ac:dyDescent="0.25">
      <c r="A369" s="333"/>
      <c r="C369" s="360"/>
      <c r="D369" s="361"/>
      <c r="E369" s="333"/>
      <c r="F369" s="333"/>
      <c r="G369" s="333"/>
      <c r="H369" s="333"/>
      <c r="K369" s="362"/>
      <c r="S369" s="333"/>
    </row>
    <row r="370" spans="1:19" ht="15.75" customHeight="1" x14ac:dyDescent="0.25">
      <c r="A370" s="333"/>
      <c r="C370" s="360"/>
      <c r="D370" s="361"/>
      <c r="E370" s="333"/>
      <c r="F370" s="333"/>
      <c r="G370" s="333"/>
      <c r="H370" s="333"/>
      <c r="K370" s="362"/>
      <c r="S370" s="333"/>
    </row>
    <row r="371" spans="1:19" ht="15.75" customHeight="1" x14ac:dyDescent="0.25">
      <c r="A371" s="333"/>
      <c r="C371" s="360"/>
      <c r="D371" s="361"/>
      <c r="E371" s="333"/>
      <c r="F371" s="333"/>
      <c r="G371" s="333"/>
      <c r="H371" s="333"/>
      <c r="K371" s="362"/>
      <c r="S371" s="333"/>
    </row>
    <row r="372" spans="1:19" ht="15.75" customHeight="1" x14ac:dyDescent="0.25">
      <c r="A372" s="333"/>
      <c r="C372" s="360"/>
      <c r="D372" s="361"/>
      <c r="E372" s="333"/>
      <c r="F372" s="333"/>
      <c r="G372" s="333"/>
      <c r="H372" s="333"/>
      <c r="K372" s="362"/>
      <c r="S372" s="333"/>
    </row>
    <row r="373" spans="1:19" ht="15.75" customHeight="1" x14ac:dyDescent="0.25">
      <c r="A373" s="333"/>
      <c r="C373" s="360"/>
      <c r="D373" s="361"/>
      <c r="E373" s="333"/>
      <c r="F373" s="333"/>
      <c r="G373" s="333"/>
      <c r="H373" s="333"/>
      <c r="K373" s="362"/>
      <c r="S373" s="333"/>
    </row>
    <row r="374" spans="1:19" ht="15.75" customHeight="1" x14ac:dyDescent="0.25">
      <c r="A374" s="333"/>
      <c r="C374" s="360"/>
      <c r="D374" s="361"/>
      <c r="E374" s="333"/>
      <c r="F374" s="333"/>
      <c r="G374" s="333"/>
      <c r="H374" s="333"/>
      <c r="K374" s="362"/>
      <c r="S374" s="333"/>
    </row>
    <row r="375" spans="1:19" ht="15.75" customHeight="1" x14ac:dyDescent="0.25">
      <c r="A375" s="333"/>
      <c r="C375" s="360"/>
      <c r="D375" s="361"/>
      <c r="E375" s="333"/>
      <c r="F375" s="333"/>
      <c r="G375" s="333"/>
      <c r="H375" s="333"/>
      <c r="K375" s="362"/>
      <c r="S375" s="333"/>
    </row>
    <row r="376" spans="1:19" ht="15.75" customHeight="1" x14ac:dyDescent="0.25">
      <c r="A376" s="333"/>
      <c r="C376" s="360"/>
      <c r="D376" s="361"/>
      <c r="E376" s="333"/>
      <c r="F376" s="333"/>
      <c r="G376" s="333"/>
      <c r="H376" s="333"/>
      <c r="K376" s="362"/>
      <c r="S376" s="333"/>
    </row>
    <row r="377" spans="1:19" ht="15.75" customHeight="1" x14ac:dyDescent="0.25">
      <c r="A377" s="333"/>
      <c r="C377" s="360"/>
      <c r="D377" s="361"/>
      <c r="E377" s="333"/>
      <c r="F377" s="333"/>
      <c r="G377" s="333"/>
      <c r="H377" s="333"/>
      <c r="K377" s="362"/>
      <c r="S377" s="333"/>
    </row>
    <row r="378" spans="1:19" ht="15.75" customHeight="1" x14ac:dyDescent="0.25">
      <c r="A378" s="333"/>
      <c r="C378" s="360"/>
      <c r="D378" s="361"/>
      <c r="E378" s="333"/>
      <c r="F378" s="333"/>
      <c r="G378" s="333"/>
      <c r="H378" s="333"/>
      <c r="K378" s="362"/>
      <c r="S378" s="333"/>
    </row>
    <row r="379" spans="1:19" ht="15.75" customHeight="1" x14ac:dyDescent="0.25">
      <c r="A379" s="333"/>
      <c r="C379" s="360"/>
      <c r="D379" s="361"/>
      <c r="E379" s="333"/>
      <c r="F379" s="333"/>
      <c r="G379" s="333"/>
      <c r="H379" s="333"/>
      <c r="K379" s="362"/>
      <c r="S379" s="333"/>
    </row>
    <row r="380" spans="1:19" ht="15.75" customHeight="1" x14ac:dyDescent="0.25">
      <c r="A380" s="333"/>
      <c r="C380" s="360"/>
      <c r="D380" s="361"/>
      <c r="E380" s="333"/>
      <c r="F380" s="333"/>
      <c r="G380" s="333"/>
      <c r="H380" s="333"/>
      <c r="K380" s="362"/>
      <c r="S380" s="333"/>
    </row>
    <row r="381" spans="1:19" ht="15.75" customHeight="1" x14ac:dyDescent="0.25">
      <c r="A381" s="333"/>
      <c r="C381" s="360"/>
      <c r="D381" s="361"/>
      <c r="E381" s="333"/>
      <c r="F381" s="333"/>
      <c r="G381" s="333"/>
      <c r="H381" s="333"/>
      <c r="K381" s="362"/>
      <c r="S381" s="333"/>
    </row>
    <row r="382" spans="1:19" ht="15.75" customHeight="1" x14ac:dyDescent="0.25">
      <c r="A382" s="333"/>
      <c r="C382" s="360"/>
      <c r="D382" s="361"/>
      <c r="E382" s="333"/>
      <c r="F382" s="333"/>
      <c r="G382" s="333"/>
      <c r="H382" s="333"/>
      <c r="K382" s="362"/>
      <c r="S382" s="333"/>
    </row>
    <row r="383" spans="1:19" ht="15.75" customHeight="1" x14ac:dyDescent="0.25">
      <c r="A383" s="333"/>
      <c r="C383" s="360"/>
      <c r="D383" s="361"/>
      <c r="E383" s="333"/>
      <c r="F383" s="333"/>
      <c r="G383" s="333"/>
      <c r="H383" s="333"/>
      <c r="K383" s="362"/>
      <c r="S383" s="333"/>
    </row>
    <row r="384" spans="1:19" ht="15.75" customHeight="1" x14ac:dyDescent="0.25">
      <c r="A384" s="333"/>
      <c r="C384" s="360"/>
      <c r="D384" s="361"/>
      <c r="E384" s="333"/>
      <c r="F384" s="333"/>
      <c r="G384" s="333"/>
      <c r="H384" s="333"/>
      <c r="K384" s="362"/>
      <c r="S384" s="333"/>
    </row>
    <row r="385" spans="1:19" ht="15.75" customHeight="1" x14ac:dyDescent="0.25">
      <c r="A385" s="333"/>
      <c r="C385" s="360"/>
      <c r="D385" s="361"/>
      <c r="E385" s="333"/>
      <c r="F385" s="333"/>
      <c r="G385" s="333"/>
      <c r="H385" s="333"/>
      <c r="K385" s="362"/>
      <c r="S385" s="333"/>
    </row>
    <row r="386" spans="1:19" ht="15.75" customHeight="1" x14ac:dyDescent="0.25">
      <c r="A386" s="333"/>
      <c r="C386" s="360"/>
      <c r="D386" s="361"/>
      <c r="E386" s="333"/>
      <c r="F386" s="333"/>
      <c r="G386" s="333"/>
      <c r="H386" s="333"/>
      <c r="K386" s="362"/>
      <c r="S386" s="333"/>
    </row>
    <row r="387" spans="1:19" ht="15.75" customHeight="1" x14ac:dyDescent="0.25">
      <c r="A387" s="333"/>
      <c r="C387" s="360"/>
      <c r="D387" s="361"/>
      <c r="E387" s="333"/>
      <c r="F387" s="333"/>
      <c r="G387" s="333"/>
      <c r="H387" s="333"/>
      <c r="K387" s="362"/>
      <c r="S387" s="333"/>
    </row>
    <row r="388" spans="1:19" ht="15.75" customHeight="1" x14ac:dyDescent="0.25">
      <c r="A388" s="333"/>
      <c r="C388" s="360"/>
      <c r="D388" s="361"/>
      <c r="E388" s="333"/>
      <c r="F388" s="333"/>
      <c r="G388" s="333"/>
      <c r="H388" s="333"/>
      <c r="K388" s="362"/>
      <c r="S388" s="333"/>
    </row>
    <row r="389" spans="1:19" ht="15.75" customHeight="1" x14ac:dyDescent="0.25">
      <c r="A389" s="333"/>
      <c r="C389" s="360"/>
      <c r="D389" s="361"/>
      <c r="E389" s="333"/>
      <c r="F389" s="333"/>
      <c r="G389" s="333"/>
      <c r="H389" s="333"/>
      <c r="K389" s="362"/>
      <c r="S389" s="333"/>
    </row>
    <row r="390" spans="1:19" ht="15.75" customHeight="1" x14ac:dyDescent="0.25">
      <c r="A390" s="333"/>
      <c r="C390" s="360"/>
      <c r="D390" s="361"/>
      <c r="E390" s="333"/>
      <c r="F390" s="333"/>
      <c r="G390" s="333"/>
      <c r="H390" s="333"/>
      <c r="K390" s="362"/>
      <c r="S390" s="333"/>
    </row>
    <row r="391" spans="1:19" ht="15.75" customHeight="1" x14ac:dyDescent="0.25">
      <c r="A391" s="333"/>
      <c r="C391" s="360"/>
      <c r="D391" s="361"/>
      <c r="E391" s="333"/>
      <c r="F391" s="333"/>
      <c r="G391" s="333"/>
      <c r="H391" s="333"/>
      <c r="K391" s="362"/>
      <c r="S391" s="333"/>
    </row>
    <row r="392" spans="1:19" ht="15.75" customHeight="1" x14ac:dyDescent="0.25">
      <c r="A392" s="333"/>
      <c r="C392" s="360"/>
      <c r="D392" s="361"/>
      <c r="E392" s="333"/>
      <c r="F392" s="333"/>
      <c r="G392" s="333"/>
      <c r="H392" s="333"/>
      <c r="K392" s="362"/>
      <c r="S392" s="333"/>
    </row>
    <row r="393" spans="1:19" ht="15.75" customHeight="1" x14ac:dyDescent="0.25">
      <c r="A393" s="333"/>
      <c r="C393" s="360"/>
      <c r="D393" s="361"/>
      <c r="E393" s="333"/>
      <c r="F393" s="333"/>
      <c r="G393" s="333"/>
      <c r="H393" s="333"/>
      <c r="K393" s="362"/>
      <c r="S393" s="333"/>
    </row>
    <row r="394" spans="1:19" ht="15.75" customHeight="1" x14ac:dyDescent="0.25">
      <c r="A394" s="333"/>
      <c r="C394" s="360"/>
      <c r="D394" s="361"/>
      <c r="E394" s="333"/>
      <c r="F394" s="333"/>
      <c r="G394" s="333"/>
      <c r="H394" s="333"/>
      <c r="K394" s="362"/>
      <c r="S394" s="333"/>
    </row>
    <row r="395" spans="1:19" ht="15.75" customHeight="1" x14ac:dyDescent="0.25">
      <c r="A395" s="333"/>
      <c r="C395" s="360"/>
      <c r="D395" s="361"/>
      <c r="E395" s="333"/>
      <c r="F395" s="333"/>
      <c r="G395" s="333"/>
      <c r="H395" s="333"/>
      <c r="K395" s="362"/>
      <c r="S395" s="333"/>
    </row>
    <row r="396" spans="1:19" ht="15.75" customHeight="1" x14ac:dyDescent="0.25">
      <c r="A396" s="333"/>
      <c r="C396" s="360"/>
      <c r="D396" s="361"/>
      <c r="E396" s="333"/>
      <c r="F396" s="333"/>
      <c r="G396" s="333"/>
      <c r="H396" s="333"/>
      <c r="K396" s="362"/>
      <c r="S396" s="333"/>
    </row>
    <row r="397" spans="1:19" ht="15.75" customHeight="1" x14ac:dyDescent="0.25">
      <c r="A397" s="333"/>
      <c r="C397" s="360"/>
      <c r="D397" s="361"/>
      <c r="E397" s="333"/>
      <c r="F397" s="333"/>
      <c r="G397" s="333"/>
      <c r="H397" s="333"/>
      <c r="K397" s="362"/>
      <c r="S397" s="333"/>
    </row>
    <row r="398" spans="1:19" ht="15.75" customHeight="1" x14ac:dyDescent="0.25">
      <c r="A398" s="333"/>
      <c r="C398" s="360"/>
      <c r="D398" s="361"/>
      <c r="E398" s="333"/>
      <c r="F398" s="333"/>
      <c r="G398" s="333"/>
      <c r="H398" s="333"/>
      <c r="K398" s="362"/>
      <c r="S398" s="333"/>
    </row>
    <row r="399" spans="1:19" ht="15.75" customHeight="1" x14ac:dyDescent="0.25">
      <c r="A399" s="333"/>
      <c r="C399" s="360"/>
      <c r="D399" s="361"/>
      <c r="E399" s="333"/>
      <c r="F399" s="333"/>
      <c r="G399" s="333"/>
      <c r="H399" s="333"/>
      <c r="K399" s="362"/>
      <c r="S399" s="333"/>
    </row>
    <row r="400" spans="1:19" ht="15.75" customHeight="1" x14ac:dyDescent="0.25">
      <c r="A400" s="333"/>
      <c r="C400" s="360"/>
      <c r="D400" s="361"/>
      <c r="E400" s="333"/>
      <c r="F400" s="333"/>
      <c r="G400" s="333"/>
      <c r="H400" s="333"/>
      <c r="K400" s="362"/>
      <c r="S400" s="333"/>
    </row>
    <row r="401" spans="1:19" ht="15.75" customHeight="1" x14ac:dyDescent="0.25">
      <c r="A401" s="333"/>
      <c r="C401" s="360"/>
      <c r="D401" s="361"/>
      <c r="E401" s="333"/>
      <c r="F401" s="333"/>
      <c r="G401" s="333"/>
      <c r="H401" s="333"/>
      <c r="K401" s="362"/>
      <c r="S401" s="333"/>
    </row>
    <row r="402" spans="1:19" ht="15.75" customHeight="1" x14ac:dyDescent="0.25">
      <c r="A402" s="333"/>
      <c r="C402" s="360"/>
      <c r="D402" s="361"/>
      <c r="E402" s="333"/>
      <c r="F402" s="333"/>
      <c r="G402" s="333"/>
      <c r="H402" s="333"/>
      <c r="K402" s="362"/>
      <c r="S402" s="333"/>
    </row>
    <row r="403" spans="1:19" ht="15.75" customHeight="1" x14ac:dyDescent="0.25">
      <c r="A403" s="333"/>
      <c r="C403" s="360"/>
      <c r="D403" s="361"/>
      <c r="E403" s="333"/>
      <c r="F403" s="333"/>
      <c r="G403" s="333"/>
      <c r="H403" s="333"/>
      <c r="K403" s="362"/>
      <c r="S403" s="333"/>
    </row>
    <row r="404" spans="1:19" ht="15.75" customHeight="1" x14ac:dyDescent="0.25">
      <c r="A404" s="333"/>
      <c r="C404" s="360"/>
      <c r="D404" s="361"/>
      <c r="E404" s="333"/>
      <c r="F404" s="333"/>
      <c r="G404" s="333"/>
      <c r="H404" s="333"/>
      <c r="K404" s="362"/>
      <c r="S404" s="333"/>
    </row>
    <row r="405" spans="1:19" ht="15.75" customHeight="1" x14ac:dyDescent="0.25">
      <c r="A405" s="333"/>
      <c r="C405" s="360"/>
      <c r="D405" s="361"/>
      <c r="E405" s="333"/>
      <c r="F405" s="333"/>
      <c r="G405" s="333"/>
      <c r="H405" s="333"/>
      <c r="K405" s="362"/>
      <c r="S405" s="333"/>
    </row>
    <row r="406" spans="1:19" ht="15.75" customHeight="1" x14ac:dyDescent="0.25">
      <c r="A406" s="333"/>
      <c r="C406" s="360"/>
      <c r="D406" s="361"/>
      <c r="E406" s="333"/>
      <c r="F406" s="333"/>
      <c r="G406" s="333"/>
      <c r="H406" s="333"/>
      <c r="K406" s="362"/>
      <c r="S406" s="333"/>
    </row>
    <row r="407" spans="1:19" ht="15.75" customHeight="1" x14ac:dyDescent="0.25">
      <c r="A407" s="333"/>
      <c r="C407" s="360"/>
      <c r="D407" s="361"/>
      <c r="E407" s="333"/>
      <c r="F407" s="333"/>
      <c r="G407" s="333"/>
      <c r="H407" s="333"/>
      <c r="K407" s="362"/>
      <c r="S407" s="333"/>
    </row>
    <row r="408" spans="1:19" ht="15.75" customHeight="1" x14ac:dyDescent="0.25">
      <c r="A408" s="333"/>
      <c r="C408" s="360"/>
      <c r="D408" s="361"/>
      <c r="E408" s="333"/>
      <c r="F408" s="333"/>
      <c r="G408" s="333"/>
      <c r="H408" s="333"/>
      <c r="K408" s="362"/>
      <c r="S408" s="333"/>
    </row>
    <row r="409" spans="1:19" ht="15.75" customHeight="1" x14ac:dyDescent="0.25">
      <c r="A409" s="333"/>
      <c r="C409" s="360"/>
      <c r="D409" s="361"/>
      <c r="E409" s="333"/>
      <c r="F409" s="333"/>
      <c r="G409" s="333"/>
      <c r="H409" s="333"/>
      <c r="K409" s="362"/>
      <c r="S409" s="333"/>
    </row>
    <row r="410" spans="1:19" ht="15.75" customHeight="1" x14ac:dyDescent="0.25">
      <c r="A410" s="333"/>
      <c r="C410" s="360"/>
      <c r="D410" s="361"/>
      <c r="E410" s="333"/>
      <c r="F410" s="333"/>
      <c r="G410" s="333"/>
      <c r="H410" s="333"/>
      <c r="K410" s="362"/>
      <c r="S410" s="333"/>
    </row>
    <row r="411" spans="1:19" ht="15.75" customHeight="1" x14ac:dyDescent="0.25">
      <c r="A411" s="333"/>
      <c r="C411" s="360"/>
      <c r="D411" s="361"/>
      <c r="E411" s="333"/>
      <c r="F411" s="333"/>
      <c r="G411" s="333"/>
      <c r="H411" s="333"/>
      <c r="K411" s="362"/>
      <c r="S411" s="333"/>
    </row>
    <row r="412" spans="1:19" ht="15.75" customHeight="1" x14ac:dyDescent="0.25">
      <c r="A412" s="333"/>
      <c r="C412" s="360"/>
      <c r="D412" s="361"/>
      <c r="E412" s="333"/>
      <c r="F412" s="333"/>
      <c r="G412" s="333"/>
      <c r="H412" s="333"/>
      <c r="K412" s="362"/>
      <c r="S412" s="333"/>
    </row>
    <row r="413" spans="1:19" ht="15.75" customHeight="1" x14ac:dyDescent="0.25">
      <c r="A413" s="333"/>
      <c r="C413" s="360"/>
      <c r="D413" s="361"/>
      <c r="E413" s="333"/>
      <c r="F413" s="333"/>
      <c r="G413" s="333"/>
      <c r="H413" s="333"/>
      <c r="K413" s="362"/>
      <c r="S413" s="333"/>
    </row>
    <row r="414" spans="1:19" ht="15.75" customHeight="1" x14ac:dyDescent="0.25">
      <c r="A414" s="333"/>
      <c r="C414" s="360"/>
      <c r="D414" s="361"/>
      <c r="E414" s="333"/>
      <c r="F414" s="333"/>
      <c r="G414" s="333"/>
      <c r="H414" s="333"/>
      <c r="K414" s="362"/>
      <c r="S414" s="333"/>
    </row>
    <row r="415" spans="1:19" ht="15.75" customHeight="1" x14ac:dyDescent="0.25">
      <c r="A415" s="333"/>
      <c r="C415" s="360"/>
      <c r="D415" s="361"/>
      <c r="E415" s="333"/>
      <c r="F415" s="333"/>
      <c r="G415" s="333"/>
      <c r="H415" s="333"/>
      <c r="K415" s="362"/>
      <c r="S415" s="333"/>
    </row>
    <row r="416" spans="1:19" ht="15.75" customHeight="1" x14ac:dyDescent="0.25">
      <c r="A416" s="333"/>
      <c r="C416" s="360"/>
      <c r="D416" s="361"/>
      <c r="E416" s="333"/>
      <c r="F416" s="333"/>
      <c r="G416" s="333"/>
      <c r="H416" s="333"/>
      <c r="K416" s="362"/>
      <c r="S416" s="333"/>
    </row>
    <row r="417" spans="1:19" ht="15.75" customHeight="1" x14ac:dyDescent="0.25">
      <c r="A417" s="333"/>
      <c r="C417" s="360"/>
      <c r="D417" s="361"/>
      <c r="E417" s="333"/>
      <c r="F417" s="333"/>
      <c r="G417" s="333"/>
      <c r="H417" s="333"/>
      <c r="K417" s="362"/>
      <c r="S417" s="333"/>
    </row>
    <row r="418" spans="1:19" ht="15.75" customHeight="1" x14ac:dyDescent="0.25">
      <c r="A418" s="333"/>
      <c r="C418" s="360"/>
      <c r="D418" s="361"/>
      <c r="E418" s="333"/>
      <c r="F418" s="333"/>
      <c r="G418" s="333"/>
      <c r="H418" s="333"/>
      <c r="K418" s="362"/>
      <c r="S418" s="333"/>
    </row>
    <row r="419" spans="1:19" ht="15.75" customHeight="1" x14ac:dyDescent="0.25">
      <c r="A419" s="333"/>
      <c r="C419" s="360"/>
      <c r="D419" s="361"/>
      <c r="E419" s="333"/>
      <c r="F419" s="333"/>
      <c r="G419" s="333"/>
      <c r="H419" s="333"/>
      <c r="K419" s="362"/>
      <c r="S419" s="333"/>
    </row>
    <row r="420" spans="1:19" ht="15.75" customHeight="1" x14ac:dyDescent="0.25">
      <c r="A420" s="333"/>
      <c r="C420" s="360"/>
      <c r="D420" s="361"/>
      <c r="E420" s="333"/>
      <c r="F420" s="333"/>
      <c r="G420" s="333"/>
      <c r="H420" s="333"/>
      <c r="K420" s="362"/>
      <c r="S420" s="333"/>
    </row>
    <row r="421" spans="1:19" ht="15.75" customHeight="1" x14ac:dyDescent="0.25">
      <c r="A421" s="333"/>
      <c r="C421" s="360"/>
      <c r="D421" s="361"/>
      <c r="E421" s="333"/>
      <c r="F421" s="333"/>
      <c r="G421" s="333"/>
      <c r="H421" s="333"/>
      <c r="K421" s="362"/>
      <c r="S421" s="333"/>
    </row>
    <row r="422" spans="1:19" ht="15.75" customHeight="1" x14ac:dyDescent="0.25">
      <c r="A422" s="333"/>
      <c r="C422" s="360"/>
      <c r="D422" s="361"/>
      <c r="E422" s="333"/>
      <c r="F422" s="333"/>
      <c r="G422" s="333"/>
      <c r="H422" s="333"/>
      <c r="K422" s="362"/>
      <c r="S422" s="333"/>
    </row>
    <row r="423" spans="1:19" ht="15.75" customHeight="1" x14ac:dyDescent="0.25">
      <c r="A423" s="333"/>
      <c r="C423" s="360"/>
      <c r="D423" s="361"/>
      <c r="E423" s="333"/>
      <c r="F423" s="333"/>
      <c r="G423" s="333"/>
      <c r="H423" s="333"/>
      <c r="K423" s="362"/>
      <c r="S423" s="333"/>
    </row>
    <row r="424" spans="1:19" ht="15.75" customHeight="1" x14ac:dyDescent="0.25">
      <c r="A424" s="333"/>
      <c r="C424" s="360"/>
      <c r="D424" s="361"/>
      <c r="E424" s="333"/>
      <c r="F424" s="333"/>
      <c r="G424" s="333"/>
      <c r="H424" s="333"/>
      <c r="K424" s="362"/>
      <c r="S424" s="333"/>
    </row>
    <row r="425" spans="1:19" ht="15.75" customHeight="1" x14ac:dyDescent="0.25">
      <c r="A425" s="333"/>
      <c r="C425" s="360"/>
      <c r="D425" s="361"/>
      <c r="E425" s="333"/>
      <c r="F425" s="333"/>
      <c r="G425" s="333"/>
      <c r="H425" s="333"/>
      <c r="K425" s="362"/>
      <c r="S425" s="333"/>
    </row>
    <row r="426" spans="1:19" ht="15.75" customHeight="1" x14ac:dyDescent="0.25">
      <c r="A426" s="333"/>
      <c r="C426" s="360"/>
      <c r="D426" s="361"/>
      <c r="E426" s="333"/>
      <c r="F426" s="333"/>
      <c r="G426" s="333"/>
      <c r="H426" s="333"/>
      <c r="K426" s="362"/>
      <c r="S426" s="333"/>
    </row>
    <row r="427" spans="1:19" ht="15.75" customHeight="1" x14ac:dyDescent="0.25">
      <c r="A427" s="333"/>
      <c r="C427" s="360"/>
      <c r="D427" s="361"/>
      <c r="E427" s="333"/>
      <c r="F427" s="333"/>
      <c r="G427" s="333"/>
      <c r="H427" s="333"/>
      <c r="K427" s="362"/>
      <c r="S427" s="333"/>
    </row>
    <row r="428" spans="1:19" ht="15.75" customHeight="1" x14ac:dyDescent="0.25">
      <c r="A428" s="333"/>
      <c r="C428" s="360"/>
      <c r="D428" s="361"/>
      <c r="E428" s="333"/>
      <c r="F428" s="333"/>
      <c r="G428" s="333"/>
      <c r="H428" s="333"/>
      <c r="K428" s="362"/>
      <c r="S428" s="333"/>
    </row>
    <row r="429" spans="1:19" ht="15.75" customHeight="1" x14ac:dyDescent="0.25">
      <c r="A429" s="333"/>
      <c r="C429" s="360"/>
      <c r="D429" s="361"/>
      <c r="E429" s="333"/>
      <c r="F429" s="333"/>
      <c r="G429" s="333"/>
      <c r="H429" s="333"/>
      <c r="K429" s="362"/>
      <c r="S429" s="333"/>
    </row>
    <row r="430" spans="1:19" ht="15.75" customHeight="1" x14ac:dyDescent="0.25">
      <c r="A430" s="333"/>
      <c r="C430" s="360"/>
      <c r="D430" s="361"/>
      <c r="E430" s="333"/>
      <c r="F430" s="333"/>
      <c r="G430" s="333"/>
      <c r="H430" s="333"/>
      <c r="K430" s="362"/>
      <c r="S430" s="333"/>
    </row>
    <row r="431" spans="1:19" ht="15.75" customHeight="1" x14ac:dyDescent="0.25">
      <c r="A431" s="333"/>
      <c r="C431" s="360"/>
      <c r="D431" s="361"/>
      <c r="E431" s="333"/>
      <c r="F431" s="333"/>
      <c r="G431" s="333"/>
      <c r="H431" s="333"/>
      <c r="K431" s="362"/>
      <c r="S431" s="333"/>
    </row>
    <row r="432" spans="1:19" ht="15.75" customHeight="1" x14ac:dyDescent="0.25">
      <c r="A432" s="333"/>
      <c r="C432" s="360"/>
      <c r="D432" s="361"/>
      <c r="E432" s="333"/>
      <c r="F432" s="333"/>
      <c r="G432" s="333"/>
      <c r="H432" s="333"/>
      <c r="K432" s="362"/>
      <c r="S432" s="333"/>
    </row>
    <row r="433" spans="1:19" ht="15.75" customHeight="1" x14ac:dyDescent="0.25">
      <c r="A433" s="333"/>
      <c r="C433" s="360"/>
      <c r="D433" s="361"/>
      <c r="E433" s="333"/>
      <c r="F433" s="333"/>
      <c r="G433" s="333"/>
      <c r="H433" s="333"/>
      <c r="K433" s="362"/>
      <c r="S433" s="333"/>
    </row>
    <row r="434" spans="1:19" ht="15.75" customHeight="1" x14ac:dyDescent="0.25">
      <c r="A434" s="333"/>
      <c r="C434" s="360"/>
      <c r="D434" s="361"/>
      <c r="E434" s="333"/>
      <c r="F434" s="333"/>
      <c r="G434" s="333"/>
      <c r="H434" s="333"/>
      <c r="K434" s="362"/>
      <c r="S434" s="333"/>
    </row>
    <row r="435" spans="1:19" ht="15.75" customHeight="1" x14ac:dyDescent="0.25">
      <c r="A435" s="333"/>
      <c r="C435" s="360"/>
      <c r="D435" s="361"/>
      <c r="E435" s="333"/>
      <c r="F435" s="333"/>
      <c r="G435" s="333"/>
      <c r="H435" s="333"/>
      <c r="K435" s="362"/>
      <c r="S435" s="333"/>
    </row>
    <row r="436" spans="1:19" ht="15.75" customHeight="1" x14ac:dyDescent="0.25">
      <c r="A436" s="333"/>
      <c r="C436" s="360"/>
      <c r="D436" s="361"/>
      <c r="E436" s="333"/>
      <c r="F436" s="333"/>
      <c r="G436" s="333"/>
      <c r="H436" s="333"/>
      <c r="K436" s="362"/>
      <c r="S436" s="333"/>
    </row>
    <row r="437" spans="1:19" ht="15.75" customHeight="1" x14ac:dyDescent="0.25">
      <c r="A437" s="333"/>
      <c r="C437" s="360"/>
      <c r="D437" s="361"/>
      <c r="E437" s="333"/>
      <c r="F437" s="333"/>
      <c r="G437" s="333"/>
      <c r="H437" s="333"/>
      <c r="K437" s="362"/>
      <c r="S437" s="333"/>
    </row>
    <row r="438" spans="1:19" ht="15.75" customHeight="1" x14ac:dyDescent="0.25">
      <c r="A438" s="333"/>
      <c r="C438" s="360"/>
      <c r="D438" s="361"/>
      <c r="E438" s="333"/>
      <c r="F438" s="333"/>
      <c r="G438" s="333"/>
      <c r="H438" s="333"/>
      <c r="K438" s="362"/>
      <c r="S438" s="333"/>
    </row>
    <row r="439" spans="1:19" ht="15.75" customHeight="1" x14ac:dyDescent="0.25">
      <c r="A439" s="333"/>
      <c r="C439" s="360"/>
      <c r="D439" s="361"/>
      <c r="E439" s="333"/>
      <c r="F439" s="333"/>
      <c r="G439" s="333"/>
      <c r="H439" s="333"/>
      <c r="K439" s="362"/>
      <c r="S439" s="333"/>
    </row>
    <row r="440" spans="1:19" ht="15.75" customHeight="1" x14ac:dyDescent="0.25">
      <c r="A440" s="333"/>
      <c r="C440" s="360"/>
      <c r="D440" s="361"/>
      <c r="E440" s="333"/>
      <c r="F440" s="333"/>
      <c r="G440" s="333"/>
      <c r="H440" s="333"/>
      <c r="K440" s="362"/>
      <c r="S440" s="333"/>
    </row>
    <row r="441" spans="1:19" ht="15.75" customHeight="1" x14ac:dyDescent="0.25">
      <c r="A441" s="333"/>
      <c r="C441" s="360"/>
      <c r="D441" s="361"/>
      <c r="E441" s="333"/>
      <c r="F441" s="333"/>
      <c r="G441" s="333"/>
      <c r="H441" s="333"/>
      <c r="K441" s="362"/>
      <c r="S441" s="333"/>
    </row>
    <row r="442" spans="1:19" ht="15.75" customHeight="1" x14ac:dyDescent="0.25">
      <c r="A442" s="333"/>
      <c r="C442" s="360"/>
      <c r="D442" s="361"/>
      <c r="E442" s="333"/>
      <c r="F442" s="333"/>
      <c r="G442" s="333"/>
      <c r="H442" s="333"/>
      <c r="K442" s="362"/>
      <c r="S442" s="333"/>
    </row>
    <row r="443" spans="1:19" ht="15.75" customHeight="1" x14ac:dyDescent="0.25">
      <c r="A443" s="333"/>
      <c r="C443" s="360"/>
      <c r="D443" s="361"/>
      <c r="E443" s="333"/>
      <c r="F443" s="333"/>
      <c r="G443" s="333"/>
      <c r="H443" s="333"/>
      <c r="K443" s="362"/>
      <c r="S443" s="333"/>
    </row>
    <row r="444" spans="1:19" ht="15.75" customHeight="1" x14ac:dyDescent="0.25">
      <c r="A444" s="333"/>
      <c r="C444" s="360"/>
      <c r="D444" s="361"/>
      <c r="E444" s="333"/>
      <c r="F444" s="333"/>
      <c r="G444" s="333"/>
      <c r="H444" s="333"/>
      <c r="K444" s="362"/>
      <c r="S444" s="333"/>
    </row>
    <row r="445" spans="1:19" ht="15.75" customHeight="1" x14ac:dyDescent="0.25">
      <c r="A445" s="333"/>
      <c r="C445" s="360"/>
      <c r="D445" s="361"/>
      <c r="E445" s="333"/>
      <c r="F445" s="333"/>
      <c r="G445" s="333"/>
      <c r="H445" s="333"/>
      <c r="K445" s="362"/>
      <c r="S445" s="333"/>
    </row>
    <row r="446" spans="1:19" ht="15.75" customHeight="1" x14ac:dyDescent="0.25">
      <c r="A446" s="333"/>
      <c r="C446" s="360"/>
      <c r="D446" s="361"/>
      <c r="E446" s="333"/>
      <c r="F446" s="333"/>
      <c r="G446" s="333"/>
      <c r="H446" s="333"/>
      <c r="K446" s="362"/>
      <c r="S446" s="333"/>
    </row>
    <row r="447" spans="1:19" ht="15.75" customHeight="1" x14ac:dyDescent="0.25">
      <c r="A447" s="333"/>
      <c r="C447" s="360"/>
      <c r="D447" s="361"/>
      <c r="E447" s="333"/>
      <c r="F447" s="333"/>
      <c r="G447" s="333"/>
      <c r="H447" s="333"/>
      <c r="K447" s="362"/>
      <c r="S447" s="333"/>
    </row>
    <row r="448" spans="1:19" ht="15.75" customHeight="1" x14ac:dyDescent="0.25">
      <c r="A448" s="333"/>
      <c r="C448" s="360"/>
      <c r="D448" s="361"/>
      <c r="E448" s="333"/>
      <c r="F448" s="333"/>
      <c r="G448" s="333"/>
      <c r="H448" s="333"/>
      <c r="K448" s="362"/>
      <c r="S448" s="333"/>
    </row>
    <row r="449" spans="1:19" ht="15.75" customHeight="1" x14ac:dyDescent="0.25">
      <c r="A449" s="333"/>
      <c r="C449" s="360"/>
      <c r="D449" s="361"/>
      <c r="E449" s="333"/>
      <c r="F449" s="333"/>
      <c r="G449" s="333"/>
      <c r="H449" s="333"/>
      <c r="K449" s="362"/>
      <c r="S449" s="333"/>
    </row>
    <row r="450" spans="1:19" ht="15.75" customHeight="1" x14ac:dyDescent="0.25">
      <c r="A450" s="333"/>
      <c r="C450" s="360"/>
      <c r="D450" s="361"/>
      <c r="E450" s="333"/>
      <c r="F450" s="333"/>
      <c r="G450" s="333"/>
      <c r="H450" s="333"/>
      <c r="K450" s="362"/>
      <c r="S450" s="333"/>
    </row>
    <row r="451" spans="1:19" ht="15.75" customHeight="1" x14ac:dyDescent="0.25">
      <c r="A451" s="333"/>
      <c r="C451" s="360"/>
      <c r="D451" s="361"/>
      <c r="E451" s="333"/>
      <c r="F451" s="333"/>
      <c r="G451" s="333"/>
      <c r="H451" s="333"/>
      <c r="K451" s="362"/>
      <c r="S451" s="333"/>
    </row>
    <row r="452" spans="1:19" ht="15.75" customHeight="1" x14ac:dyDescent="0.25">
      <c r="A452" s="333"/>
      <c r="C452" s="360"/>
      <c r="D452" s="361"/>
      <c r="E452" s="333"/>
      <c r="F452" s="333"/>
      <c r="G452" s="333"/>
      <c r="H452" s="333"/>
      <c r="K452" s="362"/>
      <c r="S452" s="333"/>
    </row>
    <row r="453" spans="1:19" ht="15.75" customHeight="1" x14ac:dyDescent="0.25">
      <c r="A453" s="333"/>
      <c r="C453" s="360"/>
      <c r="D453" s="361"/>
      <c r="E453" s="333"/>
      <c r="F453" s="333"/>
      <c r="G453" s="333"/>
      <c r="H453" s="333"/>
      <c r="K453" s="362"/>
      <c r="S453" s="333"/>
    </row>
    <row r="454" spans="1:19" ht="15.75" customHeight="1" x14ac:dyDescent="0.25">
      <c r="A454" s="333"/>
      <c r="C454" s="360"/>
      <c r="D454" s="361"/>
      <c r="E454" s="333"/>
      <c r="F454" s="333"/>
      <c r="G454" s="333"/>
      <c r="H454" s="333"/>
      <c r="K454" s="362"/>
      <c r="S454" s="333"/>
    </row>
    <row r="455" spans="1:19" ht="15.75" customHeight="1" x14ac:dyDescent="0.25">
      <c r="A455" s="333"/>
      <c r="C455" s="360"/>
      <c r="D455" s="361"/>
      <c r="E455" s="333"/>
      <c r="F455" s="333"/>
      <c r="G455" s="333"/>
      <c r="H455" s="333"/>
      <c r="K455" s="362"/>
      <c r="S455" s="333"/>
    </row>
    <row r="456" spans="1:19" ht="15.75" customHeight="1" x14ac:dyDescent="0.25">
      <c r="A456" s="333"/>
      <c r="C456" s="360"/>
      <c r="D456" s="361"/>
      <c r="E456" s="333"/>
      <c r="F456" s="333"/>
      <c r="G456" s="333"/>
      <c r="H456" s="333"/>
      <c r="K456" s="362"/>
      <c r="S456" s="333"/>
    </row>
    <row r="457" spans="1:19" ht="15.75" customHeight="1" x14ac:dyDescent="0.25">
      <c r="A457" s="333"/>
      <c r="C457" s="360"/>
      <c r="D457" s="361"/>
      <c r="E457" s="333"/>
      <c r="F457" s="333"/>
      <c r="G457" s="333"/>
      <c r="H457" s="333"/>
      <c r="K457" s="362"/>
      <c r="S457" s="333"/>
    </row>
    <row r="458" spans="1:19" ht="15.75" customHeight="1" x14ac:dyDescent="0.25">
      <c r="A458" s="333"/>
      <c r="C458" s="360"/>
      <c r="D458" s="361"/>
      <c r="E458" s="333"/>
      <c r="F458" s="333"/>
      <c r="G458" s="333"/>
      <c r="H458" s="333"/>
      <c r="K458" s="362"/>
      <c r="S458" s="333"/>
    </row>
    <row r="459" spans="1:19" ht="15.75" customHeight="1" x14ac:dyDescent="0.25">
      <c r="A459" s="333"/>
      <c r="C459" s="360"/>
      <c r="D459" s="361"/>
      <c r="E459" s="333"/>
      <c r="F459" s="333"/>
      <c r="G459" s="333"/>
      <c r="H459" s="333"/>
      <c r="K459" s="362"/>
      <c r="S459" s="333"/>
    </row>
    <row r="460" spans="1:19" ht="15.75" customHeight="1" x14ac:dyDescent="0.25">
      <c r="A460" s="333"/>
      <c r="C460" s="360"/>
      <c r="D460" s="361"/>
      <c r="E460" s="333"/>
      <c r="F460" s="333"/>
      <c r="G460" s="333"/>
      <c r="H460" s="333"/>
      <c r="K460" s="362"/>
      <c r="S460" s="333"/>
    </row>
    <row r="461" spans="1:19" ht="15.75" customHeight="1" x14ac:dyDescent="0.25">
      <c r="A461" s="333"/>
      <c r="C461" s="360"/>
      <c r="D461" s="361"/>
      <c r="E461" s="333"/>
      <c r="F461" s="333"/>
      <c r="G461" s="333"/>
      <c r="H461" s="333"/>
      <c r="K461" s="362"/>
      <c r="S461" s="333"/>
    </row>
    <row r="462" spans="1:19" ht="15.75" customHeight="1" x14ac:dyDescent="0.25">
      <c r="A462" s="333"/>
      <c r="C462" s="360"/>
      <c r="D462" s="361"/>
      <c r="E462" s="333"/>
      <c r="F462" s="333"/>
      <c r="G462" s="333"/>
      <c r="H462" s="333"/>
      <c r="K462" s="362"/>
      <c r="S462" s="333"/>
    </row>
    <row r="463" spans="1:19" ht="15.75" customHeight="1" x14ac:dyDescent="0.25">
      <c r="A463" s="333"/>
      <c r="C463" s="360"/>
      <c r="D463" s="361"/>
      <c r="E463" s="333"/>
      <c r="F463" s="333"/>
      <c r="G463" s="333"/>
      <c r="H463" s="333"/>
      <c r="K463" s="362"/>
      <c r="S463" s="333"/>
    </row>
    <row r="464" spans="1:19" ht="15.75" customHeight="1" x14ac:dyDescent="0.25">
      <c r="A464" s="333"/>
      <c r="C464" s="360"/>
      <c r="D464" s="361"/>
      <c r="E464" s="333"/>
      <c r="F464" s="333"/>
      <c r="G464" s="333"/>
      <c r="H464" s="333"/>
      <c r="K464" s="362"/>
      <c r="S464" s="333"/>
    </row>
    <row r="465" spans="1:19" ht="15.75" customHeight="1" x14ac:dyDescent="0.25">
      <c r="A465" s="333"/>
      <c r="C465" s="360"/>
      <c r="D465" s="361"/>
      <c r="E465" s="333"/>
      <c r="F465" s="333"/>
      <c r="G465" s="333"/>
      <c r="H465" s="333"/>
      <c r="K465" s="362"/>
      <c r="S465" s="333"/>
    </row>
    <row r="466" spans="1:19" ht="15.75" customHeight="1" x14ac:dyDescent="0.25">
      <c r="A466" s="333"/>
      <c r="C466" s="360"/>
      <c r="D466" s="361"/>
      <c r="E466" s="333"/>
      <c r="F466" s="333"/>
      <c r="G466" s="333"/>
      <c r="H466" s="333"/>
      <c r="K466" s="362"/>
      <c r="S466" s="333"/>
    </row>
    <row r="467" spans="1:19" ht="15.75" customHeight="1" x14ac:dyDescent="0.25">
      <c r="A467" s="333"/>
      <c r="C467" s="360"/>
      <c r="D467" s="361"/>
      <c r="E467" s="333"/>
      <c r="F467" s="333"/>
      <c r="G467" s="333"/>
      <c r="H467" s="333"/>
      <c r="K467" s="362"/>
      <c r="S467" s="333"/>
    </row>
    <row r="468" spans="1:19" ht="15.75" customHeight="1" x14ac:dyDescent="0.25">
      <c r="A468" s="333"/>
      <c r="C468" s="360"/>
      <c r="D468" s="361"/>
      <c r="E468" s="333"/>
      <c r="F468" s="333"/>
      <c r="G468" s="333"/>
      <c r="H468" s="333"/>
      <c r="K468" s="362"/>
      <c r="S468" s="333"/>
    </row>
    <row r="469" spans="1:19" ht="15.75" customHeight="1" x14ac:dyDescent="0.25">
      <c r="A469" s="333"/>
      <c r="C469" s="360"/>
      <c r="D469" s="361"/>
      <c r="E469" s="333"/>
      <c r="F469" s="333"/>
      <c r="G469" s="333"/>
      <c r="H469" s="333"/>
      <c r="K469" s="362"/>
      <c r="S469" s="333"/>
    </row>
    <row r="470" spans="1:19" ht="15.75" customHeight="1" x14ac:dyDescent="0.25">
      <c r="A470" s="333"/>
      <c r="C470" s="360"/>
      <c r="D470" s="361"/>
      <c r="E470" s="333"/>
      <c r="F470" s="333"/>
      <c r="G470" s="333"/>
      <c r="H470" s="333"/>
      <c r="K470" s="362"/>
      <c r="S470" s="333"/>
    </row>
    <row r="471" spans="1:19" ht="15.75" customHeight="1" x14ac:dyDescent="0.25">
      <c r="A471" s="333"/>
      <c r="C471" s="360"/>
      <c r="D471" s="361"/>
      <c r="E471" s="333"/>
      <c r="F471" s="333"/>
      <c r="G471" s="333"/>
      <c r="H471" s="333"/>
      <c r="K471" s="362"/>
      <c r="S471" s="333"/>
    </row>
    <row r="472" spans="1:19" ht="15.75" customHeight="1" x14ac:dyDescent="0.25">
      <c r="A472" s="333"/>
      <c r="C472" s="360"/>
      <c r="D472" s="361"/>
      <c r="E472" s="333"/>
      <c r="F472" s="333"/>
      <c r="G472" s="333"/>
      <c r="H472" s="333"/>
      <c r="K472" s="362"/>
      <c r="S472" s="333"/>
    </row>
    <row r="473" spans="1:19" ht="15.75" customHeight="1" x14ac:dyDescent="0.25">
      <c r="A473" s="333"/>
      <c r="C473" s="360"/>
      <c r="D473" s="361"/>
      <c r="E473" s="333"/>
      <c r="F473" s="333"/>
      <c r="G473" s="333"/>
      <c r="H473" s="333"/>
      <c r="K473" s="362"/>
      <c r="S473" s="333"/>
    </row>
    <row r="474" spans="1:19" ht="15.75" customHeight="1" x14ac:dyDescent="0.25">
      <c r="A474" s="333"/>
      <c r="C474" s="360"/>
      <c r="D474" s="361"/>
      <c r="E474" s="333"/>
      <c r="F474" s="333"/>
      <c r="G474" s="333"/>
      <c r="H474" s="333"/>
      <c r="K474" s="362"/>
      <c r="S474" s="333"/>
    </row>
    <row r="475" spans="1:19" ht="15.75" customHeight="1" x14ac:dyDescent="0.25">
      <c r="A475" s="333"/>
      <c r="C475" s="360"/>
      <c r="D475" s="361"/>
      <c r="E475" s="333"/>
      <c r="F475" s="333"/>
      <c r="G475" s="333"/>
      <c r="H475" s="333"/>
      <c r="K475" s="362"/>
      <c r="S475" s="333"/>
    </row>
    <row r="476" spans="1:19" ht="15.75" customHeight="1" x14ac:dyDescent="0.25">
      <c r="A476" s="333"/>
      <c r="C476" s="360"/>
      <c r="D476" s="361"/>
      <c r="E476" s="333"/>
      <c r="F476" s="333"/>
      <c r="G476" s="333"/>
      <c r="H476" s="333"/>
      <c r="K476" s="362"/>
      <c r="S476" s="333"/>
    </row>
    <row r="477" spans="1:19" ht="15.75" customHeight="1" x14ac:dyDescent="0.25">
      <c r="A477" s="333"/>
      <c r="C477" s="360"/>
      <c r="D477" s="361"/>
      <c r="E477" s="333"/>
      <c r="F477" s="333"/>
      <c r="G477" s="333"/>
      <c r="H477" s="333"/>
      <c r="K477" s="362"/>
      <c r="S477" s="333"/>
    </row>
    <row r="478" spans="1:19" ht="15.75" customHeight="1" x14ac:dyDescent="0.25">
      <c r="A478" s="333"/>
      <c r="C478" s="360"/>
      <c r="D478" s="361"/>
      <c r="E478" s="333"/>
      <c r="F478" s="333"/>
      <c r="G478" s="333"/>
      <c r="H478" s="333"/>
      <c r="K478" s="362"/>
      <c r="S478" s="333"/>
    </row>
    <row r="479" spans="1:19" ht="15.75" customHeight="1" x14ac:dyDescent="0.25">
      <c r="A479" s="333"/>
      <c r="C479" s="360"/>
      <c r="D479" s="361"/>
      <c r="E479" s="333"/>
      <c r="F479" s="333"/>
      <c r="G479" s="333"/>
      <c r="H479" s="333"/>
      <c r="K479" s="362"/>
      <c r="S479" s="333"/>
    </row>
    <row r="480" spans="1:19" ht="15.75" customHeight="1" x14ac:dyDescent="0.25">
      <c r="A480" s="333"/>
      <c r="C480" s="360"/>
      <c r="D480" s="361"/>
      <c r="E480" s="333"/>
      <c r="F480" s="333"/>
      <c r="G480" s="333"/>
      <c r="H480" s="333"/>
      <c r="K480" s="362"/>
      <c r="S480" s="333"/>
    </row>
    <row r="481" spans="1:19" ht="15.75" customHeight="1" x14ac:dyDescent="0.25">
      <c r="A481" s="333"/>
      <c r="C481" s="360"/>
      <c r="D481" s="361"/>
      <c r="E481" s="333"/>
      <c r="F481" s="333"/>
      <c r="G481" s="333"/>
      <c r="H481" s="333"/>
      <c r="K481" s="362"/>
      <c r="S481" s="333"/>
    </row>
    <row r="482" spans="1:19" ht="15.75" customHeight="1" x14ac:dyDescent="0.25">
      <c r="A482" s="333"/>
      <c r="C482" s="360"/>
      <c r="D482" s="361"/>
      <c r="E482" s="333"/>
      <c r="F482" s="333"/>
      <c r="G482" s="333"/>
      <c r="H482" s="333"/>
      <c r="K482" s="362"/>
      <c r="S482" s="333"/>
    </row>
    <row r="483" spans="1:19" ht="15.75" customHeight="1" x14ac:dyDescent="0.25">
      <c r="A483" s="333"/>
      <c r="C483" s="360"/>
      <c r="D483" s="361"/>
      <c r="E483" s="333"/>
      <c r="F483" s="333"/>
      <c r="G483" s="333"/>
      <c r="H483" s="333"/>
      <c r="K483" s="362"/>
      <c r="S483" s="333"/>
    </row>
    <row r="484" spans="1:19" ht="15.75" customHeight="1" x14ac:dyDescent="0.25">
      <c r="A484" s="333"/>
      <c r="C484" s="360"/>
      <c r="D484" s="361"/>
      <c r="E484" s="333"/>
      <c r="F484" s="333"/>
      <c r="G484" s="333"/>
      <c r="H484" s="333"/>
      <c r="K484" s="362"/>
      <c r="S484" s="333"/>
    </row>
    <row r="485" spans="1:19" ht="15.75" customHeight="1" x14ac:dyDescent="0.25">
      <c r="A485" s="333"/>
      <c r="C485" s="360"/>
      <c r="D485" s="361"/>
      <c r="E485" s="333"/>
      <c r="F485" s="333"/>
      <c r="G485" s="333"/>
      <c r="H485" s="333"/>
      <c r="K485" s="362"/>
      <c r="S485" s="333"/>
    </row>
    <row r="486" spans="1:19" ht="15.75" customHeight="1" x14ac:dyDescent="0.25">
      <c r="A486" s="333"/>
      <c r="C486" s="360"/>
      <c r="D486" s="361"/>
      <c r="E486" s="333"/>
      <c r="F486" s="333"/>
      <c r="G486" s="333"/>
      <c r="H486" s="333"/>
      <c r="K486" s="362"/>
      <c r="S486" s="333"/>
    </row>
    <row r="487" spans="1:19" ht="15.75" customHeight="1" x14ac:dyDescent="0.25">
      <c r="A487" s="333"/>
      <c r="C487" s="360"/>
      <c r="D487" s="361"/>
      <c r="E487" s="333"/>
      <c r="F487" s="333"/>
      <c r="G487" s="333"/>
      <c r="H487" s="333"/>
      <c r="K487" s="362"/>
      <c r="S487" s="333"/>
    </row>
    <row r="488" spans="1:19" ht="15.75" customHeight="1" x14ac:dyDescent="0.25">
      <c r="A488" s="333"/>
      <c r="C488" s="360"/>
      <c r="D488" s="361"/>
      <c r="E488" s="333"/>
      <c r="F488" s="333"/>
      <c r="G488" s="333"/>
      <c r="H488" s="333"/>
      <c r="K488" s="362"/>
      <c r="S488" s="333"/>
    </row>
    <row r="489" spans="1:19" ht="15.75" customHeight="1" x14ac:dyDescent="0.25">
      <c r="A489" s="333"/>
      <c r="C489" s="360"/>
      <c r="D489" s="361"/>
      <c r="E489" s="333"/>
      <c r="F489" s="333"/>
      <c r="G489" s="333"/>
      <c r="H489" s="333"/>
      <c r="K489" s="362"/>
      <c r="S489" s="333"/>
    </row>
    <row r="490" spans="1:19" ht="15.75" customHeight="1" x14ac:dyDescent="0.25">
      <c r="A490" s="333"/>
      <c r="C490" s="360"/>
      <c r="D490" s="361"/>
      <c r="E490" s="333"/>
      <c r="F490" s="333"/>
      <c r="G490" s="333"/>
      <c r="H490" s="333"/>
      <c r="K490" s="362"/>
      <c r="S490" s="333"/>
    </row>
    <row r="491" spans="1:19" ht="15.75" customHeight="1" x14ac:dyDescent="0.25">
      <c r="A491" s="333"/>
      <c r="C491" s="360"/>
      <c r="D491" s="361"/>
      <c r="E491" s="333"/>
      <c r="F491" s="333"/>
      <c r="G491" s="333"/>
      <c r="H491" s="333"/>
      <c r="K491" s="362"/>
      <c r="S491" s="333"/>
    </row>
    <row r="492" spans="1:19" ht="15.75" customHeight="1" x14ac:dyDescent="0.25">
      <c r="A492" s="333"/>
      <c r="C492" s="360"/>
      <c r="D492" s="361"/>
      <c r="E492" s="333"/>
      <c r="F492" s="333"/>
      <c r="G492" s="333"/>
      <c r="H492" s="333"/>
      <c r="K492" s="362"/>
      <c r="S492" s="333"/>
    </row>
    <row r="493" spans="1:19" ht="15.75" customHeight="1" x14ac:dyDescent="0.25">
      <c r="A493" s="333"/>
      <c r="C493" s="360"/>
      <c r="D493" s="361"/>
      <c r="E493" s="333"/>
      <c r="F493" s="333"/>
      <c r="G493" s="333"/>
      <c r="H493" s="333"/>
      <c r="K493" s="362"/>
      <c r="S493" s="333"/>
    </row>
    <row r="494" spans="1:19" ht="15.75" customHeight="1" x14ac:dyDescent="0.25">
      <c r="A494" s="333"/>
      <c r="C494" s="360"/>
      <c r="D494" s="361"/>
      <c r="E494" s="333"/>
      <c r="F494" s="333"/>
      <c r="G494" s="333"/>
      <c r="H494" s="333"/>
      <c r="K494" s="362"/>
      <c r="S494" s="333"/>
    </row>
    <row r="495" spans="1:19" ht="15.75" customHeight="1" x14ac:dyDescent="0.25">
      <c r="A495" s="333"/>
      <c r="C495" s="360"/>
      <c r="D495" s="361"/>
      <c r="E495" s="333"/>
      <c r="F495" s="333"/>
      <c r="G495" s="333"/>
      <c r="H495" s="333"/>
      <c r="K495" s="362"/>
      <c r="S495" s="333"/>
    </row>
    <row r="496" spans="1:19" ht="15.75" customHeight="1" x14ac:dyDescent="0.25">
      <c r="A496" s="333"/>
      <c r="C496" s="360"/>
      <c r="D496" s="361"/>
      <c r="E496" s="333"/>
      <c r="F496" s="333"/>
      <c r="G496" s="333"/>
      <c r="H496" s="333"/>
      <c r="K496" s="362"/>
      <c r="S496" s="333"/>
    </row>
    <row r="497" spans="1:19" ht="15.75" customHeight="1" x14ac:dyDescent="0.25">
      <c r="A497" s="333"/>
      <c r="C497" s="360"/>
      <c r="D497" s="361"/>
      <c r="E497" s="333"/>
      <c r="F497" s="333"/>
      <c r="G497" s="333"/>
      <c r="H497" s="333"/>
      <c r="K497" s="362"/>
      <c r="S497" s="333"/>
    </row>
    <row r="498" spans="1:19" ht="15.75" customHeight="1" x14ac:dyDescent="0.25">
      <c r="A498" s="333"/>
      <c r="C498" s="360"/>
      <c r="D498" s="361"/>
      <c r="E498" s="333"/>
      <c r="F498" s="333"/>
      <c r="G498" s="333"/>
      <c r="H498" s="333"/>
      <c r="K498" s="362"/>
      <c r="S498" s="333"/>
    </row>
    <row r="499" spans="1:19" ht="15.75" customHeight="1" x14ac:dyDescent="0.25">
      <c r="A499" s="333"/>
      <c r="C499" s="360"/>
      <c r="D499" s="361"/>
      <c r="E499" s="333"/>
      <c r="F499" s="333"/>
      <c r="G499" s="333"/>
      <c r="H499" s="333"/>
      <c r="K499" s="362"/>
      <c r="S499" s="333"/>
    </row>
    <row r="500" spans="1:19" ht="15.75" customHeight="1" x14ac:dyDescent="0.25">
      <c r="A500" s="333"/>
      <c r="C500" s="360"/>
      <c r="D500" s="361"/>
      <c r="E500" s="333"/>
      <c r="F500" s="333"/>
      <c r="G500" s="333"/>
      <c r="H500" s="333"/>
      <c r="K500" s="362"/>
      <c r="S500" s="333"/>
    </row>
    <row r="501" spans="1:19" ht="15.75" customHeight="1" x14ac:dyDescent="0.25">
      <c r="A501" s="333"/>
      <c r="C501" s="360"/>
      <c r="D501" s="361"/>
      <c r="E501" s="333"/>
      <c r="F501" s="333"/>
      <c r="G501" s="333"/>
      <c r="H501" s="333"/>
      <c r="K501" s="362"/>
      <c r="S501" s="333"/>
    </row>
    <row r="502" spans="1:19" ht="15.75" customHeight="1" x14ac:dyDescent="0.25">
      <c r="A502" s="333"/>
      <c r="C502" s="360"/>
      <c r="D502" s="361"/>
      <c r="E502" s="333"/>
      <c r="F502" s="333"/>
      <c r="G502" s="333"/>
      <c r="H502" s="333"/>
      <c r="K502" s="362"/>
      <c r="S502" s="333"/>
    </row>
    <row r="503" spans="1:19" ht="15.75" customHeight="1" x14ac:dyDescent="0.25">
      <c r="A503" s="333"/>
      <c r="C503" s="360"/>
      <c r="D503" s="361"/>
      <c r="E503" s="333"/>
      <c r="F503" s="333"/>
      <c r="G503" s="333"/>
      <c r="H503" s="333"/>
      <c r="K503" s="362"/>
      <c r="S503" s="333"/>
    </row>
    <row r="504" spans="1:19" ht="15.75" customHeight="1" x14ac:dyDescent="0.25">
      <c r="A504" s="333"/>
      <c r="C504" s="360"/>
      <c r="D504" s="361"/>
      <c r="E504" s="333"/>
      <c r="F504" s="333"/>
      <c r="G504" s="333"/>
      <c r="H504" s="333"/>
      <c r="K504" s="362"/>
      <c r="S504" s="333"/>
    </row>
    <row r="505" spans="1:19" ht="15.75" customHeight="1" x14ac:dyDescent="0.25">
      <c r="A505" s="333"/>
      <c r="C505" s="360"/>
      <c r="D505" s="361"/>
      <c r="E505" s="333"/>
      <c r="F505" s="333"/>
      <c r="G505" s="333"/>
      <c r="H505" s="333"/>
      <c r="K505" s="362"/>
      <c r="S505" s="333"/>
    </row>
    <row r="506" spans="1:19" ht="15.75" customHeight="1" x14ac:dyDescent="0.25">
      <c r="A506" s="333"/>
      <c r="C506" s="360"/>
      <c r="D506" s="361"/>
      <c r="E506" s="333"/>
      <c r="F506" s="333"/>
      <c r="G506" s="333"/>
      <c r="H506" s="333"/>
      <c r="K506" s="362"/>
      <c r="S506" s="333"/>
    </row>
    <row r="507" spans="1:19" ht="15.75" customHeight="1" x14ac:dyDescent="0.25">
      <c r="A507" s="333"/>
      <c r="C507" s="360"/>
      <c r="D507" s="361"/>
      <c r="E507" s="333"/>
      <c r="F507" s="333"/>
      <c r="G507" s="333"/>
      <c r="H507" s="333"/>
      <c r="K507" s="362"/>
      <c r="S507" s="333"/>
    </row>
    <row r="508" spans="1:19" ht="15.75" customHeight="1" x14ac:dyDescent="0.25">
      <c r="A508" s="333"/>
      <c r="C508" s="360"/>
      <c r="D508" s="361"/>
      <c r="E508" s="333"/>
      <c r="F508" s="333"/>
      <c r="G508" s="333"/>
      <c r="H508" s="333"/>
      <c r="K508" s="362"/>
      <c r="S508" s="333"/>
    </row>
    <row r="509" spans="1:19" ht="15.75" customHeight="1" x14ac:dyDescent="0.25">
      <c r="A509" s="333"/>
      <c r="C509" s="360"/>
      <c r="D509" s="361"/>
      <c r="E509" s="333"/>
      <c r="F509" s="333"/>
      <c r="G509" s="333"/>
      <c r="H509" s="333"/>
      <c r="K509" s="362"/>
      <c r="S509" s="333"/>
    </row>
    <row r="510" spans="1:19" ht="15.75" customHeight="1" x14ac:dyDescent="0.25">
      <c r="A510" s="333"/>
      <c r="C510" s="360"/>
      <c r="D510" s="361"/>
      <c r="E510" s="333"/>
      <c r="F510" s="333"/>
      <c r="G510" s="333"/>
      <c r="H510" s="333"/>
      <c r="K510" s="362"/>
      <c r="S510" s="333"/>
    </row>
    <row r="511" spans="1:19" ht="15.75" customHeight="1" x14ac:dyDescent="0.25">
      <c r="A511" s="333"/>
      <c r="C511" s="360"/>
      <c r="D511" s="361"/>
      <c r="E511" s="333"/>
      <c r="F511" s="333"/>
      <c r="G511" s="333"/>
      <c r="H511" s="333"/>
      <c r="K511" s="362"/>
      <c r="S511" s="333"/>
    </row>
    <row r="512" spans="1:19" ht="15.75" customHeight="1" x14ac:dyDescent="0.25">
      <c r="A512" s="333"/>
      <c r="C512" s="360"/>
      <c r="D512" s="361"/>
      <c r="E512" s="333"/>
      <c r="F512" s="333"/>
      <c r="G512" s="333"/>
      <c r="H512" s="333"/>
      <c r="K512" s="362"/>
      <c r="S512" s="333"/>
    </row>
    <row r="513" spans="1:19" ht="15.75" customHeight="1" x14ac:dyDescent="0.25">
      <c r="A513" s="333"/>
      <c r="C513" s="360"/>
      <c r="D513" s="361"/>
      <c r="E513" s="333"/>
      <c r="F513" s="333"/>
      <c r="G513" s="333"/>
      <c r="H513" s="333"/>
      <c r="K513" s="362"/>
      <c r="S513" s="333"/>
    </row>
    <row r="514" spans="1:19" ht="15.75" customHeight="1" x14ac:dyDescent="0.25">
      <c r="A514" s="333"/>
      <c r="C514" s="360"/>
      <c r="D514" s="361"/>
      <c r="E514" s="333"/>
      <c r="F514" s="333"/>
      <c r="G514" s="333"/>
      <c r="H514" s="333"/>
      <c r="K514" s="362"/>
      <c r="S514" s="333"/>
    </row>
    <row r="515" spans="1:19" ht="15.75" customHeight="1" x14ac:dyDescent="0.25">
      <c r="A515" s="333"/>
      <c r="C515" s="360"/>
      <c r="D515" s="361"/>
      <c r="E515" s="333"/>
      <c r="F515" s="333"/>
      <c r="G515" s="333"/>
      <c r="H515" s="333"/>
      <c r="K515" s="362"/>
      <c r="S515" s="333"/>
    </row>
    <row r="516" spans="1:19" ht="15.75" customHeight="1" x14ac:dyDescent="0.25">
      <c r="A516" s="333"/>
      <c r="C516" s="360"/>
      <c r="D516" s="361"/>
      <c r="E516" s="333"/>
      <c r="F516" s="333"/>
      <c r="G516" s="333"/>
      <c r="H516" s="333"/>
      <c r="K516" s="362"/>
      <c r="S516" s="333"/>
    </row>
    <row r="517" spans="1:19" ht="15.75" customHeight="1" x14ac:dyDescent="0.25">
      <c r="A517" s="333"/>
      <c r="C517" s="360"/>
      <c r="D517" s="361"/>
      <c r="E517" s="333"/>
      <c r="F517" s="333"/>
      <c r="G517" s="333"/>
      <c r="H517" s="333"/>
      <c r="K517" s="362"/>
      <c r="S517" s="333"/>
    </row>
    <row r="518" spans="1:19" ht="15.75" customHeight="1" x14ac:dyDescent="0.25">
      <c r="A518" s="333"/>
      <c r="C518" s="360"/>
      <c r="D518" s="361"/>
      <c r="E518" s="333"/>
      <c r="F518" s="333"/>
      <c r="G518" s="333"/>
      <c r="H518" s="333"/>
      <c r="K518" s="362"/>
      <c r="S518" s="333"/>
    </row>
    <row r="519" spans="1:19" ht="15.75" customHeight="1" x14ac:dyDescent="0.25">
      <c r="A519" s="333"/>
      <c r="C519" s="360"/>
      <c r="D519" s="361"/>
      <c r="E519" s="333"/>
      <c r="F519" s="333"/>
      <c r="G519" s="333"/>
      <c r="H519" s="333"/>
      <c r="K519" s="362"/>
      <c r="S519" s="333"/>
    </row>
    <row r="520" spans="1:19" ht="15.75" customHeight="1" x14ac:dyDescent="0.25">
      <c r="A520" s="333"/>
      <c r="C520" s="360"/>
      <c r="D520" s="361"/>
      <c r="E520" s="333"/>
      <c r="F520" s="333"/>
      <c r="G520" s="333"/>
      <c r="H520" s="333"/>
      <c r="K520" s="362"/>
      <c r="S520" s="333"/>
    </row>
    <row r="521" spans="1:19" ht="15.75" customHeight="1" x14ac:dyDescent="0.25">
      <c r="A521" s="333"/>
      <c r="C521" s="360"/>
      <c r="D521" s="361"/>
      <c r="E521" s="333"/>
      <c r="F521" s="333"/>
      <c r="G521" s="333"/>
      <c r="H521" s="333"/>
      <c r="K521" s="362"/>
      <c r="S521" s="333"/>
    </row>
    <row r="522" spans="1:19" ht="15.75" customHeight="1" x14ac:dyDescent="0.25">
      <c r="A522" s="333"/>
      <c r="C522" s="360"/>
      <c r="D522" s="361"/>
      <c r="E522" s="333"/>
      <c r="F522" s="333"/>
      <c r="G522" s="333"/>
      <c r="H522" s="333"/>
      <c r="K522" s="362"/>
      <c r="S522" s="333"/>
    </row>
    <row r="523" spans="1:19" ht="15.75" customHeight="1" x14ac:dyDescent="0.25">
      <c r="A523" s="333"/>
      <c r="C523" s="360"/>
      <c r="D523" s="361"/>
      <c r="E523" s="333"/>
      <c r="F523" s="333"/>
      <c r="G523" s="333"/>
      <c r="H523" s="333"/>
      <c r="K523" s="362"/>
      <c r="S523" s="333"/>
    </row>
    <row r="524" spans="1:19" ht="15.75" customHeight="1" x14ac:dyDescent="0.25">
      <c r="A524" s="333"/>
      <c r="C524" s="360"/>
      <c r="D524" s="361"/>
      <c r="E524" s="333"/>
      <c r="F524" s="333"/>
      <c r="G524" s="333"/>
      <c r="H524" s="333"/>
      <c r="K524" s="362"/>
      <c r="S524" s="333"/>
    </row>
    <row r="525" spans="1:19" ht="15.75" customHeight="1" x14ac:dyDescent="0.25">
      <c r="A525" s="333"/>
      <c r="C525" s="360"/>
      <c r="D525" s="361"/>
      <c r="E525" s="333"/>
      <c r="F525" s="333"/>
      <c r="G525" s="333"/>
      <c r="H525" s="333"/>
      <c r="K525" s="362"/>
      <c r="S525" s="333"/>
    </row>
    <row r="526" spans="1:19" ht="15.75" customHeight="1" x14ac:dyDescent="0.25">
      <c r="A526" s="333"/>
      <c r="C526" s="360"/>
      <c r="D526" s="361"/>
      <c r="E526" s="333"/>
      <c r="F526" s="333"/>
      <c r="G526" s="333"/>
      <c r="H526" s="333"/>
      <c r="K526" s="362"/>
      <c r="S526" s="333"/>
    </row>
    <row r="527" spans="1:19" ht="15.75" customHeight="1" x14ac:dyDescent="0.25">
      <c r="A527" s="333"/>
      <c r="C527" s="360"/>
      <c r="D527" s="361"/>
      <c r="E527" s="333"/>
      <c r="F527" s="333"/>
      <c r="G527" s="333"/>
      <c r="H527" s="333"/>
      <c r="K527" s="362"/>
      <c r="S527" s="333"/>
    </row>
    <row r="528" spans="1:19" ht="15.75" customHeight="1" x14ac:dyDescent="0.25">
      <c r="A528" s="333"/>
      <c r="C528" s="360"/>
      <c r="D528" s="361"/>
      <c r="E528" s="333"/>
      <c r="F528" s="333"/>
      <c r="G528" s="333"/>
      <c r="H528" s="333"/>
      <c r="K528" s="362"/>
      <c r="S528" s="333"/>
    </row>
    <row r="529" spans="1:19" ht="15.75" customHeight="1" x14ac:dyDescent="0.25">
      <c r="A529" s="333"/>
      <c r="C529" s="360"/>
      <c r="D529" s="361"/>
      <c r="E529" s="333"/>
      <c r="F529" s="333"/>
      <c r="G529" s="333"/>
      <c r="H529" s="333"/>
      <c r="K529" s="362"/>
      <c r="S529" s="333"/>
    </row>
    <row r="530" spans="1:19" ht="15.75" customHeight="1" x14ac:dyDescent="0.25">
      <c r="A530" s="333"/>
      <c r="C530" s="360"/>
      <c r="D530" s="361"/>
      <c r="E530" s="333"/>
      <c r="F530" s="333"/>
      <c r="G530" s="333"/>
      <c r="H530" s="333"/>
      <c r="K530" s="362"/>
      <c r="S530" s="333"/>
    </row>
    <row r="531" spans="1:19" ht="15.75" customHeight="1" x14ac:dyDescent="0.25">
      <c r="A531" s="333"/>
      <c r="C531" s="360"/>
      <c r="D531" s="361"/>
      <c r="E531" s="333"/>
      <c r="F531" s="333"/>
      <c r="G531" s="333"/>
      <c r="H531" s="333"/>
      <c r="K531" s="362"/>
      <c r="S531" s="333"/>
    </row>
    <row r="532" spans="1:19" ht="15.75" customHeight="1" x14ac:dyDescent="0.25">
      <c r="A532" s="333"/>
      <c r="C532" s="360"/>
      <c r="D532" s="361"/>
      <c r="E532" s="333"/>
      <c r="F532" s="333"/>
      <c r="G532" s="333"/>
      <c r="H532" s="333"/>
      <c r="K532" s="362"/>
      <c r="S532" s="333"/>
    </row>
    <row r="533" spans="1:19" ht="15.75" customHeight="1" x14ac:dyDescent="0.25">
      <c r="A533" s="333"/>
      <c r="C533" s="360"/>
      <c r="D533" s="361"/>
      <c r="E533" s="333"/>
      <c r="F533" s="333"/>
      <c r="G533" s="333"/>
      <c r="H533" s="333"/>
      <c r="K533" s="362"/>
      <c r="S533" s="333"/>
    </row>
    <row r="534" spans="1:19" ht="15.75" customHeight="1" x14ac:dyDescent="0.25">
      <c r="A534" s="333"/>
      <c r="C534" s="360"/>
      <c r="D534" s="361"/>
      <c r="E534" s="333"/>
      <c r="F534" s="333"/>
      <c r="G534" s="333"/>
      <c r="H534" s="333"/>
      <c r="K534" s="362"/>
      <c r="S534" s="333"/>
    </row>
    <row r="535" spans="1:19" ht="15.75" customHeight="1" x14ac:dyDescent="0.25">
      <c r="A535" s="333"/>
      <c r="C535" s="360"/>
      <c r="D535" s="361"/>
      <c r="E535" s="333"/>
      <c r="F535" s="333"/>
      <c r="G535" s="333"/>
      <c r="H535" s="333"/>
      <c r="K535" s="362"/>
      <c r="S535" s="333"/>
    </row>
    <row r="536" spans="1:19" ht="15.75" customHeight="1" x14ac:dyDescent="0.25">
      <c r="A536" s="333"/>
      <c r="C536" s="360"/>
      <c r="D536" s="361"/>
      <c r="E536" s="333"/>
      <c r="F536" s="333"/>
      <c r="G536" s="333"/>
      <c r="H536" s="333"/>
      <c r="K536" s="362"/>
      <c r="S536" s="333"/>
    </row>
    <row r="537" spans="1:19" ht="15.75" customHeight="1" x14ac:dyDescent="0.25">
      <c r="A537" s="333"/>
      <c r="C537" s="360"/>
      <c r="D537" s="361"/>
      <c r="E537" s="333"/>
      <c r="F537" s="333"/>
      <c r="G537" s="333"/>
      <c r="H537" s="333"/>
      <c r="K537" s="362"/>
      <c r="S537" s="333"/>
    </row>
    <row r="538" spans="1:19" ht="15.75" customHeight="1" x14ac:dyDescent="0.25">
      <c r="A538" s="333"/>
      <c r="C538" s="360"/>
      <c r="D538" s="361"/>
      <c r="E538" s="333"/>
      <c r="F538" s="333"/>
      <c r="G538" s="333"/>
      <c r="H538" s="333"/>
      <c r="K538" s="362"/>
      <c r="S538" s="333"/>
    </row>
    <row r="539" spans="1:19" ht="15.75" customHeight="1" x14ac:dyDescent="0.25">
      <c r="A539" s="333"/>
      <c r="C539" s="360"/>
      <c r="D539" s="361"/>
      <c r="E539" s="333"/>
      <c r="F539" s="333"/>
      <c r="G539" s="333"/>
      <c r="H539" s="333"/>
      <c r="K539" s="362"/>
      <c r="S539" s="333"/>
    </row>
    <row r="540" spans="1:19" ht="15.75" customHeight="1" x14ac:dyDescent="0.25">
      <c r="A540" s="333"/>
      <c r="C540" s="360"/>
      <c r="D540" s="361"/>
      <c r="E540" s="333"/>
      <c r="F540" s="333"/>
      <c r="G540" s="333"/>
      <c r="H540" s="333"/>
      <c r="K540" s="362"/>
      <c r="S540" s="333"/>
    </row>
    <row r="541" spans="1:19" ht="15.75" customHeight="1" x14ac:dyDescent="0.25">
      <c r="A541" s="333"/>
      <c r="C541" s="360"/>
      <c r="D541" s="361"/>
      <c r="E541" s="333"/>
      <c r="F541" s="333"/>
      <c r="G541" s="333"/>
      <c r="H541" s="333"/>
      <c r="K541" s="362"/>
      <c r="S541" s="333"/>
    </row>
    <row r="542" spans="1:19" ht="15.75" customHeight="1" x14ac:dyDescent="0.25">
      <c r="A542" s="333"/>
      <c r="C542" s="360"/>
      <c r="D542" s="361"/>
      <c r="E542" s="333"/>
      <c r="F542" s="333"/>
      <c r="G542" s="333"/>
      <c r="H542" s="333"/>
      <c r="K542" s="362"/>
      <c r="S542" s="333"/>
    </row>
    <row r="543" spans="1:19" ht="15.75" customHeight="1" x14ac:dyDescent="0.25">
      <c r="A543" s="333"/>
      <c r="C543" s="360"/>
      <c r="D543" s="361"/>
      <c r="E543" s="333"/>
      <c r="F543" s="333"/>
      <c r="G543" s="333"/>
      <c r="H543" s="333"/>
      <c r="K543" s="362"/>
      <c r="S543" s="333"/>
    </row>
    <row r="544" spans="1:19" ht="15.75" customHeight="1" x14ac:dyDescent="0.25">
      <c r="A544" s="333"/>
      <c r="C544" s="360"/>
      <c r="D544" s="361"/>
      <c r="E544" s="333"/>
      <c r="F544" s="333"/>
      <c r="G544" s="333"/>
      <c r="H544" s="333"/>
      <c r="K544" s="362"/>
      <c r="S544" s="333"/>
    </row>
    <row r="545" spans="1:19" ht="15.75" customHeight="1" x14ac:dyDescent="0.25">
      <c r="A545" s="333"/>
      <c r="C545" s="360"/>
      <c r="D545" s="361"/>
      <c r="E545" s="333"/>
      <c r="F545" s="333"/>
      <c r="G545" s="333"/>
      <c r="H545" s="333"/>
      <c r="K545" s="362"/>
      <c r="S545" s="333"/>
    </row>
    <row r="546" spans="1:19" ht="15.75" customHeight="1" x14ac:dyDescent="0.25">
      <c r="A546" s="333"/>
      <c r="C546" s="360"/>
      <c r="D546" s="361"/>
      <c r="E546" s="333"/>
      <c r="F546" s="333"/>
      <c r="G546" s="333"/>
      <c r="H546" s="333"/>
      <c r="K546" s="362"/>
      <c r="S546" s="333"/>
    </row>
    <row r="547" spans="1:19" ht="15.75" customHeight="1" x14ac:dyDescent="0.25">
      <c r="A547" s="333"/>
      <c r="C547" s="360"/>
      <c r="D547" s="361"/>
      <c r="E547" s="333"/>
      <c r="F547" s="333"/>
      <c r="G547" s="333"/>
      <c r="H547" s="333"/>
      <c r="K547" s="362"/>
      <c r="S547" s="333"/>
    </row>
    <row r="548" spans="1:19" ht="15.75" customHeight="1" x14ac:dyDescent="0.25">
      <c r="A548" s="333"/>
      <c r="C548" s="360"/>
      <c r="D548" s="361"/>
      <c r="E548" s="333"/>
      <c r="F548" s="333"/>
      <c r="G548" s="333"/>
      <c r="H548" s="333"/>
      <c r="K548" s="362"/>
      <c r="S548" s="333"/>
    </row>
    <row r="549" spans="1:19" ht="15.75" customHeight="1" x14ac:dyDescent="0.25">
      <c r="A549" s="333"/>
      <c r="C549" s="360"/>
      <c r="D549" s="361"/>
      <c r="E549" s="333"/>
      <c r="F549" s="333"/>
      <c r="G549" s="333"/>
      <c r="H549" s="333"/>
      <c r="K549" s="362"/>
      <c r="S549" s="333"/>
    </row>
    <row r="550" spans="1:19" ht="15.75" customHeight="1" x14ac:dyDescent="0.25">
      <c r="A550" s="333"/>
      <c r="C550" s="360"/>
      <c r="D550" s="361"/>
      <c r="E550" s="333"/>
      <c r="F550" s="333"/>
      <c r="G550" s="333"/>
      <c r="H550" s="333"/>
      <c r="K550" s="362"/>
      <c r="S550" s="333"/>
    </row>
    <row r="551" spans="1:19" ht="15.75" customHeight="1" x14ac:dyDescent="0.25">
      <c r="A551" s="333"/>
      <c r="C551" s="360"/>
      <c r="D551" s="361"/>
      <c r="E551" s="333"/>
      <c r="F551" s="333"/>
      <c r="G551" s="333"/>
      <c r="H551" s="333"/>
      <c r="K551" s="362"/>
      <c r="S551" s="333"/>
    </row>
    <row r="552" spans="1:19" ht="15.75" customHeight="1" x14ac:dyDescent="0.25">
      <c r="A552" s="333"/>
      <c r="C552" s="360"/>
      <c r="D552" s="361"/>
      <c r="E552" s="333"/>
      <c r="F552" s="333"/>
      <c r="G552" s="333"/>
      <c r="H552" s="333"/>
      <c r="K552" s="362"/>
      <c r="S552" s="333"/>
    </row>
    <row r="553" spans="1:19" ht="15.75" customHeight="1" x14ac:dyDescent="0.25">
      <c r="A553" s="333"/>
      <c r="C553" s="360"/>
      <c r="D553" s="361"/>
      <c r="E553" s="333"/>
      <c r="F553" s="333"/>
      <c r="G553" s="333"/>
      <c r="H553" s="333"/>
      <c r="K553" s="362"/>
      <c r="S553" s="333"/>
    </row>
    <row r="554" spans="1:19" ht="15.75" customHeight="1" x14ac:dyDescent="0.25">
      <c r="A554" s="333"/>
      <c r="C554" s="360"/>
      <c r="D554" s="361"/>
      <c r="E554" s="333"/>
      <c r="F554" s="333"/>
      <c r="G554" s="333"/>
      <c r="H554" s="333"/>
      <c r="K554" s="362"/>
      <c r="S554" s="333"/>
    </row>
    <row r="555" spans="1:19" ht="15.75" customHeight="1" x14ac:dyDescent="0.25">
      <c r="A555" s="333"/>
      <c r="C555" s="360"/>
      <c r="D555" s="361"/>
      <c r="E555" s="333"/>
      <c r="F555" s="333"/>
      <c r="G555" s="333"/>
      <c r="H555" s="333"/>
      <c r="K555" s="362"/>
      <c r="S555" s="333"/>
    </row>
    <row r="556" spans="1:19" ht="15.75" customHeight="1" x14ac:dyDescent="0.25">
      <c r="A556" s="333"/>
      <c r="C556" s="360"/>
      <c r="D556" s="361"/>
      <c r="E556" s="333"/>
      <c r="F556" s="333"/>
      <c r="G556" s="333"/>
      <c r="H556" s="333"/>
      <c r="K556" s="362"/>
      <c r="S556" s="333"/>
    </row>
    <row r="557" spans="1:19" ht="15.75" customHeight="1" x14ac:dyDescent="0.25">
      <c r="A557" s="333"/>
      <c r="C557" s="360"/>
      <c r="D557" s="361"/>
      <c r="E557" s="333"/>
      <c r="F557" s="333"/>
      <c r="G557" s="333"/>
      <c r="H557" s="333"/>
      <c r="K557" s="362"/>
      <c r="S557" s="333"/>
    </row>
    <row r="558" spans="1:19" ht="15.75" customHeight="1" x14ac:dyDescent="0.25">
      <c r="A558" s="333"/>
      <c r="C558" s="360"/>
      <c r="D558" s="361"/>
      <c r="E558" s="333"/>
      <c r="F558" s="333"/>
      <c r="G558" s="333"/>
      <c r="H558" s="333"/>
      <c r="K558" s="362"/>
      <c r="S558" s="333"/>
    </row>
    <row r="559" spans="1:19" ht="15.75" customHeight="1" x14ac:dyDescent="0.25">
      <c r="A559" s="333"/>
      <c r="C559" s="360"/>
      <c r="D559" s="361"/>
      <c r="E559" s="333"/>
      <c r="F559" s="333"/>
      <c r="G559" s="333"/>
      <c r="H559" s="333"/>
      <c r="K559" s="362"/>
      <c r="S559" s="333"/>
    </row>
    <row r="560" spans="1:19" ht="15.75" customHeight="1" x14ac:dyDescent="0.25">
      <c r="A560" s="333"/>
      <c r="C560" s="360"/>
      <c r="D560" s="361"/>
      <c r="E560" s="333"/>
      <c r="F560" s="333"/>
      <c r="G560" s="333"/>
      <c r="H560" s="333"/>
      <c r="K560" s="362"/>
      <c r="S560" s="333"/>
    </row>
    <row r="561" spans="1:19" ht="15.75" customHeight="1" x14ac:dyDescent="0.25">
      <c r="A561" s="333"/>
      <c r="C561" s="360"/>
      <c r="D561" s="361"/>
      <c r="E561" s="333"/>
      <c r="F561" s="333"/>
      <c r="G561" s="333"/>
      <c r="H561" s="333"/>
      <c r="K561" s="362"/>
      <c r="S561" s="333"/>
    </row>
    <row r="562" spans="1:19" ht="15.75" customHeight="1" x14ac:dyDescent="0.25">
      <c r="A562" s="333"/>
      <c r="C562" s="360"/>
      <c r="D562" s="361"/>
      <c r="E562" s="333"/>
      <c r="F562" s="333"/>
      <c r="G562" s="333"/>
      <c r="H562" s="333"/>
      <c r="K562" s="362"/>
      <c r="S562" s="333"/>
    </row>
    <row r="563" spans="1:19" ht="15.75" customHeight="1" x14ac:dyDescent="0.25">
      <c r="A563" s="333"/>
      <c r="C563" s="360"/>
      <c r="D563" s="361"/>
      <c r="E563" s="333"/>
      <c r="F563" s="333"/>
      <c r="G563" s="333"/>
      <c r="H563" s="333"/>
      <c r="K563" s="362"/>
      <c r="S563" s="333"/>
    </row>
    <row r="564" spans="1:19" ht="15.75" customHeight="1" x14ac:dyDescent="0.25">
      <c r="A564" s="333"/>
      <c r="C564" s="360"/>
      <c r="D564" s="361"/>
      <c r="E564" s="333"/>
      <c r="F564" s="333"/>
      <c r="G564" s="333"/>
      <c r="H564" s="333"/>
      <c r="K564" s="362"/>
      <c r="S564" s="333"/>
    </row>
    <row r="565" spans="1:19" ht="15.75" customHeight="1" x14ac:dyDescent="0.25">
      <c r="A565" s="333"/>
      <c r="C565" s="360"/>
      <c r="D565" s="361"/>
      <c r="E565" s="333"/>
      <c r="F565" s="333"/>
      <c r="G565" s="333"/>
      <c r="H565" s="333"/>
      <c r="K565" s="362"/>
      <c r="S565" s="333"/>
    </row>
    <row r="566" spans="1:19" ht="15.75" customHeight="1" x14ac:dyDescent="0.25">
      <c r="A566" s="333"/>
      <c r="C566" s="360"/>
      <c r="D566" s="361"/>
      <c r="E566" s="333"/>
      <c r="F566" s="333"/>
      <c r="G566" s="333"/>
      <c r="H566" s="333"/>
      <c r="K566" s="362"/>
      <c r="S566" s="333"/>
    </row>
    <row r="567" spans="1:19" ht="15.75" customHeight="1" x14ac:dyDescent="0.25">
      <c r="A567" s="333"/>
      <c r="C567" s="360"/>
      <c r="D567" s="361"/>
      <c r="E567" s="333"/>
      <c r="F567" s="333"/>
      <c r="G567" s="333"/>
      <c r="H567" s="333"/>
      <c r="K567" s="362"/>
      <c r="S567" s="333"/>
    </row>
    <row r="568" spans="1:19" ht="15.75" customHeight="1" x14ac:dyDescent="0.25">
      <c r="A568" s="333"/>
      <c r="C568" s="360"/>
      <c r="D568" s="361"/>
      <c r="E568" s="333"/>
      <c r="F568" s="333"/>
      <c r="G568" s="333"/>
      <c r="H568" s="333"/>
      <c r="K568" s="362"/>
      <c r="S568" s="333"/>
    </row>
    <row r="569" spans="1:19" ht="15.75" customHeight="1" x14ac:dyDescent="0.25">
      <c r="A569" s="333"/>
      <c r="C569" s="360"/>
      <c r="D569" s="361"/>
      <c r="E569" s="333"/>
      <c r="F569" s="333"/>
      <c r="G569" s="333"/>
      <c r="H569" s="333"/>
      <c r="K569" s="362"/>
      <c r="S569" s="333"/>
    </row>
    <row r="570" spans="1:19" ht="15.75" customHeight="1" x14ac:dyDescent="0.25">
      <c r="A570" s="333"/>
      <c r="C570" s="360"/>
      <c r="D570" s="361"/>
      <c r="E570" s="333"/>
      <c r="F570" s="333"/>
      <c r="G570" s="333"/>
      <c r="H570" s="333"/>
      <c r="K570" s="362"/>
      <c r="S570" s="333"/>
    </row>
    <row r="571" spans="1:19" ht="15.75" customHeight="1" x14ac:dyDescent="0.25">
      <c r="A571" s="333"/>
      <c r="C571" s="360"/>
      <c r="D571" s="361"/>
      <c r="E571" s="333"/>
      <c r="F571" s="333"/>
      <c r="G571" s="333"/>
      <c r="H571" s="333"/>
      <c r="K571" s="362"/>
      <c r="S571" s="333"/>
    </row>
    <row r="572" spans="1:19" ht="15.75" customHeight="1" x14ac:dyDescent="0.25">
      <c r="A572" s="333"/>
      <c r="C572" s="360"/>
      <c r="D572" s="361"/>
      <c r="E572" s="333"/>
      <c r="F572" s="333"/>
      <c r="G572" s="333"/>
      <c r="H572" s="333"/>
      <c r="K572" s="362"/>
      <c r="S572" s="333"/>
    </row>
    <row r="573" spans="1:19" ht="15.75" customHeight="1" x14ac:dyDescent="0.25">
      <c r="A573" s="333"/>
      <c r="C573" s="360"/>
      <c r="D573" s="361"/>
      <c r="E573" s="333"/>
      <c r="F573" s="333"/>
      <c r="G573" s="333"/>
      <c r="H573" s="333"/>
      <c r="K573" s="362"/>
      <c r="S573" s="333"/>
    </row>
    <row r="574" spans="1:19" ht="15.75" customHeight="1" x14ac:dyDescent="0.25">
      <c r="A574" s="333"/>
      <c r="C574" s="360"/>
      <c r="D574" s="361"/>
      <c r="E574" s="333"/>
      <c r="F574" s="333"/>
      <c r="G574" s="333"/>
      <c r="H574" s="333"/>
      <c r="K574" s="362"/>
      <c r="S574" s="333"/>
    </row>
    <row r="575" spans="1:19" ht="15.75" customHeight="1" x14ac:dyDescent="0.25">
      <c r="A575" s="333"/>
      <c r="C575" s="360"/>
      <c r="D575" s="361"/>
      <c r="E575" s="333"/>
      <c r="F575" s="333"/>
      <c r="G575" s="333"/>
      <c r="H575" s="333"/>
      <c r="K575" s="362"/>
      <c r="S575" s="333"/>
    </row>
    <row r="576" spans="1:19" ht="15.75" customHeight="1" x14ac:dyDescent="0.25">
      <c r="A576" s="333"/>
      <c r="C576" s="360"/>
      <c r="D576" s="361"/>
      <c r="E576" s="333"/>
      <c r="F576" s="333"/>
      <c r="G576" s="333"/>
      <c r="H576" s="333"/>
      <c r="K576" s="362"/>
      <c r="S576" s="333"/>
    </row>
    <row r="577" spans="1:19" ht="15.75" customHeight="1" x14ac:dyDescent="0.25">
      <c r="A577" s="333"/>
      <c r="C577" s="360"/>
      <c r="D577" s="361"/>
      <c r="E577" s="333"/>
      <c r="F577" s="333"/>
      <c r="G577" s="333"/>
      <c r="H577" s="333"/>
      <c r="K577" s="362"/>
      <c r="S577" s="333"/>
    </row>
    <row r="578" spans="1:19" ht="15.75" customHeight="1" x14ac:dyDescent="0.25">
      <c r="A578" s="333"/>
      <c r="C578" s="360"/>
      <c r="D578" s="361"/>
      <c r="E578" s="333"/>
      <c r="F578" s="333"/>
      <c r="G578" s="333"/>
      <c r="H578" s="333"/>
      <c r="K578" s="362"/>
      <c r="S578" s="333"/>
    </row>
    <row r="579" spans="1:19" ht="15.75" customHeight="1" x14ac:dyDescent="0.25">
      <c r="A579" s="333"/>
      <c r="C579" s="360"/>
      <c r="D579" s="361"/>
      <c r="E579" s="333"/>
      <c r="F579" s="333"/>
      <c r="G579" s="333"/>
      <c r="H579" s="333"/>
      <c r="K579" s="362"/>
      <c r="S579" s="333"/>
    </row>
    <row r="580" spans="1:19" ht="15.75" customHeight="1" x14ac:dyDescent="0.25">
      <c r="A580" s="333"/>
      <c r="C580" s="360"/>
      <c r="D580" s="361"/>
      <c r="E580" s="333"/>
      <c r="F580" s="333"/>
      <c r="G580" s="333"/>
      <c r="H580" s="333"/>
      <c r="K580" s="362"/>
      <c r="S580" s="333"/>
    </row>
    <row r="581" spans="1:19" ht="15.75" customHeight="1" x14ac:dyDescent="0.25">
      <c r="A581" s="333"/>
      <c r="C581" s="360"/>
      <c r="D581" s="361"/>
      <c r="E581" s="333"/>
      <c r="F581" s="333"/>
      <c r="G581" s="333"/>
      <c r="H581" s="333"/>
      <c r="K581" s="362"/>
      <c r="S581" s="333"/>
    </row>
    <row r="582" spans="1:19" ht="15.75" customHeight="1" x14ac:dyDescent="0.25">
      <c r="A582" s="333"/>
      <c r="C582" s="360"/>
      <c r="D582" s="361"/>
      <c r="E582" s="333"/>
      <c r="F582" s="333"/>
      <c r="G582" s="333"/>
      <c r="H582" s="333"/>
      <c r="K582" s="362"/>
      <c r="S582" s="333"/>
    </row>
    <row r="583" spans="1:19" ht="15.75" customHeight="1" x14ac:dyDescent="0.25">
      <c r="A583" s="333"/>
      <c r="C583" s="360"/>
      <c r="D583" s="361"/>
      <c r="E583" s="333"/>
      <c r="F583" s="333"/>
      <c r="G583" s="333"/>
      <c r="H583" s="333"/>
      <c r="K583" s="362"/>
      <c r="S583" s="333"/>
    </row>
    <row r="584" spans="1:19" ht="15.75" customHeight="1" x14ac:dyDescent="0.25">
      <c r="A584" s="333"/>
      <c r="C584" s="360"/>
      <c r="D584" s="361"/>
      <c r="E584" s="333"/>
      <c r="F584" s="333"/>
      <c r="G584" s="333"/>
      <c r="H584" s="333"/>
      <c r="K584" s="362"/>
      <c r="S584" s="333"/>
    </row>
    <row r="585" spans="1:19" ht="15.75" customHeight="1" x14ac:dyDescent="0.25">
      <c r="A585" s="333"/>
      <c r="C585" s="360"/>
      <c r="D585" s="361"/>
      <c r="E585" s="333"/>
      <c r="F585" s="333"/>
      <c r="G585" s="333"/>
      <c r="H585" s="333"/>
      <c r="K585" s="362"/>
      <c r="S585" s="333"/>
    </row>
    <row r="586" spans="1:19" ht="15.75" customHeight="1" x14ac:dyDescent="0.25">
      <c r="A586" s="333"/>
      <c r="C586" s="360"/>
      <c r="D586" s="361"/>
      <c r="E586" s="333"/>
      <c r="F586" s="333"/>
      <c r="G586" s="333"/>
      <c r="H586" s="333"/>
      <c r="K586" s="362"/>
      <c r="S586" s="333"/>
    </row>
    <row r="587" spans="1:19" ht="15.75" customHeight="1" x14ac:dyDescent="0.25">
      <c r="A587" s="333"/>
      <c r="C587" s="360"/>
      <c r="D587" s="361"/>
      <c r="E587" s="333"/>
      <c r="F587" s="333"/>
      <c r="G587" s="333"/>
      <c r="H587" s="333"/>
      <c r="K587" s="362"/>
      <c r="S587" s="333"/>
    </row>
    <row r="588" spans="1:19" ht="15.75" customHeight="1" x14ac:dyDescent="0.25">
      <c r="A588" s="333"/>
      <c r="C588" s="360"/>
      <c r="D588" s="361"/>
      <c r="E588" s="333"/>
      <c r="F588" s="333"/>
      <c r="G588" s="333"/>
      <c r="H588" s="333"/>
      <c r="K588" s="362"/>
      <c r="S588" s="333"/>
    </row>
    <row r="589" spans="1:19" ht="15.75" customHeight="1" x14ac:dyDescent="0.25">
      <c r="A589" s="333"/>
      <c r="C589" s="360"/>
      <c r="D589" s="361"/>
      <c r="E589" s="333"/>
      <c r="F589" s="333"/>
      <c r="G589" s="333"/>
      <c r="H589" s="333"/>
      <c r="K589" s="362"/>
      <c r="S589" s="333"/>
    </row>
    <row r="590" spans="1:19" ht="15.75" customHeight="1" x14ac:dyDescent="0.25">
      <c r="A590" s="333"/>
      <c r="C590" s="360"/>
      <c r="D590" s="361"/>
      <c r="E590" s="333"/>
      <c r="F590" s="333"/>
      <c r="G590" s="333"/>
      <c r="H590" s="333"/>
      <c r="K590" s="362"/>
      <c r="S590" s="333"/>
    </row>
    <row r="591" spans="1:19" ht="15.75" customHeight="1" x14ac:dyDescent="0.25">
      <c r="A591" s="333"/>
      <c r="C591" s="360"/>
      <c r="D591" s="361"/>
      <c r="E591" s="333"/>
      <c r="F591" s="333"/>
      <c r="G591" s="333"/>
      <c r="H591" s="333"/>
      <c r="K591" s="362"/>
      <c r="S591" s="333"/>
    </row>
    <row r="592" spans="1:19" ht="15.75" customHeight="1" x14ac:dyDescent="0.25">
      <c r="A592" s="333"/>
      <c r="C592" s="360"/>
      <c r="D592" s="361"/>
      <c r="E592" s="333"/>
      <c r="F592" s="333"/>
      <c r="G592" s="333"/>
      <c r="H592" s="333"/>
      <c r="K592" s="362"/>
      <c r="S592" s="333"/>
    </row>
    <row r="593" spans="1:19" ht="15.75" customHeight="1" x14ac:dyDescent="0.25">
      <c r="A593" s="333"/>
      <c r="C593" s="360"/>
      <c r="D593" s="361"/>
      <c r="E593" s="333"/>
      <c r="F593" s="333"/>
      <c r="G593" s="333"/>
      <c r="H593" s="333"/>
      <c r="K593" s="362"/>
      <c r="S593" s="333"/>
    </row>
    <row r="594" spans="1:19" ht="15.75" customHeight="1" x14ac:dyDescent="0.25">
      <c r="A594" s="333"/>
      <c r="C594" s="360"/>
      <c r="D594" s="361"/>
      <c r="E594" s="333"/>
      <c r="F594" s="333"/>
      <c r="G594" s="333"/>
      <c r="H594" s="333"/>
      <c r="K594" s="362"/>
      <c r="S594" s="333"/>
    </row>
    <row r="595" spans="1:19" ht="15.75" customHeight="1" x14ac:dyDescent="0.25">
      <c r="A595" s="333"/>
      <c r="C595" s="360"/>
      <c r="D595" s="361"/>
      <c r="E595" s="333"/>
      <c r="F595" s="333"/>
      <c r="G595" s="333"/>
      <c r="H595" s="333"/>
      <c r="K595" s="362"/>
      <c r="S595" s="333"/>
    </row>
    <row r="596" spans="1:19" ht="15.75" customHeight="1" x14ac:dyDescent="0.25">
      <c r="A596" s="333"/>
      <c r="C596" s="360"/>
      <c r="D596" s="361"/>
      <c r="E596" s="333"/>
      <c r="F596" s="333"/>
      <c r="G596" s="333"/>
      <c r="H596" s="333"/>
      <c r="K596" s="362"/>
      <c r="S596" s="333"/>
    </row>
    <row r="597" spans="1:19" ht="15.75" customHeight="1" x14ac:dyDescent="0.25">
      <c r="A597" s="333"/>
      <c r="C597" s="360"/>
      <c r="D597" s="361"/>
      <c r="E597" s="333"/>
      <c r="F597" s="333"/>
      <c r="G597" s="333"/>
      <c r="H597" s="333"/>
      <c r="K597" s="362"/>
      <c r="S597" s="333"/>
    </row>
    <row r="598" spans="1:19" ht="15.75" customHeight="1" x14ac:dyDescent="0.25">
      <c r="A598" s="333"/>
      <c r="C598" s="360"/>
      <c r="D598" s="361"/>
      <c r="E598" s="333"/>
      <c r="F598" s="333"/>
      <c r="G598" s="333"/>
      <c r="H598" s="333"/>
      <c r="K598" s="362"/>
      <c r="S598" s="333"/>
    </row>
    <row r="599" spans="1:19" ht="15.75" customHeight="1" x14ac:dyDescent="0.25">
      <c r="A599" s="333"/>
      <c r="C599" s="360"/>
      <c r="D599" s="361"/>
      <c r="E599" s="333"/>
      <c r="F599" s="333"/>
      <c r="G599" s="333"/>
      <c r="H599" s="333"/>
      <c r="K599" s="362"/>
      <c r="S599" s="333"/>
    </row>
    <row r="600" spans="1:19" ht="15.75" customHeight="1" x14ac:dyDescent="0.25">
      <c r="A600" s="333"/>
      <c r="C600" s="360"/>
      <c r="D600" s="361"/>
      <c r="E600" s="333"/>
      <c r="F600" s="333"/>
      <c r="G600" s="333"/>
      <c r="H600" s="333"/>
      <c r="K600" s="362"/>
      <c r="S600" s="333"/>
    </row>
    <row r="601" spans="1:19" ht="15.75" customHeight="1" x14ac:dyDescent="0.25">
      <c r="A601" s="333"/>
      <c r="C601" s="360"/>
      <c r="D601" s="361"/>
      <c r="E601" s="333"/>
      <c r="F601" s="333"/>
      <c r="G601" s="333"/>
      <c r="H601" s="333"/>
      <c r="K601" s="362"/>
      <c r="S601" s="333"/>
    </row>
    <row r="602" spans="1:19" ht="15.75" customHeight="1" x14ac:dyDescent="0.25">
      <c r="A602" s="333"/>
      <c r="C602" s="360"/>
      <c r="D602" s="361"/>
      <c r="E602" s="333"/>
      <c r="F602" s="333"/>
      <c r="G602" s="333"/>
      <c r="H602" s="333"/>
      <c r="K602" s="362"/>
      <c r="S602" s="333"/>
    </row>
    <row r="603" spans="1:19" ht="15.75" customHeight="1" x14ac:dyDescent="0.25">
      <c r="A603" s="333"/>
      <c r="C603" s="360"/>
      <c r="D603" s="361"/>
      <c r="E603" s="333"/>
      <c r="F603" s="333"/>
      <c r="G603" s="333"/>
      <c r="H603" s="333"/>
      <c r="K603" s="362"/>
      <c r="S603" s="333"/>
    </row>
    <row r="604" spans="1:19" ht="15.75" customHeight="1" x14ac:dyDescent="0.25">
      <c r="A604" s="333"/>
      <c r="C604" s="360"/>
      <c r="D604" s="361"/>
      <c r="E604" s="333"/>
      <c r="F604" s="333"/>
      <c r="G604" s="333"/>
      <c r="H604" s="333"/>
      <c r="K604" s="362"/>
      <c r="S604" s="333"/>
    </row>
    <row r="605" spans="1:19" ht="15.75" customHeight="1" x14ac:dyDescent="0.25">
      <c r="A605" s="333"/>
      <c r="C605" s="360"/>
      <c r="D605" s="361"/>
      <c r="E605" s="333"/>
      <c r="F605" s="333"/>
      <c r="G605" s="333"/>
      <c r="H605" s="333"/>
      <c r="K605" s="362"/>
      <c r="S605" s="333"/>
    </row>
    <row r="606" spans="1:19" ht="15.75" customHeight="1" x14ac:dyDescent="0.25">
      <c r="A606" s="333"/>
      <c r="C606" s="360"/>
      <c r="D606" s="361"/>
      <c r="E606" s="333"/>
      <c r="F606" s="333"/>
      <c r="G606" s="333"/>
      <c r="H606" s="333"/>
      <c r="K606" s="362"/>
      <c r="S606" s="333"/>
    </row>
    <row r="607" spans="1:19" ht="15.75" customHeight="1" x14ac:dyDescent="0.25">
      <c r="A607" s="333"/>
      <c r="C607" s="360"/>
      <c r="D607" s="361"/>
      <c r="E607" s="333"/>
      <c r="F607" s="333"/>
      <c r="G607" s="333"/>
      <c r="H607" s="333"/>
      <c r="K607" s="362"/>
      <c r="S607" s="333"/>
    </row>
    <row r="608" spans="1:19" ht="15.75" customHeight="1" x14ac:dyDescent="0.25">
      <c r="A608" s="333"/>
      <c r="C608" s="360"/>
      <c r="D608" s="361"/>
      <c r="E608" s="333"/>
      <c r="F608" s="333"/>
      <c r="G608" s="333"/>
      <c r="H608" s="333"/>
      <c r="K608" s="362"/>
      <c r="S608" s="333"/>
    </row>
    <row r="609" spans="1:19" ht="15.75" customHeight="1" x14ac:dyDescent="0.25">
      <c r="A609" s="333"/>
      <c r="C609" s="360"/>
      <c r="D609" s="361"/>
      <c r="E609" s="333"/>
      <c r="F609" s="333"/>
      <c r="G609" s="333"/>
      <c r="H609" s="333"/>
      <c r="K609" s="362"/>
      <c r="S609" s="333"/>
    </row>
    <row r="610" spans="1:19" ht="15.75" customHeight="1" x14ac:dyDescent="0.25">
      <c r="A610" s="333"/>
      <c r="C610" s="360"/>
      <c r="D610" s="361"/>
      <c r="E610" s="333"/>
      <c r="F610" s="333"/>
      <c r="G610" s="333"/>
      <c r="H610" s="333"/>
      <c r="K610" s="362"/>
      <c r="S610" s="333"/>
    </row>
    <row r="611" spans="1:19" ht="15.75" customHeight="1" x14ac:dyDescent="0.25">
      <c r="A611" s="333"/>
      <c r="C611" s="360"/>
      <c r="D611" s="361"/>
      <c r="E611" s="333"/>
      <c r="F611" s="333"/>
      <c r="G611" s="333"/>
      <c r="H611" s="333"/>
      <c r="K611" s="362"/>
      <c r="S611" s="333"/>
    </row>
    <row r="612" spans="1:19" ht="15.75" customHeight="1" x14ac:dyDescent="0.25">
      <c r="A612" s="333"/>
      <c r="C612" s="360"/>
      <c r="D612" s="361"/>
      <c r="E612" s="333"/>
      <c r="F612" s="333"/>
      <c r="G612" s="333"/>
      <c r="H612" s="333"/>
      <c r="K612" s="362"/>
      <c r="S612" s="333"/>
    </row>
    <row r="613" spans="1:19" ht="15.75" customHeight="1" x14ac:dyDescent="0.25">
      <c r="A613" s="333"/>
      <c r="C613" s="360"/>
      <c r="D613" s="361"/>
      <c r="E613" s="333"/>
      <c r="F613" s="333"/>
      <c r="G613" s="333"/>
      <c r="H613" s="333"/>
      <c r="K613" s="362"/>
      <c r="S613" s="333"/>
    </row>
    <row r="614" spans="1:19" ht="15.75" customHeight="1" x14ac:dyDescent="0.25">
      <c r="A614" s="333"/>
      <c r="C614" s="360"/>
      <c r="D614" s="361"/>
      <c r="E614" s="333"/>
      <c r="F614" s="333"/>
      <c r="G614" s="333"/>
      <c r="H614" s="333"/>
      <c r="K614" s="362"/>
      <c r="S614" s="333"/>
    </row>
    <row r="615" spans="1:19" ht="15.75" customHeight="1" x14ac:dyDescent="0.25">
      <c r="A615" s="333"/>
      <c r="C615" s="360"/>
      <c r="D615" s="361"/>
      <c r="E615" s="333"/>
      <c r="F615" s="333"/>
      <c r="G615" s="333"/>
      <c r="H615" s="333"/>
      <c r="K615" s="362"/>
      <c r="S615" s="333"/>
    </row>
    <row r="616" spans="1:19" ht="15.75" customHeight="1" x14ac:dyDescent="0.25">
      <c r="A616" s="333"/>
      <c r="C616" s="360"/>
      <c r="D616" s="361"/>
      <c r="E616" s="333"/>
      <c r="F616" s="333"/>
      <c r="G616" s="333"/>
      <c r="H616" s="333"/>
      <c r="K616" s="362"/>
      <c r="S616" s="333"/>
    </row>
    <row r="617" spans="1:19" ht="15.75" customHeight="1" x14ac:dyDescent="0.25">
      <c r="A617" s="333"/>
      <c r="C617" s="360"/>
      <c r="D617" s="361"/>
      <c r="E617" s="333"/>
      <c r="F617" s="333"/>
      <c r="G617" s="333"/>
      <c r="H617" s="333"/>
      <c r="K617" s="362"/>
      <c r="S617" s="333"/>
    </row>
    <row r="618" spans="1:19" ht="15.75" customHeight="1" x14ac:dyDescent="0.25">
      <c r="A618" s="333"/>
      <c r="C618" s="360"/>
      <c r="D618" s="361"/>
      <c r="E618" s="333"/>
      <c r="F618" s="333"/>
      <c r="G618" s="333"/>
      <c r="H618" s="333"/>
      <c r="K618" s="362"/>
      <c r="S618" s="333"/>
    </row>
    <row r="619" spans="1:19" ht="15.75" customHeight="1" x14ac:dyDescent="0.25">
      <c r="A619" s="333"/>
      <c r="C619" s="360"/>
      <c r="D619" s="361"/>
      <c r="E619" s="333"/>
      <c r="F619" s="333"/>
      <c r="G619" s="333"/>
      <c r="H619" s="333"/>
      <c r="K619" s="362"/>
      <c r="S619" s="333"/>
    </row>
    <row r="620" spans="1:19" ht="15.75" customHeight="1" x14ac:dyDescent="0.25">
      <c r="A620" s="333"/>
      <c r="C620" s="360"/>
      <c r="D620" s="361"/>
      <c r="E620" s="333"/>
      <c r="F620" s="333"/>
      <c r="G620" s="333"/>
      <c r="H620" s="333"/>
      <c r="K620" s="362"/>
      <c r="S620" s="333"/>
    </row>
    <row r="621" spans="1:19" ht="15.75" customHeight="1" x14ac:dyDescent="0.25">
      <c r="A621" s="333"/>
      <c r="C621" s="360"/>
      <c r="D621" s="361"/>
      <c r="E621" s="333"/>
      <c r="F621" s="333"/>
      <c r="G621" s="333"/>
      <c r="H621" s="333"/>
      <c r="K621" s="362"/>
      <c r="S621" s="333"/>
    </row>
    <row r="622" spans="1:19" ht="15.75" customHeight="1" x14ac:dyDescent="0.25">
      <c r="A622" s="333"/>
      <c r="C622" s="360"/>
      <c r="D622" s="361"/>
      <c r="E622" s="333"/>
      <c r="F622" s="333"/>
      <c r="G622" s="333"/>
      <c r="H622" s="333"/>
      <c r="K622" s="362"/>
      <c r="S622" s="333"/>
    </row>
    <row r="623" spans="1:19" ht="15.75" customHeight="1" x14ac:dyDescent="0.25">
      <c r="A623" s="333"/>
      <c r="C623" s="360"/>
      <c r="D623" s="361"/>
      <c r="E623" s="333"/>
      <c r="F623" s="333"/>
      <c r="G623" s="333"/>
      <c r="H623" s="333"/>
      <c r="K623" s="362"/>
      <c r="S623" s="333"/>
    </row>
    <row r="624" spans="1:19" ht="15.75" customHeight="1" x14ac:dyDescent="0.25">
      <c r="A624" s="333"/>
      <c r="C624" s="360"/>
      <c r="D624" s="361"/>
      <c r="E624" s="333"/>
      <c r="F624" s="333"/>
      <c r="G624" s="333"/>
      <c r="H624" s="333"/>
      <c r="K624" s="362"/>
      <c r="S624" s="333"/>
    </row>
    <row r="625" spans="1:19" ht="15.75" customHeight="1" x14ac:dyDescent="0.25">
      <c r="A625" s="333"/>
      <c r="C625" s="360"/>
      <c r="D625" s="361"/>
      <c r="E625" s="333"/>
      <c r="F625" s="333"/>
      <c r="G625" s="333"/>
      <c r="H625" s="333"/>
      <c r="K625" s="362"/>
      <c r="S625" s="333"/>
    </row>
    <row r="626" spans="1:19" ht="15.75" customHeight="1" x14ac:dyDescent="0.25">
      <c r="A626" s="333"/>
      <c r="C626" s="360"/>
      <c r="D626" s="361"/>
      <c r="E626" s="333"/>
      <c r="F626" s="333"/>
      <c r="G626" s="333"/>
      <c r="H626" s="333"/>
      <c r="K626" s="362"/>
      <c r="S626" s="333"/>
    </row>
    <row r="627" spans="1:19" ht="15.75" customHeight="1" x14ac:dyDescent="0.25">
      <c r="A627" s="333"/>
      <c r="C627" s="360"/>
      <c r="D627" s="361"/>
      <c r="E627" s="333"/>
      <c r="F627" s="333"/>
      <c r="G627" s="333"/>
      <c r="H627" s="333"/>
      <c r="K627" s="362"/>
      <c r="S627" s="333"/>
    </row>
    <row r="628" spans="1:19" ht="15.75" customHeight="1" x14ac:dyDescent="0.25">
      <c r="A628" s="333"/>
      <c r="C628" s="360"/>
      <c r="D628" s="361"/>
      <c r="E628" s="333"/>
      <c r="F628" s="333"/>
      <c r="G628" s="333"/>
      <c r="H628" s="333"/>
      <c r="K628" s="362"/>
      <c r="S628" s="333"/>
    </row>
    <row r="629" spans="1:19" ht="15.75" customHeight="1" x14ac:dyDescent="0.25">
      <c r="A629" s="333"/>
      <c r="C629" s="360"/>
      <c r="D629" s="361"/>
      <c r="E629" s="333"/>
      <c r="F629" s="333"/>
      <c r="G629" s="333"/>
      <c r="H629" s="333"/>
      <c r="K629" s="362"/>
      <c r="S629" s="333"/>
    </row>
    <row r="630" spans="1:19" ht="15.75" customHeight="1" x14ac:dyDescent="0.25">
      <c r="A630" s="333"/>
      <c r="C630" s="360"/>
      <c r="D630" s="361"/>
      <c r="E630" s="333"/>
      <c r="F630" s="333"/>
      <c r="G630" s="333"/>
      <c r="H630" s="333"/>
      <c r="K630" s="362"/>
      <c r="S630" s="333"/>
    </row>
    <row r="631" spans="1:19" ht="15.75" customHeight="1" x14ac:dyDescent="0.25">
      <c r="A631" s="333"/>
      <c r="C631" s="360"/>
      <c r="D631" s="361"/>
      <c r="E631" s="333"/>
      <c r="F631" s="333"/>
      <c r="G631" s="333"/>
      <c r="H631" s="333"/>
      <c r="K631" s="362"/>
      <c r="S631" s="333"/>
    </row>
    <row r="632" spans="1:19" ht="15.75" customHeight="1" x14ac:dyDescent="0.25">
      <c r="A632" s="333"/>
      <c r="C632" s="360"/>
      <c r="D632" s="361"/>
      <c r="E632" s="333"/>
      <c r="F632" s="333"/>
      <c r="G632" s="333"/>
      <c r="H632" s="333"/>
      <c r="K632" s="362"/>
      <c r="S632" s="333"/>
    </row>
    <row r="633" spans="1:19" ht="15.75" customHeight="1" x14ac:dyDescent="0.25">
      <c r="A633" s="333"/>
      <c r="C633" s="360"/>
      <c r="D633" s="361"/>
      <c r="E633" s="333"/>
      <c r="F633" s="333"/>
      <c r="G633" s="333"/>
      <c r="H633" s="333"/>
      <c r="K633" s="362"/>
      <c r="S633" s="333"/>
    </row>
    <row r="634" spans="1:19" ht="15.75" customHeight="1" x14ac:dyDescent="0.25">
      <c r="A634" s="333"/>
      <c r="C634" s="360"/>
      <c r="D634" s="361"/>
      <c r="E634" s="333"/>
      <c r="F634" s="333"/>
      <c r="G634" s="333"/>
      <c r="H634" s="333"/>
      <c r="K634" s="362"/>
      <c r="S634" s="333"/>
    </row>
    <row r="635" spans="1:19" ht="15.75" customHeight="1" x14ac:dyDescent="0.25">
      <c r="A635" s="333"/>
      <c r="C635" s="360"/>
      <c r="D635" s="361"/>
      <c r="E635" s="333"/>
      <c r="F635" s="333"/>
      <c r="G635" s="333"/>
      <c r="H635" s="333"/>
      <c r="K635" s="362"/>
      <c r="S635" s="333"/>
    </row>
    <row r="636" spans="1:19" ht="15.75" customHeight="1" x14ac:dyDescent="0.25">
      <c r="A636" s="333"/>
      <c r="C636" s="360"/>
      <c r="D636" s="361"/>
      <c r="E636" s="333"/>
      <c r="F636" s="333"/>
      <c r="G636" s="333"/>
      <c r="H636" s="333"/>
      <c r="K636" s="362"/>
      <c r="S636" s="333"/>
    </row>
    <row r="637" spans="1:19" ht="15.75" customHeight="1" x14ac:dyDescent="0.25">
      <c r="A637" s="333"/>
      <c r="C637" s="360"/>
      <c r="D637" s="361"/>
      <c r="E637" s="333"/>
      <c r="F637" s="333"/>
      <c r="G637" s="333"/>
      <c r="H637" s="333"/>
      <c r="K637" s="362"/>
      <c r="S637" s="333"/>
    </row>
    <row r="638" spans="1:19" ht="15.75" customHeight="1" x14ac:dyDescent="0.25">
      <c r="A638" s="333"/>
      <c r="C638" s="360"/>
      <c r="D638" s="361"/>
      <c r="E638" s="333"/>
      <c r="F638" s="333"/>
      <c r="G638" s="333"/>
      <c r="H638" s="333"/>
      <c r="K638" s="362"/>
      <c r="S638" s="333"/>
    </row>
    <row r="639" spans="1:19" ht="15.75" customHeight="1" x14ac:dyDescent="0.25">
      <c r="A639" s="333"/>
      <c r="C639" s="360"/>
      <c r="D639" s="361"/>
      <c r="E639" s="333"/>
      <c r="F639" s="333"/>
      <c r="G639" s="333"/>
      <c r="H639" s="333"/>
      <c r="K639" s="362"/>
      <c r="S639" s="333"/>
    </row>
    <row r="640" spans="1:19" ht="15.75" customHeight="1" x14ac:dyDescent="0.25">
      <c r="A640" s="333"/>
      <c r="C640" s="360"/>
      <c r="D640" s="361"/>
      <c r="E640" s="333"/>
      <c r="F640" s="333"/>
      <c r="G640" s="333"/>
      <c r="H640" s="333"/>
      <c r="K640" s="362"/>
      <c r="S640" s="333"/>
    </row>
    <row r="641" spans="1:19" ht="15.75" customHeight="1" x14ac:dyDescent="0.25">
      <c r="A641" s="333"/>
      <c r="C641" s="360"/>
      <c r="D641" s="361"/>
      <c r="E641" s="333"/>
      <c r="F641" s="333"/>
      <c r="G641" s="333"/>
      <c r="H641" s="333"/>
      <c r="K641" s="362"/>
      <c r="S641" s="333"/>
    </row>
    <row r="642" spans="1:19" ht="15.75" customHeight="1" x14ac:dyDescent="0.25">
      <c r="A642" s="333"/>
      <c r="C642" s="360"/>
      <c r="D642" s="361"/>
      <c r="E642" s="333"/>
      <c r="F642" s="333"/>
      <c r="G642" s="333"/>
      <c r="H642" s="333"/>
      <c r="K642" s="362"/>
      <c r="S642" s="333"/>
    </row>
    <row r="643" spans="1:19" ht="15.75" customHeight="1" x14ac:dyDescent="0.25">
      <c r="A643" s="333"/>
      <c r="C643" s="360"/>
      <c r="D643" s="361"/>
      <c r="E643" s="333"/>
      <c r="F643" s="333"/>
      <c r="G643" s="333"/>
      <c r="H643" s="333"/>
      <c r="K643" s="362"/>
      <c r="S643" s="333"/>
    </row>
    <row r="644" spans="1:19" ht="15.75" customHeight="1" x14ac:dyDescent="0.25">
      <c r="A644" s="333"/>
      <c r="C644" s="360"/>
      <c r="D644" s="361"/>
      <c r="E644" s="333"/>
      <c r="F644" s="333"/>
      <c r="G644" s="333"/>
      <c r="H644" s="333"/>
      <c r="K644" s="362"/>
      <c r="S644" s="333"/>
    </row>
    <row r="645" spans="1:19" ht="15.75" customHeight="1" x14ac:dyDescent="0.25">
      <c r="A645" s="333"/>
      <c r="C645" s="360"/>
      <c r="D645" s="361"/>
      <c r="E645" s="333"/>
      <c r="F645" s="333"/>
      <c r="G645" s="333"/>
      <c r="H645" s="333"/>
      <c r="K645" s="362"/>
      <c r="S645" s="333"/>
    </row>
    <row r="646" spans="1:19" ht="15.75" customHeight="1" x14ac:dyDescent="0.25">
      <c r="A646" s="333"/>
      <c r="C646" s="360"/>
      <c r="D646" s="361"/>
      <c r="E646" s="333"/>
      <c r="F646" s="333"/>
      <c r="G646" s="333"/>
      <c r="H646" s="333"/>
      <c r="K646" s="362"/>
      <c r="S646" s="333"/>
    </row>
    <row r="647" spans="1:19" ht="15.75" customHeight="1" x14ac:dyDescent="0.25">
      <c r="A647" s="333"/>
      <c r="C647" s="360"/>
      <c r="D647" s="361"/>
      <c r="E647" s="333"/>
      <c r="F647" s="333"/>
      <c r="G647" s="333"/>
      <c r="H647" s="333"/>
      <c r="K647" s="362"/>
      <c r="S647" s="333"/>
    </row>
    <row r="648" spans="1:19" ht="15.75" customHeight="1" x14ac:dyDescent="0.25">
      <c r="A648" s="333"/>
      <c r="C648" s="360"/>
      <c r="D648" s="361"/>
      <c r="E648" s="333"/>
      <c r="F648" s="333"/>
      <c r="G648" s="333"/>
      <c r="H648" s="333"/>
      <c r="K648" s="362"/>
      <c r="S648" s="333"/>
    </row>
    <row r="649" spans="1:19" ht="15.75" customHeight="1" x14ac:dyDescent="0.25">
      <c r="A649" s="333"/>
      <c r="C649" s="360"/>
      <c r="D649" s="361"/>
      <c r="E649" s="333"/>
      <c r="F649" s="333"/>
      <c r="G649" s="333"/>
      <c r="H649" s="333"/>
      <c r="K649" s="362"/>
      <c r="S649" s="333"/>
    </row>
    <row r="650" spans="1:19" ht="15.75" customHeight="1" x14ac:dyDescent="0.25">
      <c r="A650" s="333"/>
      <c r="C650" s="360"/>
      <c r="D650" s="361"/>
      <c r="E650" s="333"/>
      <c r="F650" s="333"/>
      <c r="G650" s="333"/>
      <c r="H650" s="333"/>
      <c r="K650" s="362"/>
      <c r="S650" s="333"/>
    </row>
    <row r="651" spans="1:19" ht="15.75" customHeight="1" x14ac:dyDescent="0.25">
      <c r="A651" s="333"/>
      <c r="C651" s="360"/>
      <c r="D651" s="361"/>
      <c r="E651" s="333"/>
      <c r="F651" s="333"/>
      <c r="G651" s="333"/>
      <c r="H651" s="333"/>
      <c r="K651" s="362"/>
      <c r="S651" s="333"/>
    </row>
    <row r="652" spans="1:19" ht="15.75" customHeight="1" x14ac:dyDescent="0.25">
      <c r="A652" s="333"/>
      <c r="C652" s="360"/>
      <c r="D652" s="361"/>
      <c r="E652" s="333"/>
      <c r="F652" s="333"/>
      <c r="G652" s="333"/>
      <c r="H652" s="333"/>
      <c r="K652" s="362"/>
      <c r="S652" s="333"/>
    </row>
    <row r="653" spans="1:19" ht="15.75" customHeight="1" x14ac:dyDescent="0.25">
      <c r="A653" s="333"/>
      <c r="C653" s="360"/>
      <c r="D653" s="361"/>
      <c r="E653" s="333"/>
      <c r="F653" s="333"/>
      <c r="G653" s="333"/>
      <c r="H653" s="333"/>
      <c r="K653" s="362"/>
      <c r="S653" s="333"/>
    </row>
    <row r="654" spans="1:19" ht="15.75" customHeight="1" x14ac:dyDescent="0.25">
      <c r="A654" s="333"/>
      <c r="C654" s="360"/>
      <c r="D654" s="361"/>
      <c r="E654" s="333"/>
      <c r="F654" s="333"/>
      <c r="G654" s="333"/>
      <c r="H654" s="333"/>
      <c r="K654" s="362"/>
      <c r="S654" s="333"/>
    </row>
    <row r="655" spans="1:19" ht="15.75" customHeight="1" x14ac:dyDescent="0.25">
      <c r="A655" s="333"/>
      <c r="C655" s="360"/>
      <c r="D655" s="361"/>
      <c r="E655" s="333"/>
      <c r="F655" s="333"/>
      <c r="G655" s="333"/>
      <c r="H655" s="333"/>
      <c r="K655" s="362"/>
      <c r="S655" s="333"/>
    </row>
    <row r="656" spans="1:19" ht="15.75" customHeight="1" x14ac:dyDescent="0.25">
      <c r="A656" s="333"/>
      <c r="C656" s="360"/>
      <c r="D656" s="361"/>
      <c r="E656" s="333"/>
      <c r="F656" s="333"/>
      <c r="G656" s="333"/>
      <c r="H656" s="333"/>
      <c r="K656" s="362"/>
      <c r="S656" s="333"/>
    </row>
    <row r="657" spans="1:19" ht="15.75" customHeight="1" x14ac:dyDescent="0.25">
      <c r="A657" s="333"/>
      <c r="C657" s="360"/>
      <c r="D657" s="361"/>
      <c r="E657" s="333"/>
      <c r="F657" s="333"/>
      <c r="G657" s="333"/>
      <c r="H657" s="333"/>
      <c r="K657" s="362"/>
      <c r="S657" s="333"/>
    </row>
    <row r="658" spans="1:19" ht="15.75" customHeight="1" x14ac:dyDescent="0.25">
      <c r="A658" s="333"/>
      <c r="C658" s="360"/>
      <c r="D658" s="361"/>
      <c r="E658" s="333"/>
      <c r="F658" s="333"/>
      <c r="G658" s="333"/>
      <c r="H658" s="333"/>
      <c r="K658" s="362"/>
      <c r="S658" s="333"/>
    </row>
    <row r="659" spans="1:19" ht="15.75" customHeight="1" x14ac:dyDescent="0.25">
      <c r="A659" s="333"/>
      <c r="C659" s="360"/>
      <c r="D659" s="361"/>
      <c r="E659" s="333"/>
      <c r="F659" s="333"/>
      <c r="G659" s="333"/>
      <c r="H659" s="333"/>
      <c r="K659" s="362"/>
      <c r="S659" s="333"/>
    </row>
    <row r="660" spans="1:19" ht="15.75" customHeight="1" x14ac:dyDescent="0.25">
      <c r="A660" s="333"/>
      <c r="C660" s="360"/>
      <c r="D660" s="361"/>
      <c r="E660" s="333"/>
      <c r="F660" s="333"/>
      <c r="G660" s="333"/>
      <c r="H660" s="333"/>
      <c r="K660" s="362"/>
      <c r="S660" s="333"/>
    </row>
    <row r="661" spans="1:19" ht="15.75" customHeight="1" x14ac:dyDescent="0.25">
      <c r="A661" s="333"/>
      <c r="C661" s="360"/>
      <c r="D661" s="361"/>
      <c r="E661" s="333"/>
      <c r="F661" s="333"/>
      <c r="G661" s="333"/>
      <c r="H661" s="333"/>
      <c r="K661" s="362"/>
      <c r="S661" s="333"/>
    </row>
    <row r="662" spans="1:19" ht="15.75" customHeight="1" x14ac:dyDescent="0.25">
      <c r="A662" s="333"/>
      <c r="C662" s="360"/>
      <c r="D662" s="361"/>
      <c r="E662" s="333"/>
      <c r="F662" s="333"/>
      <c r="G662" s="333"/>
      <c r="H662" s="333"/>
      <c r="K662" s="362"/>
      <c r="S662" s="333"/>
    </row>
    <row r="663" spans="1:19" ht="15.75" customHeight="1" x14ac:dyDescent="0.25">
      <c r="A663" s="333"/>
      <c r="C663" s="360"/>
      <c r="D663" s="361"/>
      <c r="E663" s="333"/>
      <c r="F663" s="333"/>
      <c r="G663" s="333"/>
      <c r="H663" s="333"/>
      <c r="K663" s="362"/>
      <c r="S663" s="333"/>
    </row>
    <row r="664" spans="1:19" ht="15.75" customHeight="1" x14ac:dyDescent="0.25">
      <c r="A664" s="333"/>
      <c r="C664" s="360"/>
      <c r="D664" s="361"/>
      <c r="E664" s="333"/>
      <c r="F664" s="333"/>
      <c r="G664" s="333"/>
      <c r="H664" s="333"/>
      <c r="K664" s="362"/>
      <c r="S664" s="333"/>
    </row>
    <row r="665" spans="1:19" ht="15.75" customHeight="1" x14ac:dyDescent="0.25">
      <c r="A665" s="333"/>
      <c r="C665" s="360"/>
      <c r="D665" s="361"/>
      <c r="E665" s="333"/>
      <c r="F665" s="333"/>
      <c r="G665" s="333"/>
      <c r="H665" s="333"/>
      <c r="K665" s="362"/>
      <c r="S665" s="333"/>
    </row>
    <row r="666" spans="1:19" ht="15.75" customHeight="1" x14ac:dyDescent="0.25">
      <c r="A666" s="333"/>
      <c r="C666" s="360"/>
      <c r="D666" s="361"/>
      <c r="E666" s="333"/>
      <c r="F666" s="333"/>
      <c r="G666" s="333"/>
      <c r="H666" s="333"/>
      <c r="K666" s="362"/>
      <c r="S666" s="333"/>
    </row>
    <row r="667" spans="1:19" ht="15.75" customHeight="1" x14ac:dyDescent="0.25">
      <c r="A667" s="333"/>
      <c r="C667" s="360"/>
      <c r="D667" s="361"/>
      <c r="E667" s="333"/>
      <c r="F667" s="333"/>
      <c r="G667" s="333"/>
      <c r="H667" s="333"/>
      <c r="K667" s="362"/>
      <c r="S667" s="333"/>
    </row>
    <row r="668" spans="1:19" ht="15.75" customHeight="1" x14ac:dyDescent="0.25">
      <c r="A668" s="333"/>
      <c r="C668" s="360"/>
      <c r="D668" s="361"/>
      <c r="E668" s="333"/>
      <c r="F668" s="333"/>
      <c r="G668" s="333"/>
      <c r="H668" s="333"/>
      <c r="K668" s="362"/>
      <c r="S668" s="333"/>
    </row>
    <row r="669" spans="1:19" ht="15.75" customHeight="1" x14ac:dyDescent="0.25">
      <c r="A669" s="333"/>
      <c r="C669" s="360"/>
      <c r="D669" s="361"/>
      <c r="E669" s="333"/>
      <c r="F669" s="333"/>
      <c r="G669" s="333"/>
      <c r="H669" s="333"/>
      <c r="K669" s="362"/>
      <c r="S669" s="333"/>
    </row>
    <row r="670" spans="1:19" ht="15.75" customHeight="1" x14ac:dyDescent="0.25">
      <c r="A670" s="333"/>
      <c r="C670" s="360"/>
      <c r="D670" s="361"/>
      <c r="E670" s="333"/>
      <c r="F670" s="333"/>
      <c r="G670" s="333"/>
      <c r="H670" s="333"/>
      <c r="K670" s="362"/>
      <c r="S670" s="333"/>
    </row>
    <row r="671" spans="1:19" ht="15.75" customHeight="1" x14ac:dyDescent="0.25">
      <c r="A671" s="333"/>
      <c r="C671" s="360"/>
      <c r="D671" s="361"/>
      <c r="E671" s="333"/>
      <c r="F671" s="333"/>
      <c r="G671" s="333"/>
      <c r="H671" s="333"/>
      <c r="K671" s="362"/>
      <c r="S671" s="333"/>
    </row>
    <row r="672" spans="1:19" ht="15.75" customHeight="1" x14ac:dyDescent="0.25">
      <c r="A672" s="333"/>
      <c r="C672" s="360"/>
      <c r="D672" s="361"/>
      <c r="E672" s="333"/>
      <c r="F672" s="333"/>
      <c r="G672" s="333"/>
      <c r="H672" s="333"/>
      <c r="K672" s="362"/>
      <c r="S672" s="333"/>
    </row>
    <row r="673" spans="1:19" ht="15.75" customHeight="1" x14ac:dyDescent="0.25">
      <c r="A673" s="333"/>
      <c r="C673" s="360"/>
      <c r="D673" s="361"/>
      <c r="E673" s="333"/>
      <c r="F673" s="333"/>
      <c r="G673" s="333"/>
      <c r="H673" s="333"/>
      <c r="K673" s="362"/>
      <c r="S673" s="333"/>
    </row>
    <row r="674" spans="1:19" ht="15.75" customHeight="1" x14ac:dyDescent="0.25">
      <c r="A674" s="333"/>
      <c r="C674" s="360"/>
      <c r="D674" s="361"/>
      <c r="E674" s="333"/>
      <c r="F674" s="333"/>
      <c r="G674" s="333"/>
      <c r="H674" s="333"/>
      <c r="K674" s="362"/>
      <c r="S674" s="333"/>
    </row>
    <row r="675" spans="1:19" ht="15.75" customHeight="1" x14ac:dyDescent="0.25">
      <c r="A675" s="333"/>
      <c r="C675" s="360"/>
      <c r="D675" s="361"/>
      <c r="E675" s="333"/>
      <c r="F675" s="333"/>
      <c r="G675" s="333"/>
      <c r="H675" s="333"/>
      <c r="K675" s="362"/>
      <c r="S675" s="333"/>
    </row>
    <row r="676" spans="1:19" ht="15.75" customHeight="1" x14ac:dyDescent="0.25">
      <c r="A676" s="333"/>
      <c r="C676" s="360"/>
      <c r="D676" s="361"/>
      <c r="E676" s="333"/>
      <c r="F676" s="333"/>
      <c r="G676" s="333"/>
      <c r="H676" s="333"/>
      <c r="K676" s="362"/>
      <c r="S676" s="333"/>
    </row>
    <row r="677" spans="1:19" ht="15.75" customHeight="1" x14ac:dyDescent="0.25">
      <c r="A677" s="333"/>
      <c r="C677" s="360"/>
      <c r="D677" s="361"/>
      <c r="E677" s="333"/>
      <c r="F677" s="333"/>
      <c r="G677" s="333"/>
      <c r="H677" s="333"/>
      <c r="K677" s="362"/>
      <c r="S677" s="333"/>
    </row>
    <row r="678" spans="1:19" ht="15.75" customHeight="1" x14ac:dyDescent="0.25">
      <c r="A678" s="333"/>
      <c r="C678" s="360"/>
      <c r="D678" s="361"/>
      <c r="E678" s="333"/>
      <c r="F678" s="333"/>
      <c r="G678" s="333"/>
      <c r="H678" s="333"/>
      <c r="K678" s="362"/>
      <c r="S678" s="333"/>
    </row>
    <row r="679" spans="1:19" ht="15.75" customHeight="1" x14ac:dyDescent="0.25">
      <c r="A679" s="333"/>
      <c r="C679" s="360"/>
      <c r="D679" s="361"/>
      <c r="E679" s="333"/>
      <c r="F679" s="333"/>
      <c r="G679" s="333"/>
      <c r="H679" s="333"/>
      <c r="K679" s="362"/>
      <c r="S679" s="333"/>
    </row>
    <row r="680" spans="1:19" ht="15.75" customHeight="1" x14ac:dyDescent="0.25">
      <c r="A680" s="333"/>
      <c r="C680" s="360"/>
      <c r="D680" s="361"/>
      <c r="E680" s="333"/>
      <c r="F680" s="333"/>
      <c r="G680" s="333"/>
      <c r="H680" s="333"/>
      <c r="K680" s="362"/>
      <c r="S680" s="333"/>
    </row>
    <row r="681" spans="1:19" ht="15.75" customHeight="1" x14ac:dyDescent="0.25">
      <c r="A681" s="333"/>
      <c r="C681" s="360"/>
      <c r="D681" s="361"/>
      <c r="E681" s="333"/>
      <c r="F681" s="333"/>
      <c r="G681" s="333"/>
      <c r="H681" s="333"/>
      <c r="K681" s="362"/>
      <c r="S681" s="333"/>
    </row>
    <row r="682" spans="1:19" ht="15.75" customHeight="1" x14ac:dyDescent="0.25">
      <c r="A682" s="333"/>
      <c r="C682" s="360"/>
      <c r="D682" s="361"/>
      <c r="E682" s="333"/>
      <c r="F682" s="333"/>
      <c r="G682" s="333"/>
      <c r="H682" s="333"/>
      <c r="K682" s="362"/>
      <c r="S682" s="333"/>
    </row>
    <row r="683" spans="1:19" ht="15.75" customHeight="1" x14ac:dyDescent="0.25">
      <c r="A683" s="333"/>
      <c r="C683" s="360"/>
      <c r="D683" s="361"/>
      <c r="E683" s="333"/>
      <c r="F683" s="333"/>
      <c r="G683" s="333"/>
      <c r="H683" s="333"/>
      <c r="K683" s="362"/>
      <c r="S683" s="333"/>
    </row>
    <row r="684" spans="1:19" ht="15.75" customHeight="1" x14ac:dyDescent="0.25">
      <c r="A684" s="333"/>
      <c r="C684" s="360"/>
      <c r="D684" s="361"/>
      <c r="E684" s="333"/>
      <c r="F684" s="333"/>
      <c r="G684" s="333"/>
      <c r="H684" s="333"/>
      <c r="K684" s="362"/>
      <c r="S684" s="333"/>
    </row>
    <row r="685" spans="1:19" ht="15.75" customHeight="1" x14ac:dyDescent="0.25">
      <c r="A685" s="333"/>
      <c r="C685" s="360"/>
      <c r="D685" s="361"/>
      <c r="E685" s="333"/>
      <c r="F685" s="333"/>
      <c r="G685" s="333"/>
      <c r="H685" s="333"/>
      <c r="K685" s="362"/>
      <c r="S685" s="333"/>
    </row>
    <row r="686" spans="1:19" ht="15.75" customHeight="1" x14ac:dyDescent="0.25">
      <c r="A686" s="333"/>
      <c r="C686" s="360"/>
      <c r="D686" s="361"/>
      <c r="E686" s="333"/>
      <c r="F686" s="333"/>
      <c r="G686" s="333"/>
      <c r="H686" s="333"/>
      <c r="K686" s="362"/>
      <c r="S686" s="333"/>
    </row>
    <row r="687" spans="1:19" ht="15.75" customHeight="1" x14ac:dyDescent="0.25">
      <c r="A687" s="333"/>
      <c r="C687" s="360"/>
      <c r="D687" s="361"/>
      <c r="E687" s="333"/>
      <c r="F687" s="333"/>
      <c r="G687" s="333"/>
      <c r="H687" s="333"/>
      <c r="K687" s="362"/>
      <c r="S687" s="333"/>
    </row>
    <row r="688" spans="1:19" ht="15.75" customHeight="1" x14ac:dyDescent="0.25">
      <c r="A688" s="333"/>
      <c r="C688" s="360"/>
      <c r="D688" s="361"/>
      <c r="E688" s="333"/>
      <c r="F688" s="333"/>
      <c r="G688" s="333"/>
      <c r="H688" s="333"/>
      <c r="K688" s="362"/>
      <c r="S688" s="333"/>
    </row>
    <row r="689" spans="1:19" ht="15.75" customHeight="1" x14ac:dyDescent="0.25">
      <c r="A689" s="333"/>
      <c r="C689" s="360"/>
      <c r="D689" s="361"/>
      <c r="E689" s="333"/>
      <c r="F689" s="333"/>
      <c r="G689" s="333"/>
      <c r="H689" s="333"/>
      <c r="K689" s="362"/>
      <c r="S689" s="333"/>
    </row>
    <row r="690" spans="1:19" ht="15.75" customHeight="1" x14ac:dyDescent="0.25">
      <c r="A690" s="333"/>
      <c r="C690" s="360"/>
      <c r="D690" s="361"/>
      <c r="E690" s="333"/>
      <c r="F690" s="333"/>
      <c r="G690" s="333"/>
      <c r="H690" s="333"/>
      <c r="K690" s="362"/>
      <c r="S690" s="333"/>
    </row>
    <row r="691" spans="1:19" ht="15.75" customHeight="1" x14ac:dyDescent="0.25">
      <c r="A691" s="333"/>
      <c r="C691" s="360"/>
      <c r="D691" s="361"/>
      <c r="E691" s="333"/>
      <c r="F691" s="333"/>
      <c r="G691" s="333"/>
      <c r="H691" s="333"/>
      <c r="K691" s="362"/>
      <c r="S691" s="333"/>
    </row>
    <row r="692" spans="1:19" ht="15.75" customHeight="1" x14ac:dyDescent="0.25">
      <c r="A692" s="333"/>
      <c r="C692" s="360"/>
      <c r="D692" s="361"/>
      <c r="E692" s="333"/>
      <c r="F692" s="333"/>
      <c r="G692" s="333"/>
      <c r="H692" s="333"/>
      <c r="K692" s="362"/>
      <c r="S692" s="333"/>
    </row>
    <row r="693" spans="1:19" ht="15.75" customHeight="1" x14ac:dyDescent="0.25">
      <c r="A693" s="333"/>
      <c r="C693" s="360"/>
      <c r="D693" s="361"/>
      <c r="E693" s="333"/>
      <c r="F693" s="333"/>
      <c r="G693" s="333"/>
      <c r="H693" s="333"/>
      <c r="K693" s="362"/>
      <c r="S693" s="333"/>
    </row>
    <row r="694" spans="1:19" ht="15.75" customHeight="1" x14ac:dyDescent="0.25">
      <c r="A694" s="333"/>
      <c r="C694" s="360"/>
      <c r="D694" s="361"/>
      <c r="E694" s="333"/>
      <c r="F694" s="333"/>
      <c r="G694" s="333"/>
      <c r="H694" s="333"/>
      <c r="K694" s="362"/>
      <c r="S694" s="333"/>
    </row>
    <row r="695" spans="1:19" ht="15.75" customHeight="1" x14ac:dyDescent="0.25">
      <c r="A695" s="333"/>
      <c r="C695" s="360"/>
      <c r="D695" s="361"/>
      <c r="E695" s="333"/>
      <c r="F695" s="333"/>
      <c r="G695" s="333"/>
      <c r="H695" s="333"/>
      <c r="K695" s="362"/>
      <c r="S695" s="333"/>
    </row>
    <row r="696" spans="1:19" ht="15.75" customHeight="1" x14ac:dyDescent="0.25">
      <c r="A696" s="333"/>
      <c r="C696" s="360"/>
      <c r="D696" s="361"/>
      <c r="E696" s="333"/>
      <c r="F696" s="333"/>
      <c r="G696" s="333"/>
      <c r="H696" s="333"/>
      <c r="K696" s="362"/>
      <c r="S696" s="333"/>
    </row>
    <row r="697" spans="1:19" ht="15.75" customHeight="1" x14ac:dyDescent="0.25">
      <c r="A697" s="333"/>
      <c r="C697" s="360"/>
      <c r="D697" s="361"/>
      <c r="E697" s="333"/>
      <c r="F697" s="333"/>
      <c r="G697" s="333"/>
      <c r="H697" s="333"/>
      <c r="K697" s="362"/>
      <c r="S697" s="333"/>
    </row>
    <row r="698" spans="1:19" ht="15.75" customHeight="1" x14ac:dyDescent="0.25">
      <c r="A698" s="333"/>
      <c r="C698" s="360"/>
      <c r="D698" s="361"/>
      <c r="E698" s="333"/>
      <c r="F698" s="333"/>
      <c r="G698" s="333"/>
      <c r="H698" s="333"/>
      <c r="K698" s="362"/>
      <c r="S698" s="333"/>
    </row>
    <row r="699" spans="1:19" ht="15.75" customHeight="1" x14ac:dyDescent="0.25">
      <c r="A699" s="333"/>
      <c r="C699" s="360"/>
      <c r="D699" s="361"/>
      <c r="E699" s="333"/>
      <c r="F699" s="333"/>
      <c r="G699" s="333"/>
      <c r="H699" s="333"/>
      <c r="K699" s="362"/>
      <c r="S699" s="333"/>
    </row>
    <row r="700" spans="1:19" ht="15.75" customHeight="1" x14ac:dyDescent="0.25">
      <c r="A700" s="333"/>
      <c r="C700" s="360"/>
      <c r="D700" s="361"/>
      <c r="E700" s="333"/>
      <c r="F700" s="333"/>
      <c r="G700" s="333"/>
      <c r="H700" s="333"/>
      <c r="K700" s="362"/>
      <c r="S700" s="333"/>
    </row>
    <row r="701" spans="1:19" ht="15.75" customHeight="1" x14ac:dyDescent="0.25">
      <c r="A701" s="333"/>
      <c r="C701" s="360"/>
      <c r="D701" s="361"/>
      <c r="E701" s="333"/>
      <c r="F701" s="333"/>
      <c r="G701" s="333"/>
      <c r="H701" s="333"/>
      <c r="K701" s="362"/>
      <c r="S701" s="333"/>
    </row>
    <row r="702" spans="1:19" ht="15.75" customHeight="1" x14ac:dyDescent="0.25">
      <c r="A702" s="333"/>
      <c r="C702" s="360"/>
      <c r="D702" s="361"/>
      <c r="E702" s="333"/>
      <c r="F702" s="333"/>
      <c r="G702" s="333"/>
      <c r="H702" s="333"/>
      <c r="K702" s="362"/>
      <c r="S702" s="333"/>
    </row>
    <row r="703" spans="1:19" ht="15.75" customHeight="1" x14ac:dyDescent="0.25">
      <c r="A703" s="333"/>
      <c r="C703" s="360"/>
      <c r="D703" s="361"/>
      <c r="E703" s="333"/>
      <c r="F703" s="333"/>
      <c r="G703" s="333"/>
      <c r="H703" s="333"/>
      <c r="K703" s="362"/>
      <c r="S703" s="333"/>
    </row>
    <row r="704" spans="1:19" ht="15.75" customHeight="1" x14ac:dyDescent="0.25">
      <c r="A704" s="333"/>
      <c r="C704" s="360"/>
      <c r="D704" s="361"/>
      <c r="E704" s="333"/>
      <c r="F704" s="333"/>
      <c r="G704" s="333"/>
      <c r="H704" s="333"/>
      <c r="K704" s="362"/>
      <c r="S704" s="333"/>
    </row>
    <row r="705" spans="1:19" ht="15.75" customHeight="1" x14ac:dyDescent="0.25">
      <c r="A705" s="333"/>
      <c r="C705" s="360"/>
      <c r="D705" s="361"/>
      <c r="E705" s="333"/>
      <c r="F705" s="333"/>
      <c r="G705" s="333"/>
      <c r="H705" s="333"/>
      <c r="K705" s="362"/>
      <c r="S705" s="333"/>
    </row>
    <row r="706" spans="1:19" ht="15.75" customHeight="1" x14ac:dyDescent="0.25">
      <c r="A706" s="333"/>
      <c r="C706" s="360"/>
      <c r="D706" s="361"/>
      <c r="E706" s="333"/>
      <c r="F706" s="333"/>
      <c r="G706" s="333"/>
      <c r="H706" s="333"/>
      <c r="K706" s="362"/>
      <c r="S706" s="333"/>
    </row>
    <row r="707" spans="1:19" ht="15.75" customHeight="1" x14ac:dyDescent="0.25">
      <c r="A707" s="333"/>
      <c r="C707" s="360"/>
      <c r="D707" s="361"/>
      <c r="E707" s="333"/>
      <c r="F707" s="333"/>
      <c r="G707" s="333"/>
      <c r="H707" s="333"/>
      <c r="K707" s="362"/>
      <c r="S707" s="333"/>
    </row>
    <row r="708" spans="1:19" ht="15.75" customHeight="1" x14ac:dyDescent="0.25">
      <c r="A708" s="333"/>
      <c r="C708" s="360"/>
      <c r="D708" s="361"/>
      <c r="E708" s="333"/>
      <c r="F708" s="333"/>
      <c r="G708" s="333"/>
      <c r="H708" s="333"/>
      <c r="K708" s="362"/>
      <c r="S708" s="333"/>
    </row>
    <row r="709" spans="1:19" ht="15.75" customHeight="1" x14ac:dyDescent="0.25">
      <c r="A709" s="333"/>
      <c r="C709" s="360"/>
      <c r="D709" s="361"/>
      <c r="E709" s="333"/>
      <c r="F709" s="333"/>
      <c r="G709" s="333"/>
      <c r="H709" s="333"/>
      <c r="K709" s="362"/>
      <c r="S709" s="333"/>
    </row>
    <row r="710" spans="1:19" ht="15.75" customHeight="1" x14ac:dyDescent="0.25">
      <c r="A710" s="333"/>
      <c r="C710" s="360"/>
      <c r="D710" s="361"/>
      <c r="E710" s="333"/>
      <c r="F710" s="333"/>
      <c r="G710" s="333"/>
      <c r="H710" s="333"/>
      <c r="K710" s="362"/>
      <c r="S710" s="333"/>
    </row>
    <row r="711" spans="1:19" ht="15.75" customHeight="1" x14ac:dyDescent="0.25">
      <c r="A711" s="333"/>
      <c r="C711" s="360"/>
      <c r="D711" s="361"/>
      <c r="E711" s="333"/>
      <c r="F711" s="333"/>
      <c r="G711" s="333"/>
      <c r="H711" s="333"/>
      <c r="K711" s="362"/>
      <c r="S711" s="333"/>
    </row>
    <row r="712" spans="1:19" ht="15.75" customHeight="1" x14ac:dyDescent="0.25">
      <c r="A712" s="333"/>
      <c r="C712" s="360"/>
      <c r="D712" s="361"/>
      <c r="E712" s="333"/>
      <c r="F712" s="333"/>
      <c r="G712" s="333"/>
      <c r="H712" s="333"/>
      <c r="K712" s="362"/>
      <c r="S712" s="333"/>
    </row>
    <row r="713" spans="1:19" ht="15.75" customHeight="1" x14ac:dyDescent="0.25">
      <c r="A713" s="333"/>
      <c r="C713" s="360"/>
      <c r="D713" s="361"/>
      <c r="E713" s="333"/>
      <c r="F713" s="333"/>
      <c r="G713" s="333"/>
      <c r="H713" s="333"/>
      <c r="K713" s="362"/>
      <c r="S713" s="333"/>
    </row>
    <row r="714" spans="1:19" ht="15.75" customHeight="1" x14ac:dyDescent="0.25">
      <c r="A714" s="333"/>
      <c r="C714" s="360"/>
      <c r="D714" s="361"/>
      <c r="E714" s="333"/>
      <c r="F714" s="333"/>
      <c r="G714" s="333"/>
      <c r="H714" s="333"/>
      <c r="K714" s="362"/>
      <c r="S714" s="333"/>
    </row>
    <row r="715" spans="1:19" ht="15.75" customHeight="1" x14ac:dyDescent="0.25">
      <c r="A715" s="333"/>
      <c r="C715" s="360"/>
      <c r="D715" s="361"/>
      <c r="E715" s="333"/>
      <c r="F715" s="333"/>
      <c r="G715" s="333"/>
      <c r="H715" s="333"/>
      <c r="K715" s="362"/>
      <c r="S715" s="333"/>
    </row>
    <row r="716" spans="1:19" ht="15.75" customHeight="1" x14ac:dyDescent="0.25">
      <c r="A716" s="333"/>
      <c r="C716" s="360"/>
      <c r="D716" s="361"/>
      <c r="E716" s="333"/>
      <c r="F716" s="333"/>
      <c r="G716" s="333"/>
      <c r="H716" s="333"/>
      <c r="K716" s="362"/>
      <c r="S716" s="333"/>
    </row>
    <row r="717" spans="1:19" ht="15.75" customHeight="1" x14ac:dyDescent="0.25">
      <c r="A717" s="333"/>
      <c r="C717" s="360"/>
      <c r="D717" s="361"/>
      <c r="E717" s="333"/>
      <c r="F717" s="333"/>
      <c r="G717" s="333"/>
      <c r="H717" s="333"/>
      <c r="K717" s="362"/>
      <c r="S717" s="333"/>
    </row>
    <row r="718" spans="1:19" ht="15.75" customHeight="1" x14ac:dyDescent="0.25">
      <c r="A718" s="333"/>
      <c r="C718" s="360"/>
      <c r="D718" s="361"/>
      <c r="E718" s="333"/>
      <c r="F718" s="333"/>
      <c r="G718" s="333"/>
      <c r="H718" s="333"/>
      <c r="K718" s="362"/>
      <c r="S718" s="333"/>
    </row>
    <row r="719" spans="1:19" ht="15.75" customHeight="1" x14ac:dyDescent="0.25">
      <c r="A719" s="333"/>
      <c r="C719" s="360"/>
      <c r="D719" s="361"/>
      <c r="E719" s="333"/>
      <c r="F719" s="333"/>
      <c r="G719" s="333"/>
      <c r="H719" s="333"/>
      <c r="K719" s="362"/>
      <c r="S719" s="333"/>
    </row>
    <row r="720" spans="1:19" ht="15.75" customHeight="1" x14ac:dyDescent="0.25">
      <c r="A720" s="333"/>
      <c r="C720" s="360"/>
      <c r="D720" s="361"/>
      <c r="E720" s="333"/>
      <c r="F720" s="333"/>
      <c r="G720" s="333"/>
      <c r="H720" s="333"/>
      <c r="K720" s="362"/>
      <c r="S720" s="333"/>
    </row>
    <row r="721" spans="1:19" ht="15.75" customHeight="1" x14ac:dyDescent="0.25">
      <c r="A721" s="333"/>
      <c r="C721" s="360"/>
      <c r="D721" s="361"/>
      <c r="E721" s="333"/>
      <c r="F721" s="333"/>
      <c r="G721" s="333"/>
      <c r="H721" s="333"/>
      <c r="K721" s="362"/>
      <c r="S721" s="333"/>
    </row>
    <row r="722" spans="1:19" ht="15.75" customHeight="1" x14ac:dyDescent="0.25">
      <c r="A722" s="333"/>
      <c r="C722" s="360"/>
      <c r="D722" s="361"/>
      <c r="E722" s="333"/>
      <c r="F722" s="333"/>
      <c r="G722" s="333"/>
      <c r="H722" s="333"/>
      <c r="K722" s="362"/>
      <c r="S722" s="333"/>
    </row>
    <row r="723" spans="1:19" ht="15.75" customHeight="1" x14ac:dyDescent="0.25">
      <c r="A723" s="333"/>
      <c r="C723" s="360"/>
      <c r="D723" s="361"/>
      <c r="E723" s="333"/>
      <c r="F723" s="333"/>
      <c r="G723" s="333"/>
      <c r="H723" s="333"/>
      <c r="K723" s="362"/>
      <c r="S723" s="333"/>
    </row>
    <row r="724" spans="1:19" ht="15.75" customHeight="1" x14ac:dyDescent="0.25">
      <c r="A724" s="333"/>
      <c r="C724" s="360"/>
      <c r="D724" s="361"/>
      <c r="E724" s="333"/>
      <c r="F724" s="333"/>
      <c r="G724" s="333"/>
      <c r="H724" s="333"/>
      <c r="K724" s="362"/>
      <c r="S724" s="333"/>
    </row>
    <row r="725" spans="1:19" ht="15.75" customHeight="1" x14ac:dyDescent="0.25">
      <c r="A725" s="333"/>
      <c r="C725" s="360"/>
      <c r="D725" s="361"/>
      <c r="E725" s="333"/>
      <c r="F725" s="333"/>
      <c r="G725" s="333"/>
      <c r="H725" s="333"/>
      <c r="K725" s="362"/>
      <c r="S725" s="333"/>
    </row>
    <row r="726" spans="1:19" ht="15.75" customHeight="1" x14ac:dyDescent="0.25">
      <c r="A726" s="333"/>
      <c r="C726" s="360"/>
      <c r="D726" s="361"/>
      <c r="E726" s="333"/>
      <c r="F726" s="333"/>
      <c r="G726" s="333"/>
      <c r="H726" s="333"/>
      <c r="K726" s="362"/>
      <c r="S726" s="333"/>
    </row>
    <row r="727" spans="1:19" ht="15.75" customHeight="1" x14ac:dyDescent="0.25">
      <c r="A727" s="333"/>
      <c r="C727" s="360"/>
      <c r="D727" s="361"/>
      <c r="E727" s="333"/>
      <c r="F727" s="333"/>
      <c r="G727" s="333"/>
      <c r="H727" s="333"/>
      <c r="K727" s="362"/>
      <c r="S727" s="333"/>
    </row>
    <row r="728" spans="1:19" ht="15.75" customHeight="1" x14ac:dyDescent="0.25">
      <c r="A728" s="333"/>
      <c r="C728" s="360"/>
      <c r="D728" s="361"/>
      <c r="E728" s="333"/>
      <c r="F728" s="333"/>
      <c r="G728" s="333"/>
      <c r="H728" s="333"/>
      <c r="K728" s="362"/>
      <c r="S728" s="333"/>
    </row>
    <row r="729" spans="1:19" ht="15.75" customHeight="1" x14ac:dyDescent="0.25">
      <c r="A729" s="333"/>
      <c r="C729" s="360"/>
      <c r="D729" s="361"/>
      <c r="E729" s="333"/>
      <c r="F729" s="333"/>
      <c r="G729" s="333"/>
      <c r="H729" s="333"/>
      <c r="K729" s="362"/>
      <c r="S729" s="333"/>
    </row>
    <row r="730" spans="1:19" ht="15.75" customHeight="1" x14ac:dyDescent="0.25">
      <c r="A730" s="333"/>
      <c r="C730" s="360"/>
      <c r="D730" s="361"/>
      <c r="E730" s="333"/>
      <c r="F730" s="333"/>
      <c r="G730" s="333"/>
      <c r="H730" s="333"/>
      <c r="K730" s="362"/>
      <c r="S730" s="333"/>
    </row>
    <row r="731" spans="1:19" ht="15.75" customHeight="1" x14ac:dyDescent="0.25">
      <c r="A731" s="333"/>
      <c r="C731" s="360"/>
      <c r="D731" s="361"/>
      <c r="E731" s="333"/>
      <c r="F731" s="333"/>
      <c r="G731" s="333"/>
      <c r="H731" s="333"/>
      <c r="K731" s="362"/>
      <c r="S731" s="333"/>
    </row>
    <row r="732" spans="1:19" ht="15.75" customHeight="1" x14ac:dyDescent="0.25">
      <c r="A732" s="333"/>
      <c r="C732" s="360"/>
      <c r="D732" s="361"/>
      <c r="E732" s="333"/>
      <c r="F732" s="333"/>
      <c r="G732" s="333"/>
      <c r="H732" s="333"/>
      <c r="K732" s="362"/>
      <c r="S732" s="333"/>
    </row>
    <row r="733" spans="1:19" ht="15.75" customHeight="1" x14ac:dyDescent="0.25">
      <c r="A733" s="333"/>
      <c r="C733" s="360"/>
      <c r="D733" s="361"/>
      <c r="E733" s="333"/>
      <c r="F733" s="333"/>
      <c r="G733" s="333"/>
      <c r="H733" s="333"/>
      <c r="K733" s="362"/>
      <c r="S733" s="333"/>
    </row>
    <row r="734" spans="1:19" ht="15.75" customHeight="1" x14ac:dyDescent="0.25">
      <c r="A734" s="333"/>
      <c r="C734" s="360"/>
      <c r="D734" s="361"/>
      <c r="E734" s="333"/>
      <c r="F734" s="333"/>
      <c r="G734" s="333"/>
      <c r="H734" s="333"/>
      <c r="K734" s="362"/>
      <c r="S734" s="333"/>
    </row>
    <row r="735" spans="1:19" ht="15.75" customHeight="1" x14ac:dyDescent="0.25">
      <c r="A735" s="333"/>
      <c r="C735" s="360"/>
      <c r="D735" s="361"/>
      <c r="E735" s="333"/>
      <c r="F735" s="333"/>
      <c r="G735" s="333"/>
      <c r="H735" s="333"/>
      <c r="K735" s="362"/>
      <c r="S735" s="333"/>
    </row>
    <row r="736" spans="1:19" ht="15.75" customHeight="1" x14ac:dyDescent="0.25">
      <c r="A736" s="333"/>
      <c r="C736" s="360"/>
      <c r="D736" s="361"/>
      <c r="E736" s="333"/>
      <c r="F736" s="333"/>
      <c r="G736" s="333"/>
      <c r="H736" s="333"/>
      <c r="K736" s="362"/>
      <c r="S736" s="333"/>
    </row>
    <row r="737" spans="1:19" ht="15.75" customHeight="1" x14ac:dyDescent="0.25">
      <c r="A737" s="333"/>
      <c r="C737" s="360"/>
      <c r="D737" s="361"/>
      <c r="E737" s="333"/>
      <c r="F737" s="333"/>
      <c r="G737" s="333"/>
      <c r="H737" s="333"/>
      <c r="K737" s="362"/>
      <c r="S737" s="333"/>
    </row>
    <row r="738" spans="1:19" ht="15.75" customHeight="1" x14ac:dyDescent="0.25">
      <c r="A738" s="333"/>
      <c r="C738" s="360"/>
      <c r="D738" s="361"/>
      <c r="E738" s="333"/>
      <c r="F738" s="333"/>
      <c r="G738" s="333"/>
      <c r="H738" s="333"/>
      <c r="K738" s="362"/>
      <c r="S738" s="333"/>
    </row>
    <row r="739" spans="1:19" ht="15.75" customHeight="1" x14ac:dyDescent="0.25">
      <c r="A739" s="333"/>
      <c r="C739" s="360"/>
      <c r="D739" s="361"/>
      <c r="E739" s="333"/>
      <c r="F739" s="333"/>
      <c r="G739" s="333"/>
      <c r="H739" s="333"/>
      <c r="K739" s="362"/>
      <c r="S739" s="333"/>
    </row>
    <row r="740" spans="1:19" ht="15.75" customHeight="1" x14ac:dyDescent="0.25">
      <c r="A740" s="333"/>
      <c r="C740" s="360"/>
      <c r="D740" s="361"/>
      <c r="E740" s="333"/>
      <c r="F740" s="333"/>
      <c r="G740" s="333"/>
      <c r="H740" s="333"/>
      <c r="K740" s="362"/>
      <c r="S740" s="333"/>
    </row>
    <row r="741" spans="1:19" ht="15.75" customHeight="1" x14ac:dyDescent="0.25">
      <c r="A741" s="333"/>
      <c r="C741" s="360"/>
      <c r="D741" s="361"/>
      <c r="E741" s="333"/>
      <c r="F741" s="333"/>
      <c r="G741" s="333"/>
      <c r="H741" s="333"/>
      <c r="K741" s="362"/>
      <c r="S741" s="333"/>
    </row>
    <row r="742" spans="1:19" ht="15.75" customHeight="1" x14ac:dyDescent="0.25">
      <c r="A742" s="333"/>
      <c r="C742" s="360"/>
      <c r="D742" s="361"/>
      <c r="E742" s="333"/>
      <c r="F742" s="333"/>
      <c r="G742" s="333"/>
      <c r="H742" s="333"/>
      <c r="K742" s="362"/>
      <c r="S742" s="333"/>
    </row>
    <row r="743" spans="1:19" ht="15.75" customHeight="1" x14ac:dyDescent="0.25">
      <c r="A743" s="333"/>
      <c r="C743" s="360"/>
      <c r="D743" s="361"/>
      <c r="E743" s="333"/>
      <c r="F743" s="333"/>
      <c r="G743" s="333"/>
      <c r="H743" s="333"/>
      <c r="K743" s="362"/>
      <c r="S743" s="333"/>
    </row>
    <row r="744" spans="1:19" ht="15.75" customHeight="1" x14ac:dyDescent="0.25">
      <c r="A744" s="333"/>
      <c r="C744" s="360"/>
      <c r="D744" s="361"/>
      <c r="E744" s="333"/>
      <c r="F744" s="333"/>
      <c r="G744" s="333"/>
      <c r="H744" s="333"/>
      <c r="K744" s="362"/>
      <c r="S744" s="333"/>
    </row>
    <row r="745" spans="1:19" ht="15.75" customHeight="1" x14ac:dyDescent="0.25">
      <c r="A745" s="333"/>
      <c r="C745" s="360"/>
      <c r="D745" s="361"/>
      <c r="E745" s="333"/>
      <c r="F745" s="333"/>
      <c r="G745" s="333"/>
      <c r="H745" s="333"/>
      <c r="K745" s="362"/>
      <c r="S745" s="333"/>
    </row>
    <row r="746" spans="1:19" ht="15.75" customHeight="1" x14ac:dyDescent="0.25">
      <c r="A746" s="333"/>
      <c r="C746" s="360"/>
      <c r="D746" s="361"/>
      <c r="E746" s="333"/>
      <c r="F746" s="333"/>
      <c r="G746" s="333"/>
      <c r="H746" s="333"/>
      <c r="K746" s="362"/>
      <c r="S746" s="333"/>
    </row>
    <row r="747" spans="1:19" ht="15.75" customHeight="1" x14ac:dyDescent="0.25">
      <c r="A747" s="333"/>
      <c r="C747" s="360"/>
      <c r="D747" s="361"/>
      <c r="E747" s="333"/>
      <c r="F747" s="333"/>
      <c r="G747" s="333"/>
      <c r="H747" s="333"/>
      <c r="K747" s="362"/>
      <c r="S747" s="333"/>
    </row>
    <row r="748" spans="1:19" ht="15.75" customHeight="1" x14ac:dyDescent="0.25">
      <c r="A748" s="333"/>
      <c r="C748" s="360"/>
      <c r="D748" s="361"/>
      <c r="E748" s="333"/>
      <c r="F748" s="333"/>
      <c r="G748" s="333"/>
      <c r="H748" s="333"/>
      <c r="K748" s="362"/>
      <c r="S748" s="333"/>
    </row>
    <row r="749" spans="1:19" ht="15.75" customHeight="1" x14ac:dyDescent="0.25">
      <c r="A749" s="333"/>
      <c r="C749" s="360"/>
      <c r="D749" s="361"/>
      <c r="E749" s="333"/>
      <c r="F749" s="333"/>
      <c r="G749" s="333"/>
      <c r="H749" s="333"/>
      <c r="K749" s="362"/>
      <c r="S749" s="333"/>
    </row>
    <row r="750" spans="1:19" ht="15.75" customHeight="1" x14ac:dyDescent="0.25">
      <c r="A750" s="333"/>
      <c r="C750" s="360"/>
      <c r="D750" s="361"/>
      <c r="E750" s="333"/>
      <c r="F750" s="333"/>
      <c r="G750" s="333"/>
      <c r="H750" s="333"/>
      <c r="K750" s="362"/>
      <c r="S750" s="333"/>
    </row>
    <row r="751" spans="1:19" ht="15.75" customHeight="1" x14ac:dyDescent="0.25">
      <c r="A751" s="333"/>
      <c r="C751" s="360"/>
      <c r="D751" s="361"/>
      <c r="E751" s="333"/>
      <c r="F751" s="333"/>
      <c r="G751" s="333"/>
      <c r="H751" s="333"/>
      <c r="K751" s="362"/>
      <c r="S751" s="333"/>
    </row>
    <row r="752" spans="1:19" ht="15.75" customHeight="1" x14ac:dyDescent="0.25">
      <c r="A752" s="333"/>
      <c r="C752" s="360"/>
      <c r="D752" s="361"/>
      <c r="E752" s="333"/>
      <c r="F752" s="333"/>
      <c r="G752" s="333"/>
      <c r="H752" s="333"/>
      <c r="K752" s="362"/>
      <c r="S752" s="333"/>
    </row>
    <row r="753" spans="1:19" ht="15.75" customHeight="1" x14ac:dyDescent="0.25">
      <c r="A753" s="333"/>
      <c r="C753" s="360"/>
      <c r="D753" s="361"/>
      <c r="E753" s="333"/>
      <c r="F753" s="333"/>
      <c r="G753" s="333"/>
      <c r="H753" s="333"/>
      <c r="K753" s="362"/>
      <c r="S753" s="333"/>
    </row>
    <row r="754" spans="1:19" ht="15.75" customHeight="1" x14ac:dyDescent="0.25">
      <c r="A754" s="333"/>
      <c r="C754" s="360"/>
      <c r="D754" s="361"/>
      <c r="E754" s="333"/>
      <c r="F754" s="333"/>
      <c r="G754" s="333"/>
      <c r="H754" s="333"/>
      <c r="K754" s="362"/>
      <c r="S754" s="333"/>
    </row>
    <row r="755" spans="1:19" ht="15.75" customHeight="1" x14ac:dyDescent="0.25">
      <c r="A755" s="333"/>
      <c r="C755" s="360"/>
      <c r="D755" s="361"/>
      <c r="E755" s="333"/>
      <c r="F755" s="333"/>
      <c r="G755" s="333"/>
      <c r="H755" s="333"/>
      <c r="K755" s="362"/>
      <c r="S755" s="333"/>
    </row>
    <row r="756" spans="1:19" ht="15.75" customHeight="1" x14ac:dyDescent="0.25">
      <c r="A756" s="333"/>
      <c r="C756" s="360"/>
      <c r="D756" s="361"/>
      <c r="E756" s="333"/>
      <c r="F756" s="333"/>
      <c r="G756" s="333"/>
      <c r="H756" s="333"/>
      <c r="K756" s="362"/>
      <c r="S756" s="333"/>
    </row>
    <row r="757" spans="1:19" ht="15.75" customHeight="1" x14ac:dyDescent="0.25">
      <c r="A757" s="333"/>
      <c r="C757" s="360"/>
      <c r="D757" s="361"/>
      <c r="E757" s="333"/>
      <c r="F757" s="333"/>
      <c r="G757" s="333"/>
      <c r="H757" s="333"/>
      <c r="K757" s="362"/>
      <c r="S757" s="333"/>
    </row>
    <row r="758" spans="1:19" ht="15.75" customHeight="1" x14ac:dyDescent="0.25">
      <c r="A758" s="333"/>
      <c r="C758" s="360"/>
      <c r="D758" s="361"/>
      <c r="E758" s="333"/>
      <c r="F758" s="333"/>
      <c r="G758" s="333"/>
      <c r="H758" s="333"/>
      <c r="K758" s="362"/>
      <c r="S758" s="333"/>
    </row>
    <row r="759" spans="1:19" ht="15.75" customHeight="1" x14ac:dyDescent="0.25">
      <c r="A759" s="333"/>
      <c r="C759" s="360"/>
      <c r="D759" s="361"/>
      <c r="E759" s="333"/>
      <c r="F759" s="333"/>
      <c r="G759" s="333"/>
      <c r="H759" s="333"/>
      <c r="K759" s="362"/>
      <c r="S759" s="333"/>
    </row>
    <row r="760" spans="1:19" ht="15.75" customHeight="1" x14ac:dyDescent="0.25">
      <c r="A760" s="333"/>
      <c r="C760" s="360"/>
      <c r="D760" s="361"/>
      <c r="E760" s="333"/>
      <c r="F760" s="333"/>
      <c r="G760" s="333"/>
      <c r="H760" s="333"/>
      <c r="K760" s="362"/>
      <c r="S760" s="333"/>
    </row>
    <row r="761" spans="1:19" ht="15.75" customHeight="1" x14ac:dyDescent="0.25">
      <c r="A761" s="333"/>
      <c r="C761" s="360"/>
      <c r="D761" s="361"/>
      <c r="E761" s="333"/>
      <c r="F761" s="333"/>
      <c r="G761" s="333"/>
      <c r="H761" s="333"/>
      <c r="K761" s="362"/>
      <c r="S761" s="333"/>
    </row>
    <row r="762" spans="1:19" ht="15.75" customHeight="1" x14ac:dyDescent="0.25">
      <c r="A762" s="333"/>
      <c r="C762" s="360"/>
      <c r="D762" s="361"/>
      <c r="E762" s="333"/>
      <c r="F762" s="333"/>
      <c r="G762" s="333"/>
      <c r="H762" s="333"/>
      <c r="K762" s="362"/>
      <c r="S762" s="333"/>
    </row>
    <row r="763" spans="1:19" ht="15.75" customHeight="1" x14ac:dyDescent="0.25">
      <c r="A763" s="333"/>
      <c r="C763" s="360"/>
      <c r="D763" s="361"/>
      <c r="E763" s="333"/>
      <c r="F763" s="333"/>
      <c r="G763" s="333"/>
      <c r="H763" s="333"/>
      <c r="K763" s="362"/>
      <c r="S763" s="333"/>
    </row>
    <row r="764" spans="1:19" ht="15.75" customHeight="1" x14ac:dyDescent="0.25">
      <c r="A764" s="333"/>
      <c r="C764" s="360"/>
      <c r="D764" s="361"/>
      <c r="E764" s="333"/>
      <c r="F764" s="333"/>
      <c r="G764" s="333"/>
      <c r="H764" s="333"/>
      <c r="K764" s="362"/>
      <c r="S764" s="333"/>
    </row>
    <row r="765" spans="1:19" ht="15.75" customHeight="1" x14ac:dyDescent="0.25">
      <c r="A765" s="333"/>
      <c r="C765" s="360"/>
      <c r="D765" s="361"/>
      <c r="E765" s="333"/>
      <c r="F765" s="333"/>
      <c r="G765" s="333"/>
      <c r="H765" s="333"/>
      <c r="K765" s="362"/>
      <c r="S765" s="333"/>
    </row>
    <row r="766" spans="1:19" ht="15.75" customHeight="1" x14ac:dyDescent="0.25">
      <c r="A766" s="333"/>
      <c r="C766" s="360"/>
      <c r="D766" s="361"/>
      <c r="E766" s="333"/>
      <c r="F766" s="333"/>
      <c r="G766" s="333"/>
      <c r="H766" s="333"/>
      <c r="K766" s="362"/>
      <c r="S766" s="333"/>
    </row>
    <row r="767" spans="1:19" ht="15.75" customHeight="1" x14ac:dyDescent="0.25">
      <c r="A767" s="333"/>
      <c r="C767" s="360"/>
      <c r="D767" s="361"/>
      <c r="E767" s="333"/>
      <c r="F767" s="333"/>
      <c r="G767" s="333"/>
      <c r="H767" s="333"/>
      <c r="K767" s="362"/>
      <c r="S767" s="333"/>
    </row>
    <row r="768" spans="1:19" ht="15.75" customHeight="1" x14ac:dyDescent="0.25">
      <c r="A768" s="333"/>
      <c r="C768" s="360"/>
      <c r="D768" s="361"/>
      <c r="E768" s="333"/>
      <c r="F768" s="333"/>
      <c r="G768" s="333"/>
      <c r="H768" s="333"/>
      <c r="K768" s="362"/>
      <c r="S768" s="333"/>
    </row>
    <row r="769" spans="1:19" ht="15.75" customHeight="1" x14ac:dyDescent="0.25">
      <c r="A769" s="333"/>
      <c r="C769" s="360"/>
      <c r="D769" s="361"/>
      <c r="E769" s="333"/>
      <c r="F769" s="333"/>
      <c r="G769" s="333"/>
      <c r="H769" s="333"/>
      <c r="K769" s="362"/>
      <c r="S769" s="333"/>
    </row>
    <row r="770" spans="1:19" ht="15.75" customHeight="1" x14ac:dyDescent="0.25">
      <c r="A770" s="333"/>
      <c r="C770" s="360"/>
      <c r="D770" s="361"/>
      <c r="E770" s="333"/>
      <c r="F770" s="333"/>
      <c r="G770" s="333"/>
      <c r="H770" s="333"/>
      <c r="K770" s="362"/>
      <c r="S770" s="333"/>
    </row>
    <row r="771" spans="1:19" ht="15.75" customHeight="1" x14ac:dyDescent="0.25">
      <c r="A771" s="333"/>
      <c r="C771" s="360"/>
      <c r="D771" s="361"/>
      <c r="E771" s="333"/>
      <c r="F771" s="333"/>
      <c r="G771" s="333"/>
      <c r="H771" s="333"/>
      <c r="K771" s="362"/>
      <c r="S771" s="333"/>
    </row>
    <row r="772" spans="1:19" ht="15.75" customHeight="1" x14ac:dyDescent="0.25">
      <c r="A772" s="333"/>
      <c r="C772" s="360"/>
      <c r="D772" s="361"/>
      <c r="E772" s="333"/>
      <c r="F772" s="333"/>
      <c r="G772" s="333"/>
      <c r="H772" s="333"/>
      <c r="K772" s="362"/>
      <c r="S772" s="333"/>
    </row>
    <row r="773" spans="1:19" ht="15.75" customHeight="1" x14ac:dyDescent="0.25">
      <c r="A773" s="333"/>
      <c r="C773" s="360"/>
      <c r="D773" s="361"/>
      <c r="E773" s="333"/>
      <c r="F773" s="333"/>
      <c r="G773" s="333"/>
      <c r="H773" s="333"/>
      <c r="K773" s="362"/>
      <c r="S773" s="333"/>
    </row>
    <row r="774" spans="1:19" ht="15.75" customHeight="1" x14ac:dyDescent="0.25">
      <c r="A774" s="333"/>
      <c r="C774" s="360"/>
      <c r="D774" s="361"/>
      <c r="E774" s="333"/>
      <c r="F774" s="333"/>
      <c r="G774" s="333"/>
      <c r="H774" s="333"/>
      <c r="K774" s="362"/>
      <c r="S774" s="333"/>
    </row>
    <row r="775" spans="1:19" ht="15.75" customHeight="1" x14ac:dyDescent="0.25">
      <c r="A775" s="333"/>
      <c r="C775" s="360"/>
      <c r="D775" s="361"/>
      <c r="E775" s="333"/>
      <c r="F775" s="333"/>
      <c r="G775" s="333"/>
      <c r="H775" s="333"/>
      <c r="K775" s="362"/>
      <c r="S775" s="333"/>
    </row>
    <row r="776" spans="1:19" ht="15.75" customHeight="1" x14ac:dyDescent="0.25">
      <c r="A776" s="333"/>
      <c r="C776" s="360"/>
      <c r="D776" s="361"/>
      <c r="E776" s="333"/>
      <c r="F776" s="333"/>
      <c r="G776" s="333"/>
      <c r="H776" s="333"/>
      <c r="K776" s="362"/>
      <c r="S776" s="333"/>
    </row>
    <row r="777" spans="1:19" ht="15.75" customHeight="1" x14ac:dyDescent="0.25">
      <c r="A777" s="333"/>
      <c r="C777" s="360"/>
      <c r="D777" s="361"/>
      <c r="E777" s="333"/>
      <c r="F777" s="333"/>
      <c r="G777" s="333"/>
      <c r="H777" s="333"/>
      <c r="K777" s="362"/>
      <c r="S777" s="333"/>
    </row>
    <row r="778" spans="1:19" ht="15.75" customHeight="1" x14ac:dyDescent="0.25">
      <c r="A778" s="333"/>
      <c r="C778" s="360"/>
      <c r="D778" s="361"/>
      <c r="E778" s="333"/>
      <c r="F778" s="333"/>
      <c r="G778" s="333"/>
      <c r="H778" s="333"/>
      <c r="K778" s="362"/>
      <c r="S778" s="333"/>
    </row>
    <row r="779" spans="1:19" ht="15.75" customHeight="1" x14ac:dyDescent="0.25">
      <c r="A779" s="333"/>
      <c r="C779" s="360"/>
      <c r="D779" s="361"/>
      <c r="E779" s="333"/>
      <c r="F779" s="333"/>
      <c r="G779" s="333"/>
      <c r="H779" s="333"/>
      <c r="K779" s="362"/>
      <c r="S779" s="333"/>
    </row>
    <row r="780" spans="1:19" ht="15.75" customHeight="1" x14ac:dyDescent="0.25">
      <c r="A780" s="333"/>
      <c r="C780" s="360"/>
      <c r="D780" s="361"/>
      <c r="E780" s="333"/>
      <c r="F780" s="333"/>
      <c r="G780" s="333"/>
      <c r="H780" s="333"/>
      <c r="K780" s="362"/>
      <c r="S780" s="333"/>
    </row>
    <row r="781" spans="1:19" ht="15.75" customHeight="1" x14ac:dyDescent="0.25">
      <c r="A781" s="333"/>
      <c r="C781" s="360"/>
      <c r="D781" s="361"/>
      <c r="E781" s="333"/>
      <c r="F781" s="333"/>
      <c r="G781" s="333"/>
      <c r="H781" s="333"/>
      <c r="K781" s="362"/>
      <c r="S781" s="333"/>
    </row>
    <row r="782" spans="1:19" ht="15.75" customHeight="1" x14ac:dyDescent="0.25">
      <c r="A782" s="333"/>
      <c r="C782" s="360"/>
      <c r="D782" s="361"/>
      <c r="E782" s="333"/>
      <c r="F782" s="333"/>
      <c r="G782" s="333"/>
      <c r="H782" s="333"/>
      <c r="K782" s="362"/>
      <c r="S782" s="333"/>
    </row>
    <row r="783" spans="1:19" ht="15.75" customHeight="1" x14ac:dyDescent="0.25">
      <c r="A783" s="333"/>
      <c r="C783" s="360"/>
      <c r="D783" s="361"/>
      <c r="E783" s="333"/>
      <c r="F783" s="333"/>
      <c r="G783" s="333"/>
      <c r="H783" s="333"/>
      <c r="K783" s="362"/>
      <c r="S783" s="333"/>
    </row>
    <row r="784" spans="1:19" ht="15.75" customHeight="1" x14ac:dyDescent="0.25">
      <c r="A784" s="333"/>
      <c r="C784" s="360"/>
      <c r="D784" s="361"/>
      <c r="E784" s="333"/>
      <c r="F784" s="333"/>
      <c r="G784" s="333"/>
      <c r="H784" s="333"/>
      <c r="K784" s="362"/>
      <c r="S784" s="333"/>
    </row>
    <row r="785" spans="1:19" ht="15.75" customHeight="1" x14ac:dyDescent="0.25">
      <c r="A785" s="333"/>
      <c r="C785" s="360"/>
      <c r="D785" s="361"/>
      <c r="E785" s="333"/>
      <c r="F785" s="333"/>
      <c r="G785" s="333"/>
      <c r="H785" s="333"/>
      <c r="K785" s="362"/>
      <c r="S785" s="333"/>
    </row>
    <row r="786" spans="1:19" ht="15.75" customHeight="1" x14ac:dyDescent="0.25">
      <c r="A786" s="333"/>
      <c r="C786" s="360"/>
      <c r="D786" s="361"/>
      <c r="E786" s="333"/>
      <c r="F786" s="333"/>
      <c r="G786" s="333"/>
      <c r="H786" s="333"/>
      <c r="K786" s="362"/>
      <c r="S786" s="333"/>
    </row>
    <row r="787" spans="1:19" ht="15.75" customHeight="1" x14ac:dyDescent="0.25">
      <c r="A787" s="333"/>
      <c r="C787" s="360"/>
      <c r="D787" s="361"/>
      <c r="E787" s="333"/>
      <c r="F787" s="333"/>
      <c r="G787" s="333"/>
      <c r="H787" s="333"/>
      <c r="K787" s="362"/>
      <c r="S787" s="333"/>
    </row>
    <row r="788" spans="1:19" ht="15.75" customHeight="1" x14ac:dyDescent="0.25">
      <c r="A788" s="333"/>
      <c r="C788" s="360"/>
      <c r="D788" s="361"/>
      <c r="E788" s="333"/>
      <c r="F788" s="333"/>
      <c r="G788" s="333"/>
      <c r="H788" s="333"/>
      <c r="K788" s="362"/>
      <c r="S788" s="333"/>
    </row>
    <row r="789" spans="1:19" ht="15.75" customHeight="1" x14ac:dyDescent="0.25">
      <c r="A789" s="333"/>
      <c r="C789" s="360"/>
      <c r="D789" s="361"/>
      <c r="E789" s="333"/>
      <c r="F789" s="333"/>
      <c r="G789" s="333"/>
      <c r="H789" s="333"/>
      <c r="K789" s="362"/>
      <c r="S789" s="333"/>
    </row>
    <row r="790" spans="1:19" ht="15.75" customHeight="1" x14ac:dyDescent="0.25">
      <c r="A790" s="333"/>
      <c r="C790" s="360"/>
      <c r="D790" s="361"/>
      <c r="E790" s="333"/>
      <c r="F790" s="333"/>
      <c r="G790" s="333"/>
      <c r="H790" s="333"/>
      <c r="K790" s="362"/>
      <c r="S790" s="333"/>
    </row>
    <row r="791" spans="1:19" ht="15.75" customHeight="1" x14ac:dyDescent="0.25">
      <c r="A791" s="333"/>
      <c r="C791" s="360"/>
      <c r="D791" s="361"/>
      <c r="E791" s="333"/>
      <c r="F791" s="333"/>
      <c r="G791" s="333"/>
      <c r="H791" s="333"/>
      <c r="K791" s="362"/>
      <c r="S791" s="333"/>
    </row>
    <row r="792" spans="1:19" ht="15.75" customHeight="1" x14ac:dyDescent="0.25">
      <c r="A792" s="333"/>
      <c r="C792" s="360"/>
      <c r="D792" s="361"/>
      <c r="E792" s="333"/>
      <c r="F792" s="333"/>
      <c r="G792" s="333"/>
      <c r="H792" s="333"/>
      <c r="K792" s="362"/>
      <c r="S792" s="333"/>
    </row>
    <row r="793" spans="1:19" ht="15.75" customHeight="1" x14ac:dyDescent="0.25">
      <c r="A793" s="333"/>
      <c r="C793" s="360"/>
      <c r="D793" s="361"/>
      <c r="E793" s="333"/>
      <c r="F793" s="333"/>
      <c r="G793" s="333"/>
      <c r="H793" s="333"/>
      <c r="K793" s="362"/>
      <c r="S793" s="333"/>
    </row>
    <row r="794" spans="1:19" ht="15.75" customHeight="1" x14ac:dyDescent="0.25">
      <c r="A794" s="333"/>
      <c r="C794" s="360"/>
      <c r="D794" s="361"/>
      <c r="E794" s="333"/>
      <c r="F794" s="333"/>
      <c r="G794" s="333"/>
      <c r="H794" s="333"/>
      <c r="K794" s="362"/>
      <c r="S794" s="333"/>
    </row>
    <row r="795" spans="1:19" ht="15.75" customHeight="1" x14ac:dyDescent="0.25">
      <c r="A795" s="333"/>
      <c r="C795" s="360"/>
      <c r="D795" s="361"/>
      <c r="E795" s="333"/>
      <c r="F795" s="333"/>
      <c r="G795" s="333"/>
      <c r="H795" s="333"/>
      <c r="K795" s="362"/>
      <c r="S795" s="333"/>
    </row>
    <row r="796" spans="1:19" ht="15.75" customHeight="1" x14ac:dyDescent="0.25">
      <c r="A796" s="333"/>
      <c r="C796" s="360"/>
      <c r="D796" s="361"/>
      <c r="E796" s="333"/>
      <c r="F796" s="333"/>
      <c r="G796" s="333"/>
      <c r="H796" s="333"/>
      <c r="K796" s="362"/>
      <c r="S796" s="333"/>
    </row>
    <row r="797" spans="1:19" ht="15.75" customHeight="1" x14ac:dyDescent="0.25">
      <c r="A797" s="333"/>
      <c r="C797" s="360"/>
      <c r="D797" s="361"/>
      <c r="E797" s="333"/>
      <c r="F797" s="333"/>
      <c r="G797" s="333"/>
      <c r="H797" s="333"/>
      <c r="K797" s="362"/>
      <c r="S797" s="333"/>
    </row>
    <row r="798" spans="1:19" ht="15.75" customHeight="1" x14ac:dyDescent="0.25">
      <c r="A798" s="333"/>
      <c r="C798" s="360"/>
      <c r="D798" s="361"/>
      <c r="E798" s="333"/>
      <c r="F798" s="333"/>
      <c r="G798" s="333"/>
      <c r="H798" s="333"/>
      <c r="K798" s="362"/>
      <c r="S798" s="333"/>
    </row>
    <row r="799" spans="1:19" ht="15.75" customHeight="1" x14ac:dyDescent="0.25">
      <c r="A799" s="333"/>
      <c r="C799" s="360"/>
      <c r="D799" s="361"/>
      <c r="E799" s="333"/>
      <c r="F799" s="333"/>
      <c r="G799" s="333"/>
      <c r="H799" s="333"/>
      <c r="K799" s="362"/>
      <c r="S799" s="333"/>
    </row>
    <row r="800" spans="1:19" ht="15.75" customHeight="1" x14ac:dyDescent="0.25">
      <c r="A800" s="333"/>
      <c r="C800" s="360"/>
      <c r="D800" s="361"/>
      <c r="E800" s="333"/>
      <c r="F800" s="333"/>
      <c r="G800" s="333"/>
      <c r="H800" s="333"/>
      <c r="K800" s="362"/>
      <c r="S800" s="333"/>
    </row>
    <row r="801" spans="1:19" ht="15.75" customHeight="1" x14ac:dyDescent="0.25">
      <c r="A801" s="333"/>
      <c r="C801" s="360"/>
      <c r="D801" s="361"/>
      <c r="E801" s="333"/>
      <c r="F801" s="333"/>
      <c r="G801" s="333"/>
      <c r="H801" s="333"/>
      <c r="K801" s="362"/>
      <c r="S801" s="333"/>
    </row>
    <row r="802" spans="1:19" ht="15.75" customHeight="1" x14ac:dyDescent="0.25">
      <c r="A802" s="333"/>
      <c r="C802" s="360"/>
      <c r="D802" s="361"/>
      <c r="E802" s="333"/>
      <c r="F802" s="333"/>
      <c r="G802" s="333"/>
      <c r="H802" s="333"/>
      <c r="K802" s="362"/>
      <c r="S802" s="333"/>
    </row>
    <row r="803" spans="1:19" ht="15.75" customHeight="1" x14ac:dyDescent="0.25">
      <c r="A803" s="333"/>
      <c r="C803" s="360"/>
      <c r="D803" s="361"/>
      <c r="E803" s="333"/>
      <c r="F803" s="333"/>
      <c r="G803" s="333"/>
      <c r="H803" s="333"/>
      <c r="K803" s="362"/>
      <c r="S803" s="333"/>
    </row>
    <row r="804" spans="1:19" ht="15.75" customHeight="1" x14ac:dyDescent="0.25">
      <c r="A804" s="333"/>
      <c r="C804" s="360"/>
      <c r="D804" s="361"/>
      <c r="E804" s="333"/>
      <c r="F804" s="333"/>
      <c r="G804" s="333"/>
      <c r="H804" s="333"/>
      <c r="K804" s="362"/>
      <c r="S804" s="333"/>
    </row>
    <row r="805" spans="1:19" ht="15.75" customHeight="1" x14ac:dyDescent="0.25">
      <c r="A805" s="333"/>
      <c r="C805" s="360"/>
      <c r="D805" s="361"/>
      <c r="E805" s="333"/>
      <c r="F805" s="333"/>
      <c r="G805" s="333"/>
      <c r="H805" s="333"/>
      <c r="K805" s="362"/>
      <c r="S805" s="333"/>
    </row>
    <row r="806" spans="1:19" ht="15.75" customHeight="1" x14ac:dyDescent="0.25">
      <c r="A806" s="333"/>
      <c r="C806" s="360"/>
      <c r="D806" s="361"/>
      <c r="E806" s="333"/>
      <c r="F806" s="333"/>
      <c r="G806" s="333"/>
      <c r="H806" s="333"/>
      <c r="K806" s="362"/>
      <c r="S806" s="333"/>
    </row>
    <row r="807" spans="1:19" ht="15.75" customHeight="1" x14ac:dyDescent="0.25">
      <c r="A807" s="333"/>
      <c r="C807" s="360"/>
      <c r="D807" s="361"/>
      <c r="E807" s="333"/>
      <c r="F807" s="333"/>
      <c r="G807" s="333"/>
      <c r="H807" s="333"/>
      <c r="K807" s="362"/>
      <c r="S807" s="333"/>
    </row>
    <row r="808" spans="1:19" ht="15.75" customHeight="1" x14ac:dyDescent="0.25">
      <c r="A808" s="333"/>
      <c r="C808" s="360"/>
      <c r="D808" s="361"/>
      <c r="E808" s="333"/>
      <c r="F808" s="333"/>
      <c r="G808" s="333"/>
      <c r="H808" s="333"/>
      <c r="K808" s="362"/>
      <c r="S808" s="333"/>
    </row>
    <row r="809" spans="1:19" ht="15.75" customHeight="1" x14ac:dyDescent="0.25">
      <c r="A809" s="333"/>
      <c r="C809" s="360"/>
      <c r="D809" s="361"/>
      <c r="E809" s="333"/>
      <c r="F809" s="333"/>
      <c r="G809" s="333"/>
      <c r="H809" s="333"/>
      <c r="K809" s="362"/>
      <c r="S809" s="333"/>
    </row>
    <row r="810" spans="1:19" ht="15.75" customHeight="1" x14ac:dyDescent="0.25">
      <c r="A810" s="333"/>
      <c r="C810" s="360"/>
      <c r="D810" s="361"/>
      <c r="E810" s="333"/>
      <c r="F810" s="333"/>
      <c r="G810" s="333"/>
      <c r="H810" s="333"/>
      <c r="K810" s="362"/>
      <c r="S810" s="333"/>
    </row>
    <row r="811" spans="1:19" ht="15.75" customHeight="1" x14ac:dyDescent="0.25">
      <c r="A811" s="333"/>
      <c r="C811" s="360"/>
      <c r="D811" s="361"/>
      <c r="E811" s="333"/>
      <c r="F811" s="333"/>
      <c r="G811" s="333"/>
      <c r="H811" s="333"/>
      <c r="K811" s="362"/>
      <c r="S811" s="333"/>
    </row>
    <row r="812" spans="1:19" ht="15.75" customHeight="1" x14ac:dyDescent="0.25">
      <c r="A812" s="333"/>
      <c r="C812" s="360"/>
      <c r="D812" s="361"/>
      <c r="E812" s="333"/>
      <c r="F812" s="333"/>
      <c r="G812" s="333"/>
      <c r="H812" s="333"/>
      <c r="K812" s="362"/>
      <c r="S812" s="333"/>
    </row>
    <row r="813" spans="1:19" ht="15.75" customHeight="1" x14ac:dyDescent="0.25">
      <c r="A813" s="333"/>
      <c r="C813" s="360"/>
      <c r="D813" s="361"/>
      <c r="E813" s="333"/>
      <c r="F813" s="333"/>
      <c r="G813" s="333"/>
      <c r="H813" s="333"/>
      <c r="K813" s="362"/>
      <c r="S813" s="333"/>
    </row>
    <row r="814" spans="1:19" ht="15.75" customHeight="1" x14ac:dyDescent="0.25">
      <c r="A814" s="333"/>
      <c r="C814" s="360"/>
      <c r="D814" s="361"/>
      <c r="E814" s="333"/>
      <c r="F814" s="333"/>
      <c r="G814" s="333"/>
      <c r="H814" s="333"/>
      <c r="K814" s="362"/>
      <c r="S814" s="333"/>
    </row>
    <row r="815" spans="1:19" ht="15.75" customHeight="1" x14ac:dyDescent="0.25">
      <c r="A815" s="333"/>
      <c r="C815" s="360"/>
      <c r="D815" s="361"/>
      <c r="E815" s="333"/>
      <c r="F815" s="333"/>
      <c r="G815" s="333"/>
      <c r="H815" s="333"/>
      <c r="K815" s="362"/>
      <c r="S815" s="333"/>
    </row>
    <row r="816" spans="1:19" ht="15.75" customHeight="1" x14ac:dyDescent="0.25">
      <c r="A816" s="333"/>
      <c r="C816" s="360"/>
      <c r="D816" s="361"/>
      <c r="E816" s="333"/>
      <c r="F816" s="333"/>
      <c r="G816" s="333"/>
      <c r="H816" s="333"/>
      <c r="K816" s="362"/>
      <c r="S816" s="333"/>
    </row>
    <row r="817" spans="1:19" ht="15.75" customHeight="1" x14ac:dyDescent="0.25">
      <c r="A817" s="333"/>
      <c r="C817" s="360"/>
      <c r="D817" s="361"/>
      <c r="E817" s="333"/>
      <c r="F817" s="333"/>
      <c r="G817" s="333"/>
      <c r="H817" s="333"/>
      <c r="K817" s="362"/>
      <c r="S817" s="333"/>
    </row>
    <row r="818" spans="1:19" ht="15.75" customHeight="1" x14ac:dyDescent="0.25">
      <c r="A818" s="333"/>
      <c r="C818" s="360"/>
      <c r="D818" s="361"/>
      <c r="E818" s="333"/>
      <c r="F818" s="333"/>
      <c r="G818" s="333"/>
      <c r="H818" s="333"/>
      <c r="K818" s="362"/>
      <c r="S818" s="333"/>
    </row>
    <row r="819" spans="1:19" ht="15.75" customHeight="1" x14ac:dyDescent="0.25">
      <c r="A819" s="333"/>
      <c r="C819" s="360"/>
      <c r="D819" s="361"/>
      <c r="E819" s="333"/>
      <c r="F819" s="333"/>
      <c r="G819" s="333"/>
      <c r="H819" s="333"/>
      <c r="K819" s="362"/>
      <c r="S819" s="333"/>
    </row>
    <row r="820" spans="1:19" ht="15.75" customHeight="1" x14ac:dyDescent="0.25">
      <c r="A820" s="333"/>
      <c r="C820" s="360"/>
      <c r="D820" s="361"/>
      <c r="E820" s="333"/>
      <c r="F820" s="333"/>
      <c r="G820" s="333"/>
      <c r="H820" s="333"/>
      <c r="K820" s="362"/>
      <c r="S820" s="333"/>
    </row>
    <row r="821" spans="1:19" ht="15.75" customHeight="1" x14ac:dyDescent="0.25">
      <c r="A821" s="333"/>
      <c r="C821" s="360"/>
      <c r="D821" s="361"/>
      <c r="E821" s="333"/>
      <c r="F821" s="333"/>
      <c r="G821" s="333"/>
      <c r="H821" s="333"/>
      <c r="K821" s="362"/>
      <c r="S821" s="333"/>
    </row>
    <row r="822" spans="1:19" ht="15.75" customHeight="1" x14ac:dyDescent="0.25">
      <c r="A822" s="333"/>
      <c r="C822" s="360"/>
      <c r="D822" s="361"/>
      <c r="E822" s="333"/>
      <c r="F822" s="333"/>
      <c r="G822" s="333"/>
      <c r="H822" s="333"/>
      <c r="K822" s="362"/>
      <c r="S822" s="333"/>
    </row>
    <row r="823" spans="1:19" ht="15.75" customHeight="1" x14ac:dyDescent="0.25">
      <c r="A823" s="333"/>
      <c r="C823" s="360"/>
      <c r="D823" s="361"/>
      <c r="E823" s="333"/>
      <c r="F823" s="333"/>
      <c r="G823" s="333"/>
      <c r="H823" s="333"/>
      <c r="K823" s="362"/>
      <c r="S823" s="333"/>
    </row>
    <row r="824" spans="1:19" ht="15.75" customHeight="1" x14ac:dyDescent="0.25">
      <c r="A824" s="333"/>
      <c r="C824" s="360"/>
      <c r="D824" s="361"/>
      <c r="E824" s="333"/>
      <c r="F824" s="333"/>
      <c r="G824" s="333"/>
      <c r="H824" s="333"/>
      <c r="K824" s="362"/>
      <c r="S824" s="333"/>
    </row>
    <row r="825" spans="1:19" ht="15.75" customHeight="1" x14ac:dyDescent="0.25">
      <c r="A825" s="333"/>
      <c r="C825" s="360"/>
      <c r="D825" s="361"/>
      <c r="E825" s="333"/>
      <c r="F825" s="333"/>
      <c r="G825" s="333"/>
      <c r="H825" s="333"/>
      <c r="K825" s="362"/>
      <c r="S825" s="333"/>
    </row>
    <row r="826" spans="1:19" ht="15.75" customHeight="1" x14ac:dyDescent="0.25">
      <c r="A826" s="333"/>
      <c r="C826" s="360"/>
      <c r="D826" s="361"/>
      <c r="E826" s="333"/>
      <c r="F826" s="333"/>
      <c r="G826" s="333"/>
      <c r="H826" s="333"/>
      <c r="K826" s="362"/>
      <c r="S826" s="333"/>
    </row>
    <row r="827" spans="1:19" ht="15.75" customHeight="1" x14ac:dyDescent="0.25">
      <c r="A827" s="333"/>
      <c r="C827" s="360"/>
      <c r="D827" s="361"/>
      <c r="E827" s="333"/>
      <c r="F827" s="333"/>
      <c r="G827" s="333"/>
      <c r="H827" s="333"/>
      <c r="K827" s="362"/>
      <c r="S827" s="333"/>
    </row>
    <row r="828" spans="1:19" ht="15.75" customHeight="1" x14ac:dyDescent="0.25">
      <c r="A828" s="333"/>
      <c r="C828" s="360"/>
      <c r="D828" s="361"/>
      <c r="E828" s="333"/>
      <c r="F828" s="333"/>
      <c r="G828" s="333"/>
      <c r="H828" s="333"/>
      <c r="K828" s="362"/>
      <c r="S828" s="333"/>
    </row>
    <row r="829" spans="1:19" ht="15.75" customHeight="1" x14ac:dyDescent="0.25">
      <c r="A829" s="333"/>
      <c r="C829" s="360"/>
      <c r="D829" s="361"/>
      <c r="E829" s="333"/>
      <c r="F829" s="333"/>
      <c r="G829" s="333"/>
      <c r="H829" s="333"/>
      <c r="K829" s="362"/>
      <c r="S829" s="333"/>
    </row>
    <row r="830" spans="1:19" ht="15.75" customHeight="1" x14ac:dyDescent="0.25">
      <c r="A830" s="333"/>
      <c r="C830" s="360"/>
      <c r="D830" s="361"/>
      <c r="E830" s="333"/>
      <c r="F830" s="333"/>
      <c r="G830" s="333"/>
      <c r="H830" s="333"/>
      <c r="K830" s="362"/>
      <c r="S830" s="333"/>
    </row>
    <row r="831" spans="1:19" ht="15.75" customHeight="1" x14ac:dyDescent="0.25">
      <c r="A831" s="333"/>
      <c r="C831" s="360"/>
      <c r="D831" s="361"/>
      <c r="E831" s="333"/>
      <c r="F831" s="333"/>
      <c r="G831" s="333"/>
      <c r="H831" s="333"/>
      <c r="K831" s="362"/>
      <c r="S831" s="333"/>
    </row>
    <row r="832" spans="1:19" ht="15.75" customHeight="1" x14ac:dyDescent="0.25">
      <c r="A832" s="333"/>
      <c r="C832" s="360"/>
      <c r="D832" s="361"/>
      <c r="E832" s="333"/>
      <c r="F832" s="333"/>
      <c r="G832" s="333"/>
      <c r="H832" s="333"/>
      <c r="K832" s="362"/>
      <c r="S832" s="333"/>
    </row>
    <row r="833" spans="1:19" ht="15.75" customHeight="1" x14ac:dyDescent="0.25">
      <c r="A833" s="333"/>
      <c r="C833" s="360"/>
      <c r="D833" s="361"/>
      <c r="E833" s="333"/>
      <c r="F833" s="333"/>
      <c r="G833" s="333"/>
      <c r="H833" s="333"/>
      <c r="K833" s="362"/>
      <c r="S833" s="333"/>
    </row>
    <row r="834" spans="1:19" ht="15.75" customHeight="1" x14ac:dyDescent="0.25">
      <c r="A834" s="333"/>
      <c r="C834" s="360"/>
      <c r="D834" s="361"/>
      <c r="E834" s="333"/>
      <c r="F834" s="333"/>
      <c r="G834" s="333"/>
      <c r="H834" s="333"/>
      <c r="K834" s="362"/>
      <c r="S834" s="333"/>
    </row>
    <row r="835" spans="1:19" ht="15.75" customHeight="1" x14ac:dyDescent="0.25">
      <c r="A835" s="333"/>
      <c r="C835" s="360"/>
      <c r="D835" s="361"/>
      <c r="E835" s="333"/>
      <c r="F835" s="333"/>
      <c r="G835" s="333"/>
      <c r="H835" s="333"/>
      <c r="K835" s="362"/>
      <c r="S835" s="333"/>
    </row>
    <row r="836" spans="1:19" ht="15.75" customHeight="1" x14ac:dyDescent="0.25">
      <c r="A836" s="333"/>
      <c r="C836" s="360"/>
      <c r="D836" s="361"/>
      <c r="E836" s="333"/>
      <c r="F836" s="333"/>
      <c r="G836" s="333"/>
      <c r="H836" s="333"/>
      <c r="K836" s="362"/>
      <c r="S836" s="333"/>
    </row>
    <row r="837" spans="1:19" ht="15.75" customHeight="1" x14ac:dyDescent="0.25">
      <c r="A837" s="333"/>
      <c r="C837" s="360"/>
      <c r="D837" s="361"/>
      <c r="E837" s="333"/>
      <c r="F837" s="333"/>
      <c r="G837" s="333"/>
      <c r="H837" s="333"/>
      <c r="K837" s="362"/>
      <c r="S837" s="333"/>
    </row>
    <row r="838" spans="1:19" ht="15.75" customHeight="1" x14ac:dyDescent="0.25">
      <c r="A838" s="333"/>
      <c r="C838" s="360"/>
      <c r="D838" s="361"/>
      <c r="E838" s="333"/>
      <c r="F838" s="333"/>
      <c r="G838" s="333"/>
      <c r="H838" s="333"/>
      <c r="K838" s="362"/>
      <c r="S838" s="333"/>
    </row>
    <row r="839" spans="1:19" ht="15.75" customHeight="1" x14ac:dyDescent="0.25">
      <c r="A839" s="333"/>
      <c r="C839" s="360"/>
      <c r="D839" s="361"/>
      <c r="E839" s="333"/>
      <c r="F839" s="333"/>
      <c r="G839" s="333"/>
      <c r="H839" s="333"/>
      <c r="K839" s="362"/>
      <c r="S839" s="333"/>
    </row>
    <row r="840" spans="1:19" ht="15.75" customHeight="1" x14ac:dyDescent="0.25">
      <c r="A840" s="333"/>
      <c r="C840" s="360"/>
      <c r="D840" s="361"/>
      <c r="E840" s="333"/>
      <c r="F840" s="333"/>
      <c r="G840" s="333"/>
      <c r="H840" s="333"/>
      <c r="K840" s="362"/>
      <c r="S840" s="333"/>
    </row>
    <row r="841" spans="1:19" ht="15.75" customHeight="1" x14ac:dyDescent="0.25">
      <c r="A841" s="333"/>
      <c r="C841" s="360"/>
      <c r="D841" s="361"/>
      <c r="E841" s="333"/>
      <c r="F841" s="333"/>
      <c r="G841" s="333"/>
      <c r="H841" s="333"/>
      <c r="K841" s="362"/>
      <c r="S841" s="333"/>
    </row>
    <row r="842" spans="1:19" ht="15.75" customHeight="1" x14ac:dyDescent="0.25">
      <c r="A842" s="333"/>
      <c r="C842" s="360"/>
      <c r="D842" s="361"/>
      <c r="E842" s="333"/>
      <c r="F842" s="333"/>
      <c r="G842" s="333"/>
      <c r="H842" s="333"/>
      <c r="K842" s="362"/>
      <c r="S842" s="333"/>
    </row>
    <row r="843" spans="1:19" ht="15.75" customHeight="1" x14ac:dyDescent="0.25">
      <c r="A843" s="333"/>
      <c r="C843" s="360"/>
      <c r="D843" s="361"/>
      <c r="E843" s="333"/>
      <c r="F843" s="333"/>
      <c r="G843" s="333"/>
      <c r="H843" s="333"/>
      <c r="K843" s="362"/>
      <c r="S843" s="333"/>
    </row>
    <row r="844" spans="1:19" ht="15.75" customHeight="1" x14ac:dyDescent="0.25">
      <c r="A844" s="333"/>
      <c r="C844" s="360"/>
      <c r="D844" s="361"/>
      <c r="E844" s="333"/>
      <c r="F844" s="333"/>
      <c r="G844" s="333"/>
      <c r="H844" s="333"/>
      <c r="K844" s="362"/>
      <c r="S844" s="333"/>
    </row>
    <row r="845" spans="1:19" ht="15.75" customHeight="1" x14ac:dyDescent="0.25">
      <c r="A845" s="333"/>
      <c r="C845" s="360"/>
      <c r="D845" s="361"/>
      <c r="E845" s="333"/>
      <c r="F845" s="333"/>
      <c r="G845" s="333"/>
      <c r="H845" s="333"/>
      <c r="K845" s="362"/>
      <c r="S845" s="333"/>
    </row>
    <row r="846" spans="1:19" ht="15.75" customHeight="1" x14ac:dyDescent="0.25">
      <c r="A846" s="333"/>
      <c r="C846" s="360"/>
      <c r="D846" s="361"/>
      <c r="E846" s="333"/>
      <c r="F846" s="333"/>
      <c r="G846" s="333"/>
      <c r="H846" s="333"/>
      <c r="K846" s="362"/>
      <c r="S846" s="333"/>
    </row>
    <row r="847" spans="1:19" ht="15.75" customHeight="1" x14ac:dyDescent="0.25">
      <c r="A847" s="333"/>
      <c r="C847" s="360"/>
      <c r="D847" s="361"/>
      <c r="E847" s="333"/>
      <c r="F847" s="333"/>
      <c r="G847" s="333"/>
      <c r="H847" s="333"/>
      <c r="K847" s="362"/>
      <c r="S847" s="333"/>
    </row>
    <row r="848" spans="1:19" ht="15.75" customHeight="1" x14ac:dyDescent="0.25">
      <c r="A848" s="333"/>
      <c r="C848" s="360"/>
      <c r="D848" s="361"/>
      <c r="E848" s="333"/>
      <c r="F848" s="333"/>
      <c r="G848" s="333"/>
      <c r="H848" s="333"/>
      <c r="K848" s="362"/>
      <c r="S848" s="333"/>
    </row>
    <row r="849" spans="1:19" ht="15.75" customHeight="1" x14ac:dyDescent="0.25">
      <c r="A849" s="333"/>
      <c r="C849" s="360"/>
      <c r="D849" s="361"/>
      <c r="E849" s="333"/>
      <c r="F849" s="333"/>
      <c r="G849" s="333"/>
      <c r="H849" s="333"/>
      <c r="K849" s="362"/>
      <c r="S849" s="333"/>
    </row>
    <row r="850" spans="1:19" ht="15.75" customHeight="1" x14ac:dyDescent="0.25">
      <c r="A850" s="333"/>
      <c r="C850" s="360"/>
      <c r="D850" s="361"/>
      <c r="E850" s="333"/>
      <c r="F850" s="333"/>
      <c r="G850" s="333"/>
      <c r="H850" s="333"/>
      <c r="K850" s="362"/>
      <c r="S850" s="333"/>
    </row>
    <row r="851" spans="1:19" ht="15.75" customHeight="1" x14ac:dyDescent="0.25">
      <c r="A851" s="333"/>
      <c r="C851" s="360"/>
      <c r="D851" s="361"/>
      <c r="E851" s="333"/>
      <c r="F851" s="333"/>
      <c r="G851" s="333"/>
      <c r="H851" s="333"/>
      <c r="K851" s="362"/>
      <c r="S851" s="333"/>
    </row>
    <row r="852" spans="1:19" ht="15.75" customHeight="1" x14ac:dyDescent="0.25">
      <c r="A852" s="333"/>
      <c r="C852" s="360"/>
      <c r="D852" s="361"/>
      <c r="E852" s="333"/>
      <c r="F852" s="333"/>
      <c r="G852" s="333"/>
      <c r="H852" s="333"/>
      <c r="K852" s="362"/>
      <c r="S852" s="333"/>
    </row>
    <row r="853" spans="1:19" ht="15.75" customHeight="1" x14ac:dyDescent="0.25">
      <c r="A853" s="333"/>
      <c r="C853" s="360"/>
      <c r="D853" s="361"/>
      <c r="E853" s="333"/>
      <c r="F853" s="333"/>
      <c r="G853" s="333"/>
      <c r="H853" s="333"/>
      <c r="K853" s="362"/>
      <c r="S853" s="333"/>
    </row>
    <row r="854" spans="1:19" ht="15.75" customHeight="1" x14ac:dyDescent="0.25">
      <c r="A854" s="333"/>
      <c r="C854" s="360"/>
      <c r="D854" s="361"/>
      <c r="E854" s="333"/>
      <c r="F854" s="333"/>
      <c r="G854" s="333"/>
      <c r="H854" s="333"/>
      <c r="K854" s="362"/>
      <c r="S854" s="333"/>
    </row>
    <row r="855" spans="1:19" ht="15.75" customHeight="1" x14ac:dyDescent="0.25">
      <c r="A855" s="333"/>
      <c r="C855" s="360"/>
      <c r="D855" s="361"/>
      <c r="E855" s="333"/>
      <c r="F855" s="333"/>
      <c r="G855" s="333"/>
      <c r="H855" s="333"/>
      <c r="K855" s="362"/>
      <c r="S855" s="333"/>
    </row>
    <row r="856" spans="1:19" ht="15.75" customHeight="1" x14ac:dyDescent="0.25">
      <c r="A856" s="333"/>
      <c r="C856" s="360"/>
      <c r="D856" s="361"/>
      <c r="E856" s="333"/>
      <c r="F856" s="333"/>
      <c r="G856" s="333"/>
      <c r="H856" s="333"/>
      <c r="K856" s="362"/>
      <c r="S856" s="333"/>
    </row>
    <row r="857" spans="1:19" ht="15.75" customHeight="1" x14ac:dyDescent="0.25">
      <c r="A857" s="333"/>
      <c r="C857" s="360"/>
      <c r="D857" s="361"/>
      <c r="E857" s="333"/>
      <c r="F857" s="333"/>
      <c r="G857" s="333"/>
      <c r="H857" s="333"/>
      <c r="K857" s="362"/>
      <c r="S857" s="333"/>
    </row>
    <row r="858" spans="1:19" ht="15.75" customHeight="1" x14ac:dyDescent="0.25">
      <c r="A858" s="333"/>
      <c r="C858" s="360"/>
      <c r="D858" s="361"/>
      <c r="E858" s="333"/>
      <c r="F858" s="333"/>
      <c r="G858" s="333"/>
      <c r="H858" s="333"/>
      <c r="K858" s="362"/>
      <c r="S858" s="333"/>
    </row>
    <row r="859" spans="1:19" ht="15.75" customHeight="1" x14ac:dyDescent="0.25">
      <c r="A859" s="333"/>
      <c r="C859" s="360"/>
      <c r="D859" s="361"/>
      <c r="E859" s="333"/>
      <c r="F859" s="333"/>
      <c r="G859" s="333"/>
      <c r="H859" s="333"/>
      <c r="K859" s="362"/>
      <c r="S859" s="333"/>
    </row>
    <row r="860" spans="1:19" ht="15.75" customHeight="1" x14ac:dyDescent="0.25">
      <c r="A860" s="333"/>
      <c r="C860" s="360"/>
      <c r="D860" s="361"/>
      <c r="E860" s="333"/>
      <c r="F860" s="333"/>
      <c r="G860" s="333"/>
      <c r="H860" s="333"/>
      <c r="K860" s="362"/>
      <c r="S860" s="333"/>
    </row>
    <row r="861" spans="1:19" ht="15.75" customHeight="1" x14ac:dyDescent="0.25">
      <c r="A861" s="333"/>
      <c r="C861" s="360"/>
      <c r="D861" s="361"/>
      <c r="E861" s="333"/>
      <c r="F861" s="333"/>
      <c r="G861" s="333"/>
      <c r="H861" s="333"/>
      <c r="K861" s="362"/>
      <c r="S861" s="333"/>
    </row>
    <row r="862" spans="1:19" ht="15.75" customHeight="1" x14ac:dyDescent="0.25">
      <c r="A862" s="333"/>
      <c r="C862" s="360"/>
      <c r="D862" s="361"/>
      <c r="E862" s="333"/>
      <c r="F862" s="333"/>
      <c r="G862" s="333"/>
      <c r="H862" s="333"/>
      <c r="K862" s="362"/>
      <c r="S862" s="333"/>
    </row>
    <row r="863" spans="1:19" ht="15.75" customHeight="1" x14ac:dyDescent="0.25">
      <c r="A863" s="333"/>
      <c r="C863" s="360"/>
      <c r="D863" s="361"/>
      <c r="E863" s="333"/>
      <c r="F863" s="333"/>
      <c r="G863" s="333"/>
      <c r="H863" s="333"/>
      <c r="K863" s="362"/>
      <c r="S863" s="333"/>
    </row>
    <row r="864" spans="1:19" ht="15.75" customHeight="1" x14ac:dyDescent="0.25">
      <c r="A864" s="333"/>
      <c r="C864" s="360"/>
      <c r="D864" s="361"/>
      <c r="E864" s="333"/>
      <c r="F864" s="333"/>
      <c r="G864" s="333"/>
      <c r="H864" s="333"/>
      <c r="K864" s="362"/>
      <c r="S864" s="333"/>
    </row>
    <row r="865" spans="1:19" ht="15.75" customHeight="1" x14ac:dyDescent="0.25">
      <c r="A865" s="333"/>
      <c r="C865" s="360"/>
      <c r="D865" s="361"/>
      <c r="E865" s="333"/>
      <c r="F865" s="333"/>
      <c r="G865" s="333"/>
      <c r="H865" s="333"/>
      <c r="K865" s="362"/>
      <c r="S865" s="333"/>
    </row>
    <row r="866" spans="1:19" ht="15.75" customHeight="1" x14ac:dyDescent="0.25">
      <c r="A866" s="333"/>
      <c r="C866" s="360"/>
      <c r="D866" s="361"/>
      <c r="E866" s="333"/>
      <c r="F866" s="333"/>
      <c r="G866" s="333"/>
      <c r="H866" s="333"/>
      <c r="K866" s="362"/>
      <c r="S866" s="333"/>
    </row>
    <row r="867" spans="1:19" ht="15.75" customHeight="1" x14ac:dyDescent="0.25">
      <c r="A867" s="333"/>
      <c r="C867" s="360"/>
      <c r="D867" s="361"/>
      <c r="E867" s="333"/>
      <c r="F867" s="333"/>
      <c r="G867" s="333"/>
      <c r="H867" s="333"/>
      <c r="K867" s="362"/>
      <c r="S867" s="333"/>
    </row>
    <row r="868" spans="1:19" ht="15.75" customHeight="1" x14ac:dyDescent="0.25">
      <c r="A868" s="333"/>
      <c r="C868" s="360"/>
      <c r="D868" s="361"/>
      <c r="E868" s="333"/>
      <c r="F868" s="333"/>
      <c r="G868" s="333"/>
      <c r="H868" s="333"/>
      <c r="K868" s="362"/>
      <c r="S868" s="333"/>
    </row>
    <row r="869" spans="1:19" ht="15.75" customHeight="1" x14ac:dyDescent="0.25">
      <c r="A869" s="333"/>
      <c r="C869" s="360"/>
      <c r="D869" s="361"/>
      <c r="E869" s="333"/>
      <c r="F869" s="333"/>
      <c r="G869" s="333"/>
      <c r="H869" s="333"/>
      <c r="K869" s="362"/>
      <c r="S869" s="333"/>
    </row>
    <row r="870" spans="1:19" ht="15.75" customHeight="1" x14ac:dyDescent="0.25">
      <c r="A870" s="333"/>
      <c r="C870" s="360"/>
      <c r="D870" s="361"/>
      <c r="E870" s="333"/>
      <c r="F870" s="333"/>
      <c r="G870" s="333"/>
      <c r="H870" s="333"/>
      <c r="K870" s="362"/>
      <c r="S870" s="333"/>
    </row>
    <row r="871" spans="1:19" ht="15.75" customHeight="1" x14ac:dyDescent="0.25">
      <c r="A871" s="333"/>
      <c r="C871" s="360"/>
      <c r="D871" s="361"/>
      <c r="E871" s="333"/>
      <c r="F871" s="333"/>
      <c r="G871" s="333"/>
      <c r="H871" s="333"/>
      <c r="K871" s="362"/>
      <c r="S871" s="333"/>
    </row>
    <row r="872" spans="1:19" ht="15.75" customHeight="1" x14ac:dyDescent="0.25">
      <c r="A872" s="333"/>
      <c r="C872" s="360"/>
      <c r="D872" s="361"/>
      <c r="E872" s="333"/>
      <c r="F872" s="333"/>
      <c r="G872" s="333"/>
      <c r="H872" s="333"/>
      <c r="K872" s="362"/>
      <c r="S872" s="333"/>
    </row>
    <row r="873" spans="1:19" ht="15.75" customHeight="1" x14ac:dyDescent="0.25">
      <c r="A873" s="333"/>
      <c r="C873" s="360"/>
      <c r="D873" s="361"/>
      <c r="E873" s="333"/>
      <c r="F873" s="333"/>
      <c r="G873" s="333"/>
      <c r="H873" s="333"/>
      <c r="K873" s="362"/>
      <c r="S873" s="333"/>
    </row>
    <row r="874" spans="1:19" ht="15.75" customHeight="1" x14ac:dyDescent="0.25">
      <c r="A874" s="333"/>
      <c r="C874" s="360"/>
      <c r="D874" s="361"/>
      <c r="E874" s="333"/>
      <c r="F874" s="333"/>
      <c r="G874" s="333"/>
      <c r="H874" s="333"/>
      <c r="K874" s="362"/>
      <c r="S874" s="333"/>
    </row>
    <row r="875" spans="1:19" ht="15.75" customHeight="1" x14ac:dyDescent="0.25">
      <c r="A875" s="333"/>
      <c r="C875" s="360"/>
      <c r="D875" s="361"/>
      <c r="E875" s="333"/>
      <c r="F875" s="333"/>
      <c r="G875" s="333"/>
      <c r="H875" s="333"/>
      <c r="K875" s="362"/>
      <c r="S875" s="333"/>
    </row>
    <row r="876" spans="1:19" ht="15.75" customHeight="1" x14ac:dyDescent="0.25">
      <c r="A876" s="333"/>
      <c r="C876" s="360"/>
      <c r="D876" s="361"/>
      <c r="E876" s="333"/>
      <c r="F876" s="333"/>
      <c r="G876" s="333"/>
      <c r="H876" s="333"/>
      <c r="K876" s="362"/>
      <c r="S876" s="333"/>
    </row>
    <row r="877" spans="1:19" ht="15.75" customHeight="1" x14ac:dyDescent="0.25">
      <c r="A877" s="333"/>
      <c r="C877" s="360"/>
      <c r="D877" s="361"/>
      <c r="E877" s="333"/>
      <c r="F877" s="333"/>
      <c r="G877" s="333"/>
      <c r="H877" s="333"/>
      <c r="K877" s="362"/>
      <c r="S877" s="333"/>
    </row>
    <row r="878" spans="1:19" ht="15.75" customHeight="1" x14ac:dyDescent="0.25">
      <c r="A878" s="333"/>
      <c r="C878" s="360"/>
      <c r="D878" s="361"/>
      <c r="E878" s="333"/>
      <c r="F878" s="333"/>
      <c r="G878" s="333"/>
      <c r="H878" s="333"/>
      <c r="K878" s="362"/>
      <c r="S878" s="333"/>
    </row>
    <row r="879" spans="1:19" ht="15.75" customHeight="1" x14ac:dyDescent="0.25">
      <c r="A879" s="333"/>
      <c r="C879" s="360"/>
      <c r="D879" s="361"/>
      <c r="E879" s="333"/>
      <c r="F879" s="333"/>
      <c r="G879" s="333"/>
      <c r="H879" s="333"/>
      <c r="K879" s="362"/>
      <c r="S879" s="333"/>
    </row>
    <row r="880" spans="1:19" ht="15.75" customHeight="1" x14ac:dyDescent="0.25">
      <c r="A880" s="333"/>
      <c r="C880" s="360"/>
      <c r="D880" s="361"/>
      <c r="E880" s="333"/>
      <c r="F880" s="333"/>
      <c r="G880" s="333"/>
      <c r="H880" s="333"/>
      <c r="K880" s="362"/>
      <c r="S880" s="333"/>
    </row>
    <row r="881" spans="1:19" ht="15.75" customHeight="1" x14ac:dyDescent="0.25">
      <c r="A881" s="333"/>
      <c r="C881" s="360"/>
      <c r="D881" s="361"/>
      <c r="E881" s="333"/>
      <c r="F881" s="333"/>
      <c r="G881" s="333"/>
      <c r="H881" s="333"/>
      <c r="K881" s="362"/>
      <c r="S881" s="333"/>
    </row>
    <row r="882" spans="1:19" ht="15.75" customHeight="1" x14ac:dyDescent="0.25">
      <c r="A882" s="333"/>
      <c r="C882" s="360"/>
      <c r="D882" s="361"/>
      <c r="E882" s="333"/>
      <c r="F882" s="333"/>
      <c r="G882" s="333"/>
      <c r="H882" s="333"/>
      <c r="K882" s="362"/>
      <c r="S882" s="333"/>
    </row>
    <row r="883" spans="1:19" ht="15.75" customHeight="1" x14ac:dyDescent="0.25">
      <c r="A883" s="333"/>
      <c r="C883" s="360"/>
      <c r="D883" s="361"/>
      <c r="E883" s="333"/>
      <c r="F883" s="333"/>
      <c r="G883" s="333"/>
      <c r="H883" s="333"/>
      <c r="K883" s="362"/>
      <c r="S883" s="333"/>
    </row>
    <row r="884" spans="1:19" ht="15.75" customHeight="1" x14ac:dyDescent="0.25">
      <c r="A884" s="333"/>
      <c r="C884" s="360"/>
      <c r="D884" s="361"/>
      <c r="E884" s="333"/>
      <c r="F884" s="333"/>
      <c r="G884" s="333"/>
      <c r="H884" s="333"/>
      <c r="K884" s="362"/>
      <c r="S884" s="333"/>
    </row>
    <row r="885" spans="1:19" ht="15.75" customHeight="1" x14ac:dyDescent="0.25">
      <c r="A885" s="333"/>
      <c r="C885" s="360"/>
      <c r="D885" s="361"/>
      <c r="E885" s="333"/>
      <c r="F885" s="333"/>
      <c r="G885" s="333"/>
      <c r="H885" s="333"/>
      <c r="K885" s="362"/>
      <c r="S885" s="333"/>
    </row>
    <row r="886" spans="1:19" ht="15.75" customHeight="1" x14ac:dyDescent="0.25">
      <c r="A886" s="333"/>
      <c r="C886" s="360"/>
      <c r="D886" s="361"/>
      <c r="E886" s="333"/>
      <c r="F886" s="333"/>
      <c r="G886" s="333"/>
      <c r="H886" s="333"/>
      <c r="K886" s="362"/>
      <c r="S886" s="333"/>
    </row>
    <row r="887" spans="1:19" ht="15.75" customHeight="1" x14ac:dyDescent="0.25">
      <c r="A887" s="333"/>
      <c r="C887" s="360"/>
      <c r="D887" s="361"/>
      <c r="E887" s="333"/>
      <c r="F887" s="333"/>
      <c r="G887" s="333"/>
      <c r="H887" s="333"/>
      <c r="K887" s="362"/>
      <c r="S887" s="333"/>
    </row>
    <row r="888" spans="1:19" ht="15.75" customHeight="1" x14ac:dyDescent="0.25">
      <c r="A888" s="333"/>
      <c r="C888" s="360"/>
      <c r="D888" s="361"/>
      <c r="E888" s="333"/>
      <c r="F888" s="333"/>
      <c r="G888" s="333"/>
      <c r="H888" s="333"/>
      <c r="K888" s="362"/>
      <c r="S888" s="333"/>
    </row>
    <row r="889" spans="1:19" ht="15.75" customHeight="1" x14ac:dyDescent="0.25">
      <c r="A889" s="333"/>
      <c r="C889" s="360"/>
      <c r="D889" s="361"/>
      <c r="E889" s="333"/>
      <c r="F889" s="333"/>
      <c r="G889" s="333"/>
      <c r="H889" s="333"/>
      <c r="K889" s="362"/>
      <c r="S889" s="333"/>
    </row>
    <row r="890" spans="1:19" ht="15.75" customHeight="1" x14ac:dyDescent="0.25">
      <c r="A890" s="333"/>
      <c r="C890" s="360"/>
      <c r="D890" s="361"/>
      <c r="E890" s="333"/>
      <c r="F890" s="333"/>
      <c r="G890" s="333"/>
      <c r="H890" s="333"/>
      <c r="K890" s="362"/>
      <c r="S890" s="333"/>
    </row>
    <row r="891" spans="1:19" ht="15.75" customHeight="1" x14ac:dyDescent="0.25">
      <c r="A891" s="333"/>
      <c r="C891" s="360"/>
      <c r="D891" s="361"/>
      <c r="E891" s="333"/>
      <c r="F891" s="333"/>
      <c r="G891" s="333"/>
      <c r="H891" s="333"/>
      <c r="K891" s="362"/>
      <c r="S891" s="333"/>
    </row>
    <row r="892" spans="1:19" ht="15.75" customHeight="1" x14ac:dyDescent="0.25">
      <c r="A892" s="333"/>
      <c r="C892" s="360"/>
      <c r="D892" s="361"/>
      <c r="E892" s="333"/>
      <c r="F892" s="333"/>
      <c r="G892" s="333"/>
      <c r="H892" s="333"/>
      <c r="K892" s="362"/>
      <c r="S892" s="333"/>
    </row>
    <row r="893" spans="1:19" ht="15.75" customHeight="1" x14ac:dyDescent="0.25">
      <c r="A893" s="333"/>
      <c r="C893" s="360"/>
      <c r="D893" s="361"/>
      <c r="E893" s="333"/>
      <c r="F893" s="333"/>
      <c r="G893" s="333"/>
      <c r="H893" s="333"/>
      <c r="K893" s="362"/>
      <c r="S893" s="333"/>
    </row>
    <row r="894" spans="1:19" ht="15.75" customHeight="1" x14ac:dyDescent="0.25">
      <c r="A894" s="333"/>
      <c r="C894" s="360"/>
      <c r="D894" s="361"/>
      <c r="E894" s="333"/>
      <c r="F894" s="333"/>
      <c r="G894" s="333"/>
      <c r="H894" s="333"/>
      <c r="K894" s="362"/>
      <c r="S894" s="333"/>
    </row>
    <row r="895" spans="1:19" ht="15.75" customHeight="1" x14ac:dyDescent="0.25">
      <c r="A895" s="333"/>
      <c r="C895" s="360"/>
      <c r="D895" s="361"/>
      <c r="E895" s="333"/>
      <c r="F895" s="333"/>
      <c r="G895" s="333"/>
      <c r="H895" s="333"/>
      <c r="K895" s="362"/>
      <c r="S895" s="333"/>
    </row>
    <row r="896" spans="1:19" ht="15.75" customHeight="1" x14ac:dyDescent="0.25">
      <c r="A896" s="333"/>
      <c r="C896" s="360"/>
      <c r="D896" s="361"/>
      <c r="E896" s="333"/>
      <c r="F896" s="333"/>
      <c r="G896" s="333"/>
      <c r="H896" s="333"/>
      <c r="K896" s="362"/>
      <c r="S896" s="333"/>
    </row>
    <row r="897" spans="1:19" ht="15.75" customHeight="1" x14ac:dyDescent="0.25">
      <c r="A897" s="333"/>
      <c r="C897" s="360"/>
      <c r="D897" s="361"/>
      <c r="E897" s="333"/>
      <c r="F897" s="333"/>
      <c r="G897" s="333"/>
      <c r="H897" s="333"/>
      <c r="K897" s="362"/>
      <c r="S897" s="333"/>
    </row>
    <row r="898" spans="1:19" ht="15.75" customHeight="1" x14ac:dyDescent="0.25">
      <c r="A898" s="333"/>
      <c r="C898" s="360"/>
      <c r="D898" s="361"/>
      <c r="E898" s="333"/>
      <c r="F898" s="333"/>
      <c r="G898" s="333"/>
      <c r="H898" s="333"/>
      <c r="K898" s="362"/>
      <c r="S898" s="333"/>
    </row>
    <row r="899" spans="1:19" ht="15.75" customHeight="1" x14ac:dyDescent="0.25">
      <c r="A899" s="333"/>
      <c r="C899" s="360"/>
      <c r="D899" s="361"/>
      <c r="E899" s="333"/>
      <c r="F899" s="333"/>
      <c r="G899" s="333"/>
      <c r="H899" s="333"/>
      <c r="K899" s="362"/>
      <c r="S899" s="333"/>
    </row>
    <row r="900" spans="1:19" ht="15.75" customHeight="1" x14ac:dyDescent="0.25">
      <c r="A900" s="333"/>
      <c r="C900" s="360"/>
      <c r="D900" s="361"/>
      <c r="E900" s="333"/>
      <c r="F900" s="333"/>
      <c r="G900" s="333"/>
      <c r="H900" s="333"/>
      <c r="K900" s="362"/>
      <c r="S900" s="333"/>
    </row>
    <row r="901" spans="1:19" ht="15.75" customHeight="1" x14ac:dyDescent="0.25">
      <c r="A901" s="333"/>
      <c r="C901" s="360"/>
      <c r="D901" s="361"/>
      <c r="E901" s="333"/>
      <c r="F901" s="333"/>
      <c r="G901" s="333"/>
      <c r="H901" s="333"/>
      <c r="K901" s="362"/>
      <c r="S901" s="333"/>
    </row>
    <row r="902" spans="1:19" ht="15.75" customHeight="1" x14ac:dyDescent="0.25">
      <c r="A902" s="333"/>
      <c r="C902" s="360"/>
      <c r="D902" s="361"/>
      <c r="E902" s="333"/>
      <c r="F902" s="333"/>
      <c r="G902" s="333"/>
      <c r="H902" s="333"/>
      <c r="K902" s="362"/>
      <c r="S902" s="333"/>
    </row>
    <row r="903" spans="1:19" ht="15.75" customHeight="1" x14ac:dyDescent="0.25">
      <c r="A903" s="333"/>
      <c r="C903" s="360"/>
      <c r="D903" s="361"/>
      <c r="E903" s="333"/>
      <c r="F903" s="333"/>
      <c r="G903" s="333"/>
      <c r="H903" s="333"/>
      <c r="K903" s="362"/>
      <c r="S903" s="333"/>
    </row>
    <row r="904" spans="1:19" ht="15.75" customHeight="1" x14ac:dyDescent="0.25">
      <c r="A904" s="333"/>
      <c r="C904" s="360"/>
      <c r="D904" s="361"/>
      <c r="E904" s="333"/>
      <c r="F904" s="333"/>
      <c r="G904" s="333"/>
      <c r="H904" s="333"/>
      <c r="K904" s="362"/>
      <c r="S904" s="333"/>
    </row>
    <row r="905" spans="1:19" ht="15.75" customHeight="1" x14ac:dyDescent="0.25">
      <c r="A905" s="333"/>
      <c r="C905" s="360"/>
      <c r="D905" s="361"/>
      <c r="E905" s="333"/>
      <c r="F905" s="333"/>
      <c r="G905" s="333"/>
      <c r="H905" s="333"/>
      <c r="K905" s="362"/>
      <c r="S905" s="333"/>
    </row>
    <row r="906" spans="1:19" ht="15.75" customHeight="1" x14ac:dyDescent="0.25">
      <c r="A906" s="333"/>
      <c r="C906" s="360"/>
      <c r="D906" s="361"/>
      <c r="E906" s="333"/>
      <c r="F906" s="333"/>
      <c r="G906" s="333"/>
      <c r="H906" s="333"/>
      <c r="K906" s="362"/>
      <c r="S906" s="333"/>
    </row>
    <row r="907" spans="1:19" ht="15.75" customHeight="1" x14ac:dyDescent="0.25">
      <c r="A907" s="333"/>
      <c r="C907" s="360"/>
      <c r="D907" s="361"/>
      <c r="E907" s="333"/>
      <c r="F907" s="333"/>
      <c r="G907" s="333"/>
      <c r="H907" s="333"/>
      <c r="K907" s="362"/>
      <c r="S907" s="333"/>
    </row>
    <row r="908" spans="1:19" ht="15.75" customHeight="1" x14ac:dyDescent="0.25">
      <c r="A908" s="333"/>
      <c r="C908" s="360"/>
      <c r="D908" s="361"/>
      <c r="E908" s="333"/>
      <c r="F908" s="333"/>
      <c r="G908" s="333"/>
      <c r="H908" s="333"/>
      <c r="K908" s="362"/>
      <c r="S908" s="333"/>
    </row>
    <row r="909" spans="1:19" ht="15.75" customHeight="1" x14ac:dyDescent="0.25">
      <c r="A909" s="333"/>
      <c r="C909" s="360"/>
      <c r="D909" s="361"/>
      <c r="E909" s="333"/>
      <c r="F909" s="333"/>
      <c r="G909" s="333"/>
      <c r="H909" s="333"/>
      <c r="K909" s="362"/>
      <c r="S909" s="333"/>
    </row>
    <row r="910" spans="1:19" ht="15.75" customHeight="1" x14ac:dyDescent="0.25">
      <c r="A910" s="333"/>
      <c r="C910" s="360"/>
      <c r="D910" s="361"/>
      <c r="E910" s="333"/>
      <c r="F910" s="333"/>
      <c r="G910" s="333"/>
      <c r="H910" s="333"/>
      <c r="K910" s="362"/>
      <c r="S910" s="333"/>
    </row>
    <row r="911" spans="1:19" ht="15.75" customHeight="1" x14ac:dyDescent="0.25">
      <c r="A911" s="333"/>
      <c r="C911" s="360"/>
      <c r="D911" s="361"/>
      <c r="E911" s="333"/>
      <c r="F911" s="333"/>
      <c r="G911" s="333"/>
      <c r="H911" s="333"/>
      <c r="K911" s="362"/>
      <c r="S911" s="333"/>
    </row>
    <row r="912" spans="1:19" ht="15.75" customHeight="1" x14ac:dyDescent="0.25">
      <c r="A912" s="333"/>
      <c r="C912" s="360"/>
      <c r="D912" s="361"/>
      <c r="E912" s="333"/>
      <c r="F912" s="333"/>
      <c r="G912" s="333"/>
      <c r="H912" s="333"/>
      <c r="K912" s="362"/>
      <c r="S912" s="333"/>
    </row>
    <row r="913" spans="1:19" ht="15.75" customHeight="1" x14ac:dyDescent="0.25">
      <c r="A913" s="333"/>
      <c r="C913" s="360"/>
      <c r="D913" s="361"/>
      <c r="E913" s="333"/>
      <c r="F913" s="333"/>
      <c r="G913" s="333"/>
      <c r="H913" s="333"/>
      <c r="K913" s="362"/>
      <c r="S913" s="333"/>
    </row>
    <row r="914" spans="1:19" ht="15.75" customHeight="1" x14ac:dyDescent="0.25">
      <c r="A914" s="333"/>
      <c r="C914" s="360"/>
      <c r="D914" s="361"/>
      <c r="E914" s="333"/>
      <c r="F914" s="333"/>
      <c r="G914" s="333"/>
      <c r="H914" s="333"/>
      <c r="K914" s="362"/>
      <c r="S914" s="333"/>
    </row>
    <row r="915" spans="1:19" ht="15.75" customHeight="1" x14ac:dyDescent="0.25">
      <c r="A915" s="333"/>
      <c r="C915" s="360"/>
      <c r="D915" s="361"/>
      <c r="E915" s="333"/>
      <c r="F915" s="333"/>
      <c r="G915" s="333"/>
      <c r="H915" s="333"/>
      <c r="K915" s="362"/>
      <c r="S915" s="333"/>
    </row>
    <row r="916" spans="1:19" ht="15.75" customHeight="1" x14ac:dyDescent="0.25">
      <c r="A916" s="333"/>
      <c r="C916" s="360"/>
      <c r="D916" s="361"/>
      <c r="E916" s="333"/>
      <c r="F916" s="333"/>
      <c r="G916" s="333"/>
      <c r="H916" s="333"/>
      <c r="K916" s="362"/>
      <c r="S916" s="333"/>
    </row>
    <row r="917" spans="1:19" ht="15.75" customHeight="1" x14ac:dyDescent="0.25">
      <c r="A917" s="333"/>
      <c r="C917" s="360"/>
      <c r="D917" s="361"/>
      <c r="E917" s="333"/>
      <c r="F917" s="333"/>
      <c r="G917" s="333"/>
      <c r="H917" s="333"/>
      <c r="K917" s="362"/>
      <c r="S917" s="333"/>
    </row>
    <row r="918" spans="1:19" ht="15.75" customHeight="1" x14ac:dyDescent="0.25">
      <c r="A918" s="333"/>
      <c r="C918" s="360"/>
      <c r="D918" s="361"/>
      <c r="E918" s="333"/>
      <c r="F918" s="333"/>
      <c r="G918" s="333"/>
      <c r="H918" s="333"/>
      <c r="K918" s="362"/>
      <c r="S918" s="333"/>
    </row>
    <row r="919" spans="1:19" ht="15.75" customHeight="1" x14ac:dyDescent="0.25">
      <c r="A919" s="333"/>
      <c r="C919" s="360"/>
      <c r="D919" s="361"/>
      <c r="E919" s="333"/>
      <c r="F919" s="333"/>
      <c r="G919" s="333"/>
      <c r="H919" s="333"/>
      <c r="K919" s="362"/>
      <c r="S919" s="333"/>
    </row>
    <row r="920" spans="1:19" ht="15.75" customHeight="1" x14ac:dyDescent="0.25">
      <c r="A920" s="333"/>
      <c r="C920" s="360"/>
      <c r="D920" s="361"/>
      <c r="E920" s="333"/>
      <c r="F920" s="333"/>
      <c r="G920" s="333"/>
      <c r="H920" s="333"/>
      <c r="K920" s="362"/>
      <c r="S920" s="333"/>
    </row>
    <row r="921" spans="1:19" ht="15.75" customHeight="1" x14ac:dyDescent="0.25">
      <c r="A921" s="333"/>
      <c r="C921" s="360"/>
      <c r="D921" s="361"/>
      <c r="E921" s="333"/>
      <c r="F921" s="333"/>
      <c r="G921" s="333"/>
      <c r="H921" s="333"/>
      <c r="K921" s="362"/>
      <c r="S921" s="333"/>
    </row>
    <row r="922" spans="1:19" ht="15.75" customHeight="1" x14ac:dyDescent="0.25">
      <c r="A922" s="333"/>
      <c r="C922" s="360"/>
      <c r="D922" s="361"/>
      <c r="E922" s="333"/>
      <c r="F922" s="333"/>
      <c r="G922" s="333"/>
      <c r="H922" s="333"/>
      <c r="K922" s="362"/>
      <c r="S922" s="333"/>
    </row>
    <row r="923" spans="1:19" ht="15.75" customHeight="1" x14ac:dyDescent="0.25">
      <c r="A923" s="333"/>
      <c r="C923" s="360"/>
      <c r="D923" s="361"/>
      <c r="E923" s="333"/>
      <c r="F923" s="333"/>
      <c r="G923" s="333"/>
      <c r="H923" s="333"/>
      <c r="K923" s="362"/>
      <c r="S923" s="333"/>
    </row>
    <row r="924" spans="1:19" ht="15.75" customHeight="1" x14ac:dyDescent="0.25">
      <c r="A924" s="333"/>
      <c r="C924" s="360"/>
      <c r="D924" s="361"/>
      <c r="E924" s="333"/>
      <c r="F924" s="333"/>
      <c r="G924" s="333"/>
      <c r="H924" s="333"/>
      <c r="K924" s="362"/>
      <c r="S924" s="333"/>
    </row>
    <row r="925" spans="1:19" ht="15.75" customHeight="1" x14ac:dyDescent="0.25">
      <c r="A925" s="333"/>
      <c r="C925" s="360"/>
      <c r="D925" s="361"/>
      <c r="E925" s="333"/>
      <c r="F925" s="333"/>
      <c r="G925" s="333"/>
      <c r="H925" s="333"/>
      <c r="K925" s="362"/>
      <c r="S925" s="333"/>
    </row>
    <row r="926" spans="1:19" ht="15.75" customHeight="1" x14ac:dyDescent="0.25">
      <c r="A926" s="333"/>
      <c r="C926" s="360"/>
      <c r="D926" s="361"/>
      <c r="E926" s="333"/>
      <c r="F926" s="333"/>
      <c r="G926" s="333"/>
      <c r="H926" s="333"/>
      <c r="K926" s="362"/>
      <c r="S926" s="333"/>
    </row>
    <row r="927" spans="1:19" ht="15.75" customHeight="1" x14ac:dyDescent="0.25">
      <c r="A927" s="333"/>
      <c r="C927" s="360"/>
      <c r="D927" s="361"/>
      <c r="E927" s="333"/>
      <c r="F927" s="333"/>
      <c r="G927" s="333"/>
      <c r="H927" s="333"/>
      <c r="K927" s="362"/>
      <c r="S927" s="333"/>
    </row>
    <row r="928" spans="1:19" ht="15.75" customHeight="1" x14ac:dyDescent="0.25">
      <c r="A928" s="333"/>
      <c r="C928" s="360"/>
      <c r="D928" s="361"/>
      <c r="E928" s="333"/>
      <c r="F928" s="333"/>
      <c r="G928" s="333"/>
      <c r="H928" s="333"/>
      <c r="K928" s="362"/>
      <c r="S928" s="333"/>
    </row>
    <row r="929" spans="1:19" ht="15.75" customHeight="1" x14ac:dyDescent="0.25">
      <c r="A929" s="333"/>
      <c r="C929" s="360"/>
      <c r="D929" s="361"/>
      <c r="E929" s="333"/>
      <c r="F929" s="333"/>
      <c r="G929" s="333"/>
      <c r="H929" s="333"/>
      <c r="K929" s="362"/>
      <c r="S929" s="333"/>
    </row>
    <row r="930" spans="1:19" ht="15.75" customHeight="1" x14ac:dyDescent="0.25">
      <c r="A930" s="333"/>
      <c r="C930" s="360"/>
      <c r="D930" s="361"/>
      <c r="E930" s="333"/>
      <c r="F930" s="333"/>
      <c r="G930" s="333"/>
      <c r="H930" s="333"/>
      <c r="K930" s="362"/>
      <c r="S930" s="333"/>
    </row>
    <row r="931" spans="1:19" ht="15.75" customHeight="1" x14ac:dyDescent="0.25">
      <c r="A931" s="333"/>
      <c r="C931" s="360"/>
      <c r="D931" s="361"/>
      <c r="E931" s="333"/>
      <c r="F931" s="333"/>
      <c r="G931" s="333"/>
      <c r="H931" s="333"/>
      <c r="K931" s="362"/>
      <c r="S931" s="333"/>
    </row>
    <row r="932" spans="1:19" ht="15.75" customHeight="1" x14ac:dyDescent="0.25">
      <c r="A932" s="333"/>
      <c r="C932" s="360"/>
      <c r="D932" s="361"/>
      <c r="E932" s="333"/>
      <c r="F932" s="333"/>
      <c r="G932" s="333"/>
      <c r="H932" s="333"/>
      <c r="K932" s="362"/>
      <c r="S932" s="333"/>
    </row>
    <row r="933" spans="1:19" ht="15.75" customHeight="1" x14ac:dyDescent="0.25">
      <c r="A933" s="333"/>
      <c r="C933" s="360"/>
      <c r="D933" s="361"/>
      <c r="E933" s="333"/>
      <c r="F933" s="333"/>
      <c r="G933" s="333"/>
      <c r="H933" s="333"/>
      <c r="K933" s="362"/>
      <c r="S933" s="333"/>
    </row>
    <row r="934" spans="1:19" ht="15.75" customHeight="1" x14ac:dyDescent="0.25">
      <c r="A934" s="333"/>
      <c r="C934" s="360"/>
      <c r="D934" s="361"/>
      <c r="E934" s="333"/>
      <c r="F934" s="333"/>
      <c r="G934" s="333"/>
      <c r="H934" s="333"/>
      <c r="K934" s="362"/>
      <c r="S934" s="333"/>
    </row>
    <row r="935" spans="1:19" ht="15.75" customHeight="1" x14ac:dyDescent="0.25">
      <c r="A935" s="333"/>
      <c r="C935" s="360"/>
      <c r="D935" s="361"/>
      <c r="E935" s="333"/>
      <c r="F935" s="333"/>
      <c r="G935" s="333"/>
      <c r="H935" s="333"/>
      <c r="K935" s="362"/>
      <c r="S935" s="333"/>
    </row>
    <row r="936" spans="1:19" ht="15.75" customHeight="1" x14ac:dyDescent="0.25">
      <c r="A936" s="333"/>
      <c r="C936" s="360"/>
      <c r="D936" s="361"/>
      <c r="E936" s="333"/>
      <c r="F936" s="333"/>
      <c r="G936" s="333"/>
      <c r="H936" s="333"/>
      <c r="K936" s="362"/>
      <c r="S936" s="333"/>
    </row>
    <row r="937" spans="1:19" ht="15.75" customHeight="1" x14ac:dyDescent="0.25">
      <c r="A937" s="333"/>
      <c r="C937" s="360"/>
      <c r="D937" s="361"/>
      <c r="E937" s="333"/>
      <c r="F937" s="333"/>
      <c r="G937" s="333"/>
      <c r="H937" s="333"/>
      <c r="K937" s="362"/>
      <c r="S937" s="333"/>
    </row>
    <row r="938" spans="1:19" ht="15.75" customHeight="1" x14ac:dyDescent="0.25">
      <c r="A938" s="333"/>
      <c r="C938" s="360"/>
      <c r="D938" s="361"/>
      <c r="E938" s="333"/>
      <c r="F938" s="333"/>
      <c r="G938" s="333"/>
      <c r="H938" s="333"/>
      <c r="K938" s="362"/>
      <c r="S938" s="333"/>
    </row>
    <row r="939" spans="1:19" ht="15.75" customHeight="1" x14ac:dyDescent="0.25">
      <c r="A939" s="333"/>
      <c r="C939" s="360"/>
      <c r="D939" s="361"/>
      <c r="E939" s="333"/>
      <c r="F939" s="333"/>
      <c r="G939" s="333"/>
      <c r="H939" s="333"/>
      <c r="K939" s="362"/>
      <c r="S939" s="333"/>
    </row>
    <row r="940" spans="1:19" ht="15.75" customHeight="1" x14ac:dyDescent="0.25">
      <c r="A940" s="333"/>
      <c r="C940" s="360"/>
      <c r="D940" s="361"/>
      <c r="E940" s="333"/>
      <c r="F940" s="333"/>
      <c r="G940" s="333"/>
      <c r="H940" s="333"/>
      <c r="K940" s="362"/>
      <c r="S940" s="333"/>
    </row>
    <row r="941" spans="1:19" ht="15.75" customHeight="1" x14ac:dyDescent="0.25">
      <c r="A941" s="333"/>
      <c r="C941" s="360"/>
      <c r="D941" s="361"/>
      <c r="E941" s="333"/>
      <c r="F941" s="333"/>
      <c r="G941" s="333"/>
      <c r="H941" s="333"/>
      <c r="K941" s="362"/>
      <c r="S941" s="333"/>
    </row>
    <row r="942" spans="1:19" ht="15.75" customHeight="1" x14ac:dyDescent="0.25">
      <c r="A942" s="333"/>
      <c r="C942" s="360"/>
      <c r="D942" s="361"/>
      <c r="E942" s="333"/>
      <c r="F942" s="333"/>
      <c r="G942" s="333"/>
      <c r="H942" s="333"/>
      <c r="K942" s="362"/>
      <c r="S942" s="333"/>
    </row>
    <row r="943" spans="1:19" ht="15.75" customHeight="1" x14ac:dyDescent="0.25">
      <c r="A943" s="333"/>
      <c r="C943" s="360"/>
      <c r="D943" s="361"/>
      <c r="E943" s="333"/>
      <c r="F943" s="333"/>
      <c r="G943" s="333"/>
      <c r="H943" s="333"/>
      <c r="K943" s="362"/>
      <c r="S943" s="333"/>
    </row>
    <row r="944" spans="1:19" ht="15.75" customHeight="1" x14ac:dyDescent="0.25">
      <c r="A944" s="333"/>
      <c r="C944" s="360"/>
      <c r="D944" s="361"/>
      <c r="E944" s="333"/>
      <c r="F944" s="333"/>
      <c r="G944" s="333"/>
      <c r="H944" s="333"/>
      <c r="K944" s="362"/>
      <c r="S944" s="333"/>
    </row>
    <row r="945" spans="1:19" ht="15.75" customHeight="1" x14ac:dyDescent="0.25">
      <c r="A945" s="333"/>
      <c r="C945" s="360"/>
      <c r="D945" s="361"/>
      <c r="E945" s="333"/>
      <c r="F945" s="333"/>
      <c r="G945" s="333"/>
      <c r="H945" s="333"/>
      <c r="K945" s="362"/>
      <c r="S945" s="333"/>
    </row>
    <row r="946" spans="1:19" ht="15.75" customHeight="1" x14ac:dyDescent="0.25">
      <c r="A946" s="333"/>
      <c r="C946" s="360"/>
      <c r="D946" s="361"/>
      <c r="E946" s="333"/>
      <c r="F946" s="333"/>
      <c r="G946" s="333"/>
      <c r="H946" s="333"/>
      <c r="K946" s="362"/>
      <c r="S946" s="333"/>
    </row>
    <row r="947" spans="1:19" ht="15.75" customHeight="1" x14ac:dyDescent="0.25">
      <c r="A947" s="333"/>
      <c r="C947" s="360"/>
      <c r="D947" s="361"/>
      <c r="E947" s="333"/>
      <c r="F947" s="333"/>
      <c r="G947" s="333"/>
      <c r="H947" s="333"/>
      <c r="K947" s="362"/>
      <c r="S947" s="333"/>
    </row>
    <row r="948" spans="1:19" ht="15.75" customHeight="1" x14ac:dyDescent="0.25">
      <c r="A948" s="333"/>
      <c r="C948" s="360"/>
      <c r="D948" s="361"/>
      <c r="E948" s="333"/>
      <c r="F948" s="333"/>
      <c r="G948" s="333"/>
      <c r="H948" s="333"/>
      <c r="K948" s="362"/>
      <c r="S948" s="333"/>
    </row>
    <row r="949" spans="1:19" ht="15.75" customHeight="1" x14ac:dyDescent="0.25">
      <c r="A949" s="333"/>
      <c r="C949" s="360"/>
      <c r="D949" s="361"/>
      <c r="E949" s="333"/>
      <c r="F949" s="333"/>
      <c r="G949" s="333"/>
      <c r="H949" s="333"/>
      <c r="K949" s="362"/>
      <c r="S949" s="333"/>
    </row>
    <row r="950" spans="1:19" ht="15.75" customHeight="1" x14ac:dyDescent="0.25">
      <c r="A950" s="333"/>
      <c r="C950" s="360"/>
      <c r="D950" s="361"/>
      <c r="E950" s="333"/>
      <c r="F950" s="333"/>
      <c r="G950" s="333"/>
      <c r="H950" s="333"/>
      <c r="K950" s="362"/>
      <c r="S950" s="333"/>
    </row>
    <row r="951" spans="1:19" ht="15.75" customHeight="1" x14ac:dyDescent="0.25">
      <c r="A951" s="333"/>
      <c r="C951" s="360"/>
      <c r="D951" s="361"/>
      <c r="E951" s="333"/>
      <c r="F951" s="333"/>
      <c r="G951" s="333"/>
      <c r="H951" s="333"/>
      <c r="K951" s="362"/>
      <c r="S951" s="333"/>
    </row>
    <row r="952" spans="1:19" ht="15.75" customHeight="1" x14ac:dyDescent="0.25">
      <c r="A952" s="333"/>
      <c r="C952" s="360"/>
      <c r="D952" s="361"/>
      <c r="E952" s="333"/>
      <c r="F952" s="333"/>
      <c r="G952" s="333"/>
      <c r="H952" s="333"/>
      <c r="K952" s="362"/>
      <c r="S952" s="333"/>
    </row>
    <row r="953" spans="1:19" ht="15.75" customHeight="1" x14ac:dyDescent="0.25">
      <c r="A953" s="333"/>
      <c r="C953" s="360"/>
      <c r="D953" s="361"/>
      <c r="E953" s="333"/>
      <c r="F953" s="333"/>
      <c r="G953" s="333"/>
      <c r="H953" s="333"/>
      <c r="K953" s="362"/>
      <c r="S953" s="333"/>
    </row>
    <row r="954" spans="1:19" ht="15.75" customHeight="1" x14ac:dyDescent="0.25">
      <c r="A954" s="333"/>
      <c r="C954" s="360"/>
      <c r="D954" s="361"/>
      <c r="E954" s="333"/>
      <c r="F954" s="333"/>
      <c r="G954" s="333"/>
      <c r="H954" s="333"/>
      <c r="K954" s="362"/>
      <c r="S954" s="333"/>
    </row>
    <row r="955" spans="1:19" ht="15.75" customHeight="1" x14ac:dyDescent="0.25">
      <c r="A955" s="333"/>
      <c r="C955" s="360"/>
      <c r="D955" s="361"/>
      <c r="E955" s="333"/>
      <c r="F955" s="333"/>
      <c r="G955" s="333"/>
      <c r="H955" s="333"/>
      <c r="K955" s="362"/>
      <c r="S955" s="333"/>
    </row>
    <row r="956" spans="1:19" ht="15.75" customHeight="1" x14ac:dyDescent="0.25">
      <c r="A956" s="333"/>
      <c r="C956" s="360"/>
      <c r="D956" s="361"/>
      <c r="E956" s="333"/>
      <c r="F956" s="333"/>
      <c r="G956" s="333"/>
      <c r="H956" s="333"/>
      <c r="K956" s="362"/>
      <c r="S956" s="333"/>
    </row>
    <row r="957" spans="1:19" ht="15.75" customHeight="1" x14ac:dyDescent="0.25">
      <c r="A957" s="333"/>
      <c r="C957" s="360"/>
      <c r="D957" s="361"/>
      <c r="E957" s="333"/>
      <c r="F957" s="333"/>
      <c r="G957" s="333"/>
      <c r="H957" s="333"/>
      <c r="K957" s="362"/>
      <c r="S957" s="333"/>
    </row>
    <row r="958" spans="1:19" ht="15.75" customHeight="1" x14ac:dyDescent="0.25">
      <c r="A958" s="333"/>
      <c r="C958" s="360"/>
      <c r="D958" s="361"/>
      <c r="E958" s="333"/>
      <c r="F958" s="333"/>
      <c r="G958" s="333"/>
      <c r="H958" s="333"/>
      <c r="K958" s="362"/>
      <c r="S958" s="333"/>
    </row>
    <row r="959" spans="1:19" ht="15.75" customHeight="1" x14ac:dyDescent="0.25">
      <c r="A959" s="333"/>
      <c r="C959" s="360"/>
      <c r="D959" s="361"/>
      <c r="E959" s="333"/>
      <c r="F959" s="333"/>
      <c r="G959" s="333"/>
      <c r="H959" s="333"/>
      <c r="K959" s="362"/>
      <c r="S959" s="333"/>
    </row>
    <row r="960" spans="1:19" ht="15.75" customHeight="1" x14ac:dyDescent="0.25">
      <c r="A960" s="333"/>
      <c r="C960" s="360"/>
      <c r="D960" s="361"/>
      <c r="E960" s="333"/>
      <c r="F960" s="333"/>
      <c r="G960" s="333"/>
      <c r="H960" s="333"/>
      <c r="K960" s="362"/>
      <c r="S960" s="333"/>
    </row>
    <row r="961" spans="1:19" ht="15.75" customHeight="1" x14ac:dyDescent="0.25">
      <c r="A961" s="333"/>
      <c r="C961" s="360"/>
      <c r="D961" s="361"/>
      <c r="E961" s="333"/>
      <c r="F961" s="333"/>
      <c r="G961" s="333"/>
      <c r="H961" s="333"/>
      <c r="K961" s="362"/>
      <c r="S961" s="333"/>
    </row>
    <row r="962" spans="1:19" ht="15.75" customHeight="1" x14ac:dyDescent="0.25">
      <c r="A962" s="333"/>
      <c r="C962" s="360"/>
      <c r="D962" s="361"/>
      <c r="E962" s="333"/>
      <c r="F962" s="333"/>
      <c r="G962" s="333"/>
      <c r="H962" s="333"/>
      <c r="K962" s="362"/>
      <c r="S962" s="333"/>
    </row>
    <row r="963" spans="1:19" ht="15.75" customHeight="1" x14ac:dyDescent="0.25">
      <c r="A963" s="333"/>
      <c r="C963" s="360"/>
      <c r="D963" s="361"/>
      <c r="E963" s="333"/>
      <c r="F963" s="333"/>
      <c r="G963" s="333"/>
      <c r="H963" s="333"/>
      <c r="K963" s="362"/>
      <c r="S963" s="333"/>
    </row>
    <row r="964" spans="1:19" ht="15.75" customHeight="1" x14ac:dyDescent="0.25">
      <c r="A964" s="333"/>
      <c r="C964" s="360"/>
      <c r="D964" s="361"/>
      <c r="E964" s="333"/>
      <c r="F964" s="333"/>
      <c r="G964" s="333"/>
      <c r="H964" s="333"/>
      <c r="K964" s="362"/>
      <c r="S964" s="333"/>
    </row>
    <row r="965" spans="1:19" ht="15.75" customHeight="1" x14ac:dyDescent="0.25">
      <c r="A965" s="333"/>
      <c r="C965" s="360"/>
      <c r="D965" s="361"/>
      <c r="E965" s="333"/>
      <c r="F965" s="333"/>
      <c r="G965" s="333"/>
      <c r="H965" s="333"/>
      <c r="K965" s="362"/>
      <c r="S965" s="333"/>
    </row>
    <row r="966" spans="1:19" ht="15.75" customHeight="1" x14ac:dyDescent="0.25">
      <c r="A966" s="333"/>
      <c r="C966" s="360"/>
      <c r="D966" s="361"/>
      <c r="E966" s="333"/>
      <c r="F966" s="333"/>
      <c r="G966" s="333"/>
      <c r="H966" s="333"/>
      <c r="K966" s="362"/>
      <c r="S966" s="333"/>
    </row>
    <row r="967" spans="1:19" ht="15.75" customHeight="1" x14ac:dyDescent="0.25">
      <c r="A967" s="333"/>
      <c r="C967" s="360"/>
      <c r="D967" s="361"/>
      <c r="E967" s="333"/>
      <c r="F967" s="333"/>
      <c r="G967" s="333"/>
      <c r="H967" s="333"/>
      <c r="K967" s="362"/>
      <c r="S967" s="333"/>
    </row>
    <row r="968" spans="1:19" ht="15.75" customHeight="1" x14ac:dyDescent="0.25">
      <c r="A968" s="333"/>
      <c r="C968" s="360"/>
      <c r="D968" s="361"/>
      <c r="E968" s="333"/>
      <c r="F968" s="333"/>
      <c r="G968" s="333"/>
      <c r="H968" s="333"/>
      <c r="K968" s="362"/>
      <c r="S968" s="333"/>
    </row>
    <row r="969" spans="1:19" ht="15.75" customHeight="1" x14ac:dyDescent="0.25">
      <c r="A969" s="333"/>
      <c r="C969" s="360"/>
      <c r="D969" s="361"/>
      <c r="E969" s="333"/>
      <c r="F969" s="333"/>
      <c r="G969" s="333"/>
      <c r="H969" s="333"/>
      <c r="K969" s="362"/>
      <c r="S969" s="333"/>
    </row>
    <row r="970" spans="1:19" ht="15.75" customHeight="1" x14ac:dyDescent="0.25">
      <c r="A970" s="333"/>
      <c r="C970" s="360"/>
      <c r="D970" s="361"/>
      <c r="E970" s="333"/>
      <c r="F970" s="333"/>
      <c r="G970" s="333"/>
      <c r="H970" s="333"/>
      <c r="K970" s="362"/>
      <c r="S970" s="333"/>
    </row>
    <row r="971" spans="1:19" ht="15.75" customHeight="1" x14ac:dyDescent="0.25">
      <c r="A971" s="333"/>
      <c r="C971" s="360"/>
      <c r="D971" s="361"/>
      <c r="E971" s="333"/>
      <c r="F971" s="333"/>
      <c r="G971" s="333"/>
      <c r="H971" s="333"/>
      <c r="K971" s="362"/>
      <c r="S971" s="333"/>
    </row>
    <row r="972" spans="1:19" ht="15.75" customHeight="1" x14ac:dyDescent="0.25">
      <c r="A972" s="333"/>
      <c r="C972" s="360"/>
      <c r="D972" s="361"/>
      <c r="E972" s="333"/>
      <c r="F972" s="333"/>
      <c r="G972" s="333"/>
      <c r="H972" s="333"/>
      <c r="K972" s="362"/>
      <c r="S972" s="333"/>
    </row>
    <row r="973" spans="1:19" ht="15.75" customHeight="1" x14ac:dyDescent="0.25">
      <c r="A973" s="333"/>
      <c r="C973" s="360"/>
      <c r="D973" s="361"/>
      <c r="E973" s="333"/>
      <c r="F973" s="333"/>
      <c r="G973" s="333"/>
      <c r="H973" s="333"/>
      <c r="K973" s="362"/>
      <c r="S973" s="333"/>
    </row>
    <row r="974" spans="1:19" ht="15.75" customHeight="1" x14ac:dyDescent="0.25">
      <c r="A974" s="333"/>
      <c r="C974" s="360"/>
      <c r="D974" s="361"/>
      <c r="E974" s="333"/>
      <c r="F974" s="333"/>
      <c r="G974" s="333"/>
      <c r="H974" s="333"/>
      <c r="K974" s="362"/>
      <c r="S974" s="333"/>
    </row>
    <row r="975" spans="1:19" ht="15.75" customHeight="1" x14ac:dyDescent="0.25">
      <c r="A975" s="333"/>
      <c r="C975" s="360"/>
      <c r="D975" s="361"/>
      <c r="E975" s="333"/>
      <c r="F975" s="333"/>
      <c r="G975" s="333"/>
      <c r="H975" s="333"/>
      <c r="K975" s="362"/>
      <c r="S975" s="333"/>
    </row>
    <row r="976" spans="1:19" ht="15.75" customHeight="1" x14ac:dyDescent="0.25">
      <c r="A976" s="333"/>
      <c r="C976" s="360"/>
      <c r="D976" s="361"/>
      <c r="E976" s="333"/>
      <c r="F976" s="333"/>
      <c r="G976" s="333"/>
      <c r="H976" s="333"/>
      <c r="K976" s="362"/>
      <c r="S976" s="333"/>
    </row>
    <row r="977" spans="1:19" ht="15.75" customHeight="1" x14ac:dyDescent="0.25">
      <c r="A977" s="333"/>
      <c r="C977" s="360"/>
      <c r="D977" s="361"/>
      <c r="E977" s="333"/>
      <c r="F977" s="333"/>
      <c r="G977" s="333"/>
      <c r="H977" s="333"/>
      <c r="K977" s="362"/>
      <c r="S977" s="333"/>
    </row>
    <row r="978" spans="1:19" ht="15.75" customHeight="1" x14ac:dyDescent="0.25">
      <c r="A978" s="333"/>
      <c r="C978" s="360"/>
      <c r="D978" s="361"/>
      <c r="E978" s="333"/>
      <c r="F978" s="333"/>
      <c r="G978" s="333"/>
      <c r="H978" s="333"/>
      <c r="K978" s="362"/>
      <c r="S978" s="333"/>
    </row>
    <row r="979" spans="1:19" ht="15.75" customHeight="1" x14ac:dyDescent="0.25">
      <c r="A979" s="333"/>
      <c r="C979" s="360"/>
      <c r="D979" s="361"/>
      <c r="E979" s="333"/>
      <c r="F979" s="333"/>
      <c r="G979" s="333"/>
      <c r="H979" s="333"/>
      <c r="K979" s="362"/>
      <c r="S979" s="333"/>
    </row>
    <row r="980" spans="1:19" ht="15.75" customHeight="1" x14ac:dyDescent="0.25">
      <c r="A980" s="333"/>
      <c r="C980" s="360"/>
      <c r="D980" s="361"/>
      <c r="E980" s="333"/>
      <c r="F980" s="333"/>
      <c r="G980" s="333"/>
      <c r="H980" s="333"/>
      <c r="K980" s="362"/>
      <c r="S980" s="333"/>
    </row>
    <row r="981" spans="1:19" ht="15.75" customHeight="1" x14ac:dyDescent="0.25">
      <c r="A981" s="333"/>
      <c r="C981" s="360"/>
      <c r="D981" s="361"/>
      <c r="E981" s="333"/>
      <c r="F981" s="333"/>
      <c r="G981" s="333"/>
      <c r="H981" s="333"/>
      <c r="K981" s="362"/>
      <c r="S981" s="333"/>
    </row>
    <row r="982" spans="1:19" ht="15.75" customHeight="1" x14ac:dyDescent="0.25">
      <c r="A982" s="333"/>
      <c r="C982" s="360"/>
      <c r="D982" s="361"/>
      <c r="E982" s="333"/>
      <c r="F982" s="333"/>
      <c r="G982" s="333"/>
      <c r="H982" s="333"/>
      <c r="K982" s="362"/>
      <c r="S982" s="333"/>
    </row>
    <row r="983" spans="1:19" ht="15.75" customHeight="1" x14ac:dyDescent="0.25">
      <c r="A983" s="333"/>
      <c r="C983" s="360"/>
      <c r="D983" s="361"/>
      <c r="E983" s="333"/>
      <c r="F983" s="333"/>
      <c r="G983" s="333"/>
      <c r="H983" s="333"/>
      <c r="K983" s="362"/>
      <c r="S983" s="333"/>
    </row>
    <row r="984" spans="1:19" ht="15.75" customHeight="1" x14ac:dyDescent="0.25">
      <c r="A984" s="333"/>
      <c r="C984" s="360"/>
      <c r="D984" s="361"/>
      <c r="E984" s="333"/>
      <c r="F984" s="333"/>
      <c r="G984" s="333"/>
      <c r="H984" s="333"/>
      <c r="K984" s="362"/>
      <c r="S984" s="333"/>
    </row>
    <row r="985" spans="1:19" ht="15.75" customHeight="1" x14ac:dyDescent="0.25">
      <c r="A985" s="333"/>
      <c r="C985" s="360"/>
      <c r="D985" s="361"/>
      <c r="E985" s="333"/>
      <c r="F985" s="333"/>
      <c r="G985" s="333"/>
      <c r="H985" s="333"/>
      <c r="K985" s="362"/>
      <c r="S985" s="333"/>
    </row>
    <row r="986" spans="1:19" ht="15.75" customHeight="1" x14ac:dyDescent="0.25">
      <c r="A986" s="333"/>
      <c r="C986" s="360"/>
      <c r="D986" s="361"/>
      <c r="E986" s="333"/>
      <c r="F986" s="333"/>
      <c r="G986" s="333"/>
      <c r="H986" s="333"/>
      <c r="K986" s="362"/>
      <c r="S986" s="333"/>
    </row>
    <row r="987" spans="1:19" ht="15.75" customHeight="1" x14ac:dyDescent="0.25">
      <c r="A987" s="333"/>
      <c r="C987" s="360"/>
      <c r="D987" s="361"/>
      <c r="E987" s="333"/>
      <c r="F987" s="333"/>
      <c r="G987" s="333"/>
      <c r="H987" s="333"/>
      <c r="K987" s="362"/>
      <c r="S987" s="333"/>
    </row>
    <row r="988" spans="1:19" ht="15.75" customHeight="1" x14ac:dyDescent="0.25">
      <c r="A988" s="333"/>
      <c r="C988" s="360"/>
      <c r="D988" s="361"/>
      <c r="E988" s="333"/>
      <c r="F988" s="333"/>
      <c r="G988" s="333"/>
      <c r="H988" s="333"/>
      <c r="K988" s="362"/>
      <c r="S988" s="333"/>
    </row>
    <row r="989" spans="1:19" ht="15.75" customHeight="1" x14ac:dyDescent="0.25">
      <c r="A989" s="333"/>
      <c r="C989" s="360"/>
      <c r="D989" s="361"/>
      <c r="E989" s="333"/>
      <c r="F989" s="333"/>
      <c r="G989" s="333"/>
      <c r="H989" s="333"/>
      <c r="K989" s="362"/>
      <c r="S989" s="333"/>
    </row>
    <row r="990" spans="1:19" ht="15.75" customHeight="1" x14ac:dyDescent="0.25">
      <c r="A990" s="333"/>
      <c r="C990" s="360"/>
      <c r="D990" s="361"/>
      <c r="E990" s="333"/>
      <c r="F990" s="333"/>
      <c r="G990" s="333"/>
      <c r="H990" s="333"/>
      <c r="K990" s="362"/>
      <c r="S990" s="333"/>
    </row>
    <row r="991" spans="1:19" ht="15.75" customHeight="1" x14ac:dyDescent="0.25">
      <c r="A991" s="333"/>
      <c r="C991" s="360"/>
      <c r="D991" s="361"/>
      <c r="E991" s="333"/>
      <c r="F991" s="333"/>
      <c r="G991" s="333"/>
      <c r="H991" s="333"/>
      <c r="K991" s="362"/>
      <c r="S991" s="333"/>
    </row>
    <row r="992" spans="1:19" ht="15.75" customHeight="1" x14ac:dyDescent="0.25">
      <c r="A992" s="333"/>
      <c r="C992" s="360"/>
      <c r="D992" s="361"/>
      <c r="E992" s="333"/>
      <c r="F992" s="333"/>
      <c r="G992" s="333"/>
      <c r="H992" s="333"/>
      <c r="K992" s="362"/>
      <c r="S992" s="333"/>
    </row>
    <row r="993" spans="1:19" ht="15.75" customHeight="1" x14ac:dyDescent="0.25">
      <c r="A993" s="333"/>
      <c r="C993" s="360"/>
      <c r="D993" s="361"/>
      <c r="E993" s="333"/>
      <c r="F993" s="333"/>
      <c r="G993" s="333"/>
      <c r="H993" s="333"/>
      <c r="K993" s="362"/>
      <c r="S993" s="333"/>
    </row>
    <row r="994" spans="1:19" ht="15.75" customHeight="1" x14ac:dyDescent="0.25">
      <c r="A994" s="333"/>
      <c r="C994" s="360"/>
      <c r="D994" s="361"/>
      <c r="E994" s="333"/>
      <c r="F994" s="333"/>
      <c r="G994" s="333"/>
      <c r="H994" s="333"/>
      <c r="K994" s="362"/>
      <c r="S994" s="333"/>
    </row>
    <row r="995" spans="1:19" ht="15.75" customHeight="1" x14ac:dyDescent="0.25">
      <c r="A995" s="333"/>
      <c r="C995" s="360"/>
      <c r="D995" s="361"/>
      <c r="E995" s="333"/>
      <c r="F995" s="333"/>
      <c r="G995" s="333"/>
      <c r="H995" s="333"/>
      <c r="K995" s="362"/>
      <c r="S995" s="333"/>
    </row>
    <row r="996" spans="1:19" ht="15.75" customHeight="1" x14ac:dyDescent="0.25">
      <c r="A996" s="333"/>
      <c r="C996" s="360"/>
      <c r="D996" s="361"/>
      <c r="E996" s="333"/>
      <c r="F996" s="333"/>
      <c r="G996" s="333"/>
      <c r="H996" s="333"/>
      <c r="K996" s="362"/>
      <c r="S996" s="333"/>
    </row>
    <row r="997" spans="1:19" ht="15.75" customHeight="1" x14ac:dyDescent="0.25">
      <c r="A997" s="333"/>
      <c r="C997" s="360"/>
      <c r="D997" s="361"/>
      <c r="E997" s="333"/>
      <c r="F997" s="333"/>
      <c r="G997" s="333"/>
      <c r="H997" s="333"/>
      <c r="K997" s="362"/>
      <c r="S997" s="333"/>
    </row>
    <row r="998" spans="1:19" ht="15.75" customHeight="1" x14ac:dyDescent="0.25">
      <c r="A998" s="333"/>
      <c r="C998" s="360"/>
      <c r="D998" s="361"/>
      <c r="E998" s="333"/>
      <c r="F998" s="333"/>
      <c r="G998" s="333"/>
      <c r="H998" s="333"/>
      <c r="K998" s="362"/>
      <c r="S998" s="333"/>
    </row>
    <row r="999" spans="1:19" ht="15.75" customHeight="1" x14ac:dyDescent="0.25">
      <c r="A999" s="333"/>
      <c r="C999" s="360"/>
      <c r="D999" s="361"/>
      <c r="E999" s="333"/>
      <c r="F999" s="333"/>
      <c r="G999" s="333"/>
      <c r="H999" s="333"/>
      <c r="K999" s="362"/>
      <c r="S999" s="333"/>
    </row>
    <row r="1000" spans="1:19" ht="15.75" customHeight="1" x14ac:dyDescent="0.25">
      <c r="A1000" s="333"/>
      <c r="C1000" s="360"/>
      <c r="D1000" s="361"/>
      <c r="E1000" s="333"/>
      <c r="F1000" s="333"/>
      <c r="G1000" s="333"/>
      <c r="H1000" s="333"/>
      <c r="K1000" s="362"/>
      <c r="S1000" s="333"/>
    </row>
  </sheetData>
  <mergeCells count="7">
    <mergeCell ref="A1:C4"/>
    <mergeCell ref="D1:W4"/>
    <mergeCell ref="X1:X2"/>
    <mergeCell ref="X3:X4"/>
    <mergeCell ref="A5:I5"/>
    <mergeCell ref="K5:P5"/>
    <mergeCell ref="Q5:X5"/>
  </mergeCells>
  <conditionalFormatting sqref="W7:X7 X8 I7:J11 W8:W9 W11:X11">
    <cfRule type="cellIs" dxfId="107" priority="1" operator="equal">
      <formula>"Extremo"</formula>
    </cfRule>
  </conditionalFormatting>
  <conditionalFormatting sqref="W7:X7 X8 I7:J11 W8:W9 W11:X11">
    <cfRule type="cellIs" dxfId="106" priority="2" operator="equal">
      <formula>"Moderado"</formula>
    </cfRule>
  </conditionalFormatting>
  <conditionalFormatting sqref="W7:X7 X8 I7:J11 W8:W9 W11:X11">
    <cfRule type="cellIs" dxfId="105" priority="3" operator="equal">
      <formula>"Bajo"</formula>
    </cfRule>
  </conditionalFormatting>
  <conditionalFormatting sqref="W7:X7 X8 I7:J11 W8:W9 W11:X11">
    <cfRule type="cellIs" dxfId="104" priority="4" operator="equal">
      <formula>"Alto"</formula>
    </cfRule>
  </conditionalFormatting>
  <conditionalFormatting sqref="X9">
    <cfRule type="cellIs" dxfId="103" priority="5" operator="equal">
      <formula>"Extremo"</formula>
    </cfRule>
  </conditionalFormatting>
  <conditionalFormatting sqref="X9">
    <cfRule type="cellIs" dxfId="102" priority="6" operator="equal">
      <formula>"Moderado"</formula>
    </cfRule>
  </conditionalFormatting>
  <conditionalFormatting sqref="X9">
    <cfRule type="cellIs" dxfId="101" priority="7" operator="equal">
      <formula>"Bajo"</formula>
    </cfRule>
  </conditionalFormatting>
  <conditionalFormatting sqref="X9">
    <cfRule type="cellIs" dxfId="100" priority="8" operator="equal">
      <formula>"Alto"</formula>
    </cfRule>
  </conditionalFormatting>
  <conditionalFormatting sqref="W10">
    <cfRule type="cellIs" dxfId="99" priority="9" operator="equal">
      <formula>"Extremo"</formula>
    </cfRule>
  </conditionalFormatting>
  <conditionalFormatting sqref="W10">
    <cfRule type="cellIs" dxfId="98" priority="10" operator="equal">
      <formula>"Moderado"</formula>
    </cfRule>
  </conditionalFormatting>
  <conditionalFormatting sqref="W10">
    <cfRule type="cellIs" dxfId="97" priority="11" operator="equal">
      <formula>"Bajo"</formula>
    </cfRule>
  </conditionalFormatting>
  <conditionalFormatting sqref="W10">
    <cfRule type="cellIs" dxfId="96" priority="12" operator="equal">
      <formula>"Alto"</formula>
    </cfRule>
  </conditionalFormatting>
  <conditionalFormatting sqref="X10">
    <cfRule type="cellIs" dxfId="95" priority="13" operator="equal">
      <formula>"Extremo"</formula>
    </cfRule>
  </conditionalFormatting>
  <conditionalFormatting sqref="X10">
    <cfRule type="cellIs" dxfId="94" priority="14" operator="equal">
      <formula>"Moderado"</formula>
    </cfRule>
  </conditionalFormatting>
  <conditionalFormatting sqref="X10">
    <cfRule type="cellIs" dxfId="93" priority="15" operator="equal">
      <formula>"Bajo"</formula>
    </cfRule>
  </conditionalFormatting>
  <conditionalFormatting sqref="X10">
    <cfRule type="cellIs" dxfId="92" priority="16" operator="equal">
      <formula>"Alto"</formula>
    </cfRule>
  </conditionalFormatting>
  <dataValidations count="2">
    <dataValidation type="list" allowBlank="1" showErrorMessage="1" sqref="X8:X9" xr:uid="{00000000-0002-0000-3700-000000000000}">
      <formula1>$U$4:$U$5</formula1>
    </dataValidation>
    <dataValidation type="list" allowBlank="1" showErrorMessage="1" sqref="J7:J11" xr:uid="{00000000-0002-0000-3700-000001000000}">
      <formula1>"SI,NO"</formula1>
    </dataValidation>
  </dataValidations>
  <pageMargins left="7.874015748031496E-2" right="7.874015748031496E-2" top="1.1417322834645669" bottom="0.15748031496062992" header="0" footer="0"/>
  <pageSetup orientation="landscape" r:id="rId1"/>
  <headerFooter>
    <oddHeader>&amp;C Matriz de Riesgos</oddHeader>
  </headerFooter>
  <rowBreaks count="2" manualBreakCount="2">
    <brk id="8" man="1"/>
    <brk id="10" man="1"/>
  </rowBreaks>
  <colBreaks count="1" manualBreakCount="1">
    <brk id="16"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ErrorMessage="1" xr:uid="{00000000-0002-0000-3700-000002000000}">
          <x14:formula1>
            <xm:f>'C:\Users\sgomez.UPME\Documents\UPME 2020\Documents\Mapas de riesgos\[Mapa de riesgos. Atencion ciudadano.xlsx]Datos'!#REF!</xm:f>
          </x14:formula1>
          <xm:sqref>G7:G11 X10:X11 D7:D11 X7</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AD1000"/>
  <sheetViews>
    <sheetView workbookViewId="0">
      <pane xSplit="3" ySplit="8" topLeftCell="D9" activePane="bottomRight" state="frozen"/>
      <selection pane="topRight" activeCell="D1" sqref="D1"/>
      <selection pane="bottomLeft" activeCell="A9" sqref="A9"/>
      <selection pane="bottomRight" activeCell="D9" sqref="D9"/>
    </sheetView>
  </sheetViews>
  <sheetFormatPr baseColWidth="10" defaultColWidth="12.625" defaultRowHeight="15" customHeight="1" x14ac:dyDescent="0.2"/>
  <cols>
    <col min="1" max="1" width="6.625" style="228" customWidth="1"/>
    <col min="2" max="2" width="16.75" style="228" customWidth="1"/>
    <col min="3" max="3" width="61.25" style="228" customWidth="1"/>
    <col min="4" max="4" width="22" style="228" customWidth="1"/>
    <col min="5" max="5" width="38" style="228" customWidth="1"/>
    <col min="6" max="10" width="21.75" style="228" customWidth="1"/>
    <col min="11" max="11" width="33.875" style="228" customWidth="1"/>
    <col min="12" max="12" width="21.75" style="228" customWidth="1"/>
    <col min="13" max="17" width="19.25" style="228" customWidth="1"/>
    <col min="18" max="18" width="22.625" style="228" customWidth="1"/>
    <col min="19" max="19" width="19.25" style="228" customWidth="1"/>
    <col min="20" max="20" width="8" style="228" customWidth="1"/>
    <col min="21" max="22" width="18.125" style="228" customWidth="1"/>
    <col min="23" max="23" width="17.75" style="228" customWidth="1"/>
    <col min="24" max="24" width="16.25" style="228" customWidth="1"/>
    <col min="25" max="25" width="15.25" style="228" customWidth="1"/>
    <col min="26" max="26" width="18.875" style="228" customWidth="1"/>
    <col min="27" max="27" width="15.625" style="228" customWidth="1"/>
    <col min="28" max="28" width="23.125" style="228" customWidth="1"/>
    <col min="29" max="29" width="22.25" style="228" customWidth="1"/>
    <col min="30" max="30" width="26.5" style="228" customWidth="1"/>
    <col min="31" max="16384" width="12.625" style="228"/>
  </cols>
  <sheetData>
    <row r="1" spans="1:30" ht="15.75" customHeight="1" x14ac:dyDescent="0.2">
      <c r="A1" s="1376"/>
      <c r="B1" s="1355"/>
      <c r="C1" s="1356"/>
      <c r="D1" s="1373" t="s">
        <v>0</v>
      </c>
      <c r="E1" s="1355"/>
      <c r="F1" s="1355"/>
      <c r="G1" s="1355"/>
      <c r="H1" s="1355"/>
      <c r="I1" s="1355"/>
      <c r="J1" s="1355"/>
      <c r="K1" s="1355"/>
      <c r="L1" s="1355"/>
      <c r="M1" s="1355"/>
      <c r="N1" s="1355"/>
      <c r="O1" s="1355"/>
      <c r="P1" s="1355"/>
      <c r="Q1" s="1355"/>
      <c r="R1" s="1355"/>
      <c r="S1" s="1355"/>
      <c r="T1" s="1355"/>
      <c r="U1" s="1355"/>
      <c r="V1" s="1355"/>
      <c r="W1" s="1355"/>
      <c r="X1" s="1355"/>
      <c r="Y1" s="1355"/>
      <c r="Z1" s="1355"/>
      <c r="AA1" s="1355"/>
      <c r="AB1" s="1356"/>
      <c r="AC1" s="1377" t="s">
        <v>128</v>
      </c>
      <c r="AD1" s="1356"/>
    </row>
    <row r="2" spans="1:30" ht="15.75" customHeight="1" x14ac:dyDescent="0.2">
      <c r="A2" s="1357"/>
      <c r="B2" s="1203"/>
      <c r="C2" s="1340"/>
      <c r="D2" s="1357"/>
      <c r="E2" s="1203"/>
      <c r="F2" s="1203"/>
      <c r="G2" s="1203"/>
      <c r="H2" s="1203"/>
      <c r="I2" s="1203"/>
      <c r="J2" s="1203"/>
      <c r="K2" s="1203"/>
      <c r="L2" s="1203"/>
      <c r="M2" s="1203"/>
      <c r="N2" s="1203"/>
      <c r="O2" s="1203"/>
      <c r="P2" s="1203"/>
      <c r="Q2" s="1203"/>
      <c r="R2" s="1203"/>
      <c r="S2" s="1203"/>
      <c r="T2" s="1203"/>
      <c r="U2" s="1203"/>
      <c r="V2" s="1203"/>
      <c r="W2" s="1203"/>
      <c r="X2" s="1203"/>
      <c r="Y2" s="1203"/>
      <c r="Z2" s="1203"/>
      <c r="AA2" s="1203"/>
      <c r="AB2" s="1340"/>
      <c r="AC2" s="1358"/>
      <c r="AD2" s="1341"/>
    </row>
    <row r="3" spans="1:30" ht="15.75" customHeight="1" x14ac:dyDescent="0.2">
      <c r="A3" s="1357"/>
      <c r="B3" s="1203"/>
      <c r="C3" s="1340"/>
      <c r="D3" s="1357"/>
      <c r="E3" s="1203"/>
      <c r="F3" s="1203"/>
      <c r="G3" s="1203"/>
      <c r="H3" s="1203"/>
      <c r="I3" s="1203"/>
      <c r="J3" s="1203"/>
      <c r="K3" s="1203"/>
      <c r="L3" s="1203"/>
      <c r="M3" s="1203"/>
      <c r="N3" s="1203"/>
      <c r="O3" s="1203"/>
      <c r="P3" s="1203"/>
      <c r="Q3" s="1203"/>
      <c r="R3" s="1203"/>
      <c r="S3" s="1203"/>
      <c r="T3" s="1203"/>
      <c r="U3" s="1203"/>
      <c r="V3" s="1203"/>
      <c r="W3" s="1203"/>
      <c r="X3" s="1203"/>
      <c r="Y3" s="1203"/>
      <c r="Z3" s="1203"/>
      <c r="AA3" s="1203"/>
      <c r="AB3" s="1340"/>
      <c r="AC3" s="1377" t="s">
        <v>2</v>
      </c>
      <c r="AD3" s="1356"/>
    </row>
    <row r="4" spans="1:30" ht="15.75" customHeight="1" x14ac:dyDescent="0.2">
      <c r="A4" s="1358"/>
      <c r="B4" s="1338"/>
      <c r="C4" s="1341"/>
      <c r="D4" s="1358"/>
      <c r="E4" s="1338"/>
      <c r="F4" s="1338"/>
      <c r="G4" s="1338"/>
      <c r="H4" s="1338"/>
      <c r="I4" s="1338"/>
      <c r="J4" s="1338"/>
      <c r="K4" s="1338"/>
      <c r="L4" s="1338"/>
      <c r="M4" s="1338"/>
      <c r="N4" s="1338"/>
      <c r="O4" s="1338"/>
      <c r="P4" s="1338"/>
      <c r="Q4" s="1338"/>
      <c r="R4" s="1338"/>
      <c r="S4" s="1338"/>
      <c r="T4" s="1338"/>
      <c r="U4" s="1338"/>
      <c r="V4" s="1338"/>
      <c r="W4" s="1338"/>
      <c r="X4" s="1338"/>
      <c r="Y4" s="1338"/>
      <c r="Z4" s="1338"/>
      <c r="AA4" s="1338"/>
      <c r="AB4" s="1341"/>
      <c r="AC4" s="1358"/>
      <c r="AD4" s="1341"/>
    </row>
    <row r="5" spans="1:30" ht="15.75" customHeight="1" x14ac:dyDescent="0.2">
      <c r="A5" s="1344" t="s">
        <v>36</v>
      </c>
      <c r="B5" s="1345"/>
      <c r="C5" s="1346"/>
      <c r="D5" s="1248" t="e">
        <f t="array" ref="D5">+#REF!</f>
        <v>#REF!</v>
      </c>
      <c r="E5" s="1345"/>
      <c r="F5" s="1345"/>
      <c r="G5" s="1345"/>
      <c r="H5" s="1345"/>
      <c r="I5" s="1345"/>
      <c r="J5" s="1345"/>
      <c r="K5" s="1345"/>
      <c r="L5" s="1345"/>
      <c r="M5" s="1345"/>
      <c r="N5" s="1345"/>
      <c r="O5" s="1345"/>
      <c r="P5" s="1345"/>
      <c r="Q5" s="1345"/>
      <c r="R5" s="1345"/>
      <c r="S5" s="1345"/>
      <c r="T5" s="1345"/>
      <c r="U5" s="1345"/>
      <c r="V5" s="1345"/>
      <c r="W5" s="1345"/>
      <c r="X5" s="1345"/>
      <c r="Y5" s="1345"/>
      <c r="Z5" s="1345"/>
      <c r="AA5" s="1345"/>
      <c r="AB5" s="1345"/>
      <c r="AC5" s="1345"/>
      <c r="AD5" s="1345"/>
    </row>
    <row r="6" spans="1:30" ht="15.75" customHeight="1" thickBot="1" x14ac:dyDescent="0.25">
      <c r="A6" s="1344" t="s">
        <v>37</v>
      </c>
      <c r="B6" s="1345"/>
      <c r="C6" s="1346"/>
      <c r="D6" s="1248" t="e">
        <f t="array" ref="D6">+#REF!</f>
        <v>#REF!</v>
      </c>
      <c r="E6" s="1345"/>
      <c r="F6" s="1345"/>
      <c r="G6" s="1345"/>
      <c r="H6" s="1345"/>
      <c r="I6" s="1345"/>
      <c r="J6" s="1345"/>
      <c r="K6" s="1345"/>
      <c r="L6" s="1345"/>
      <c r="M6" s="1345"/>
      <c r="N6" s="1345"/>
      <c r="O6" s="1345"/>
      <c r="P6" s="1345"/>
      <c r="Q6" s="1345"/>
      <c r="R6" s="1345"/>
      <c r="S6" s="1345"/>
      <c r="T6" s="1345"/>
      <c r="U6" s="1345"/>
      <c r="V6" s="1345"/>
      <c r="W6" s="1345"/>
      <c r="X6" s="1345"/>
      <c r="Y6" s="1345"/>
      <c r="Z6" s="1345"/>
      <c r="AA6" s="1345"/>
      <c r="AB6" s="1345"/>
      <c r="AC6" s="1345"/>
      <c r="AD6" s="1345"/>
    </row>
    <row r="7" spans="1:30" ht="15" customHeight="1" x14ac:dyDescent="0.2">
      <c r="A7" s="1378" t="s">
        <v>129</v>
      </c>
      <c r="B7" s="1363"/>
      <c r="C7" s="1363"/>
      <c r="D7" s="1363"/>
      <c r="E7" s="1363"/>
      <c r="F7" s="1363"/>
      <c r="G7" s="1363"/>
      <c r="H7" s="1363"/>
      <c r="I7" s="1363"/>
      <c r="J7" s="1363"/>
      <c r="K7" s="1363"/>
      <c r="L7" s="1379"/>
      <c r="M7" s="1380" t="s">
        <v>75</v>
      </c>
      <c r="N7" s="1363"/>
      <c r="O7" s="1363"/>
      <c r="P7" s="1363"/>
      <c r="Q7" s="1363"/>
      <c r="R7" s="1363"/>
      <c r="S7" s="1363"/>
      <c r="T7" s="1363"/>
      <c r="U7" s="1363"/>
      <c r="V7" s="1363"/>
      <c r="W7" s="1363"/>
      <c r="X7" s="1363"/>
      <c r="Y7" s="1379"/>
      <c r="Z7" s="1381" t="s">
        <v>130</v>
      </c>
      <c r="AA7" s="1363"/>
      <c r="AB7" s="1379"/>
      <c r="AC7" s="1382" t="s">
        <v>131</v>
      </c>
      <c r="AD7" s="1364"/>
    </row>
    <row r="8" spans="1:30" ht="12.75" customHeight="1" x14ac:dyDescent="0.2">
      <c r="A8" s="369" t="s">
        <v>44</v>
      </c>
      <c r="B8" s="335" t="s">
        <v>64</v>
      </c>
      <c r="C8" s="335" t="s">
        <v>132</v>
      </c>
      <c r="D8" s="335" t="s">
        <v>73</v>
      </c>
      <c r="E8" s="335" t="s">
        <v>133</v>
      </c>
      <c r="F8" s="335" t="s">
        <v>134</v>
      </c>
      <c r="G8" s="335" t="s">
        <v>135</v>
      </c>
      <c r="H8" s="335" t="s">
        <v>136</v>
      </c>
      <c r="I8" s="335" t="s">
        <v>137</v>
      </c>
      <c r="J8" s="335" t="s">
        <v>138</v>
      </c>
      <c r="K8" s="335" t="s">
        <v>139</v>
      </c>
      <c r="L8" s="335" t="s">
        <v>140</v>
      </c>
      <c r="M8" s="335" t="s">
        <v>134</v>
      </c>
      <c r="N8" s="335" t="s">
        <v>135</v>
      </c>
      <c r="O8" s="335" t="s">
        <v>141</v>
      </c>
      <c r="P8" s="335" t="s">
        <v>137</v>
      </c>
      <c r="Q8" s="335" t="s">
        <v>138</v>
      </c>
      <c r="R8" s="335" t="s">
        <v>139</v>
      </c>
      <c r="S8" s="335" t="s">
        <v>140</v>
      </c>
      <c r="T8" s="336" t="s">
        <v>121</v>
      </c>
      <c r="U8" s="335" t="s">
        <v>142</v>
      </c>
      <c r="V8" s="335" t="s">
        <v>143</v>
      </c>
      <c r="W8" s="335" t="s">
        <v>142</v>
      </c>
      <c r="X8" s="335" t="s">
        <v>143</v>
      </c>
      <c r="Y8" s="335" t="s">
        <v>144</v>
      </c>
      <c r="Z8" s="335" t="s">
        <v>145</v>
      </c>
      <c r="AA8" s="335" t="s">
        <v>146</v>
      </c>
      <c r="AB8" s="335" t="s">
        <v>76</v>
      </c>
      <c r="AC8" s="335" t="s">
        <v>147</v>
      </c>
      <c r="AD8" s="371" t="s">
        <v>148</v>
      </c>
    </row>
    <row r="9" spans="1:30" ht="267" customHeight="1" x14ac:dyDescent="0.2">
      <c r="A9" s="459" t="e">
        <f>#REF!</f>
        <v>#REF!</v>
      </c>
      <c r="B9" s="397" t="e">
        <f>#REF!</f>
        <v>#REF!</v>
      </c>
      <c r="C9" s="397" t="e">
        <f>#REF!</f>
        <v>#REF!</v>
      </c>
      <c r="D9" s="397" t="str">
        <f>'[8]Analisis Riesgo'!K7</f>
        <v xml:space="preserve">Elaboración de informes de seguimiento a las actividades contenidas en el Plan Anticorrupción </v>
      </c>
      <c r="E9" s="397" t="str">
        <f>'[8]Analisis Riesgo'!L7</f>
        <v>Seguimiento  a las actividades contenidas en el Plan anticorrupción, permanente por parte del lider del proceso; por parte del Comité de Gestión y Desempeño periodicamente; y por parte de Control Interno cuatrimestralmente.</v>
      </c>
      <c r="F9" s="276" t="s">
        <v>296</v>
      </c>
      <c r="G9" s="276" t="s">
        <v>299</v>
      </c>
      <c r="H9" s="276" t="s">
        <v>300</v>
      </c>
      <c r="I9" s="276" t="s">
        <v>301</v>
      </c>
      <c r="J9" s="276" t="s">
        <v>302</v>
      </c>
      <c r="K9" s="277" t="s">
        <v>303</v>
      </c>
      <c r="L9" s="276" t="s">
        <v>304</v>
      </c>
      <c r="M9" s="278">
        <f t="shared" ref="M9:M13" si="0">IF(F9="Asignado", 15,0)</f>
        <v>15</v>
      </c>
      <c r="N9" s="278">
        <f t="shared" ref="N9:N13" si="1">IF(G9="Adecuado",15,0)</f>
        <v>15</v>
      </c>
      <c r="O9" s="278">
        <f t="shared" ref="O9:O13" si="2">IF(H9="Oportuna",15,0)</f>
        <v>15</v>
      </c>
      <c r="P9" s="278">
        <f t="shared" ref="P9:P13" si="3">IF(I9="Prevenir",15,IF(I9="Detectar",10,0))</f>
        <v>15</v>
      </c>
      <c r="Q9" s="278">
        <f t="shared" ref="Q9:Q13" si="4">IF(J9="Confiable", 15,0)</f>
        <v>15</v>
      </c>
      <c r="R9" s="375">
        <v>15</v>
      </c>
      <c r="S9" s="278">
        <f t="shared" ref="S9:S13" si="5">IF(L9="Completa",10,IF(L9="Incompleta",5,0))</f>
        <v>10</v>
      </c>
      <c r="T9" s="278">
        <f t="shared" ref="T9:T13" si="6">SUM(M9:S9)</f>
        <v>100</v>
      </c>
      <c r="U9" s="276" t="s">
        <v>122</v>
      </c>
      <c r="V9" s="276" t="s">
        <v>122</v>
      </c>
      <c r="W9" s="278">
        <f t="shared" ref="W9:W13" si="7">IF(U9="SI",1,0)*T9/100</f>
        <v>1</v>
      </c>
      <c r="X9" s="278">
        <f t="shared" ref="X9:X13" si="8">IF(V9="SI",1,0)*T9/100</f>
        <v>1</v>
      </c>
      <c r="Y9" s="278" t="str">
        <f t="shared" ref="Y9:Y13" si="9">IF(W9&gt;=0.96,"Fuerte",IF(W9&gt;=0.86,"Moderado","Debil"))</f>
        <v>Fuerte</v>
      </c>
      <c r="Z9" s="276" t="s">
        <v>305</v>
      </c>
      <c r="AA9" s="278" t="str">
        <f t="shared" ref="AA9:AA13" si="10">IF(Z9="Siempre se ejecuta","Fuerte",IF(Z9="Algunas veces se ejecuta","Moderado","Debil"))</f>
        <v>Fuerte</v>
      </c>
      <c r="AB9" s="278" t="str">
        <f t="shared" ref="AB9:AB13" si="11">IF(Y9="Fuerte",IF(AA9="Fuerte","No","SI"),"SI")</f>
        <v>No</v>
      </c>
      <c r="AC9" s="279" t="s">
        <v>832</v>
      </c>
      <c r="AD9" s="280"/>
    </row>
    <row r="10" spans="1:30" ht="177.75" customHeight="1" x14ac:dyDescent="0.2">
      <c r="A10" s="459" t="e">
        <f>#REF!</f>
        <v>#REF!</v>
      </c>
      <c r="B10" s="397" t="e">
        <f>#REF!</f>
        <v>#REF!</v>
      </c>
      <c r="C10" s="397" t="e">
        <f>#REF!</f>
        <v>#REF!</v>
      </c>
      <c r="D10" s="397" t="str">
        <f>'[8]Analisis Riesgo'!K8</f>
        <v>Seguimiento a traves de Matriz. Elaboración de Informe semestral de PQRS. Elaboración Informe de PQRS-Control Interno</v>
      </c>
      <c r="E10" s="397" t="str">
        <f>'[8]Analisis Riesgo'!L8</f>
        <v xml:space="preserve">Se realiza registro y seguimiento a las PQRS a traves de la "matriz de seguimiento de PQRS" (documento sin control (SGC)). 'Se elabora informe semestral  de PQRS por parte del servidor que cumple las funciones de servicio y atención al ciudadano. 'Control interno realiza Informe semestral de PQRS </v>
      </c>
      <c r="F10" s="276" t="s">
        <v>833</v>
      </c>
      <c r="G10" s="276" t="s">
        <v>834</v>
      </c>
      <c r="H10" s="276" t="s">
        <v>300</v>
      </c>
      <c r="I10" s="276" t="s">
        <v>301</v>
      </c>
      <c r="J10" s="276" t="s">
        <v>302</v>
      </c>
      <c r="K10" s="277" t="s">
        <v>368</v>
      </c>
      <c r="L10" s="276" t="s">
        <v>304</v>
      </c>
      <c r="M10" s="278">
        <f t="shared" si="0"/>
        <v>0</v>
      </c>
      <c r="N10" s="278">
        <f t="shared" si="1"/>
        <v>0</v>
      </c>
      <c r="O10" s="278">
        <f t="shared" si="2"/>
        <v>15</v>
      </c>
      <c r="P10" s="278">
        <f t="shared" si="3"/>
        <v>15</v>
      </c>
      <c r="Q10" s="278">
        <f t="shared" si="4"/>
        <v>15</v>
      </c>
      <c r="R10" s="278">
        <f t="shared" ref="R10:R12" si="12">IF(K10="Se invesigan y resuelven oportunamente",15,0)</f>
        <v>15</v>
      </c>
      <c r="S10" s="278">
        <f t="shared" si="5"/>
        <v>10</v>
      </c>
      <c r="T10" s="278">
        <f t="shared" si="6"/>
        <v>70</v>
      </c>
      <c r="U10" s="276" t="s">
        <v>122</v>
      </c>
      <c r="V10" s="276" t="s">
        <v>122</v>
      </c>
      <c r="W10" s="278">
        <f t="shared" si="7"/>
        <v>0.7</v>
      </c>
      <c r="X10" s="278">
        <f t="shared" si="8"/>
        <v>0.7</v>
      </c>
      <c r="Y10" s="278" t="str">
        <f t="shared" si="9"/>
        <v>Debil</v>
      </c>
      <c r="Z10" s="276" t="s">
        <v>305</v>
      </c>
      <c r="AA10" s="278" t="str">
        <f t="shared" si="10"/>
        <v>Fuerte</v>
      </c>
      <c r="AB10" s="278" t="str">
        <f t="shared" si="11"/>
        <v>SI</v>
      </c>
      <c r="AC10" s="460" t="s">
        <v>835</v>
      </c>
      <c r="AD10" s="280"/>
    </row>
    <row r="11" spans="1:30" ht="183" customHeight="1" x14ac:dyDescent="0.2">
      <c r="A11" s="459" t="e">
        <f>#REF!</f>
        <v>#REF!</v>
      </c>
      <c r="B11" s="397" t="e">
        <f>#REF!</f>
        <v>#REF!</v>
      </c>
      <c r="C11" s="397" t="e">
        <f>#REF!</f>
        <v>#REF!</v>
      </c>
      <c r="D11" s="397" t="str">
        <f>'[8]Analisis Riesgo'!K9</f>
        <v xml:space="preserve">Seguimiento a traves de Matriz </v>
      </c>
      <c r="E11" s="397" t="str">
        <f>'[8]Analisis Riesgo'!L9</f>
        <v>Se realiza registro y seguimiento a las PQRS a traves de la "matriz de seguimiento de PQRS" (documento sin control (SGC))</v>
      </c>
      <c r="F11" s="276" t="s">
        <v>833</v>
      </c>
      <c r="G11" s="276" t="s">
        <v>834</v>
      </c>
      <c r="H11" s="276" t="s">
        <v>300</v>
      </c>
      <c r="I11" s="276" t="s">
        <v>301</v>
      </c>
      <c r="J11" s="276" t="s">
        <v>302</v>
      </c>
      <c r="K11" s="277" t="s">
        <v>368</v>
      </c>
      <c r="L11" s="276" t="s">
        <v>304</v>
      </c>
      <c r="M11" s="278">
        <f t="shared" si="0"/>
        <v>0</v>
      </c>
      <c r="N11" s="278">
        <f t="shared" si="1"/>
        <v>0</v>
      </c>
      <c r="O11" s="278">
        <f t="shared" si="2"/>
        <v>15</v>
      </c>
      <c r="P11" s="278">
        <f t="shared" si="3"/>
        <v>15</v>
      </c>
      <c r="Q11" s="278">
        <f t="shared" si="4"/>
        <v>15</v>
      </c>
      <c r="R11" s="278">
        <f t="shared" si="12"/>
        <v>15</v>
      </c>
      <c r="S11" s="278">
        <f t="shared" si="5"/>
        <v>10</v>
      </c>
      <c r="T11" s="278">
        <f t="shared" si="6"/>
        <v>70</v>
      </c>
      <c r="U11" s="276" t="s">
        <v>122</v>
      </c>
      <c r="V11" s="276" t="s">
        <v>122</v>
      </c>
      <c r="W11" s="278">
        <f t="shared" si="7"/>
        <v>0.7</v>
      </c>
      <c r="X11" s="278">
        <f t="shared" si="8"/>
        <v>0.7</v>
      </c>
      <c r="Y11" s="278" t="str">
        <f t="shared" si="9"/>
        <v>Debil</v>
      </c>
      <c r="Z11" s="276" t="s">
        <v>305</v>
      </c>
      <c r="AA11" s="278" t="str">
        <f t="shared" si="10"/>
        <v>Fuerte</v>
      </c>
      <c r="AB11" s="278" t="str">
        <f t="shared" si="11"/>
        <v>SI</v>
      </c>
      <c r="AC11" s="460" t="s">
        <v>835</v>
      </c>
      <c r="AD11" s="280"/>
    </row>
    <row r="12" spans="1:30" ht="12.75" customHeight="1" x14ac:dyDescent="0.2">
      <c r="A12" s="459" t="e">
        <f>#REF!</f>
        <v>#REF!</v>
      </c>
      <c r="B12" s="397" t="e">
        <f>#REF!</f>
        <v>#REF!</v>
      </c>
      <c r="C12" s="397" t="e">
        <f>#REF!</f>
        <v>#REF!</v>
      </c>
      <c r="D12" s="397" t="str">
        <f>'[8]Analisis Riesgo'!K10</f>
        <v>Asignación de responsables en el Procedimiento "Gestión de atención de PQRS"</v>
      </c>
      <c r="E12" s="397" t="str">
        <f>'[8]Analisis Riesgo'!L10</f>
        <v>Verificación de los contenidos de las respuestas por parte de los coordinadores, subdirectores o jefes de area, de acuerdo a lo establecido en el Procedimiento "Gestión de atención de PQRS"</v>
      </c>
      <c r="F12" s="276" t="s">
        <v>296</v>
      </c>
      <c r="G12" s="276" t="s">
        <v>299</v>
      </c>
      <c r="H12" s="276" t="s">
        <v>300</v>
      </c>
      <c r="I12" s="276" t="s">
        <v>301</v>
      </c>
      <c r="J12" s="276" t="s">
        <v>302</v>
      </c>
      <c r="K12" s="277" t="s">
        <v>368</v>
      </c>
      <c r="L12" s="276" t="s">
        <v>304</v>
      </c>
      <c r="M12" s="278">
        <f t="shared" si="0"/>
        <v>15</v>
      </c>
      <c r="N12" s="278">
        <f t="shared" si="1"/>
        <v>15</v>
      </c>
      <c r="O12" s="278">
        <f t="shared" si="2"/>
        <v>15</v>
      </c>
      <c r="P12" s="278">
        <f t="shared" si="3"/>
        <v>15</v>
      </c>
      <c r="Q12" s="278">
        <f t="shared" si="4"/>
        <v>15</v>
      </c>
      <c r="R12" s="278">
        <f t="shared" si="12"/>
        <v>15</v>
      </c>
      <c r="S12" s="278">
        <f t="shared" si="5"/>
        <v>10</v>
      </c>
      <c r="T12" s="278">
        <f t="shared" si="6"/>
        <v>100</v>
      </c>
      <c r="U12" s="276" t="s">
        <v>122</v>
      </c>
      <c r="V12" s="276" t="s">
        <v>122</v>
      </c>
      <c r="W12" s="278">
        <f t="shared" si="7"/>
        <v>1</v>
      </c>
      <c r="X12" s="278">
        <f t="shared" si="8"/>
        <v>1</v>
      </c>
      <c r="Y12" s="278" t="str">
        <f t="shared" si="9"/>
        <v>Fuerte</v>
      </c>
      <c r="Z12" s="276" t="s">
        <v>305</v>
      </c>
      <c r="AA12" s="278" t="str">
        <f t="shared" si="10"/>
        <v>Fuerte</v>
      </c>
      <c r="AB12" s="278" t="str">
        <f t="shared" si="11"/>
        <v>No</v>
      </c>
      <c r="AC12" s="279" t="s">
        <v>836</v>
      </c>
      <c r="AD12" s="280"/>
    </row>
    <row r="13" spans="1:30" ht="12.75" customHeight="1" x14ac:dyDescent="0.2">
      <c r="A13" s="459" t="e">
        <f>#REF!</f>
        <v>#REF!</v>
      </c>
      <c r="B13" s="397" t="e">
        <f>#REF!</f>
        <v>#REF!</v>
      </c>
      <c r="C13" s="397" t="e">
        <f>#REF!</f>
        <v>#REF!</v>
      </c>
      <c r="D13" s="397" t="str">
        <f>'[8]Analisis Riesgo'!K11</f>
        <v>Elaboración de informes de seguimiento a las actividades contenidas en el Plan Anticorrupción . Verificación de la información contenida en los informes de atención al Ciudadano por parte del Coordinador del Proceso</v>
      </c>
      <c r="E13" s="397" t="str">
        <f>'[8]Analisis Riesgo'!L11</f>
        <v>Seguimiento  a las actividades contenidas en el Plan anticorrupción, permanente por parte del lider del proceso; por parte del Comité de Gestión y Desempeño periodicamente; y por parte de Control Interno cuatrimestralmente. Verificación y visto bueno de la información contenida en los informes de atención al Ciudadano por parte del Coordinador del Proceso</v>
      </c>
      <c r="F13" s="276" t="s">
        <v>296</v>
      </c>
      <c r="G13" s="276" t="s">
        <v>299</v>
      </c>
      <c r="H13" s="276" t="s">
        <v>300</v>
      </c>
      <c r="I13" s="276" t="s">
        <v>301</v>
      </c>
      <c r="J13" s="276" t="s">
        <v>302</v>
      </c>
      <c r="K13" s="277" t="s">
        <v>303</v>
      </c>
      <c r="L13" s="276" t="s">
        <v>304</v>
      </c>
      <c r="M13" s="278">
        <f t="shared" si="0"/>
        <v>15</v>
      </c>
      <c r="N13" s="278">
        <f t="shared" si="1"/>
        <v>15</v>
      </c>
      <c r="O13" s="278">
        <f t="shared" si="2"/>
        <v>15</v>
      </c>
      <c r="P13" s="278">
        <f t="shared" si="3"/>
        <v>15</v>
      </c>
      <c r="Q13" s="278">
        <f t="shared" si="4"/>
        <v>15</v>
      </c>
      <c r="R13" s="375">
        <v>15</v>
      </c>
      <c r="S13" s="278">
        <f t="shared" si="5"/>
        <v>10</v>
      </c>
      <c r="T13" s="278">
        <f t="shared" si="6"/>
        <v>100</v>
      </c>
      <c r="U13" s="276" t="s">
        <v>122</v>
      </c>
      <c r="V13" s="276" t="s">
        <v>122</v>
      </c>
      <c r="W13" s="278">
        <f t="shared" si="7"/>
        <v>1</v>
      </c>
      <c r="X13" s="278">
        <f t="shared" si="8"/>
        <v>1</v>
      </c>
      <c r="Y13" s="278" t="str">
        <f t="shared" si="9"/>
        <v>Fuerte</v>
      </c>
      <c r="Z13" s="276" t="s">
        <v>305</v>
      </c>
      <c r="AA13" s="278" t="str">
        <f t="shared" si="10"/>
        <v>Fuerte</v>
      </c>
      <c r="AB13" s="278" t="str">
        <f t="shared" si="11"/>
        <v>No</v>
      </c>
      <c r="AC13" s="279" t="s">
        <v>832</v>
      </c>
      <c r="AD13" s="280"/>
    </row>
    <row r="14" spans="1:30" ht="12.75" customHeight="1" x14ac:dyDescent="0.2">
      <c r="A14" s="378"/>
      <c r="B14" s="378"/>
      <c r="C14" s="378"/>
      <c r="D14" s="380"/>
      <c r="E14" s="380"/>
      <c r="F14" s="378"/>
      <c r="G14" s="378"/>
      <c r="H14" s="378"/>
      <c r="I14" s="378"/>
      <c r="J14" s="378"/>
      <c r="K14" s="378"/>
      <c r="L14" s="378"/>
      <c r="M14" s="381"/>
      <c r="N14" s="381"/>
      <c r="O14" s="381"/>
      <c r="P14" s="381"/>
      <c r="Q14" s="381"/>
      <c r="R14" s="381"/>
      <c r="S14" s="381"/>
      <c r="T14" s="381"/>
      <c r="U14" s="381"/>
      <c r="V14" s="381"/>
      <c r="W14" s="381"/>
      <c r="X14" s="381"/>
      <c r="Y14" s="381"/>
      <c r="Z14" s="381"/>
      <c r="AA14" s="381"/>
      <c r="AB14" s="381"/>
      <c r="AC14" s="382"/>
      <c r="AD14" s="382"/>
    </row>
    <row r="15" spans="1:30" ht="12.75" customHeight="1" x14ac:dyDescent="0.2">
      <c r="A15" s="378"/>
      <c r="B15" s="378"/>
      <c r="C15" s="378"/>
      <c r="D15" s="380"/>
      <c r="E15" s="380"/>
      <c r="F15" s="378"/>
      <c r="G15" s="378"/>
      <c r="H15" s="378"/>
      <c r="I15" s="378"/>
      <c r="J15" s="378"/>
      <c r="K15" s="378"/>
      <c r="L15" s="378"/>
      <c r="M15" s="381"/>
      <c r="N15" s="381"/>
      <c r="O15" s="381"/>
      <c r="P15" s="381"/>
      <c r="Q15" s="381"/>
      <c r="R15" s="381"/>
      <c r="S15" s="381"/>
      <c r="T15" s="381"/>
      <c r="U15" s="381"/>
      <c r="V15" s="381"/>
      <c r="W15" s="381"/>
      <c r="X15" s="381"/>
      <c r="Y15" s="381"/>
      <c r="Z15" s="381"/>
      <c r="AA15" s="381"/>
      <c r="AB15" s="381"/>
      <c r="AC15" s="382"/>
      <c r="AD15" s="382"/>
    </row>
    <row r="16" spans="1:30" ht="12.75" customHeight="1" x14ac:dyDescent="0.2">
      <c r="A16" s="378"/>
      <c r="B16" s="378"/>
      <c r="C16" s="378"/>
      <c r="D16" s="380"/>
      <c r="E16" s="380"/>
      <c r="F16" s="378"/>
      <c r="G16" s="378"/>
      <c r="H16" s="378"/>
      <c r="I16" s="378"/>
      <c r="J16" s="378"/>
      <c r="K16" s="378"/>
      <c r="L16" s="378"/>
      <c r="M16" s="381"/>
      <c r="N16" s="381"/>
      <c r="O16" s="381"/>
      <c r="P16" s="381"/>
      <c r="Q16" s="381"/>
      <c r="R16" s="381"/>
      <c r="S16" s="381"/>
      <c r="T16" s="381"/>
      <c r="U16" s="381"/>
      <c r="V16" s="381"/>
      <c r="W16" s="381"/>
      <c r="X16" s="381"/>
      <c r="Y16" s="381"/>
      <c r="Z16" s="381"/>
      <c r="AA16" s="381"/>
      <c r="AB16" s="381"/>
      <c r="AC16" s="382"/>
      <c r="AD16" s="382"/>
    </row>
    <row r="17" spans="1:30" ht="12.75" customHeight="1" x14ac:dyDescent="0.2">
      <c r="A17" s="378"/>
      <c r="B17" s="378"/>
      <c r="C17" s="378"/>
      <c r="D17" s="380"/>
      <c r="E17" s="380"/>
      <c r="F17" s="378"/>
      <c r="G17" s="378"/>
      <c r="H17" s="378"/>
      <c r="I17" s="378"/>
      <c r="J17" s="378"/>
      <c r="K17" s="378"/>
      <c r="L17" s="378"/>
      <c r="M17" s="381"/>
      <c r="N17" s="381"/>
      <c r="O17" s="381"/>
      <c r="P17" s="381"/>
      <c r="Q17" s="381"/>
      <c r="R17" s="381"/>
      <c r="S17" s="381"/>
      <c r="T17" s="381"/>
      <c r="U17" s="381"/>
      <c r="V17" s="381"/>
      <c r="W17" s="381"/>
      <c r="X17" s="381"/>
      <c r="Y17" s="381"/>
      <c r="Z17" s="381"/>
      <c r="AA17" s="381"/>
      <c r="AB17" s="381"/>
      <c r="AC17" s="382"/>
      <c r="AD17" s="382"/>
    </row>
    <row r="18" spans="1:30" ht="12.75" customHeight="1" x14ac:dyDescent="0.2">
      <c r="A18" s="378"/>
      <c r="B18" s="378"/>
      <c r="C18" s="378"/>
      <c r="D18" s="380"/>
      <c r="E18" s="380"/>
      <c r="F18" s="378"/>
      <c r="G18" s="378"/>
      <c r="H18" s="378"/>
      <c r="I18" s="378"/>
      <c r="J18" s="378"/>
      <c r="K18" s="378"/>
      <c r="L18" s="378"/>
      <c r="M18" s="381"/>
      <c r="N18" s="381"/>
      <c r="O18" s="381"/>
      <c r="P18" s="381"/>
      <c r="Q18" s="381"/>
      <c r="R18" s="381"/>
      <c r="S18" s="381"/>
      <c r="T18" s="381"/>
      <c r="U18" s="381"/>
      <c r="V18" s="381"/>
      <c r="W18" s="381"/>
      <c r="X18" s="381"/>
      <c r="Y18" s="381"/>
      <c r="Z18" s="381"/>
      <c r="AA18" s="381"/>
      <c r="AB18" s="381"/>
      <c r="AC18" s="382"/>
      <c r="AD18" s="382"/>
    </row>
    <row r="19" spans="1:30" ht="12.75" customHeight="1" x14ac:dyDescent="0.2">
      <c r="A19" s="378"/>
      <c r="B19" s="378"/>
      <c r="C19" s="378"/>
      <c r="D19" s="380"/>
      <c r="E19" s="380"/>
      <c r="F19" s="378"/>
      <c r="G19" s="378"/>
      <c r="H19" s="378"/>
      <c r="I19" s="378"/>
      <c r="J19" s="378"/>
      <c r="K19" s="378"/>
      <c r="L19" s="378"/>
      <c r="M19" s="381"/>
      <c r="N19" s="381"/>
      <c r="O19" s="381"/>
      <c r="P19" s="381"/>
      <c r="Q19" s="381"/>
      <c r="R19" s="381"/>
      <c r="S19" s="381"/>
      <c r="T19" s="381"/>
      <c r="U19" s="381"/>
      <c r="V19" s="381"/>
      <c r="W19" s="381"/>
      <c r="X19" s="381"/>
      <c r="Y19" s="381"/>
      <c r="Z19" s="381"/>
      <c r="AA19" s="381"/>
      <c r="AB19" s="381"/>
      <c r="AC19" s="382"/>
      <c r="AD19" s="382"/>
    </row>
    <row r="20" spans="1:30" ht="12.75" customHeight="1" x14ac:dyDescent="0.2">
      <c r="A20" s="378"/>
      <c r="B20" s="378"/>
      <c r="C20" s="378"/>
      <c r="D20" s="380"/>
      <c r="E20" s="380"/>
      <c r="F20" s="378"/>
      <c r="G20" s="378"/>
      <c r="H20" s="378"/>
      <c r="I20" s="378"/>
      <c r="J20" s="378"/>
      <c r="K20" s="378"/>
      <c r="L20" s="378"/>
      <c r="M20" s="381"/>
      <c r="N20" s="381"/>
      <c r="O20" s="381"/>
      <c r="P20" s="381"/>
      <c r="Q20" s="381"/>
      <c r="R20" s="381"/>
      <c r="S20" s="381"/>
      <c r="T20" s="381"/>
      <c r="U20" s="381"/>
      <c r="V20" s="381"/>
      <c r="W20" s="381"/>
      <c r="X20" s="381"/>
      <c r="Y20" s="381"/>
      <c r="Z20" s="381"/>
      <c r="AA20" s="381"/>
      <c r="AB20" s="381"/>
      <c r="AC20" s="382"/>
      <c r="AD20" s="382"/>
    </row>
    <row r="21" spans="1:30" ht="12.75" customHeight="1" x14ac:dyDescent="0.2">
      <c r="A21" s="378"/>
      <c r="B21" s="378"/>
      <c r="C21" s="378"/>
      <c r="D21" s="380"/>
      <c r="E21" s="380"/>
      <c r="F21" s="378"/>
      <c r="G21" s="378"/>
      <c r="H21" s="378"/>
      <c r="I21" s="378"/>
      <c r="J21" s="378"/>
      <c r="K21" s="378"/>
      <c r="L21" s="378"/>
      <c r="M21" s="381"/>
      <c r="N21" s="381"/>
      <c r="O21" s="381"/>
      <c r="P21" s="381"/>
      <c r="Q21" s="381"/>
      <c r="R21" s="381"/>
      <c r="S21" s="381"/>
      <c r="T21" s="381"/>
      <c r="U21" s="381"/>
      <c r="V21" s="381"/>
      <c r="W21" s="381"/>
      <c r="X21" s="381"/>
      <c r="Y21" s="381"/>
      <c r="Z21" s="381"/>
      <c r="AA21" s="381"/>
      <c r="AB21" s="381"/>
      <c r="AC21" s="382"/>
      <c r="AD21" s="382"/>
    </row>
    <row r="22" spans="1:30" ht="12.75" customHeight="1" x14ac:dyDescent="0.2">
      <c r="A22" s="378"/>
      <c r="B22" s="378"/>
      <c r="C22" s="378"/>
      <c r="D22" s="380"/>
      <c r="E22" s="380"/>
      <c r="F22" s="378"/>
      <c r="G22" s="378"/>
      <c r="H22" s="378"/>
      <c r="I22" s="378"/>
      <c r="J22" s="378"/>
      <c r="K22" s="378"/>
      <c r="L22" s="378"/>
      <c r="M22" s="381"/>
      <c r="N22" s="381"/>
      <c r="O22" s="381"/>
      <c r="P22" s="381"/>
      <c r="Q22" s="381"/>
      <c r="R22" s="381"/>
      <c r="S22" s="381"/>
      <c r="T22" s="381"/>
      <c r="U22" s="381"/>
      <c r="V22" s="381"/>
      <c r="W22" s="381"/>
      <c r="X22" s="381"/>
      <c r="Y22" s="381"/>
      <c r="Z22" s="381"/>
      <c r="AA22" s="381"/>
      <c r="AB22" s="381"/>
      <c r="AC22" s="382"/>
      <c r="AD22" s="382"/>
    </row>
    <row r="23" spans="1:30" ht="12.75" customHeight="1" x14ac:dyDescent="0.2">
      <c r="A23" s="378"/>
      <c r="B23" s="378"/>
      <c r="C23" s="378"/>
      <c r="D23" s="380"/>
      <c r="E23" s="380"/>
      <c r="F23" s="378"/>
      <c r="G23" s="378"/>
      <c r="H23" s="378"/>
      <c r="I23" s="378"/>
      <c r="J23" s="378"/>
      <c r="K23" s="378"/>
      <c r="L23" s="378"/>
      <c r="M23" s="381"/>
      <c r="N23" s="381"/>
      <c r="O23" s="381"/>
      <c r="P23" s="381"/>
      <c r="Q23" s="381"/>
      <c r="R23" s="381"/>
      <c r="S23" s="381"/>
      <c r="T23" s="381"/>
      <c r="U23" s="381"/>
      <c r="V23" s="381"/>
      <c r="W23" s="381"/>
      <c r="X23" s="381"/>
      <c r="Y23" s="381"/>
      <c r="Z23" s="381"/>
      <c r="AA23" s="381"/>
      <c r="AB23" s="381"/>
      <c r="AC23" s="382"/>
      <c r="AD23" s="382"/>
    </row>
    <row r="24" spans="1:30" ht="12.75" customHeight="1" x14ac:dyDescent="0.2">
      <c r="A24" s="378"/>
      <c r="B24" s="378"/>
      <c r="C24" s="378"/>
      <c r="D24" s="380"/>
      <c r="E24" s="380"/>
      <c r="F24" s="378"/>
      <c r="G24" s="378"/>
      <c r="H24" s="378"/>
      <c r="I24" s="378"/>
      <c r="J24" s="378"/>
      <c r="K24" s="378"/>
      <c r="L24" s="378"/>
      <c r="M24" s="381"/>
      <c r="N24" s="381"/>
      <c r="O24" s="381"/>
      <c r="P24" s="381"/>
      <c r="Q24" s="381"/>
      <c r="R24" s="381"/>
      <c r="S24" s="381"/>
      <c r="T24" s="381"/>
      <c r="U24" s="381"/>
      <c r="V24" s="381"/>
      <c r="W24" s="381"/>
      <c r="X24" s="381"/>
      <c r="Y24" s="381"/>
      <c r="Z24" s="381"/>
      <c r="AA24" s="381"/>
      <c r="AB24" s="381"/>
      <c r="AC24" s="382"/>
      <c r="AD24" s="382"/>
    </row>
    <row r="25" spans="1:30" ht="12.75" customHeight="1" x14ac:dyDescent="0.2">
      <c r="A25" s="378"/>
      <c r="B25" s="378"/>
      <c r="C25" s="378"/>
      <c r="D25" s="380"/>
      <c r="E25" s="380"/>
      <c r="F25" s="378"/>
      <c r="G25" s="378"/>
      <c r="H25" s="378"/>
      <c r="I25" s="378"/>
      <c r="J25" s="378"/>
      <c r="K25" s="378"/>
      <c r="L25" s="378"/>
      <c r="M25" s="381"/>
      <c r="N25" s="381"/>
      <c r="O25" s="381"/>
      <c r="P25" s="381"/>
      <c r="Q25" s="381"/>
      <c r="R25" s="381"/>
      <c r="S25" s="381"/>
      <c r="T25" s="381"/>
      <c r="U25" s="381"/>
      <c r="V25" s="381"/>
      <c r="W25" s="381"/>
      <c r="X25" s="381"/>
      <c r="Y25" s="381"/>
      <c r="Z25" s="381"/>
      <c r="AA25" s="381"/>
      <c r="AB25" s="381"/>
      <c r="AC25" s="382"/>
      <c r="AD25" s="382"/>
    </row>
    <row r="26" spans="1:30" ht="12.75" customHeight="1" x14ac:dyDescent="0.2">
      <c r="A26" s="378"/>
      <c r="B26" s="378"/>
      <c r="C26" s="378"/>
      <c r="D26" s="380"/>
      <c r="E26" s="380"/>
      <c r="F26" s="378"/>
      <c r="G26" s="378"/>
      <c r="H26" s="378"/>
      <c r="I26" s="378"/>
      <c r="J26" s="378"/>
      <c r="K26" s="378"/>
      <c r="L26" s="378"/>
      <c r="M26" s="381"/>
      <c r="N26" s="381"/>
      <c r="O26" s="381"/>
      <c r="P26" s="381"/>
      <c r="Q26" s="381"/>
      <c r="R26" s="381"/>
      <c r="S26" s="381"/>
      <c r="T26" s="381"/>
      <c r="U26" s="381"/>
      <c r="V26" s="381"/>
      <c r="W26" s="381"/>
      <c r="X26" s="381"/>
      <c r="Y26" s="381"/>
      <c r="Z26" s="381"/>
      <c r="AA26" s="381"/>
      <c r="AB26" s="381"/>
      <c r="AC26" s="382"/>
      <c r="AD26" s="382"/>
    </row>
    <row r="27" spans="1:30" ht="12.75" customHeight="1" x14ac:dyDescent="0.2">
      <c r="A27" s="378"/>
      <c r="B27" s="378"/>
      <c r="C27" s="378"/>
      <c r="D27" s="380"/>
      <c r="E27" s="380"/>
      <c r="F27" s="378"/>
      <c r="G27" s="378"/>
      <c r="H27" s="378"/>
      <c r="I27" s="378"/>
      <c r="J27" s="378"/>
      <c r="K27" s="378"/>
      <c r="L27" s="378"/>
      <c r="M27" s="381"/>
      <c r="N27" s="381"/>
      <c r="O27" s="381"/>
      <c r="P27" s="381"/>
      <c r="Q27" s="381"/>
      <c r="R27" s="381"/>
      <c r="S27" s="381"/>
      <c r="T27" s="381"/>
      <c r="U27" s="381"/>
      <c r="V27" s="381"/>
      <c r="W27" s="381"/>
      <c r="X27" s="381"/>
      <c r="Y27" s="381"/>
      <c r="Z27" s="381"/>
      <c r="AA27" s="381"/>
      <c r="AB27" s="381"/>
      <c r="AC27" s="382"/>
      <c r="AD27" s="382"/>
    </row>
    <row r="28" spans="1:30" ht="12.75" customHeight="1" x14ac:dyDescent="0.2">
      <c r="A28" s="378"/>
      <c r="B28" s="378"/>
      <c r="C28" s="378"/>
      <c r="D28" s="380"/>
      <c r="E28" s="380"/>
      <c r="F28" s="378"/>
      <c r="G28" s="378"/>
      <c r="H28" s="378"/>
      <c r="I28" s="378"/>
      <c r="J28" s="378"/>
      <c r="K28" s="378"/>
      <c r="L28" s="378"/>
      <c r="M28" s="381"/>
      <c r="N28" s="381"/>
      <c r="O28" s="381"/>
      <c r="P28" s="381"/>
      <c r="Q28" s="381"/>
      <c r="R28" s="381"/>
      <c r="S28" s="381"/>
      <c r="T28" s="381"/>
      <c r="U28" s="381"/>
      <c r="V28" s="381"/>
      <c r="W28" s="381"/>
      <c r="X28" s="381"/>
      <c r="Y28" s="381"/>
      <c r="Z28" s="381"/>
      <c r="AA28" s="381"/>
      <c r="AB28" s="381"/>
      <c r="AC28" s="382"/>
      <c r="AD28" s="382"/>
    </row>
    <row r="29" spans="1:30" ht="12.75" customHeight="1" x14ac:dyDescent="0.2">
      <c r="A29" s="378"/>
      <c r="B29" s="378"/>
      <c r="C29" s="378"/>
      <c r="D29" s="380"/>
      <c r="E29" s="380"/>
      <c r="F29" s="378"/>
      <c r="G29" s="378"/>
      <c r="H29" s="378"/>
      <c r="I29" s="378"/>
      <c r="J29" s="378"/>
      <c r="K29" s="378"/>
      <c r="L29" s="378"/>
      <c r="M29" s="381"/>
      <c r="N29" s="381"/>
      <c r="O29" s="381"/>
      <c r="P29" s="381"/>
      <c r="Q29" s="381"/>
      <c r="R29" s="381"/>
      <c r="S29" s="381"/>
      <c r="T29" s="381"/>
      <c r="U29" s="381"/>
      <c r="V29" s="381"/>
      <c r="W29" s="381"/>
      <c r="X29" s="381"/>
      <c r="Y29" s="381"/>
      <c r="Z29" s="381"/>
      <c r="AA29" s="381"/>
      <c r="AB29" s="381"/>
      <c r="AC29" s="382"/>
      <c r="AD29" s="382"/>
    </row>
    <row r="30" spans="1:30" ht="12.75" customHeight="1" x14ac:dyDescent="0.2">
      <c r="A30" s="378"/>
      <c r="B30" s="378"/>
      <c r="C30" s="378"/>
      <c r="D30" s="380"/>
      <c r="E30" s="380"/>
      <c r="F30" s="378"/>
      <c r="G30" s="378"/>
      <c r="H30" s="378"/>
      <c r="I30" s="378"/>
      <c r="J30" s="378"/>
      <c r="K30" s="378"/>
      <c r="L30" s="378"/>
      <c r="M30" s="381"/>
      <c r="N30" s="381"/>
      <c r="O30" s="381"/>
      <c r="P30" s="381"/>
      <c r="Q30" s="381"/>
      <c r="R30" s="381"/>
      <c r="S30" s="381"/>
      <c r="T30" s="381"/>
      <c r="U30" s="381"/>
      <c r="V30" s="381"/>
      <c r="W30" s="381"/>
      <c r="X30" s="381"/>
      <c r="Y30" s="381"/>
      <c r="Z30" s="381"/>
      <c r="AA30" s="381"/>
      <c r="AB30" s="381"/>
      <c r="AC30" s="382"/>
      <c r="AD30" s="382"/>
    </row>
    <row r="31" spans="1:30" ht="12.75" customHeight="1" x14ac:dyDescent="0.2">
      <c r="A31" s="378"/>
      <c r="B31" s="378"/>
      <c r="C31" s="378"/>
      <c r="D31" s="380"/>
      <c r="E31" s="380"/>
      <c r="F31" s="378"/>
      <c r="G31" s="378"/>
      <c r="H31" s="378"/>
      <c r="I31" s="378"/>
      <c r="J31" s="378"/>
      <c r="K31" s="378"/>
      <c r="L31" s="378"/>
      <c r="M31" s="381"/>
      <c r="N31" s="381"/>
      <c r="O31" s="381"/>
      <c r="P31" s="381"/>
      <c r="Q31" s="381"/>
      <c r="R31" s="381"/>
      <c r="S31" s="381"/>
      <c r="T31" s="381"/>
      <c r="U31" s="381"/>
      <c r="V31" s="381"/>
      <c r="W31" s="381"/>
      <c r="X31" s="381"/>
      <c r="Y31" s="381"/>
      <c r="Z31" s="381"/>
      <c r="AA31" s="381"/>
      <c r="AB31" s="381"/>
      <c r="AC31" s="382"/>
      <c r="AD31" s="382"/>
    </row>
    <row r="32" spans="1:30" ht="12.75" customHeight="1" x14ac:dyDescent="0.2">
      <c r="A32" s="378"/>
      <c r="B32" s="378"/>
      <c r="C32" s="378"/>
      <c r="D32" s="380"/>
      <c r="E32" s="380"/>
      <c r="F32" s="378"/>
      <c r="G32" s="378"/>
      <c r="H32" s="378"/>
      <c r="I32" s="378"/>
      <c r="J32" s="378"/>
      <c r="K32" s="378"/>
      <c r="L32" s="378"/>
      <c r="M32" s="381"/>
      <c r="N32" s="381"/>
      <c r="O32" s="381"/>
      <c r="P32" s="381"/>
      <c r="Q32" s="381"/>
      <c r="R32" s="381"/>
      <c r="S32" s="381"/>
      <c r="T32" s="381"/>
      <c r="U32" s="381"/>
      <c r="V32" s="381"/>
      <c r="W32" s="381"/>
      <c r="X32" s="381"/>
      <c r="Y32" s="381"/>
      <c r="Z32" s="381"/>
      <c r="AA32" s="381"/>
      <c r="AB32" s="381"/>
      <c r="AC32" s="382"/>
      <c r="AD32" s="382"/>
    </row>
    <row r="33" spans="1:30" ht="12.75" customHeight="1" x14ac:dyDescent="0.2">
      <c r="A33" s="378"/>
      <c r="B33" s="378"/>
      <c r="C33" s="378"/>
      <c r="D33" s="380"/>
      <c r="E33" s="380"/>
      <c r="F33" s="378"/>
      <c r="G33" s="378"/>
      <c r="H33" s="378"/>
      <c r="I33" s="378"/>
      <c r="J33" s="378"/>
      <c r="K33" s="378"/>
      <c r="L33" s="378"/>
      <c r="M33" s="381"/>
      <c r="N33" s="381"/>
      <c r="O33" s="381"/>
      <c r="P33" s="381"/>
      <c r="Q33" s="381"/>
      <c r="R33" s="381"/>
      <c r="S33" s="381"/>
      <c r="T33" s="381"/>
      <c r="U33" s="381"/>
      <c r="V33" s="381"/>
      <c r="W33" s="381"/>
      <c r="X33" s="381"/>
      <c r="Y33" s="381"/>
      <c r="Z33" s="381"/>
      <c r="AA33" s="381"/>
      <c r="AB33" s="381"/>
      <c r="AC33" s="382"/>
      <c r="AD33" s="382"/>
    </row>
    <row r="34" spans="1:30" ht="12.75" customHeight="1" x14ac:dyDescent="0.2">
      <c r="A34" s="378"/>
      <c r="B34" s="378"/>
      <c r="C34" s="378"/>
      <c r="D34" s="380"/>
      <c r="E34" s="380"/>
      <c r="F34" s="378"/>
      <c r="G34" s="378"/>
      <c r="H34" s="378"/>
      <c r="I34" s="378"/>
      <c r="J34" s="378"/>
      <c r="K34" s="378"/>
      <c r="L34" s="378"/>
      <c r="M34" s="381"/>
      <c r="N34" s="381"/>
      <c r="O34" s="381"/>
      <c r="P34" s="381"/>
      <c r="Q34" s="381"/>
      <c r="R34" s="381"/>
      <c r="S34" s="381"/>
      <c r="T34" s="381"/>
      <c r="U34" s="381"/>
      <c r="V34" s="381"/>
      <c r="W34" s="381"/>
      <c r="X34" s="381"/>
      <c r="Y34" s="381"/>
      <c r="Z34" s="381"/>
      <c r="AA34" s="381"/>
      <c r="AB34" s="381"/>
      <c r="AC34" s="382"/>
      <c r="AD34" s="382"/>
    </row>
    <row r="35" spans="1:30" ht="12.75" customHeight="1" x14ac:dyDescent="0.2">
      <c r="A35" s="378"/>
      <c r="B35" s="378"/>
      <c r="C35" s="378"/>
      <c r="D35" s="380"/>
      <c r="E35" s="380"/>
      <c r="F35" s="378"/>
      <c r="G35" s="378"/>
      <c r="H35" s="378"/>
      <c r="I35" s="378"/>
      <c r="J35" s="378"/>
      <c r="K35" s="378"/>
      <c r="L35" s="378"/>
      <c r="M35" s="381"/>
      <c r="N35" s="381"/>
      <c r="O35" s="381"/>
      <c r="P35" s="381"/>
      <c r="Q35" s="381"/>
      <c r="R35" s="381"/>
      <c r="S35" s="381"/>
      <c r="T35" s="381"/>
      <c r="U35" s="381"/>
      <c r="V35" s="381"/>
      <c r="W35" s="381"/>
      <c r="X35" s="381"/>
      <c r="Y35" s="381"/>
      <c r="Z35" s="381"/>
      <c r="AA35" s="381"/>
      <c r="AB35" s="381"/>
      <c r="AC35" s="382"/>
      <c r="AD35" s="382"/>
    </row>
    <row r="36" spans="1:30" ht="12.75" customHeight="1" x14ac:dyDescent="0.2">
      <c r="A36" s="378"/>
      <c r="B36" s="378"/>
      <c r="C36" s="378"/>
      <c r="D36" s="380"/>
      <c r="E36" s="380"/>
      <c r="F36" s="378"/>
      <c r="G36" s="378"/>
      <c r="H36" s="378"/>
      <c r="I36" s="378"/>
      <c r="J36" s="378"/>
      <c r="K36" s="378"/>
      <c r="L36" s="378"/>
      <c r="M36" s="381"/>
      <c r="N36" s="381"/>
      <c r="O36" s="381"/>
      <c r="P36" s="381"/>
      <c r="Q36" s="381"/>
      <c r="R36" s="381"/>
      <c r="S36" s="381"/>
      <c r="T36" s="381"/>
      <c r="U36" s="381"/>
      <c r="V36" s="381"/>
      <c r="W36" s="381"/>
      <c r="X36" s="381"/>
      <c r="Y36" s="381"/>
      <c r="Z36" s="381"/>
      <c r="AA36" s="381"/>
      <c r="AB36" s="381"/>
      <c r="AC36" s="382"/>
      <c r="AD36" s="382"/>
    </row>
    <row r="37" spans="1:30" ht="12.75" customHeight="1" x14ac:dyDescent="0.2">
      <c r="A37" s="378"/>
      <c r="B37" s="378"/>
      <c r="C37" s="378"/>
      <c r="D37" s="380"/>
      <c r="E37" s="380"/>
      <c r="F37" s="378"/>
      <c r="G37" s="378"/>
      <c r="H37" s="378"/>
      <c r="I37" s="378"/>
      <c r="J37" s="378"/>
      <c r="K37" s="378"/>
      <c r="L37" s="378"/>
      <c r="M37" s="381"/>
      <c r="N37" s="381"/>
      <c r="O37" s="381"/>
      <c r="P37" s="381"/>
      <c r="Q37" s="381"/>
      <c r="R37" s="381"/>
      <c r="S37" s="381"/>
      <c r="T37" s="381"/>
      <c r="U37" s="381"/>
      <c r="V37" s="381"/>
      <c r="W37" s="381"/>
      <c r="X37" s="381"/>
      <c r="Y37" s="381"/>
      <c r="Z37" s="381"/>
      <c r="AA37" s="381"/>
      <c r="AB37" s="381"/>
      <c r="AC37" s="382"/>
      <c r="AD37" s="382"/>
    </row>
    <row r="38" spans="1:30" ht="12.75" customHeight="1" x14ac:dyDescent="0.2">
      <c r="A38" s="378"/>
      <c r="B38" s="378"/>
      <c r="C38" s="378"/>
      <c r="D38" s="380"/>
      <c r="E38" s="380"/>
      <c r="F38" s="378"/>
      <c r="G38" s="378"/>
      <c r="H38" s="378"/>
      <c r="I38" s="378"/>
      <c r="J38" s="378"/>
      <c r="K38" s="378"/>
      <c r="L38" s="378"/>
      <c r="M38" s="381"/>
      <c r="N38" s="381"/>
      <c r="O38" s="381"/>
      <c r="P38" s="381"/>
      <c r="Q38" s="381"/>
      <c r="R38" s="381"/>
      <c r="S38" s="381"/>
      <c r="T38" s="381"/>
      <c r="U38" s="381"/>
      <c r="V38" s="381"/>
      <c r="W38" s="381"/>
      <c r="X38" s="381"/>
      <c r="Y38" s="381"/>
      <c r="Z38" s="381"/>
      <c r="AA38" s="381"/>
      <c r="AB38" s="381"/>
      <c r="AC38" s="382"/>
      <c r="AD38" s="382"/>
    </row>
    <row r="39" spans="1:30" ht="12.75" customHeight="1" x14ac:dyDescent="0.2">
      <c r="A39" s="378"/>
      <c r="B39" s="378"/>
      <c r="C39" s="378"/>
      <c r="D39" s="380"/>
      <c r="E39" s="380"/>
      <c r="F39" s="378"/>
      <c r="G39" s="378"/>
      <c r="H39" s="378"/>
      <c r="I39" s="378"/>
      <c r="J39" s="378"/>
      <c r="K39" s="378"/>
      <c r="L39" s="378"/>
      <c r="M39" s="381"/>
      <c r="N39" s="381"/>
      <c r="O39" s="381"/>
      <c r="P39" s="381"/>
      <c r="Q39" s="381"/>
      <c r="R39" s="381"/>
      <c r="S39" s="381"/>
      <c r="T39" s="381"/>
      <c r="U39" s="381"/>
      <c r="V39" s="381"/>
      <c r="W39" s="381"/>
      <c r="X39" s="381"/>
      <c r="Y39" s="381"/>
      <c r="Z39" s="381"/>
      <c r="AA39" s="381"/>
      <c r="AB39" s="381"/>
      <c r="AC39" s="382"/>
      <c r="AD39" s="382"/>
    </row>
    <row r="40" spans="1:30" ht="12.75" customHeight="1" x14ac:dyDescent="0.2">
      <c r="A40" s="378"/>
      <c r="B40" s="378"/>
      <c r="C40" s="378"/>
      <c r="D40" s="380"/>
      <c r="E40" s="380"/>
      <c r="F40" s="378"/>
      <c r="G40" s="378"/>
      <c r="H40" s="378"/>
      <c r="I40" s="378"/>
      <c r="J40" s="378"/>
      <c r="K40" s="378"/>
      <c r="L40" s="378"/>
      <c r="M40" s="381"/>
      <c r="N40" s="381"/>
      <c r="O40" s="381"/>
      <c r="P40" s="381"/>
      <c r="Q40" s="381"/>
      <c r="R40" s="381"/>
      <c r="S40" s="381"/>
      <c r="T40" s="381"/>
      <c r="U40" s="381"/>
      <c r="V40" s="381"/>
      <c r="W40" s="381"/>
      <c r="X40" s="381"/>
      <c r="Y40" s="381"/>
      <c r="Z40" s="381"/>
      <c r="AA40" s="381"/>
      <c r="AB40" s="381"/>
      <c r="AC40" s="382"/>
      <c r="AD40" s="382"/>
    </row>
    <row r="41" spans="1:30" ht="12.75" customHeight="1" x14ac:dyDescent="0.2">
      <c r="A41" s="378"/>
      <c r="B41" s="378"/>
      <c r="C41" s="378"/>
      <c r="D41" s="380"/>
      <c r="E41" s="380"/>
      <c r="F41" s="378"/>
      <c r="G41" s="378"/>
      <c r="H41" s="378"/>
      <c r="I41" s="378"/>
      <c r="J41" s="378"/>
      <c r="K41" s="378"/>
      <c r="L41" s="378"/>
      <c r="M41" s="381"/>
      <c r="N41" s="381"/>
      <c r="O41" s="381"/>
      <c r="P41" s="381"/>
      <c r="Q41" s="381"/>
      <c r="R41" s="381"/>
      <c r="S41" s="381"/>
      <c r="T41" s="381"/>
      <c r="U41" s="381"/>
      <c r="V41" s="381"/>
      <c r="W41" s="381"/>
      <c r="X41" s="381"/>
      <c r="Y41" s="381"/>
      <c r="Z41" s="381"/>
      <c r="AA41" s="381"/>
      <c r="AB41" s="381"/>
      <c r="AC41" s="382"/>
      <c r="AD41" s="382"/>
    </row>
    <row r="42" spans="1:30" ht="12.75" customHeight="1" x14ac:dyDescent="0.2">
      <c r="A42" s="378"/>
      <c r="B42" s="378"/>
      <c r="C42" s="378"/>
      <c r="D42" s="380"/>
      <c r="E42" s="380"/>
      <c r="F42" s="378"/>
      <c r="G42" s="378"/>
      <c r="H42" s="378"/>
      <c r="I42" s="378"/>
      <c r="J42" s="378"/>
      <c r="K42" s="378"/>
      <c r="L42" s="378"/>
      <c r="M42" s="381"/>
      <c r="N42" s="381"/>
      <c r="O42" s="381"/>
      <c r="P42" s="381"/>
      <c r="Q42" s="381"/>
      <c r="R42" s="381"/>
      <c r="S42" s="381"/>
      <c r="T42" s="381"/>
      <c r="U42" s="381"/>
      <c r="V42" s="381"/>
      <c r="W42" s="381"/>
      <c r="X42" s="381"/>
      <c r="Y42" s="381"/>
      <c r="Z42" s="381"/>
      <c r="AA42" s="381"/>
      <c r="AB42" s="381"/>
      <c r="AC42" s="382"/>
      <c r="AD42" s="382"/>
    </row>
    <row r="43" spans="1:30" ht="12.75" customHeight="1" x14ac:dyDescent="0.2">
      <c r="A43" s="378"/>
      <c r="B43" s="378"/>
      <c r="C43" s="378"/>
      <c r="D43" s="380"/>
      <c r="E43" s="380"/>
      <c r="F43" s="378"/>
      <c r="G43" s="378"/>
      <c r="H43" s="378"/>
      <c r="I43" s="378"/>
      <c r="J43" s="378"/>
      <c r="K43" s="378"/>
      <c r="L43" s="378"/>
      <c r="M43" s="381"/>
      <c r="N43" s="381"/>
      <c r="O43" s="381"/>
      <c r="P43" s="381"/>
      <c r="Q43" s="381"/>
      <c r="R43" s="381"/>
      <c r="S43" s="381"/>
      <c r="T43" s="381"/>
      <c r="U43" s="381"/>
      <c r="V43" s="381"/>
      <c r="W43" s="381"/>
      <c r="X43" s="381"/>
      <c r="Y43" s="381"/>
      <c r="Z43" s="381"/>
      <c r="AA43" s="381"/>
      <c r="AB43" s="381"/>
      <c r="AC43" s="382"/>
      <c r="AD43" s="382"/>
    </row>
    <row r="44" spans="1:30" ht="12.75" customHeight="1" x14ac:dyDescent="0.2">
      <c r="A44" s="378"/>
      <c r="B44" s="378"/>
      <c r="C44" s="378"/>
      <c r="D44" s="380"/>
      <c r="E44" s="380"/>
      <c r="F44" s="378"/>
      <c r="G44" s="378"/>
      <c r="H44" s="378"/>
      <c r="I44" s="378"/>
      <c r="J44" s="378"/>
      <c r="K44" s="378"/>
      <c r="L44" s="378"/>
      <c r="M44" s="381"/>
      <c r="N44" s="381"/>
      <c r="O44" s="381"/>
      <c r="P44" s="381"/>
      <c r="Q44" s="381"/>
      <c r="R44" s="381"/>
      <c r="S44" s="381"/>
      <c r="T44" s="381"/>
      <c r="U44" s="381"/>
      <c r="V44" s="381"/>
      <c r="W44" s="381"/>
      <c r="X44" s="381"/>
      <c r="Y44" s="381"/>
      <c r="Z44" s="381"/>
      <c r="AA44" s="381"/>
      <c r="AB44" s="381"/>
      <c r="AC44" s="382"/>
      <c r="AD44" s="382"/>
    </row>
    <row r="45" spans="1:30" ht="12.75" customHeight="1" x14ac:dyDescent="0.2">
      <c r="A45" s="378"/>
      <c r="B45" s="378"/>
      <c r="C45" s="378"/>
      <c r="D45" s="380"/>
      <c r="E45" s="380"/>
      <c r="F45" s="378"/>
      <c r="G45" s="378"/>
      <c r="H45" s="378"/>
      <c r="I45" s="378"/>
      <c r="J45" s="378"/>
      <c r="K45" s="378"/>
      <c r="L45" s="378"/>
      <c r="M45" s="381"/>
      <c r="N45" s="381"/>
      <c r="O45" s="381"/>
      <c r="P45" s="381"/>
      <c r="Q45" s="381"/>
      <c r="R45" s="381"/>
      <c r="S45" s="381"/>
      <c r="T45" s="381"/>
      <c r="U45" s="381"/>
      <c r="V45" s="381"/>
      <c r="W45" s="381"/>
      <c r="X45" s="381"/>
      <c r="Y45" s="381"/>
      <c r="Z45" s="381"/>
      <c r="AA45" s="381"/>
      <c r="AB45" s="381"/>
      <c r="AC45" s="382"/>
      <c r="AD45" s="382"/>
    </row>
    <row r="46" spans="1:30" ht="12.75" customHeight="1" x14ac:dyDescent="0.2">
      <c r="A46" s="378"/>
      <c r="B46" s="378"/>
      <c r="C46" s="378"/>
      <c r="D46" s="380"/>
      <c r="E46" s="380"/>
      <c r="F46" s="378"/>
      <c r="G46" s="378"/>
      <c r="H46" s="378"/>
      <c r="I46" s="378"/>
      <c r="J46" s="378"/>
      <c r="K46" s="378"/>
      <c r="L46" s="378"/>
      <c r="M46" s="381"/>
      <c r="N46" s="381"/>
      <c r="O46" s="381"/>
      <c r="P46" s="381"/>
      <c r="Q46" s="381"/>
      <c r="R46" s="381"/>
      <c r="S46" s="381"/>
      <c r="T46" s="381"/>
      <c r="U46" s="381"/>
      <c r="V46" s="381"/>
      <c r="W46" s="381"/>
      <c r="X46" s="381"/>
      <c r="Y46" s="381"/>
      <c r="Z46" s="381"/>
      <c r="AA46" s="381"/>
      <c r="AB46" s="381"/>
      <c r="AC46" s="382"/>
      <c r="AD46" s="382"/>
    </row>
    <row r="47" spans="1:30" ht="12.75" customHeight="1" x14ac:dyDescent="0.2">
      <c r="A47" s="378"/>
      <c r="B47" s="378"/>
      <c r="C47" s="378"/>
      <c r="D47" s="380"/>
      <c r="E47" s="380"/>
      <c r="F47" s="378"/>
      <c r="G47" s="378"/>
      <c r="H47" s="378"/>
      <c r="I47" s="378"/>
      <c r="J47" s="378"/>
      <c r="K47" s="378"/>
      <c r="L47" s="378"/>
      <c r="M47" s="381"/>
      <c r="N47" s="381"/>
      <c r="O47" s="381"/>
      <c r="P47" s="381"/>
      <c r="Q47" s="381"/>
      <c r="R47" s="381"/>
      <c r="S47" s="381"/>
      <c r="T47" s="381"/>
      <c r="U47" s="381"/>
      <c r="V47" s="381"/>
      <c r="W47" s="381"/>
      <c r="X47" s="381"/>
      <c r="Y47" s="381"/>
      <c r="Z47" s="381"/>
      <c r="AA47" s="381"/>
      <c r="AB47" s="381"/>
      <c r="AC47" s="382"/>
      <c r="AD47" s="382"/>
    </row>
    <row r="48" spans="1:30" ht="12.75" customHeight="1" x14ac:dyDescent="0.2">
      <c r="A48" s="378"/>
      <c r="B48" s="378"/>
      <c r="C48" s="378"/>
      <c r="D48" s="380"/>
      <c r="E48" s="380"/>
      <c r="F48" s="378"/>
      <c r="G48" s="378"/>
      <c r="H48" s="378"/>
      <c r="I48" s="378"/>
      <c r="J48" s="378"/>
      <c r="K48" s="378"/>
      <c r="L48" s="378"/>
      <c r="M48" s="381"/>
      <c r="N48" s="381"/>
      <c r="O48" s="381"/>
      <c r="P48" s="381"/>
      <c r="Q48" s="381"/>
      <c r="R48" s="381"/>
      <c r="S48" s="381"/>
      <c r="T48" s="381"/>
      <c r="U48" s="381"/>
      <c r="V48" s="381"/>
      <c r="W48" s="381"/>
      <c r="X48" s="381"/>
      <c r="Y48" s="381"/>
      <c r="Z48" s="381"/>
      <c r="AA48" s="381"/>
      <c r="AB48" s="381"/>
      <c r="AC48" s="382"/>
      <c r="AD48" s="382"/>
    </row>
    <row r="49" spans="1:30" ht="12.75" customHeight="1" x14ac:dyDescent="0.2">
      <c r="A49" s="378"/>
      <c r="B49" s="378"/>
      <c r="C49" s="378"/>
      <c r="D49" s="380"/>
      <c r="E49" s="380"/>
      <c r="F49" s="378"/>
      <c r="G49" s="378"/>
      <c r="H49" s="378"/>
      <c r="I49" s="378"/>
      <c r="J49" s="378"/>
      <c r="K49" s="378"/>
      <c r="L49" s="378"/>
      <c r="M49" s="381"/>
      <c r="N49" s="381"/>
      <c r="O49" s="381"/>
      <c r="P49" s="381"/>
      <c r="Q49" s="381"/>
      <c r="R49" s="381"/>
      <c r="S49" s="381"/>
      <c r="T49" s="381"/>
      <c r="U49" s="381"/>
      <c r="V49" s="381"/>
      <c r="W49" s="381"/>
      <c r="X49" s="381"/>
      <c r="Y49" s="381"/>
      <c r="Z49" s="381"/>
      <c r="AA49" s="381"/>
      <c r="AB49" s="381"/>
      <c r="AC49" s="382"/>
      <c r="AD49" s="382"/>
    </row>
    <row r="50" spans="1:30" ht="12.75" customHeight="1" x14ac:dyDescent="0.2">
      <c r="A50" s="378"/>
      <c r="B50" s="378"/>
      <c r="C50" s="378"/>
      <c r="D50" s="380"/>
      <c r="E50" s="380"/>
      <c r="F50" s="378"/>
      <c r="G50" s="378"/>
      <c r="H50" s="378"/>
      <c r="I50" s="378"/>
      <c r="J50" s="378"/>
      <c r="K50" s="378"/>
      <c r="L50" s="378"/>
      <c r="M50" s="381"/>
      <c r="N50" s="381"/>
      <c r="O50" s="381"/>
      <c r="P50" s="381"/>
      <c r="Q50" s="381"/>
      <c r="R50" s="381"/>
      <c r="S50" s="381"/>
      <c r="T50" s="381"/>
      <c r="U50" s="381"/>
      <c r="V50" s="381"/>
      <c r="W50" s="381"/>
      <c r="X50" s="381"/>
      <c r="Y50" s="381"/>
      <c r="Z50" s="381"/>
      <c r="AA50" s="381"/>
      <c r="AB50" s="381"/>
      <c r="AC50" s="382"/>
      <c r="AD50" s="382"/>
    </row>
    <row r="51" spans="1:30" ht="12.75" customHeight="1" x14ac:dyDescent="0.2">
      <c r="A51" s="378"/>
      <c r="B51" s="378"/>
      <c r="C51" s="378"/>
      <c r="D51" s="380"/>
      <c r="E51" s="380"/>
      <c r="F51" s="378"/>
      <c r="G51" s="378"/>
      <c r="H51" s="378"/>
      <c r="I51" s="378"/>
      <c r="J51" s="378"/>
      <c r="K51" s="378"/>
      <c r="L51" s="378"/>
      <c r="M51" s="381"/>
      <c r="N51" s="381"/>
      <c r="O51" s="381"/>
      <c r="P51" s="381"/>
      <c r="Q51" s="381"/>
      <c r="R51" s="381"/>
      <c r="S51" s="381"/>
      <c r="T51" s="381"/>
      <c r="U51" s="381"/>
      <c r="V51" s="381"/>
      <c r="W51" s="381"/>
      <c r="X51" s="381"/>
      <c r="Y51" s="381"/>
      <c r="Z51" s="381"/>
      <c r="AA51" s="381"/>
      <c r="AB51" s="381"/>
      <c r="AC51" s="382"/>
      <c r="AD51" s="382"/>
    </row>
    <row r="52" spans="1:30" ht="12.75" customHeight="1" x14ac:dyDescent="0.2">
      <c r="A52" s="378"/>
      <c r="B52" s="378"/>
      <c r="C52" s="378"/>
      <c r="D52" s="380"/>
      <c r="E52" s="380"/>
      <c r="F52" s="378"/>
      <c r="G52" s="378"/>
      <c r="H52" s="378"/>
      <c r="I52" s="378"/>
      <c r="J52" s="378"/>
      <c r="K52" s="378"/>
      <c r="L52" s="378"/>
      <c r="M52" s="381"/>
      <c r="N52" s="381"/>
      <c r="O52" s="381"/>
      <c r="P52" s="381"/>
      <c r="Q52" s="381"/>
      <c r="R52" s="381"/>
      <c r="S52" s="381"/>
      <c r="T52" s="381"/>
      <c r="U52" s="381"/>
      <c r="V52" s="381"/>
      <c r="W52" s="381"/>
      <c r="X52" s="381"/>
      <c r="Y52" s="381"/>
      <c r="Z52" s="381"/>
      <c r="AA52" s="381"/>
      <c r="AB52" s="381"/>
      <c r="AC52" s="382"/>
      <c r="AD52" s="382"/>
    </row>
    <row r="53" spans="1:30" ht="12.75" customHeight="1" x14ac:dyDescent="0.2">
      <c r="A53" s="378"/>
      <c r="B53" s="378"/>
      <c r="C53" s="378"/>
      <c r="D53" s="380"/>
      <c r="E53" s="380"/>
      <c r="F53" s="378"/>
      <c r="G53" s="378"/>
      <c r="H53" s="378"/>
      <c r="I53" s="378"/>
      <c r="J53" s="378"/>
      <c r="K53" s="378"/>
      <c r="L53" s="378"/>
      <c r="M53" s="381"/>
      <c r="N53" s="381"/>
      <c r="O53" s="381"/>
      <c r="P53" s="381"/>
      <c r="Q53" s="381"/>
      <c r="R53" s="381"/>
      <c r="S53" s="381"/>
      <c r="T53" s="381"/>
      <c r="U53" s="381"/>
      <c r="V53" s="381"/>
      <c r="W53" s="381"/>
      <c r="X53" s="381"/>
      <c r="Y53" s="381"/>
      <c r="Z53" s="381"/>
      <c r="AA53" s="381"/>
      <c r="AB53" s="381"/>
      <c r="AC53" s="382"/>
      <c r="AD53" s="382"/>
    </row>
    <row r="54" spans="1:30" ht="12.75" customHeight="1" x14ac:dyDescent="0.2">
      <c r="A54" s="378"/>
      <c r="B54" s="378"/>
      <c r="C54" s="378"/>
      <c r="D54" s="380"/>
      <c r="E54" s="380"/>
      <c r="F54" s="378"/>
      <c r="G54" s="378"/>
      <c r="H54" s="378"/>
      <c r="I54" s="378"/>
      <c r="J54" s="378"/>
      <c r="K54" s="378"/>
      <c r="L54" s="378"/>
      <c r="M54" s="381"/>
      <c r="N54" s="381"/>
      <c r="O54" s="381"/>
      <c r="P54" s="381"/>
      <c r="Q54" s="381"/>
      <c r="R54" s="381"/>
      <c r="S54" s="381"/>
      <c r="T54" s="381"/>
      <c r="U54" s="381"/>
      <c r="V54" s="381"/>
      <c r="W54" s="381"/>
      <c r="X54" s="381"/>
      <c r="Y54" s="381"/>
      <c r="Z54" s="381"/>
      <c r="AA54" s="381"/>
      <c r="AB54" s="381"/>
      <c r="AC54" s="382"/>
      <c r="AD54" s="382"/>
    </row>
    <row r="55" spans="1:30" ht="12.75" customHeight="1" x14ac:dyDescent="0.2">
      <c r="A55" s="378"/>
      <c r="B55" s="378"/>
      <c r="C55" s="378"/>
      <c r="D55" s="380"/>
      <c r="E55" s="380"/>
      <c r="F55" s="378"/>
      <c r="G55" s="378"/>
      <c r="H55" s="378"/>
      <c r="I55" s="378"/>
      <c r="J55" s="378"/>
      <c r="K55" s="378"/>
      <c r="L55" s="378"/>
      <c r="M55" s="381"/>
      <c r="N55" s="381"/>
      <c r="O55" s="381"/>
      <c r="P55" s="381"/>
      <c r="Q55" s="381"/>
      <c r="R55" s="381"/>
      <c r="S55" s="381"/>
      <c r="T55" s="381"/>
      <c r="U55" s="381"/>
      <c r="V55" s="381"/>
      <c r="W55" s="381"/>
      <c r="X55" s="381"/>
      <c r="Y55" s="381"/>
      <c r="Z55" s="381"/>
      <c r="AA55" s="381"/>
      <c r="AB55" s="381"/>
      <c r="AC55" s="382"/>
      <c r="AD55" s="382"/>
    </row>
    <row r="56" spans="1:30" ht="12.75" customHeight="1" x14ac:dyDescent="0.2">
      <c r="A56" s="378"/>
      <c r="B56" s="378"/>
      <c r="C56" s="378"/>
      <c r="D56" s="380"/>
      <c r="E56" s="380"/>
      <c r="F56" s="378"/>
      <c r="G56" s="378"/>
      <c r="H56" s="378"/>
      <c r="I56" s="378"/>
      <c r="J56" s="378"/>
      <c r="K56" s="378"/>
      <c r="L56" s="378"/>
      <c r="M56" s="381"/>
      <c r="N56" s="381"/>
      <c r="O56" s="381"/>
      <c r="P56" s="381"/>
      <c r="Q56" s="381"/>
      <c r="R56" s="381"/>
      <c r="S56" s="381"/>
      <c r="T56" s="381"/>
      <c r="U56" s="381"/>
      <c r="V56" s="381"/>
      <c r="W56" s="381"/>
      <c r="X56" s="381"/>
      <c r="Y56" s="381"/>
      <c r="Z56" s="381"/>
      <c r="AA56" s="381"/>
      <c r="AB56" s="381"/>
      <c r="AC56" s="382"/>
      <c r="AD56" s="382"/>
    </row>
    <row r="57" spans="1:30" ht="12.75" customHeight="1" x14ac:dyDescent="0.2">
      <c r="A57" s="378"/>
      <c r="B57" s="378"/>
      <c r="C57" s="378"/>
      <c r="D57" s="380"/>
      <c r="E57" s="380"/>
      <c r="F57" s="378"/>
      <c r="G57" s="378"/>
      <c r="H57" s="378"/>
      <c r="I57" s="378"/>
      <c r="J57" s="378"/>
      <c r="K57" s="378"/>
      <c r="L57" s="378"/>
      <c r="M57" s="381"/>
      <c r="N57" s="381"/>
      <c r="O57" s="381"/>
      <c r="P57" s="381"/>
      <c r="Q57" s="381"/>
      <c r="R57" s="381"/>
      <c r="S57" s="381"/>
      <c r="T57" s="381"/>
      <c r="U57" s="381"/>
      <c r="V57" s="381"/>
      <c r="W57" s="381"/>
      <c r="X57" s="381"/>
      <c r="Y57" s="381"/>
      <c r="Z57" s="381"/>
      <c r="AA57" s="381"/>
      <c r="AB57" s="381"/>
      <c r="AC57" s="382"/>
      <c r="AD57" s="382"/>
    </row>
    <row r="58" spans="1:30" ht="12.75" customHeight="1" x14ac:dyDescent="0.2">
      <c r="A58" s="378"/>
      <c r="B58" s="378"/>
      <c r="C58" s="378"/>
      <c r="D58" s="380"/>
      <c r="E58" s="380"/>
      <c r="F58" s="378"/>
      <c r="G58" s="378"/>
      <c r="H58" s="378"/>
      <c r="I58" s="378"/>
      <c r="J58" s="378"/>
      <c r="K58" s="378"/>
      <c r="L58" s="378"/>
      <c r="M58" s="381"/>
      <c r="N58" s="381"/>
      <c r="O58" s="381"/>
      <c r="P58" s="381"/>
      <c r="Q58" s="381"/>
      <c r="R58" s="381"/>
      <c r="S58" s="381"/>
      <c r="T58" s="381"/>
      <c r="U58" s="381"/>
      <c r="V58" s="381"/>
      <c r="W58" s="381"/>
      <c r="X58" s="381"/>
      <c r="Y58" s="381"/>
      <c r="Z58" s="381"/>
      <c r="AA58" s="381"/>
      <c r="AB58" s="381"/>
      <c r="AC58" s="382"/>
      <c r="AD58" s="382"/>
    </row>
    <row r="59" spans="1:30" ht="12.75" customHeight="1" x14ac:dyDescent="0.2">
      <c r="A59" s="378"/>
      <c r="B59" s="378"/>
      <c r="C59" s="378"/>
      <c r="D59" s="380"/>
      <c r="E59" s="380"/>
      <c r="F59" s="378"/>
      <c r="G59" s="378"/>
      <c r="H59" s="378"/>
      <c r="I59" s="378"/>
      <c r="J59" s="378"/>
      <c r="K59" s="378"/>
      <c r="L59" s="378"/>
      <c r="M59" s="381"/>
      <c r="N59" s="381"/>
      <c r="O59" s="381"/>
      <c r="P59" s="381"/>
      <c r="Q59" s="381"/>
      <c r="R59" s="381"/>
      <c r="S59" s="381"/>
      <c r="T59" s="381"/>
      <c r="U59" s="381"/>
      <c r="V59" s="381"/>
      <c r="W59" s="381"/>
      <c r="X59" s="381"/>
      <c r="Y59" s="381"/>
      <c r="Z59" s="381"/>
      <c r="AA59" s="381"/>
      <c r="AB59" s="381"/>
      <c r="AC59" s="382"/>
      <c r="AD59" s="382"/>
    </row>
    <row r="60" spans="1:30" ht="12.75" customHeight="1" x14ac:dyDescent="0.2">
      <c r="A60" s="378"/>
      <c r="B60" s="378"/>
      <c r="C60" s="378"/>
      <c r="D60" s="380"/>
      <c r="E60" s="380"/>
      <c r="F60" s="378"/>
      <c r="G60" s="378"/>
      <c r="H60" s="378"/>
      <c r="I60" s="378"/>
      <c r="J60" s="378"/>
      <c r="K60" s="378"/>
      <c r="L60" s="378"/>
      <c r="M60" s="381"/>
      <c r="N60" s="381"/>
      <c r="O60" s="381"/>
      <c r="P60" s="381"/>
      <c r="Q60" s="381"/>
      <c r="R60" s="381"/>
      <c r="S60" s="381"/>
      <c r="T60" s="381"/>
      <c r="U60" s="381"/>
      <c r="V60" s="381"/>
      <c r="W60" s="381"/>
      <c r="X60" s="381"/>
      <c r="Y60" s="381"/>
      <c r="Z60" s="381"/>
      <c r="AA60" s="381"/>
      <c r="AB60" s="381"/>
      <c r="AC60" s="382"/>
      <c r="AD60" s="382"/>
    </row>
    <row r="61" spans="1:30" ht="12.75" customHeight="1" x14ac:dyDescent="0.2">
      <c r="A61" s="378"/>
      <c r="B61" s="378"/>
      <c r="C61" s="378"/>
      <c r="D61" s="380"/>
      <c r="E61" s="380"/>
      <c r="F61" s="378"/>
      <c r="G61" s="378"/>
      <c r="H61" s="378"/>
      <c r="I61" s="378"/>
      <c r="J61" s="378"/>
      <c r="K61" s="378"/>
      <c r="L61" s="378"/>
      <c r="M61" s="381"/>
      <c r="N61" s="381"/>
      <c r="O61" s="381"/>
      <c r="P61" s="381"/>
      <c r="Q61" s="381"/>
      <c r="R61" s="381"/>
      <c r="S61" s="381"/>
      <c r="T61" s="381"/>
      <c r="U61" s="381"/>
      <c r="V61" s="381"/>
      <c r="W61" s="381"/>
      <c r="X61" s="381"/>
      <c r="Y61" s="381"/>
      <c r="Z61" s="381"/>
      <c r="AA61" s="381"/>
      <c r="AB61" s="381"/>
      <c r="AC61" s="382"/>
      <c r="AD61" s="382"/>
    </row>
    <row r="62" spans="1:30" ht="12.75" customHeight="1" x14ac:dyDescent="0.2">
      <c r="A62" s="378"/>
      <c r="B62" s="378"/>
      <c r="C62" s="378"/>
      <c r="D62" s="380"/>
      <c r="E62" s="380"/>
      <c r="F62" s="378"/>
      <c r="G62" s="378"/>
      <c r="H62" s="378"/>
      <c r="I62" s="378"/>
      <c r="J62" s="378"/>
      <c r="K62" s="378"/>
      <c r="L62" s="378"/>
      <c r="M62" s="381"/>
      <c r="N62" s="381"/>
      <c r="O62" s="381"/>
      <c r="P62" s="381"/>
      <c r="Q62" s="381"/>
      <c r="R62" s="381"/>
      <c r="S62" s="381"/>
      <c r="T62" s="381"/>
      <c r="U62" s="381"/>
      <c r="V62" s="381"/>
      <c r="W62" s="381"/>
      <c r="X62" s="381"/>
      <c r="Y62" s="381"/>
      <c r="Z62" s="381"/>
      <c r="AA62" s="381"/>
      <c r="AB62" s="381"/>
      <c r="AC62" s="382"/>
      <c r="AD62" s="382"/>
    </row>
    <row r="63" spans="1:30" ht="12.75" customHeight="1" x14ac:dyDescent="0.2">
      <c r="A63" s="378"/>
      <c r="B63" s="378"/>
      <c r="C63" s="378"/>
      <c r="D63" s="380"/>
      <c r="E63" s="380"/>
      <c r="F63" s="378"/>
      <c r="G63" s="378"/>
      <c r="H63" s="378"/>
      <c r="I63" s="378"/>
      <c r="J63" s="378"/>
      <c r="K63" s="378"/>
      <c r="L63" s="378"/>
      <c r="M63" s="381"/>
      <c r="N63" s="381"/>
      <c r="O63" s="381"/>
      <c r="P63" s="381"/>
      <c r="Q63" s="381"/>
      <c r="R63" s="381"/>
      <c r="S63" s="381"/>
      <c r="T63" s="381"/>
      <c r="U63" s="381"/>
      <c r="V63" s="381"/>
      <c r="W63" s="381"/>
      <c r="X63" s="381"/>
      <c r="Y63" s="381"/>
      <c r="Z63" s="381"/>
      <c r="AA63" s="381"/>
      <c r="AB63" s="381"/>
      <c r="AC63" s="382"/>
      <c r="AD63" s="382"/>
    </row>
    <row r="64" spans="1:30" ht="12.75" customHeight="1" x14ac:dyDescent="0.2">
      <c r="A64" s="378"/>
      <c r="B64" s="378"/>
      <c r="C64" s="378"/>
      <c r="D64" s="380"/>
      <c r="E64" s="380"/>
      <c r="F64" s="378"/>
      <c r="G64" s="378"/>
      <c r="H64" s="378"/>
      <c r="I64" s="378"/>
      <c r="J64" s="378"/>
      <c r="K64" s="378"/>
      <c r="L64" s="378"/>
      <c r="M64" s="381"/>
      <c r="N64" s="381"/>
      <c r="O64" s="381"/>
      <c r="P64" s="381"/>
      <c r="Q64" s="381"/>
      <c r="R64" s="381"/>
      <c r="S64" s="381"/>
      <c r="T64" s="381"/>
      <c r="U64" s="381"/>
      <c r="V64" s="381"/>
      <c r="W64" s="381"/>
      <c r="X64" s="381"/>
      <c r="Y64" s="381"/>
      <c r="Z64" s="381"/>
      <c r="AA64" s="381"/>
      <c r="AB64" s="381"/>
      <c r="AC64" s="382"/>
      <c r="AD64" s="382"/>
    </row>
    <row r="65" spans="1:30" ht="12.75" customHeight="1" x14ac:dyDescent="0.2">
      <c r="A65" s="378"/>
      <c r="B65" s="378"/>
      <c r="C65" s="378"/>
      <c r="D65" s="380"/>
      <c r="E65" s="380"/>
      <c r="F65" s="378"/>
      <c r="G65" s="378"/>
      <c r="H65" s="378"/>
      <c r="I65" s="378"/>
      <c r="J65" s="378"/>
      <c r="K65" s="378"/>
      <c r="L65" s="378"/>
      <c r="M65" s="381"/>
      <c r="N65" s="381"/>
      <c r="O65" s="381"/>
      <c r="P65" s="381"/>
      <c r="Q65" s="381"/>
      <c r="R65" s="381"/>
      <c r="S65" s="381"/>
      <c r="T65" s="381"/>
      <c r="U65" s="381"/>
      <c r="V65" s="381"/>
      <c r="W65" s="381"/>
      <c r="X65" s="381"/>
      <c r="Y65" s="381"/>
      <c r="Z65" s="381"/>
      <c r="AA65" s="381"/>
      <c r="AB65" s="381"/>
      <c r="AC65" s="382"/>
      <c r="AD65" s="382"/>
    </row>
    <row r="66" spans="1:30" ht="12.75" customHeight="1" x14ac:dyDescent="0.2">
      <c r="A66" s="378"/>
      <c r="B66" s="378"/>
      <c r="C66" s="378"/>
      <c r="D66" s="380"/>
      <c r="E66" s="380"/>
      <c r="F66" s="378"/>
      <c r="G66" s="378"/>
      <c r="H66" s="378"/>
      <c r="I66" s="378"/>
      <c r="J66" s="378"/>
      <c r="K66" s="378"/>
      <c r="L66" s="378"/>
      <c r="M66" s="381"/>
      <c r="N66" s="381"/>
      <c r="O66" s="381"/>
      <c r="P66" s="381"/>
      <c r="Q66" s="381"/>
      <c r="R66" s="381"/>
      <c r="S66" s="381"/>
      <c r="T66" s="381"/>
      <c r="U66" s="381"/>
      <c r="V66" s="381"/>
      <c r="W66" s="381"/>
      <c r="X66" s="381"/>
      <c r="Y66" s="381"/>
      <c r="Z66" s="381"/>
      <c r="AA66" s="381"/>
      <c r="AB66" s="381"/>
      <c r="AC66" s="382"/>
      <c r="AD66" s="382"/>
    </row>
    <row r="67" spans="1:30" ht="12.75" customHeight="1" x14ac:dyDescent="0.2">
      <c r="A67" s="378"/>
      <c r="B67" s="378"/>
      <c r="C67" s="378"/>
      <c r="D67" s="380"/>
      <c r="E67" s="380"/>
      <c r="F67" s="378"/>
      <c r="G67" s="378"/>
      <c r="H67" s="378"/>
      <c r="I67" s="378"/>
      <c r="J67" s="378"/>
      <c r="K67" s="378"/>
      <c r="L67" s="378"/>
      <c r="M67" s="381"/>
      <c r="N67" s="381"/>
      <c r="O67" s="381"/>
      <c r="P67" s="381"/>
      <c r="Q67" s="381"/>
      <c r="R67" s="381"/>
      <c r="S67" s="381"/>
      <c r="T67" s="381"/>
      <c r="U67" s="381"/>
      <c r="V67" s="381"/>
      <c r="W67" s="381"/>
      <c r="X67" s="381"/>
      <c r="Y67" s="381"/>
      <c r="Z67" s="381"/>
      <c r="AA67" s="381"/>
      <c r="AB67" s="381"/>
      <c r="AC67" s="382"/>
      <c r="AD67" s="382"/>
    </row>
    <row r="68" spans="1:30" ht="12.75" customHeight="1" x14ac:dyDescent="0.2">
      <c r="A68" s="378"/>
      <c r="B68" s="378"/>
      <c r="C68" s="378"/>
      <c r="D68" s="380"/>
      <c r="E68" s="380"/>
      <c r="F68" s="378"/>
      <c r="G68" s="378"/>
      <c r="H68" s="378"/>
      <c r="I68" s="378"/>
      <c r="J68" s="378"/>
      <c r="K68" s="378"/>
      <c r="L68" s="378"/>
      <c r="M68" s="381"/>
      <c r="N68" s="381"/>
      <c r="O68" s="381"/>
      <c r="P68" s="381"/>
      <c r="Q68" s="381"/>
      <c r="R68" s="381"/>
      <c r="S68" s="381"/>
      <c r="T68" s="381"/>
      <c r="U68" s="381"/>
      <c r="V68" s="381"/>
      <c r="W68" s="381"/>
      <c r="X68" s="381"/>
      <c r="Y68" s="381"/>
      <c r="Z68" s="381"/>
      <c r="AA68" s="381"/>
      <c r="AB68" s="381"/>
      <c r="AC68" s="382"/>
      <c r="AD68" s="382"/>
    </row>
    <row r="69" spans="1:30" ht="12.75" customHeight="1" x14ac:dyDescent="0.2">
      <c r="A69" s="378"/>
      <c r="B69" s="378"/>
      <c r="C69" s="378"/>
      <c r="D69" s="380"/>
      <c r="E69" s="380"/>
      <c r="F69" s="378"/>
      <c r="G69" s="378"/>
      <c r="H69" s="378"/>
      <c r="I69" s="378"/>
      <c r="J69" s="378"/>
      <c r="K69" s="378"/>
      <c r="L69" s="378"/>
      <c r="M69" s="381"/>
      <c r="N69" s="381"/>
      <c r="O69" s="381"/>
      <c r="P69" s="381"/>
      <c r="Q69" s="381"/>
      <c r="R69" s="381"/>
      <c r="S69" s="381"/>
      <c r="T69" s="381"/>
      <c r="U69" s="381"/>
      <c r="V69" s="381"/>
      <c r="W69" s="381"/>
      <c r="X69" s="381"/>
      <c r="Y69" s="381"/>
      <c r="Z69" s="381"/>
      <c r="AA69" s="381"/>
      <c r="AB69" s="381"/>
      <c r="AC69" s="382"/>
      <c r="AD69" s="382"/>
    </row>
    <row r="70" spans="1:30" ht="12.75" customHeight="1" x14ac:dyDescent="0.2">
      <c r="A70" s="378"/>
      <c r="B70" s="378"/>
      <c r="C70" s="378"/>
      <c r="D70" s="380"/>
      <c r="E70" s="380"/>
      <c r="F70" s="378"/>
      <c r="G70" s="378"/>
      <c r="H70" s="378"/>
      <c r="I70" s="378"/>
      <c r="J70" s="378"/>
      <c r="K70" s="378"/>
      <c r="L70" s="378"/>
      <c r="M70" s="381"/>
      <c r="N70" s="381"/>
      <c r="O70" s="381"/>
      <c r="P70" s="381"/>
      <c r="Q70" s="381"/>
      <c r="R70" s="381"/>
      <c r="S70" s="381"/>
      <c r="T70" s="381"/>
      <c r="U70" s="381"/>
      <c r="V70" s="381"/>
      <c r="W70" s="381"/>
      <c r="X70" s="381"/>
      <c r="Y70" s="381"/>
      <c r="Z70" s="381"/>
      <c r="AA70" s="381"/>
      <c r="AB70" s="381"/>
      <c r="AC70" s="382"/>
      <c r="AD70" s="382"/>
    </row>
    <row r="71" spans="1:30" ht="12.75" customHeight="1" x14ac:dyDescent="0.2">
      <c r="A71" s="378"/>
      <c r="B71" s="378"/>
      <c r="C71" s="378"/>
      <c r="D71" s="380"/>
      <c r="E71" s="380"/>
      <c r="F71" s="378"/>
      <c r="G71" s="378"/>
      <c r="H71" s="378"/>
      <c r="I71" s="378"/>
      <c r="J71" s="378"/>
      <c r="K71" s="378"/>
      <c r="L71" s="378"/>
      <c r="M71" s="381"/>
      <c r="N71" s="381"/>
      <c r="O71" s="381"/>
      <c r="P71" s="381"/>
      <c r="Q71" s="381"/>
      <c r="R71" s="381"/>
      <c r="S71" s="381"/>
      <c r="T71" s="381"/>
      <c r="U71" s="381"/>
      <c r="V71" s="381"/>
      <c r="W71" s="381"/>
      <c r="X71" s="381"/>
      <c r="Y71" s="381"/>
      <c r="Z71" s="381"/>
      <c r="AA71" s="381"/>
      <c r="AB71" s="381"/>
      <c r="AC71" s="382"/>
      <c r="AD71" s="382"/>
    </row>
    <row r="72" spans="1:30" ht="12.75" customHeight="1" x14ac:dyDescent="0.2">
      <c r="A72" s="378"/>
      <c r="B72" s="378"/>
      <c r="C72" s="378"/>
      <c r="D72" s="380"/>
      <c r="E72" s="380"/>
      <c r="F72" s="378"/>
      <c r="G72" s="378"/>
      <c r="H72" s="378"/>
      <c r="I72" s="378"/>
      <c r="J72" s="378"/>
      <c r="K72" s="378"/>
      <c r="L72" s="378"/>
      <c r="M72" s="381"/>
      <c r="N72" s="381"/>
      <c r="O72" s="381"/>
      <c r="P72" s="381"/>
      <c r="Q72" s="381"/>
      <c r="R72" s="381"/>
      <c r="S72" s="381"/>
      <c r="T72" s="381"/>
      <c r="U72" s="381"/>
      <c r="V72" s="381"/>
      <c r="W72" s="381"/>
      <c r="X72" s="381"/>
      <c r="Y72" s="381"/>
      <c r="Z72" s="381"/>
      <c r="AA72" s="381"/>
      <c r="AB72" s="381"/>
      <c r="AC72" s="382"/>
      <c r="AD72" s="382"/>
    </row>
    <row r="73" spans="1:30" ht="12.75" customHeight="1" x14ac:dyDescent="0.2">
      <c r="A73" s="378"/>
      <c r="B73" s="378"/>
      <c r="C73" s="378"/>
      <c r="D73" s="380"/>
      <c r="E73" s="380"/>
      <c r="F73" s="378"/>
      <c r="G73" s="378"/>
      <c r="H73" s="378"/>
      <c r="I73" s="378"/>
      <c r="J73" s="378"/>
      <c r="K73" s="378"/>
      <c r="L73" s="378"/>
      <c r="M73" s="381"/>
      <c r="N73" s="381"/>
      <c r="O73" s="381"/>
      <c r="P73" s="381"/>
      <c r="Q73" s="381"/>
      <c r="R73" s="381"/>
      <c r="S73" s="381"/>
      <c r="T73" s="381"/>
      <c r="U73" s="381"/>
      <c r="V73" s="381"/>
      <c r="W73" s="381"/>
      <c r="X73" s="381"/>
      <c r="Y73" s="381"/>
      <c r="Z73" s="381"/>
      <c r="AA73" s="381"/>
      <c r="AB73" s="381"/>
      <c r="AC73" s="382"/>
      <c r="AD73" s="382"/>
    </row>
    <row r="74" spans="1:30" ht="12.75" customHeight="1" x14ac:dyDescent="0.2">
      <c r="A74" s="378"/>
      <c r="B74" s="378"/>
      <c r="C74" s="378"/>
      <c r="D74" s="380"/>
      <c r="E74" s="380"/>
      <c r="F74" s="378"/>
      <c r="G74" s="378"/>
      <c r="H74" s="378"/>
      <c r="I74" s="378"/>
      <c r="J74" s="378"/>
      <c r="K74" s="378"/>
      <c r="L74" s="378"/>
      <c r="M74" s="381"/>
      <c r="N74" s="381"/>
      <c r="O74" s="381"/>
      <c r="P74" s="381"/>
      <c r="Q74" s="381"/>
      <c r="R74" s="381"/>
      <c r="S74" s="381"/>
      <c r="T74" s="381"/>
      <c r="U74" s="381"/>
      <c r="V74" s="381"/>
      <c r="W74" s="381"/>
      <c r="X74" s="381"/>
      <c r="Y74" s="381"/>
      <c r="Z74" s="381"/>
      <c r="AA74" s="381"/>
      <c r="AB74" s="381"/>
      <c r="AC74" s="382"/>
      <c r="AD74" s="382"/>
    </row>
    <row r="75" spans="1:30" ht="12.75" customHeight="1" x14ac:dyDescent="0.2">
      <c r="A75" s="378"/>
      <c r="B75" s="378"/>
      <c r="C75" s="378"/>
      <c r="D75" s="380"/>
      <c r="E75" s="380"/>
      <c r="F75" s="378"/>
      <c r="G75" s="378"/>
      <c r="H75" s="378"/>
      <c r="I75" s="378"/>
      <c r="J75" s="378"/>
      <c r="K75" s="378"/>
      <c r="L75" s="378"/>
      <c r="M75" s="381"/>
      <c r="N75" s="381"/>
      <c r="O75" s="381"/>
      <c r="P75" s="381"/>
      <c r="Q75" s="381"/>
      <c r="R75" s="381"/>
      <c r="S75" s="381"/>
      <c r="T75" s="381"/>
      <c r="U75" s="381"/>
      <c r="V75" s="381"/>
      <c r="W75" s="381"/>
      <c r="X75" s="381"/>
      <c r="Y75" s="381"/>
      <c r="Z75" s="381"/>
      <c r="AA75" s="381"/>
      <c r="AB75" s="381"/>
      <c r="AC75" s="382"/>
      <c r="AD75" s="382"/>
    </row>
    <row r="76" spans="1:30" ht="12.75" customHeight="1" x14ac:dyDescent="0.2">
      <c r="A76" s="378"/>
      <c r="B76" s="378"/>
      <c r="C76" s="378"/>
      <c r="D76" s="380"/>
      <c r="E76" s="380"/>
      <c r="F76" s="378"/>
      <c r="G76" s="378"/>
      <c r="H76" s="378"/>
      <c r="I76" s="378"/>
      <c r="J76" s="378"/>
      <c r="K76" s="378"/>
      <c r="L76" s="378"/>
      <c r="M76" s="381"/>
      <c r="N76" s="381"/>
      <c r="O76" s="381"/>
      <c r="P76" s="381"/>
      <c r="Q76" s="381"/>
      <c r="R76" s="381"/>
      <c r="S76" s="381"/>
      <c r="T76" s="381"/>
      <c r="U76" s="381"/>
      <c r="V76" s="381"/>
      <c r="W76" s="381"/>
      <c r="X76" s="381"/>
      <c r="Y76" s="381"/>
      <c r="Z76" s="381"/>
      <c r="AA76" s="381"/>
      <c r="AB76" s="381"/>
      <c r="AC76" s="382"/>
      <c r="AD76" s="382"/>
    </row>
    <row r="77" spans="1:30" ht="12.75" customHeight="1" x14ac:dyDescent="0.2">
      <c r="A77" s="378"/>
      <c r="B77" s="378"/>
      <c r="C77" s="378"/>
      <c r="D77" s="380"/>
      <c r="E77" s="380"/>
      <c r="F77" s="378"/>
      <c r="G77" s="378"/>
      <c r="H77" s="378"/>
      <c r="I77" s="378"/>
      <c r="J77" s="378"/>
      <c r="K77" s="378"/>
      <c r="L77" s="378"/>
      <c r="M77" s="381"/>
      <c r="N77" s="381"/>
      <c r="O77" s="381"/>
      <c r="P77" s="381"/>
      <c r="Q77" s="381"/>
      <c r="R77" s="381"/>
      <c r="S77" s="381"/>
      <c r="T77" s="381"/>
      <c r="U77" s="381"/>
      <c r="V77" s="381"/>
      <c r="W77" s="381"/>
      <c r="X77" s="381"/>
      <c r="Y77" s="381"/>
      <c r="Z77" s="381"/>
      <c r="AA77" s="381"/>
      <c r="AB77" s="381"/>
      <c r="AC77" s="382"/>
      <c r="AD77" s="382"/>
    </row>
    <row r="78" spans="1:30" ht="12.75" customHeight="1" x14ac:dyDescent="0.2">
      <c r="A78" s="378"/>
      <c r="B78" s="378"/>
      <c r="C78" s="378"/>
      <c r="D78" s="380"/>
      <c r="E78" s="380"/>
      <c r="F78" s="378"/>
      <c r="G78" s="378"/>
      <c r="H78" s="378"/>
      <c r="I78" s="378"/>
      <c r="J78" s="378"/>
      <c r="K78" s="378"/>
      <c r="L78" s="378"/>
      <c r="M78" s="381"/>
      <c r="N78" s="381"/>
      <c r="O78" s="381"/>
      <c r="P78" s="381"/>
      <c r="Q78" s="381"/>
      <c r="R78" s="381"/>
      <c r="S78" s="381"/>
      <c r="T78" s="381"/>
      <c r="U78" s="381"/>
      <c r="V78" s="381"/>
      <c r="W78" s="381"/>
      <c r="X78" s="381"/>
      <c r="Y78" s="381"/>
      <c r="Z78" s="381"/>
      <c r="AA78" s="381"/>
      <c r="AB78" s="381"/>
      <c r="AC78" s="382"/>
      <c r="AD78" s="382"/>
    </row>
    <row r="79" spans="1:30" ht="12.75" customHeight="1" x14ac:dyDescent="0.2">
      <c r="A79" s="378"/>
      <c r="B79" s="378"/>
      <c r="C79" s="378"/>
      <c r="D79" s="380"/>
      <c r="E79" s="380"/>
      <c r="F79" s="378"/>
      <c r="G79" s="378"/>
      <c r="H79" s="378"/>
      <c r="I79" s="378"/>
      <c r="J79" s="378"/>
      <c r="K79" s="378"/>
      <c r="L79" s="378"/>
      <c r="M79" s="381"/>
      <c r="N79" s="381"/>
      <c r="O79" s="381"/>
      <c r="P79" s="381"/>
      <c r="Q79" s="381"/>
      <c r="R79" s="381"/>
      <c r="S79" s="381"/>
      <c r="T79" s="381"/>
      <c r="U79" s="381"/>
      <c r="V79" s="381"/>
      <c r="W79" s="381"/>
      <c r="X79" s="381"/>
      <c r="Y79" s="381"/>
      <c r="Z79" s="381"/>
      <c r="AA79" s="381"/>
      <c r="AB79" s="381"/>
      <c r="AC79" s="382"/>
      <c r="AD79" s="382"/>
    </row>
    <row r="80" spans="1:30" ht="12.75" customHeight="1" x14ac:dyDescent="0.2">
      <c r="A80" s="378"/>
      <c r="B80" s="378"/>
      <c r="C80" s="378"/>
      <c r="D80" s="380"/>
      <c r="E80" s="380"/>
      <c r="F80" s="378"/>
      <c r="G80" s="378"/>
      <c r="H80" s="378"/>
      <c r="I80" s="378"/>
      <c r="J80" s="378"/>
      <c r="K80" s="378"/>
      <c r="L80" s="378"/>
      <c r="M80" s="381"/>
      <c r="N80" s="381"/>
      <c r="O80" s="381"/>
      <c r="P80" s="381"/>
      <c r="Q80" s="381"/>
      <c r="R80" s="381"/>
      <c r="S80" s="381"/>
      <c r="T80" s="381"/>
      <c r="U80" s="381"/>
      <c r="V80" s="381"/>
      <c r="W80" s="381"/>
      <c r="X80" s="381"/>
      <c r="Y80" s="381"/>
      <c r="Z80" s="381"/>
      <c r="AA80" s="381"/>
      <c r="AB80" s="381"/>
      <c r="AC80" s="382"/>
      <c r="AD80" s="382"/>
    </row>
    <row r="81" spans="1:30" ht="12.75" customHeight="1" x14ac:dyDescent="0.2">
      <c r="A81" s="378"/>
      <c r="B81" s="378"/>
      <c r="C81" s="378"/>
      <c r="D81" s="380"/>
      <c r="E81" s="380"/>
      <c r="F81" s="378"/>
      <c r="G81" s="378"/>
      <c r="H81" s="378"/>
      <c r="I81" s="378"/>
      <c r="J81" s="378"/>
      <c r="K81" s="378"/>
      <c r="L81" s="378"/>
      <c r="M81" s="381"/>
      <c r="N81" s="381"/>
      <c r="O81" s="381"/>
      <c r="P81" s="381"/>
      <c r="Q81" s="381"/>
      <c r="R81" s="381"/>
      <c r="S81" s="381"/>
      <c r="T81" s="381"/>
      <c r="U81" s="381"/>
      <c r="V81" s="381"/>
      <c r="W81" s="381"/>
      <c r="X81" s="381"/>
      <c r="Y81" s="381"/>
      <c r="Z81" s="381"/>
      <c r="AA81" s="381"/>
      <c r="AB81" s="381"/>
      <c r="AC81" s="382"/>
      <c r="AD81" s="382"/>
    </row>
    <row r="82" spans="1:30" ht="12.75" customHeight="1" x14ac:dyDescent="0.2">
      <c r="A82" s="378"/>
      <c r="B82" s="378"/>
      <c r="C82" s="378"/>
      <c r="D82" s="380"/>
      <c r="E82" s="380"/>
      <c r="F82" s="378"/>
      <c r="G82" s="378"/>
      <c r="H82" s="378"/>
      <c r="I82" s="378"/>
      <c r="J82" s="378"/>
      <c r="K82" s="378"/>
      <c r="L82" s="378"/>
      <c r="M82" s="381"/>
      <c r="N82" s="381"/>
      <c r="O82" s="381"/>
      <c r="P82" s="381"/>
      <c r="Q82" s="381"/>
      <c r="R82" s="381"/>
      <c r="S82" s="381"/>
      <c r="T82" s="381"/>
      <c r="U82" s="381"/>
      <c r="V82" s="381"/>
      <c r="W82" s="381"/>
      <c r="X82" s="381"/>
      <c r="Y82" s="381"/>
      <c r="Z82" s="381"/>
      <c r="AA82" s="381"/>
      <c r="AB82" s="381"/>
      <c r="AC82" s="382"/>
      <c r="AD82" s="382"/>
    </row>
    <row r="83" spans="1:30" ht="12.75" customHeight="1" x14ac:dyDescent="0.2">
      <c r="A83" s="378"/>
      <c r="B83" s="378"/>
      <c r="C83" s="378"/>
      <c r="D83" s="380"/>
      <c r="E83" s="380"/>
      <c r="F83" s="378"/>
      <c r="G83" s="378"/>
      <c r="H83" s="378"/>
      <c r="I83" s="378"/>
      <c r="J83" s="378"/>
      <c r="K83" s="378"/>
      <c r="L83" s="378"/>
      <c r="M83" s="381"/>
      <c r="N83" s="381"/>
      <c r="O83" s="381"/>
      <c r="P83" s="381"/>
      <c r="Q83" s="381"/>
      <c r="R83" s="381"/>
      <c r="S83" s="381"/>
      <c r="T83" s="381"/>
      <c r="U83" s="381"/>
      <c r="V83" s="381"/>
      <c r="W83" s="381"/>
      <c r="X83" s="381"/>
      <c r="Y83" s="381"/>
      <c r="Z83" s="381"/>
      <c r="AA83" s="381"/>
      <c r="AB83" s="381"/>
      <c r="AC83" s="382"/>
      <c r="AD83" s="382"/>
    </row>
    <row r="84" spans="1:30" ht="12.75" customHeight="1" x14ac:dyDescent="0.2">
      <c r="A84" s="378"/>
      <c r="B84" s="378"/>
      <c r="C84" s="378"/>
      <c r="D84" s="380"/>
      <c r="E84" s="380"/>
      <c r="F84" s="378"/>
      <c r="G84" s="378"/>
      <c r="H84" s="378"/>
      <c r="I84" s="378"/>
      <c r="J84" s="378"/>
      <c r="K84" s="378"/>
      <c r="L84" s="378"/>
      <c r="M84" s="381"/>
      <c r="N84" s="381"/>
      <c r="O84" s="381"/>
      <c r="P84" s="381"/>
      <c r="Q84" s="381"/>
      <c r="R84" s="381"/>
      <c r="S84" s="381"/>
      <c r="T84" s="381"/>
      <c r="U84" s="381"/>
      <c r="V84" s="381"/>
      <c r="W84" s="381"/>
      <c r="X84" s="381"/>
      <c r="Y84" s="381"/>
      <c r="Z84" s="381"/>
      <c r="AA84" s="381"/>
      <c r="AB84" s="381"/>
      <c r="AC84" s="382"/>
      <c r="AD84" s="382"/>
    </row>
    <row r="85" spans="1:30" ht="12.75" customHeight="1" x14ac:dyDescent="0.2">
      <c r="A85" s="378"/>
      <c r="B85" s="378"/>
      <c r="C85" s="378"/>
      <c r="D85" s="380"/>
      <c r="E85" s="380"/>
      <c r="F85" s="378"/>
      <c r="G85" s="378"/>
      <c r="H85" s="378"/>
      <c r="I85" s="378"/>
      <c r="J85" s="378"/>
      <c r="K85" s="378"/>
      <c r="L85" s="378"/>
      <c r="M85" s="381"/>
      <c r="N85" s="381"/>
      <c r="O85" s="381"/>
      <c r="P85" s="381"/>
      <c r="Q85" s="381"/>
      <c r="R85" s="381"/>
      <c r="S85" s="381"/>
      <c r="T85" s="381"/>
      <c r="U85" s="381"/>
      <c r="V85" s="381"/>
      <c r="W85" s="381"/>
      <c r="X85" s="381"/>
      <c r="Y85" s="381"/>
      <c r="Z85" s="381"/>
      <c r="AA85" s="381"/>
      <c r="AB85" s="381"/>
      <c r="AC85" s="382"/>
      <c r="AD85" s="382"/>
    </row>
    <row r="86" spans="1:30" ht="12.75" customHeight="1" x14ac:dyDescent="0.2">
      <c r="A86" s="378"/>
      <c r="B86" s="378"/>
      <c r="C86" s="378"/>
      <c r="D86" s="380"/>
      <c r="E86" s="380"/>
      <c r="F86" s="378"/>
      <c r="G86" s="378"/>
      <c r="H86" s="378"/>
      <c r="I86" s="378"/>
      <c r="J86" s="378"/>
      <c r="K86" s="378"/>
      <c r="L86" s="378"/>
      <c r="M86" s="381"/>
      <c r="N86" s="381"/>
      <c r="O86" s="381"/>
      <c r="P86" s="381"/>
      <c r="Q86" s="381"/>
      <c r="R86" s="381"/>
      <c r="S86" s="381"/>
      <c r="T86" s="381"/>
      <c r="U86" s="381"/>
      <c r="V86" s="381"/>
      <c r="W86" s="381"/>
      <c r="X86" s="381"/>
      <c r="Y86" s="381"/>
      <c r="Z86" s="381"/>
      <c r="AA86" s="381"/>
      <c r="AB86" s="381"/>
      <c r="AC86" s="382"/>
      <c r="AD86" s="382"/>
    </row>
    <row r="87" spans="1:30" ht="12.75" customHeight="1" x14ac:dyDescent="0.2">
      <c r="A87" s="378"/>
      <c r="B87" s="378"/>
      <c r="C87" s="378"/>
      <c r="D87" s="380"/>
      <c r="E87" s="380"/>
      <c r="F87" s="378"/>
      <c r="G87" s="378"/>
      <c r="H87" s="378"/>
      <c r="I87" s="378"/>
      <c r="J87" s="378"/>
      <c r="K87" s="378"/>
      <c r="L87" s="378"/>
      <c r="M87" s="381"/>
      <c r="N87" s="381"/>
      <c r="O87" s="381"/>
      <c r="P87" s="381"/>
      <c r="Q87" s="381"/>
      <c r="R87" s="381"/>
      <c r="S87" s="381"/>
      <c r="T87" s="381"/>
      <c r="U87" s="381"/>
      <c r="V87" s="381"/>
      <c r="W87" s="381"/>
      <c r="X87" s="381"/>
      <c r="Y87" s="381"/>
      <c r="Z87" s="381"/>
      <c r="AA87" s="381"/>
      <c r="AB87" s="381"/>
      <c r="AC87" s="382"/>
      <c r="AD87" s="382"/>
    </row>
    <row r="88" spans="1:30" ht="12.75" customHeight="1" x14ac:dyDescent="0.2">
      <c r="A88" s="378"/>
      <c r="B88" s="378"/>
      <c r="C88" s="378"/>
      <c r="D88" s="380"/>
      <c r="E88" s="380"/>
      <c r="F88" s="378"/>
      <c r="G88" s="378"/>
      <c r="H88" s="378"/>
      <c r="I88" s="378"/>
      <c r="J88" s="378"/>
      <c r="K88" s="378"/>
      <c r="L88" s="378"/>
      <c r="M88" s="381"/>
      <c r="N88" s="381"/>
      <c r="O88" s="381"/>
      <c r="P88" s="381"/>
      <c r="Q88" s="381"/>
      <c r="R88" s="381"/>
      <c r="S88" s="381"/>
      <c r="T88" s="381"/>
      <c r="U88" s="381"/>
      <c r="V88" s="381"/>
      <c r="W88" s="381"/>
      <c r="X88" s="381"/>
      <c r="Y88" s="381"/>
      <c r="Z88" s="381"/>
      <c r="AA88" s="381"/>
      <c r="AB88" s="381"/>
      <c r="AC88" s="382"/>
      <c r="AD88" s="382"/>
    </row>
    <row r="89" spans="1:30" ht="12.75" customHeight="1" x14ac:dyDescent="0.2">
      <c r="A89" s="378"/>
      <c r="B89" s="378"/>
      <c r="C89" s="378"/>
      <c r="D89" s="380"/>
      <c r="E89" s="380"/>
      <c r="F89" s="378"/>
      <c r="G89" s="378"/>
      <c r="H89" s="378"/>
      <c r="I89" s="378"/>
      <c r="J89" s="378"/>
      <c r="K89" s="378"/>
      <c r="L89" s="378"/>
      <c r="M89" s="381"/>
      <c r="N89" s="381"/>
      <c r="O89" s="381"/>
      <c r="P89" s="381"/>
      <c r="Q89" s="381"/>
      <c r="R89" s="381"/>
      <c r="S89" s="381"/>
      <c r="T89" s="381"/>
      <c r="U89" s="381"/>
      <c r="V89" s="381"/>
      <c r="W89" s="381"/>
      <c r="X89" s="381"/>
      <c r="Y89" s="381"/>
      <c r="Z89" s="381"/>
      <c r="AA89" s="381"/>
      <c r="AB89" s="381"/>
      <c r="AC89" s="382"/>
      <c r="AD89" s="382"/>
    </row>
    <row r="90" spans="1:30" ht="12.75" customHeight="1" x14ac:dyDescent="0.2">
      <c r="A90" s="378"/>
      <c r="B90" s="378"/>
      <c r="C90" s="378"/>
      <c r="D90" s="380"/>
      <c r="E90" s="380"/>
      <c r="F90" s="378"/>
      <c r="G90" s="378"/>
      <c r="H90" s="378"/>
      <c r="I90" s="378"/>
      <c r="J90" s="378"/>
      <c r="K90" s="378"/>
      <c r="L90" s="378"/>
      <c r="M90" s="381"/>
      <c r="N90" s="381"/>
      <c r="O90" s="381"/>
      <c r="P90" s="381"/>
      <c r="Q90" s="381"/>
      <c r="R90" s="381"/>
      <c r="S90" s="381"/>
      <c r="T90" s="381"/>
      <c r="U90" s="381"/>
      <c r="V90" s="381"/>
      <c r="W90" s="381"/>
      <c r="X90" s="381"/>
      <c r="Y90" s="381"/>
      <c r="Z90" s="381"/>
      <c r="AA90" s="381"/>
      <c r="AB90" s="381"/>
      <c r="AC90" s="382"/>
      <c r="AD90" s="382"/>
    </row>
    <row r="91" spans="1:30" ht="12.75" customHeight="1" x14ac:dyDescent="0.2">
      <c r="A91" s="378"/>
      <c r="B91" s="378"/>
      <c r="C91" s="378"/>
      <c r="D91" s="380"/>
      <c r="E91" s="380"/>
      <c r="F91" s="378"/>
      <c r="G91" s="378"/>
      <c r="H91" s="378"/>
      <c r="I91" s="378"/>
      <c r="J91" s="378"/>
      <c r="K91" s="378"/>
      <c r="L91" s="378"/>
      <c r="M91" s="381"/>
      <c r="N91" s="381"/>
      <c r="O91" s="381"/>
      <c r="P91" s="381"/>
      <c r="Q91" s="381"/>
      <c r="R91" s="381"/>
      <c r="S91" s="381"/>
      <c r="T91" s="381"/>
      <c r="U91" s="381"/>
      <c r="V91" s="381"/>
      <c r="W91" s="381"/>
      <c r="X91" s="381"/>
      <c r="Y91" s="381"/>
      <c r="Z91" s="381"/>
      <c r="AA91" s="381"/>
      <c r="AB91" s="381"/>
      <c r="AC91" s="382"/>
      <c r="AD91" s="382"/>
    </row>
    <row r="92" spans="1:30" ht="12.75" customHeight="1" x14ac:dyDescent="0.2">
      <c r="A92" s="378"/>
      <c r="B92" s="378"/>
      <c r="C92" s="378"/>
      <c r="D92" s="380"/>
      <c r="E92" s="380"/>
      <c r="F92" s="378"/>
      <c r="G92" s="378"/>
      <c r="H92" s="378"/>
      <c r="I92" s="378"/>
      <c r="J92" s="378"/>
      <c r="K92" s="378"/>
      <c r="L92" s="378"/>
      <c r="M92" s="381"/>
      <c r="N92" s="381"/>
      <c r="O92" s="381"/>
      <c r="P92" s="381"/>
      <c r="Q92" s="381"/>
      <c r="R92" s="381"/>
      <c r="S92" s="381"/>
      <c r="T92" s="381"/>
      <c r="U92" s="381"/>
      <c r="V92" s="381"/>
      <c r="W92" s="381"/>
      <c r="X92" s="381"/>
      <c r="Y92" s="381"/>
      <c r="Z92" s="381"/>
      <c r="AA92" s="381"/>
      <c r="AB92" s="381"/>
      <c r="AC92" s="382"/>
      <c r="AD92" s="382"/>
    </row>
    <row r="93" spans="1:30" ht="12.75" customHeight="1" x14ac:dyDescent="0.2">
      <c r="A93" s="378"/>
      <c r="B93" s="378"/>
      <c r="C93" s="378"/>
      <c r="D93" s="380"/>
      <c r="E93" s="380"/>
      <c r="F93" s="378"/>
      <c r="G93" s="378"/>
      <c r="H93" s="378"/>
      <c r="I93" s="378"/>
      <c r="J93" s="378"/>
      <c r="K93" s="378"/>
      <c r="L93" s="378"/>
      <c r="M93" s="381"/>
      <c r="N93" s="381"/>
      <c r="O93" s="381"/>
      <c r="P93" s="381"/>
      <c r="Q93" s="381"/>
      <c r="R93" s="381"/>
      <c r="S93" s="381"/>
      <c r="T93" s="381"/>
      <c r="U93" s="381"/>
      <c r="V93" s="381"/>
      <c r="W93" s="381"/>
      <c r="X93" s="381"/>
      <c r="Y93" s="381"/>
      <c r="Z93" s="381"/>
      <c r="AA93" s="381"/>
      <c r="AB93" s="381"/>
      <c r="AC93" s="382"/>
      <c r="AD93" s="382"/>
    </row>
    <row r="94" spans="1:30" ht="12.75" customHeight="1" x14ac:dyDescent="0.2">
      <c r="A94" s="378"/>
      <c r="B94" s="378"/>
      <c r="C94" s="378"/>
      <c r="D94" s="380"/>
      <c r="E94" s="380"/>
      <c r="F94" s="378"/>
      <c r="G94" s="378"/>
      <c r="H94" s="378"/>
      <c r="I94" s="378"/>
      <c r="J94" s="378"/>
      <c r="K94" s="378"/>
      <c r="L94" s="378"/>
      <c r="M94" s="381"/>
      <c r="N94" s="381"/>
      <c r="O94" s="381"/>
      <c r="P94" s="381"/>
      <c r="Q94" s="381"/>
      <c r="R94" s="381"/>
      <c r="S94" s="381"/>
      <c r="T94" s="381"/>
      <c r="U94" s="381"/>
      <c r="V94" s="381"/>
      <c r="W94" s="381"/>
      <c r="X94" s="381"/>
      <c r="Y94" s="381"/>
      <c r="Z94" s="381"/>
      <c r="AA94" s="381"/>
      <c r="AB94" s="381"/>
      <c r="AC94" s="382"/>
      <c r="AD94" s="382"/>
    </row>
    <row r="95" spans="1:30" ht="12.75" customHeight="1" x14ac:dyDescent="0.2">
      <c r="A95" s="378"/>
      <c r="B95" s="378"/>
      <c r="C95" s="378"/>
      <c r="D95" s="380"/>
      <c r="E95" s="380"/>
      <c r="F95" s="378"/>
      <c r="G95" s="378"/>
      <c r="H95" s="378"/>
      <c r="I95" s="378"/>
      <c r="J95" s="378"/>
      <c r="K95" s="378"/>
      <c r="L95" s="378"/>
      <c r="M95" s="381"/>
      <c r="N95" s="381"/>
      <c r="O95" s="381"/>
      <c r="P95" s="381"/>
      <c r="Q95" s="381"/>
      <c r="R95" s="381"/>
      <c r="S95" s="381"/>
      <c r="T95" s="381"/>
      <c r="U95" s="381"/>
      <c r="V95" s="381"/>
      <c r="W95" s="381"/>
      <c r="X95" s="381"/>
      <c r="Y95" s="381"/>
      <c r="Z95" s="381"/>
      <c r="AA95" s="381"/>
      <c r="AB95" s="381"/>
      <c r="AC95" s="382"/>
      <c r="AD95" s="382"/>
    </row>
    <row r="96" spans="1:30" ht="12.75" customHeight="1" x14ac:dyDescent="0.2">
      <c r="A96" s="378"/>
      <c r="B96" s="378"/>
      <c r="C96" s="378"/>
      <c r="D96" s="380"/>
      <c r="E96" s="380"/>
      <c r="F96" s="378"/>
      <c r="G96" s="378"/>
      <c r="H96" s="378"/>
      <c r="I96" s="378"/>
      <c r="J96" s="378"/>
      <c r="K96" s="378"/>
      <c r="L96" s="378"/>
      <c r="M96" s="381"/>
      <c r="N96" s="381"/>
      <c r="O96" s="381"/>
      <c r="P96" s="381"/>
      <c r="Q96" s="381"/>
      <c r="R96" s="381"/>
      <c r="S96" s="381"/>
      <c r="T96" s="381"/>
      <c r="U96" s="381"/>
      <c r="V96" s="381"/>
      <c r="W96" s="381"/>
      <c r="X96" s="381"/>
      <c r="Y96" s="381"/>
      <c r="Z96" s="381"/>
      <c r="AA96" s="381"/>
      <c r="AB96" s="381"/>
      <c r="AC96" s="382"/>
      <c r="AD96" s="382"/>
    </row>
    <row r="97" spans="1:30" ht="12.75" customHeight="1" x14ac:dyDescent="0.2">
      <c r="A97" s="378"/>
      <c r="B97" s="378"/>
      <c r="C97" s="378"/>
      <c r="D97" s="380"/>
      <c r="E97" s="380"/>
      <c r="F97" s="378"/>
      <c r="G97" s="378"/>
      <c r="H97" s="378"/>
      <c r="I97" s="378"/>
      <c r="J97" s="378"/>
      <c r="K97" s="378"/>
      <c r="L97" s="378"/>
      <c r="M97" s="381"/>
      <c r="N97" s="381"/>
      <c r="O97" s="381"/>
      <c r="P97" s="381"/>
      <c r="Q97" s="381"/>
      <c r="R97" s="381"/>
      <c r="S97" s="381"/>
      <c r="T97" s="381"/>
      <c r="U97" s="381"/>
      <c r="V97" s="381"/>
      <c r="W97" s="381"/>
      <c r="X97" s="381"/>
      <c r="Y97" s="381"/>
      <c r="Z97" s="381"/>
      <c r="AA97" s="381"/>
      <c r="AB97" s="381"/>
      <c r="AC97" s="382"/>
      <c r="AD97" s="382"/>
    </row>
    <row r="98" spans="1:30" ht="12.75" customHeight="1" x14ac:dyDescent="0.2">
      <c r="A98" s="378"/>
      <c r="B98" s="378"/>
      <c r="C98" s="378"/>
      <c r="D98" s="380"/>
      <c r="E98" s="380"/>
      <c r="F98" s="378"/>
      <c r="G98" s="378"/>
      <c r="H98" s="378"/>
      <c r="I98" s="378"/>
      <c r="J98" s="378"/>
      <c r="K98" s="378"/>
      <c r="L98" s="378"/>
      <c r="M98" s="381"/>
      <c r="N98" s="381"/>
      <c r="O98" s="381"/>
      <c r="P98" s="381"/>
      <c r="Q98" s="381"/>
      <c r="R98" s="381"/>
      <c r="S98" s="381"/>
      <c r="T98" s="381"/>
      <c r="U98" s="381"/>
      <c r="V98" s="381"/>
      <c r="W98" s="381"/>
      <c r="X98" s="381"/>
      <c r="Y98" s="381"/>
      <c r="Z98" s="381"/>
      <c r="AA98" s="381"/>
      <c r="AB98" s="381"/>
      <c r="AC98" s="382"/>
      <c r="AD98" s="382"/>
    </row>
    <row r="99" spans="1:30" ht="12.75" customHeight="1" x14ac:dyDescent="0.2">
      <c r="A99" s="378"/>
      <c r="B99" s="378"/>
      <c r="C99" s="378"/>
      <c r="D99" s="380"/>
      <c r="E99" s="380"/>
      <c r="F99" s="378"/>
      <c r="G99" s="378"/>
      <c r="H99" s="378"/>
      <c r="I99" s="378"/>
      <c r="J99" s="378"/>
      <c r="K99" s="378"/>
      <c r="L99" s="378"/>
      <c r="M99" s="381"/>
      <c r="N99" s="381"/>
      <c r="O99" s="381"/>
      <c r="P99" s="381"/>
      <c r="Q99" s="381"/>
      <c r="R99" s="381"/>
      <c r="S99" s="381"/>
      <c r="T99" s="381"/>
      <c r="U99" s="381"/>
      <c r="V99" s="381"/>
      <c r="W99" s="381"/>
      <c r="X99" s="381"/>
      <c r="Y99" s="381"/>
      <c r="Z99" s="381"/>
      <c r="AA99" s="381"/>
      <c r="AB99" s="381"/>
      <c r="AC99" s="382"/>
      <c r="AD99" s="382"/>
    </row>
    <row r="100" spans="1:30" ht="12.75" customHeight="1" x14ac:dyDescent="0.2">
      <c r="A100" s="378"/>
      <c r="B100" s="378"/>
      <c r="C100" s="378"/>
      <c r="D100" s="380"/>
      <c r="E100" s="380"/>
      <c r="F100" s="378"/>
      <c r="G100" s="378"/>
      <c r="H100" s="378"/>
      <c r="I100" s="378"/>
      <c r="J100" s="378"/>
      <c r="K100" s="378"/>
      <c r="L100" s="378"/>
      <c r="M100" s="381"/>
      <c r="N100" s="381"/>
      <c r="O100" s="381"/>
      <c r="P100" s="381"/>
      <c r="Q100" s="381"/>
      <c r="R100" s="381"/>
      <c r="S100" s="381"/>
      <c r="T100" s="381"/>
      <c r="U100" s="381"/>
      <c r="V100" s="381"/>
      <c r="W100" s="381"/>
      <c r="X100" s="381"/>
      <c r="Y100" s="381"/>
      <c r="Z100" s="381"/>
      <c r="AA100" s="381"/>
      <c r="AB100" s="381"/>
      <c r="AC100" s="382"/>
      <c r="AD100" s="382"/>
    </row>
    <row r="101" spans="1:30" ht="12.75" customHeight="1" x14ac:dyDescent="0.2">
      <c r="A101" s="378"/>
      <c r="B101" s="378"/>
      <c r="C101" s="378"/>
      <c r="D101" s="380"/>
      <c r="E101" s="380"/>
      <c r="F101" s="378"/>
      <c r="G101" s="378"/>
      <c r="H101" s="378"/>
      <c r="I101" s="378"/>
      <c r="J101" s="378"/>
      <c r="K101" s="378"/>
      <c r="L101" s="378"/>
      <c r="M101" s="381"/>
      <c r="N101" s="381"/>
      <c r="O101" s="381"/>
      <c r="P101" s="381"/>
      <c r="Q101" s="381"/>
      <c r="R101" s="381"/>
      <c r="S101" s="381"/>
      <c r="T101" s="381"/>
      <c r="U101" s="381"/>
      <c r="V101" s="381"/>
      <c r="W101" s="381"/>
      <c r="X101" s="381"/>
      <c r="Y101" s="381"/>
      <c r="Z101" s="381"/>
      <c r="AA101" s="381"/>
      <c r="AB101" s="381"/>
      <c r="AC101" s="382"/>
      <c r="AD101" s="382"/>
    </row>
    <row r="102" spans="1:30" ht="12.75" customHeight="1" x14ac:dyDescent="0.2">
      <c r="A102" s="378"/>
      <c r="B102" s="378"/>
      <c r="C102" s="378"/>
      <c r="D102" s="380"/>
      <c r="E102" s="380"/>
      <c r="F102" s="378"/>
      <c r="G102" s="378"/>
      <c r="H102" s="378"/>
      <c r="I102" s="378"/>
      <c r="J102" s="378"/>
      <c r="K102" s="378"/>
      <c r="L102" s="378"/>
      <c r="M102" s="381"/>
      <c r="N102" s="381"/>
      <c r="O102" s="381"/>
      <c r="P102" s="381"/>
      <c r="Q102" s="381"/>
      <c r="R102" s="381"/>
      <c r="S102" s="381"/>
      <c r="T102" s="381"/>
      <c r="U102" s="381"/>
      <c r="V102" s="381"/>
      <c r="W102" s="381"/>
      <c r="X102" s="381"/>
      <c r="Y102" s="381"/>
      <c r="Z102" s="381"/>
      <c r="AA102" s="381"/>
      <c r="AB102" s="381"/>
      <c r="AC102" s="382"/>
      <c r="AD102" s="382"/>
    </row>
    <row r="103" spans="1:30" ht="12.75" customHeight="1" x14ac:dyDescent="0.2">
      <c r="A103" s="378"/>
      <c r="B103" s="378"/>
      <c r="C103" s="378"/>
      <c r="D103" s="380"/>
      <c r="E103" s="380"/>
      <c r="F103" s="378"/>
      <c r="G103" s="378"/>
      <c r="H103" s="378"/>
      <c r="I103" s="378"/>
      <c r="J103" s="378"/>
      <c r="K103" s="378"/>
      <c r="L103" s="378"/>
      <c r="M103" s="381"/>
      <c r="N103" s="381"/>
      <c r="O103" s="381"/>
      <c r="P103" s="381"/>
      <c r="Q103" s="381"/>
      <c r="R103" s="381"/>
      <c r="S103" s="381"/>
      <c r="T103" s="381"/>
      <c r="U103" s="381"/>
      <c r="V103" s="381"/>
      <c r="W103" s="381"/>
      <c r="X103" s="381"/>
      <c r="Y103" s="381"/>
      <c r="Z103" s="381"/>
      <c r="AA103" s="381"/>
      <c r="AB103" s="381"/>
      <c r="AC103" s="382"/>
      <c r="AD103" s="382"/>
    </row>
    <row r="104" spans="1:30" ht="12.75" customHeight="1" x14ac:dyDescent="0.2">
      <c r="A104" s="378"/>
      <c r="B104" s="378"/>
      <c r="C104" s="378"/>
      <c r="D104" s="380"/>
      <c r="E104" s="380"/>
      <c r="F104" s="378"/>
      <c r="G104" s="378"/>
      <c r="H104" s="378"/>
      <c r="I104" s="378"/>
      <c r="J104" s="378"/>
      <c r="K104" s="378"/>
      <c r="L104" s="378"/>
      <c r="M104" s="381"/>
      <c r="N104" s="381"/>
      <c r="O104" s="381"/>
      <c r="P104" s="381"/>
      <c r="Q104" s="381"/>
      <c r="R104" s="381"/>
      <c r="S104" s="381"/>
      <c r="T104" s="381"/>
      <c r="U104" s="381"/>
      <c r="V104" s="381"/>
      <c r="W104" s="381"/>
      <c r="X104" s="381"/>
      <c r="Y104" s="381"/>
      <c r="Z104" s="381"/>
      <c r="AA104" s="381"/>
      <c r="AB104" s="381"/>
      <c r="AC104" s="382"/>
      <c r="AD104" s="382"/>
    </row>
    <row r="105" spans="1:30" ht="12.75" customHeight="1" x14ac:dyDescent="0.2">
      <c r="A105" s="378"/>
      <c r="B105" s="378"/>
      <c r="C105" s="378"/>
      <c r="D105" s="380"/>
      <c r="E105" s="380"/>
      <c r="F105" s="378"/>
      <c r="G105" s="378"/>
      <c r="H105" s="378"/>
      <c r="I105" s="378"/>
      <c r="J105" s="378"/>
      <c r="K105" s="378"/>
      <c r="L105" s="378"/>
      <c r="M105" s="381"/>
      <c r="N105" s="381"/>
      <c r="O105" s="381"/>
      <c r="P105" s="381"/>
      <c r="Q105" s="381"/>
      <c r="R105" s="381"/>
      <c r="S105" s="381"/>
      <c r="T105" s="381"/>
      <c r="U105" s="381"/>
      <c r="V105" s="381"/>
      <c r="W105" s="381"/>
      <c r="X105" s="381"/>
      <c r="Y105" s="381"/>
      <c r="Z105" s="381"/>
      <c r="AA105" s="381"/>
      <c r="AB105" s="381"/>
      <c r="AC105" s="382"/>
      <c r="AD105" s="382"/>
    </row>
    <row r="106" spans="1:30" ht="12.75" customHeight="1" x14ac:dyDescent="0.2">
      <c r="A106" s="378"/>
      <c r="B106" s="378"/>
      <c r="C106" s="378"/>
      <c r="D106" s="380"/>
      <c r="E106" s="380"/>
      <c r="F106" s="378"/>
      <c r="G106" s="378"/>
      <c r="H106" s="378"/>
      <c r="I106" s="378"/>
      <c r="J106" s="378"/>
      <c r="K106" s="378"/>
      <c r="L106" s="378"/>
      <c r="M106" s="381"/>
      <c r="N106" s="381"/>
      <c r="O106" s="381"/>
      <c r="P106" s="381"/>
      <c r="Q106" s="381"/>
      <c r="R106" s="381"/>
      <c r="S106" s="381"/>
      <c r="T106" s="381"/>
      <c r="U106" s="381"/>
      <c r="V106" s="381"/>
      <c r="W106" s="381"/>
      <c r="X106" s="381"/>
      <c r="Y106" s="381"/>
      <c r="Z106" s="381"/>
      <c r="AA106" s="381"/>
      <c r="AB106" s="381"/>
      <c r="AC106" s="382"/>
      <c r="AD106" s="382"/>
    </row>
    <row r="107" spans="1:30" ht="12.75" customHeight="1" x14ac:dyDescent="0.2">
      <c r="A107" s="378"/>
      <c r="B107" s="378"/>
      <c r="C107" s="378"/>
      <c r="D107" s="380"/>
      <c r="E107" s="380"/>
      <c r="F107" s="378"/>
      <c r="G107" s="378"/>
      <c r="H107" s="378"/>
      <c r="I107" s="378"/>
      <c r="J107" s="378"/>
      <c r="K107" s="378"/>
      <c r="L107" s="378"/>
      <c r="M107" s="381"/>
      <c r="N107" s="381"/>
      <c r="O107" s="381"/>
      <c r="P107" s="381"/>
      <c r="Q107" s="381"/>
      <c r="R107" s="381"/>
      <c r="S107" s="381"/>
      <c r="T107" s="381"/>
      <c r="U107" s="381"/>
      <c r="V107" s="381"/>
      <c r="W107" s="381"/>
      <c r="X107" s="381"/>
      <c r="Y107" s="381"/>
      <c r="Z107" s="381"/>
      <c r="AA107" s="381"/>
      <c r="AB107" s="381"/>
      <c r="AC107" s="382"/>
      <c r="AD107" s="382"/>
    </row>
    <row r="108" spans="1:30" ht="12.75" customHeight="1" x14ac:dyDescent="0.2">
      <c r="A108" s="378"/>
      <c r="B108" s="378"/>
      <c r="C108" s="378"/>
      <c r="D108" s="380"/>
      <c r="E108" s="380"/>
      <c r="F108" s="378"/>
      <c r="G108" s="378"/>
      <c r="H108" s="378"/>
      <c r="I108" s="378"/>
      <c r="J108" s="378"/>
      <c r="K108" s="378"/>
      <c r="L108" s="378"/>
      <c r="M108" s="381"/>
      <c r="N108" s="381"/>
      <c r="O108" s="381"/>
      <c r="P108" s="381"/>
      <c r="Q108" s="381"/>
      <c r="R108" s="381"/>
      <c r="S108" s="381"/>
      <c r="T108" s="381"/>
      <c r="U108" s="381"/>
      <c r="V108" s="381"/>
      <c r="W108" s="381"/>
      <c r="X108" s="381"/>
      <c r="Y108" s="381"/>
      <c r="Z108" s="381"/>
      <c r="AA108" s="381"/>
      <c r="AB108" s="381"/>
      <c r="AC108" s="382"/>
      <c r="AD108" s="382"/>
    </row>
    <row r="109" spans="1:30" ht="12.75" customHeight="1" x14ac:dyDescent="0.2">
      <c r="A109" s="378"/>
      <c r="B109" s="378"/>
      <c r="C109" s="378"/>
      <c r="D109" s="380"/>
      <c r="E109" s="380"/>
      <c r="F109" s="378"/>
      <c r="G109" s="378"/>
      <c r="H109" s="378"/>
      <c r="I109" s="378"/>
      <c r="J109" s="378"/>
      <c r="K109" s="378"/>
      <c r="L109" s="378"/>
      <c r="M109" s="381"/>
      <c r="N109" s="381"/>
      <c r="O109" s="381"/>
      <c r="P109" s="381"/>
      <c r="Q109" s="381"/>
      <c r="R109" s="381"/>
      <c r="S109" s="381"/>
      <c r="T109" s="381"/>
      <c r="U109" s="381"/>
      <c r="V109" s="381"/>
      <c r="W109" s="381"/>
      <c r="X109" s="381"/>
      <c r="Y109" s="381"/>
      <c r="Z109" s="381"/>
      <c r="AA109" s="381"/>
      <c r="AB109" s="381"/>
      <c r="AC109" s="382"/>
      <c r="AD109" s="382"/>
    </row>
    <row r="110" spans="1:30" ht="12.75" customHeight="1" x14ac:dyDescent="0.2">
      <c r="A110" s="378"/>
      <c r="B110" s="378"/>
      <c r="C110" s="378"/>
      <c r="D110" s="380"/>
      <c r="E110" s="380"/>
      <c r="F110" s="378"/>
      <c r="G110" s="378"/>
      <c r="H110" s="378"/>
      <c r="I110" s="378"/>
      <c r="J110" s="378"/>
      <c r="K110" s="378"/>
      <c r="L110" s="378"/>
      <c r="M110" s="381"/>
      <c r="N110" s="381"/>
      <c r="O110" s="381"/>
      <c r="P110" s="381"/>
      <c r="Q110" s="381"/>
      <c r="R110" s="381"/>
      <c r="S110" s="381"/>
      <c r="T110" s="381"/>
      <c r="U110" s="381"/>
      <c r="V110" s="381"/>
      <c r="W110" s="381"/>
      <c r="X110" s="381"/>
      <c r="Y110" s="381"/>
      <c r="Z110" s="381"/>
      <c r="AA110" s="381"/>
      <c r="AB110" s="381"/>
      <c r="AC110" s="382"/>
      <c r="AD110" s="382"/>
    </row>
    <row r="111" spans="1:30" ht="12.75" customHeight="1" x14ac:dyDescent="0.2">
      <c r="A111" s="378"/>
      <c r="B111" s="378"/>
      <c r="C111" s="378"/>
      <c r="D111" s="380"/>
      <c r="E111" s="380"/>
      <c r="F111" s="378"/>
      <c r="G111" s="378"/>
      <c r="H111" s="378"/>
      <c r="I111" s="378"/>
      <c r="J111" s="378"/>
      <c r="K111" s="378"/>
      <c r="L111" s="378"/>
      <c r="M111" s="381"/>
      <c r="N111" s="381"/>
      <c r="O111" s="381"/>
      <c r="P111" s="381"/>
      <c r="Q111" s="381"/>
      <c r="R111" s="381"/>
      <c r="S111" s="381"/>
      <c r="T111" s="381"/>
      <c r="U111" s="381"/>
      <c r="V111" s="381"/>
      <c r="W111" s="381"/>
      <c r="X111" s="381"/>
      <c r="Y111" s="381"/>
      <c r="Z111" s="381"/>
      <c r="AA111" s="381"/>
      <c r="AB111" s="381"/>
      <c r="AC111" s="382"/>
      <c r="AD111" s="382"/>
    </row>
    <row r="112" spans="1:30" ht="12.75" customHeight="1" x14ac:dyDescent="0.2">
      <c r="A112" s="378"/>
      <c r="B112" s="378"/>
      <c r="C112" s="378"/>
      <c r="D112" s="380"/>
      <c r="E112" s="380"/>
      <c r="F112" s="378"/>
      <c r="G112" s="378"/>
      <c r="H112" s="378"/>
      <c r="I112" s="378"/>
      <c r="J112" s="378"/>
      <c r="K112" s="378"/>
      <c r="L112" s="378"/>
      <c r="M112" s="381"/>
      <c r="N112" s="381"/>
      <c r="O112" s="381"/>
      <c r="P112" s="381"/>
      <c r="Q112" s="381"/>
      <c r="R112" s="381"/>
      <c r="S112" s="381"/>
      <c r="T112" s="381"/>
      <c r="U112" s="381"/>
      <c r="V112" s="381"/>
      <c r="W112" s="381"/>
      <c r="X112" s="381"/>
      <c r="Y112" s="381"/>
      <c r="Z112" s="381"/>
      <c r="AA112" s="381"/>
      <c r="AB112" s="381"/>
      <c r="AC112" s="382"/>
      <c r="AD112" s="382"/>
    </row>
    <row r="113" spans="1:30" ht="12.75" customHeight="1" x14ac:dyDescent="0.2">
      <c r="A113" s="378"/>
      <c r="B113" s="378"/>
      <c r="C113" s="378"/>
      <c r="D113" s="380"/>
      <c r="E113" s="380"/>
      <c r="F113" s="378"/>
      <c r="G113" s="378"/>
      <c r="H113" s="378"/>
      <c r="I113" s="378"/>
      <c r="J113" s="378"/>
      <c r="K113" s="378"/>
      <c r="L113" s="378"/>
      <c r="M113" s="381"/>
      <c r="N113" s="381"/>
      <c r="O113" s="381"/>
      <c r="P113" s="381"/>
      <c r="Q113" s="381"/>
      <c r="R113" s="381"/>
      <c r="S113" s="381"/>
      <c r="T113" s="381"/>
      <c r="U113" s="381"/>
      <c r="V113" s="381"/>
      <c r="W113" s="381"/>
      <c r="X113" s="381"/>
      <c r="Y113" s="381"/>
      <c r="Z113" s="381"/>
      <c r="AA113" s="381"/>
      <c r="AB113" s="381"/>
      <c r="AC113" s="382"/>
      <c r="AD113" s="382"/>
    </row>
    <row r="114" spans="1:30" ht="12.75" customHeight="1" x14ac:dyDescent="0.2">
      <c r="A114" s="378"/>
      <c r="B114" s="378"/>
      <c r="C114" s="378"/>
      <c r="D114" s="380"/>
      <c r="E114" s="380"/>
      <c r="F114" s="378"/>
      <c r="G114" s="378"/>
      <c r="H114" s="378"/>
      <c r="I114" s="378"/>
      <c r="J114" s="378"/>
      <c r="K114" s="378"/>
      <c r="L114" s="378"/>
      <c r="M114" s="381"/>
      <c r="N114" s="381"/>
      <c r="O114" s="381"/>
      <c r="P114" s="381"/>
      <c r="Q114" s="381"/>
      <c r="R114" s="381"/>
      <c r="S114" s="381"/>
      <c r="T114" s="381"/>
      <c r="U114" s="381"/>
      <c r="V114" s="381"/>
      <c r="W114" s="381"/>
      <c r="X114" s="381"/>
      <c r="Y114" s="381"/>
      <c r="Z114" s="381"/>
      <c r="AA114" s="381"/>
      <c r="AB114" s="381"/>
      <c r="AC114" s="382"/>
      <c r="AD114" s="382"/>
    </row>
    <row r="115" spans="1:30" ht="12.75" customHeight="1" x14ac:dyDescent="0.2">
      <c r="A115" s="378"/>
      <c r="B115" s="378"/>
      <c r="C115" s="378"/>
      <c r="D115" s="380"/>
      <c r="E115" s="380"/>
      <c r="F115" s="378"/>
      <c r="G115" s="378"/>
      <c r="H115" s="378"/>
      <c r="I115" s="378"/>
      <c r="J115" s="378"/>
      <c r="K115" s="378"/>
      <c r="L115" s="378"/>
      <c r="M115" s="381"/>
      <c r="N115" s="381"/>
      <c r="O115" s="381"/>
      <c r="P115" s="381"/>
      <c r="Q115" s="381"/>
      <c r="R115" s="381"/>
      <c r="S115" s="381"/>
      <c r="T115" s="381"/>
      <c r="U115" s="381"/>
      <c r="V115" s="381"/>
      <c r="W115" s="381"/>
      <c r="X115" s="381"/>
      <c r="Y115" s="381"/>
      <c r="Z115" s="381"/>
      <c r="AA115" s="381"/>
      <c r="AB115" s="381"/>
      <c r="AC115" s="382"/>
      <c r="AD115" s="382"/>
    </row>
    <row r="116" spans="1:30" ht="12.75" customHeight="1" x14ac:dyDescent="0.2">
      <c r="A116" s="378"/>
      <c r="B116" s="378"/>
      <c r="C116" s="378"/>
      <c r="D116" s="380"/>
      <c r="E116" s="380"/>
      <c r="F116" s="378"/>
      <c r="G116" s="378"/>
      <c r="H116" s="378"/>
      <c r="I116" s="378"/>
      <c r="J116" s="378"/>
      <c r="K116" s="378"/>
      <c r="L116" s="378"/>
      <c r="M116" s="381"/>
      <c r="N116" s="381"/>
      <c r="O116" s="381"/>
      <c r="P116" s="381"/>
      <c r="Q116" s="381"/>
      <c r="R116" s="381"/>
      <c r="S116" s="381"/>
      <c r="T116" s="381"/>
      <c r="U116" s="381"/>
      <c r="V116" s="381"/>
      <c r="W116" s="381"/>
      <c r="X116" s="381"/>
      <c r="Y116" s="381"/>
      <c r="Z116" s="381"/>
      <c r="AA116" s="381"/>
      <c r="AB116" s="381"/>
      <c r="AC116" s="382"/>
      <c r="AD116" s="382"/>
    </row>
    <row r="117" spans="1:30" ht="12.75" customHeight="1" x14ac:dyDescent="0.2">
      <c r="A117" s="378"/>
      <c r="B117" s="378"/>
      <c r="C117" s="378"/>
      <c r="D117" s="380"/>
      <c r="E117" s="380"/>
      <c r="F117" s="378"/>
      <c r="G117" s="378"/>
      <c r="H117" s="378"/>
      <c r="I117" s="378"/>
      <c r="J117" s="378"/>
      <c r="K117" s="378"/>
      <c r="L117" s="378"/>
      <c r="M117" s="381"/>
      <c r="N117" s="381"/>
      <c r="O117" s="381"/>
      <c r="P117" s="381"/>
      <c r="Q117" s="381"/>
      <c r="R117" s="381"/>
      <c r="S117" s="381"/>
      <c r="T117" s="381"/>
      <c r="U117" s="381"/>
      <c r="V117" s="381"/>
      <c r="W117" s="381"/>
      <c r="X117" s="381"/>
      <c r="Y117" s="381"/>
      <c r="Z117" s="381"/>
      <c r="AA117" s="381"/>
      <c r="AB117" s="381"/>
      <c r="AC117" s="382"/>
      <c r="AD117" s="382"/>
    </row>
    <row r="118" spans="1:30" ht="12.75" customHeight="1" x14ac:dyDescent="0.2">
      <c r="A118" s="378"/>
      <c r="B118" s="378"/>
      <c r="C118" s="378"/>
      <c r="D118" s="380"/>
      <c r="E118" s="380"/>
      <c r="F118" s="378"/>
      <c r="G118" s="378"/>
      <c r="H118" s="378"/>
      <c r="I118" s="378"/>
      <c r="J118" s="378"/>
      <c r="K118" s="378"/>
      <c r="L118" s="378"/>
      <c r="M118" s="381"/>
      <c r="N118" s="381"/>
      <c r="O118" s="381"/>
      <c r="P118" s="381"/>
      <c r="Q118" s="381"/>
      <c r="R118" s="381"/>
      <c r="S118" s="381"/>
      <c r="T118" s="381"/>
      <c r="U118" s="381"/>
      <c r="V118" s="381"/>
      <c r="W118" s="381"/>
      <c r="X118" s="381"/>
      <c r="Y118" s="381"/>
      <c r="Z118" s="381"/>
      <c r="AA118" s="381"/>
      <c r="AB118" s="381"/>
      <c r="AC118" s="382"/>
      <c r="AD118" s="382"/>
    </row>
    <row r="119" spans="1:30" ht="12.75" customHeight="1" x14ac:dyDescent="0.2">
      <c r="A119" s="378"/>
      <c r="B119" s="378"/>
      <c r="C119" s="378"/>
      <c r="D119" s="380"/>
      <c r="E119" s="380"/>
      <c r="F119" s="378"/>
      <c r="G119" s="378"/>
      <c r="H119" s="378"/>
      <c r="I119" s="378"/>
      <c r="J119" s="378"/>
      <c r="K119" s="378"/>
      <c r="L119" s="378"/>
      <c r="M119" s="381"/>
      <c r="N119" s="381"/>
      <c r="O119" s="381"/>
      <c r="P119" s="381"/>
      <c r="Q119" s="381"/>
      <c r="R119" s="381"/>
      <c r="S119" s="381"/>
      <c r="T119" s="381"/>
      <c r="U119" s="381"/>
      <c r="V119" s="381"/>
      <c r="W119" s="381"/>
      <c r="X119" s="381"/>
      <c r="Y119" s="381"/>
      <c r="Z119" s="381"/>
      <c r="AA119" s="381"/>
      <c r="AB119" s="381"/>
      <c r="AC119" s="382"/>
      <c r="AD119" s="382"/>
    </row>
    <row r="120" spans="1:30" ht="12.75" customHeight="1" x14ac:dyDescent="0.2">
      <c r="A120" s="378"/>
      <c r="B120" s="378"/>
      <c r="C120" s="378"/>
      <c r="D120" s="380"/>
      <c r="E120" s="380"/>
      <c r="F120" s="378"/>
      <c r="G120" s="378"/>
      <c r="H120" s="378"/>
      <c r="I120" s="378"/>
      <c r="J120" s="378"/>
      <c r="K120" s="378"/>
      <c r="L120" s="378"/>
      <c r="M120" s="381"/>
      <c r="N120" s="381"/>
      <c r="O120" s="381"/>
      <c r="P120" s="381"/>
      <c r="Q120" s="381"/>
      <c r="R120" s="381"/>
      <c r="S120" s="381"/>
      <c r="T120" s="381"/>
      <c r="U120" s="381"/>
      <c r="V120" s="381"/>
      <c r="W120" s="381"/>
      <c r="X120" s="381"/>
      <c r="Y120" s="381"/>
      <c r="Z120" s="381"/>
      <c r="AA120" s="381"/>
      <c r="AB120" s="381"/>
      <c r="AC120" s="382"/>
      <c r="AD120" s="382"/>
    </row>
    <row r="121" spans="1:30" ht="12.75" customHeight="1" x14ac:dyDescent="0.2">
      <c r="A121" s="378"/>
      <c r="B121" s="378"/>
      <c r="C121" s="378"/>
      <c r="D121" s="380"/>
      <c r="E121" s="380"/>
      <c r="F121" s="378"/>
      <c r="G121" s="378"/>
      <c r="H121" s="378"/>
      <c r="I121" s="378"/>
      <c r="J121" s="378"/>
      <c r="K121" s="378"/>
      <c r="L121" s="378"/>
      <c r="M121" s="381"/>
      <c r="N121" s="381"/>
      <c r="O121" s="381"/>
      <c r="P121" s="381"/>
      <c r="Q121" s="381"/>
      <c r="R121" s="381"/>
      <c r="S121" s="381"/>
      <c r="T121" s="381"/>
      <c r="U121" s="381"/>
      <c r="V121" s="381"/>
      <c r="W121" s="381"/>
      <c r="X121" s="381"/>
      <c r="Y121" s="381"/>
      <c r="Z121" s="381"/>
      <c r="AA121" s="381"/>
      <c r="AB121" s="381"/>
      <c r="AC121" s="382"/>
      <c r="AD121" s="382"/>
    </row>
    <row r="122" spans="1:30" ht="12.75" customHeight="1" x14ac:dyDescent="0.2">
      <c r="A122" s="378"/>
      <c r="B122" s="378"/>
      <c r="C122" s="378"/>
      <c r="D122" s="380"/>
      <c r="E122" s="380"/>
      <c r="F122" s="378"/>
      <c r="G122" s="378"/>
      <c r="H122" s="378"/>
      <c r="I122" s="378"/>
      <c r="J122" s="378"/>
      <c r="K122" s="378"/>
      <c r="L122" s="378"/>
      <c r="M122" s="381"/>
      <c r="N122" s="381"/>
      <c r="O122" s="381"/>
      <c r="P122" s="381"/>
      <c r="Q122" s="381"/>
      <c r="R122" s="381"/>
      <c r="S122" s="381"/>
      <c r="T122" s="381"/>
      <c r="U122" s="381"/>
      <c r="V122" s="381"/>
      <c r="W122" s="381"/>
      <c r="X122" s="381"/>
      <c r="Y122" s="381"/>
      <c r="Z122" s="381"/>
      <c r="AA122" s="381"/>
      <c r="AB122" s="381"/>
      <c r="AC122" s="382"/>
      <c r="AD122" s="382"/>
    </row>
    <row r="123" spans="1:30" ht="12.75" customHeight="1" x14ac:dyDescent="0.2">
      <c r="A123" s="378"/>
      <c r="B123" s="378"/>
      <c r="C123" s="378"/>
      <c r="D123" s="380"/>
      <c r="E123" s="380"/>
      <c r="F123" s="378"/>
      <c r="G123" s="378"/>
      <c r="H123" s="378"/>
      <c r="I123" s="378"/>
      <c r="J123" s="378"/>
      <c r="K123" s="378"/>
      <c r="L123" s="378"/>
      <c r="M123" s="381"/>
      <c r="N123" s="381"/>
      <c r="O123" s="381"/>
      <c r="P123" s="381"/>
      <c r="Q123" s="381"/>
      <c r="R123" s="381"/>
      <c r="S123" s="381"/>
      <c r="T123" s="381"/>
      <c r="U123" s="381"/>
      <c r="V123" s="381"/>
      <c r="W123" s="381"/>
      <c r="X123" s="381"/>
      <c r="Y123" s="381"/>
      <c r="Z123" s="381"/>
      <c r="AA123" s="381"/>
      <c r="AB123" s="381"/>
      <c r="AC123" s="382"/>
      <c r="AD123" s="382"/>
    </row>
    <row r="124" spans="1:30" ht="12.75" customHeight="1" x14ac:dyDescent="0.2">
      <c r="A124" s="378"/>
      <c r="B124" s="378"/>
      <c r="C124" s="378"/>
      <c r="D124" s="380"/>
      <c r="E124" s="380"/>
      <c r="F124" s="378"/>
      <c r="G124" s="378"/>
      <c r="H124" s="378"/>
      <c r="I124" s="378"/>
      <c r="J124" s="378"/>
      <c r="K124" s="378"/>
      <c r="L124" s="378"/>
      <c r="M124" s="381"/>
      <c r="N124" s="381"/>
      <c r="O124" s="381"/>
      <c r="P124" s="381"/>
      <c r="Q124" s="381"/>
      <c r="R124" s="381"/>
      <c r="S124" s="381"/>
      <c r="T124" s="381"/>
      <c r="U124" s="381"/>
      <c r="V124" s="381"/>
      <c r="W124" s="381"/>
      <c r="X124" s="381"/>
      <c r="Y124" s="381"/>
      <c r="Z124" s="381"/>
      <c r="AA124" s="381"/>
      <c r="AB124" s="381"/>
      <c r="AC124" s="382"/>
      <c r="AD124" s="382"/>
    </row>
    <row r="125" spans="1:30" ht="12.75" customHeight="1" x14ac:dyDescent="0.2">
      <c r="A125" s="378"/>
      <c r="B125" s="378"/>
      <c r="C125" s="378"/>
      <c r="D125" s="380"/>
      <c r="E125" s="380"/>
      <c r="F125" s="378"/>
      <c r="G125" s="378"/>
      <c r="H125" s="378"/>
      <c r="I125" s="378"/>
      <c r="J125" s="378"/>
      <c r="K125" s="378"/>
      <c r="L125" s="378"/>
      <c r="M125" s="381"/>
      <c r="N125" s="381"/>
      <c r="O125" s="381"/>
      <c r="P125" s="381"/>
      <c r="Q125" s="381"/>
      <c r="R125" s="381"/>
      <c r="S125" s="381"/>
      <c r="T125" s="381"/>
      <c r="U125" s="381"/>
      <c r="V125" s="381"/>
      <c r="W125" s="381"/>
      <c r="X125" s="381"/>
      <c r="Y125" s="381"/>
      <c r="Z125" s="381"/>
      <c r="AA125" s="381"/>
      <c r="AB125" s="381"/>
      <c r="AC125" s="382"/>
      <c r="AD125" s="382"/>
    </row>
    <row r="126" spans="1:30" ht="12.75" customHeight="1" x14ac:dyDescent="0.2">
      <c r="A126" s="378"/>
      <c r="B126" s="378"/>
      <c r="C126" s="378"/>
      <c r="D126" s="380"/>
      <c r="E126" s="380"/>
      <c r="F126" s="378"/>
      <c r="G126" s="378"/>
      <c r="H126" s="378"/>
      <c r="I126" s="378"/>
      <c r="J126" s="378"/>
      <c r="K126" s="378"/>
      <c r="L126" s="378"/>
      <c r="M126" s="381"/>
      <c r="N126" s="381"/>
      <c r="O126" s="381"/>
      <c r="P126" s="381"/>
      <c r="Q126" s="381"/>
      <c r="R126" s="381"/>
      <c r="S126" s="381"/>
      <c r="T126" s="381"/>
      <c r="U126" s="381"/>
      <c r="V126" s="381"/>
      <c r="W126" s="381"/>
      <c r="X126" s="381"/>
      <c r="Y126" s="381"/>
      <c r="Z126" s="381"/>
      <c r="AA126" s="381"/>
      <c r="AB126" s="381"/>
      <c r="AC126" s="382"/>
      <c r="AD126" s="382"/>
    </row>
    <row r="127" spans="1:30" ht="12.75" customHeight="1" x14ac:dyDescent="0.2">
      <c r="A127" s="378"/>
      <c r="B127" s="378"/>
      <c r="C127" s="378"/>
      <c r="D127" s="380"/>
      <c r="E127" s="380"/>
      <c r="F127" s="378"/>
      <c r="G127" s="378"/>
      <c r="H127" s="378"/>
      <c r="I127" s="378"/>
      <c r="J127" s="378"/>
      <c r="K127" s="378"/>
      <c r="L127" s="378"/>
      <c r="M127" s="381"/>
      <c r="N127" s="381"/>
      <c r="O127" s="381"/>
      <c r="P127" s="381"/>
      <c r="Q127" s="381"/>
      <c r="R127" s="381"/>
      <c r="S127" s="381"/>
      <c r="T127" s="381"/>
      <c r="U127" s="381"/>
      <c r="V127" s="381"/>
      <c r="W127" s="381"/>
      <c r="X127" s="381"/>
      <c r="Y127" s="381"/>
      <c r="Z127" s="381"/>
      <c r="AA127" s="381"/>
      <c r="AB127" s="381"/>
      <c r="AC127" s="382"/>
      <c r="AD127" s="382"/>
    </row>
    <row r="128" spans="1:30" ht="12.75" customHeight="1" x14ac:dyDescent="0.2">
      <c r="A128" s="378"/>
      <c r="B128" s="378"/>
      <c r="C128" s="378"/>
      <c r="D128" s="380"/>
      <c r="E128" s="380"/>
      <c r="F128" s="378"/>
      <c r="G128" s="378"/>
      <c r="H128" s="378"/>
      <c r="I128" s="378"/>
      <c r="J128" s="378"/>
      <c r="K128" s="378"/>
      <c r="L128" s="378"/>
      <c r="M128" s="381"/>
      <c r="N128" s="381"/>
      <c r="O128" s="381"/>
      <c r="P128" s="381"/>
      <c r="Q128" s="381"/>
      <c r="R128" s="381"/>
      <c r="S128" s="381"/>
      <c r="T128" s="381"/>
      <c r="U128" s="381"/>
      <c r="V128" s="381"/>
      <c r="W128" s="381"/>
      <c r="X128" s="381"/>
      <c r="Y128" s="381"/>
      <c r="Z128" s="381"/>
      <c r="AA128" s="381"/>
      <c r="AB128" s="381"/>
      <c r="AC128" s="382"/>
      <c r="AD128" s="382"/>
    </row>
    <row r="129" spans="1:30" ht="12.75" customHeight="1" x14ac:dyDescent="0.2">
      <c r="A129" s="378"/>
      <c r="B129" s="378"/>
      <c r="C129" s="378"/>
      <c r="D129" s="380"/>
      <c r="E129" s="380"/>
      <c r="F129" s="378"/>
      <c r="G129" s="378"/>
      <c r="H129" s="378"/>
      <c r="I129" s="378"/>
      <c r="J129" s="378"/>
      <c r="K129" s="378"/>
      <c r="L129" s="378"/>
      <c r="M129" s="381"/>
      <c r="N129" s="381"/>
      <c r="O129" s="381"/>
      <c r="P129" s="381"/>
      <c r="Q129" s="381"/>
      <c r="R129" s="381"/>
      <c r="S129" s="381"/>
      <c r="T129" s="381"/>
      <c r="U129" s="381"/>
      <c r="V129" s="381"/>
      <c r="W129" s="381"/>
      <c r="X129" s="381"/>
      <c r="Y129" s="381"/>
      <c r="Z129" s="381"/>
      <c r="AA129" s="381"/>
      <c r="AB129" s="381"/>
      <c r="AC129" s="382"/>
      <c r="AD129" s="382"/>
    </row>
    <row r="130" spans="1:30" ht="12.75" customHeight="1" x14ac:dyDescent="0.2">
      <c r="A130" s="378"/>
      <c r="B130" s="378"/>
      <c r="C130" s="378"/>
      <c r="D130" s="380"/>
      <c r="E130" s="380"/>
      <c r="F130" s="378"/>
      <c r="G130" s="378"/>
      <c r="H130" s="378"/>
      <c r="I130" s="378"/>
      <c r="J130" s="378"/>
      <c r="K130" s="378"/>
      <c r="L130" s="378"/>
      <c r="M130" s="381"/>
      <c r="N130" s="381"/>
      <c r="O130" s="381"/>
      <c r="P130" s="381"/>
      <c r="Q130" s="381"/>
      <c r="R130" s="381"/>
      <c r="S130" s="381"/>
      <c r="T130" s="381"/>
      <c r="U130" s="381"/>
      <c r="V130" s="381"/>
      <c r="W130" s="381"/>
      <c r="X130" s="381"/>
      <c r="Y130" s="381"/>
      <c r="Z130" s="381"/>
      <c r="AA130" s="381"/>
      <c r="AB130" s="381"/>
      <c r="AC130" s="382"/>
      <c r="AD130" s="382"/>
    </row>
    <row r="131" spans="1:30" ht="12.75" customHeight="1" x14ac:dyDescent="0.2">
      <c r="A131" s="378"/>
      <c r="B131" s="378"/>
      <c r="C131" s="378"/>
      <c r="D131" s="380"/>
      <c r="E131" s="380"/>
      <c r="F131" s="378"/>
      <c r="G131" s="378"/>
      <c r="H131" s="378"/>
      <c r="I131" s="378"/>
      <c r="J131" s="378"/>
      <c r="K131" s="378"/>
      <c r="L131" s="378"/>
      <c r="M131" s="381"/>
      <c r="N131" s="381"/>
      <c r="O131" s="381"/>
      <c r="P131" s="381"/>
      <c r="Q131" s="381"/>
      <c r="R131" s="381"/>
      <c r="S131" s="381"/>
      <c r="T131" s="381"/>
      <c r="U131" s="381"/>
      <c r="V131" s="381"/>
      <c r="W131" s="381"/>
      <c r="X131" s="381"/>
      <c r="Y131" s="381"/>
      <c r="Z131" s="381"/>
      <c r="AA131" s="381"/>
      <c r="AB131" s="381"/>
      <c r="AC131" s="382"/>
      <c r="AD131" s="382"/>
    </row>
    <row r="132" spans="1:30" ht="12.75" customHeight="1" x14ac:dyDescent="0.2">
      <c r="A132" s="378"/>
      <c r="B132" s="378"/>
      <c r="C132" s="378"/>
      <c r="D132" s="380"/>
      <c r="E132" s="380"/>
      <c r="F132" s="378"/>
      <c r="G132" s="378"/>
      <c r="H132" s="378"/>
      <c r="I132" s="378"/>
      <c r="J132" s="378"/>
      <c r="K132" s="378"/>
      <c r="L132" s="378"/>
      <c r="M132" s="381"/>
      <c r="N132" s="381"/>
      <c r="O132" s="381"/>
      <c r="P132" s="381"/>
      <c r="Q132" s="381"/>
      <c r="R132" s="381"/>
      <c r="S132" s="381"/>
      <c r="T132" s="381"/>
      <c r="U132" s="381"/>
      <c r="V132" s="381"/>
      <c r="W132" s="381"/>
      <c r="X132" s="381"/>
      <c r="Y132" s="381"/>
      <c r="Z132" s="381"/>
      <c r="AA132" s="381"/>
      <c r="AB132" s="381"/>
      <c r="AC132" s="382"/>
      <c r="AD132" s="382"/>
    </row>
    <row r="133" spans="1:30" ht="12.75" customHeight="1" x14ac:dyDescent="0.2">
      <c r="A133" s="378"/>
      <c r="B133" s="378"/>
      <c r="C133" s="378"/>
      <c r="D133" s="380"/>
      <c r="E133" s="380"/>
      <c r="F133" s="378"/>
      <c r="G133" s="378"/>
      <c r="H133" s="378"/>
      <c r="I133" s="378"/>
      <c r="J133" s="378"/>
      <c r="K133" s="378"/>
      <c r="L133" s="378"/>
      <c r="M133" s="381"/>
      <c r="N133" s="381"/>
      <c r="O133" s="381"/>
      <c r="P133" s="381"/>
      <c r="Q133" s="381"/>
      <c r="R133" s="381"/>
      <c r="S133" s="381"/>
      <c r="T133" s="381"/>
      <c r="U133" s="381"/>
      <c r="V133" s="381"/>
      <c r="W133" s="381"/>
      <c r="X133" s="381"/>
      <c r="Y133" s="381"/>
      <c r="Z133" s="381"/>
      <c r="AA133" s="381"/>
      <c r="AB133" s="381"/>
      <c r="AC133" s="382"/>
      <c r="AD133" s="382"/>
    </row>
    <row r="134" spans="1:30" ht="12.75" customHeight="1" x14ac:dyDescent="0.2">
      <c r="A134" s="378"/>
      <c r="B134" s="378"/>
      <c r="C134" s="378"/>
      <c r="D134" s="380"/>
      <c r="E134" s="380"/>
      <c r="F134" s="378"/>
      <c r="G134" s="378"/>
      <c r="H134" s="378"/>
      <c r="I134" s="378"/>
      <c r="J134" s="378"/>
      <c r="K134" s="378"/>
      <c r="L134" s="378"/>
      <c r="M134" s="381"/>
      <c r="N134" s="381"/>
      <c r="O134" s="381"/>
      <c r="P134" s="381"/>
      <c r="Q134" s="381"/>
      <c r="R134" s="381"/>
      <c r="S134" s="381"/>
      <c r="T134" s="381"/>
      <c r="U134" s="381"/>
      <c r="V134" s="381"/>
      <c r="W134" s="381"/>
      <c r="X134" s="381"/>
      <c r="Y134" s="381"/>
      <c r="Z134" s="381"/>
      <c r="AA134" s="381"/>
      <c r="AB134" s="381"/>
      <c r="AC134" s="382"/>
      <c r="AD134" s="382"/>
    </row>
    <row r="135" spans="1:30" ht="12.75" customHeight="1" x14ac:dyDescent="0.2">
      <c r="A135" s="378"/>
      <c r="B135" s="378"/>
      <c r="C135" s="378"/>
      <c r="D135" s="380"/>
      <c r="E135" s="380"/>
      <c r="F135" s="378"/>
      <c r="G135" s="378"/>
      <c r="H135" s="378"/>
      <c r="I135" s="378"/>
      <c r="J135" s="378"/>
      <c r="K135" s="378"/>
      <c r="L135" s="378"/>
      <c r="M135" s="381"/>
      <c r="N135" s="381"/>
      <c r="O135" s="381"/>
      <c r="P135" s="381"/>
      <c r="Q135" s="381"/>
      <c r="R135" s="381"/>
      <c r="S135" s="381"/>
      <c r="T135" s="381"/>
      <c r="U135" s="381"/>
      <c r="V135" s="381"/>
      <c r="W135" s="381"/>
      <c r="X135" s="381"/>
      <c r="Y135" s="381"/>
      <c r="Z135" s="381"/>
      <c r="AA135" s="381"/>
      <c r="AB135" s="381"/>
      <c r="AC135" s="382"/>
      <c r="AD135" s="382"/>
    </row>
    <row r="136" spans="1:30" ht="12.75" customHeight="1" x14ac:dyDescent="0.2">
      <c r="A136" s="378"/>
      <c r="B136" s="378"/>
      <c r="C136" s="378"/>
      <c r="D136" s="380"/>
      <c r="E136" s="380"/>
      <c r="F136" s="378"/>
      <c r="G136" s="378"/>
      <c r="H136" s="378"/>
      <c r="I136" s="378"/>
      <c r="J136" s="378"/>
      <c r="K136" s="378"/>
      <c r="L136" s="378"/>
      <c r="M136" s="381"/>
      <c r="N136" s="381"/>
      <c r="O136" s="381"/>
      <c r="P136" s="381"/>
      <c r="Q136" s="381"/>
      <c r="R136" s="381"/>
      <c r="S136" s="381"/>
      <c r="T136" s="381"/>
      <c r="U136" s="381"/>
      <c r="V136" s="381"/>
      <c r="W136" s="381"/>
      <c r="X136" s="381"/>
      <c r="Y136" s="381"/>
      <c r="Z136" s="381"/>
      <c r="AA136" s="381"/>
      <c r="AB136" s="381"/>
      <c r="AC136" s="382"/>
      <c r="AD136" s="382"/>
    </row>
    <row r="137" spans="1:30" ht="12.75" customHeight="1" x14ac:dyDescent="0.2">
      <c r="A137" s="378"/>
      <c r="B137" s="378"/>
      <c r="C137" s="378"/>
      <c r="D137" s="380"/>
      <c r="E137" s="380"/>
      <c r="F137" s="378"/>
      <c r="G137" s="378"/>
      <c r="H137" s="378"/>
      <c r="I137" s="378"/>
      <c r="J137" s="378"/>
      <c r="K137" s="378"/>
      <c r="L137" s="378"/>
      <c r="M137" s="381"/>
      <c r="N137" s="381"/>
      <c r="O137" s="381"/>
      <c r="P137" s="381"/>
      <c r="Q137" s="381"/>
      <c r="R137" s="381"/>
      <c r="S137" s="381"/>
      <c r="T137" s="381"/>
      <c r="U137" s="381"/>
      <c r="V137" s="381"/>
      <c r="W137" s="381"/>
      <c r="X137" s="381"/>
      <c r="Y137" s="381"/>
      <c r="Z137" s="381"/>
      <c r="AA137" s="381"/>
      <c r="AB137" s="381"/>
      <c r="AC137" s="382"/>
      <c r="AD137" s="382"/>
    </row>
    <row r="138" spans="1:30" ht="12.75" customHeight="1" x14ac:dyDescent="0.2">
      <c r="A138" s="378"/>
      <c r="B138" s="378"/>
      <c r="C138" s="378"/>
      <c r="D138" s="380"/>
      <c r="E138" s="380"/>
      <c r="F138" s="378"/>
      <c r="G138" s="378"/>
      <c r="H138" s="378"/>
      <c r="I138" s="378"/>
      <c r="J138" s="378"/>
      <c r="K138" s="378"/>
      <c r="L138" s="378"/>
      <c r="M138" s="381"/>
      <c r="N138" s="381"/>
      <c r="O138" s="381"/>
      <c r="P138" s="381"/>
      <c r="Q138" s="381"/>
      <c r="R138" s="381"/>
      <c r="S138" s="381"/>
      <c r="T138" s="381"/>
      <c r="U138" s="381"/>
      <c r="V138" s="381"/>
      <c r="W138" s="381"/>
      <c r="X138" s="381"/>
      <c r="Y138" s="381"/>
      <c r="Z138" s="381"/>
      <c r="AA138" s="381"/>
      <c r="AB138" s="381"/>
      <c r="AC138" s="382"/>
      <c r="AD138" s="382"/>
    </row>
    <row r="139" spans="1:30" ht="12.75" customHeight="1" x14ac:dyDescent="0.2">
      <c r="A139" s="378"/>
      <c r="B139" s="378"/>
      <c r="C139" s="378"/>
      <c r="D139" s="380"/>
      <c r="E139" s="380"/>
      <c r="F139" s="378"/>
      <c r="G139" s="378"/>
      <c r="H139" s="378"/>
      <c r="I139" s="378"/>
      <c r="J139" s="378"/>
      <c r="K139" s="378"/>
      <c r="L139" s="378"/>
      <c r="M139" s="381"/>
      <c r="N139" s="381"/>
      <c r="O139" s="381"/>
      <c r="P139" s="381"/>
      <c r="Q139" s="381"/>
      <c r="R139" s="381"/>
      <c r="S139" s="381"/>
      <c r="T139" s="381"/>
      <c r="U139" s="381"/>
      <c r="V139" s="381"/>
      <c r="W139" s="381"/>
      <c r="X139" s="381"/>
      <c r="Y139" s="381"/>
      <c r="Z139" s="381"/>
      <c r="AA139" s="381"/>
      <c r="AB139" s="381"/>
      <c r="AC139" s="382"/>
      <c r="AD139" s="382"/>
    </row>
    <row r="140" spans="1:30" ht="12.75" customHeight="1" x14ac:dyDescent="0.2">
      <c r="A140" s="378"/>
      <c r="B140" s="378"/>
      <c r="C140" s="378"/>
      <c r="D140" s="380"/>
      <c r="E140" s="380"/>
      <c r="F140" s="378"/>
      <c r="G140" s="378"/>
      <c r="H140" s="378"/>
      <c r="I140" s="378"/>
      <c r="J140" s="378"/>
      <c r="K140" s="378"/>
      <c r="L140" s="378"/>
      <c r="M140" s="381"/>
      <c r="N140" s="381"/>
      <c r="O140" s="381"/>
      <c r="P140" s="381"/>
      <c r="Q140" s="381"/>
      <c r="R140" s="381"/>
      <c r="S140" s="381"/>
      <c r="T140" s="381"/>
      <c r="U140" s="381"/>
      <c r="V140" s="381"/>
      <c r="W140" s="381"/>
      <c r="X140" s="381"/>
      <c r="Y140" s="381"/>
      <c r="Z140" s="381"/>
      <c r="AA140" s="381"/>
      <c r="AB140" s="381"/>
      <c r="AC140" s="382"/>
      <c r="AD140" s="382"/>
    </row>
    <row r="141" spans="1:30" ht="12.75" customHeight="1" x14ac:dyDescent="0.2">
      <c r="A141" s="378"/>
      <c r="B141" s="378"/>
      <c r="C141" s="378"/>
      <c r="D141" s="380"/>
      <c r="E141" s="380"/>
      <c r="F141" s="378"/>
      <c r="G141" s="378"/>
      <c r="H141" s="378"/>
      <c r="I141" s="378"/>
      <c r="J141" s="378"/>
      <c r="K141" s="378"/>
      <c r="L141" s="378"/>
      <c r="M141" s="381"/>
      <c r="N141" s="381"/>
      <c r="O141" s="381"/>
      <c r="P141" s="381"/>
      <c r="Q141" s="381"/>
      <c r="R141" s="381"/>
      <c r="S141" s="381"/>
      <c r="T141" s="381"/>
      <c r="U141" s="381"/>
      <c r="V141" s="381"/>
      <c r="W141" s="381"/>
      <c r="X141" s="381"/>
      <c r="Y141" s="381"/>
      <c r="Z141" s="381"/>
      <c r="AA141" s="381"/>
      <c r="AB141" s="381"/>
      <c r="AC141" s="382"/>
      <c r="AD141" s="382"/>
    </row>
    <row r="142" spans="1:30" ht="12.75" customHeight="1" x14ac:dyDescent="0.2">
      <c r="A142" s="378"/>
      <c r="B142" s="378"/>
      <c r="C142" s="378"/>
      <c r="D142" s="380"/>
      <c r="E142" s="380"/>
      <c r="F142" s="378"/>
      <c r="G142" s="378"/>
      <c r="H142" s="378"/>
      <c r="I142" s="378"/>
      <c r="J142" s="378"/>
      <c r="K142" s="378"/>
      <c r="L142" s="378"/>
      <c r="M142" s="381"/>
      <c r="N142" s="381"/>
      <c r="O142" s="381"/>
      <c r="P142" s="381"/>
      <c r="Q142" s="381"/>
      <c r="R142" s="381"/>
      <c r="S142" s="381"/>
      <c r="T142" s="381"/>
      <c r="U142" s="381"/>
      <c r="V142" s="381"/>
      <c r="W142" s="381"/>
      <c r="X142" s="381"/>
      <c r="Y142" s="381"/>
      <c r="Z142" s="381"/>
      <c r="AA142" s="381"/>
      <c r="AB142" s="381"/>
      <c r="AC142" s="382"/>
      <c r="AD142" s="382"/>
    </row>
    <row r="143" spans="1:30" ht="12.75" customHeight="1" x14ac:dyDescent="0.2">
      <c r="A143" s="378"/>
      <c r="B143" s="378"/>
      <c r="C143" s="378"/>
      <c r="D143" s="380"/>
      <c r="E143" s="380"/>
      <c r="F143" s="378"/>
      <c r="G143" s="378"/>
      <c r="H143" s="378"/>
      <c r="I143" s="378"/>
      <c r="J143" s="378"/>
      <c r="K143" s="378"/>
      <c r="L143" s="378"/>
      <c r="M143" s="381"/>
      <c r="N143" s="381"/>
      <c r="O143" s="381"/>
      <c r="P143" s="381"/>
      <c r="Q143" s="381"/>
      <c r="R143" s="381"/>
      <c r="S143" s="381"/>
      <c r="T143" s="381"/>
      <c r="U143" s="381"/>
      <c r="V143" s="381"/>
      <c r="W143" s="381"/>
      <c r="X143" s="381"/>
      <c r="Y143" s="381"/>
      <c r="Z143" s="381"/>
      <c r="AA143" s="381"/>
      <c r="AB143" s="381"/>
      <c r="AC143" s="382"/>
      <c r="AD143" s="382"/>
    </row>
    <row r="144" spans="1:30" ht="12.75" customHeight="1" x14ac:dyDescent="0.2">
      <c r="A144" s="378"/>
      <c r="B144" s="378"/>
      <c r="C144" s="378"/>
      <c r="D144" s="380"/>
      <c r="E144" s="380"/>
      <c r="F144" s="378"/>
      <c r="G144" s="378"/>
      <c r="H144" s="378"/>
      <c r="I144" s="378"/>
      <c r="J144" s="378"/>
      <c r="K144" s="378"/>
      <c r="L144" s="378"/>
      <c r="M144" s="381"/>
      <c r="N144" s="381"/>
      <c r="O144" s="381"/>
      <c r="P144" s="381"/>
      <c r="Q144" s="381"/>
      <c r="R144" s="381"/>
      <c r="S144" s="381"/>
      <c r="T144" s="381"/>
      <c r="U144" s="381"/>
      <c r="V144" s="381"/>
      <c r="W144" s="381"/>
      <c r="X144" s="381"/>
      <c r="Y144" s="381"/>
      <c r="Z144" s="381"/>
      <c r="AA144" s="381"/>
      <c r="AB144" s="381"/>
      <c r="AC144" s="382"/>
      <c r="AD144" s="382"/>
    </row>
    <row r="145" spans="1:30" ht="12.75" customHeight="1" x14ac:dyDescent="0.2">
      <c r="A145" s="378"/>
      <c r="B145" s="378"/>
      <c r="C145" s="378"/>
      <c r="D145" s="380"/>
      <c r="E145" s="380"/>
      <c r="F145" s="378"/>
      <c r="G145" s="378"/>
      <c r="H145" s="378"/>
      <c r="I145" s="378"/>
      <c r="J145" s="378"/>
      <c r="K145" s="378"/>
      <c r="L145" s="378"/>
      <c r="M145" s="381"/>
      <c r="N145" s="381"/>
      <c r="O145" s="381"/>
      <c r="P145" s="381"/>
      <c r="Q145" s="381"/>
      <c r="R145" s="381"/>
      <c r="S145" s="381"/>
      <c r="T145" s="381"/>
      <c r="U145" s="381"/>
      <c r="V145" s="381"/>
      <c r="W145" s="381"/>
      <c r="X145" s="381"/>
      <c r="Y145" s="381"/>
      <c r="Z145" s="381"/>
      <c r="AA145" s="381"/>
      <c r="AB145" s="381"/>
      <c r="AC145" s="382"/>
      <c r="AD145" s="382"/>
    </row>
    <row r="146" spans="1:30" ht="12.75" customHeight="1" x14ac:dyDescent="0.2">
      <c r="A146" s="378"/>
      <c r="B146" s="378"/>
      <c r="C146" s="378"/>
      <c r="D146" s="380"/>
      <c r="E146" s="380"/>
      <c r="F146" s="378"/>
      <c r="G146" s="378"/>
      <c r="H146" s="378"/>
      <c r="I146" s="378"/>
      <c r="J146" s="378"/>
      <c r="K146" s="378"/>
      <c r="L146" s="378"/>
      <c r="M146" s="381"/>
      <c r="N146" s="381"/>
      <c r="O146" s="381"/>
      <c r="P146" s="381"/>
      <c r="Q146" s="381"/>
      <c r="R146" s="381"/>
      <c r="S146" s="381"/>
      <c r="T146" s="381"/>
      <c r="U146" s="381"/>
      <c r="V146" s="381"/>
      <c r="W146" s="381"/>
      <c r="X146" s="381"/>
      <c r="Y146" s="381"/>
      <c r="Z146" s="381"/>
      <c r="AA146" s="381"/>
      <c r="AB146" s="381"/>
      <c r="AC146" s="382"/>
      <c r="AD146" s="382"/>
    </row>
    <row r="147" spans="1:30" ht="12.75" customHeight="1" x14ac:dyDescent="0.2">
      <c r="A147" s="378"/>
      <c r="B147" s="378"/>
      <c r="C147" s="378"/>
      <c r="D147" s="380"/>
      <c r="E147" s="380"/>
      <c r="F147" s="378"/>
      <c r="G147" s="378"/>
      <c r="H147" s="378"/>
      <c r="I147" s="378"/>
      <c r="J147" s="378"/>
      <c r="K147" s="378"/>
      <c r="L147" s="378"/>
      <c r="M147" s="381"/>
      <c r="N147" s="381"/>
      <c r="O147" s="381"/>
      <c r="P147" s="381"/>
      <c r="Q147" s="381"/>
      <c r="R147" s="381"/>
      <c r="S147" s="381"/>
      <c r="T147" s="381"/>
      <c r="U147" s="381"/>
      <c r="V147" s="381"/>
      <c r="W147" s="381"/>
      <c r="X147" s="381"/>
      <c r="Y147" s="381"/>
      <c r="Z147" s="381"/>
      <c r="AA147" s="381"/>
      <c r="AB147" s="381"/>
      <c r="AC147" s="382"/>
      <c r="AD147" s="382"/>
    </row>
    <row r="148" spans="1:30" ht="12.75" customHeight="1" x14ac:dyDescent="0.2">
      <c r="A148" s="378"/>
      <c r="B148" s="378"/>
      <c r="C148" s="378"/>
      <c r="D148" s="380"/>
      <c r="E148" s="380"/>
      <c r="F148" s="378"/>
      <c r="G148" s="378"/>
      <c r="H148" s="378"/>
      <c r="I148" s="378"/>
      <c r="J148" s="378"/>
      <c r="K148" s="378"/>
      <c r="L148" s="378"/>
      <c r="M148" s="381"/>
      <c r="N148" s="381"/>
      <c r="O148" s="381"/>
      <c r="P148" s="381"/>
      <c r="Q148" s="381"/>
      <c r="R148" s="381"/>
      <c r="S148" s="381"/>
      <c r="T148" s="381"/>
      <c r="U148" s="381"/>
      <c r="V148" s="381"/>
      <c r="W148" s="381"/>
      <c r="X148" s="381"/>
      <c r="Y148" s="381"/>
      <c r="Z148" s="381"/>
      <c r="AA148" s="381"/>
      <c r="AB148" s="381"/>
      <c r="AC148" s="382"/>
      <c r="AD148" s="382"/>
    </row>
    <row r="149" spans="1:30" ht="12.75" customHeight="1" x14ac:dyDescent="0.2">
      <c r="A149" s="378"/>
      <c r="B149" s="378"/>
      <c r="C149" s="378"/>
      <c r="D149" s="380"/>
      <c r="E149" s="380"/>
      <c r="F149" s="378"/>
      <c r="G149" s="378"/>
      <c r="H149" s="378"/>
      <c r="I149" s="378"/>
      <c r="J149" s="378"/>
      <c r="K149" s="378"/>
      <c r="L149" s="378"/>
      <c r="M149" s="381"/>
      <c r="N149" s="381"/>
      <c r="O149" s="381"/>
      <c r="P149" s="381"/>
      <c r="Q149" s="381"/>
      <c r="R149" s="381"/>
      <c r="S149" s="381"/>
      <c r="T149" s="381"/>
      <c r="U149" s="381"/>
      <c r="V149" s="381"/>
      <c r="W149" s="381"/>
      <c r="X149" s="381"/>
      <c r="Y149" s="381"/>
      <c r="Z149" s="381"/>
      <c r="AA149" s="381"/>
      <c r="AB149" s="381"/>
      <c r="AC149" s="382"/>
      <c r="AD149" s="382"/>
    </row>
    <row r="150" spans="1:30" ht="12.75" customHeight="1" x14ac:dyDescent="0.2">
      <c r="A150" s="378"/>
      <c r="B150" s="378"/>
      <c r="C150" s="378"/>
      <c r="D150" s="380"/>
      <c r="E150" s="380"/>
      <c r="F150" s="378"/>
      <c r="G150" s="378"/>
      <c r="H150" s="378"/>
      <c r="I150" s="378"/>
      <c r="J150" s="378"/>
      <c r="K150" s="378"/>
      <c r="L150" s="378"/>
      <c r="M150" s="381"/>
      <c r="N150" s="381"/>
      <c r="O150" s="381"/>
      <c r="P150" s="381"/>
      <c r="Q150" s="381"/>
      <c r="R150" s="381"/>
      <c r="S150" s="381"/>
      <c r="T150" s="381"/>
      <c r="U150" s="381"/>
      <c r="V150" s="381"/>
      <c r="W150" s="381"/>
      <c r="X150" s="381"/>
      <c r="Y150" s="381"/>
      <c r="Z150" s="381"/>
      <c r="AA150" s="381"/>
      <c r="AB150" s="381"/>
      <c r="AC150" s="382"/>
      <c r="AD150" s="382"/>
    </row>
    <row r="151" spans="1:30" ht="12.75" customHeight="1" x14ac:dyDescent="0.2">
      <c r="A151" s="378"/>
      <c r="B151" s="378"/>
      <c r="C151" s="378"/>
      <c r="D151" s="380"/>
      <c r="E151" s="380"/>
      <c r="F151" s="378"/>
      <c r="G151" s="378"/>
      <c r="H151" s="378"/>
      <c r="I151" s="378"/>
      <c r="J151" s="378"/>
      <c r="K151" s="378"/>
      <c r="L151" s="378"/>
      <c r="M151" s="381"/>
      <c r="N151" s="381"/>
      <c r="O151" s="381"/>
      <c r="P151" s="381"/>
      <c r="Q151" s="381"/>
      <c r="R151" s="381"/>
      <c r="S151" s="381"/>
      <c r="T151" s="381"/>
      <c r="U151" s="381"/>
      <c r="V151" s="381"/>
      <c r="W151" s="381"/>
      <c r="X151" s="381"/>
      <c r="Y151" s="381"/>
      <c r="Z151" s="381"/>
      <c r="AA151" s="381"/>
      <c r="AB151" s="381"/>
      <c r="AC151" s="382"/>
      <c r="AD151" s="382"/>
    </row>
    <row r="152" spans="1:30" ht="12.75" customHeight="1" x14ac:dyDescent="0.2">
      <c r="A152" s="378"/>
      <c r="B152" s="378"/>
      <c r="C152" s="378"/>
      <c r="D152" s="380"/>
      <c r="E152" s="380"/>
      <c r="F152" s="378"/>
      <c r="G152" s="378"/>
      <c r="H152" s="378"/>
      <c r="I152" s="378"/>
      <c r="J152" s="378"/>
      <c r="K152" s="378"/>
      <c r="L152" s="378"/>
      <c r="M152" s="381"/>
      <c r="N152" s="381"/>
      <c r="O152" s="381"/>
      <c r="P152" s="381"/>
      <c r="Q152" s="381"/>
      <c r="R152" s="381"/>
      <c r="S152" s="381"/>
      <c r="T152" s="381"/>
      <c r="U152" s="381"/>
      <c r="V152" s="381"/>
      <c r="W152" s="381"/>
      <c r="X152" s="381"/>
      <c r="Y152" s="381"/>
      <c r="Z152" s="381"/>
      <c r="AA152" s="381"/>
      <c r="AB152" s="381"/>
      <c r="AC152" s="382"/>
      <c r="AD152" s="382"/>
    </row>
    <row r="153" spans="1:30" ht="12.75" customHeight="1" x14ac:dyDescent="0.2">
      <c r="A153" s="378"/>
      <c r="B153" s="378"/>
      <c r="C153" s="378"/>
      <c r="D153" s="380"/>
      <c r="E153" s="380"/>
      <c r="F153" s="378"/>
      <c r="G153" s="378"/>
      <c r="H153" s="378"/>
      <c r="I153" s="378"/>
      <c r="J153" s="378"/>
      <c r="K153" s="378"/>
      <c r="L153" s="378"/>
      <c r="M153" s="381"/>
      <c r="N153" s="381"/>
      <c r="O153" s="381"/>
      <c r="P153" s="381"/>
      <c r="Q153" s="381"/>
      <c r="R153" s="381"/>
      <c r="S153" s="381"/>
      <c r="T153" s="381"/>
      <c r="U153" s="381"/>
      <c r="V153" s="381"/>
      <c r="W153" s="381"/>
      <c r="X153" s="381"/>
      <c r="Y153" s="381"/>
      <c r="Z153" s="381"/>
      <c r="AA153" s="381"/>
      <c r="AB153" s="381"/>
      <c r="AC153" s="382"/>
      <c r="AD153" s="382"/>
    </row>
    <row r="154" spans="1:30" ht="12.75" customHeight="1" x14ac:dyDescent="0.2">
      <c r="A154" s="378"/>
      <c r="B154" s="378"/>
      <c r="C154" s="378"/>
      <c r="D154" s="380"/>
      <c r="E154" s="380"/>
      <c r="F154" s="378"/>
      <c r="G154" s="378"/>
      <c r="H154" s="378"/>
      <c r="I154" s="378"/>
      <c r="J154" s="378"/>
      <c r="K154" s="378"/>
      <c r="L154" s="378"/>
      <c r="M154" s="381"/>
      <c r="N154" s="381"/>
      <c r="O154" s="381"/>
      <c r="P154" s="381"/>
      <c r="Q154" s="381"/>
      <c r="R154" s="381"/>
      <c r="S154" s="381"/>
      <c r="T154" s="381"/>
      <c r="U154" s="381"/>
      <c r="V154" s="381"/>
      <c r="W154" s="381"/>
      <c r="X154" s="381"/>
      <c r="Y154" s="381"/>
      <c r="Z154" s="381"/>
      <c r="AA154" s="381"/>
      <c r="AB154" s="381"/>
      <c r="AC154" s="382"/>
      <c r="AD154" s="382"/>
    </row>
    <row r="155" spans="1:30" ht="12.75" customHeight="1" x14ac:dyDescent="0.2">
      <c r="A155" s="378"/>
      <c r="B155" s="378"/>
      <c r="C155" s="378"/>
      <c r="D155" s="380"/>
      <c r="E155" s="380"/>
      <c r="F155" s="378"/>
      <c r="G155" s="378"/>
      <c r="H155" s="378"/>
      <c r="I155" s="378"/>
      <c r="J155" s="378"/>
      <c r="K155" s="378"/>
      <c r="L155" s="378"/>
      <c r="M155" s="381"/>
      <c r="N155" s="381"/>
      <c r="O155" s="381"/>
      <c r="P155" s="381"/>
      <c r="Q155" s="381"/>
      <c r="R155" s="381"/>
      <c r="S155" s="381"/>
      <c r="T155" s="381"/>
      <c r="U155" s="381"/>
      <c r="V155" s="381"/>
      <c r="W155" s="381"/>
      <c r="X155" s="381"/>
      <c r="Y155" s="381"/>
      <c r="Z155" s="381"/>
      <c r="AA155" s="381"/>
      <c r="AB155" s="381"/>
      <c r="AC155" s="382"/>
      <c r="AD155" s="382"/>
    </row>
    <row r="156" spans="1:30" ht="12.75" customHeight="1" x14ac:dyDescent="0.2">
      <c r="A156" s="378"/>
      <c r="B156" s="378"/>
      <c r="C156" s="378"/>
      <c r="D156" s="380"/>
      <c r="E156" s="380"/>
      <c r="F156" s="378"/>
      <c r="G156" s="378"/>
      <c r="H156" s="378"/>
      <c r="I156" s="378"/>
      <c r="J156" s="378"/>
      <c r="K156" s="378"/>
      <c r="L156" s="378"/>
      <c r="M156" s="381"/>
      <c r="N156" s="381"/>
      <c r="O156" s="381"/>
      <c r="P156" s="381"/>
      <c r="Q156" s="381"/>
      <c r="R156" s="381"/>
      <c r="S156" s="381"/>
      <c r="T156" s="381"/>
      <c r="U156" s="381"/>
      <c r="V156" s="381"/>
      <c r="W156" s="381"/>
      <c r="X156" s="381"/>
      <c r="Y156" s="381"/>
      <c r="Z156" s="381"/>
      <c r="AA156" s="381"/>
      <c r="AB156" s="381"/>
      <c r="AC156" s="382"/>
      <c r="AD156" s="382"/>
    </row>
    <row r="157" spans="1:30" ht="12.75" customHeight="1" x14ac:dyDescent="0.2">
      <c r="A157" s="378"/>
      <c r="B157" s="378"/>
      <c r="C157" s="378"/>
      <c r="D157" s="380"/>
      <c r="E157" s="380"/>
      <c r="F157" s="378"/>
      <c r="G157" s="378"/>
      <c r="H157" s="378"/>
      <c r="I157" s="378"/>
      <c r="J157" s="378"/>
      <c r="K157" s="378"/>
      <c r="L157" s="378"/>
      <c r="M157" s="381"/>
      <c r="N157" s="381"/>
      <c r="O157" s="381"/>
      <c r="P157" s="381"/>
      <c r="Q157" s="381"/>
      <c r="R157" s="381"/>
      <c r="S157" s="381"/>
      <c r="T157" s="381"/>
      <c r="U157" s="381"/>
      <c r="V157" s="381"/>
      <c r="W157" s="381"/>
      <c r="X157" s="381"/>
      <c r="Y157" s="381"/>
      <c r="Z157" s="381"/>
      <c r="AA157" s="381"/>
      <c r="AB157" s="381"/>
      <c r="AC157" s="382"/>
      <c r="AD157" s="382"/>
    </row>
    <row r="158" spans="1:30" ht="12.75" customHeight="1" x14ac:dyDescent="0.2">
      <c r="A158" s="378"/>
      <c r="B158" s="378"/>
      <c r="C158" s="378"/>
      <c r="D158" s="380"/>
      <c r="E158" s="380"/>
      <c r="F158" s="378"/>
      <c r="G158" s="378"/>
      <c r="H158" s="378"/>
      <c r="I158" s="378"/>
      <c r="J158" s="378"/>
      <c r="K158" s="378"/>
      <c r="L158" s="378"/>
      <c r="M158" s="381"/>
      <c r="N158" s="381"/>
      <c r="O158" s="381"/>
      <c r="P158" s="381"/>
      <c r="Q158" s="381"/>
      <c r="R158" s="381"/>
      <c r="S158" s="381"/>
      <c r="T158" s="381"/>
      <c r="U158" s="381"/>
      <c r="V158" s="381"/>
      <c r="W158" s="381"/>
      <c r="X158" s="381"/>
      <c r="Y158" s="381"/>
      <c r="Z158" s="381"/>
      <c r="AA158" s="381"/>
      <c r="AB158" s="381"/>
      <c r="AC158" s="382"/>
      <c r="AD158" s="382"/>
    </row>
    <row r="159" spans="1:30" ht="12.75" customHeight="1" x14ac:dyDescent="0.2">
      <c r="A159" s="378"/>
      <c r="B159" s="378"/>
      <c r="C159" s="378"/>
      <c r="D159" s="380"/>
      <c r="E159" s="380"/>
      <c r="F159" s="378"/>
      <c r="G159" s="378"/>
      <c r="H159" s="378"/>
      <c r="I159" s="378"/>
      <c r="J159" s="378"/>
      <c r="K159" s="378"/>
      <c r="L159" s="378"/>
      <c r="M159" s="381"/>
      <c r="N159" s="381"/>
      <c r="O159" s="381"/>
      <c r="P159" s="381"/>
      <c r="Q159" s="381"/>
      <c r="R159" s="381"/>
      <c r="S159" s="381"/>
      <c r="T159" s="381"/>
      <c r="U159" s="381"/>
      <c r="V159" s="381"/>
      <c r="W159" s="381"/>
      <c r="X159" s="381"/>
      <c r="Y159" s="381"/>
      <c r="Z159" s="381"/>
      <c r="AA159" s="381"/>
      <c r="AB159" s="381"/>
      <c r="AC159" s="382"/>
      <c r="AD159" s="382"/>
    </row>
    <row r="160" spans="1:30" ht="12.75" customHeight="1" x14ac:dyDescent="0.2">
      <c r="A160" s="378"/>
      <c r="B160" s="378"/>
      <c r="C160" s="378"/>
      <c r="D160" s="380"/>
      <c r="E160" s="380"/>
      <c r="F160" s="378"/>
      <c r="G160" s="378"/>
      <c r="H160" s="378"/>
      <c r="I160" s="378"/>
      <c r="J160" s="378"/>
      <c r="K160" s="378"/>
      <c r="L160" s="378"/>
      <c r="M160" s="381"/>
      <c r="N160" s="381"/>
      <c r="O160" s="381"/>
      <c r="P160" s="381"/>
      <c r="Q160" s="381"/>
      <c r="R160" s="381"/>
      <c r="S160" s="381"/>
      <c r="T160" s="381"/>
      <c r="U160" s="381"/>
      <c r="V160" s="381"/>
      <c r="W160" s="381"/>
      <c r="X160" s="381"/>
      <c r="Y160" s="381"/>
      <c r="Z160" s="381"/>
      <c r="AA160" s="381"/>
      <c r="AB160" s="381"/>
      <c r="AC160" s="382"/>
      <c r="AD160" s="382"/>
    </row>
    <row r="161" spans="1:30" ht="12.75" customHeight="1" x14ac:dyDescent="0.2">
      <c r="A161" s="378"/>
      <c r="B161" s="378"/>
      <c r="C161" s="378"/>
      <c r="D161" s="380"/>
      <c r="E161" s="380"/>
      <c r="F161" s="378"/>
      <c r="G161" s="378"/>
      <c r="H161" s="378"/>
      <c r="I161" s="378"/>
      <c r="J161" s="378"/>
      <c r="K161" s="378"/>
      <c r="L161" s="378"/>
      <c r="M161" s="381"/>
      <c r="N161" s="381"/>
      <c r="O161" s="381"/>
      <c r="P161" s="381"/>
      <c r="Q161" s="381"/>
      <c r="R161" s="381"/>
      <c r="S161" s="381"/>
      <c r="T161" s="381"/>
      <c r="U161" s="381"/>
      <c r="V161" s="381"/>
      <c r="W161" s="381"/>
      <c r="X161" s="381"/>
      <c r="Y161" s="381"/>
      <c r="Z161" s="381"/>
      <c r="AA161" s="381"/>
      <c r="AB161" s="381"/>
      <c r="AC161" s="382"/>
      <c r="AD161" s="382"/>
    </row>
    <row r="162" spans="1:30" ht="12.75" customHeight="1" x14ac:dyDescent="0.2">
      <c r="A162" s="378"/>
      <c r="B162" s="378"/>
      <c r="C162" s="378"/>
      <c r="D162" s="380"/>
      <c r="E162" s="380"/>
      <c r="F162" s="378"/>
      <c r="G162" s="378"/>
      <c r="H162" s="378"/>
      <c r="I162" s="378"/>
      <c r="J162" s="378"/>
      <c r="K162" s="378"/>
      <c r="L162" s="378"/>
      <c r="M162" s="381"/>
      <c r="N162" s="381"/>
      <c r="O162" s="381"/>
      <c r="P162" s="381"/>
      <c r="Q162" s="381"/>
      <c r="R162" s="381"/>
      <c r="S162" s="381"/>
      <c r="T162" s="381"/>
      <c r="U162" s="381"/>
      <c r="V162" s="381"/>
      <c r="W162" s="381"/>
      <c r="X162" s="381"/>
      <c r="Y162" s="381"/>
      <c r="Z162" s="381"/>
      <c r="AA162" s="381"/>
      <c r="AB162" s="381"/>
      <c r="AC162" s="382"/>
      <c r="AD162" s="382"/>
    </row>
    <row r="163" spans="1:30" ht="12.75" customHeight="1" x14ac:dyDescent="0.2">
      <c r="A163" s="378"/>
      <c r="B163" s="378"/>
      <c r="C163" s="378"/>
      <c r="D163" s="380"/>
      <c r="E163" s="380"/>
      <c r="F163" s="378"/>
      <c r="G163" s="378"/>
      <c r="H163" s="378"/>
      <c r="I163" s="378"/>
      <c r="J163" s="378"/>
      <c r="K163" s="378"/>
      <c r="L163" s="378"/>
      <c r="M163" s="381"/>
      <c r="N163" s="381"/>
      <c r="O163" s="381"/>
      <c r="P163" s="381"/>
      <c r="Q163" s="381"/>
      <c r="R163" s="381"/>
      <c r="S163" s="381"/>
      <c r="T163" s="381"/>
      <c r="U163" s="381"/>
      <c r="V163" s="381"/>
      <c r="W163" s="381"/>
      <c r="X163" s="381"/>
      <c r="Y163" s="381"/>
      <c r="Z163" s="381"/>
      <c r="AA163" s="381"/>
      <c r="AB163" s="381"/>
      <c r="AC163" s="382"/>
      <c r="AD163" s="382"/>
    </row>
    <row r="164" spans="1:30" ht="12.75" customHeight="1" x14ac:dyDescent="0.2">
      <c r="A164" s="378"/>
      <c r="B164" s="378"/>
      <c r="C164" s="378"/>
      <c r="D164" s="380"/>
      <c r="E164" s="380"/>
      <c r="F164" s="378"/>
      <c r="G164" s="378"/>
      <c r="H164" s="378"/>
      <c r="I164" s="378"/>
      <c r="J164" s="378"/>
      <c r="K164" s="378"/>
      <c r="L164" s="378"/>
      <c r="M164" s="381"/>
      <c r="N164" s="381"/>
      <c r="O164" s="381"/>
      <c r="P164" s="381"/>
      <c r="Q164" s="381"/>
      <c r="R164" s="381"/>
      <c r="S164" s="381"/>
      <c r="T164" s="381"/>
      <c r="U164" s="381"/>
      <c r="V164" s="381"/>
      <c r="W164" s="381"/>
      <c r="X164" s="381"/>
      <c r="Y164" s="381"/>
      <c r="Z164" s="381"/>
      <c r="AA164" s="381"/>
      <c r="AB164" s="381"/>
      <c r="AC164" s="382"/>
      <c r="AD164" s="382"/>
    </row>
    <row r="165" spans="1:30" ht="12.75" customHeight="1" x14ac:dyDescent="0.2">
      <c r="A165" s="378"/>
      <c r="B165" s="378"/>
      <c r="C165" s="378"/>
      <c r="D165" s="380"/>
      <c r="E165" s="380"/>
      <c r="F165" s="378"/>
      <c r="G165" s="378"/>
      <c r="H165" s="378"/>
      <c r="I165" s="378"/>
      <c r="J165" s="378"/>
      <c r="K165" s="378"/>
      <c r="L165" s="378"/>
      <c r="M165" s="381"/>
      <c r="N165" s="381"/>
      <c r="O165" s="381"/>
      <c r="P165" s="381"/>
      <c r="Q165" s="381"/>
      <c r="R165" s="381"/>
      <c r="S165" s="381"/>
      <c r="T165" s="381"/>
      <c r="U165" s="381"/>
      <c r="V165" s="381"/>
      <c r="W165" s="381"/>
      <c r="X165" s="381"/>
      <c r="Y165" s="381"/>
      <c r="Z165" s="381"/>
      <c r="AA165" s="381"/>
      <c r="AB165" s="381"/>
      <c r="AC165" s="382"/>
      <c r="AD165" s="382"/>
    </row>
    <row r="166" spans="1:30" ht="12.75" customHeight="1" x14ac:dyDescent="0.2">
      <c r="A166" s="378"/>
      <c r="B166" s="378"/>
      <c r="C166" s="378"/>
      <c r="D166" s="380"/>
      <c r="E166" s="380"/>
      <c r="F166" s="378"/>
      <c r="G166" s="378"/>
      <c r="H166" s="378"/>
      <c r="I166" s="378"/>
      <c r="J166" s="378"/>
      <c r="K166" s="378"/>
      <c r="L166" s="378"/>
      <c r="M166" s="381"/>
      <c r="N166" s="381"/>
      <c r="O166" s="381"/>
      <c r="P166" s="381"/>
      <c r="Q166" s="381"/>
      <c r="R166" s="381"/>
      <c r="S166" s="381"/>
      <c r="T166" s="381"/>
      <c r="U166" s="381"/>
      <c r="V166" s="381"/>
      <c r="W166" s="381"/>
      <c r="X166" s="381"/>
      <c r="Y166" s="381"/>
      <c r="Z166" s="381"/>
      <c r="AA166" s="381"/>
      <c r="AB166" s="381"/>
      <c r="AC166" s="382"/>
      <c r="AD166" s="382"/>
    </row>
    <row r="167" spans="1:30" ht="12.75" customHeight="1" x14ac:dyDescent="0.2">
      <c r="A167" s="378"/>
      <c r="B167" s="378"/>
      <c r="C167" s="378"/>
      <c r="D167" s="380"/>
      <c r="E167" s="380"/>
      <c r="F167" s="378"/>
      <c r="G167" s="378"/>
      <c r="H167" s="378"/>
      <c r="I167" s="378"/>
      <c r="J167" s="378"/>
      <c r="K167" s="378"/>
      <c r="L167" s="378"/>
      <c r="M167" s="381"/>
      <c r="N167" s="381"/>
      <c r="O167" s="381"/>
      <c r="P167" s="381"/>
      <c r="Q167" s="381"/>
      <c r="R167" s="381"/>
      <c r="S167" s="381"/>
      <c r="T167" s="381"/>
      <c r="U167" s="381"/>
      <c r="V167" s="381"/>
      <c r="W167" s="381"/>
      <c r="X167" s="381"/>
      <c r="Y167" s="381"/>
      <c r="Z167" s="381"/>
      <c r="AA167" s="381"/>
      <c r="AB167" s="381"/>
      <c r="AC167" s="382"/>
      <c r="AD167" s="382"/>
    </row>
    <row r="168" spans="1:30" ht="12.75" customHeight="1" x14ac:dyDescent="0.2">
      <c r="A168" s="378"/>
      <c r="B168" s="378"/>
      <c r="C168" s="378"/>
      <c r="D168" s="380"/>
      <c r="E168" s="380"/>
      <c r="F168" s="378"/>
      <c r="G168" s="378"/>
      <c r="H168" s="378"/>
      <c r="I168" s="378"/>
      <c r="J168" s="378"/>
      <c r="K168" s="378"/>
      <c r="L168" s="378"/>
      <c r="M168" s="381"/>
      <c r="N168" s="381"/>
      <c r="O168" s="381"/>
      <c r="P168" s="381"/>
      <c r="Q168" s="381"/>
      <c r="R168" s="381"/>
      <c r="S168" s="381"/>
      <c r="T168" s="381"/>
      <c r="U168" s="381"/>
      <c r="V168" s="381"/>
      <c r="W168" s="381"/>
      <c r="X168" s="381"/>
      <c r="Y168" s="381"/>
      <c r="Z168" s="381"/>
      <c r="AA168" s="381"/>
      <c r="AB168" s="381"/>
      <c r="AC168" s="382"/>
      <c r="AD168" s="382"/>
    </row>
    <row r="169" spans="1:30" ht="12.75" customHeight="1" x14ac:dyDescent="0.2">
      <c r="A169" s="378"/>
      <c r="B169" s="378"/>
      <c r="C169" s="378"/>
      <c r="D169" s="380"/>
      <c r="E169" s="380"/>
      <c r="F169" s="378"/>
      <c r="G169" s="378"/>
      <c r="H169" s="378"/>
      <c r="I169" s="378"/>
      <c r="J169" s="378"/>
      <c r="K169" s="378"/>
      <c r="L169" s="378"/>
      <c r="M169" s="381"/>
      <c r="N169" s="381"/>
      <c r="O169" s="381"/>
      <c r="P169" s="381"/>
      <c r="Q169" s="381"/>
      <c r="R169" s="381"/>
      <c r="S169" s="381"/>
      <c r="T169" s="381"/>
      <c r="U169" s="381"/>
      <c r="V169" s="381"/>
      <c r="W169" s="381"/>
      <c r="X169" s="381"/>
      <c r="Y169" s="381"/>
      <c r="Z169" s="381"/>
      <c r="AA169" s="381"/>
      <c r="AB169" s="381"/>
      <c r="AC169" s="382"/>
      <c r="AD169" s="382"/>
    </row>
    <row r="170" spans="1:30" ht="12.75" customHeight="1" x14ac:dyDescent="0.2">
      <c r="A170" s="378"/>
      <c r="B170" s="378"/>
      <c r="C170" s="378"/>
      <c r="D170" s="380"/>
      <c r="E170" s="380"/>
      <c r="F170" s="378"/>
      <c r="G170" s="378"/>
      <c r="H170" s="378"/>
      <c r="I170" s="378"/>
      <c r="J170" s="378"/>
      <c r="K170" s="378"/>
      <c r="L170" s="378"/>
      <c r="M170" s="381"/>
      <c r="N170" s="381"/>
      <c r="O170" s="381"/>
      <c r="P170" s="381"/>
      <c r="Q170" s="381"/>
      <c r="R170" s="381"/>
      <c r="S170" s="381"/>
      <c r="T170" s="381"/>
      <c r="U170" s="381"/>
      <c r="V170" s="381"/>
      <c r="W170" s="381"/>
      <c r="X170" s="381"/>
      <c r="Y170" s="381"/>
      <c r="Z170" s="381"/>
      <c r="AA170" s="381"/>
      <c r="AB170" s="381"/>
      <c r="AC170" s="382"/>
      <c r="AD170" s="382"/>
    </row>
    <row r="171" spans="1:30" ht="12.75" customHeight="1" x14ac:dyDescent="0.2">
      <c r="A171" s="378"/>
      <c r="B171" s="378"/>
      <c r="C171" s="378"/>
      <c r="D171" s="380"/>
      <c r="E171" s="380"/>
      <c r="F171" s="378"/>
      <c r="G171" s="378"/>
      <c r="H171" s="378"/>
      <c r="I171" s="378"/>
      <c r="J171" s="378"/>
      <c r="K171" s="378"/>
      <c r="L171" s="378"/>
      <c r="M171" s="381"/>
      <c r="N171" s="381"/>
      <c r="O171" s="381"/>
      <c r="P171" s="381"/>
      <c r="Q171" s="381"/>
      <c r="R171" s="381"/>
      <c r="S171" s="381"/>
      <c r="T171" s="381"/>
      <c r="U171" s="381"/>
      <c r="V171" s="381"/>
      <c r="W171" s="381"/>
      <c r="X171" s="381"/>
      <c r="Y171" s="381"/>
      <c r="Z171" s="381"/>
      <c r="AA171" s="381"/>
      <c r="AB171" s="381"/>
      <c r="AC171" s="382"/>
      <c r="AD171" s="382"/>
    </row>
    <row r="172" spans="1:30" ht="12.75" customHeight="1" x14ac:dyDescent="0.2">
      <c r="A172" s="378"/>
      <c r="B172" s="378"/>
      <c r="C172" s="378"/>
      <c r="D172" s="380"/>
      <c r="E172" s="380"/>
      <c r="F172" s="378"/>
      <c r="G172" s="378"/>
      <c r="H172" s="378"/>
      <c r="I172" s="378"/>
      <c r="J172" s="378"/>
      <c r="K172" s="378"/>
      <c r="L172" s="378"/>
      <c r="M172" s="381"/>
      <c r="N172" s="381"/>
      <c r="O172" s="381"/>
      <c r="P172" s="381"/>
      <c r="Q172" s="381"/>
      <c r="R172" s="381"/>
      <c r="S172" s="381"/>
      <c r="T172" s="381"/>
      <c r="U172" s="381"/>
      <c r="V172" s="381"/>
      <c r="W172" s="381"/>
      <c r="X172" s="381"/>
      <c r="Y172" s="381"/>
      <c r="Z172" s="381"/>
      <c r="AA172" s="381"/>
      <c r="AB172" s="381"/>
      <c r="AC172" s="382"/>
      <c r="AD172" s="382"/>
    </row>
    <row r="173" spans="1:30" ht="12.75" customHeight="1" x14ac:dyDescent="0.2">
      <c r="A173" s="378"/>
      <c r="B173" s="378"/>
      <c r="C173" s="378"/>
      <c r="D173" s="380"/>
      <c r="E173" s="380"/>
      <c r="F173" s="378"/>
      <c r="G173" s="378"/>
      <c r="H173" s="378"/>
      <c r="I173" s="378"/>
      <c r="J173" s="378"/>
      <c r="K173" s="378"/>
      <c r="L173" s="378"/>
      <c r="M173" s="381"/>
      <c r="N173" s="381"/>
      <c r="O173" s="381"/>
      <c r="P173" s="381"/>
      <c r="Q173" s="381"/>
      <c r="R173" s="381"/>
      <c r="S173" s="381"/>
      <c r="T173" s="381"/>
      <c r="U173" s="381"/>
      <c r="V173" s="381"/>
      <c r="W173" s="381"/>
      <c r="X173" s="381"/>
      <c r="Y173" s="381"/>
      <c r="Z173" s="381"/>
      <c r="AA173" s="381"/>
      <c r="AB173" s="381"/>
      <c r="AC173" s="382"/>
      <c r="AD173" s="382"/>
    </row>
    <row r="174" spans="1:30" ht="12.75" customHeight="1" x14ac:dyDescent="0.2">
      <c r="A174" s="378"/>
      <c r="B174" s="378"/>
      <c r="C174" s="378"/>
      <c r="D174" s="380"/>
      <c r="E174" s="380"/>
      <c r="F174" s="378"/>
      <c r="G174" s="378"/>
      <c r="H174" s="378"/>
      <c r="I174" s="378"/>
      <c r="J174" s="378"/>
      <c r="K174" s="378"/>
      <c r="L174" s="378"/>
      <c r="M174" s="381"/>
      <c r="N174" s="381"/>
      <c r="O174" s="381"/>
      <c r="P174" s="381"/>
      <c r="Q174" s="381"/>
      <c r="R174" s="381"/>
      <c r="S174" s="381"/>
      <c r="T174" s="381"/>
      <c r="U174" s="381"/>
      <c r="V174" s="381"/>
      <c r="W174" s="381"/>
      <c r="X174" s="381"/>
      <c r="Y174" s="381"/>
      <c r="Z174" s="381"/>
      <c r="AA174" s="381"/>
      <c r="AB174" s="381"/>
      <c r="AC174" s="382"/>
      <c r="AD174" s="382"/>
    </row>
    <row r="175" spans="1:30" ht="12.75" customHeight="1" x14ac:dyDescent="0.2">
      <c r="A175" s="378"/>
      <c r="B175" s="378"/>
      <c r="C175" s="378"/>
      <c r="D175" s="380"/>
      <c r="E175" s="380"/>
      <c r="F175" s="378"/>
      <c r="G175" s="378"/>
      <c r="H175" s="378"/>
      <c r="I175" s="378"/>
      <c r="J175" s="378"/>
      <c r="K175" s="378"/>
      <c r="L175" s="378"/>
      <c r="M175" s="381"/>
      <c r="N175" s="381"/>
      <c r="O175" s="381"/>
      <c r="P175" s="381"/>
      <c r="Q175" s="381"/>
      <c r="R175" s="381"/>
      <c r="S175" s="381"/>
      <c r="T175" s="381"/>
      <c r="U175" s="381"/>
      <c r="V175" s="381"/>
      <c r="W175" s="381"/>
      <c r="X175" s="381"/>
      <c r="Y175" s="381"/>
      <c r="Z175" s="381"/>
      <c r="AA175" s="381"/>
      <c r="AB175" s="381"/>
      <c r="AC175" s="382"/>
      <c r="AD175" s="382"/>
    </row>
    <row r="176" spans="1:30" ht="12.75" customHeight="1" x14ac:dyDescent="0.2">
      <c r="A176" s="378"/>
      <c r="B176" s="378"/>
      <c r="C176" s="378"/>
      <c r="D176" s="380"/>
      <c r="E176" s="380"/>
      <c r="F176" s="378"/>
      <c r="G176" s="378"/>
      <c r="H176" s="378"/>
      <c r="I176" s="378"/>
      <c r="J176" s="378"/>
      <c r="K176" s="378"/>
      <c r="L176" s="378"/>
      <c r="M176" s="381"/>
      <c r="N176" s="381"/>
      <c r="O176" s="381"/>
      <c r="P176" s="381"/>
      <c r="Q176" s="381"/>
      <c r="R176" s="381"/>
      <c r="S176" s="381"/>
      <c r="T176" s="381"/>
      <c r="U176" s="381"/>
      <c r="V176" s="381"/>
      <c r="W176" s="381"/>
      <c r="X176" s="381"/>
      <c r="Y176" s="381"/>
      <c r="Z176" s="381"/>
      <c r="AA176" s="381"/>
      <c r="AB176" s="381"/>
      <c r="AC176" s="382"/>
      <c r="AD176" s="382"/>
    </row>
    <row r="177" spans="1:30" ht="12.75" customHeight="1" x14ac:dyDescent="0.2">
      <c r="A177" s="378"/>
      <c r="B177" s="378"/>
      <c r="C177" s="378"/>
      <c r="D177" s="380"/>
      <c r="E177" s="380"/>
      <c r="F177" s="378"/>
      <c r="G177" s="378"/>
      <c r="H177" s="378"/>
      <c r="I177" s="378"/>
      <c r="J177" s="378"/>
      <c r="K177" s="378"/>
      <c r="L177" s="378"/>
      <c r="M177" s="381"/>
      <c r="N177" s="381"/>
      <c r="O177" s="381"/>
      <c r="P177" s="381"/>
      <c r="Q177" s="381"/>
      <c r="R177" s="381"/>
      <c r="S177" s="381"/>
      <c r="T177" s="381"/>
      <c r="U177" s="381"/>
      <c r="V177" s="381"/>
      <c r="W177" s="381"/>
      <c r="X177" s="381"/>
      <c r="Y177" s="381"/>
      <c r="Z177" s="381"/>
      <c r="AA177" s="381"/>
      <c r="AB177" s="381"/>
      <c r="AC177" s="382"/>
      <c r="AD177" s="382"/>
    </row>
    <row r="178" spans="1:30" ht="12.75" customHeight="1" x14ac:dyDescent="0.2">
      <c r="A178" s="378"/>
      <c r="B178" s="378"/>
      <c r="C178" s="378"/>
      <c r="D178" s="380"/>
      <c r="E178" s="380"/>
      <c r="F178" s="378"/>
      <c r="G178" s="378"/>
      <c r="H178" s="378"/>
      <c r="I178" s="378"/>
      <c r="J178" s="378"/>
      <c r="K178" s="378"/>
      <c r="L178" s="378"/>
      <c r="M178" s="381"/>
      <c r="N178" s="381"/>
      <c r="O178" s="381"/>
      <c r="P178" s="381"/>
      <c r="Q178" s="381"/>
      <c r="R178" s="381"/>
      <c r="S178" s="381"/>
      <c r="T178" s="381"/>
      <c r="U178" s="381"/>
      <c r="V178" s="381"/>
      <c r="W178" s="381"/>
      <c r="X178" s="381"/>
      <c r="Y178" s="381"/>
      <c r="Z178" s="381"/>
      <c r="AA178" s="381"/>
      <c r="AB178" s="381"/>
      <c r="AC178" s="382"/>
      <c r="AD178" s="382"/>
    </row>
    <row r="179" spans="1:30" ht="12.75" customHeight="1" x14ac:dyDescent="0.2">
      <c r="A179" s="378"/>
      <c r="B179" s="378"/>
      <c r="C179" s="378"/>
      <c r="D179" s="380"/>
      <c r="E179" s="380"/>
      <c r="F179" s="378"/>
      <c r="G179" s="378"/>
      <c r="H179" s="378"/>
      <c r="I179" s="378"/>
      <c r="J179" s="378"/>
      <c r="K179" s="378"/>
      <c r="L179" s="378"/>
      <c r="M179" s="381"/>
      <c r="N179" s="381"/>
      <c r="O179" s="381"/>
      <c r="P179" s="381"/>
      <c r="Q179" s="381"/>
      <c r="R179" s="381"/>
      <c r="S179" s="381"/>
      <c r="T179" s="381"/>
      <c r="U179" s="381"/>
      <c r="V179" s="381"/>
      <c r="W179" s="381"/>
      <c r="X179" s="381"/>
      <c r="Y179" s="381"/>
      <c r="Z179" s="381"/>
      <c r="AA179" s="381"/>
      <c r="AB179" s="381"/>
      <c r="AC179" s="382"/>
      <c r="AD179" s="382"/>
    </row>
    <row r="180" spans="1:30" ht="12.75" customHeight="1" x14ac:dyDescent="0.2">
      <c r="A180" s="378"/>
      <c r="B180" s="378"/>
      <c r="C180" s="378"/>
      <c r="D180" s="380"/>
      <c r="E180" s="380"/>
      <c r="F180" s="378"/>
      <c r="G180" s="378"/>
      <c r="H180" s="378"/>
      <c r="I180" s="378"/>
      <c r="J180" s="378"/>
      <c r="K180" s="378"/>
      <c r="L180" s="378"/>
      <c r="M180" s="381"/>
      <c r="N180" s="381"/>
      <c r="O180" s="381"/>
      <c r="P180" s="381"/>
      <c r="Q180" s="381"/>
      <c r="R180" s="381"/>
      <c r="S180" s="381"/>
      <c r="T180" s="381"/>
      <c r="U180" s="381"/>
      <c r="V180" s="381"/>
      <c r="W180" s="381"/>
      <c r="X180" s="381"/>
      <c r="Y180" s="381"/>
      <c r="Z180" s="381"/>
      <c r="AA180" s="381"/>
      <c r="AB180" s="381"/>
      <c r="AC180" s="382"/>
      <c r="AD180" s="382"/>
    </row>
    <row r="181" spans="1:30" ht="12.75" customHeight="1" x14ac:dyDescent="0.2">
      <c r="A181" s="378"/>
      <c r="B181" s="378"/>
      <c r="C181" s="378"/>
      <c r="D181" s="380"/>
      <c r="E181" s="380"/>
      <c r="F181" s="378"/>
      <c r="G181" s="378"/>
      <c r="H181" s="378"/>
      <c r="I181" s="378"/>
      <c r="J181" s="378"/>
      <c r="K181" s="378"/>
      <c r="L181" s="378"/>
      <c r="M181" s="381"/>
      <c r="N181" s="381"/>
      <c r="O181" s="381"/>
      <c r="P181" s="381"/>
      <c r="Q181" s="381"/>
      <c r="R181" s="381"/>
      <c r="S181" s="381"/>
      <c r="T181" s="381"/>
      <c r="U181" s="381"/>
      <c r="V181" s="381"/>
      <c r="W181" s="381"/>
      <c r="X181" s="381"/>
      <c r="Y181" s="381"/>
      <c r="Z181" s="381"/>
      <c r="AA181" s="381"/>
      <c r="AB181" s="381"/>
      <c r="AC181" s="382"/>
      <c r="AD181" s="382"/>
    </row>
    <row r="182" spans="1:30" ht="12.75" customHeight="1" x14ac:dyDescent="0.2">
      <c r="A182" s="378"/>
      <c r="B182" s="378"/>
      <c r="C182" s="378"/>
      <c r="D182" s="380"/>
      <c r="E182" s="380"/>
      <c r="F182" s="378"/>
      <c r="G182" s="378"/>
      <c r="H182" s="378"/>
      <c r="I182" s="378"/>
      <c r="J182" s="378"/>
      <c r="K182" s="378"/>
      <c r="L182" s="378"/>
      <c r="M182" s="381"/>
      <c r="N182" s="381"/>
      <c r="O182" s="381"/>
      <c r="P182" s="381"/>
      <c r="Q182" s="381"/>
      <c r="R182" s="381"/>
      <c r="S182" s="381"/>
      <c r="T182" s="381"/>
      <c r="U182" s="381"/>
      <c r="V182" s="381"/>
      <c r="W182" s="381"/>
      <c r="X182" s="381"/>
      <c r="Y182" s="381"/>
      <c r="Z182" s="381"/>
      <c r="AA182" s="381"/>
      <c r="AB182" s="381"/>
      <c r="AC182" s="382"/>
      <c r="AD182" s="382"/>
    </row>
    <row r="183" spans="1:30" ht="12.75" customHeight="1" x14ac:dyDescent="0.2">
      <c r="A183" s="378"/>
      <c r="B183" s="378"/>
      <c r="C183" s="378"/>
      <c r="D183" s="380"/>
      <c r="E183" s="380"/>
      <c r="F183" s="378"/>
      <c r="G183" s="378"/>
      <c r="H183" s="378"/>
      <c r="I183" s="378"/>
      <c r="J183" s="378"/>
      <c r="K183" s="378"/>
      <c r="L183" s="378"/>
      <c r="M183" s="381"/>
      <c r="N183" s="381"/>
      <c r="O183" s="381"/>
      <c r="P183" s="381"/>
      <c r="Q183" s="381"/>
      <c r="R183" s="381"/>
      <c r="S183" s="381"/>
      <c r="T183" s="381"/>
      <c r="U183" s="381"/>
      <c r="V183" s="381"/>
      <c r="W183" s="381"/>
      <c r="X183" s="381"/>
      <c r="Y183" s="381"/>
      <c r="Z183" s="381"/>
      <c r="AA183" s="381"/>
      <c r="AB183" s="381"/>
      <c r="AC183" s="382"/>
      <c r="AD183" s="382"/>
    </row>
    <row r="184" spans="1:30" ht="12.75" customHeight="1" x14ac:dyDescent="0.2">
      <c r="A184" s="378"/>
      <c r="B184" s="378"/>
      <c r="C184" s="378"/>
      <c r="D184" s="380"/>
      <c r="E184" s="380"/>
      <c r="F184" s="378"/>
      <c r="G184" s="378"/>
      <c r="H184" s="378"/>
      <c r="I184" s="378"/>
      <c r="J184" s="378"/>
      <c r="K184" s="378"/>
      <c r="L184" s="378"/>
      <c r="M184" s="381"/>
      <c r="N184" s="381"/>
      <c r="O184" s="381"/>
      <c r="P184" s="381"/>
      <c r="Q184" s="381"/>
      <c r="R184" s="381"/>
      <c r="S184" s="381"/>
      <c r="T184" s="381"/>
      <c r="U184" s="381"/>
      <c r="V184" s="381"/>
      <c r="W184" s="381"/>
      <c r="X184" s="381"/>
      <c r="Y184" s="381"/>
      <c r="Z184" s="381"/>
      <c r="AA184" s="381"/>
      <c r="AB184" s="381"/>
      <c r="AC184" s="382"/>
      <c r="AD184" s="382"/>
    </row>
    <row r="185" spans="1:30" ht="12.75" customHeight="1" x14ac:dyDescent="0.2">
      <c r="A185" s="378"/>
      <c r="B185" s="378"/>
      <c r="C185" s="378"/>
      <c r="D185" s="380"/>
      <c r="E185" s="380"/>
      <c r="F185" s="378"/>
      <c r="G185" s="378"/>
      <c r="H185" s="378"/>
      <c r="I185" s="378"/>
      <c r="J185" s="378"/>
      <c r="K185" s="378"/>
      <c r="L185" s="378"/>
      <c r="M185" s="381"/>
      <c r="N185" s="381"/>
      <c r="O185" s="381"/>
      <c r="P185" s="381"/>
      <c r="Q185" s="381"/>
      <c r="R185" s="381"/>
      <c r="S185" s="381"/>
      <c r="T185" s="381"/>
      <c r="U185" s="381"/>
      <c r="V185" s="381"/>
      <c r="W185" s="381"/>
      <c r="X185" s="381"/>
      <c r="Y185" s="381"/>
      <c r="Z185" s="381"/>
      <c r="AA185" s="381"/>
      <c r="AB185" s="381"/>
      <c r="AC185" s="382"/>
      <c r="AD185" s="382"/>
    </row>
    <row r="186" spans="1:30" ht="12.75" customHeight="1" x14ac:dyDescent="0.2">
      <c r="A186" s="378"/>
      <c r="B186" s="378"/>
      <c r="C186" s="378"/>
      <c r="D186" s="380"/>
      <c r="E186" s="380"/>
      <c r="F186" s="378"/>
      <c r="G186" s="378"/>
      <c r="H186" s="378"/>
      <c r="I186" s="378"/>
      <c r="J186" s="378"/>
      <c r="K186" s="378"/>
      <c r="L186" s="378"/>
      <c r="M186" s="381"/>
      <c r="N186" s="381"/>
      <c r="O186" s="381"/>
      <c r="P186" s="381"/>
      <c r="Q186" s="381"/>
      <c r="R186" s="381"/>
      <c r="S186" s="381"/>
      <c r="T186" s="381"/>
      <c r="U186" s="381"/>
      <c r="V186" s="381"/>
      <c r="W186" s="381"/>
      <c r="X186" s="381"/>
      <c r="Y186" s="381"/>
      <c r="Z186" s="381"/>
      <c r="AA186" s="381"/>
      <c r="AB186" s="381"/>
      <c r="AC186" s="382"/>
      <c r="AD186" s="382"/>
    </row>
    <row r="187" spans="1:30" ht="12.75" customHeight="1" x14ac:dyDescent="0.2">
      <c r="A187" s="378"/>
      <c r="B187" s="378"/>
      <c r="C187" s="378"/>
      <c r="D187" s="380"/>
      <c r="E187" s="380"/>
      <c r="F187" s="378"/>
      <c r="G187" s="378"/>
      <c r="H187" s="378"/>
      <c r="I187" s="378"/>
      <c r="J187" s="378"/>
      <c r="K187" s="378"/>
      <c r="L187" s="378"/>
      <c r="M187" s="381"/>
      <c r="N187" s="381"/>
      <c r="O187" s="381"/>
      <c r="P187" s="381"/>
      <c r="Q187" s="381"/>
      <c r="R187" s="381"/>
      <c r="S187" s="381"/>
      <c r="T187" s="381"/>
      <c r="U187" s="381"/>
      <c r="V187" s="381"/>
      <c r="W187" s="381"/>
      <c r="X187" s="381"/>
      <c r="Y187" s="381"/>
      <c r="Z187" s="381"/>
      <c r="AA187" s="381"/>
      <c r="AB187" s="381"/>
      <c r="AC187" s="382"/>
      <c r="AD187" s="382"/>
    </row>
    <row r="188" spans="1:30" ht="12.75" customHeight="1" x14ac:dyDescent="0.2">
      <c r="A188" s="378"/>
      <c r="B188" s="378"/>
      <c r="C188" s="378"/>
      <c r="D188" s="380"/>
      <c r="E188" s="380"/>
      <c r="F188" s="378"/>
      <c r="G188" s="378"/>
      <c r="H188" s="378"/>
      <c r="I188" s="378"/>
      <c r="J188" s="378"/>
      <c r="K188" s="378"/>
      <c r="L188" s="378"/>
      <c r="M188" s="381"/>
      <c r="N188" s="381"/>
      <c r="O188" s="381"/>
      <c r="P188" s="381"/>
      <c r="Q188" s="381"/>
      <c r="R188" s="381"/>
      <c r="S188" s="381"/>
      <c r="T188" s="381"/>
      <c r="U188" s="381"/>
      <c r="V188" s="381"/>
      <c r="W188" s="381"/>
      <c r="X188" s="381"/>
      <c r="Y188" s="381"/>
      <c r="Z188" s="381"/>
      <c r="AA188" s="381"/>
      <c r="AB188" s="381"/>
      <c r="AC188" s="382"/>
      <c r="AD188" s="382"/>
    </row>
    <row r="189" spans="1:30" ht="12.75" customHeight="1" x14ac:dyDescent="0.2">
      <c r="A189" s="378"/>
      <c r="B189" s="378"/>
      <c r="C189" s="378"/>
      <c r="D189" s="380"/>
      <c r="E189" s="380"/>
      <c r="F189" s="378"/>
      <c r="G189" s="378"/>
      <c r="H189" s="378"/>
      <c r="I189" s="378"/>
      <c r="J189" s="378"/>
      <c r="K189" s="378"/>
      <c r="L189" s="378"/>
      <c r="M189" s="381"/>
      <c r="N189" s="381"/>
      <c r="O189" s="381"/>
      <c r="P189" s="381"/>
      <c r="Q189" s="381"/>
      <c r="R189" s="381"/>
      <c r="S189" s="381"/>
      <c r="T189" s="381"/>
      <c r="U189" s="381"/>
      <c r="V189" s="381"/>
      <c r="W189" s="381"/>
      <c r="X189" s="381"/>
      <c r="Y189" s="381"/>
      <c r="Z189" s="381"/>
      <c r="AA189" s="381"/>
      <c r="AB189" s="381"/>
      <c r="AC189" s="382"/>
      <c r="AD189" s="382"/>
    </row>
    <row r="190" spans="1:30" ht="12.75" customHeight="1" x14ac:dyDescent="0.2">
      <c r="A190" s="378"/>
      <c r="B190" s="378"/>
      <c r="C190" s="378"/>
      <c r="D190" s="380"/>
      <c r="E190" s="380"/>
      <c r="F190" s="378"/>
      <c r="G190" s="378"/>
      <c r="H190" s="378"/>
      <c r="I190" s="378"/>
      <c r="J190" s="378"/>
      <c r="K190" s="378"/>
      <c r="L190" s="378"/>
      <c r="M190" s="381"/>
      <c r="N190" s="381"/>
      <c r="O190" s="381"/>
      <c r="P190" s="381"/>
      <c r="Q190" s="381"/>
      <c r="R190" s="381"/>
      <c r="S190" s="381"/>
      <c r="T190" s="381"/>
      <c r="U190" s="381"/>
      <c r="V190" s="381"/>
      <c r="W190" s="381"/>
      <c r="X190" s="381"/>
      <c r="Y190" s="381"/>
      <c r="Z190" s="381"/>
      <c r="AA190" s="381"/>
      <c r="AB190" s="381"/>
      <c r="AC190" s="382"/>
      <c r="AD190" s="382"/>
    </row>
    <row r="191" spans="1:30" ht="12.75" customHeight="1" x14ac:dyDescent="0.2">
      <c r="A191" s="378"/>
      <c r="B191" s="378"/>
      <c r="C191" s="378"/>
      <c r="D191" s="380"/>
      <c r="E191" s="380"/>
      <c r="F191" s="378"/>
      <c r="G191" s="378"/>
      <c r="H191" s="378"/>
      <c r="I191" s="378"/>
      <c r="J191" s="378"/>
      <c r="K191" s="378"/>
      <c r="L191" s="378"/>
      <c r="M191" s="381"/>
      <c r="N191" s="381"/>
      <c r="O191" s="381"/>
      <c r="P191" s="381"/>
      <c r="Q191" s="381"/>
      <c r="R191" s="381"/>
      <c r="S191" s="381"/>
      <c r="T191" s="381"/>
      <c r="U191" s="381"/>
      <c r="V191" s="381"/>
      <c r="W191" s="381"/>
      <c r="X191" s="381"/>
      <c r="Y191" s="381"/>
      <c r="Z191" s="381"/>
      <c r="AA191" s="381"/>
      <c r="AB191" s="381"/>
      <c r="AC191" s="382"/>
      <c r="AD191" s="382"/>
    </row>
    <row r="192" spans="1:30" ht="12.75" customHeight="1" x14ac:dyDescent="0.2">
      <c r="A192" s="378"/>
      <c r="B192" s="378"/>
      <c r="C192" s="378"/>
      <c r="D192" s="380"/>
      <c r="E192" s="380"/>
      <c r="F192" s="378"/>
      <c r="G192" s="378"/>
      <c r="H192" s="378"/>
      <c r="I192" s="378"/>
      <c r="J192" s="378"/>
      <c r="K192" s="378"/>
      <c r="L192" s="378"/>
      <c r="M192" s="381"/>
      <c r="N192" s="381"/>
      <c r="O192" s="381"/>
      <c r="P192" s="381"/>
      <c r="Q192" s="381"/>
      <c r="R192" s="381"/>
      <c r="S192" s="381"/>
      <c r="T192" s="381"/>
      <c r="U192" s="381"/>
      <c r="V192" s="381"/>
      <c r="W192" s="381"/>
      <c r="X192" s="381"/>
      <c r="Y192" s="381"/>
      <c r="Z192" s="381"/>
      <c r="AA192" s="381"/>
      <c r="AB192" s="381"/>
      <c r="AC192" s="382"/>
      <c r="AD192" s="382"/>
    </row>
    <row r="193" spans="1:30" ht="12.75" customHeight="1" x14ac:dyDescent="0.2">
      <c r="A193" s="378"/>
      <c r="B193" s="378"/>
      <c r="C193" s="378"/>
      <c r="D193" s="380"/>
      <c r="E193" s="380"/>
      <c r="F193" s="378"/>
      <c r="G193" s="378"/>
      <c r="H193" s="378"/>
      <c r="I193" s="378"/>
      <c r="J193" s="378"/>
      <c r="K193" s="378"/>
      <c r="L193" s="378"/>
      <c r="M193" s="381"/>
      <c r="N193" s="381"/>
      <c r="O193" s="381"/>
      <c r="P193" s="381"/>
      <c r="Q193" s="381"/>
      <c r="R193" s="381"/>
      <c r="S193" s="381"/>
      <c r="T193" s="381"/>
      <c r="U193" s="381"/>
      <c r="V193" s="381"/>
      <c r="W193" s="381"/>
      <c r="X193" s="381"/>
      <c r="Y193" s="381"/>
      <c r="Z193" s="381"/>
      <c r="AA193" s="381"/>
      <c r="AB193" s="381"/>
      <c r="AC193" s="382"/>
      <c r="AD193" s="382"/>
    </row>
    <row r="194" spans="1:30" ht="12.75" customHeight="1" x14ac:dyDescent="0.2">
      <c r="A194" s="378"/>
      <c r="B194" s="378"/>
      <c r="C194" s="378"/>
      <c r="D194" s="380"/>
      <c r="E194" s="380"/>
      <c r="F194" s="378"/>
      <c r="G194" s="378"/>
      <c r="H194" s="378"/>
      <c r="I194" s="378"/>
      <c r="J194" s="378"/>
      <c r="K194" s="378"/>
      <c r="L194" s="378"/>
      <c r="M194" s="381"/>
      <c r="N194" s="381"/>
      <c r="O194" s="381"/>
      <c r="P194" s="381"/>
      <c r="Q194" s="381"/>
      <c r="R194" s="381"/>
      <c r="S194" s="381"/>
      <c r="T194" s="381"/>
      <c r="U194" s="381"/>
      <c r="V194" s="381"/>
      <c r="W194" s="381"/>
      <c r="X194" s="381"/>
      <c r="Y194" s="381"/>
      <c r="Z194" s="381"/>
      <c r="AA194" s="381"/>
      <c r="AB194" s="381"/>
      <c r="AC194" s="382"/>
      <c r="AD194" s="382"/>
    </row>
    <row r="195" spans="1:30" ht="12.75" customHeight="1" x14ac:dyDescent="0.2">
      <c r="A195" s="378"/>
      <c r="B195" s="378"/>
      <c r="C195" s="378"/>
      <c r="D195" s="380"/>
      <c r="E195" s="380"/>
      <c r="F195" s="378"/>
      <c r="G195" s="378"/>
      <c r="H195" s="378"/>
      <c r="I195" s="378"/>
      <c r="J195" s="378"/>
      <c r="K195" s="378"/>
      <c r="L195" s="378"/>
      <c r="M195" s="381"/>
      <c r="N195" s="381"/>
      <c r="O195" s="381"/>
      <c r="P195" s="381"/>
      <c r="Q195" s="381"/>
      <c r="R195" s="381"/>
      <c r="S195" s="381"/>
      <c r="T195" s="381"/>
      <c r="U195" s="381"/>
      <c r="V195" s="381"/>
      <c r="W195" s="381"/>
      <c r="X195" s="381"/>
      <c r="Y195" s="381"/>
      <c r="Z195" s="381"/>
      <c r="AA195" s="381"/>
      <c r="AB195" s="381"/>
      <c r="AC195" s="382"/>
      <c r="AD195" s="382"/>
    </row>
    <row r="196" spans="1:30" ht="12.75" customHeight="1" x14ac:dyDescent="0.2">
      <c r="A196" s="378"/>
      <c r="B196" s="378"/>
      <c r="C196" s="378"/>
      <c r="D196" s="380"/>
      <c r="E196" s="380"/>
      <c r="F196" s="378"/>
      <c r="G196" s="378"/>
      <c r="H196" s="378"/>
      <c r="I196" s="378"/>
      <c r="J196" s="378"/>
      <c r="K196" s="378"/>
      <c r="L196" s="378"/>
      <c r="M196" s="381"/>
      <c r="N196" s="381"/>
      <c r="O196" s="381"/>
      <c r="P196" s="381"/>
      <c r="Q196" s="381"/>
      <c r="R196" s="381"/>
      <c r="S196" s="381"/>
      <c r="T196" s="381"/>
      <c r="U196" s="381"/>
      <c r="V196" s="381"/>
      <c r="W196" s="381"/>
      <c r="X196" s="381"/>
      <c r="Y196" s="381"/>
      <c r="Z196" s="381"/>
      <c r="AA196" s="381"/>
      <c r="AB196" s="381"/>
      <c r="AC196" s="382"/>
      <c r="AD196" s="382"/>
    </row>
    <row r="197" spans="1:30" ht="12.75" customHeight="1" x14ac:dyDescent="0.2">
      <c r="A197" s="378"/>
      <c r="B197" s="378"/>
      <c r="C197" s="378"/>
      <c r="D197" s="380"/>
      <c r="E197" s="380"/>
      <c r="F197" s="378"/>
      <c r="G197" s="378"/>
      <c r="H197" s="378"/>
      <c r="I197" s="378"/>
      <c r="J197" s="378"/>
      <c r="K197" s="378"/>
      <c r="L197" s="378"/>
      <c r="M197" s="381"/>
      <c r="N197" s="381"/>
      <c r="O197" s="381"/>
      <c r="P197" s="381"/>
      <c r="Q197" s="381"/>
      <c r="R197" s="381"/>
      <c r="S197" s="381"/>
      <c r="T197" s="381"/>
      <c r="U197" s="381"/>
      <c r="V197" s="381"/>
      <c r="W197" s="381"/>
      <c r="X197" s="381"/>
      <c r="Y197" s="381"/>
      <c r="Z197" s="381"/>
      <c r="AA197" s="381"/>
      <c r="AB197" s="381"/>
      <c r="AC197" s="382"/>
      <c r="AD197" s="382"/>
    </row>
    <row r="198" spans="1:30" ht="12.75" customHeight="1" x14ac:dyDescent="0.2">
      <c r="A198" s="378"/>
      <c r="B198" s="378"/>
      <c r="C198" s="378"/>
      <c r="D198" s="380"/>
      <c r="E198" s="380"/>
      <c r="F198" s="378"/>
      <c r="G198" s="378"/>
      <c r="H198" s="378"/>
      <c r="I198" s="378"/>
      <c r="J198" s="378"/>
      <c r="K198" s="378"/>
      <c r="L198" s="378"/>
      <c r="M198" s="381"/>
      <c r="N198" s="381"/>
      <c r="O198" s="381"/>
      <c r="P198" s="381"/>
      <c r="Q198" s="381"/>
      <c r="R198" s="381"/>
      <c r="S198" s="381"/>
      <c r="T198" s="381"/>
      <c r="U198" s="381"/>
      <c r="V198" s="381"/>
      <c r="W198" s="381"/>
      <c r="X198" s="381"/>
      <c r="Y198" s="381"/>
      <c r="Z198" s="381"/>
      <c r="AA198" s="381"/>
      <c r="AB198" s="381"/>
      <c r="AC198" s="382"/>
      <c r="AD198" s="382"/>
    </row>
    <row r="199" spans="1:30" ht="12.75" customHeight="1" x14ac:dyDescent="0.2">
      <c r="A199" s="378"/>
      <c r="B199" s="378"/>
      <c r="C199" s="378"/>
      <c r="D199" s="380"/>
      <c r="E199" s="380"/>
      <c r="F199" s="378"/>
      <c r="G199" s="378"/>
      <c r="H199" s="378"/>
      <c r="I199" s="378"/>
      <c r="J199" s="378"/>
      <c r="K199" s="378"/>
      <c r="L199" s="378"/>
      <c r="M199" s="381"/>
      <c r="N199" s="381"/>
      <c r="O199" s="381"/>
      <c r="P199" s="381"/>
      <c r="Q199" s="381"/>
      <c r="R199" s="381"/>
      <c r="S199" s="381"/>
      <c r="T199" s="381"/>
      <c r="U199" s="381"/>
      <c r="V199" s="381"/>
      <c r="W199" s="381"/>
      <c r="X199" s="381"/>
      <c r="Y199" s="381"/>
      <c r="Z199" s="381"/>
      <c r="AA199" s="381"/>
      <c r="AB199" s="381"/>
      <c r="AC199" s="382"/>
      <c r="AD199" s="382"/>
    </row>
    <row r="200" spans="1:30" ht="12.75" customHeight="1" x14ac:dyDescent="0.2">
      <c r="A200" s="378"/>
      <c r="B200" s="378"/>
      <c r="C200" s="378"/>
      <c r="D200" s="380"/>
      <c r="E200" s="380"/>
      <c r="F200" s="378"/>
      <c r="G200" s="378"/>
      <c r="H200" s="378"/>
      <c r="I200" s="378"/>
      <c r="J200" s="378"/>
      <c r="K200" s="378"/>
      <c r="L200" s="378"/>
      <c r="M200" s="381"/>
      <c r="N200" s="381"/>
      <c r="O200" s="381"/>
      <c r="P200" s="381"/>
      <c r="Q200" s="381"/>
      <c r="R200" s="381"/>
      <c r="S200" s="381"/>
      <c r="T200" s="381"/>
      <c r="U200" s="381"/>
      <c r="V200" s="381"/>
      <c r="W200" s="381"/>
      <c r="X200" s="381"/>
      <c r="Y200" s="381"/>
      <c r="Z200" s="381"/>
      <c r="AA200" s="381"/>
      <c r="AB200" s="381"/>
      <c r="AC200" s="382"/>
      <c r="AD200" s="382"/>
    </row>
    <row r="201" spans="1:30" ht="12.75" customHeight="1" x14ac:dyDescent="0.2">
      <c r="A201" s="378"/>
      <c r="B201" s="378"/>
      <c r="C201" s="378"/>
      <c r="D201" s="380"/>
      <c r="E201" s="380"/>
      <c r="F201" s="378"/>
      <c r="G201" s="378"/>
      <c r="H201" s="378"/>
      <c r="I201" s="378"/>
      <c r="J201" s="378"/>
      <c r="K201" s="378"/>
      <c r="L201" s="378"/>
      <c r="M201" s="381"/>
      <c r="N201" s="381"/>
      <c r="O201" s="381"/>
      <c r="P201" s="381"/>
      <c r="Q201" s="381"/>
      <c r="R201" s="381"/>
      <c r="S201" s="381"/>
      <c r="T201" s="381"/>
      <c r="U201" s="381"/>
      <c r="V201" s="381"/>
      <c r="W201" s="381"/>
      <c r="X201" s="381"/>
      <c r="Y201" s="381"/>
      <c r="Z201" s="381"/>
      <c r="AA201" s="381"/>
      <c r="AB201" s="381"/>
      <c r="AC201" s="382"/>
      <c r="AD201" s="382"/>
    </row>
    <row r="202" spans="1:30" ht="12.75" customHeight="1" x14ac:dyDescent="0.2">
      <c r="A202" s="378"/>
      <c r="B202" s="378"/>
      <c r="C202" s="378"/>
      <c r="D202" s="380"/>
      <c r="E202" s="380"/>
      <c r="F202" s="378"/>
      <c r="G202" s="378"/>
      <c r="H202" s="378"/>
      <c r="I202" s="378"/>
      <c r="J202" s="378"/>
      <c r="K202" s="378"/>
      <c r="L202" s="378"/>
      <c r="M202" s="381"/>
      <c r="N202" s="381"/>
      <c r="O202" s="381"/>
      <c r="P202" s="381"/>
      <c r="Q202" s="381"/>
      <c r="R202" s="381"/>
      <c r="S202" s="381"/>
      <c r="T202" s="381"/>
      <c r="U202" s="381"/>
      <c r="V202" s="381"/>
      <c r="W202" s="381"/>
      <c r="X202" s="381"/>
      <c r="Y202" s="381"/>
      <c r="Z202" s="381"/>
      <c r="AA202" s="381"/>
      <c r="AB202" s="381"/>
      <c r="AC202" s="382"/>
      <c r="AD202" s="382"/>
    </row>
    <row r="203" spans="1:30" ht="12.75" customHeight="1" x14ac:dyDescent="0.2">
      <c r="A203" s="378"/>
      <c r="B203" s="378"/>
      <c r="C203" s="378"/>
      <c r="D203" s="380"/>
      <c r="E203" s="380"/>
      <c r="F203" s="378"/>
      <c r="G203" s="378"/>
      <c r="H203" s="378"/>
      <c r="I203" s="378"/>
      <c r="J203" s="378"/>
      <c r="K203" s="378"/>
      <c r="L203" s="378"/>
      <c r="M203" s="381"/>
      <c r="N203" s="381"/>
      <c r="O203" s="381"/>
      <c r="P203" s="381"/>
      <c r="Q203" s="381"/>
      <c r="R203" s="381"/>
      <c r="S203" s="381"/>
      <c r="T203" s="381"/>
      <c r="U203" s="381"/>
      <c r="V203" s="381"/>
      <c r="W203" s="381"/>
      <c r="X203" s="381"/>
      <c r="Y203" s="381"/>
      <c r="Z203" s="381"/>
      <c r="AA203" s="381"/>
      <c r="AB203" s="381"/>
      <c r="AC203" s="382"/>
      <c r="AD203" s="382"/>
    </row>
    <row r="204" spans="1:30" ht="12.75" customHeight="1" x14ac:dyDescent="0.2">
      <c r="A204" s="378"/>
      <c r="B204" s="378"/>
      <c r="C204" s="378"/>
      <c r="D204" s="380"/>
      <c r="E204" s="380"/>
      <c r="F204" s="378"/>
      <c r="G204" s="378"/>
      <c r="H204" s="378"/>
      <c r="I204" s="378"/>
      <c r="J204" s="378"/>
      <c r="K204" s="378"/>
      <c r="L204" s="378"/>
      <c r="M204" s="381"/>
      <c r="N204" s="381"/>
      <c r="O204" s="381"/>
      <c r="P204" s="381"/>
      <c r="Q204" s="381"/>
      <c r="R204" s="381"/>
      <c r="S204" s="381"/>
      <c r="T204" s="381"/>
      <c r="U204" s="381"/>
      <c r="V204" s="381"/>
      <c r="W204" s="381"/>
      <c r="X204" s="381"/>
      <c r="Y204" s="381"/>
      <c r="Z204" s="381"/>
      <c r="AA204" s="381"/>
      <c r="AB204" s="381"/>
      <c r="AC204" s="382"/>
      <c r="AD204" s="382"/>
    </row>
    <row r="205" spans="1:30" ht="12.75" customHeight="1" x14ac:dyDescent="0.2">
      <c r="A205" s="378"/>
      <c r="B205" s="378"/>
      <c r="C205" s="378"/>
      <c r="D205" s="380"/>
      <c r="E205" s="380"/>
      <c r="F205" s="378"/>
      <c r="G205" s="378"/>
      <c r="H205" s="378"/>
      <c r="I205" s="378"/>
      <c r="J205" s="378"/>
      <c r="K205" s="378"/>
      <c r="L205" s="378"/>
      <c r="M205" s="381"/>
      <c r="N205" s="381"/>
      <c r="O205" s="381"/>
      <c r="P205" s="381"/>
      <c r="Q205" s="381"/>
      <c r="R205" s="381"/>
      <c r="S205" s="381"/>
      <c r="T205" s="381"/>
      <c r="U205" s="381"/>
      <c r="V205" s="381"/>
      <c r="W205" s="381"/>
      <c r="X205" s="381"/>
      <c r="Y205" s="381"/>
      <c r="Z205" s="381"/>
      <c r="AA205" s="381"/>
      <c r="AB205" s="381"/>
      <c r="AC205" s="382"/>
      <c r="AD205" s="382"/>
    </row>
    <row r="206" spans="1:30" ht="12.75" customHeight="1" x14ac:dyDescent="0.2">
      <c r="A206" s="378"/>
      <c r="B206" s="378"/>
      <c r="C206" s="378"/>
      <c r="D206" s="380"/>
      <c r="E206" s="380"/>
      <c r="F206" s="378"/>
      <c r="G206" s="378"/>
      <c r="H206" s="378"/>
      <c r="I206" s="378"/>
      <c r="J206" s="378"/>
      <c r="K206" s="378"/>
      <c r="L206" s="378"/>
      <c r="M206" s="381"/>
      <c r="N206" s="381"/>
      <c r="O206" s="381"/>
      <c r="P206" s="381"/>
      <c r="Q206" s="381"/>
      <c r="R206" s="381"/>
      <c r="S206" s="381"/>
      <c r="T206" s="381"/>
      <c r="U206" s="381"/>
      <c r="V206" s="381"/>
      <c r="W206" s="381"/>
      <c r="X206" s="381"/>
      <c r="Y206" s="381"/>
      <c r="Z206" s="381"/>
      <c r="AA206" s="381"/>
      <c r="AB206" s="381"/>
      <c r="AC206" s="382"/>
      <c r="AD206" s="382"/>
    </row>
    <row r="207" spans="1:30" ht="12.75" customHeight="1" x14ac:dyDescent="0.2">
      <c r="A207" s="378"/>
      <c r="B207" s="378"/>
      <c r="C207" s="378"/>
      <c r="D207" s="380"/>
      <c r="E207" s="380"/>
      <c r="F207" s="378"/>
      <c r="G207" s="378"/>
      <c r="H207" s="378"/>
      <c r="I207" s="378"/>
      <c r="J207" s="378"/>
      <c r="K207" s="378"/>
      <c r="L207" s="378"/>
      <c r="M207" s="381"/>
      <c r="N207" s="381"/>
      <c r="O207" s="381"/>
      <c r="P207" s="381"/>
      <c r="Q207" s="381"/>
      <c r="R207" s="381"/>
      <c r="S207" s="381"/>
      <c r="T207" s="381"/>
      <c r="U207" s="381"/>
      <c r="V207" s="381"/>
      <c r="W207" s="381"/>
      <c r="X207" s="381"/>
      <c r="Y207" s="381"/>
      <c r="Z207" s="381"/>
      <c r="AA207" s="381"/>
      <c r="AB207" s="381"/>
      <c r="AC207" s="382"/>
      <c r="AD207" s="382"/>
    </row>
    <row r="208" spans="1:30" ht="12.75" customHeight="1" x14ac:dyDescent="0.2">
      <c r="A208" s="378"/>
      <c r="B208" s="378"/>
      <c r="C208" s="378"/>
      <c r="D208" s="380"/>
      <c r="E208" s="380"/>
      <c r="F208" s="378"/>
      <c r="G208" s="378"/>
      <c r="H208" s="378"/>
      <c r="I208" s="378"/>
      <c r="J208" s="378"/>
      <c r="K208" s="378"/>
      <c r="L208" s="378"/>
      <c r="M208" s="381"/>
      <c r="N208" s="381"/>
      <c r="O208" s="381"/>
      <c r="P208" s="381"/>
      <c r="Q208" s="381"/>
      <c r="R208" s="381"/>
      <c r="S208" s="381"/>
      <c r="T208" s="381"/>
      <c r="U208" s="381"/>
      <c r="V208" s="381"/>
      <c r="W208" s="381"/>
      <c r="X208" s="381"/>
      <c r="Y208" s="381"/>
      <c r="Z208" s="381"/>
      <c r="AA208" s="381"/>
      <c r="AB208" s="381"/>
      <c r="AC208" s="382"/>
      <c r="AD208" s="382"/>
    </row>
    <row r="209" spans="1:30" ht="12.75" customHeight="1" x14ac:dyDescent="0.2">
      <c r="A209" s="378"/>
      <c r="B209" s="378"/>
      <c r="C209" s="378"/>
      <c r="D209" s="380"/>
      <c r="E209" s="380"/>
      <c r="F209" s="378"/>
      <c r="G209" s="378"/>
      <c r="H209" s="378"/>
      <c r="I209" s="378"/>
      <c r="J209" s="378"/>
      <c r="K209" s="378"/>
      <c r="L209" s="378"/>
      <c r="M209" s="381"/>
      <c r="N209" s="381"/>
      <c r="O209" s="381"/>
      <c r="P209" s="381"/>
      <c r="Q209" s="381"/>
      <c r="R209" s="381"/>
      <c r="S209" s="381"/>
      <c r="T209" s="381"/>
      <c r="U209" s="381"/>
      <c r="V209" s="381"/>
      <c r="W209" s="381"/>
      <c r="X209" s="381"/>
      <c r="Y209" s="381"/>
      <c r="Z209" s="381"/>
      <c r="AA209" s="381"/>
      <c r="AB209" s="381"/>
      <c r="AC209" s="382"/>
      <c r="AD209" s="382"/>
    </row>
    <row r="210" spans="1:30" ht="12.75" customHeight="1" x14ac:dyDescent="0.2">
      <c r="A210" s="378"/>
      <c r="B210" s="378"/>
      <c r="C210" s="378"/>
      <c r="D210" s="380"/>
      <c r="E210" s="380"/>
      <c r="F210" s="378"/>
      <c r="G210" s="378"/>
      <c r="H210" s="378"/>
      <c r="I210" s="378"/>
      <c r="J210" s="378"/>
      <c r="K210" s="378"/>
      <c r="L210" s="378"/>
      <c r="M210" s="381"/>
      <c r="N210" s="381"/>
      <c r="O210" s="381"/>
      <c r="P210" s="381"/>
      <c r="Q210" s="381"/>
      <c r="R210" s="381"/>
      <c r="S210" s="381"/>
      <c r="T210" s="381"/>
      <c r="U210" s="381"/>
      <c r="V210" s="381"/>
      <c r="W210" s="381"/>
      <c r="X210" s="381"/>
      <c r="Y210" s="381"/>
      <c r="Z210" s="381"/>
      <c r="AA210" s="381"/>
      <c r="AB210" s="381"/>
      <c r="AC210" s="382"/>
      <c r="AD210" s="382"/>
    </row>
    <row r="211" spans="1:30" ht="12.75" customHeight="1" x14ac:dyDescent="0.2">
      <c r="A211" s="378"/>
      <c r="B211" s="378"/>
      <c r="C211" s="378"/>
      <c r="D211" s="380"/>
      <c r="E211" s="380"/>
      <c r="F211" s="378"/>
      <c r="G211" s="378"/>
      <c r="H211" s="378"/>
      <c r="I211" s="378"/>
      <c r="J211" s="378"/>
      <c r="K211" s="378"/>
      <c r="L211" s="378"/>
      <c r="M211" s="381"/>
      <c r="N211" s="381"/>
      <c r="O211" s="381"/>
      <c r="P211" s="381"/>
      <c r="Q211" s="381"/>
      <c r="R211" s="381"/>
      <c r="S211" s="381"/>
      <c r="T211" s="381"/>
      <c r="U211" s="381"/>
      <c r="V211" s="381"/>
      <c r="W211" s="381"/>
      <c r="X211" s="381"/>
      <c r="Y211" s="381"/>
      <c r="Z211" s="381"/>
      <c r="AA211" s="381"/>
      <c r="AB211" s="381"/>
      <c r="AC211" s="382"/>
      <c r="AD211" s="382"/>
    </row>
    <row r="212" spans="1:30" ht="12.75" customHeight="1" x14ac:dyDescent="0.2">
      <c r="A212" s="378"/>
      <c r="B212" s="378"/>
      <c r="C212" s="378"/>
      <c r="D212" s="380"/>
      <c r="E212" s="380"/>
      <c r="F212" s="378"/>
      <c r="G212" s="378"/>
      <c r="H212" s="378"/>
      <c r="I212" s="378"/>
      <c r="J212" s="378"/>
      <c r="K212" s="378"/>
      <c r="L212" s="378"/>
      <c r="M212" s="381"/>
      <c r="N212" s="381"/>
      <c r="O212" s="381"/>
      <c r="P212" s="381"/>
      <c r="Q212" s="381"/>
      <c r="R212" s="381"/>
      <c r="S212" s="381"/>
      <c r="T212" s="381"/>
      <c r="U212" s="381"/>
      <c r="V212" s="381"/>
      <c r="W212" s="381"/>
      <c r="X212" s="381"/>
      <c r="Y212" s="381"/>
      <c r="Z212" s="381"/>
      <c r="AA212" s="381"/>
      <c r="AB212" s="381"/>
      <c r="AC212" s="382"/>
      <c r="AD212" s="382"/>
    </row>
    <row r="213" spans="1:30" ht="12.75" customHeight="1" x14ac:dyDescent="0.2">
      <c r="A213" s="378"/>
      <c r="B213" s="378"/>
      <c r="C213" s="378"/>
      <c r="D213" s="380"/>
      <c r="E213" s="380"/>
      <c r="F213" s="378"/>
      <c r="G213" s="378"/>
      <c r="H213" s="378"/>
      <c r="I213" s="378"/>
      <c r="J213" s="378"/>
      <c r="K213" s="378"/>
      <c r="L213" s="378"/>
      <c r="M213" s="381"/>
      <c r="N213" s="381"/>
      <c r="O213" s="381"/>
      <c r="P213" s="381"/>
      <c r="Q213" s="381"/>
      <c r="R213" s="381"/>
      <c r="S213" s="381"/>
      <c r="T213" s="381"/>
      <c r="U213" s="381"/>
      <c r="V213" s="381"/>
      <c r="W213" s="381"/>
      <c r="X213" s="381"/>
      <c r="Y213" s="381"/>
      <c r="Z213" s="381"/>
      <c r="AA213" s="381"/>
      <c r="AB213" s="381"/>
      <c r="AC213" s="382"/>
      <c r="AD213" s="382"/>
    </row>
    <row r="214" spans="1:30" ht="12.75" customHeight="1" x14ac:dyDescent="0.2">
      <c r="A214" s="378"/>
      <c r="B214" s="378"/>
      <c r="C214" s="378"/>
      <c r="D214" s="380"/>
      <c r="E214" s="380"/>
      <c r="F214" s="378"/>
      <c r="G214" s="378"/>
      <c r="H214" s="378"/>
      <c r="I214" s="378"/>
      <c r="J214" s="378"/>
      <c r="K214" s="378"/>
      <c r="L214" s="378"/>
      <c r="M214" s="381"/>
      <c r="N214" s="381"/>
      <c r="O214" s="381"/>
      <c r="P214" s="381"/>
      <c r="Q214" s="381"/>
      <c r="R214" s="381"/>
      <c r="S214" s="381"/>
      <c r="T214" s="381"/>
      <c r="U214" s="381"/>
      <c r="V214" s="381"/>
      <c r="W214" s="381"/>
      <c r="X214" s="381"/>
      <c r="Y214" s="381"/>
      <c r="Z214" s="381"/>
      <c r="AA214" s="381"/>
      <c r="AB214" s="381"/>
      <c r="AC214" s="382"/>
      <c r="AD214" s="382"/>
    </row>
    <row r="215" spans="1:30" ht="12.75" customHeight="1" x14ac:dyDescent="0.2">
      <c r="A215" s="378"/>
      <c r="B215" s="378"/>
      <c r="C215" s="378"/>
      <c r="D215" s="380"/>
      <c r="E215" s="380"/>
      <c r="F215" s="378"/>
      <c r="G215" s="378"/>
      <c r="H215" s="378"/>
      <c r="I215" s="378"/>
      <c r="J215" s="378"/>
      <c r="K215" s="378"/>
      <c r="L215" s="378"/>
      <c r="M215" s="381"/>
      <c r="N215" s="381"/>
      <c r="O215" s="381"/>
      <c r="P215" s="381"/>
      <c r="Q215" s="381"/>
      <c r="R215" s="381"/>
      <c r="S215" s="381"/>
      <c r="T215" s="381"/>
      <c r="U215" s="381"/>
      <c r="V215" s="381"/>
      <c r="W215" s="381"/>
      <c r="X215" s="381"/>
      <c r="Y215" s="381"/>
      <c r="Z215" s="381"/>
      <c r="AA215" s="381"/>
      <c r="AB215" s="381"/>
      <c r="AC215" s="382"/>
      <c r="AD215" s="382"/>
    </row>
    <row r="216" spans="1:30" ht="12.75" customHeight="1" x14ac:dyDescent="0.2">
      <c r="A216" s="378"/>
      <c r="B216" s="378"/>
      <c r="C216" s="378"/>
      <c r="D216" s="380"/>
      <c r="E216" s="380"/>
      <c r="F216" s="378"/>
      <c r="G216" s="378"/>
      <c r="H216" s="378"/>
      <c r="I216" s="378"/>
      <c r="J216" s="378"/>
      <c r="K216" s="378"/>
      <c r="L216" s="378"/>
      <c r="M216" s="381"/>
      <c r="N216" s="381"/>
      <c r="O216" s="381"/>
      <c r="P216" s="381"/>
      <c r="Q216" s="381"/>
      <c r="R216" s="381"/>
      <c r="S216" s="381"/>
      <c r="T216" s="381"/>
      <c r="U216" s="381"/>
      <c r="V216" s="381"/>
      <c r="W216" s="381"/>
      <c r="X216" s="381"/>
      <c r="Y216" s="381"/>
      <c r="Z216" s="381"/>
      <c r="AA216" s="381"/>
      <c r="AB216" s="381"/>
      <c r="AC216" s="382"/>
      <c r="AD216" s="382"/>
    </row>
    <row r="217" spans="1:30" ht="12.75" customHeight="1" x14ac:dyDescent="0.2">
      <c r="A217" s="378"/>
      <c r="B217" s="378"/>
      <c r="C217" s="378"/>
      <c r="D217" s="380"/>
      <c r="E217" s="380"/>
      <c r="F217" s="378"/>
      <c r="G217" s="378"/>
      <c r="H217" s="378"/>
      <c r="I217" s="378"/>
      <c r="J217" s="378"/>
      <c r="K217" s="378"/>
      <c r="L217" s="378"/>
      <c r="M217" s="381"/>
      <c r="N217" s="381"/>
      <c r="O217" s="381"/>
      <c r="P217" s="381"/>
      <c r="Q217" s="381"/>
      <c r="R217" s="381"/>
      <c r="S217" s="381"/>
      <c r="T217" s="381"/>
      <c r="U217" s="381"/>
      <c r="V217" s="381"/>
      <c r="W217" s="381"/>
      <c r="X217" s="381"/>
      <c r="Y217" s="381"/>
      <c r="Z217" s="381"/>
      <c r="AA217" s="381"/>
      <c r="AB217" s="381"/>
      <c r="AC217" s="382"/>
      <c r="AD217" s="382"/>
    </row>
    <row r="218" spans="1:30" ht="12.75" customHeight="1" x14ac:dyDescent="0.2">
      <c r="A218" s="378"/>
      <c r="B218" s="378"/>
      <c r="C218" s="378"/>
      <c r="D218" s="380"/>
      <c r="E218" s="380"/>
      <c r="F218" s="378"/>
      <c r="G218" s="378"/>
      <c r="H218" s="378"/>
      <c r="I218" s="378"/>
      <c r="J218" s="378"/>
      <c r="K218" s="378"/>
      <c r="L218" s="378"/>
      <c r="M218" s="381"/>
      <c r="N218" s="381"/>
      <c r="O218" s="381"/>
      <c r="P218" s="381"/>
      <c r="Q218" s="381"/>
      <c r="R218" s="381"/>
      <c r="S218" s="381"/>
      <c r="T218" s="381"/>
      <c r="U218" s="381"/>
      <c r="V218" s="381"/>
      <c r="W218" s="381"/>
      <c r="X218" s="381"/>
      <c r="Y218" s="381"/>
      <c r="Z218" s="381"/>
      <c r="AA218" s="381"/>
      <c r="AB218" s="381"/>
      <c r="AC218" s="382"/>
      <c r="AD218" s="382"/>
    </row>
    <row r="219" spans="1:30" ht="12.75" customHeight="1" x14ac:dyDescent="0.2">
      <c r="A219" s="378"/>
      <c r="B219" s="378"/>
      <c r="C219" s="378"/>
      <c r="D219" s="380"/>
      <c r="E219" s="380"/>
      <c r="F219" s="378"/>
      <c r="G219" s="378"/>
      <c r="H219" s="378"/>
      <c r="I219" s="378"/>
      <c r="J219" s="378"/>
      <c r="K219" s="378"/>
      <c r="L219" s="378"/>
      <c r="M219" s="381"/>
      <c r="N219" s="381"/>
      <c r="O219" s="381"/>
      <c r="P219" s="381"/>
      <c r="Q219" s="381"/>
      <c r="R219" s="381"/>
      <c r="S219" s="381"/>
      <c r="T219" s="381"/>
      <c r="U219" s="381"/>
      <c r="V219" s="381"/>
      <c r="W219" s="381"/>
      <c r="X219" s="381"/>
      <c r="Y219" s="381"/>
      <c r="Z219" s="381"/>
      <c r="AA219" s="381"/>
      <c r="AB219" s="381"/>
      <c r="AC219" s="382"/>
      <c r="AD219" s="382"/>
    </row>
    <row r="220" spans="1:30" ht="12.75" customHeight="1" x14ac:dyDescent="0.2">
      <c r="A220" s="378"/>
      <c r="B220" s="378"/>
      <c r="C220" s="378"/>
      <c r="D220" s="380"/>
      <c r="E220" s="380"/>
      <c r="F220" s="378"/>
      <c r="G220" s="378"/>
      <c r="H220" s="378"/>
      <c r="I220" s="378"/>
      <c r="J220" s="378"/>
      <c r="K220" s="378"/>
      <c r="L220" s="378"/>
      <c r="M220" s="381"/>
      <c r="N220" s="381"/>
      <c r="O220" s="381"/>
      <c r="P220" s="381"/>
      <c r="Q220" s="381"/>
      <c r="R220" s="381"/>
      <c r="S220" s="381"/>
      <c r="T220" s="381"/>
      <c r="U220" s="381"/>
      <c r="V220" s="381"/>
      <c r="W220" s="381"/>
      <c r="X220" s="381"/>
      <c r="Y220" s="381"/>
      <c r="Z220" s="381"/>
      <c r="AA220" s="381"/>
      <c r="AB220" s="381"/>
      <c r="AC220" s="382"/>
      <c r="AD220" s="382"/>
    </row>
    <row r="221" spans="1:30" ht="12.75" customHeight="1" x14ac:dyDescent="0.2">
      <c r="A221" s="378"/>
      <c r="B221" s="378"/>
      <c r="C221" s="378"/>
      <c r="D221" s="380"/>
      <c r="E221" s="380"/>
      <c r="F221" s="378"/>
      <c r="G221" s="378"/>
      <c r="H221" s="378"/>
      <c r="I221" s="378"/>
      <c r="J221" s="378"/>
      <c r="K221" s="378"/>
      <c r="L221" s="378"/>
      <c r="M221" s="381"/>
      <c r="N221" s="381"/>
      <c r="O221" s="381"/>
      <c r="P221" s="381"/>
      <c r="Q221" s="381"/>
      <c r="R221" s="381"/>
      <c r="S221" s="381"/>
      <c r="T221" s="381"/>
      <c r="U221" s="381"/>
      <c r="V221" s="381"/>
      <c r="W221" s="381"/>
      <c r="X221" s="381"/>
      <c r="Y221" s="381"/>
      <c r="Z221" s="381"/>
      <c r="AA221" s="381"/>
      <c r="AB221" s="381"/>
      <c r="AC221" s="382"/>
      <c r="AD221" s="382"/>
    </row>
    <row r="222" spans="1:30" ht="12.75" customHeight="1" x14ac:dyDescent="0.2">
      <c r="A222" s="378"/>
      <c r="B222" s="378"/>
      <c r="C222" s="378"/>
      <c r="D222" s="380"/>
      <c r="E222" s="380"/>
      <c r="F222" s="378"/>
      <c r="G222" s="378"/>
      <c r="H222" s="378"/>
      <c r="I222" s="378"/>
      <c r="J222" s="378"/>
      <c r="K222" s="378"/>
      <c r="L222" s="378"/>
      <c r="M222" s="381"/>
      <c r="N222" s="381"/>
      <c r="O222" s="381"/>
      <c r="P222" s="381"/>
      <c r="Q222" s="381"/>
      <c r="R222" s="381"/>
      <c r="S222" s="381"/>
      <c r="T222" s="381"/>
      <c r="U222" s="381"/>
      <c r="V222" s="381"/>
      <c r="W222" s="381"/>
      <c r="X222" s="381"/>
      <c r="Y222" s="381"/>
      <c r="Z222" s="381"/>
      <c r="AA222" s="381"/>
      <c r="AB222" s="381"/>
      <c r="AC222" s="382"/>
      <c r="AD222" s="382"/>
    </row>
    <row r="223" spans="1:30" ht="12.75" customHeight="1" x14ac:dyDescent="0.2">
      <c r="A223" s="378"/>
      <c r="B223" s="378"/>
      <c r="C223" s="378"/>
      <c r="D223" s="380"/>
      <c r="E223" s="380"/>
      <c r="F223" s="378"/>
      <c r="G223" s="378"/>
      <c r="H223" s="378"/>
      <c r="I223" s="378"/>
      <c r="J223" s="378"/>
      <c r="K223" s="378"/>
      <c r="L223" s="378"/>
      <c r="M223" s="381"/>
      <c r="N223" s="381"/>
      <c r="O223" s="381"/>
      <c r="P223" s="381"/>
      <c r="Q223" s="381"/>
      <c r="R223" s="381"/>
      <c r="S223" s="381"/>
      <c r="T223" s="381"/>
      <c r="U223" s="381"/>
      <c r="V223" s="381"/>
      <c r="W223" s="381"/>
      <c r="X223" s="381"/>
      <c r="Y223" s="381"/>
      <c r="Z223" s="381"/>
      <c r="AA223" s="381"/>
      <c r="AB223" s="381"/>
      <c r="AC223" s="382"/>
      <c r="AD223" s="382"/>
    </row>
    <row r="224" spans="1:30" ht="12.75" customHeight="1" x14ac:dyDescent="0.2">
      <c r="A224" s="378"/>
      <c r="B224" s="378"/>
      <c r="C224" s="378"/>
      <c r="D224" s="380"/>
      <c r="E224" s="380"/>
      <c r="F224" s="378"/>
      <c r="G224" s="378"/>
      <c r="H224" s="378"/>
      <c r="I224" s="378"/>
      <c r="J224" s="378"/>
      <c r="K224" s="378"/>
      <c r="L224" s="378"/>
      <c r="M224" s="381"/>
      <c r="N224" s="381"/>
      <c r="O224" s="381"/>
      <c r="P224" s="381"/>
      <c r="Q224" s="381"/>
      <c r="R224" s="381"/>
      <c r="S224" s="381"/>
      <c r="T224" s="381"/>
      <c r="U224" s="381"/>
      <c r="V224" s="381"/>
      <c r="W224" s="381"/>
      <c r="X224" s="381"/>
      <c r="Y224" s="381"/>
      <c r="Z224" s="381"/>
      <c r="AA224" s="381"/>
      <c r="AB224" s="381"/>
      <c r="AC224" s="382"/>
      <c r="AD224" s="382"/>
    </row>
    <row r="225" spans="1:30" ht="12.75" customHeight="1" x14ac:dyDescent="0.2">
      <c r="A225" s="378"/>
      <c r="B225" s="378"/>
      <c r="C225" s="378"/>
      <c r="D225" s="380"/>
      <c r="E225" s="380"/>
      <c r="F225" s="378"/>
      <c r="G225" s="378"/>
      <c r="H225" s="378"/>
      <c r="I225" s="378"/>
      <c r="J225" s="378"/>
      <c r="K225" s="378"/>
      <c r="L225" s="378"/>
      <c r="M225" s="381"/>
      <c r="N225" s="381"/>
      <c r="O225" s="381"/>
      <c r="P225" s="381"/>
      <c r="Q225" s="381"/>
      <c r="R225" s="381"/>
      <c r="S225" s="381"/>
      <c r="T225" s="381"/>
      <c r="U225" s="381"/>
      <c r="V225" s="381"/>
      <c r="W225" s="381"/>
      <c r="X225" s="381"/>
      <c r="Y225" s="381"/>
      <c r="Z225" s="381"/>
      <c r="AA225" s="381"/>
      <c r="AB225" s="381"/>
      <c r="AC225" s="382"/>
      <c r="AD225" s="382"/>
    </row>
    <row r="226" spans="1:30" ht="12.75" customHeight="1" x14ac:dyDescent="0.2">
      <c r="A226" s="378"/>
      <c r="B226" s="378"/>
      <c r="C226" s="378"/>
      <c r="D226" s="380"/>
      <c r="E226" s="380"/>
      <c r="F226" s="378"/>
      <c r="G226" s="378"/>
      <c r="H226" s="378"/>
      <c r="I226" s="378"/>
      <c r="J226" s="378"/>
      <c r="K226" s="378"/>
      <c r="L226" s="378"/>
      <c r="M226" s="381"/>
      <c r="N226" s="381"/>
      <c r="O226" s="381"/>
      <c r="P226" s="381"/>
      <c r="Q226" s="381"/>
      <c r="R226" s="381"/>
      <c r="S226" s="381"/>
      <c r="T226" s="381"/>
      <c r="U226" s="381"/>
      <c r="V226" s="381"/>
      <c r="W226" s="381"/>
      <c r="X226" s="381"/>
      <c r="Y226" s="381"/>
      <c r="Z226" s="381"/>
      <c r="AA226" s="381"/>
      <c r="AB226" s="381"/>
      <c r="AC226" s="382"/>
      <c r="AD226" s="382"/>
    </row>
    <row r="227" spans="1:30" ht="12.75" customHeight="1" x14ac:dyDescent="0.2">
      <c r="A227" s="378"/>
      <c r="B227" s="378"/>
      <c r="C227" s="378"/>
      <c r="D227" s="380"/>
      <c r="E227" s="380"/>
      <c r="F227" s="378"/>
      <c r="G227" s="378"/>
      <c r="H227" s="378"/>
      <c r="I227" s="378"/>
      <c r="J227" s="378"/>
      <c r="K227" s="378"/>
      <c r="L227" s="378"/>
      <c r="M227" s="381"/>
      <c r="N227" s="381"/>
      <c r="O227" s="381"/>
      <c r="P227" s="381"/>
      <c r="Q227" s="381"/>
      <c r="R227" s="381"/>
      <c r="S227" s="381"/>
      <c r="T227" s="381"/>
      <c r="U227" s="381"/>
      <c r="V227" s="381"/>
      <c r="W227" s="381"/>
      <c r="X227" s="381"/>
      <c r="Y227" s="381"/>
      <c r="Z227" s="381"/>
      <c r="AA227" s="381"/>
      <c r="AB227" s="381"/>
      <c r="AC227" s="382"/>
      <c r="AD227" s="382"/>
    </row>
    <row r="228" spans="1:30" ht="12.75" customHeight="1" x14ac:dyDescent="0.2">
      <c r="A228" s="378"/>
      <c r="B228" s="378"/>
      <c r="C228" s="378"/>
      <c r="D228" s="380"/>
      <c r="E228" s="380"/>
      <c r="F228" s="378"/>
      <c r="G228" s="378"/>
      <c r="H228" s="378"/>
      <c r="I228" s="378"/>
      <c r="J228" s="378"/>
      <c r="K228" s="378"/>
      <c r="L228" s="378"/>
      <c r="M228" s="381"/>
      <c r="N228" s="381"/>
      <c r="O228" s="381"/>
      <c r="P228" s="381"/>
      <c r="Q228" s="381"/>
      <c r="R228" s="381"/>
      <c r="S228" s="381"/>
      <c r="T228" s="381"/>
      <c r="U228" s="381"/>
      <c r="V228" s="381"/>
      <c r="W228" s="381"/>
      <c r="X228" s="381"/>
      <c r="Y228" s="381"/>
      <c r="Z228" s="381"/>
      <c r="AA228" s="381"/>
      <c r="AB228" s="381"/>
      <c r="AC228" s="382"/>
      <c r="AD228" s="382"/>
    </row>
    <row r="229" spans="1:30" ht="12.75" customHeight="1" x14ac:dyDescent="0.2">
      <c r="A229" s="378"/>
      <c r="B229" s="378"/>
      <c r="C229" s="378"/>
      <c r="D229" s="380"/>
      <c r="E229" s="380"/>
      <c r="F229" s="378"/>
      <c r="G229" s="378"/>
      <c r="H229" s="378"/>
      <c r="I229" s="378"/>
      <c r="J229" s="378"/>
      <c r="K229" s="378"/>
      <c r="L229" s="378"/>
      <c r="M229" s="381"/>
      <c r="N229" s="381"/>
      <c r="O229" s="381"/>
      <c r="P229" s="381"/>
      <c r="Q229" s="381"/>
      <c r="R229" s="381"/>
      <c r="S229" s="381"/>
      <c r="T229" s="381"/>
      <c r="U229" s="381"/>
      <c r="V229" s="381"/>
      <c r="W229" s="381"/>
      <c r="X229" s="381"/>
      <c r="Y229" s="381"/>
      <c r="Z229" s="381"/>
      <c r="AA229" s="381"/>
      <c r="AB229" s="381"/>
      <c r="AC229" s="382"/>
      <c r="AD229" s="382"/>
    </row>
    <row r="230" spans="1:30" ht="12.75" customHeight="1" x14ac:dyDescent="0.2">
      <c r="A230" s="378"/>
      <c r="B230" s="378"/>
      <c r="C230" s="378"/>
      <c r="D230" s="380"/>
      <c r="E230" s="380"/>
      <c r="F230" s="378"/>
      <c r="G230" s="378"/>
      <c r="H230" s="378"/>
      <c r="I230" s="378"/>
      <c r="J230" s="378"/>
      <c r="K230" s="378"/>
      <c r="L230" s="378"/>
      <c r="M230" s="381"/>
      <c r="N230" s="381"/>
      <c r="O230" s="381"/>
      <c r="P230" s="381"/>
      <c r="Q230" s="381"/>
      <c r="R230" s="381"/>
      <c r="S230" s="381"/>
      <c r="T230" s="381"/>
      <c r="U230" s="381"/>
      <c r="V230" s="381"/>
      <c r="W230" s="381"/>
      <c r="X230" s="381"/>
      <c r="Y230" s="381"/>
      <c r="Z230" s="381"/>
      <c r="AA230" s="381"/>
      <c r="AB230" s="381"/>
      <c r="AC230" s="382"/>
      <c r="AD230" s="382"/>
    </row>
    <row r="231" spans="1:30" ht="12.75" customHeight="1" x14ac:dyDescent="0.2">
      <c r="A231" s="378"/>
      <c r="B231" s="378"/>
      <c r="C231" s="378"/>
      <c r="D231" s="380"/>
      <c r="E231" s="380"/>
      <c r="F231" s="378"/>
      <c r="G231" s="378"/>
      <c r="H231" s="378"/>
      <c r="I231" s="378"/>
      <c r="J231" s="378"/>
      <c r="K231" s="378"/>
      <c r="L231" s="378"/>
      <c r="M231" s="381"/>
      <c r="N231" s="381"/>
      <c r="O231" s="381"/>
      <c r="P231" s="381"/>
      <c r="Q231" s="381"/>
      <c r="R231" s="381"/>
      <c r="S231" s="381"/>
      <c r="T231" s="381"/>
      <c r="U231" s="381"/>
      <c r="V231" s="381"/>
      <c r="W231" s="381"/>
      <c r="X231" s="381"/>
      <c r="Y231" s="381"/>
      <c r="Z231" s="381"/>
      <c r="AA231" s="381"/>
      <c r="AB231" s="381"/>
      <c r="AC231" s="382"/>
      <c r="AD231" s="382"/>
    </row>
    <row r="232" spans="1:30" ht="12.75" customHeight="1" x14ac:dyDescent="0.2">
      <c r="A232" s="378"/>
      <c r="B232" s="378"/>
      <c r="C232" s="378"/>
      <c r="D232" s="380"/>
      <c r="E232" s="380"/>
      <c r="F232" s="378"/>
      <c r="G232" s="378"/>
      <c r="H232" s="378"/>
      <c r="I232" s="378"/>
      <c r="J232" s="378"/>
      <c r="K232" s="378"/>
      <c r="L232" s="378"/>
      <c r="M232" s="381"/>
      <c r="N232" s="381"/>
      <c r="O232" s="381"/>
      <c r="P232" s="381"/>
      <c r="Q232" s="381"/>
      <c r="R232" s="381"/>
      <c r="S232" s="381"/>
      <c r="T232" s="381"/>
      <c r="U232" s="381"/>
      <c r="V232" s="381"/>
      <c r="W232" s="381"/>
      <c r="X232" s="381"/>
      <c r="Y232" s="381"/>
      <c r="Z232" s="381"/>
      <c r="AA232" s="381"/>
      <c r="AB232" s="381"/>
      <c r="AC232" s="382"/>
      <c r="AD232" s="382"/>
    </row>
    <row r="233" spans="1:30" ht="12.75" customHeight="1" x14ac:dyDescent="0.2">
      <c r="A233" s="378"/>
      <c r="B233" s="378"/>
      <c r="C233" s="378"/>
      <c r="D233" s="380"/>
      <c r="E233" s="380"/>
      <c r="F233" s="378"/>
      <c r="G233" s="378"/>
      <c r="H233" s="378"/>
      <c r="I233" s="378"/>
      <c r="J233" s="378"/>
      <c r="K233" s="378"/>
      <c r="L233" s="378"/>
      <c r="M233" s="381"/>
      <c r="N233" s="381"/>
      <c r="O233" s="381"/>
      <c r="P233" s="381"/>
      <c r="Q233" s="381"/>
      <c r="R233" s="381"/>
      <c r="S233" s="381"/>
      <c r="T233" s="381"/>
      <c r="U233" s="381"/>
      <c r="V233" s="381"/>
      <c r="W233" s="381"/>
      <c r="X233" s="381"/>
      <c r="Y233" s="381"/>
      <c r="Z233" s="381"/>
      <c r="AA233" s="381"/>
      <c r="AB233" s="381"/>
      <c r="AC233" s="382"/>
      <c r="AD233" s="382"/>
    </row>
    <row r="234" spans="1:30" ht="12.75" customHeight="1" x14ac:dyDescent="0.2">
      <c r="A234" s="378"/>
      <c r="B234" s="378"/>
      <c r="C234" s="378"/>
      <c r="D234" s="380"/>
      <c r="E234" s="380"/>
      <c r="F234" s="378"/>
      <c r="G234" s="378"/>
      <c r="H234" s="378"/>
      <c r="I234" s="378"/>
      <c r="J234" s="378"/>
      <c r="K234" s="378"/>
      <c r="L234" s="378"/>
      <c r="M234" s="381"/>
      <c r="N234" s="381"/>
      <c r="O234" s="381"/>
      <c r="P234" s="381"/>
      <c r="Q234" s="381"/>
      <c r="R234" s="381"/>
      <c r="S234" s="381"/>
      <c r="T234" s="381"/>
      <c r="U234" s="381"/>
      <c r="V234" s="381"/>
      <c r="W234" s="381"/>
      <c r="X234" s="381"/>
      <c r="Y234" s="381"/>
      <c r="Z234" s="381"/>
      <c r="AA234" s="381"/>
      <c r="AB234" s="381"/>
      <c r="AC234" s="382"/>
      <c r="AD234" s="382"/>
    </row>
    <row r="235" spans="1:30" ht="12.75" customHeight="1" x14ac:dyDescent="0.2">
      <c r="A235" s="378"/>
      <c r="B235" s="378"/>
      <c r="C235" s="378"/>
      <c r="D235" s="380"/>
      <c r="E235" s="380"/>
      <c r="F235" s="378"/>
      <c r="G235" s="378"/>
      <c r="H235" s="378"/>
      <c r="I235" s="378"/>
      <c r="J235" s="378"/>
      <c r="K235" s="378"/>
      <c r="L235" s="378"/>
      <c r="M235" s="381"/>
      <c r="N235" s="381"/>
      <c r="O235" s="381"/>
      <c r="P235" s="381"/>
      <c r="Q235" s="381"/>
      <c r="R235" s="381"/>
      <c r="S235" s="381"/>
      <c r="T235" s="381"/>
      <c r="U235" s="381"/>
      <c r="V235" s="381"/>
      <c r="W235" s="381"/>
      <c r="X235" s="381"/>
      <c r="Y235" s="381"/>
      <c r="Z235" s="381"/>
      <c r="AA235" s="381"/>
      <c r="AB235" s="381"/>
      <c r="AC235" s="382"/>
      <c r="AD235" s="382"/>
    </row>
    <row r="236" spans="1:30" ht="12.75" customHeight="1" x14ac:dyDescent="0.2">
      <c r="A236" s="378"/>
      <c r="B236" s="378"/>
      <c r="C236" s="378"/>
      <c r="D236" s="380"/>
      <c r="E236" s="380"/>
      <c r="F236" s="378"/>
      <c r="G236" s="378"/>
      <c r="H236" s="378"/>
      <c r="I236" s="378"/>
      <c r="J236" s="378"/>
      <c r="K236" s="378"/>
      <c r="L236" s="378"/>
      <c r="M236" s="381"/>
      <c r="N236" s="381"/>
      <c r="O236" s="381"/>
      <c r="P236" s="381"/>
      <c r="Q236" s="381"/>
      <c r="R236" s="381"/>
      <c r="S236" s="381"/>
      <c r="T236" s="381"/>
      <c r="U236" s="381"/>
      <c r="V236" s="381"/>
      <c r="W236" s="381"/>
      <c r="X236" s="381"/>
      <c r="Y236" s="381"/>
      <c r="Z236" s="381"/>
      <c r="AA236" s="381"/>
      <c r="AB236" s="381"/>
      <c r="AC236" s="382"/>
      <c r="AD236" s="382"/>
    </row>
    <row r="237" spans="1:30" ht="12.75" customHeight="1" x14ac:dyDescent="0.2">
      <c r="A237" s="378"/>
      <c r="B237" s="378"/>
      <c r="C237" s="378"/>
      <c r="D237" s="380"/>
      <c r="E237" s="380"/>
      <c r="F237" s="378"/>
      <c r="G237" s="378"/>
      <c r="H237" s="378"/>
      <c r="I237" s="378"/>
      <c r="J237" s="378"/>
      <c r="K237" s="378"/>
      <c r="L237" s="378"/>
      <c r="M237" s="381"/>
      <c r="N237" s="381"/>
      <c r="O237" s="381"/>
      <c r="P237" s="381"/>
      <c r="Q237" s="381"/>
      <c r="R237" s="381"/>
      <c r="S237" s="381"/>
      <c r="T237" s="381"/>
      <c r="U237" s="381"/>
      <c r="V237" s="381"/>
      <c r="W237" s="381"/>
      <c r="X237" s="381"/>
      <c r="Y237" s="381"/>
      <c r="Z237" s="381"/>
      <c r="AA237" s="381"/>
      <c r="AB237" s="381"/>
      <c r="AC237" s="382"/>
      <c r="AD237" s="382"/>
    </row>
    <row r="238" spans="1:30" ht="12.75" customHeight="1" x14ac:dyDescent="0.2">
      <c r="A238" s="378"/>
      <c r="B238" s="378"/>
      <c r="C238" s="378"/>
      <c r="D238" s="380"/>
      <c r="E238" s="380"/>
      <c r="F238" s="378"/>
      <c r="G238" s="378"/>
      <c r="H238" s="378"/>
      <c r="I238" s="378"/>
      <c r="J238" s="378"/>
      <c r="K238" s="378"/>
      <c r="L238" s="378"/>
      <c r="M238" s="381"/>
      <c r="N238" s="381"/>
      <c r="O238" s="381"/>
      <c r="P238" s="381"/>
      <c r="Q238" s="381"/>
      <c r="R238" s="381"/>
      <c r="S238" s="381"/>
      <c r="T238" s="381"/>
      <c r="U238" s="381"/>
      <c r="V238" s="381"/>
      <c r="W238" s="381"/>
      <c r="X238" s="381"/>
      <c r="Y238" s="381"/>
      <c r="Z238" s="381"/>
      <c r="AA238" s="381"/>
      <c r="AB238" s="381"/>
      <c r="AC238" s="382"/>
      <c r="AD238" s="382"/>
    </row>
    <row r="239" spans="1:30" ht="12.75" customHeight="1" x14ac:dyDescent="0.2">
      <c r="A239" s="378"/>
      <c r="B239" s="378"/>
      <c r="C239" s="378"/>
      <c r="D239" s="380"/>
      <c r="E239" s="380"/>
      <c r="F239" s="378"/>
      <c r="G239" s="378"/>
      <c r="H239" s="378"/>
      <c r="I239" s="378"/>
      <c r="J239" s="378"/>
      <c r="K239" s="378"/>
      <c r="L239" s="378"/>
      <c r="M239" s="381"/>
      <c r="N239" s="381"/>
      <c r="O239" s="381"/>
      <c r="P239" s="381"/>
      <c r="Q239" s="381"/>
      <c r="R239" s="381"/>
      <c r="S239" s="381"/>
      <c r="T239" s="381"/>
      <c r="U239" s="381"/>
      <c r="V239" s="381"/>
      <c r="W239" s="381"/>
      <c r="X239" s="381"/>
      <c r="Y239" s="381"/>
      <c r="Z239" s="381"/>
      <c r="AA239" s="381"/>
      <c r="AB239" s="381"/>
      <c r="AC239" s="382"/>
      <c r="AD239" s="382"/>
    </row>
    <row r="240" spans="1:30" ht="12.75" customHeight="1" x14ac:dyDescent="0.2">
      <c r="A240" s="378"/>
      <c r="B240" s="378"/>
      <c r="C240" s="378"/>
      <c r="D240" s="380"/>
      <c r="E240" s="380"/>
      <c r="F240" s="378"/>
      <c r="G240" s="378"/>
      <c r="H240" s="378"/>
      <c r="I240" s="378"/>
      <c r="J240" s="378"/>
      <c r="K240" s="378"/>
      <c r="L240" s="378"/>
      <c r="M240" s="381"/>
      <c r="N240" s="381"/>
      <c r="O240" s="381"/>
      <c r="P240" s="381"/>
      <c r="Q240" s="381"/>
      <c r="R240" s="381"/>
      <c r="S240" s="381"/>
      <c r="T240" s="381"/>
      <c r="U240" s="381"/>
      <c r="V240" s="381"/>
      <c r="W240" s="381"/>
      <c r="X240" s="381"/>
      <c r="Y240" s="381"/>
      <c r="Z240" s="381"/>
      <c r="AA240" s="381"/>
      <c r="AB240" s="381"/>
      <c r="AC240" s="382"/>
      <c r="AD240" s="382"/>
    </row>
    <row r="241" spans="1:30" ht="12.75" customHeight="1" x14ac:dyDescent="0.2">
      <c r="A241" s="378"/>
      <c r="B241" s="378"/>
      <c r="C241" s="378"/>
      <c r="D241" s="380"/>
      <c r="E241" s="380"/>
      <c r="F241" s="378"/>
      <c r="G241" s="378"/>
      <c r="H241" s="378"/>
      <c r="I241" s="378"/>
      <c r="J241" s="378"/>
      <c r="K241" s="378"/>
      <c r="L241" s="378"/>
      <c r="M241" s="381"/>
      <c r="N241" s="381"/>
      <c r="O241" s="381"/>
      <c r="P241" s="381"/>
      <c r="Q241" s="381"/>
      <c r="R241" s="381"/>
      <c r="S241" s="381"/>
      <c r="T241" s="381"/>
      <c r="U241" s="381"/>
      <c r="V241" s="381"/>
      <c r="W241" s="381"/>
      <c r="X241" s="381"/>
      <c r="Y241" s="381"/>
      <c r="Z241" s="381"/>
      <c r="AA241" s="381"/>
      <c r="AB241" s="381"/>
      <c r="AC241" s="382"/>
      <c r="AD241" s="382"/>
    </row>
    <row r="242" spans="1:30" ht="12.75" customHeight="1" x14ac:dyDescent="0.2">
      <c r="A242" s="378"/>
      <c r="B242" s="378"/>
      <c r="C242" s="378"/>
      <c r="D242" s="380"/>
      <c r="E242" s="380"/>
      <c r="F242" s="378"/>
      <c r="G242" s="378"/>
      <c r="H242" s="378"/>
      <c r="I242" s="378"/>
      <c r="J242" s="378"/>
      <c r="K242" s="378"/>
      <c r="L242" s="378"/>
      <c r="M242" s="381"/>
      <c r="N242" s="381"/>
      <c r="O242" s="381"/>
      <c r="P242" s="381"/>
      <c r="Q242" s="381"/>
      <c r="R242" s="381"/>
      <c r="S242" s="381"/>
      <c r="T242" s="381"/>
      <c r="U242" s="381"/>
      <c r="V242" s="381"/>
      <c r="W242" s="381"/>
      <c r="X242" s="381"/>
      <c r="Y242" s="381"/>
      <c r="Z242" s="381"/>
      <c r="AA242" s="381"/>
      <c r="AB242" s="381"/>
      <c r="AC242" s="382"/>
      <c r="AD242" s="382"/>
    </row>
    <row r="243" spans="1:30" ht="12.75" customHeight="1" x14ac:dyDescent="0.2">
      <c r="A243" s="378"/>
      <c r="B243" s="378"/>
      <c r="C243" s="378"/>
      <c r="D243" s="380"/>
      <c r="E243" s="380"/>
      <c r="F243" s="378"/>
      <c r="G243" s="378"/>
      <c r="H243" s="378"/>
      <c r="I243" s="378"/>
      <c r="J243" s="378"/>
      <c r="K243" s="378"/>
      <c r="L243" s="378"/>
      <c r="M243" s="381"/>
      <c r="N243" s="381"/>
      <c r="O243" s="381"/>
      <c r="P243" s="381"/>
      <c r="Q243" s="381"/>
      <c r="R243" s="381"/>
      <c r="S243" s="381"/>
      <c r="T243" s="381"/>
      <c r="U243" s="381"/>
      <c r="V243" s="381"/>
      <c r="W243" s="381"/>
      <c r="X243" s="381"/>
      <c r="Y243" s="381"/>
      <c r="Z243" s="381"/>
      <c r="AA243" s="381"/>
      <c r="AB243" s="381"/>
      <c r="AC243" s="382"/>
      <c r="AD243" s="382"/>
    </row>
    <row r="244" spans="1:30" ht="12.75" customHeight="1" x14ac:dyDescent="0.2">
      <c r="A244" s="378"/>
      <c r="B244" s="378"/>
      <c r="C244" s="378"/>
      <c r="D244" s="380"/>
      <c r="E244" s="380"/>
      <c r="F244" s="378"/>
      <c r="G244" s="378"/>
      <c r="H244" s="378"/>
      <c r="I244" s="378"/>
      <c r="J244" s="378"/>
      <c r="K244" s="378"/>
      <c r="L244" s="378"/>
      <c r="M244" s="381"/>
      <c r="N244" s="381"/>
      <c r="O244" s="381"/>
      <c r="P244" s="381"/>
      <c r="Q244" s="381"/>
      <c r="R244" s="381"/>
      <c r="S244" s="381"/>
      <c r="T244" s="381"/>
      <c r="U244" s="381"/>
      <c r="V244" s="381"/>
      <c r="W244" s="381"/>
      <c r="X244" s="381"/>
      <c r="Y244" s="381"/>
      <c r="Z244" s="381"/>
      <c r="AA244" s="381"/>
      <c r="AB244" s="381"/>
      <c r="AC244" s="382"/>
      <c r="AD244" s="382"/>
    </row>
    <row r="245" spans="1:30" ht="12.75" customHeight="1" x14ac:dyDescent="0.2">
      <c r="A245" s="378"/>
      <c r="B245" s="378"/>
      <c r="C245" s="378"/>
      <c r="D245" s="380"/>
      <c r="E245" s="380"/>
      <c r="F245" s="378"/>
      <c r="G245" s="378"/>
      <c r="H245" s="378"/>
      <c r="I245" s="378"/>
      <c r="J245" s="378"/>
      <c r="K245" s="378"/>
      <c r="L245" s="378"/>
      <c r="M245" s="381"/>
      <c r="N245" s="381"/>
      <c r="O245" s="381"/>
      <c r="P245" s="381"/>
      <c r="Q245" s="381"/>
      <c r="R245" s="381"/>
      <c r="S245" s="381"/>
      <c r="T245" s="381"/>
      <c r="U245" s="381"/>
      <c r="V245" s="381"/>
      <c r="W245" s="381"/>
      <c r="X245" s="381"/>
      <c r="Y245" s="381"/>
      <c r="Z245" s="381"/>
      <c r="AA245" s="381"/>
      <c r="AB245" s="381"/>
      <c r="AC245" s="382"/>
      <c r="AD245" s="382"/>
    </row>
    <row r="246" spans="1:30" ht="12.75" customHeight="1" x14ac:dyDescent="0.2">
      <c r="A246" s="378"/>
      <c r="B246" s="378"/>
      <c r="C246" s="378"/>
      <c r="D246" s="380"/>
      <c r="E246" s="380"/>
      <c r="F246" s="378"/>
      <c r="G246" s="378"/>
      <c r="H246" s="378"/>
      <c r="I246" s="378"/>
      <c r="J246" s="378"/>
      <c r="K246" s="378"/>
      <c r="L246" s="378"/>
      <c r="M246" s="381"/>
      <c r="N246" s="381"/>
      <c r="O246" s="381"/>
      <c r="P246" s="381"/>
      <c r="Q246" s="381"/>
      <c r="R246" s="381"/>
      <c r="S246" s="381"/>
      <c r="T246" s="381"/>
      <c r="U246" s="381"/>
      <c r="V246" s="381"/>
      <c r="W246" s="381"/>
      <c r="X246" s="381"/>
      <c r="Y246" s="381"/>
      <c r="Z246" s="381"/>
      <c r="AA246" s="381"/>
      <c r="AB246" s="381"/>
      <c r="AC246" s="382"/>
      <c r="AD246" s="382"/>
    </row>
    <row r="247" spans="1:30" ht="12.75" customHeight="1" x14ac:dyDescent="0.2">
      <c r="A247" s="378"/>
      <c r="B247" s="378"/>
      <c r="C247" s="378"/>
      <c r="D247" s="380"/>
      <c r="E247" s="380"/>
      <c r="F247" s="378"/>
      <c r="G247" s="378"/>
      <c r="H247" s="378"/>
      <c r="I247" s="378"/>
      <c r="J247" s="378"/>
      <c r="K247" s="378"/>
      <c r="L247" s="378"/>
      <c r="M247" s="381"/>
      <c r="N247" s="381"/>
      <c r="O247" s="381"/>
      <c r="P247" s="381"/>
      <c r="Q247" s="381"/>
      <c r="R247" s="381"/>
      <c r="S247" s="381"/>
      <c r="T247" s="381"/>
      <c r="U247" s="381"/>
      <c r="V247" s="381"/>
      <c r="W247" s="381"/>
      <c r="X247" s="381"/>
      <c r="Y247" s="381"/>
      <c r="Z247" s="381"/>
      <c r="AA247" s="381"/>
      <c r="AB247" s="381"/>
      <c r="AC247" s="382"/>
      <c r="AD247" s="382"/>
    </row>
    <row r="248" spans="1:30" ht="12.75" customHeight="1" x14ac:dyDescent="0.2">
      <c r="A248" s="378"/>
      <c r="B248" s="378"/>
      <c r="C248" s="378"/>
      <c r="D248" s="380"/>
      <c r="E248" s="380"/>
      <c r="F248" s="378"/>
      <c r="G248" s="378"/>
      <c r="H248" s="378"/>
      <c r="I248" s="378"/>
      <c r="J248" s="378"/>
      <c r="K248" s="378"/>
      <c r="L248" s="378"/>
      <c r="M248" s="381"/>
      <c r="N248" s="381"/>
      <c r="O248" s="381"/>
      <c r="P248" s="381"/>
      <c r="Q248" s="381"/>
      <c r="R248" s="381"/>
      <c r="S248" s="381"/>
      <c r="T248" s="381"/>
      <c r="U248" s="381"/>
      <c r="V248" s="381"/>
      <c r="W248" s="381"/>
      <c r="X248" s="381"/>
      <c r="Y248" s="381"/>
      <c r="Z248" s="381"/>
      <c r="AA248" s="381"/>
      <c r="AB248" s="381"/>
      <c r="AC248" s="382"/>
      <c r="AD248" s="382"/>
    </row>
    <row r="249" spans="1:30" ht="12.75" customHeight="1" x14ac:dyDescent="0.2">
      <c r="A249" s="378"/>
      <c r="B249" s="378"/>
      <c r="C249" s="378"/>
      <c r="D249" s="380"/>
      <c r="E249" s="380"/>
      <c r="F249" s="378"/>
      <c r="G249" s="378"/>
      <c r="H249" s="378"/>
      <c r="I249" s="378"/>
      <c r="J249" s="378"/>
      <c r="K249" s="378"/>
      <c r="L249" s="378"/>
      <c r="M249" s="381"/>
      <c r="N249" s="381"/>
      <c r="O249" s="381"/>
      <c r="P249" s="381"/>
      <c r="Q249" s="381"/>
      <c r="R249" s="381"/>
      <c r="S249" s="381"/>
      <c r="T249" s="381"/>
      <c r="U249" s="381"/>
      <c r="V249" s="381"/>
      <c r="W249" s="381"/>
      <c r="X249" s="381"/>
      <c r="Y249" s="381"/>
      <c r="Z249" s="381"/>
      <c r="AA249" s="381"/>
      <c r="AB249" s="381"/>
      <c r="AC249" s="382"/>
      <c r="AD249" s="382"/>
    </row>
    <row r="250" spans="1:30" ht="12.75" customHeight="1" x14ac:dyDescent="0.2">
      <c r="A250" s="378"/>
      <c r="B250" s="378"/>
      <c r="C250" s="378"/>
      <c r="D250" s="380"/>
      <c r="E250" s="380"/>
      <c r="F250" s="378"/>
      <c r="G250" s="378"/>
      <c r="H250" s="378"/>
      <c r="I250" s="378"/>
      <c r="J250" s="378"/>
      <c r="K250" s="378"/>
      <c r="L250" s="378"/>
      <c r="M250" s="381"/>
      <c r="N250" s="381"/>
      <c r="O250" s="381"/>
      <c r="P250" s="381"/>
      <c r="Q250" s="381"/>
      <c r="R250" s="381"/>
      <c r="S250" s="381"/>
      <c r="T250" s="381"/>
      <c r="U250" s="381"/>
      <c r="V250" s="381"/>
      <c r="W250" s="381"/>
      <c r="X250" s="381"/>
      <c r="Y250" s="381"/>
      <c r="Z250" s="381"/>
      <c r="AA250" s="381"/>
      <c r="AB250" s="381"/>
      <c r="AC250" s="382"/>
      <c r="AD250" s="382"/>
    </row>
    <row r="251" spans="1:30" ht="12.75" customHeight="1" x14ac:dyDescent="0.2">
      <c r="A251" s="378"/>
      <c r="B251" s="378"/>
      <c r="C251" s="378"/>
      <c r="D251" s="380"/>
      <c r="E251" s="380"/>
      <c r="F251" s="378"/>
      <c r="G251" s="378"/>
      <c r="H251" s="378"/>
      <c r="I251" s="378"/>
      <c r="J251" s="378"/>
      <c r="K251" s="378"/>
      <c r="L251" s="378"/>
      <c r="M251" s="381"/>
      <c r="N251" s="381"/>
      <c r="O251" s="381"/>
      <c r="P251" s="381"/>
      <c r="Q251" s="381"/>
      <c r="R251" s="381"/>
      <c r="S251" s="381"/>
      <c r="T251" s="381"/>
      <c r="U251" s="381"/>
      <c r="V251" s="381"/>
      <c r="W251" s="381"/>
      <c r="X251" s="381"/>
      <c r="Y251" s="381"/>
      <c r="Z251" s="381"/>
      <c r="AA251" s="381"/>
      <c r="AB251" s="381"/>
      <c r="AC251" s="382"/>
      <c r="AD251" s="382"/>
    </row>
    <row r="252" spans="1:30" ht="12.75" customHeight="1" x14ac:dyDescent="0.2">
      <c r="A252" s="378"/>
      <c r="B252" s="378"/>
      <c r="C252" s="378"/>
      <c r="D252" s="380"/>
      <c r="E252" s="380"/>
      <c r="F252" s="378"/>
      <c r="G252" s="378"/>
      <c r="H252" s="378"/>
      <c r="I252" s="378"/>
      <c r="J252" s="378"/>
      <c r="K252" s="378"/>
      <c r="L252" s="378"/>
      <c r="M252" s="381"/>
      <c r="N252" s="381"/>
      <c r="O252" s="381"/>
      <c r="P252" s="381"/>
      <c r="Q252" s="381"/>
      <c r="R252" s="381"/>
      <c r="S252" s="381"/>
      <c r="T252" s="381"/>
      <c r="U252" s="381"/>
      <c r="V252" s="381"/>
      <c r="W252" s="381"/>
      <c r="X252" s="381"/>
      <c r="Y252" s="381"/>
      <c r="Z252" s="381"/>
      <c r="AA252" s="381"/>
      <c r="AB252" s="381"/>
      <c r="AC252" s="382"/>
      <c r="AD252" s="382"/>
    </row>
    <row r="253" spans="1:30" ht="12.75" customHeight="1" x14ac:dyDescent="0.2">
      <c r="A253" s="378"/>
      <c r="B253" s="378"/>
      <c r="C253" s="378"/>
      <c r="D253" s="380"/>
      <c r="E253" s="380"/>
      <c r="F253" s="378"/>
      <c r="G253" s="378"/>
      <c r="H253" s="378"/>
      <c r="I253" s="378"/>
      <c r="J253" s="378"/>
      <c r="K253" s="378"/>
      <c r="L253" s="378"/>
      <c r="M253" s="381"/>
      <c r="N253" s="381"/>
      <c r="O253" s="381"/>
      <c r="P253" s="381"/>
      <c r="Q253" s="381"/>
      <c r="R253" s="381"/>
      <c r="S253" s="381"/>
      <c r="T253" s="381"/>
      <c r="U253" s="381"/>
      <c r="V253" s="381"/>
      <c r="W253" s="381"/>
      <c r="X253" s="381"/>
      <c r="Y253" s="381"/>
      <c r="Z253" s="381"/>
      <c r="AA253" s="381"/>
      <c r="AB253" s="381"/>
      <c r="AC253" s="382"/>
      <c r="AD253" s="382"/>
    </row>
    <row r="254" spans="1:30" ht="12.75" customHeight="1" x14ac:dyDescent="0.2">
      <c r="A254" s="378"/>
      <c r="B254" s="378"/>
      <c r="C254" s="378"/>
      <c r="D254" s="380"/>
      <c r="E254" s="380"/>
      <c r="F254" s="378"/>
      <c r="G254" s="378"/>
      <c r="H254" s="378"/>
      <c r="I254" s="378"/>
      <c r="J254" s="378"/>
      <c r="K254" s="378"/>
      <c r="L254" s="378"/>
      <c r="M254" s="381"/>
      <c r="N254" s="381"/>
      <c r="O254" s="381"/>
      <c r="P254" s="381"/>
      <c r="Q254" s="381"/>
      <c r="R254" s="381"/>
      <c r="S254" s="381"/>
      <c r="T254" s="381"/>
      <c r="U254" s="381"/>
      <c r="V254" s="381"/>
      <c r="W254" s="381"/>
      <c r="X254" s="381"/>
      <c r="Y254" s="381"/>
      <c r="Z254" s="381"/>
      <c r="AA254" s="381"/>
      <c r="AB254" s="381"/>
      <c r="AC254" s="382"/>
      <c r="AD254" s="382"/>
    </row>
    <row r="255" spans="1:30" ht="12.75" customHeight="1" x14ac:dyDescent="0.2">
      <c r="A255" s="378"/>
      <c r="B255" s="378"/>
      <c r="C255" s="378"/>
      <c r="D255" s="380"/>
      <c r="E255" s="380"/>
      <c r="F255" s="378"/>
      <c r="G255" s="378"/>
      <c r="H255" s="378"/>
      <c r="I255" s="378"/>
      <c r="J255" s="378"/>
      <c r="K255" s="378"/>
      <c r="L255" s="378"/>
      <c r="M255" s="381"/>
      <c r="N255" s="381"/>
      <c r="O255" s="381"/>
      <c r="P255" s="381"/>
      <c r="Q255" s="381"/>
      <c r="R255" s="381"/>
      <c r="S255" s="381"/>
      <c r="T255" s="381"/>
      <c r="U255" s="381"/>
      <c r="V255" s="381"/>
      <c r="W255" s="381"/>
      <c r="X255" s="381"/>
      <c r="Y255" s="381"/>
      <c r="Z255" s="381"/>
      <c r="AA255" s="381"/>
      <c r="AB255" s="381"/>
      <c r="AC255" s="382"/>
      <c r="AD255" s="382"/>
    </row>
    <row r="256" spans="1:30" ht="12.75" customHeight="1" x14ac:dyDescent="0.2">
      <c r="A256" s="378"/>
      <c r="B256" s="378"/>
      <c r="C256" s="378"/>
      <c r="D256" s="380"/>
      <c r="E256" s="380"/>
      <c r="F256" s="378"/>
      <c r="G256" s="378"/>
      <c r="H256" s="378"/>
      <c r="I256" s="378"/>
      <c r="J256" s="378"/>
      <c r="K256" s="378"/>
      <c r="L256" s="378"/>
      <c r="M256" s="381"/>
      <c r="N256" s="381"/>
      <c r="O256" s="381"/>
      <c r="P256" s="381"/>
      <c r="Q256" s="381"/>
      <c r="R256" s="381"/>
      <c r="S256" s="381"/>
      <c r="T256" s="381"/>
      <c r="U256" s="381"/>
      <c r="V256" s="381"/>
      <c r="W256" s="381"/>
      <c r="X256" s="381"/>
      <c r="Y256" s="381"/>
      <c r="Z256" s="381"/>
      <c r="AA256" s="381"/>
      <c r="AB256" s="381"/>
      <c r="AC256" s="382"/>
      <c r="AD256" s="382"/>
    </row>
    <row r="257" spans="1:30" ht="12.75" customHeight="1" x14ac:dyDescent="0.2">
      <c r="A257" s="378"/>
      <c r="B257" s="378"/>
      <c r="C257" s="378"/>
      <c r="D257" s="380"/>
      <c r="E257" s="380"/>
      <c r="F257" s="378"/>
      <c r="G257" s="378"/>
      <c r="H257" s="378"/>
      <c r="I257" s="378"/>
      <c r="J257" s="378"/>
      <c r="K257" s="378"/>
      <c r="L257" s="378"/>
      <c r="M257" s="381"/>
      <c r="N257" s="381"/>
      <c r="O257" s="381"/>
      <c r="P257" s="381"/>
      <c r="Q257" s="381"/>
      <c r="R257" s="381"/>
      <c r="S257" s="381"/>
      <c r="T257" s="381"/>
      <c r="U257" s="381"/>
      <c r="V257" s="381"/>
      <c r="W257" s="381"/>
      <c r="X257" s="381"/>
      <c r="Y257" s="381"/>
      <c r="Z257" s="381"/>
      <c r="AA257" s="381"/>
      <c r="AB257" s="381"/>
      <c r="AC257" s="382"/>
      <c r="AD257" s="382"/>
    </row>
    <row r="258" spans="1:30" ht="12.75" customHeight="1" x14ac:dyDescent="0.2">
      <c r="A258" s="378"/>
      <c r="B258" s="378"/>
      <c r="C258" s="378"/>
      <c r="D258" s="380"/>
      <c r="E258" s="380"/>
      <c r="F258" s="378"/>
      <c r="G258" s="378"/>
      <c r="H258" s="378"/>
      <c r="I258" s="378"/>
      <c r="J258" s="378"/>
      <c r="K258" s="378"/>
      <c r="L258" s="378"/>
      <c r="M258" s="381"/>
      <c r="N258" s="381"/>
      <c r="O258" s="381"/>
      <c r="P258" s="381"/>
      <c r="Q258" s="381"/>
      <c r="R258" s="381"/>
      <c r="S258" s="381"/>
      <c r="T258" s="381"/>
      <c r="U258" s="381"/>
      <c r="V258" s="381"/>
      <c r="W258" s="381"/>
      <c r="X258" s="381"/>
      <c r="Y258" s="381"/>
      <c r="Z258" s="381"/>
      <c r="AA258" s="381"/>
      <c r="AB258" s="381"/>
      <c r="AC258" s="382"/>
      <c r="AD258" s="382"/>
    </row>
    <row r="259" spans="1:30" ht="12.75" customHeight="1" x14ac:dyDescent="0.2">
      <c r="A259" s="378"/>
      <c r="B259" s="378"/>
      <c r="C259" s="378"/>
      <c r="D259" s="380"/>
      <c r="E259" s="380"/>
      <c r="F259" s="378"/>
      <c r="G259" s="378"/>
      <c r="H259" s="378"/>
      <c r="I259" s="378"/>
      <c r="J259" s="378"/>
      <c r="K259" s="378"/>
      <c r="L259" s="378"/>
      <c r="M259" s="381"/>
      <c r="N259" s="381"/>
      <c r="O259" s="381"/>
      <c r="P259" s="381"/>
      <c r="Q259" s="381"/>
      <c r="R259" s="381"/>
      <c r="S259" s="381"/>
      <c r="T259" s="381"/>
      <c r="U259" s="381"/>
      <c r="V259" s="381"/>
      <c r="W259" s="381"/>
      <c r="X259" s="381"/>
      <c r="Y259" s="381"/>
      <c r="Z259" s="381"/>
      <c r="AA259" s="381"/>
      <c r="AB259" s="381"/>
      <c r="AC259" s="382"/>
      <c r="AD259" s="382"/>
    </row>
    <row r="260" spans="1:30" ht="12.75" customHeight="1" x14ac:dyDescent="0.2">
      <c r="A260" s="378"/>
      <c r="B260" s="378"/>
      <c r="C260" s="378"/>
      <c r="D260" s="380"/>
      <c r="E260" s="380"/>
      <c r="F260" s="378"/>
      <c r="G260" s="378"/>
      <c r="H260" s="378"/>
      <c r="I260" s="378"/>
      <c r="J260" s="378"/>
      <c r="K260" s="378"/>
      <c r="L260" s="378"/>
      <c r="M260" s="381"/>
      <c r="N260" s="381"/>
      <c r="O260" s="381"/>
      <c r="P260" s="381"/>
      <c r="Q260" s="381"/>
      <c r="R260" s="381"/>
      <c r="S260" s="381"/>
      <c r="T260" s="381"/>
      <c r="U260" s="381"/>
      <c r="V260" s="381"/>
      <c r="W260" s="381"/>
      <c r="X260" s="381"/>
      <c r="Y260" s="381"/>
      <c r="Z260" s="381"/>
      <c r="AA260" s="381"/>
      <c r="AB260" s="381"/>
      <c r="AC260" s="382"/>
      <c r="AD260" s="382"/>
    </row>
    <row r="261" spans="1:30" ht="12.75" customHeight="1" x14ac:dyDescent="0.2">
      <c r="A261" s="378"/>
      <c r="B261" s="378"/>
      <c r="C261" s="378"/>
      <c r="D261" s="380"/>
      <c r="E261" s="380"/>
      <c r="F261" s="378"/>
      <c r="G261" s="378"/>
      <c r="H261" s="378"/>
      <c r="I261" s="378"/>
      <c r="J261" s="378"/>
      <c r="K261" s="378"/>
      <c r="L261" s="378"/>
      <c r="M261" s="381"/>
      <c r="N261" s="381"/>
      <c r="O261" s="381"/>
      <c r="P261" s="381"/>
      <c r="Q261" s="381"/>
      <c r="R261" s="381"/>
      <c r="S261" s="381"/>
      <c r="T261" s="381"/>
      <c r="U261" s="381"/>
      <c r="V261" s="381"/>
      <c r="W261" s="381"/>
      <c r="X261" s="381"/>
      <c r="Y261" s="381"/>
      <c r="Z261" s="381"/>
      <c r="AA261" s="381"/>
      <c r="AB261" s="381"/>
      <c r="AC261" s="382"/>
      <c r="AD261" s="382"/>
    </row>
    <row r="262" spans="1:30" ht="12.75" customHeight="1" x14ac:dyDescent="0.2">
      <c r="A262" s="378"/>
      <c r="B262" s="378"/>
      <c r="C262" s="378"/>
      <c r="D262" s="380"/>
      <c r="E262" s="380"/>
      <c r="F262" s="378"/>
      <c r="G262" s="378"/>
      <c r="H262" s="378"/>
      <c r="I262" s="378"/>
      <c r="J262" s="378"/>
      <c r="K262" s="378"/>
      <c r="L262" s="378"/>
      <c r="M262" s="381"/>
      <c r="N262" s="381"/>
      <c r="O262" s="381"/>
      <c r="P262" s="381"/>
      <c r="Q262" s="381"/>
      <c r="R262" s="381"/>
      <c r="S262" s="381"/>
      <c r="T262" s="381"/>
      <c r="U262" s="381"/>
      <c r="V262" s="381"/>
      <c r="W262" s="381"/>
      <c r="X262" s="381"/>
      <c r="Y262" s="381"/>
      <c r="Z262" s="381"/>
      <c r="AA262" s="381"/>
      <c r="AB262" s="381"/>
      <c r="AC262" s="382"/>
      <c r="AD262" s="382"/>
    </row>
    <row r="263" spans="1:30" ht="12.75" customHeight="1" x14ac:dyDescent="0.2">
      <c r="A263" s="378"/>
      <c r="B263" s="378"/>
      <c r="C263" s="378"/>
      <c r="D263" s="380"/>
      <c r="E263" s="380"/>
      <c r="F263" s="378"/>
      <c r="G263" s="378"/>
      <c r="H263" s="378"/>
      <c r="I263" s="378"/>
      <c r="J263" s="378"/>
      <c r="K263" s="378"/>
      <c r="L263" s="378"/>
      <c r="M263" s="381"/>
      <c r="N263" s="381"/>
      <c r="O263" s="381"/>
      <c r="P263" s="381"/>
      <c r="Q263" s="381"/>
      <c r="R263" s="381"/>
      <c r="S263" s="381"/>
      <c r="T263" s="381"/>
      <c r="U263" s="381"/>
      <c r="V263" s="381"/>
      <c r="W263" s="381"/>
      <c r="X263" s="381"/>
      <c r="Y263" s="381"/>
      <c r="Z263" s="381"/>
      <c r="AA263" s="381"/>
      <c r="AB263" s="381"/>
      <c r="AC263" s="382"/>
      <c r="AD263" s="382"/>
    </row>
    <row r="264" spans="1:30" ht="12.75" customHeight="1" x14ac:dyDescent="0.2">
      <c r="A264" s="378"/>
      <c r="B264" s="378"/>
      <c r="C264" s="378"/>
      <c r="D264" s="380"/>
      <c r="E264" s="380"/>
      <c r="F264" s="378"/>
      <c r="G264" s="378"/>
      <c r="H264" s="378"/>
      <c r="I264" s="378"/>
      <c r="J264" s="378"/>
      <c r="K264" s="378"/>
      <c r="L264" s="378"/>
      <c r="M264" s="381"/>
      <c r="N264" s="381"/>
      <c r="O264" s="381"/>
      <c r="P264" s="381"/>
      <c r="Q264" s="381"/>
      <c r="R264" s="381"/>
      <c r="S264" s="381"/>
      <c r="T264" s="381"/>
      <c r="U264" s="381"/>
      <c r="V264" s="381"/>
      <c r="W264" s="381"/>
      <c r="X264" s="381"/>
      <c r="Y264" s="381"/>
      <c r="Z264" s="381"/>
      <c r="AA264" s="381"/>
      <c r="AB264" s="381"/>
      <c r="AC264" s="382"/>
      <c r="AD264" s="382"/>
    </row>
    <row r="265" spans="1:30" ht="12.75" customHeight="1" x14ac:dyDescent="0.2">
      <c r="A265" s="378"/>
      <c r="B265" s="378"/>
      <c r="C265" s="378"/>
      <c r="D265" s="380"/>
      <c r="E265" s="380"/>
      <c r="F265" s="378"/>
      <c r="G265" s="378"/>
      <c r="H265" s="378"/>
      <c r="I265" s="378"/>
      <c r="J265" s="378"/>
      <c r="K265" s="378"/>
      <c r="L265" s="378"/>
      <c r="M265" s="381"/>
      <c r="N265" s="381"/>
      <c r="O265" s="381"/>
      <c r="P265" s="381"/>
      <c r="Q265" s="381"/>
      <c r="R265" s="381"/>
      <c r="S265" s="381"/>
      <c r="T265" s="381"/>
      <c r="U265" s="381"/>
      <c r="V265" s="381"/>
      <c r="W265" s="381"/>
      <c r="X265" s="381"/>
      <c r="Y265" s="381"/>
      <c r="Z265" s="381"/>
      <c r="AA265" s="381"/>
      <c r="AB265" s="381"/>
      <c r="AC265" s="382"/>
      <c r="AD265" s="382"/>
    </row>
    <row r="266" spans="1:30" ht="12.75" customHeight="1" x14ac:dyDescent="0.2">
      <c r="A266" s="378"/>
      <c r="B266" s="378"/>
      <c r="C266" s="378"/>
      <c r="D266" s="380"/>
      <c r="E266" s="380"/>
      <c r="F266" s="378"/>
      <c r="G266" s="378"/>
      <c r="H266" s="378"/>
      <c r="I266" s="378"/>
      <c r="J266" s="378"/>
      <c r="K266" s="378"/>
      <c r="L266" s="378"/>
      <c r="M266" s="381"/>
      <c r="N266" s="381"/>
      <c r="O266" s="381"/>
      <c r="P266" s="381"/>
      <c r="Q266" s="381"/>
      <c r="R266" s="381"/>
      <c r="S266" s="381"/>
      <c r="T266" s="381"/>
      <c r="U266" s="381"/>
      <c r="V266" s="381"/>
      <c r="W266" s="381"/>
      <c r="X266" s="381"/>
      <c r="Y266" s="381"/>
      <c r="Z266" s="381"/>
      <c r="AA266" s="381"/>
      <c r="AB266" s="381"/>
      <c r="AC266" s="382"/>
      <c r="AD266" s="382"/>
    </row>
    <row r="267" spans="1:30" ht="12.75" customHeight="1" x14ac:dyDescent="0.2">
      <c r="A267" s="378"/>
      <c r="B267" s="378"/>
      <c r="C267" s="378"/>
      <c r="D267" s="380"/>
      <c r="E267" s="380"/>
      <c r="F267" s="378"/>
      <c r="G267" s="378"/>
      <c r="H267" s="378"/>
      <c r="I267" s="378"/>
      <c r="J267" s="378"/>
      <c r="K267" s="378"/>
      <c r="L267" s="378"/>
      <c r="M267" s="381"/>
      <c r="N267" s="381"/>
      <c r="O267" s="381"/>
      <c r="P267" s="381"/>
      <c r="Q267" s="381"/>
      <c r="R267" s="381"/>
      <c r="S267" s="381"/>
      <c r="T267" s="381"/>
      <c r="U267" s="381"/>
      <c r="V267" s="381"/>
      <c r="W267" s="381"/>
      <c r="X267" s="381"/>
      <c r="Y267" s="381"/>
      <c r="Z267" s="381"/>
      <c r="AA267" s="381"/>
      <c r="AB267" s="381"/>
      <c r="AC267" s="382"/>
      <c r="AD267" s="382"/>
    </row>
    <row r="268" spans="1:30" ht="12.75" customHeight="1" x14ac:dyDescent="0.2">
      <c r="A268" s="378"/>
      <c r="B268" s="378"/>
      <c r="C268" s="378"/>
      <c r="D268" s="380"/>
      <c r="E268" s="380"/>
      <c r="F268" s="378"/>
      <c r="G268" s="378"/>
      <c r="H268" s="378"/>
      <c r="I268" s="378"/>
      <c r="J268" s="378"/>
      <c r="K268" s="378"/>
      <c r="L268" s="378"/>
      <c r="M268" s="381"/>
      <c r="N268" s="381"/>
      <c r="O268" s="381"/>
      <c r="P268" s="381"/>
      <c r="Q268" s="381"/>
      <c r="R268" s="381"/>
      <c r="S268" s="381"/>
      <c r="T268" s="381"/>
      <c r="U268" s="381"/>
      <c r="V268" s="381"/>
      <c r="W268" s="381"/>
      <c r="X268" s="381"/>
      <c r="Y268" s="381"/>
      <c r="Z268" s="381"/>
      <c r="AA268" s="381"/>
      <c r="AB268" s="381"/>
      <c r="AC268" s="382"/>
      <c r="AD268" s="382"/>
    </row>
    <row r="269" spans="1:30" ht="12.75" customHeight="1" x14ac:dyDescent="0.2">
      <c r="A269" s="378"/>
      <c r="B269" s="378"/>
      <c r="C269" s="378"/>
      <c r="D269" s="380"/>
      <c r="E269" s="380"/>
      <c r="F269" s="378"/>
      <c r="G269" s="378"/>
      <c r="H269" s="378"/>
      <c r="I269" s="378"/>
      <c r="J269" s="378"/>
      <c r="K269" s="378"/>
      <c r="L269" s="378"/>
      <c r="M269" s="381"/>
      <c r="N269" s="381"/>
      <c r="O269" s="381"/>
      <c r="P269" s="381"/>
      <c r="Q269" s="381"/>
      <c r="R269" s="381"/>
      <c r="S269" s="381"/>
      <c r="T269" s="381"/>
      <c r="U269" s="381"/>
      <c r="V269" s="381"/>
      <c r="W269" s="381"/>
      <c r="X269" s="381"/>
      <c r="Y269" s="381"/>
      <c r="Z269" s="381"/>
      <c r="AA269" s="381"/>
      <c r="AB269" s="381"/>
      <c r="AC269" s="382"/>
      <c r="AD269" s="382"/>
    </row>
    <row r="270" spans="1:30" ht="12.75" customHeight="1" x14ac:dyDescent="0.2">
      <c r="A270" s="378"/>
      <c r="B270" s="378"/>
      <c r="C270" s="378"/>
      <c r="D270" s="380"/>
      <c r="E270" s="380"/>
      <c r="F270" s="378"/>
      <c r="G270" s="378"/>
      <c r="H270" s="378"/>
      <c r="I270" s="378"/>
      <c r="J270" s="378"/>
      <c r="K270" s="378"/>
      <c r="L270" s="378"/>
      <c r="M270" s="381"/>
      <c r="N270" s="381"/>
      <c r="O270" s="381"/>
      <c r="P270" s="381"/>
      <c r="Q270" s="381"/>
      <c r="R270" s="381"/>
      <c r="S270" s="381"/>
      <c r="T270" s="381"/>
      <c r="U270" s="381"/>
      <c r="V270" s="381"/>
      <c r="W270" s="381"/>
      <c r="X270" s="381"/>
      <c r="Y270" s="381"/>
      <c r="Z270" s="381"/>
      <c r="AA270" s="381"/>
      <c r="AB270" s="381"/>
      <c r="AC270" s="382"/>
      <c r="AD270" s="382"/>
    </row>
    <row r="271" spans="1:30" ht="12.75" customHeight="1" x14ac:dyDescent="0.2">
      <c r="A271" s="378"/>
      <c r="B271" s="378"/>
      <c r="C271" s="378"/>
      <c r="D271" s="380"/>
      <c r="E271" s="380"/>
      <c r="F271" s="378"/>
      <c r="G271" s="378"/>
      <c r="H271" s="378"/>
      <c r="I271" s="378"/>
      <c r="J271" s="378"/>
      <c r="K271" s="378"/>
      <c r="L271" s="378"/>
      <c r="M271" s="381"/>
      <c r="N271" s="381"/>
      <c r="O271" s="381"/>
      <c r="P271" s="381"/>
      <c r="Q271" s="381"/>
      <c r="R271" s="381"/>
      <c r="S271" s="381"/>
      <c r="T271" s="381"/>
      <c r="U271" s="381"/>
      <c r="V271" s="381"/>
      <c r="W271" s="381"/>
      <c r="X271" s="381"/>
      <c r="Y271" s="381"/>
      <c r="Z271" s="381"/>
      <c r="AA271" s="381"/>
      <c r="AB271" s="381"/>
      <c r="AC271" s="382"/>
      <c r="AD271" s="382"/>
    </row>
    <row r="272" spans="1:30" ht="12.75" customHeight="1" x14ac:dyDescent="0.2">
      <c r="A272" s="378"/>
      <c r="B272" s="378"/>
      <c r="C272" s="378"/>
      <c r="D272" s="380"/>
      <c r="E272" s="380"/>
      <c r="F272" s="378"/>
      <c r="G272" s="378"/>
      <c r="H272" s="378"/>
      <c r="I272" s="378"/>
      <c r="J272" s="378"/>
      <c r="K272" s="378"/>
      <c r="L272" s="378"/>
      <c r="M272" s="381"/>
      <c r="N272" s="381"/>
      <c r="O272" s="381"/>
      <c r="P272" s="381"/>
      <c r="Q272" s="381"/>
      <c r="R272" s="381"/>
      <c r="S272" s="381"/>
      <c r="T272" s="381"/>
      <c r="U272" s="381"/>
      <c r="V272" s="381"/>
      <c r="W272" s="381"/>
      <c r="X272" s="381"/>
      <c r="Y272" s="381"/>
      <c r="Z272" s="381"/>
      <c r="AA272" s="381"/>
      <c r="AB272" s="381"/>
      <c r="AC272" s="382"/>
      <c r="AD272" s="382"/>
    </row>
    <row r="273" spans="1:30" ht="12.75" customHeight="1" x14ac:dyDescent="0.2">
      <c r="A273" s="378"/>
      <c r="B273" s="378"/>
      <c r="C273" s="378"/>
      <c r="D273" s="380"/>
      <c r="E273" s="380"/>
      <c r="F273" s="378"/>
      <c r="G273" s="378"/>
      <c r="H273" s="378"/>
      <c r="I273" s="378"/>
      <c r="J273" s="378"/>
      <c r="K273" s="378"/>
      <c r="L273" s="378"/>
      <c r="M273" s="381"/>
      <c r="N273" s="381"/>
      <c r="O273" s="381"/>
      <c r="P273" s="381"/>
      <c r="Q273" s="381"/>
      <c r="R273" s="381"/>
      <c r="S273" s="381"/>
      <c r="T273" s="381"/>
      <c r="U273" s="381"/>
      <c r="V273" s="381"/>
      <c r="W273" s="381"/>
      <c r="X273" s="381"/>
      <c r="Y273" s="381"/>
      <c r="Z273" s="381"/>
      <c r="AA273" s="381"/>
      <c r="AB273" s="381"/>
      <c r="AC273" s="382"/>
      <c r="AD273" s="382"/>
    </row>
    <row r="274" spans="1:30" ht="12.75" customHeight="1" x14ac:dyDescent="0.2">
      <c r="A274" s="378"/>
      <c r="B274" s="378"/>
      <c r="C274" s="378"/>
      <c r="D274" s="380"/>
      <c r="E274" s="380"/>
      <c r="F274" s="378"/>
      <c r="G274" s="378"/>
      <c r="H274" s="378"/>
      <c r="I274" s="378"/>
      <c r="J274" s="378"/>
      <c r="K274" s="378"/>
      <c r="L274" s="378"/>
      <c r="M274" s="381"/>
      <c r="N274" s="381"/>
      <c r="O274" s="381"/>
      <c r="P274" s="381"/>
      <c r="Q274" s="381"/>
      <c r="R274" s="381"/>
      <c r="S274" s="381"/>
      <c r="T274" s="381"/>
      <c r="U274" s="381"/>
      <c r="V274" s="381"/>
      <c r="W274" s="381"/>
      <c r="X274" s="381"/>
      <c r="Y274" s="381"/>
      <c r="Z274" s="381"/>
      <c r="AA274" s="381"/>
      <c r="AB274" s="381"/>
      <c r="AC274" s="382"/>
      <c r="AD274" s="382"/>
    </row>
    <row r="275" spans="1:30" ht="12.75" customHeight="1" x14ac:dyDescent="0.2">
      <c r="A275" s="378"/>
      <c r="B275" s="378"/>
      <c r="C275" s="378"/>
      <c r="D275" s="380"/>
      <c r="E275" s="380"/>
      <c r="F275" s="378"/>
      <c r="G275" s="378"/>
      <c r="H275" s="378"/>
      <c r="I275" s="378"/>
      <c r="J275" s="378"/>
      <c r="K275" s="378"/>
      <c r="L275" s="378"/>
      <c r="M275" s="381"/>
      <c r="N275" s="381"/>
      <c r="O275" s="381"/>
      <c r="P275" s="381"/>
      <c r="Q275" s="381"/>
      <c r="R275" s="381"/>
      <c r="S275" s="381"/>
      <c r="T275" s="381"/>
      <c r="U275" s="381"/>
      <c r="V275" s="381"/>
      <c r="W275" s="381"/>
      <c r="X275" s="381"/>
      <c r="Y275" s="381"/>
      <c r="Z275" s="381"/>
      <c r="AA275" s="381"/>
      <c r="AB275" s="381"/>
      <c r="AC275" s="382"/>
      <c r="AD275" s="382"/>
    </row>
    <row r="276" spans="1:30" ht="12.75" customHeight="1" x14ac:dyDescent="0.2">
      <c r="A276" s="378"/>
      <c r="B276" s="378"/>
      <c r="C276" s="378"/>
      <c r="D276" s="380"/>
      <c r="E276" s="380"/>
      <c r="F276" s="378"/>
      <c r="G276" s="378"/>
      <c r="H276" s="378"/>
      <c r="I276" s="378"/>
      <c r="J276" s="378"/>
      <c r="K276" s="378"/>
      <c r="L276" s="378"/>
      <c r="M276" s="381"/>
      <c r="N276" s="381"/>
      <c r="O276" s="381"/>
      <c r="P276" s="381"/>
      <c r="Q276" s="381"/>
      <c r="R276" s="381"/>
      <c r="S276" s="381"/>
      <c r="T276" s="381"/>
      <c r="U276" s="381"/>
      <c r="V276" s="381"/>
      <c r="W276" s="381"/>
      <c r="X276" s="381"/>
      <c r="Y276" s="381"/>
      <c r="Z276" s="381"/>
      <c r="AA276" s="381"/>
      <c r="AB276" s="381"/>
      <c r="AC276" s="382"/>
      <c r="AD276" s="382"/>
    </row>
    <row r="277" spans="1:30" ht="12.75" customHeight="1" x14ac:dyDescent="0.2">
      <c r="A277" s="378"/>
      <c r="B277" s="378"/>
      <c r="C277" s="378"/>
      <c r="D277" s="380"/>
      <c r="E277" s="380"/>
      <c r="F277" s="378"/>
      <c r="G277" s="378"/>
      <c r="H277" s="378"/>
      <c r="I277" s="378"/>
      <c r="J277" s="378"/>
      <c r="K277" s="378"/>
      <c r="L277" s="378"/>
      <c r="M277" s="381"/>
      <c r="N277" s="381"/>
      <c r="O277" s="381"/>
      <c r="P277" s="381"/>
      <c r="Q277" s="381"/>
      <c r="R277" s="381"/>
      <c r="S277" s="381"/>
      <c r="T277" s="381"/>
      <c r="U277" s="381"/>
      <c r="V277" s="381"/>
      <c r="W277" s="381"/>
      <c r="X277" s="381"/>
      <c r="Y277" s="381"/>
      <c r="Z277" s="381"/>
      <c r="AA277" s="381"/>
      <c r="AB277" s="381"/>
      <c r="AC277" s="382"/>
      <c r="AD277" s="382"/>
    </row>
    <row r="278" spans="1:30" ht="12.75" customHeight="1" x14ac:dyDescent="0.2">
      <c r="A278" s="378"/>
      <c r="B278" s="378"/>
      <c r="C278" s="378"/>
      <c r="D278" s="380"/>
      <c r="E278" s="380"/>
      <c r="F278" s="378"/>
      <c r="G278" s="378"/>
      <c r="H278" s="378"/>
      <c r="I278" s="378"/>
      <c r="J278" s="378"/>
      <c r="K278" s="378"/>
      <c r="L278" s="378"/>
      <c r="M278" s="381"/>
      <c r="N278" s="381"/>
      <c r="O278" s="381"/>
      <c r="P278" s="381"/>
      <c r="Q278" s="381"/>
      <c r="R278" s="381"/>
      <c r="S278" s="381"/>
      <c r="T278" s="381"/>
      <c r="U278" s="381"/>
      <c r="V278" s="381"/>
      <c r="W278" s="381"/>
      <c r="X278" s="381"/>
      <c r="Y278" s="381"/>
      <c r="Z278" s="381"/>
      <c r="AA278" s="381"/>
      <c r="AB278" s="381"/>
      <c r="AC278" s="382"/>
      <c r="AD278" s="382"/>
    </row>
    <row r="279" spans="1:30" ht="12.75" customHeight="1" x14ac:dyDescent="0.2">
      <c r="A279" s="378"/>
      <c r="B279" s="378"/>
      <c r="C279" s="378"/>
      <c r="D279" s="380"/>
      <c r="E279" s="380"/>
      <c r="F279" s="378"/>
      <c r="G279" s="378"/>
      <c r="H279" s="378"/>
      <c r="I279" s="378"/>
      <c r="J279" s="378"/>
      <c r="K279" s="378"/>
      <c r="L279" s="378"/>
      <c r="M279" s="381"/>
      <c r="N279" s="381"/>
      <c r="O279" s="381"/>
      <c r="P279" s="381"/>
      <c r="Q279" s="381"/>
      <c r="R279" s="381"/>
      <c r="S279" s="381"/>
      <c r="T279" s="381"/>
      <c r="U279" s="381"/>
      <c r="V279" s="381"/>
      <c r="W279" s="381"/>
      <c r="X279" s="381"/>
      <c r="Y279" s="381"/>
      <c r="Z279" s="381"/>
      <c r="AA279" s="381"/>
      <c r="AB279" s="381"/>
      <c r="AC279" s="382"/>
      <c r="AD279" s="382"/>
    </row>
    <row r="280" spans="1:30" ht="12.75" customHeight="1" x14ac:dyDescent="0.2">
      <c r="A280" s="378"/>
      <c r="B280" s="378"/>
      <c r="C280" s="378"/>
      <c r="D280" s="380"/>
      <c r="E280" s="380"/>
      <c r="F280" s="378"/>
      <c r="G280" s="378"/>
      <c r="H280" s="378"/>
      <c r="I280" s="378"/>
      <c r="J280" s="378"/>
      <c r="K280" s="378"/>
      <c r="L280" s="378"/>
      <c r="M280" s="381"/>
      <c r="N280" s="381"/>
      <c r="O280" s="381"/>
      <c r="P280" s="381"/>
      <c r="Q280" s="381"/>
      <c r="R280" s="381"/>
      <c r="S280" s="381"/>
      <c r="T280" s="381"/>
      <c r="U280" s="381"/>
      <c r="V280" s="381"/>
      <c r="W280" s="381"/>
      <c r="X280" s="381"/>
      <c r="Y280" s="381"/>
      <c r="Z280" s="381"/>
      <c r="AA280" s="381"/>
      <c r="AB280" s="381"/>
      <c r="AC280" s="382"/>
      <c r="AD280" s="382"/>
    </row>
    <row r="281" spans="1:30" ht="12.75" customHeight="1" x14ac:dyDescent="0.2">
      <c r="A281" s="378"/>
      <c r="B281" s="378"/>
      <c r="C281" s="378"/>
      <c r="D281" s="380"/>
      <c r="E281" s="380"/>
      <c r="F281" s="378"/>
      <c r="G281" s="378"/>
      <c r="H281" s="378"/>
      <c r="I281" s="378"/>
      <c r="J281" s="378"/>
      <c r="K281" s="378"/>
      <c r="L281" s="378"/>
      <c r="M281" s="381"/>
      <c r="N281" s="381"/>
      <c r="O281" s="381"/>
      <c r="P281" s="381"/>
      <c r="Q281" s="381"/>
      <c r="R281" s="381"/>
      <c r="S281" s="381"/>
      <c r="T281" s="381"/>
      <c r="U281" s="381"/>
      <c r="V281" s="381"/>
      <c r="W281" s="381"/>
      <c r="X281" s="381"/>
      <c r="Y281" s="381"/>
      <c r="Z281" s="381"/>
      <c r="AA281" s="381"/>
      <c r="AB281" s="381"/>
      <c r="AC281" s="382"/>
      <c r="AD281" s="382"/>
    </row>
    <row r="282" spans="1:30" ht="12.75" customHeight="1" x14ac:dyDescent="0.2">
      <c r="A282" s="378"/>
      <c r="B282" s="378"/>
      <c r="C282" s="378"/>
      <c r="D282" s="380"/>
      <c r="E282" s="380"/>
      <c r="F282" s="378"/>
      <c r="G282" s="378"/>
      <c r="H282" s="378"/>
      <c r="I282" s="378"/>
      <c r="J282" s="378"/>
      <c r="K282" s="378"/>
      <c r="L282" s="378"/>
      <c r="M282" s="381"/>
      <c r="N282" s="381"/>
      <c r="O282" s="381"/>
      <c r="P282" s="381"/>
      <c r="Q282" s="381"/>
      <c r="R282" s="381"/>
      <c r="S282" s="381"/>
      <c r="T282" s="381"/>
      <c r="U282" s="381"/>
      <c r="V282" s="381"/>
      <c r="W282" s="381"/>
      <c r="X282" s="381"/>
      <c r="Y282" s="381"/>
      <c r="Z282" s="381"/>
      <c r="AA282" s="381"/>
      <c r="AB282" s="381"/>
      <c r="AC282" s="382"/>
      <c r="AD282" s="382"/>
    </row>
    <row r="283" spans="1:30" ht="12.75" customHeight="1" x14ac:dyDescent="0.2">
      <c r="A283" s="378"/>
      <c r="B283" s="378"/>
      <c r="C283" s="378"/>
      <c r="D283" s="380"/>
      <c r="E283" s="380"/>
      <c r="F283" s="378"/>
      <c r="G283" s="378"/>
      <c r="H283" s="378"/>
      <c r="I283" s="378"/>
      <c r="J283" s="378"/>
      <c r="K283" s="378"/>
      <c r="L283" s="378"/>
      <c r="M283" s="381"/>
      <c r="N283" s="381"/>
      <c r="O283" s="381"/>
      <c r="P283" s="381"/>
      <c r="Q283" s="381"/>
      <c r="R283" s="381"/>
      <c r="S283" s="381"/>
      <c r="T283" s="381"/>
      <c r="U283" s="381"/>
      <c r="V283" s="381"/>
      <c r="W283" s="381"/>
      <c r="X283" s="381"/>
      <c r="Y283" s="381"/>
      <c r="Z283" s="381"/>
      <c r="AA283" s="381"/>
      <c r="AB283" s="381"/>
      <c r="AC283" s="382"/>
      <c r="AD283" s="382"/>
    </row>
    <row r="284" spans="1:30" ht="12.75" customHeight="1" x14ac:dyDescent="0.2">
      <c r="A284" s="378"/>
      <c r="B284" s="378"/>
      <c r="C284" s="378"/>
      <c r="D284" s="380"/>
      <c r="E284" s="380"/>
      <c r="F284" s="378"/>
      <c r="G284" s="378"/>
      <c r="H284" s="378"/>
      <c r="I284" s="378"/>
      <c r="J284" s="378"/>
      <c r="K284" s="378"/>
      <c r="L284" s="378"/>
      <c r="M284" s="381"/>
      <c r="N284" s="381"/>
      <c r="O284" s="381"/>
      <c r="P284" s="381"/>
      <c r="Q284" s="381"/>
      <c r="R284" s="381"/>
      <c r="S284" s="381"/>
      <c r="T284" s="381"/>
      <c r="U284" s="381"/>
      <c r="V284" s="381"/>
      <c r="W284" s="381"/>
      <c r="X284" s="381"/>
      <c r="Y284" s="381"/>
      <c r="Z284" s="381"/>
      <c r="AA284" s="381"/>
      <c r="AB284" s="381"/>
      <c r="AC284" s="382"/>
      <c r="AD284" s="382"/>
    </row>
    <row r="285" spans="1:30" ht="12.75" customHeight="1" x14ac:dyDescent="0.2">
      <c r="A285" s="378"/>
      <c r="B285" s="378"/>
      <c r="C285" s="378"/>
      <c r="D285" s="380"/>
      <c r="E285" s="380"/>
      <c r="F285" s="378"/>
      <c r="G285" s="378"/>
      <c r="H285" s="378"/>
      <c r="I285" s="378"/>
      <c r="J285" s="378"/>
      <c r="K285" s="378"/>
      <c r="L285" s="378"/>
      <c r="M285" s="381"/>
      <c r="N285" s="381"/>
      <c r="O285" s="381"/>
      <c r="P285" s="381"/>
      <c r="Q285" s="381"/>
      <c r="R285" s="381"/>
      <c r="S285" s="381"/>
      <c r="T285" s="381"/>
      <c r="U285" s="381"/>
      <c r="V285" s="381"/>
      <c r="W285" s="381"/>
      <c r="X285" s="381"/>
      <c r="Y285" s="381"/>
      <c r="Z285" s="381"/>
      <c r="AA285" s="381"/>
      <c r="AB285" s="381"/>
      <c r="AC285" s="382"/>
      <c r="AD285" s="382"/>
    </row>
    <row r="286" spans="1:30" ht="12.75" customHeight="1" x14ac:dyDescent="0.2">
      <c r="A286" s="378"/>
      <c r="B286" s="378"/>
      <c r="C286" s="378"/>
      <c r="D286" s="380"/>
      <c r="E286" s="380"/>
      <c r="F286" s="378"/>
      <c r="G286" s="378"/>
      <c r="H286" s="378"/>
      <c r="I286" s="378"/>
      <c r="J286" s="378"/>
      <c r="K286" s="378"/>
      <c r="L286" s="378"/>
      <c r="M286" s="381"/>
      <c r="N286" s="381"/>
      <c r="O286" s="381"/>
      <c r="P286" s="381"/>
      <c r="Q286" s="381"/>
      <c r="R286" s="381"/>
      <c r="S286" s="381"/>
      <c r="T286" s="381"/>
      <c r="U286" s="381"/>
      <c r="V286" s="381"/>
      <c r="W286" s="381"/>
      <c r="X286" s="381"/>
      <c r="Y286" s="381"/>
      <c r="Z286" s="381"/>
      <c r="AA286" s="381"/>
      <c r="AB286" s="381"/>
      <c r="AC286" s="382"/>
      <c r="AD286" s="382"/>
    </row>
    <row r="287" spans="1:30" ht="12.75" customHeight="1" x14ac:dyDescent="0.2">
      <c r="A287" s="378"/>
      <c r="B287" s="378"/>
      <c r="C287" s="378"/>
      <c r="D287" s="380"/>
      <c r="E287" s="380"/>
      <c r="F287" s="378"/>
      <c r="G287" s="378"/>
      <c r="H287" s="378"/>
      <c r="I287" s="378"/>
      <c r="J287" s="378"/>
      <c r="K287" s="378"/>
      <c r="L287" s="378"/>
      <c r="M287" s="381"/>
      <c r="N287" s="381"/>
      <c r="O287" s="381"/>
      <c r="P287" s="381"/>
      <c r="Q287" s="381"/>
      <c r="R287" s="381"/>
      <c r="S287" s="381"/>
      <c r="T287" s="381"/>
      <c r="U287" s="381"/>
      <c r="V287" s="381"/>
      <c r="W287" s="381"/>
      <c r="X287" s="381"/>
      <c r="Y287" s="381"/>
      <c r="Z287" s="381"/>
      <c r="AA287" s="381"/>
      <c r="AB287" s="381"/>
      <c r="AC287" s="382"/>
      <c r="AD287" s="382"/>
    </row>
    <row r="288" spans="1:30" ht="12.75" customHeight="1" x14ac:dyDescent="0.2">
      <c r="A288" s="378"/>
      <c r="B288" s="378"/>
      <c r="C288" s="378"/>
      <c r="D288" s="380"/>
      <c r="E288" s="380"/>
      <c r="F288" s="378"/>
      <c r="G288" s="378"/>
      <c r="H288" s="378"/>
      <c r="I288" s="378"/>
      <c r="J288" s="378"/>
      <c r="K288" s="378"/>
      <c r="L288" s="378"/>
      <c r="M288" s="381"/>
      <c r="N288" s="381"/>
      <c r="O288" s="381"/>
      <c r="P288" s="381"/>
      <c r="Q288" s="381"/>
      <c r="R288" s="381"/>
      <c r="S288" s="381"/>
      <c r="T288" s="381"/>
      <c r="U288" s="381"/>
      <c r="V288" s="381"/>
      <c r="W288" s="381"/>
      <c r="X288" s="381"/>
      <c r="Y288" s="381"/>
      <c r="Z288" s="381"/>
      <c r="AA288" s="381"/>
      <c r="AB288" s="381"/>
      <c r="AC288" s="382"/>
      <c r="AD288" s="382"/>
    </row>
    <row r="289" spans="1:30" ht="12.75" customHeight="1" x14ac:dyDescent="0.2">
      <c r="A289" s="378"/>
      <c r="B289" s="378"/>
      <c r="C289" s="378"/>
      <c r="D289" s="380"/>
      <c r="E289" s="380"/>
      <c r="F289" s="378"/>
      <c r="G289" s="378"/>
      <c r="H289" s="378"/>
      <c r="I289" s="378"/>
      <c r="J289" s="378"/>
      <c r="K289" s="378"/>
      <c r="L289" s="378"/>
      <c r="M289" s="381"/>
      <c r="N289" s="381"/>
      <c r="O289" s="381"/>
      <c r="P289" s="381"/>
      <c r="Q289" s="381"/>
      <c r="R289" s="381"/>
      <c r="S289" s="381"/>
      <c r="T289" s="381"/>
      <c r="U289" s="381"/>
      <c r="V289" s="381"/>
      <c r="W289" s="381"/>
      <c r="X289" s="381"/>
      <c r="Y289" s="381"/>
      <c r="Z289" s="381"/>
      <c r="AA289" s="381"/>
      <c r="AB289" s="381"/>
      <c r="AC289" s="382"/>
      <c r="AD289" s="382"/>
    </row>
    <row r="290" spans="1:30" ht="12.75" customHeight="1" x14ac:dyDescent="0.2">
      <c r="A290" s="378"/>
      <c r="B290" s="378"/>
      <c r="C290" s="378"/>
      <c r="D290" s="380"/>
      <c r="E290" s="380"/>
      <c r="F290" s="378"/>
      <c r="G290" s="378"/>
      <c r="H290" s="378"/>
      <c r="I290" s="378"/>
      <c r="J290" s="378"/>
      <c r="K290" s="378"/>
      <c r="L290" s="378"/>
      <c r="M290" s="381"/>
      <c r="N290" s="381"/>
      <c r="O290" s="381"/>
      <c r="P290" s="381"/>
      <c r="Q290" s="381"/>
      <c r="R290" s="381"/>
      <c r="S290" s="381"/>
      <c r="T290" s="381"/>
      <c r="U290" s="381"/>
      <c r="V290" s="381"/>
      <c r="W290" s="381"/>
      <c r="X290" s="381"/>
      <c r="Y290" s="381"/>
      <c r="Z290" s="381"/>
      <c r="AA290" s="381"/>
      <c r="AB290" s="381"/>
      <c r="AC290" s="382"/>
      <c r="AD290" s="382"/>
    </row>
    <row r="291" spans="1:30" ht="12.75" customHeight="1" x14ac:dyDescent="0.2">
      <c r="A291" s="378"/>
      <c r="B291" s="378"/>
      <c r="C291" s="378"/>
      <c r="D291" s="380"/>
      <c r="E291" s="380"/>
      <c r="F291" s="378"/>
      <c r="G291" s="378"/>
      <c r="H291" s="378"/>
      <c r="I291" s="378"/>
      <c r="J291" s="378"/>
      <c r="K291" s="378"/>
      <c r="L291" s="378"/>
      <c r="M291" s="381"/>
      <c r="N291" s="381"/>
      <c r="O291" s="381"/>
      <c r="P291" s="381"/>
      <c r="Q291" s="381"/>
      <c r="R291" s="381"/>
      <c r="S291" s="381"/>
      <c r="T291" s="381"/>
      <c r="U291" s="381"/>
      <c r="V291" s="381"/>
      <c r="W291" s="381"/>
      <c r="X291" s="381"/>
      <c r="Y291" s="381"/>
      <c r="Z291" s="381"/>
      <c r="AA291" s="381"/>
      <c r="AB291" s="381"/>
      <c r="AC291" s="382"/>
      <c r="AD291" s="382"/>
    </row>
    <row r="292" spans="1:30" ht="12.75" customHeight="1" x14ac:dyDescent="0.2">
      <c r="A292" s="378"/>
      <c r="B292" s="378"/>
      <c r="C292" s="378"/>
      <c r="D292" s="380"/>
      <c r="E292" s="380"/>
      <c r="F292" s="378"/>
      <c r="G292" s="378"/>
      <c r="H292" s="378"/>
      <c r="I292" s="378"/>
      <c r="J292" s="378"/>
      <c r="K292" s="378"/>
      <c r="L292" s="378"/>
      <c r="M292" s="381"/>
      <c r="N292" s="381"/>
      <c r="O292" s="381"/>
      <c r="P292" s="381"/>
      <c r="Q292" s="381"/>
      <c r="R292" s="381"/>
      <c r="S292" s="381"/>
      <c r="T292" s="381"/>
      <c r="U292" s="381"/>
      <c r="V292" s="381"/>
      <c r="W292" s="381"/>
      <c r="X292" s="381"/>
      <c r="Y292" s="381"/>
      <c r="Z292" s="381"/>
      <c r="AA292" s="381"/>
      <c r="AB292" s="381"/>
      <c r="AC292" s="382"/>
      <c r="AD292" s="382"/>
    </row>
    <row r="293" spans="1:30" ht="12.75" customHeight="1" x14ac:dyDescent="0.2">
      <c r="A293" s="378"/>
      <c r="B293" s="378"/>
      <c r="C293" s="378"/>
      <c r="D293" s="380"/>
      <c r="E293" s="380"/>
      <c r="F293" s="378"/>
      <c r="G293" s="378"/>
      <c r="H293" s="378"/>
      <c r="I293" s="378"/>
      <c r="J293" s="378"/>
      <c r="K293" s="378"/>
      <c r="L293" s="378"/>
      <c r="M293" s="381"/>
      <c r="N293" s="381"/>
      <c r="O293" s="381"/>
      <c r="P293" s="381"/>
      <c r="Q293" s="381"/>
      <c r="R293" s="381"/>
      <c r="S293" s="381"/>
      <c r="T293" s="381"/>
      <c r="U293" s="381"/>
      <c r="V293" s="381"/>
      <c r="W293" s="381"/>
      <c r="X293" s="381"/>
      <c r="Y293" s="381"/>
      <c r="Z293" s="381"/>
      <c r="AA293" s="381"/>
      <c r="AB293" s="381"/>
      <c r="AC293" s="382"/>
      <c r="AD293" s="382"/>
    </row>
    <row r="294" spans="1:30" ht="12.75" customHeight="1" x14ac:dyDescent="0.2">
      <c r="A294" s="378"/>
      <c r="B294" s="378"/>
      <c r="C294" s="378"/>
      <c r="D294" s="380"/>
      <c r="E294" s="380"/>
      <c r="F294" s="378"/>
      <c r="G294" s="378"/>
      <c r="H294" s="378"/>
      <c r="I294" s="378"/>
      <c r="J294" s="378"/>
      <c r="K294" s="378"/>
      <c r="L294" s="378"/>
      <c r="M294" s="381"/>
      <c r="N294" s="381"/>
      <c r="O294" s="381"/>
      <c r="P294" s="381"/>
      <c r="Q294" s="381"/>
      <c r="R294" s="381"/>
      <c r="S294" s="381"/>
      <c r="T294" s="381"/>
      <c r="U294" s="381"/>
      <c r="V294" s="381"/>
      <c r="W294" s="381"/>
      <c r="X294" s="381"/>
      <c r="Y294" s="381"/>
      <c r="Z294" s="381"/>
      <c r="AA294" s="381"/>
      <c r="AB294" s="381"/>
      <c r="AC294" s="382"/>
      <c r="AD294" s="382"/>
    </row>
    <row r="295" spans="1:30" ht="12.75" customHeight="1" x14ac:dyDescent="0.2">
      <c r="A295" s="378"/>
      <c r="B295" s="378"/>
      <c r="C295" s="378"/>
      <c r="D295" s="380"/>
      <c r="E295" s="380"/>
      <c r="F295" s="378"/>
      <c r="G295" s="378"/>
      <c r="H295" s="378"/>
      <c r="I295" s="378"/>
      <c r="J295" s="378"/>
      <c r="K295" s="378"/>
      <c r="L295" s="378"/>
      <c r="M295" s="381"/>
      <c r="N295" s="381"/>
      <c r="O295" s="381"/>
      <c r="P295" s="381"/>
      <c r="Q295" s="381"/>
      <c r="R295" s="381"/>
      <c r="S295" s="381"/>
      <c r="T295" s="381"/>
      <c r="U295" s="381"/>
      <c r="V295" s="381"/>
      <c r="W295" s="381"/>
      <c r="X295" s="381"/>
      <c r="Y295" s="381"/>
      <c r="Z295" s="381"/>
      <c r="AA295" s="381"/>
      <c r="AB295" s="381"/>
      <c r="AC295" s="382"/>
      <c r="AD295" s="382"/>
    </row>
    <row r="296" spans="1:30" ht="12.75" customHeight="1" x14ac:dyDescent="0.2">
      <c r="A296" s="378"/>
      <c r="B296" s="378"/>
      <c r="C296" s="378"/>
      <c r="D296" s="380"/>
      <c r="E296" s="380"/>
      <c r="F296" s="378"/>
      <c r="G296" s="378"/>
      <c r="H296" s="378"/>
      <c r="I296" s="378"/>
      <c r="J296" s="378"/>
      <c r="K296" s="378"/>
      <c r="L296" s="378"/>
      <c r="M296" s="381"/>
      <c r="N296" s="381"/>
      <c r="O296" s="381"/>
      <c r="P296" s="381"/>
      <c r="Q296" s="381"/>
      <c r="R296" s="381"/>
      <c r="S296" s="381"/>
      <c r="T296" s="381"/>
      <c r="U296" s="381"/>
      <c r="V296" s="381"/>
      <c r="W296" s="381"/>
      <c r="X296" s="381"/>
      <c r="Y296" s="381"/>
      <c r="Z296" s="381"/>
      <c r="AA296" s="381"/>
      <c r="AB296" s="381"/>
      <c r="AC296" s="382"/>
      <c r="AD296" s="382"/>
    </row>
    <row r="297" spans="1:30" ht="12.75" customHeight="1" x14ac:dyDescent="0.2">
      <c r="A297" s="378"/>
      <c r="B297" s="378"/>
      <c r="C297" s="378"/>
      <c r="D297" s="380"/>
      <c r="E297" s="380"/>
      <c r="F297" s="378"/>
      <c r="G297" s="378"/>
      <c r="H297" s="378"/>
      <c r="I297" s="378"/>
      <c r="J297" s="378"/>
      <c r="K297" s="378"/>
      <c r="L297" s="378"/>
      <c r="M297" s="381"/>
      <c r="N297" s="381"/>
      <c r="O297" s="381"/>
      <c r="P297" s="381"/>
      <c r="Q297" s="381"/>
      <c r="R297" s="381"/>
      <c r="S297" s="381"/>
      <c r="T297" s="381"/>
      <c r="U297" s="381"/>
      <c r="V297" s="381"/>
      <c r="W297" s="381"/>
      <c r="X297" s="381"/>
      <c r="Y297" s="381"/>
      <c r="Z297" s="381"/>
      <c r="AA297" s="381"/>
      <c r="AB297" s="381"/>
      <c r="AC297" s="382"/>
      <c r="AD297" s="382"/>
    </row>
    <row r="298" spans="1:30" ht="12.75" customHeight="1" x14ac:dyDescent="0.2">
      <c r="A298" s="378"/>
      <c r="B298" s="378"/>
      <c r="C298" s="378"/>
      <c r="D298" s="380"/>
      <c r="E298" s="380"/>
      <c r="F298" s="378"/>
      <c r="G298" s="378"/>
      <c r="H298" s="378"/>
      <c r="I298" s="378"/>
      <c r="J298" s="378"/>
      <c r="K298" s="378"/>
      <c r="L298" s="378"/>
      <c r="M298" s="381"/>
      <c r="N298" s="381"/>
      <c r="O298" s="381"/>
      <c r="P298" s="381"/>
      <c r="Q298" s="381"/>
      <c r="R298" s="381"/>
      <c r="S298" s="381"/>
      <c r="T298" s="381"/>
      <c r="U298" s="381"/>
      <c r="V298" s="381"/>
      <c r="W298" s="381"/>
      <c r="X298" s="381"/>
      <c r="Y298" s="381"/>
      <c r="Z298" s="381"/>
      <c r="AA298" s="381"/>
      <c r="AB298" s="381"/>
      <c r="AC298" s="382"/>
      <c r="AD298" s="382"/>
    </row>
    <row r="299" spans="1:30" ht="12.75" customHeight="1" x14ac:dyDescent="0.2">
      <c r="A299" s="378"/>
      <c r="B299" s="378"/>
      <c r="C299" s="378"/>
      <c r="D299" s="380"/>
      <c r="E299" s="380"/>
      <c r="F299" s="378"/>
      <c r="G299" s="378"/>
      <c r="H299" s="378"/>
      <c r="I299" s="378"/>
      <c r="J299" s="378"/>
      <c r="K299" s="378"/>
      <c r="L299" s="378"/>
      <c r="M299" s="381"/>
      <c r="N299" s="381"/>
      <c r="O299" s="381"/>
      <c r="P299" s="381"/>
      <c r="Q299" s="381"/>
      <c r="R299" s="381"/>
      <c r="S299" s="381"/>
      <c r="T299" s="381"/>
      <c r="U299" s="381"/>
      <c r="V299" s="381"/>
      <c r="W299" s="381"/>
      <c r="X299" s="381"/>
      <c r="Y299" s="381"/>
      <c r="Z299" s="381"/>
      <c r="AA299" s="381"/>
      <c r="AB299" s="381"/>
      <c r="AC299" s="382"/>
      <c r="AD299" s="382"/>
    </row>
    <row r="300" spans="1:30" ht="12.75" customHeight="1" x14ac:dyDescent="0.2">
      <c r="A300" s="378"/>
      <c r="B300" s="378"/>
      <c r="C300" s="378"/>
      <c r="D300" s="380"/>
      <c r="E300" s="380"/>
      <c r="F300" s="378"/>
      <c r="G300" s="378"/>
      <c r="H300" s="378"/>
      <c r="I300" s="378"/>
      <c r="J300" s="378"/>
      <c r="K300" s="378"/>
      <c r="L300" s="378"/>
      <c r="M300" s="381"/>
      <c r="N300" s="381"/>
      <c r="O300" s="381"/>
      <c r="P300" s="381"/>
      <c r="Q300" s="381"/>
      <c r="R300" s="381"/>
      <c r="S300" s="381"/>
      <c r="T300" s="381"/>
      <c r="U300" s="381"/>
      <c r="V300" s="381"/>
      <c r="W300" s="381"/>
      <c r="X300" s="381"/>
      <c r="Y300" s="381"/>
      <c r="Z300" s="381"/>
      <c r="AA300" s="381"/>
      <c r="AB300" s="381"/>
      <c r="AC300" s="382"/>
      <c r="AD300" s="382"/>
    </row>
    <row r="301" spans="1:30" ht="12.75" customHeight="1" x14ac:dyDescent="0.2">
      <c r="A301" s="378"/>
      <c r="B301" s="378"/>
      <c r="C301" s="378"/>
      <c r="D301" s="380"/>
      <c r="E301" s="380"/>
      <c r="F301" s="378"/>
      <c r="G301" s="378"/>
      <c r="H301" s="378"/>
      <c r="I301" s="378"/>
      <c r="J301" s="378"/>
      <c r="K301" s="378"/>
      <c r="L301" s="378"/>
      <c r="M301" s="381"/>
      <c r="N301" s="381"/>
      <c r="O301" s="381"/>
      <c r="P301" s="381"/>
      <c r="Q301" s="381"/>
      <c r="R301" s="381"/>
      <c r="S301" s="381"/>
      <c r="T301" s="381"/>
      <c r="U301" s="381"/>
      <c r="V301" s="381"/>
      <c r="W301" s="381"/>
      <c r="X301" s="381"/>
      <c r="Y301" s="381"/>
      <c r="Z301" s="381"/>
      <c r="AA301" s="381"/>
      <c r="AB301" s="381"/>
      <c r="AC301" s="382"/>
      <c r="AD301" s="382"/>
    </row>
    <row r="302" spans="1:30" ht="12.75" customHeight="1" x14ac:dyDescent="0.2">
      <c r="A302" s="378"/>
      <c r="B302" s="378"/>
      <c r="C302" s="378"/>
      <c r="D302" s="380"/>
      <c r="E302" s="380"/>
      <c r="F302" s="378"/>
      <c r="G302" s="378"/>
      <c r="H302" s="378"/>
      <c r="I302" s="378"/>
      <c r="J302" s="378"/>
      <c r="K302" s="378"/>
      <c r="L302" s="378"/>
      <c r="M302" s="381"/>
      <c r="N302" s="381"/>
      <c r="O302" s="381"/>
      <c r="P302" s="381"/>
      <c r="Q302" s="381"/>
      <c r="R302" s="381"/>
      <c r="S302" s="381"/>
      <c r="T302" s="381"/>
      <c r="U302" s="381"/>
      <c r="V302" s="381"/>
      <c r="W302" s="381"/>
      <c r="X302" s="381"/>
      <c r="Y302" s="381"/>
      <c r="Z302" s="381"/>
      <c r="AA302" s="381"/>
      <c r="AB302" s="381"/>
      <c r="AC302" s="382"/>
      <c r="AD302" s="382"/>
    </row>
    <row r="303" spans="1:30" ht="12.75" customHeight="1" x14ac:dyDescent="0.2">
      <c r="A303" s="378"/>
      <c r="B303" s="378"/>
      <c r="C303" s="378"/>
      <c r="D303" s="380"/>
      <c r="E303" s="380"/>
      <c r="F303" s="378"/>
      <c r="G303" s="378"/>
      <c r="H303" s="378"/>
      <c r="I303" s="378"/>
      <c r="J303" s="378"/>
      <c r="K303" s="378"/>
      <c r="L303" s="378"/>
      <c r="M303" s="381"/>
      <c r="N303" s="381"/>
      <c r="O303" s="381"/>
      <c r="P303" s="381"/>
      <c r="Q303" s="381"/>
      <c r="R303" s="381"/>
      <c r="S303" s="381"/>
      <c r="T303" s="381"/>
      <c r="U303" s="381"/>
      <c r="V303" s="381"/>
      <c r="W303" s="381"/>
      <c r="X303" s="381"/>
      <c r="Y303" s="381"/>
      <c r="Z303" s="381"/>
      <c r="AA303" s="381"/>
      <c r="AB303" s="381"/>
      <c r="AC303" s="382"/>
      <c r="AD303" s="382"/>
    </row>
    <row r="304" spans="1:30" ht="12.75" customHeight="1" x14ac:dyDescent="0.2">
      <c r="A304" s="378"/>
      <c r="B304" s="378"/>
      <c r="C304" s="378"/>
      <c r="D304" s="380"/>
      <c r="E304" s="380"/>
      <c r="F304" s="378"/>
      <c r="G304" s="378"/>
      <c r="H304" s="378"/>
      <c r="I304" s="378"/>
      <c r="J304" s="378"/>
      <c r="K304" s="378"/>
      <c r="L304" s="378"/>
      <c r="M304" s="381"/>
      <c r="N304" s="381"/>
      <c r="O304" s="381"/>
      <c r="P304" s="381"/>
      <c r="Q304" s="381"/>
      <c r="R304" s="381"/>
      <c r="S304" s="381"/>
      <c r="T304" s="381"/>
      <c r="U304" s="381"/>
      <c r="V304" s="381"/>
      <c r="W304" s="381"/>
      <c r="X304" s="381"/>
      <c r="Y304" s="381"/>
      <c r="Z304" s="381"/>
      <c r="AA304" s="381"/>
      <c r="AB304" s="381"/>
      <c r="AC304" s="382"/>
      <c r="AD304" s="382"/>
    </row>
    <row r="305" spans="1:30" ht="12.75" customHeight="1" x14ac:dyDescent="0.2">
      <c r="A305" s="378"/>
      <c r="B305" s="378"/>
      <c r="C305" s="378"/>
      <c r="D305" s="380"/>
      <c r="E305" s="380"/>
      <c r="F305" s="378"/>
      <c r="G305" s="378"/>
      <c r="H305" s="378"/>
      <c r="I305" s="378"/>
      <c r="J305" s="378"/>
      <c r="K305" s="378"/>
      <c r="L305" s="378"/>
      <c r="M305" s="381"/>
      <c r="N305" s="381"/>
      <c r="O305" s="381"/>
      <c r="P305" s="381"/>
      <c r="Q305" s="381"/>
      <c r="R305" s="381"/>
      <c r="S305" s="381"/>
      <c r="T305" s="381"/>
      <c r="U305" s="381"/>
      <c r="V305" s="381"/>
      <c r="W305" s="381"/>
      <c r="X305" s="381"/>
      <c r="Y305" s="381"/>
      <c r="Z305" s="381"/>
      <c r="AA305" s="381"/>
      <c r="AB305" s="381"/>
      <c r="AC305" s="382"/>
      <c r="AD305" s="382"/>
    </row>
    <row r="306" spans="1:30" ht="12.75" customHeight="1" x14ac:dyDescent="0.2">
      <c r="A306" s="378"/>
      <c r="B306" s="378"/>
      <c r="C306" s="378"/>
      <c r="D306" s="380"/>
      <c r="E306" s="380"/>
      <c r="F306" s="378"/>
      <c r="G306" s="378"/>
      <c r="H306" s="378"/>
      <c r="I306" s="378"/>
      <c r="J306" s="378"/>
      <c r="K306" s="378"/>
      <c r="L306" s="378"/>
      <c r="M306" s="381"/>
      <c r="N306" s="381"/>
      <c r="O306" s="381"/>
      <c r="P306" s="381"/>
      <c r="Q306" s="381"/>
      <c r="R306" s="381"/>
      <c r="S306" s="381"/>
      <c r="T306" s="381"/>
      <c r="U306" s="381"/>
      <c r="V306" s="381"/>
      <c r="W306" s="381"/>
      <c r="X306" s="381"/>
      <c r="Y306" s="381"/>
      <c r="Z306" s="381"/>
      <c r="AA306" s="381"/>
      <c r="AB306" s="381"/>
      <c r="AC306" s="382"/>
      <c r="AD306" s="382"/>
    </row>
    <row r="307" spans="1:30" ht="12.75" customHeight="1" x14ac:dyDescent="0.2">
      <c r="A307" s="378"/>
      <c r="B307" s="378"/>
      <c r="C307" s="378"/>
      <c r="D307" s="380"/>
      <c r="E307" s="380"/>
      <c r="F307" s="378"/>
      <c r="G307" s="378"/>
      <c r="H307" s="378"/>
      <c r="I307" s="378"/>
      <c r="J307" s="378"/>
      <c r="K307" s="378"/>
      <c r="L307" s="378"/>
      <c r="M307" s="381"/>
      <c r="N307" s="381"/>
      <c r="O307" s="381"/>
      <c r="P307" s="381"/>
      <c r="Q307" s="381"/>
      <c r="R307" s="381"/>
      <c r="S307" s="381"/>
      <c r="T307" s="381"/>
      <c r="U307" s="381"/>
      <c r="V307" s="381"/>
      <c r="W307" s="381"/>
      <c r="X307" s="381"/>
      <c r="Y307" s="381"/>
      <c r="Z307" s="381"/>
      <c r="AA307" s="381"/>
      <c r="AB307" s="381"/>
      <c r="AC307" s="382"/>
      <c r="AD307" s="382"/>
    </row>
    <row r="308" spans="1:30" ht="12.75" customHeight="1" x14ac:dyDescent="0.2">
      <c r="A308" s="378"/>
      <c r="B308" s="378"/>
      <c r="C308" s="378"/>
      <c r="D308" s="380"/>
      <c r="E308" s="380"/>
      <c r="F308" s="378"/>
      <c r="G308" s="378"/>
      <c r="H308" s="378"/>
      <c r="I308" s="378"/>
      <c r="J308" s="378"/>
      <c r="K308" s="378"/>
      <c r="L308" s="378"/>
      <c r="M308" s="381"/>
      <c r="N308" s="381"/>
      <c r="O308" s="381"/>
      <c r="P308" s="381"/>
      <c r="Q308" s="381"/>
      <c r="R308" s="381"/>
      <c r="S308" s="381"/>
      <c r="T308" s="381"/>
      <c r="U308" s="381"/>
      <c r="V308" s="381"/>
      <c r="W308" s="381"/>
      <c r="X308" s="381"/>
      <c r="Y308" s="381"/>
      <c r="Z308" s="381"/>
      <c r="AA308" s="381"/>
      <c r="AB308" s="381"/>
      <c r="AC308" s="382"/>
      <c r="AD308" s="382"/>
    </row>
    <row r="309" spans="1:30" ht="12.75" customHeight="1" x14ac:dyDescent="0.2">
      <c r="A309" s="378"/>
      <c r="B309" s="378"/>
      <c r="C309" s="378"/>
      <c r="D309" s="380"/>
      <c r="E309" s="380"/>
      <c r="F309" s="378"/>
      <c r="G309" s="378"/>
      <c r="H309" s="378"/>
      <c r="I309" s="378"/>
      <c r="J309" s="378"/>
      <c r="K309" s="378"/>
      <c r="L309" s="378"/>
      <c r="M309" s="381"/>
      <c r="N309" s="381"/>
      <c r="O309" s="381"/>
      <c r="P309" s="381"/>
      <c r="Q309" s="381"/>
      <c r="R309" s="381"/>
      <c r="S309" s="381"/>
      <c r="T309" s="381"/>
      <c r="U309" s="381"/>
      <c r="V309" s="381"/>
      <c r="W309" s="381"/>
      <c r="X309" s="381"/>
      <c r="Y309" s="381"/>
      <c r="Z309" s="381"/>
      <c r="AA309" s="381"/>
      <c r="AB309" s="381"/>
      <c r="AC309" s="382"/>
      <c r="AD309" s="382"/>
    </row>
    <row r="310" spans="1:30" ht="12.75" customHeight="1" x14ac:dyDescent="0.2">
      <c r="A310" s="378"/>
      <c r="B310" s="378"/>
      <c r="C310" s="378"/>
      <c r="D310" s="380"/>
      <c r="E310" s="380"/>
      <c r="F310" s="378"/>
      <c r="G310" s="378"/>
      <c r="H310" s="378"/>
      <c r="I310" s="378"/>
      <c r="J310" s="378"/>
      <c r="K310" s="378"/>
      <c r="L310" s="378"/>
      <c r="M310" s="381"/>
      <c r="N310" s="381"/>
      <c r="O310" s="381"/>
      <c r="P310" s="381"/>
      <c r="Q310" s="381"/>
      <c r="R310" s="381"/>
      <c r="S310" s="381"/>
      <c r="T310" s="381"/>
      <c r="U310" s="381"/>
      <c r="V310" s="381"/>
      <c r="W310" s="381"/>
      <c r="X310" s="381"/>
      <c r="Y310" s="381"/>
      <c r="Z310" s="381"/>
      <c r="AA310" s="381"/>
      <c r="AB310" s="381"/>
      <c r="AC310" s="382"/>
      <c r="AD310" s="382"/>
    </row>
    <row r="311" spans="1:30" ht="12.75" customHeight="1" x14ac:dyDescent="0.2">
      <c r="A311" s="378"/>
      <c r="B311" s="378"/>
      <c r="C311" s="378"/>
      <c r="D311" s="380"/>
      <c r="E311" s="380"/>
      <c r="F311" s="378"/>
      <c r="G311" s="378"/>
      <c r="H311" s="378"/>
      <c r="I311" s="378"/>
      <c r="J311" s="378"/>
      <c r="K311" s="378"/>
      <c r="L311" s="378"/>
      <c r="M311" s="381"/>
      <c r="N311" s="381"/>
      <c r="O311" s="381"/>
      <c r="P311" s="381"/>
      <c r="Q311" s="381"/>
      <c r="R311" s="381"/>
      <c r="S311" s="381"/>
      <c r="T311" s="381"/>
      <c r="U311" s="381"/>
      <c r="V311" s="381"/>
      <c r="W311" s="381"/>
      <c r="X311" s="381"/>
      <c r="Y311" s="381"/>
      <c r="Z311" s="381"/>
      <c r="AA311" s="381"/>
      <c r="AB311" s="381"/>
      <c r="AC311" s="382"/>
      <c r="AD311" s="382"/>
    </row>
    <row r="312" spans="1:30" ht="12.75" customHeight="1" x14ac:dyDescent="0.2">
      <c r="A312" s="378"/>
      <c r="B312" s="378"/>
      <c r="C312" s="378"/>
      <c r="D312" s="380"/>
      <c r="E312" s="380"/>
      <c r="F312" s="378"/>
      <c r="G312" s="378"/>
      <c r="H312" s="378"/>
      <c r="I312" s="378"/>
      <c r="J312" s="378"/>
      <c r="K312" s="378"/>
      <c r="L312" s="378"/>
      <c r="M312" s="381"/>
      <c r="N312" s="381"/>
      <c r="O312" s="381"/>
      <c r="P312" s="381"/>
      <c r="Q312" s="381"/>
      <c r="R312" s="381"/>
      <c r="S312" s="381"/>
      <c r="T312" s="381"/>
      <c r="U312" s="381"/>
      <c r="V312" s="381"/>
      <c r="W312" s="381"/>
      <c r="X312" s="381"/>
      <c r="Y312" s="381"/>
      <c r="Z312" s="381"/>
      <c r="AA312" s="381"/>
      <c r="AB312" s="381"/>
      <c r="AC312" s="382"/>
      <c r="AD312" s="382"/>
    </row>
    <row r="313" spans="1:30" ht="12.75" customHeight="1" x14ac:dyDescent="0.2">
      <c r="A313" s="378"/>
      <c r="B313" s="378"/>
      <c r="C313" s="378"/>
      <c r="D313" s="380"/>
      <c r="E313" s="380"/>
      <c r="F313" s="378"/>
      <c r="G313" s="378"/>
      <c r="H313" s="378"/>
      <c r="I313" s="378"/>
      <c r="J313" s="378"/>
      <c r="K313" s="378"/>
      <c r="L313" s="378"/>
      <c r="M313" s="381"/>
      <c r="N313" s="381"/>
      <c r="O313" s="381"/>
      <c r="P313" s="381"/>
      <c r="Q313" s="381"/>
      <c r="R313" s="381"/>
      <c r="S313" s="381"/>
      <c r="T313" s="381"/>
      <c r="U313" s="381"/>
      <c r="V313" s="381"/>
      <c r="W313" s="381"/>
      <c r="X313" s="381"/>
      <c r="Y313" s="381"/>
      <c r="Z313" s="381"/>
      <c r="AA313" s="381"/>
      <c r="AB313" s="381"/>
      <c r="AC313" s="382"/>
      <c r="AD313" s="382"/>
    </row>
    <row r="314" spans="1:30" ht="12.75" customHeight="1" x14ac:dyDescent="0.2">
      <c r="A314" s="378"/>
      <c r="B314" s="378"/>
      <c r="C314" s="378"/>
      <c r="D314" s="380"/>
      <c r="E314" s="380"/>
      <c r="F314" s="378"/>
      <c r="G314" s="378"/>
      <c r="H314" s="378"/>
      <c r="I314" s="378"/>
      <c r="J314" s="378"/>
      <c r="K314" s="378"/>
      <c r="L314" s="378"/>
      <c r="M314" s="381"/>
      <c r="N314" s="381"/>
      <c r="O314" s="381"/>
      <c r="P314" s="381"/>
      <c r="Q314" s="381"/>
      <c r="R314" s="381"/>
      <c r="S314" s="381"/>
      <c r="T314" s="381"/>
      <c r="U314" s="381"/>
      <c r="V314" s="381"/>
      <c r="W314" s="381"/>
      <c r="X314" s="381"/>
      <c r="Y314" s="381"/>
      <c r="Z314" s="381"/>
      <c r="AA314" s="381"/>
      <c r="AB314" s="381"/>
      <c r="AC314" s="382"/>
      <c r="AD314" s="382"/>
    </row>
    <row r="315" spans="1:30" ht="12.75" customHeight="1" x14ac:dyDescent="0.2">
      <c r="A315" s="378"/>
      <c r="B315" s="378"/>
      <c r="C315" s="378"/>
      <c r="D315" s="380"/>
      <c r="E315" s="380"/>
      <c r="F315" s="378"/>
      <c r="G315" s="378"/>
      <c r="H315" s="378"/>
      <c r="I315" s="378"/>
      <c r="J315" s="378"/>
      <c r="K315" s="378"/>
      <c r="L315" s="378"/>
      <c r="M315" s="381"/>
      <c r="N315" s="381"/>
      <c r="O315" s="381"/>
      <c r="P315" s="381"/>
      <c r="Q315" s="381"/>
      <c r="R315" s="381"/>
      <c r="S315" s="381"/>
      <c r="T315" s="381"/>
      <c r="U315" s="381"/>
      <c r="V315" s="381"/>
      <c r="W315" s="381"/>
      <c r="X315" s="381"/>
      <c r="Y315" s="381"/>
      <c r="Z315" s="381"/>
      <c r="AA315" s="381"/>
      <c r="AB315" s="381"/>
      <c r="AC315" s="382"/>
      <c r="AD315" s="382"/>
    </row>
    <row r="316" spans="1:30" ht="12.75" customHeight="1" x14ac:dyDescent="0.2">
      <c r="A316" s="378"/>
      <c r="B316" s="378"/>
      <c r="C316" s="378"/>
      <c r="D316" s="380"/>
      <c r="E316" s="380"/>
      <c r="F316" s="378"/>
      <c r="G316" s="378"/>
      <c r="H316" s="378"/>
      <c r="I316" s="378"/>
      <c r="J316" s="378"/>
      <c r="K316" s="378"/>
      <c r="L316" s="378"/>
      <c r="M316" s="381"/>
      <c r="N316" s="381"/>
      <c r="O316" s="381"/>
      <c r="P316" s="381"/>
      <c r="Q316" s="381"/>
      <c r="R316" s="381"/>
      <c r="S316" s="381"/>
      <c r="T316" s="381"/>
      <c r="U316" s="381"/>
      <c r="V316" s="381"/>
      <c r="W316" s="381"/>
      <c r="X316" s="381"/>
      <c r="Y316" s="381"/>
      <c r="Z316" s="381"/>
      <c r="AA316" s="381"/>
      <c r="AB316" s="381"/>
      <c r="AC316" s="382"/>
      <c r="AD316" s="382"/>
    </row>
    <row r="317" spans="1:30" ht="12.75" customHeight="1" x14ac:dyDescent="0.2">
      <c r="A317" s="378"/>
      <c r="B317" s="378"/>
      <c r="C317" s="378"/>
      <c r="D317" s="380"/>
      <c r="E317" s="380"/>
      <c r="F317" s="378"/>
      <c r="G317" s="378"/>
      <c r="H317" s="378"/>
      <c r="I317" s="378"/>
      <c r="J317" s="378"/>
      <c r="K317" s="378"/>
      <c r="L317" s="378"/>
      <c r="M317" s="381"/>
      <c r="N317" s="381"/>
      <c r="O317" s="381"/>
      <c r="P317" s="381"/>
      <c r="Q317" s="381"/>
      <c r="R317" s="381"/>
      <c r="S317" s="381"/>
      <c r="T317" s="381"/>
      <c r="U317" s="381"/>
      <c r="V317" s="381"/>
      <c r="W317" s="381"/>
      <c r="X317" s="381"/>
      <c r="Y317" s="381"/>
      <c r="Z317" s="381"/>
      <c r="AA317" s="381"/>
      <c r="AB317" s="381"/>
      <c r="AC317" s="382"/>
      <c r="AD317" s="382"/>
    </row>
    <row r="318" spans="1:30" ht="12.75" customHeight="1" x14ac:dyDescent="0.2">
      <c r="A318" s="378"/>
      <c r="B318" s="378"/>
      <c r="C318" s="378"/>
      <c r="D318" s="380"/>
      <c r="E318" s="380"/>
      <c r="F318" s="378"/>
      <c r="G318" s="378"/>
      <c r="H318" s="378"/>
      <c r="I318" s="378"/>
      <c r="J318" s="378"/>
      <c r="K318" s="378"/>
      <c r="L318" s="378"/>
      <c r="M318" s="381"/>
      <c r="N318" s="381"/>
      <c r="O318" s="381"/>
      <c r="P318" s="381"/>
      <c r="Q318" s="381"/>
      <c r="R318" s="381"/>
      <c r="S318" s="381"/>
      <c r="T318" s="381"/>
      <c r="U318" s="381"/>
      <c r="V318" s="381"/>
      <c r="W318" s="381"/>
      <c r="X318" s="381"/>
      <c r="Y318" s="381"/>
      <c r="Z318" s="381"/>
      <c r="AA318" s="381"/>
      <c r="AB318" s="381"/>
      <c r="AC318" s="382"/>
      <c r="AD318" s="382"/>
    </row>
    <row r="319" spans="1:30" ht="12.75" customHeight="1" x14ac:dyDescent="0.2">
      <c r="A319" s="378"/>
      <c r="B319" s="378"/>
      <c r="C319" s="378"/>
      <c r="D319" s="380"/>
      <c r="E319" s="380"/>
      <c r="F319" s="378"/>
      <c r="G319" s="378"/>
      <c r="H319" s="378"/>
      <c r="I319" s="378"/>
      <c r="J319" s="378"/>
      <c r="K319" s="378"/>
      <c r="L319" s="378"/>
      <c r="M319" s="381"/>
      <c r="N319" s="381"/>
      <c r="O319" s="381"/>
      <c r="P319" s="381"/>
      <c r="Q319" s="381"/>
      <c r="R319" s="381"/>
      <c r="S319" s="381"/>
      <c r="T319" s="381"/>
      <c r="U319" s="381"/>
      <c r="V319" s="381"/>
      <c r="W319" s="381"/>
      <c r="X319" s="381"/>
      <c r="Y319" s="381"/>
      <c r="Z319" s="381"/>
      <c r="AA319" s="381"/>
      <c r="AB319" s="381"/>
      <c r="AC319" s="382"/>
      <c r="AD319" s="382"/>
    </row>
    <row r="320" spans="1:30" ht="12.75" customHeight="1" x14ac:dyDescent="0.2">
      <c r="A320" s="378"/>
      <c r="B320" s="378"/>
      <c r="C320" s="378"/>
      <c r="D320" s="380"/>
      <c r="E320" s="380"/>
      <c r="F320" s="378"/>
      <c r="G320" s="378"/>
      <c r="H320" s="378"/>
      <c r="I320" s="378"/>
      <c r="J320" s="378"/>
      <c r="K320" s="378"/>
      <c r="L320" s="378"/>
      <c r="M320" s="381"/>
      <c r="N320" s="381"/>
      <c r="O320" s="381"/>
      <c r="P320" s="381"/>
      <c r="Q320" s="381"/>
      <c r="R320" s="381"/>
      <c r="S320" s="381"/>
      <c r="T320" s="381"/>
      <c r="U320" s="381"/>
      <c r="V320" s="381"/>
      <c r="W320" s="381"/>
      <c r="X320" s="381"/>
      <c r="Y320" s="381"/>
      <c r="Z320" s="381"/>
      <c r="AA320" s="381"/>
      <c r="AB320" s="381"/>
      <c r="AC320" s="382"/>
      <c r="AD320" s="382"/>
    </row>
    <row r="321" spans="1:30" ht="12.75" customHeight="1" x14ac:dyDescent="0.2">
      <c r="A321" s="378"/>
      <c r="B321" s="378"/>
      <c r="C321" s="378"/>
      <c r="D321" s="380"/>
      <c r="E321" s="380"/>
      <c r="F321" s="378"/>
      <c r="G321" s="378"/>
      <c r="H321" s="378"/>
      <c r="I321" s="378"/>
      <c r="J321" s="378"/>
      <c r="K321" s="378"/>
      <c r="L321" s="378"/>
      <c r="M321" s="381"/>
      <c r="N321" s="381"/>
      <c r="O321" s="381"/>
      <c r="P321" s="381"/>
      <c r="Q321" s="381"/>
      <c r="R321" s="381"/>
      <c r="S321" s="381"/>
      <c r="T321" s="381"/>
      <c r="U321" s="381"/>
      <c r="V321" s="381"/>
      <c r="W321" s="381"/>
      <c r="X321" s="381"/>
      <c r="Y321" s="381"/>
      <c r="Z321" s="381"/>
      <c r="AA321" s="381"/>
      <c r="AB321" s="381"/>
      <c r="AC321" s="382"/>
      <c r="AD321" s="382"/>
    </row>
    <row r="322" spans="1:30" ht="12.75" customHeight="1" x14ac:dyDescent="0.2">
      <c r="A322" s="378"/>
      <c r="B322" s="378"/>
      <c r="C322" s="378"/>
      <c r="D322" s="380"/>
      <c r="E322" s="380"/>
      <c r="F322" s="378"/>
      <c r="G322" s="378"/>
      <c r="H322" s="378"/>
      <c r="I322" s="378"/>
      <c r="J322" s="378"/>
      <c r="K322" s="378"/>
      <c r="L322" s="378"/>
      <c r="M322" s="381"/>
      <c r="N322" s="381"/>
      <c r="O322" s="381"/>
      <c r="P322" s="381"/>
      <c r="Q322" s="381"/>
      <c r="R322" s="381"/>
      <c r="S322" s="381"/>
      <c r="T322" s="381"/>
      <c r="U322" s="381"/>
      <c r="V322" s="381"/>
      <c r="W322" s="381"/>
      <c r="X322" s="381"/>
      <c r="Y322" s="381"/>
      <c r="Z322" s="381"/>
      <c r="AA322" s="381"/>
      <c r="AB322" s="381"/>
      <c r="AC322" s="382"/>
      <c r="AD322" s="382"/>
    </row>
    <row r="323" spans="1:30" ht="12.75" customHeight="1" x14ac:dyDescent="0.2">
      <c r="A323" s="378"/>
      <c r="B323" s="378"/>
      <c r="C323" s="378"/>
      <c r="D323" s="380"/>
      <c r="E323" s="380"/>
      <c r="F323" s="378"/>
      <c r="G323" s="378"/>
      <c r="H323" s="378"/>
      <c r="I323" s="378"/>
      <c r="J323" s="378"/>
      <c r="K323" s="378"/>
      <c r="L323" s="378"/>
      <c r="M323" s="381"/>
      <c r="N323" s="381"/>
      <c r="O323" s="381"/>
      <c r="P323" s="381"/>
      <c r="Q323" s="381"/>
      <c r="R323" s="381"/>
      <c r="S323" s="381"/>
      <c r="T323" s="381"/>
      <c r="U323" s="381"/>
      <c r="V323" s="381"/>
      <c r="W323" s="381"/>
      <c r="X323" s="381"/>
      <c r="Y323" s="381"/>
      <c r="Z323" s="381"/>
      <c r="AA323" s="381"/>
      <c r="AB323" s="381"/>
      <c r="AC323" s="382"/>
      <c r="AD323" s="382"/>
    </row>
    <row r="324" spans="1:30" ht="12.75" customHeight="1" x14ac:dyDescent="0.2">
      <c r="A324" s="378"/>
      <c r="B324" s="378"/>
      <c r="C324" s="378"/>
      <c r="D324" s="380"/>
      <c r="E324" s="380"/>
      <c r="F324" s="378"/>
      <c r="G324" s="378"/>
      <c r="H324" s="378"/>
      <c r="I324" s="378"/>
      <c r="J324" s="378"/>
      <c r="K324" s="378"/>
      <c r="L324" s="378"/>
      <c r="M324" s="381"/>
      <c r="N324" s="381"/>
      <c r="O324" s="381"/>
      <c r="P324" s="381"/>
      <c r="Q324" s="381"/>
      <c r="R324" s="381"/>
      <c r="S324" s="381"/>
      <c r="T324" s="381"/>
      <c r="U324" s="381"/>
      <c r="V324" s="381"/>
      <c r="W324" s="381"/>
      <c r="X324" s="381"/>
      <c r="Y324" s="381"/>
      <c r="Z324" s="381"/>
      <c r="AA324" s="381"/>
      <c r="AB324" s="381"/>
      <c r="AC324" s="382"/>
      <c r="AD324" s="382"/>
    </row>
    <row r="325" spans="1:30" ht="12.75" customHeight="1" x14ac:dyDescent="0.2">
      <c r="A325" s="378"/>
      <c r="B325" s="378"/>
      <c r="C325" s="378"/>
      <c r="D325" s="380"/>
      <c r="E325" s="380"/>
      <c r="F325" s="378"/>
      <c r="G325" s="378"/>
      <c r="H325" s="378"/>
      <c r="I325" s="378"/>
      <c r="J325" s="378"/>
      <c r="K325" s="378"/>
      <c r="L325" s="378"/>
      <c r="M325" s="381"/>
      <c r="N325" s="381"/>
      <c r="O325" s="381"/>
      <c r="P325" s="381"/>
      <c r="Q325" s="381"/>
      <c r="R325" s="381"/>
      <c r="S325" s="381"/>
      <c r="T325" s="381"/>
      <c r="U325" s="381"/>
      <c r="V325" s="381"/>
      <c r="W325" s="381"/>
      <c r="X325" s="381"/>
      <c r="Y325" s="381"/>
      <c r="Z325" s="381"/>
      <c r="AA325" s="381"/>
      <c r="AB325" s="381"/>
      <c r="AC325" s="382"/>
      <c r="AD325" s="382"/>
    </row>
    <row r="326" spans="1:30" ht="12.75" customHeight="1" x14ac:dyDescent="0.2">
      <c r="A326" s="378"/>
      <c r="B326" s="378"/>
      <c r="C326" s="378"/>
      <c r="D326" s="380"/>
      <c r="E326" s="380"/>
      <c r="F326" s="378"/>
      <c r="G326" s="378"/>
      <c r="H326" s="378"/>
      <c r="I326" s="378"/>
      <c r="J326" s="378"/>
      <c r="K326" s="378"/>
      <c r="L326" s="378"/>
      <c r="M326" s="381"/>
      <c r="N326" s="381"/>
      <c r="O326" s="381"/>
      <c r="P326" s="381"/>
      <c r="Q326" s="381"/>
      <c r="R326" s="381"/>
      <c r="S326" s="381"/>
      <c r="T326" s="381"/>
      <c r="U326" s="381"/>
      <c r="V326" s="381"/>
      <c r="W326" s="381"/>
      <c r="X326" s="381"/>
      <c r="Y326" s="381"/>
      <c r="Z326" s="381"/>
      <c r="AA326" s="381"/>
      <c r="AB326" s="381"/>
      <c r="AC326" s="382"/>
      <c r="AD326" s="382"/>
    </row>
    <row r="327" spans="1:30" ht="12.75" customHeight="1" x14ac:dyDescent="0.2">
      <c r="A327" s="378"/>
      <c r="B327" s="378"/>
      <c r="C327" s="378"/>
      <c r="D327" s="380"/>
      <c r="E327" s="380"/>
      <c r="F327" s="378"/>
      <c r="G327" s="378"/>
      <c r="H327" s="378"/>
      <c r="I327" s="378"/>
      <c r="J327" s="378"/>
      <c r="K327" s="378"/>
      <c r="L327" s="378"/>
      <c r="M327" s="381"/>
      <c r="N327" s="381"/>
      <c r="O327" s="381"/>
      <c r="P327" s="381"/>
      <c r="Q327" s="381"/>
      <c r="R327" s="381"/>
      <c r="S327" s="381"/>
      <c r="T327" s="381"/>
      <c r="U327" s="381"/>
      <c r="V327" s="381"/>
      <c r="W327" s="381"/>
      <c r="X327" s="381"/>
      <c r="Y327" s="381"/>
      <c r="Z327" s="381"/>
      <c r="AA327" s="381"/>
      <c r="AB327" s="381"/>
      <c r="AC327" s="382"/>
      <c r="AD327" s="382"/>
    </row>
    <row r="328" spans="1:30" ht="12.75" customHeight="1" x14ac:dyDescent="0.2">
      <c r="A328" s="378"/>
      <c r="B328" s="378"/>
      <c r="C328" s="378"/>
      <c r="D328" s="380"/>
      <c r="E328" s="380"/>
      <c r="F328" s="378"/>
      <c r="G328" s="378"/>
      <c r="H328" s="378"/>
      <c r="I328" s="378"/>
      <c r="J328" s="378"/>
      <c r="K328" s="378"/>
      <c r="L328" s="378"/>
      <c r="M328" s="381"/>
      <c r="N328" s="381"/>
      <c r="O328" s="381"/>
      <c r="P328" s="381"/>
      <c r="Q328" s="381"/>
      <c r="R328" s="381"/>
      <c r="S328" s="381"/>
      <c r="T328" s="381"/>
      <c r="U328" s="381"/>
      <c r="V328" s="381"/>
      <c r="W328" s="381"/>
      <c r="X328" s="381"/>
      <c r="Y328" s="381"/>
      <c r="Z328" s="381"/>
      <c r="AA328" s="381"/>
      <c r="AB328" s="381"/>
      <c r="AC328" s="382"/>
      <c r="AD328" s="382"/>
    </row>
    <row r="329" spans="1:30" ht="12.75" customHeight="1" x14ac:dyDescent="0.2">
      <c r="A329" s="378"/>
      <c r="B329" s="378"/>
      <c r="C329" s="378"/>
      <c r="D329" s="380"/>
      <c r="E329" s="380"/>
      <c r="F329" s="378"/>
      <c r="G329" s="378"/>
      <c r="H329" s="378"/>
      <c r="I329" s="378"/>
      <c r="J329" s="378"/>
      <c r="K329" s="378"/>
      <c r="L329" s="378"/>
      <c r="M329" s="381"/>
      <c r="N329" s="381"/>
      <c r="O329" s="381"/>
      <c r="P329" s="381"/>
      <c r="Q329" s="381"/>
      <c r="R329" s="381"/>
      <c r="S329" s="381"/>
      <c r="T329" s="381"/>
      <c r="U329" s="381"/>
      <c r="V329" s="381"/>
      <c r="W329" s="381"/>
      <c r="X329" s="381"/>
      <c r="Y329" s="381"/>
      <c r="Z329" s="381"/>
      <c r="AA329" s="381"/>
      <c r="AB329" s="381"/>
      <c r="AC329" s="382"/>
      <c r="AD329" s="382"/>
    </row>
    <row r="330" spans="1:30" ht="12.75" customHeight="1" x14ac:dyDescent="0.2">
      <c r="A330" s="378"/>
      <c r="B330" s="378"/>
      <c r="C330" s="378"/>
      <c r="D330" s="380"/>
      <c r="E330" s="380"/>
      <c r="F330" s="378"/>
      <c r="G330" s="378"/>
      <c r="H330" s="378"/>
      <c r="I330" s="378"/>
      <c r="J330" s="378"/>
      <c r="K330" s="378"/>
      <c r="L330" s="378"/>
      <c r="M330" s="381"/>
      <c r="N330" s="381"/>
      <c r="O330" s="381"/>
      <c r="P330" s="381"/>
      <c r="Q330" s="381"/>
      <c r="R330" s="381"/>
      <c r="S330" s="381"/>
      <c r="T330" s="381"/>
      <c r="U330" s="381"/>
      <c r="V330" s="381"/>
      <c r="W330" s="381"/>
      <c r="X330" s="381"/>
      <c r="Y330" s="381"/>
      <c r="Z330" s="381"/>
      <c r="AA330" s="381"/>
      <c r="AB330" s="381"/>
      <c r="AC330" s="382"/>
      <c r="AD330" s="382"/>
    </row>
    <row r="331" spans="1:30" ht="12.75" customHeight="1" x14ac:dyDescent="0.2">
      <c r="A331" s="378"/>
      <c r="B331" s="378"/>
      <c r="C331" s="378"/>
      <c r="D331" s="380"/>
      <c r="E331" s="380"/>
      <c r="F331" s="378"/>
      <c r="G331" s="378"/>
      <c r="H331" s="378"/>
      <c r="I331" s="378"/>
      <c r="J331" s="378"/>
      <c r="K331" s="378"/>
      <c r="L331" s="378"/>
      <c r="M331" s="381"/>
      <c r="N331" s="381"/>
      <c r="O331" s="381"/>
      <c r="P331" s="381"/>
      <c r="Q331" s="381"/>
      <c r="R331" s="381"/>
      <c r="S331" s="381"/>
      <c r="T331" s="381"/>
      <c r="U331" s="381"/>
      <c r="V331" s="381"/>
      <c r="W331" s="381"/>
      <c r="X331" s="381"/>
      <c r="Y331" s="381"/>
      <c r="Z331" s="381"/>
      <c r="AA331" s="381"/>
      <c r="AB331" s="381"/>
      <c r="AC331" s="382"/>
      <c r="AD331" s="382"/>
    </row>
    <row r="332" spans="1:30" ht="12.75" customHeight="1" x14ac:dyDescent="0.2">
      <c r="A332" s="378"/>
      <c r="B332" s="378"/>
      <c r="C332" s="378"/>
      <c r="D332" s="380"/>
      <c r="E332" s="380"/>
      <c r="F332" s="378"/>
      <c r="G332" s="378"/>
      <c r="H332" s="378"/>
      <c r="I332" s="378"/>
      <c r="J332" s="378"/>
      <c r="K332" s="378"/>
      <c r="L332" s="378"/>
      <c r="M332" s="381"/>
      <c r="N332" s="381"/>
      <c r="O332" s="381"/>
      <c r="P332" s="381"/>
      <c r="Q332" s="381"/>
      <c r="R332" s="381"/>
      <c r="S332" s="381"/>
      <c r="T332" s="381"/>
      <c r="U332" s="381"/>
      <c r="V332" s="381"/>
      <c r="W332" s="381"/>
      <c r="X332" s="381"/>
      <c r="Y332" s="381"/>
      <c r="Z332" s="381"/>
      <c r="AA332" s="381"/>
      <c r="AB332" s="381"/>
      <c r="AC332" s="382"/>
      <c r="AD332" s="382"/>
    </row>
    <row r="333" spans="1:30" ht="12.75" customHeight="1" x14ac:dyDescent="0.2">
      <c r="A333" s="378"/>
      <c r="B333" s="378"/>
      <c r="C333" s="378"/>
      <c r="D333" s="380"/>
      <c r="E333" s="380"/>
      <c r="F333" s="378"/>
      <c r="G333" s="378"/>
      <c r="H333" s="378"/>
      <c r="I333" s="378"/>
      <c r="J333" s="378"/>
      <c r="K333" s="378"/>
      <c r="L333" s="378"/>
      <c r="M333" s="381"/>
      <c r="N333" s="381"/>
      <c r="O333" s="381"/>
      <c r="P333" s="381"/>
      <c r="Q333" s="381"/>
      <c r="R333" s="381"/>
      <c r="S333" s="381"/>
      <c r="T333" s="381"/>
      <c r="U333" s="381"/>
      <c r="V333" s="381"/>
      <c r="W333" s="381"/>
      <c r="X333" s="381"/>
      <c r="Y333" s="381"/>
      <c r="Z333" s="381"/>
      <c r="AA333" s="381"/>
      <c r="AB333" s="381"/>
      <c r="AC333" s="382"/>
      <c r="AD333" s="382"/>
    </row>
    <row r="334" spans="1:30" ht="12.75" customHeight="1" x14ac:dyDescent="0.2">
      <c r="A334" s="378"/>
      <c r="B334" s="378"/>
      <c r="C334" s="378"/>
      <c r="D334" s="380"/>
      <c r="E334" s="380"/>
      <c r="F334" s="378"/>
      <c r="G334" s="378"/>
      <c r="H334" s="378"/>
      <c r="I334" s="378"/>
      <c r="J334" s="378"/>
      <c r="K334" s="378"/>
      <c r="L334" s="378"/>
      <c r="M334" s="381"/>
      <c r="N334" s="381"/>
      <c r="O334" s="381"/>
      <c r="P334" s="381"/>
      <c r="Q334" s="381"/>
      <c r="R334" s="381"/>
      <c r="S334" s="381"/>
      <c r="T334" s="381"/>
      <c r="U334" s="381"/>
      <c r="V334" s="381"/>
      <c r="W334" s="381"/>
      <c r="X334" s="381"/>
      <c r="Y334" s="381"/>
      <c r="Z334" s="381"/>
      <c r="AA334" s="381"/>
      <c r="AB334" s="381"/>
      <c r="AC334" s="382"/>
      <c r="AD334" s="382"/>
    </row>
    <row r="335" spans="1:30" ht="12.75" customHeight="1" x14ac:dyDescent="0.2">
      <c r="A335" s="378"/>
      <c r="B335" s="378"/>
      <c r="C335" s="378"/>
      <c r="D335" s="380"/>
      <c r="E335" s="380"/>
      <c r="F335" s="378"/>
      <c r="G335" s="378"/>
      <c r="H335" s="378"/>
      <c r="I335" s="378"/>
      <c r="J335" s="378"/>
      <c r="K335" s="378"/>
      <c r="L335" s="378"/>
      <c r="M335" s="381"/>
      <c r="N335" s="381"/>
      <c r="O335" s="381"/>
      <c r="P335" s="381"/>
      <c r="Q335" s="381"/>
      <c r="R335" s="381"/>
      <c r="S335" s="381"/>
      <c r="T335" s="381"/>
      <c r="U335" s="381"/>
      <c r="V335" s="381"/>
      <c r="W335" s="381"/>
      <c r="X335" s="381"/>
      <c r="Y335" s="381"/>
      <c r="Z335" s="381"/>
      <c r="AA335" s="381"/>
      <c r="AB335" s="381"/>
      <c r="AC335" s="382"/>
      <c r="AD335" s="382"/>
    </row>
    <row r="336" spans="1:30" ht="12.75" customHeight="1" x14ac:dyDescent="0.2">
      <c r="A336" s="378"/>
      <c r="B336" s="378"/>
      <c r="C336" s="378"/>
      <c r="D336" s="380"/>
      <c r="E336" s="380"/>
      <c r="F336" s="378"/>
      <c r="G336" s="378"/>
      <c r="H336" s="378"/>
      <c r="I336" s="378"/>
      <c r="J336" s="378"/>
      <c r="K336" s="378"/>
      <c r="L336" s="378"/>
      <c r="M336" s="381"/>
      <c r="N336" s="381"/>
      <c r="O336" s="381"/>
      <c r="P336" s="381"/>
      <c r="Q336" s="381"/>
      <c r="R336" s="381"/>
      <c r="S336" s="381"/>
      <c r="T336" s="381"/>
      <c r="U336" s="381"/>
      <c r="V336" s="381"/>
      <c r="W336" s="381"/>
      <c r="X336" s="381"/>
      <c r="Y336" s="381"/>
      <c r="Z336" s="381"/>
      <c r="AA336" s="381"/>
      <c r="AB336" s="381"/>
      <c r="AC336" s="382"/>
      <c r="AD336" s="382"/>
    </row>
    <row r="337" spans="1:30" ht="12.75" customHeight="1" x14ac:dyDescent="0.2">
      <c r="A337" s="378"/>
      <c r="B337" s="378"/>
      <c r="C337" s="378"/>
      <c r="D337" s="380"/>
      <c r="E337" s="380"/>
      <c r="F337" s="378"/>
      <c r="G337" s="378"/>
      <c r="H337" s="378"/>
      <c r="I337" s="378"/>
      <c r="J337" s="378"/>
      <c r="K337" s="378"/>
      <c r="L337" s="378"/>
      <c r="M337" s="381"/>
      <c r="N337" s="381"/>
      <c r="O337" s="381"/>
      <c r="P337" s="381"/>
      <c r="Q337" s="381"/>
      <c r="R337" s="381"/>
      <c r="S337" s="381"/>
      <c r="T337" s="381"/>
      <c r="U337" s="381"/>
      <c r="V337" s="381"/>
      <c r="W337" s="381"/>
      <c r="X337" s="381"/>
      <c r="Y337" s="381"/>
      <c r="Z337" s="381"/>
      <c r="AA337" s="381"/>
      <c r="AB337" s="381"/>
      <c r="AC337" s="382"/>
      <c r="AD337" s="382"/>
    </row>
    <row r="338" spans="1:30" ht="12.75" customHeight="1" x14ac:dyDescent="0.2">
      <c r="A338" s="378"/>
      <c r="B338" s="378"/>
      <c r="C338" s="378"/>
      <c r="D338" s="380"/>
      <c r="E338" s="380"/>
      <c r="F338" s="378"/>
      <c r="G338" s="378"/>
      <c r="H338" s="378"/>
      <c r="I338" s="378"/>
      <c r="J338" s="378"/>
      <c r="K338" s="378"/>
      <c r="L338" s="378"/>
      <c r="M338" s="381"/>
      <c r="N338" s="381"/>
      <c r="O338" s="381"/>
      <c r="P338" s="381"/>
      <c r="Q338" s="381"/>
      <c r="R338" s="381"/>
      <c r="S338" s="381"/>
      <c r="T338" s="381"/>
      <c r="U338" s="381"/>
      <c r="V338" s="381"/>
      <c r="W338" s="381"/>
      <c r="X338" s="381"/>
      <c r="Y338" s="381"/>
      <c r="Z338" s="381"/>
      <c r="AA338" s="381"/>
      <c r="AB338" s="381"/>
      <c r="AC338" s="382"/>
      <c r="AD338" s="382"/>
    </row>
    <row r="339" spans="1:30" ht="12.75" customHeight="1" x14ac:dyDescent="0.2">
      <c r="A339" s="378"/>
      <c r="B339" s="378"/>
      <c r="C339" s="378"/>
      <c r="D339" s="380"/>
      <c r="E339" s="380"/>
      <c r="F339" s="378"/>
      <c r="G339" s="378"/>
      <c r="H339" s="378"/>
      <c r="I339" s="378"/>
      <c r="J339" s="378"/>
      <c r="K339" s="378"/>
      <c r="L339" s="378"/>
      <c r="M339" s="381"/>
      <c r="N339" s="381"/>
      <c r="O339" s="381"/>
      <c r="P339" s="381"/>
      <c r="Q339" s="381"/>
      <c r="R339" s="381"/>
      <c r="S339" s="381"/>
      <c r="T339" s="381"/>
      <c r="U339" s="381"/>
      <c r="V339" s="381"/>
      <c r="W339" s="381"/>
      <c r="X339" s="381"/>
      <c r="Y339" s="381"/>
      <c r="Z339" s="381"/>
      <c r="AA339" s="381"/>
      <c r="AB339" s="381"/>
      <c r="AC339" s="382"/>
      <c r="AD339" s="382"/>
    </row>
    <row r="340" spans="1:30" ht="12.75" customHeight="1" x14ac:dyDescent="0.2">
      <c r="A340" s="378"/>
      <c r="B340" s="378"/>
      <c r="C340" s="378"/>
      <c r="D340" s="380"/>
      <c r="E340" s="380"/>
      <c r="F340" s="378"/>
      <c r="G340" s="378"/>
      <c r="H340" s="378"/>
      <c r="I340" s="378"/>
      <c r="J340" s="378"/>
      <c r="K340" s="378"/>
      <c r="L340" s="378"/>
      <c r="M340" s="381"/>
      <c r="N340" s="381"/>
      <c r="O340" s="381"/>
      <c r="P340" s="381"/>
      <c r="Q340" s="381"/>
      <c r="R340" s="381"/>
      <c r="S340" s="381"/>
      <c r="T340" s="381"/>
      <c r="U340" s="381"/>
      <c r="V340" s="381"/>
      <c r="W340" s="381"/>
      <c r="X340" s="381"/>
      <c r="Y340" s="381"/>
      <c r="Z340" s="381"/>
      <c r="AA340" s="381"/>
      <c r="AB340" s="381"/>
      <c r="AC340" s="382"/>
      <c r="AD340" s="382"/>
    </row>
    <row r="341" spans="1:30" ht="12.75" customHeight="1" x14ac:dyDescent="0.2">
      <c r="A341" s="378"/>
      <c r="B341" s="378"/>
      <c r="C341" s="378"/>
      <c r="D341" s="380"/>
      <c r="E341" s="380"/>
      <c r="F341" s="378"/>
      <c r="G341" s="378"/>
      <c r="H341" s="378"/>
      <c r="I341" s="378"/>
      <c r="J341" s="378"/>
      <c r="K341" s="378"/>
      <c r="L341" s="378"/>
      <c r="M341" s="381"/>
      <c r="N341" s="381"/>
      <c r="O341" s="381"/>
      <c r="P341" s="381"/>
      <c r="Q341" s="381"/>
      <c r="R341" s="381"/>
      <c r="S341" s="381"/>
      <c r="T341" s="381"/>
      <c r="U341" s="381"/>
      <c r="V341" s="381"/>
      <c r="W341" s="381"/>
      <c r="X341" s="381"/>
      <c r="Y341" s="381"/>
      <c r="Z341" s="381"/>
      <c r="AA341" s="381"/>
      <c r="AB341" s="381"/>
      <c r="AC341" s="382"/>
      <c r="AD341" s="382"/>
    </row>
    <row r="342" spans="1:30" ht="12.75" customHeight="1" x14ac:dyDescent="0.2">
      <c r="A342" s="378"/>
      <c r="B342" s="378"/>
      <c r="C342" s="378"/>
      <c r="D342" s="380"/>
      <c r="E342" s="380"/>
      <c r="F342" s="378"/>
      <c r="G342" s="378"/>
      <c r="H342" s="378"/>
      <c r="I342" s="378"/>
      <c r="J342" s="378"/>
      <c r="K342" s="378"/>
      <c r="L342" s="378"/>
      <c r="M342" s="381"/>
      <c r="N342" s="381"/>
      <c r="O342" s="381"/>
      <c r="P342" s="381"/>
      <c r="Q342" s="381"/>
      <c r="R342" s="381"/>
      <c r="S342" s="381"/>
      <c r="T342" s="381"/>
      <c r="U342" s="381"/>
      <c r="V342" s="381"/>
      <c r="W342" s="381"/>
      <c r="X342" s="381"/>
      <c r="Y342" s="381"/>
      <c r="Z342" s="381"/>
      <c r="AA342" s="381"/>
      <c r="AB342" s="381"/>
      <c r="AC342" s="382"/>
      <c r="AD342" s="382"/>
    </row>
    <row r="343" spans="1:30" ht="12.75" customHeight="1" x14ac:dyDescent="0.2">
      <c r="A343" s="378"/>
      <c r="B343" s="378"/>
      <c r="C343" s="378"/>
      <c r="D343" s="380"/>
      <c r="E343" s="380"/>
      <c r="F343" s="378"/>
      <c r="G343" s="378"/>
      <c r="H343" s="378"/>
      <c r="I343" s="378"/>
      <c r="J343" s="378"/>
      <c r="K343" s="378"/>
      <c r="L343" s="378"/>
      <c r="M343" s="381"/>
      <c r="N343" s="381"/>
      <c r="O343" s="381"/>
      <c r="P343" s="381"/>
      <c r="Q343" s="381"/>
      <c r="R343" s="381"/>
      <c r="S343" s="381"/>
      <c r="T343" s="381"/>
      <c r="U343" s="381"/>
      <c r="V343" s="381"/>
      <c r="W343" s="381"/>
      <c r="X343" s="381"/>
      <c r="Y343" s="381"/>
      <c r="Z343" s="381"/>
      <c r="AA343" s="381"/>
      <c r="AB343" s="381"/>
      <c r="AC343" s="382"/>
      <c r="AD343" s="382"/>
    </row>
    <row r="344" spans="1:30" ht="12.75" customHeight="1" x14ac:dyDescent="0.2">
      <c r="A344" s="378"/>
      <c r="B344" s="378"/>
      <c r="C344" s="378"/>
      <c r="D344" s="380"/>
      <c r="E344" s="380"/>
      <c r="F344" s="378"/>
      <c r="G344" s="378"/>
      <c r="H344" s="378"/>
      <c r="I344" s="378"/>
      <c r="J344" s="378"/>
      <c r="K344" s="378"/>
      <c r="L344" s="378"/>
      <c r="M344" s="381"/>
      <c r="N344" s="381"/>
      <c r="O344" s="381"/>
      <c r="P344" s="381"/>
      <c r="Q344" s="381"/>
      <c r="R344" s="381"/>
      <c r="S344" s="381"/>
      <c r="T344" s="381"/>
      <c r="U344" s="381"/>
      <c r="V344" s="381"/>
      <c r="W344" s="381"/>
      <c r="X344" s="381"/>
      <c r="Y344" s="381"/>
      <c r="Z344" s="381"/>
      <c r="AA344" s="381"/>
      <c r="AB344" s="381"/>
      <c r="AC344" s="382"/>
      <c r="AD344" s="382"/>
    </row>
    <row r="345" spans="1:30" ht="12.75" customHeight="1" x14ac:dyDescent="0.2">
      <c r="A345" s="378"/>
      <c r="B345" s="378"/>
      <c r="C345" s="378"/>
      <c r="D345" s="380"/>
      <c r="E345" s="380"/>
      <c r="F345" s="378"/>
      <c r="G345" s="378"/>
      <c r="H345" s="378"/>
      <c r="I345" s="378"/>
      <c r="J345" s="378"/>
      <c r="K345" s="378"/>
      <c r="L345" s="378"/>
      <c r="M345" s="381"/>
      <c r="N345" s="381"/>
      <c r="O345" s="381"/>
      <c r="P345" s="381"/>
      <c r="Q345" s="381"/>
      <c r="R345" s="381"/>
      <c r="S345" s="381"/>
      <c r="T345" s="381"/>
      <c r="U345" s="381"/>
      <c r="V345" s="381"/>
      <c r="W345" s="381"/>
      <c r="X345" s="381"/>
      <c r="Y345" s="381"/>
      <c r="Z345" s="381"/>
      <c r="AA345" s="381"/>
      <c r="AB345" s="381"/>
      <c r="AC345" s="382"/>
      <c r="AD345" s="382"/>
    </row>
    <row r="346" spans="1:30" ht="12.75" customHeight="1" x14ac:dyDescent="0.2">
      <c r="A346" s="378"/>
      <c r="B346" s="378"/>
      <c r="C346" s="378"/>
      <c r="D346" s="380"/>
      <c r="E346" s="380"/>
      <c r="F346" s="378"/>
      <c r="G346" s="378"/>
      <c r="H346" s="378"/>
      <c r="I346" s="378"/>
      <c r="J346" s="378"/>
      <c r="K346" s="378"/>
      <c r="L346" s="378"/>
      <c r="M346" s="381"/>
      <c r="N346" s="381"/>
      <c r="O346" s="381"/>
      <c r="P346" s="381"/>
      <c r="Q346" s="381"/>
      <c r="R346" s="381"/>
      <c r="S346" s="381"/>
      <c r="T346" s="381"/>
      <c r="U346" s="381"/>
      <c r="V346" s="381"/>
      <c r="W346" s="381"/>
      <c r="X346" s="381"/>
      <c r="Y346" s="381"/>
      <c r="Z346" s="381"/>
      <c r="AA346" s="381"/>
      <c r="AB346" s="381"/>
      <c r="AC346" s="382"/>
      <c r="AD346" s="382"/>
    </row>
    <row r="347" spans="1:30" ht="12.75" customHeight="1" x14ac:dyDescent="0.2">
      <c r="A347" s="378"/>
      <c r="B347" s="378"/>
      <c r="C347" s="378"/>
      <c r="D347" s="380"/>
      <c r="E347" s="380"/>
      <c r="F347" s="378"/>
      <c r="G347" s="378"/>
      <c r="H347" s="378"/>
      <c r="I347" s="378"/>
      <c r="J347" s="378"/>
      <c r="K347" s="378"/>
      <c r="L347" s="378"/>
      <c r="M347" s="381"/>
      <c r="N347" s="381"/>
      <c r="O347" s="381"/>
      <c r="P347" s="381"/>
      <c r="Q347" s="381"/>
      <c r="R347" s="381"/>
      <c r="S347" s="381"/>
      <c r="T347" s="381"/>
      <c r="U347" s="381"/>
      <c r="V347" s="381"/>
      <c r="W347" s="381"/>
      <c r="X347" s="381"/>
      <c r="Y347" s="381"/>
      <c r="Z347" s="381"/>
      <c r="AA347" s="381"/>
      <c r="AB347" s="381"/>
      <c r="AC347" s="382"/>
      <c r="AD347" s="382"/>
    </row>
    <row r="348" spans="1:30" ht="12.75" customHeight="1" x14ac:dyDescent="0.2">
      <c r="A348" s="378"/>
      <c r="B348" s="378"/>
      <c r="C348" s="378"/>
      <c r="D348" s="380"/>
      <c r="E348" s="380"/>
      <c r="F348" s="378"/>
      <c r="G348" s="378"/>
      <c r="H348" s="378"/>
      <c r="I348" s="378"/>
      <c r="J348" s="378"/>
      <c r="K348" s="378"/>
      <c r="L348" s="378"/>
      <c r="M348" s="381"/>
      <c r="N348" s="381"/>
      <c r="O348" s="381"/>
      <c r="P348" s="381"/>
      <c r="Q348" s="381"/>
      <c r="R348" s="381"/>
      <c r="S348" s="381"/>
      <c r="T348" s="381"/>
      <c r="U348" s="381"/>
      <c r="V348" s="381"/>
      <c r="W348" s="381"/>
      <c r="X348" s="381"/>
      <c r="Y348" s="381"/>
      <c r="Z348" s="381"/>
      <c r="AA348" s="381"/>
      <c r="AB348" s="381"/>
      <c r="AC348" s="382"/>
      <c r="AD348" s="382"/>
    </row>
    <row r="349" spans="1:30" ht="12.75" customHeight="1" x14ac:dyDescent="0.2">
      <c r="A349" s="378"/>
      <c r="B349" s="378"/>
      <c r="C349" s="378"/>
      <c r="D349" s="380"/>
      <c r="E349" s="380"/>
      <c r="F349" s="378"/>
      <c r="G349" s="378"/>
      <c r="H349" s="378"/>
      <c r="I349" s="378"/>
      <c r="J349" s="378"/>
      <c r="K349" s="378"/>
      <c r="L349" s="378"/>
      <c r="M349" s="381"/>
      <c r="N349" s="381"/>
      <c r="O349" s="381"/>
      <c r="P349" s="381"/>
      <c r="Q349" s="381"/>
      <c r="R349" s="381"/>
      <c r="S349" s="381"/>
      <c r="T349" s="381"/>
      <c r="U349" s="381"/>
      <c r="V349" s="381"/>
      <c r="W349" s="381"/>
      <c r="X349" s="381"/>
      <c r="Y349" s="381"/>
      <c r="Z349" s="381"/>
      <c r="AA349" s="381"/>
      <c r="AB349" s="381"/>
      <c r="AC349" s="382"/>
      <c r="AD349" s="382"/>
    </row>
    <row r="350" spans="1:30" ht="12.75" customHeight="1" x14ac:dyDescent="0.2">
      <c r="A350" s="378"/>
      <c r="B350" s="378"/>
      <c r="C350" s="378"/>
      <c r="D350" s="380"/>
      <c r="E350" s="380"/>
      <c r="F350" s="378"/>
      <c r="G350" s="378"/>
      <c r="H350" s="378"/>
      <c r="I350" s="378"/>
      <c r="J350" s="378"/>
      <c r="K350" s="378"/>
      <c r="L350" s="378"/>
      <c r="M350" s="381"/>
      <c r="N350" s="381"/>
      <c r="O350" s="381"/>
      <c r="P350" s="381"/>
      <c r="Q350" s="381"/>
      <c r="R350" s="381"/>
      <c r="S350" s="381"/>
      <c r="T350" s="381"/>
      <c r="U350" s="381"/>
      <c r="V350" s="381"/>
      <c r="W350" s="381"/>
      <c r="X350" s="381"/>
      <c r="Y350" s="381"/>
      <c r="Z350" s="381"/>
      <c r="AA350" s="381"/>
      <c r="AB350" s="381"/>
      <c r="AC350" s="382"/>
      <c r="AD350" s="382"/>
    </row>
    <row r="351" spans="1:30" ht="12.75" customHeight="1" x14ac:dyDescent="0.2">
      <c r="A351" s="378"/>
      <c r="B351" s="378"/>
      <c r="C351" s="378"/>
      <c r="D351" s="380"/>
      <c r="E351" s="380"/>
      <c r="F351" s="378"/>
      <c r="G351" s="378"/>
      <c r="H351" s="378"/>
      <c r="I351" s="378"/>
      <c r="J351" s="378"/>
      <c r="K351" s="378"/>
      <c r="L351" s="378"/>
      <c r="M351" s="381"/>
      <c r="N351" s="381"/>
      <c r="O351" s="381"/>
      <c r="P351" s="381"/>
      <c r="Q351" s="381"/>
      <c r="R351" s="381"/>
      <c r="S351" s="381"/>
      <c r="T351" s="381"/>
      <c r="U351" s="381"/>
      <c r="V351" s="381"/>
      <c r="W351" s="381"/>
      <c r="X351" s="381"/>
      <c r="Y351" s="381"/>
      <c r="Z351" s="381"/>
      <c r="AA351" s="381"/>
      <c r="AB351" s="381"/>
      <c r="AC351" s="382"/>
      <c r="AD351" s="382"/>
    </row>
    <row r="352" spans="1:30" ht="12.75" customHeight="1" x14ac:dyDescent="0.2">
      <c r="A352" s="378"/>
      <c r="B352" s="378"/>
      <c r="C352" s="378"/>
      <c r="D352" s="380"/>
      <c r="E352" s="380"/>
      <c r="F352" s="378"/>
      <c r="G352" s="378"/>
      <c r="H352" s="378"/>
      <c r="I352" s="378"/>
      <c r="J352" s="378"/>
      <c r="K352" s="378"/>
      <c r="L352" s="378"/>
      <c r="M352" s="381"/>
      <c r="N352" s="381"/>
      <c r="O352" s="381"/>
      <c r="P352" s="381"/>
      <c r="Q352" s="381"/>
      <c r="R352" s="381"/>
      <c r="S352" s="381"/>
      <c r="T352" s="381"/>
      <c r="U352" s="381"/>
      <c r="V352" s="381"/>
      <c r="W352" s="381"/>
      <c r="X352" s="381"/>
      <c r="Y352" s="381"/>
      <c r="Z352" s="381"/>
      <c r="AA352" s="381"/>
      <c r="AB352" s="381"/>
      <c r="AC352" s="382"/>
      <c r="AD352" s="382"/>
    </row>
    <row r="353" spans="1:30" ht="12.75" customHeight="1" x14ac:dyDescent="0.2">
      <c r="A353" s="378"/>
      <c r="B353" s="378"/>
      <c r="C353" s="378"/>
      <c r="D353" s="380"/>
      <c r="E353" s="380"/>
      <c r="F353" s="378"/>
      <c r="G353" s="378"/>
      <c r="H353" s="378"/>
      <c r="I353" s="378"/>
      <c r="J353" s="378"/>
      <c r="K353" s="378"/>
      <c r="L353" s="378"/>
      <c r="M353" s="381"/>
      <c r="N353" s="381"/>
      <c r="O353" s="381"/>
      <c r="P353" s="381"/>
      <c r="Q353" s="381"/>
      <c r="R353" s="381"/>
      <c r="S353" s="381"/>
      <c r="T353" s="381"/>
      <c r="U353" s="381"/>
      <c r="V353" s="381"/>
      <c r="W353" s="381"/>
      <c r="X353" s="381"/>
      <c r="Y353" s="381"/>
      <c r="Z353" s="381"/>
      <c r="AA353" s="381"/>
      <c r="AB353" s="381"/>
      <c r="AC353" s="382"/>
      <c r="AD353" s="382"/>
    </row>
    <row r="354" spans="1:30" ht="12.75" customHeight="1" x14ac:dyDescent="0.2">
      <c r="A354" s="378"/>
      <c r="B354" s="378"/>
      <c r="C354" s="378"/>
      <c r="D354" s="380"/>
      <c r="E354" s="380"/>
      <c r="F354" s="378"/>
      <c r="G354" s="378"/>
      <c r="H354" s="378"/>
      <c r="I354" s="378"/>
      <c r="J354" s="378"/>
      <c r="K354" s="378"/>
      <c r="L354" s="378"/>
      <c r="M354" s="381"/>
      <c r="N354" s="381"/>
      <c r="O354" s="381"/>
      <c r="P354" s="381"/>
      <c r="Q354" s="381"/>
      <c r="R354" s="381"/>
      <c r="S354" s="381"/>
      <c r="T354" s="381"/>
      <c r="U354" s="381"/>
      <c r="V354" s="381"/>
      <c r="W354" s="381"/>
      <c r="X354" s="381"/>
      <c r="Y354" s="381"/>
      <c r="Z354" s="381"/>
      <c r="AA354" s="381"/>
      <c r="AB354" s="381"/>
      <c r="AC354" s="382"/>
      <c r="AD354" s="382"/>
    </row>
    <row r="355" spans="1:30" ht="12.75" customHeight="1" x14ac:dyDescent="0.2">
      <c r="A355" s="378"/>
      <c r="B355" s="378"/>
      <c r="C355" s="378"/>
      <c r="D355" s="380"/>
      <c r="E355" s="380"/>
      <c r="F355" s="378"/>
      <c r="G355" s="378"/>
      <c r="H355" s="378"/>
      <c r="I355" s="378"/>
      <c r="J355" s="378"/>
      <c r="K355" s="378"/>
      <c r="L355" s="378"/>
      <c r="M355" s="381"/>
      <c r="N355" s="381"/>
      <c r="O355" s="381"/>
      <c r="P355" s="381"/>
      <c r="Q355" s="381"/>
      <c r="R355" s="381"/>
      <c r="S355" s="381"/>
      <c r="T355" s="381"/>
      <c r="U355" s="381"/>
      <c r="V355" s="381"/>
      <c r="W355" s="381"/>
      <c r="X355" s="381"/>
      <c r="Y355" s="381"/>
      <c r="Z355" s="381"/>
      <c r="AA355" s="381"/>
      <c r="AB355" s="381"/>
      <c r="AC355" s="382"/>
      <c r="AD355" s="382"/>
    </row>
    <row r="356" spans="1:30" ht="12.75" customHeight="1" x14ac:dyDescent="0.2">
      <c r="A356" s="378"/>
      <c r="B356" s="378"/>
      <c r="C356" s="378"/>
      <c r="D356" s="380"/>
      <c r="E356" s="380"/>
      <c r="F356" s="378"/>
      <c r="G356" s="378"/>
      <c r="H356" s="378"/>
      <c r="I356" s="378"/>
      <c r="J356" s="378"/>
      <c r="K356" s="378"/>
      <c r="L356" s="378"/>
      <c r="M356" s="381"/>
      <c r="N356" s="381"/>
      <c r="O356" s="381"/>
      <c r="P356" s="381"/>
      <c r="Q356" s="381"/>
      <c r="R356" s="381"/>
      <c r="S356" s="381"/>
      <c r="T356" s="381"/>
      <c r="U356" s="381"/>
      <c r="V356" s="381"/>
      <c r="W356" s="381"/>
      <c r="X356" s="381"/>
      <c r="Y356" s="381"/>
      <c r="Z356" s="381"/>
      <c r="AA356" s="381"/>
      <c r="AB356" s="381"/>
      <c r="AC356" s="382"/>
      <c r="AD356" s="382"/>
    </row>
    <row r="357" spans="1:30" ht="12.75" customHeight="1" x14ac:dyDescent="0.2">
      <c r="A357" s="378"/>
      <c r="B357" s="378"/>
      <c r="C357" s="378"/>
      <c r="D357" s="380"/>
      <c r="E357" s="380"/>
      <c r="F357" s="378"/>
      <c r="G357" s="378"/>
      <c r="H357" s="378"/>
      <c r="I357" s="378"/>
      <c r="J357" s="378"/>
      <c r="K357" s="378"/>
      <c r="L357" s="378"/>
      <c r="M357" s="381"/>
      <c r="N357" s="381"/>
      <c r="O357" s="381"/>
      <c r="P357" s="381"/>
      <c r="Q357" s="381"/>
      <c r="R357" s="381"/>
      <c r="S357" s="381"/>
      <c r="T357" s="381"/>
      <c r="U357" s="381"/>
      <c r="V357" s="381"/>
      <c r="W357" s="381"/>
      <c r="X357" s="381"/>
      <c r="Y357" s="381"/>
      <c r="Z357" s="381"/>
      <c r="AA357" s="381"/>
      <c r="AB357" s="381"/>
      <c r="AC357" s="382"/>
      <c r="AD357" s="382"/>
    </row>
    <row r="358" spans="1:30" ht="12.75" customHeight="1" x14ac:dyDescent="0.2">
      <c r="A358" s="378"/>
      <c r="B358" s="378"/>
      <c r="C358" s="378"/>
      <c r="D358" s="380"/>
      <c r="E358" s="380"/>
      <c r="F358" s="378"/>
      <c r="G358" s="378"/>
      <c r="H358" s="378"/>
      <c r="I358" s="378"/>
      <c r="J358" s="378"/>
      <c r="K358" s="378"/>
      <c r="L358" s="378"/>
      <c r="M358" s="381"/>
      <c r="N358" s="381"/>
      <c r="O358" s="381"/>
      <c r="P358" s="381"/>
      <c r="Q358" s="381"/>
      <c r="R358" s="381"/>
      <c r="S358" s="381"/>
      <c r="T358" s="381"/>
      <c r="U358" s="381"/>
      <c r="V358" s="381"/>
      <c r="W358" s="381"/>
      <c r="X358" s="381"/>
      <c r="Y358" s="381"/>
      <c r="Z358" s="381"/>
      <c r="AA358" s="381"/>
      <c r="AB358" s="381"/>
      <c r="AC358" s="382"/>
      <c r="AD358" s="382"/>
    </row>
    <row r="359" spans="1:30" ht="12.75" customHeight="1" x14ac:dyDescent="0.2">
      <c r="A359" s="378"/>
      <c r="B359" s="378"/>
      <c r="C359" s="378"/>
      <c r="D359" s="380"/>
      <c r="E359" s="380"/>
      <c r="F359" s="378"/>
      <c r="G359" s="378"/>
      <c r="H359" s="378"/>
      <c r="I359" s="378"/>
      <c r="J359" s="378"/>
      <c r="K359" s="378"/>
      <c r="L359" s="378"/>
      <c r="M359" s="381"/>
      <c r="N359" s="381"/>
      <c r="O359" s="381"/>
      <c r="P359" s="381"/>
      <c r="Q359" s="381"/>
      <c r="R359" s="381"/>
      <c r="S359" s="381"/>
      <c r="T359" s="381"/>
      <c r="U359" s="381"/>
      <c r="V359" s="381"/>
      <c r="W359" s="381"/>
      <c r="X359" s="381"/>
      <c r="Y359" s="381"/>
      <c r="Z359" s="381"/>
      <c r="AA359" s="381"/>
      <c r="AB359" s="381"/>
      <c r="AC359" s="382"/>
      <c r="AD359" s="382"/>
    </row>
    <row r="360" spans="1:30" ht="12.75" customHeight="1" x14ac:dyDescent="0.2">
      <c r="A360" s="378"/>
      <c r="B360" s="378"/>
      <c r="C360" s="378"/>
      <c r="D360" s="380"/>
      <c r="E360" s="380"/>
      <c r="F360" s="378"/>
      <c r="G360" s="378"/>
      <c r="H360" s="378"/>
      <c r="I360" s="378"/>
      <c r="J360" s="378"/>
      <c r="K360" s="378"/>
      <c r="L360" s="378"/>
      <c r="M360" s="381"/>
      <c r="N360" s="381"/>
      <c r="O360" s="381"/>
      <c r="P360" s="381"/>
      <c r="Q360" s="381"/>
      <c r="R360" s="381"/>
      <c r="S360" s="381"/>
      <c r="T360" s="381"/>
      <c r="U360" s="381"/>
      <c r="V360" s="381"/>
      <c r="W360" s="381"/>
      <c r="X360" s="381"/>
      <c r="Y360" s="381"/>
      <c r="Z360" s="381"/>
      <c r="AA360" s="381"/>
      <c r="AB360" s="381"/>
      <c r="AC360" s="382"/>
      <c r="AD360" s="382"/>
    </row>
    <row r="361" spans="1:30" ht="12.75" customHeight="1" x14ac:dyDescent="0.2">
      <c r="A361" s="378"/>
      <c r="B361" s="378"/>
      <c r="C361" s="378"/>
      <c r="D361" s="380"/>
      <c r="E361" s="380"/>
      <c r="F361" s="378"/>
      <c r="G361" s="378"/>
      <c r="H361" s="378"/>
      <c r="I361" s="378"/>
      <c r="J361" s="378"/>
      <c r="K361" s="378"/>
      <c r="L361" s="378"/>
      <c r="M361" s="381"/>
      <c r="N361" s="381"/>
      <c r="O361" s="381"/>
      <c r="P361" s="381"/>
      <c r="Q361" s="381"/>
      <c r="R361" s="381"/>
      <c r="S361" s="381"/>
      <c r="T361" s="381"/>
      <c r="U361" s="381"/>
      <c r="V361" s="381"/>
      <c r="W361" s="381"/>
      <c r="X361" s="381"/>
      <c r="Y361" s="381"/>
      <c r="Z361" s="381"/>
      <c r="AA361" s="381"/>
      <c r="AB361" s="381"/>
      <c r="AC361" s="382"/>
      <c r="AD361" s="382"/>
    </row>
    <row r="362" spans="1:30" ht="12.75" customHeight="1" x14ac:dyDescent="0.2">
      <c r="A362" s="378"/>
      <c r="B362" s="378"/>
      <c r="C362" s="378"/>
      <c r="D362" s="380"/>
      <c r="E362" s="380"/>
      <c r="F362" s="378"/>
      <c r="G362" s="378"/>
      <c r="H362" s="378"/>
      <c r="I362" s="378"/>
      <c r="J362" s="378"/>
      <c r="K362" s="378"/>
      <c r="L362" s="378"/>
      <c r="M362" s="381"/>
      <c r="N362" s="381"/>
      <c r="O362" s="381"/>
      <c r="P362" s="381"/>
      <c r="Q362" s="381"/>
      <c r="R362" s="381"/>
      <c r="S362" s="381"/>
      <c r="T362" s="381"/>
      <c r="U362" s="381"/>
      <c r="V362" s="381"/>
      <c r="W362" s="381"/>
      <c r="X362" s="381"/>
      <c r="Y362" s="381"/>
      <c r="Z362" s="381"/>
      <c r="AA362" s="381"/>
      <c r="AB362" s="381"/>
      <c r="AC362" s="382"/>
      <c r="AD362" s="382"/>
    </row>
    <row r="363" spans="1:30" ht="12.75" customHeight="1" x14ac:dyDescent="0.2">
      <c r="A363" s="378"/>
      <c r="B363" s="378"/>
      <c r="C363" s="378"/>
      <c r="D363" s="380"/>
      <c r="E363" s="380"/>
      <c r="F363" s="378"/>
      <c r="G363" s="378"/>
      <c r="H363" s="378"/>
      <c r="I363" s="378"/>
      <c r="J363" s="378"/>
      <c r="K363" s="378"/>
      <c r="L363" s="378"/>
      <c r="M363" s="381"/>
      <c r="N363" s="381"/>
      <c r="O363" s="381"/>
      <c r="P363" s="381"/>
      <c r="Q363" s="381"/>
      <c r="R363" s="381"/>
      <c r="S363" s="381"/>
      <c r="T363" s="381"/>
      <c r="U363" s="381"/>
      <c r="V363" s="381"/>
      <c r="W363" s="381"/>
      <c r="X363" s="381"/>
      <c r="Y363" s="381"/>
      <c r="Z363" s="381"/>
      <c r="AA363" s="381"/>
      <c r="AB363" s="381"/>
      <c r="AC363" s="382"/>
      <c r="AD363" s="382"/>
    </row>
    <row r="364" spans="1:30" ht="12.75" customHeight="1" x14ac:dyDescent="0.2">
      <c r="A364" s="378"/>
      <c r="B364" s="378"/>
      <c r="C364" s="378"/>
      <c r="D364" s="380"/>
      <c r="E364" s="380"/>
      <c r="F364" s="378"/>
      <c r="G364" s="378"/>
      <c r="H364" s="378"/>
      <c r="I364" s="378"/>
      <c r="J364" s="378"/>
      <c r="K364" s="378"/>
      <c r="L364" s="378"/>
      <c r="M364" s="381"/>
      <c r="N364" s="381"/>
      <c r="O364" s="381"/>
      <c r="P364" s="381"/>
      <c r="Q364" s="381"/>
      <c r="R364" s="381"/>
      <c r="S364" s="381"/>
      <c r="T364" s="381"/>
      <c r="U364" s="381"/>
      <c r="V364" s="381"/>
      <c r="W364" s="381"/>
      <c r="X364" s="381"/>
      <c r="Y364" s="381"/>
      <c r="Z364" s="381"/>
      <c r="AA364" s="381"/>
      <c r="AB364" s="381"/>
      <c r="AC364" s="382"/>
      <c r="AD364" s="382"/>
    </row>
    <row r="365" spans="1:30" ht="12.75" customHeight="1" x14ac:dyDescent="0.2">
      <c r="A365" s="378"/>
      <c r="B365" s="378"/>
      <c r="C365" s="378"/>
      <c r="D365" s="380"/>
      <c r="E365" s="380"/>
      <c r="F365" s="378"/>
      <c r="G365" s="378"/>
      <c r="H365" s="378"/>
      <c r="I365" s="378"/>
      <c r="J365" s="378"/>
      <c r="K365" s="378"/>
      <c r="L365" s="378"/>
      <c r="M365" s="381"/>
      <c r="N365" s="381"/>
      <c r="O365" s="381"/>
      <c r="P365" s="381"/>
      <c r="Q365" s="381"/>
      <c r="R365" s="381"/>
      <c r="S365" s="381"/>
      <c r="T365" s="381"/>
      <c r="U365" s="381"/>
      <c r="V365" s="381"/>
      <c r="W365" s="381"/>
      <c r="X365" s="381"/>
      <c r="Y365" s="381"/>
      <c r="Z365" s="381"/>
      <c r="AA365" s="381"/>
      <c r="AB365" s="381"/>
      <c r="AC365" s="382"/>
      <c r="AD365" s="382"/>
    </row>
    <row r="366" spans="1:30" ht="12.75" customHeight="1" x14ac:dyDescent="0.2">
      <c r="A366" s="378"/>
      <c r="B366" s="378"/>
      <c r="C366" s="378"/>
      <c r="D366" s="380"/>
      <c r="E366" s="380"/>
      <c r="F366" s="378"/>
      <c r="G366" s="378"/>
      <c r="H366" s="378"/>
      <c r="I366" s="378"/>
      <c r="J366" s="378"/>
      <c r="K366" s="378"/>
      <c r="L366" s="378"/>
      <c r="M366" s="381"/>
      <c r="N366" s="381"/>
      <c r="O366" s="381"/>
      <c r="P366" s="381"/>
      <c r="Q366" s="381"/>
      <c r="R366" s="381"/>
      <c r="S366" s="381"/>
      <c r="T366" s="381"/>
      <c r="U366" s="381"/>
      <c r="V366" s="381"/>
      <c r="W366" s="381"/>
      <c r="X366" s="381"/>
      <c r="Y366" s="381"/>
      <c r="Z366" s="381"/>
      <c r="AA366" s="381"/>
      <c r="AB366" s="381"/>
      <c r="AC366" s="382"/>
      <c r="AD366" s="382"/>
    </row>
    <row r="367" spans="1:30" ht="12.75" customHeight="1" x14ac:dyDescent="0.2">
      <c r="A367" s="378"/>
      <c r="B367" s="378"/>
      <c r="C367" s="378"/>
      <c r="D367" s="380"/>
      <c r="E367" s="380"/>
      <c r="F367" s="378"/>
      <c r="G367" s="378"/>
      <c r="H367" s="378"/>
      <c r="I367" s="378"/>
      <c r="J367" s="378"/>
      <c r="K367" s="378"/>
      <c r="L367" s="378"/>
      <c r="M367" s="381"/>
      <c r="N367" s="381"/>
      <c r="O367" s="381"/>
      <c r="P367" s="381"/>
      <c r="Q367" s="381"/>
      <c r="R367" s="381"/>
      <c r="S367" s="381"/>
      <c r="T367" s="381"/>
      <c r="U367" s="381"/>
      <c r="V367" s="381"/>
      <c r="W367" s="381"/>
      <c r="X367" s="381"/>
      <c r="Y367" s="381"/>
      <c r="Z367" s="381"/>
      <c r="AA367" s="381"/>
      <c r="AB367" s="381"/>
      <c r="AC367" s="382"/>
      <c r="AD367" s="382"/>
    </row>
    <row r="368" spans="1:30" ht="12.75" customHeight="1" x14ac:dyDescent="0.2">
      <c r="A368" s="378"/>
      <c r="B368" s="378"/>
      <c r="C368" s="378"/>
      <c r="D368" s="380"/>
      <c r="E368" s="380"/>
      <c r="F368" s="378"/>
      <c r="G368" s="378"/>
      <c r="H368" s="378"/>
      <c r="I368" s="378"/>
      <c r="J368" s="378"/>
      <c r="K368" s="378"/>
      <c r="L368" s="378"/>
      <c r="M368" s="381"/>
      <c r="N368" s="381"/>
      <c r="O368" s="381"/>
      <c r="P368" s="381"/>
      <c r="Q368" s="381"/>
      <c r="R368" s="381"/>
      <c r="S368" s="381"/>
      <c r="T368" s="381"/>
      <c r="U368" s="381"/>
      <c r="V368" s="381"/>
      <c r="W368" s="381"/>
      <c r="X368" s="381"/>
      <c r="Y368" s="381"/>
      <c r="Z368" s="381"/>
      <c r="AA368" s="381"/>
      <c r="AB368" s="381"/>
      <c r="AC368" s="382"/>
      <c r="AD368" s="382"/>
    </row>
    <row r="369" spans="1:30" ht="12.75" customHeight="1" x14ac:dyDescent="0.2">
      <c r="A369" s="378"/>
      <c r="B369" s="378"/>
      <c r="C369" s="378"/>
      <c r="D369" s="380"/>
      <c r="E369" s="380"/>
      <c r="F369" s="378"/>
      <c r="G369" s="378"/>
      <c r="H369" s="378"/>
      <c r="I369" s="378"/>
      <c r="J369" s="378"/>
      <c r="K369" s="378"/>
      <c r="L369" s="378"/>
      <c r="M369" s="381"/>
      <c r="N369" s="381"/>
      <c r="O369" s="381"/>
      <c r="P369" s="381"/>
      <c r="Q369" s="381"/>
      <c r="R369" s="381"/>
      <c r="S369" s="381"/>
      <c r="T369" s="381"/>
      <c r="U369" s="381"/>
      <c r="V369" s="381"/>
      <c r="W369" s="381"/>
      <c r="X369" s="381"/>
      <c r="Y369" s="381"/>
      <c r="Z369" s="381"/>
      <c r="AA369" s="381"/>
      <c r="AB369" s="381"/>
      <c r="AC369" s="382"/>
      <c r="AD369" s="382"/>
    </row>
    <row r="370" spans="1:30" ht="12.75" customHeight="1" x14ac:dyDescent="0.2">
      <c r="A370" s="378"/>
      <c r="B370" s="378"/>
      <c r="C370" s="378"/>
      <c r="D370" s="380"/>
      <c r="E370" s="380"/>
      <c r="F370" s="378"/>
      <c r="G370" s="378"/>
      <c r="H370" s="378"/>
      <c r="I370" s="378"/>
      <c r="J370" s="378"/>
      <c r="K370" s="378"/>
      <c r="L370" s="378"/>
      <c r="M370" s="381"/>
      <c r="N370" s="381"/>
      <c r="O370" s="381"/>
      <c r="P370" s="381"/>
      <c r="Q370" s="381"/>
      <c r="R370" s="381"/>
      <c r="S370" s="381"/>
      <c r="T370" s="381"/>
      <c r="U370" s="381"/>
      <c r="V370" s="381"/>
      <c r="W370" s="381"/>
      <c r="X370" s="381"/>
      <c r="Y370" s="381"/>
      <c r="Z370" s="381"/>
      <c r="AA370" s="381"/>
      <c r="AB370" s="381"/>
      <c r="AC370" s="382"/>
      <c r="AD370" s="382"/>
    </row>
    <row r="371" spans="1:30" ht="12.75" customHeight="1" x14ac:dyDescent="0.2">
      <c r="A371" s="378"/>
      <c r="B371" s="378"/>
      <c r="C371" s="378"/>
      <c r="D371" s="380"/>
      <c r="E371" s="380"/>
      <c r="F371" s="378"/>
      <c r="G371" s="378"/>
      <c r="H371" s="378"/>
      <c r="I371" s="378"/>
      <c r="J371" s="378"/>
      <c r="K371" s="378"/>
      <c r="L371" s="378"/>
      <c r="M371" s="381"/>
      <c r="N371" s="381"/>
      <c r="O371" s="381"/>
      <c r="P371" s="381"/>
      <c r="Q371" s="381"/>
      <c r="R371" s="381"/>
      <c r="S371" s="381"/>
      <c r="T371" s="381"/>
      <c r="U371" s="381"/>
      <c r="V371" s="381"/>
      <c r="W371" s="381"/>
      <c r="X371" s="381"/>
      <c r="Y371" s="381"/>
      <c r="Z371" s="381"/>
      <c r="AA371" s="381"/>
      <c r="AB371" s="381"/>
      <c r="AC371" s="382"/>
      <c r="AD371" s="382"/>
    </row>
    <row r="372" spans="1:30" ht="12.75" customHeight="1" x14ac:dyDescent="0.2">
      <c r="A372" s="378"/>
      <c r="B372" s="378"/>
      <c r="C372" s="378"/>
      <c r="D372" s="380"/>
      <c r="E372" s="380"/>
      <c r="F372" s="378"/>
      <c r="G372" s="378"/>
      <c r="H372" s="378"/>
      <c r="I372" s="378"/>
      <c r="J372" s="378"/>
      <c r="K372" s="378"/>
      <c r="L372" s="378"/>
      <c r="M372" s="381"/>
      <c r="N372" s="381"/>
      <c r="O372" s="381"/>
      <c r="P372" s="381"/>
      <c r="Q372" s="381"/>
      <c r="R372" s="381"/>
      <c r="S372" s="381"/>
      <c r="T372" s="381"/>
      <c r="U372" s="381"/>
      <c r="V372" s="381"/>
      <c r="W372" s="381"/>
      <c r="X372" s="381"/>
      <c r="Y372" s="381"/>
      <c r="Z372" s="381"/>
      <c r="AA372" s="381"/>
      <c r="AB372" s="381"/>
      <c r="AC372" s="382"/>
      <c r="AD372" s="382"/>
    </row>
    <row r="373" spans="1:30" ht="12.75" customHeight="1" x14ac:dyDescent="0.2">
      <c r="A373" s="378"/>
      <c r="B373" s="378"/>
      <c r="C373" s="378"/>
      <c r="D373" s="380"/>
      <c r="E373" s="380"/>
      <c r="F373" s="378"/>
      <c r="G373" s="378"/>
      <c r="H373" s="378"/>
      <c r="I373" s="378"/>
      <c r="J373" s="378"/>
      <c r="K373" s="378"/>
      <c r="L373" s="378"/>
      <c r="M373" s="381"/>
      <c r="N373" s="381"/>
      <c r="O373" s="381"/>
      <c r="P373" s="381"/>
      <c r="Q373" s="381"/>
      <c r="R373" s="381"/>
      <c r="S373" s="381"/>
      <c r="T373" s="381"/>
      <c r="U373" s="381"/>
      <c r="V373" s="381"/>
      <c r="W373" s="381"/>
      <c r="X373" s="381"/>
      <c r="Y373" s="381"/>
      <c r="Z373" s="381"/>
      <c r="AA373" s="381"/>
      <c r="AB373" s="381"/>
      <c r="AC373" s="382"/>
      <c r="AD373" s="382"/>
    </row>
    <row r="374" spans="1:30" ht="12.75" customHeight="1" x14ac:dyDescent="0.2">
      <c r="A374" s="378"/>
      <c r="B374" s="378"/>
      <c r="C374" s="378"/>
      <c r="D374" s="380"/>
      <c r="E374" s="380"/>
      <c r="F374" s="378"/>
      <c r="G374" s="378"/>
      <c r="H374" s="378"/>
      <c r="I374" s="378"/>
      <c r="J374" s="378"/>
      <c r="K374" s="378"/>
      <c r="L374" s="378"/>
      <c r="M374" s="381"/>
      <c r="N374" s="381"/>
      <c r="O374" s="381"/>
      <c r="P374" s="381"/>
      <c r="Q374" s="381"/>
      <c r="R374" s="381"/>
      <c r="S374" s="381"/>
      <c r="T374" s="381"/>
      <c r="U374" s="381"/>
      <c r="V374" s="381"/>
      <c r="W374" s="381"/>
      <c r="X374" s="381"/>
      <c r="Y374" s="381"/>
      <c r="Z374" s="381"/>
      <c r="AA374" s="381"/>
      <c r="AB374" s="381"/>
      <c r="AC374" s="382"/>
      <c r="AD374" s="382"/>
    </row>
    <row r="375" spans="1:30" ht="12.75" customHeight="1" x14ac:dyDescent="0.2">
      <c r="A375" s="378"/>
      <c r="B375" s="378"/>
      <c r="C375" s="378"/>
      <c r="D375" s="380"/>
      <c r="E375" s="380"/>
      <c r="F375" s="378"/>
      <c r="G375" s="378"/>
      <c r="H375" s="378"/>
      <c r="I375" s="378"/>
      <c r="J375" s="378"/>
      <c r="K375" s="378"/>
      <c r="L375" s="378"/>
      <c r="M375" s="381"/>
      <c r="N375" s="381"/>
      <c r="O375" s="381"/>
      <c r="P375" s="381"/>
      <c r="Q375" s="381"/>
      <c r="R375" s="381"/>
      <c r="S375" s="381"/>
      <c r="T375" s="381"/>
      <c r="U375" s="381"/>
      <c r="V375" s="381"/>
      <c r="W375" s="381"/>
      <c r="X375" s="381"/>
      <c r="Y375" s="381"/>
      <c r="Z375" s="381"/>
      <c r="AA375" s="381"/>
      <c r="AB375" s="381"/>
      <c r="AC375" s="382"/>
      <c r="AD375" s="382"/>
    </row>
    <row r="376" spans="1:30" ht="12.75" customHeight="1" x14ac:dyDescent="0.2">
      <c r="A376" s="378"/>
      <c r="B376" s="378"/>
      <c r="C376" s="378"/>
      <c r="D376" s="380"/>
      <c r="E376" s="380"/>
      <c r="F376" s="378"/>
      <c r="G376" s="378"/>
      <c r="H376" s="378"/>
      <c r="I376" s="378"/>
      <c r="J376" s="378"/>
      <c r="K376" s="378"/>
      <c r="L376" s="378"/>
      <c r="M376" s="381"/>
      <c r="N376" s="381"/>
      <c r="O376" s="381"/>
      <c r="P376" s="381"/>
      <c r="Q376" s="381"/>
      <c r="R376" s="381"/>
      <c r="S376" s="381"/>
      <c r="T376" s="381"/>
      <c r="U376" s="381"/>
      <c r="V376" s="381"/>
      <c r="W376" s="381"/>
      <c r="X376" s="381"/>
      <c r="Y376" s="381"/>
      <c r="Z376" s="381"/>
      <c r="AA376" s="381"/>
      <c r="AB376" s="381"/>
      <c r="AC376" s="382"/>
      <c r="AD376" s="382"/>
    </row>
    <row r="377" spans="1:30" ht="12.75" customHeight="1" x14ac:dyDescent="0.2">
      <c r="A377" s="378"/>
      <c r="B377" s="378"/>
      <c r="C377" s="378"/>
      <c r="D377" s="380"/>
      <c r="E377" s="380"/>
      <c r="F377" s="378"/>
      <c r="G377" s="378"/>
      <c r="H377" s="378"/>
      <c r="I377" s="378"/>
      <c r="J377" s="378"/>
      <c r="K377" s="378"/>
      <c r="L377" s="378"/>
      <c r="M377" s="381"/>
      <c r="N377" s="381"/>
      <c r="O377" s="381"/>
      <c r="P377" s="381"/>
      <c r="Q377" s="381"/>
      <c r="R377" s="381"/>
      <c r="S377" s="381"/>
      <c r="T377" s="381"/>
      <c r="U377" s="381"/>
      <c r="V377" s="381"/>
      <c r="W377" s="381"/>
      <c r="X377" s="381"/>
      <c r="Y377" s="381"/>
      <c r="Z377" s="381"/>
      <c r="AA377" s="381"/>
      <c r="AB377" s="381"/>
      <c r="AC377" s="382"/>
      <c r="AD377" s="382"/>
    </row>
    <row r="378" spans="1:30" ht="12.75" customHeight="1" x14ac:dyDescent="0.2">
      <c r="A378" s="378"/>
      <c r="B378" s="378"/>
      <c r="C378" s="378"/>
      <c r="D378" s="380"/>
      <c r="E378" s="380"/>
      <c r="F378" s="378"/>
      <c r="G378" s="378"/>
      <c r="H378" s="378"/>
      <c r="I378" s="378"/>
      <c r="J378" s="378"/>
      <c r="K378" s="378"/>
      <c r="L378" s="378"/>
      <c r="M378" s="381"/>
      <c r="N378" s="381"/>
      <c r="O378" s="381"/>
      <c r="P378" s="381"/>
      <c r="Q378" s="381"/>
      <c r="R378" s="381"/>
      <c r="S378" s="381"/>
      <c r="T378" s="381"/>
      <c r="U378" s="381"/>
      <c r="V378" s="381"/>
      <c r="W378" s="381"/>
      <c r="X378" s="381"/>
      <c r="Y378" s="381"/>
      <c r="Z378" s="381"/>
      <c r="AA378" s="381"/>
      <c r="AB378" s="381"/>
      <c r="AC378" s="382"/>
      <c r="AD378" s="382"/>
    </row>
    <row r="379" spans="1:30" ht="12.75" customHeight="1" x14ac:dyDescent="0.2">
      <c r="A379" s="378"/>
      <c r="B379" s="378"/>
      <c r="C379" s="378"/>
      <c r="D379" s="380"/>
      <c r="E379" s="380"/>
      <c r="F379" s="378"/>
      <c r="G379" s="378"/>
      <c r="H379" s="378"/>
      <c r="I379" s="378"/>
      <c r="J379" s="378"/>
      <c r="K379" s="378"/>
      <c r="L379" s="378"/>
      <c r="M379" s="381"/>
      <c r="N379" s="381"/>
      <c r="O379" s="381"/>
      <c r="P379" s="381"/>
      <c r="Q379" s="381"/>
      <c r="R379" s="381"/>
      <c r="S379" s="381"/>
      <c r="T379" s="381"/>
      <c r="U379" s="381"/>
      <c r="V379" s="381"/>
      <c r="W379" s="381"/>
      <c r="X379" s="381"/>
      <c r="Y379" s="381"/>
      <c r="Z379" s="381"/>
      <c r="AA379" s="381"/>
      <c r="AB379" s="381"/>
      <c r="AC379" s="382"/>
      <c r="AD379" s="382"/>
    </row>
    <row r="380" spans="1:30" ht="12.75" customHeight="1" x14ac:dyDescent="0.2">
      <c r="A380" s="378"/>
      <c r="B380" s="378"/>
      <c r="C380" s="378"/>
      <c r="D380" s="380"/>
      <c r="E380" s="380"/>
      <c r="F380" s="378"/>
      <c r="G380" s="378"/>
      <c r="H380" s="378"/>
      <c r="I380" s="378"/>
      <c r="J380" s="378"/>
      <c r="K380" s="378"/>
      <c r="L380" s="378"/>
      <c r="M380" s="381"/>
      <c r="N380" s="381"/>
      <c r="O380" s="381"/>
      <c r="P380" s="381"/>
      <c r="Q380" s="381"/>
      <c r="R380" s="381"/>
      <c r="S380" s="381"/>
      <c r="T380" s="381"/>
      <c r="U380" s="381"/>
      <c r="V380" s="381"/>
      <c r="W380" s="381"/>
      <c r="X380" s="381"/>
      <c r="Y380" s="381"/>
      <c r="Z380" s="381"/>
      <c r="AA380" s="381"/>
      <c r="AB380" s="381"/>
      <c r="AC380" s="382"/>
      <c r="AD380" s="382"/>
    </row>
    <row r="381" spans="1:30" ht="12.75" customHeight="1" x14ac:dyDescent="0.2">
      <c r="A381" s="378"/>
      <c r="B381" s="378"/>
      <c r="C381" s="378"/>
      <c r="D381" s="380"/>
      <c r="E381" s="380"/>
      <c r="F381" s="378"/>
      <c r="G381" s="378"/>
      <c r="H381" s="378"/>
      <c r="I381" s="378"/>
      <c r="J381" s="378"/>
      <c r="K381" s="378"/>
      <c r="L381" s="378"/>
      <c r="M381" s="381"/>
      <c r="N381" s="381"/>
      <c r="O381" s="381"/>
      <c r="P381" s="381"/>
      <c r="Q381" s="381"/>
      <c r="R381" s="381"/>
      <c r="S381" s="381"/>
      <c r="T381" s="381"/>
      <c r="U381" s="381"/>
      <c r="V381" s="381"/>
      <c r="W381" s="381"/>
      <c r="X381" s="381"/>
      <c r="Y381" s="381"/>
      <c r="Z381" s="381"/>
      <c r="AA381" s="381"/>
      <c r="AB381" s="381"/>
      <c r="AC381" s="382"/>
      <c r="AD381" s="382"/>
    </row>
    <row r="382" spans="1:30" ht="12.75" customHeight="1" x14ac:dyDescent="0.2">
      <c r="A382" s="378"/>
      <c r="B382" s="378"/>
      <c r="C382" s="378"/>
      <c r="D382" s="380"/>
      <c r="E382" s="380"/>
      <c r="F382" s="378"/>
      <c r="G382" s="378"/>
      <c r="H382" s="378"/>
      <c r="I382" s="378"/>
      <c r="J382" s="378"/>
      <c r="K382" s="378"/>
      <c r="L382" s="378"/>
      <c r="M382" s="381"/>
      <c r="N382" s="381"/>
      <c r="O382" s="381"/>
      <c r="P382" s="381"/>
      <c r="Q382" s="381"/>
      <c r="R382" s="381"/>
      <c r="S382" s="381"/>
      <c r="T382" s="381"/>
      <c r="U382" s="381"/>
      <c r="V382" s="381"/>
      <c r="W382" s="381"/>
      <c r="X382" s="381"/>
      <c r="Y382" s="381"/>
      <c r="Z382" s="381"/>
      <c r="AA382" s="381"/>
      <c r="AB382" s="381"/>
      <c r="AC382" s="382"/>
      <c r="AD382" s="382"/>
    </row>
    <row r="383" spans="1:30" ht="12.75" customHeight="1" x14ac:dyDescent="0.2">
      <c r="A383" s="378"/>
      <c r="B383" s="378"/>
      <c r="C383" s="378"/>
      <c r="D383" s="380"/>
      <c r="E383" s="380"/>
      <c r="F383" s="378"/>
      <c r="G383" s="378"/>
      <c r="H383" s="378"/>
      <c r="I383" s="378"/>
      <c r="J383" s="378"/>
      <c r="K383" s="378"/>
      <c r="L383" s="378"/>
      <c r="M383" s="381"/>
      <c r="N383" s="381"/>
      <c r="O383" s="381"/>
      <c r="P383" s="381"/>
      <c r="Q383" s="381"/>
      <c r="R383" s="381"/>
      <c r="S383" s="381"/>
      <c r="T383" s="381"/>
      <c r="U383" s="381"/>
      <c r="V383" s="381"/>
      <c r="W383" s="381"/>
      <c r="X383" s="381"/>
      <c r="Y383" s="381"/>
      <c r="Z383" s="381"/>
      <c r="AA383" s="381"/>
      <c r="AB383" s="381"/>
      <c r="AC383" s="382"/>
      <c r="AD383" s="382"/>
    </row>
    <row r="384" spans="1:30" ht="12.75" customHeight="1" x14ac:dyDescent="0.2">
      <c r="A384" s="378"/>
      <c r="B384" s="378"/>
      <c r="C384" s="378"/>
      <c r="D384" s="380"/>
      <c r="E384" s="380"/>
      <c r="F384" s="378"/>
      <c r="G384" s="378"/>
      <c r="H384" s="378"/>
      <c r="I384" s="378"/>
      <c r="J384" s="378"/>
      <c r="K384" s="378"/>
      <c r="L384" s="378"/>
      <c r="M384" s="381"/>
      <c r="N384" s="381"/>
      <c r="O384" s="381"/>
      <c r="P384" s="381"/>
      <c r="Q384" s="381"/>
      <c r="R384" s="381"/>
      <c r="S384" s="381"/>
      <c r="T384" s="381"/>
      <c r="U384" s="381"/>
      <c r="V384" s="381"/>
      <c r="W384" s="381"/>
      <c r="X384" s="381"/>
      <c r="Y384" s="381"/>
      <c r="Z384" s="381"/>
      <c r="AA384" s="381"/>
      <c r="AB384" s="381"/>
      <c r="AC384" s="382"/>
      <c r="AD384" s="382"/>
    </row>
    <row r="385" spans="1:30" ht="12.75" customHeight="1" x14ac:dyDescent="0.2">
      <c r="A385" s="378"/>
      <c r="B385" s="378"/>
      <c r="C385" s="378"/>
      <c r="D385" s="380"/>
      <c r="E385" s="380"/>
      <c r="F385" s="378"/>
      <c r="G385" s="378"/>
      <c r="H385" s="378"/>
      <c r="I385" s="378"/>
      <c r="J385" s="378"/>
      <c r="K385" s="378"/>
      <c r="L385" s="378"/>
      <c r="M385" s="381"/>
      <c r="N385" s="381"/>
      <c r="O385" s="381"/>
      <c r="P385" s="381"/>
      <c r="Q385" s="381"/>
      <c r="R385" s="381"/>
      <c r="S385" s="381"/>
      <c r="T385" s="381"/>
      <c r="U385" s="381"/>
      <c r="V385" s="381"/>
      <c r="W385" s="381"/>
      <c r="X385" s="381"/>
      <c r="Y385" s="381"/>
      <c r="Z385" s="381"/>
      <c r="AA385" s="381"/>
      <c r="AB385" s="381"/>
      <c r="AC385" s="382"/>
      <c r="AD385" s="382"/>
    </row>
    <row r="386" spans="1:30" ht="12.75" customHeight="1" x14ac:dyDescent="0.2">
      <c r="A386" s="378"/>
      <c r="B386" s="378"/>
      <c r="C386" s="378"/>
      <c r="D386" s="380"/>
      <c r="E386" s="380"/>
      <c r="F386" s="378"/>
      <c r="G386" s="378"/>
      <c r="H386" s="378"/>
      <c r="I386" s="378"/>
      <c r="J386" s="378"/>
      <c r="K386" s="378"/>
      <c r="L386" s="378"/>
      <c r="M386" s="381"/>
      <c r="N386" s="381"/>
      <c r="O386" s="381"/>
      <c r="P386" s="381"/>
      <c r="Q386" s="381"/>
      <c r="R386" s="381"/>
      <c r="S386" s="381"/>
      <c r="T386" s="381"/>
      <c r="U386" s="381"/>
      <c r="V386" s="381"/>
      <c r="W386" s="381"/>
      <c r="X386" s="381"/>
      <c r="Y386" s="381"/>
      <c r="Z386" s="381"/>
      <c r="AA386" s="381"/>
      <c r="AB386" s="381"/>
      <c r="AC386" s="382"/>
      <c r="AD386" s="382"/>
    </row>
    <row r="387" spans="1:30" ht="12.75" customHeight="1" x14ac:dyDescent="0.2">
      <c r="A387" s="378"/>
      <c r="B387" s="378"/>
      <c r="C387" s="378"/>
      <c r="D387" s="380"/>
      <c r="E387" s="380"/>
      <c r="F387" s="378"/>
      <c r="G387" s="378"/>
      <c r="H387" s="378"/>
      <c r="I387" s="378"/>
      <c r="J387" s="378"/>
      <c r="K387" s="378"/>
      <c r="L387" s="378"/>
      <c r="M387" s="381"/>
      <c r="N387" s="381"/>
      <c r="O387" s="381"/>
      <c r="P387" s="381"/>
      <c r="Q387" s="381"/>
      <c r="R387" s="381"/>
      <c r="S387" s="381"/>
      <c r="T387" s="381"/>
      <c r="U387" s="381"/>
      <c r="V387" s="381"/>
      <c r="W387" s="381"/>
      <c r="X387" s="381"/>
      <c r="Y387" s="381"/>
      <c r="Z387" s="381"/>
      <c r="AA387" s="381"/>
      <c r="AB387" s="381"/>
      <c r="AC387" s="382"/>
      <c r="AD387" s="382"/>
    </row>
    <row r="388" spans="1:30" ht="12.75" customHeight="1" x14ac:dyDescent="0.2">
      <c r="A388" s="378"/>
      <c r="B388" s="378"/>
      <c r="C388" s="378"/>
      <c r="D388" s="380"/>
      <c r="E388" s="380"/>
      <c r="F388" s="378"/>
      <c r="G388" s="378"/>
      <c r="H388" s="378"/>
      <c r="I388" s="378"/>
      <c r="J388" s="378"/>
      <c r="K388" s="378"/>
      <c r="L388" s="378"/>
      <c r="M388" s="381"/>
      <c r="N388" s="381"/>
      <c r="O388" s="381"/>
      <c r="P388" s="381"/>
      <c r="Q388" s="381"/>
      <c r="R388" s="381"/>
      <c r="S388" s="381"/>
      <c r="T388" s="381"/>
      <c r="U388" s="381"/>
      <c r="V388" s="381"/>
      <c r="W388" s="381"/>
      <c r="X388" s="381"/>
      <c r="Y388" s="381"/>
      <c r="Z388" s="381"/>
      <c r="AA388" s="381"/>
      <c r="AB388" s="381"/>
      <c r="AC388" s="382"/>
      <c r="AD388" s="382"/>
    </row>
    <row r="389" spans="1:30" ht="12.75" customHeight="1" x14ac:dyDescent="0.2">
      <c r="A389" s="378"/>
      <c r="B389" s="378"/>
      <c r="C389" s="378"/>
      <c r="D389" s="380"/>
      <c r="E389" s="380"/>
      <c r="F389" s="378"/>
      <c r="G389" s="378"/>
      <c r="H389" s="378"/>
      <c r="I389" s="378"/>
      <c r="J389" s="378"/>
      <c r="K389" s="378"/>
      <c r="L389" s="378"/>
      <c r="M389" s="381"/>
      <c r="N389" s="381"/>
      <c r="O389" s="381"/>
      <c r="P389" s="381"/>
      <c r="Q389" s="381"/>
      <c r="R389" s="381"/>
      <c r="S389" s="381"/>
      <c r="T389" s="381"/>
      <c r="U389" s="381"/>
      <c r="V389" s="381"/>
      <c r="W389" s="381"/>
      <c r="X389" s="381"/>
      <c r="Y389" s="381"/>
      <c r="Z389" s="381"/>
      <c r="AA389" s="381"/>
      <c r="AB389" s="381"/>
      <c r="AC389" s="382"/>
      <c r="AD389" s="382"/>
    </row>
    <row r="390" spans="1:30" ht="12.75" customHeight="1" x14ac:dyDescent="0.2">
      <c r="A390" s="378"/>
      <c r="B390" s="378"/>
      <c r="C390" s="378"/>
      <c r="D390" s="380"/>
      <c r="E390" s="380"/>
      <c r="F390" s="378"/>
      <c r="G390" s="378"/>
      <c r="H390" s="378"/>
      <c r="I390" s="378"/>
      <c r="J390" s="378"/>
      <c r="K390" s="378"/>
      <c r="L390" s="378"/>
      <c r="M390" s="381"/>
      <c r="N390" s="381"/>
      <c r="O390" s="381"/>
      <c r="P390" s="381"/>
      <c r="Q390" s="381"/>
      <c r="R390" s="381"/>
      <c r="S390" s="381"/>
      <c r="T390" s="381"/>
      <c r="U390" s="381"/>
      <c r="V390" s="381"/>
      <c r="W390" s="381"/>
      <c r="X390" s="381"/>
      <c r="Y390" s="381"/>
      <c r="Z390" s="381"/>
      <c r="AA390" s="381"/>
      <c r="AB390" s="381"/>
      <c r="AC390" s="382"/>
      <c r="AD390" s="382"/>
    </row>
    <row r="391" spans="1:30" ht="12.75" customHeight="1" x14ac:dyDescent="0.2">
      <c r="A391" s="378"/>
      <c r="B391" s="378"/>
      <c r="C391" s="378"/>
      <c r="D391" s="380"/>
      <c r="E391" s="380"/>
      <c r="F391" s="378"/>
      <c r="G391" s="378"/>
      <c r="H391" s="378"/>
      <c r="I391" s="378"/>
      <c r="J391" s="378"/>
      <c r="K391" s="378"/>
      <c r="L391" s="378"/>
      <c r="M391" s="381"/>
      <c r="N391" s="381"/>
      <c r="O391" s="381"/>
      <c r="P391" s="381"/>
      <c r="Q391" s="381"/>
      <c r="R391" s="381"/>
      <c r="S391" s="381"/>
      <c r="T391" s="381"/>
      <c r="U391" s="381"/>
      <c r="V391" s="381"/>
      <c r="W391" s="381"/>
      <c r="X391" s="381"/>
      <c r="Y391" s="381"/>
      <c r="Z391" s="381"/>
      <c r="AA391" s="381"/>
      <c r="AB391" s="381"/>
      <c r="AC391" s="382"/>
      <c r="AD391" s="382"/>
    </row>
    <row r="392" spans="1:30" ht="12.75" customHeight="1" x14ac:dyDescent="0.2">
      <c r="A392" s="378"/>
      <c r="B392" s="378"/>
      <c r="C392" s="378"/>
      <c r="D392" s="380"/>
      <c r="E392" s="380"/>
      <c r="F392" s="378"/>
      <c r="G392" s="378"/>
      <c r="H392" s="378"/>
      <c r="I392" s="378"/>
      <c r="J392" s="378"/>
      <c r="K392" s="378"/>
      <c r="L392" s="378"/>
      <c r="M392" s="381"/>
      <c r="N392" s="381"/>
      <c r="O392" s="381"/>
      <c r="P392" s="381"/>
      <c r="Q392" s="381"/>
      <c r="R392" s="381"/>
      <c r="S392" s="381"/>
      <c r="T392" s="381"/>
      <c r="U392" s="381"/>
      <c r="V392" s="381"/>
      <c r="W392" s="381"/>
      <c r="X392" s="381"/>
      <c r="Y392" s="381"/>
      <c r="Z392" s="381"/>
      <c r="AA392" s="381"/>
      <c r="AB392" s="381"/>
      <c r="AC392" s="382"/>
      <c r="AD392" s="382"/>
    </row>
    <row r="393" spans="1:30" ht="12.75" customHeight="1" x14ac:dyDescent="0.2">
      <c r="A393" s="378"/>
      <c r="B393" s="378"/>
      <c r="C393" s="378"/>
      <c r="D393" s="380"/>
      <c r="E393" s="380"/>
      <c r="F393" s="378"/>
      <c r="G393" s="378"/>
      <c r="H393" s="378"/>
      <c r="I393" s="378"/>
      <c r="J393" s="378"/>
      <c r="K393" s="378"/>
      <c r="L393" s="378"/>
      <c r="M393" s="381"/>
      <c r="N393" s="381"/>
      <c r="O393" s="381"/>
      <c r="P393" s="381"/>
      <c r="Q393" s="381"/>
      <c r="R393" s="381"/>
      <c r="S393" s="381"/>
      <c r="T393" s="381"/>
      <c r="U393" s="381"/>
      <c r="V393" s="381"/>
      <c r="W393" s="381"/>
      <c r="X393" s="381"/>
      <c r="Y393" s="381"/>
      <c r="Z393" s="381"/>
      <c r="AA393" s="381"/>
      <c r="AB393" s="381"/>
      <c r="AC393" s="382"/>
      <c r="AD393" s="382"/>
    </row>
    <row r="394" spans="1:30" ht="12.75" customHeight="1" x14ac:dyDescent="0.2">
      <c r="A394" s="378"/>
      <c r="B394" s="378"/>
      <c r="C394" s="378"/>
      <c r="D394" s="380"/>
      <c r="E394" s="380"/>
      <c r="F394" s="378"/>
      <c r="G394" s="378"/>
      <c r="H394" s="378"/>
      <c r="I394" s="378"/>
      <c r="J394" s="378"/>
      <c r="K394" s="378"/>
      <c r="L394" s="378"/>
      <c r="M394" s="381"/>
      <c r="N394" s="381"/>
      <c r="O394" s="381"/>
      <c r="P394" s="381"/>
      <c r="Q394" s="381"/>
      <c r="R394" s="381"/>
      <c r="S394" s="381"/>
      <c r="T394" s="381"/>
      <c r="U394" s="381"/>
      <c r="V394" s="381"/>
      <c r="W394" s="381"/>
      <c r="X394" s="381"/>
      <c r="Y394" s="381"/>
      <c r="Z394" s="381"/>
      <c r="AA394" s="381"/>
      <c r="AB394" s="381"/>
      <c r="AC394" s="382"/>
      <c r="AD394" s="382"/>
    </row>
    <row r="395" spans="1:30" ht="12.75" customHeight="1" x14ac:dyDescent="0.2">
      <c r="A395" s="378"/>
      <c r="B395" s="378"/>
      <c r="C395" s="378"/>
      <c r="D395" s="380"/>
      <c r="E395" s="380"/>
      <c r="F395" s="378"/>
      <c r="G395" s="378"/>
      <c r="H395" s="378"/>
      <c r="I395" s="378"/>
      <c r="J395" s="378"/>
      <c r="K395" s="378"/>
      <c r="L395" s="378"/>
      <c r="M395" s="381"/>
      <c r="N395" s="381"/>
      <c r="O395" s="381"/>
      <c r="P395" s="381"/>
      <c r="Q395" s="381"/>
      <c r="R395" s="381"/>
      <c r="S395" s="381"/>
      <c r="T395" s="381"/>
      <c r="U395" s="381"/>
      <c r="V395" s="381"/>
      <c r="W395" s="381"/>
      <c r="X395" s="381"/>
      <c r="Y395" s="381"/>
      <c r="Z395" s="381"/>
      <c r="AA395" s="381"/>
      <c r="AB395" s="381"/>
      <c r="AC395" s="382"/>
      <c r="AD395" s="382"/>
    </row>
    <row r="396" spans="1:30" ht="12.75" customHeight="1" x14ac:dyDescent="0.2">
      <c r="A396" s="378"/>
      <c r="B396" s="378"/>
      <c r="C396" s="378"/>
      <c r="D396" s="380"/>
      <c r="E396" s="380"/>
      <c r="F396" s="378"/>
      <c r="G396" s="378"/>
      <c r="H396" s="378"/>
      <c r="I396" s="378"/>
      <c r="J396" s="378"/>
      <c r="K396" s="378"/>
      <c r="L396" s="378"/>
      <c r="M396" s="381"/>
      <c r="N396" s="381"/>
      <c r="O396" s="381"/>
      <c r="P396" s="381"/>
      <c r="Q396" s="381"/>
      <c r="R396" s="381"/>
      <c r="S396" s="381"/>
      <c r="T396" s="381"/>
      <c r="U396" s="381"/>
      <c r="V396" s="381"/>
      <c r="W396" s="381"/>
      <c r="X396" s="381"/>
      <c r="Y396" s="381"/>
      <c r="Z396" s="381"/>
      <c r="AA396" s="381"/>
      <c r="AB396" s="381"/>
      <c r="AC396" s="382"/>
      <c r="AD396" s="382"/>
    </row>
    <row r="397" spans="1:30" ht="12.75" customHeight="1" x14ac:dyDescent="0.2">
      <c r="A397" s="378"/>
      <c r="B397" s="378"/>
      <c r="C397" s="378"/>
      <c r="D397" s="380"/>
      <c r="E397" s="380"/>
      <c r="F397" s="378"/>
      <c r="G397" s="378"/>
      <c r="H397" s="378"/>
      <c r="I397" s="378"/>
      <c r="J397" s="378"/>
      <c r="K397" s="378"/>
      <c r="L397" s="378"/>
      <c r="M397" s="381"/>
      <c r="N397" s="381"/>
      <c r="O397" s="381"/>
      <c r="P397" s="381"/>
      <c r="Q397" s="381"/>
      <c r="R397" s="381"/>
      <c r="S397" s="381"/>
      <c r="T397" s="381"/>
      <c r="U397" s="381"/>
      <c r="V397" s="381"/>
      <c r="W397" s="381"/>
      <c r="X397" s="381"/>
      <c r="Y397" s="381"/>
      <c r="Z397" s="381"/>
      <c r="AA397" s="381"/>
      <c r="AB397" s="381"/>
      <c r="AC397" s="382"/>
      <c r="AD397" s="382"/>
    </row>
    <row r="398" spans="1:30" ht="12.75" customHeight="1" x14ac:dyDescent="0.2">
      <c r="A398" s="378"/>
      <c r="B398" s="378"/>
      <c r="C398" s="378"/>
      <c r="D398" s="380"/>
      <c r="E398" s="380"/>
      <c r="F398" s="378"/>
      <c r="G398" s="378"/>
      <c r="H398" s="378"/>
      <c r="I398" s="378"/>
      <c r="J398" s="378"/>
      <c r="K398" s="378"/>
      <c r="L398" s="378"/>
      <c r="M398" s="381"/>
      <c r="N398" s="381"/>
      <c r="O398" s="381"/>
      <c r="P398" s="381"/>
      <c r="Q398" s="381"/>
      <c r="R398" s="381"/>
      <c r="S398" s="381"/>
      <c r="T398" s="381"/>
      <c r="U398" s="381"/>
      <c r="V398" s="381"/>
      <c r="W398" s="381"/>
      <c r="X398" s="381"/>
      <c r="Y398" s="381"/>
      <c r="Z398" s="381"/>
      <c r="AA398" s="381"/>
      <c r="AB398" s="381"/>
      <c r="AC398" s="382"/>
      <c r="AD398" s="382"/>
    </row>
    <row r="399" spans="1:30" ht="12.75" customHeight="1" x14ac:dyDescent="0.2">
      <c r="A399" s="378"/>
      <c r="B399" s="378"/>
      <c r="C399" s="378"/>
      <c r="D399" s="380"/>
      <c r="E399" s="380"/>
      <c r="F399" s="378"/>
      <c r="G399" s="378"/>
      <c r="H399" s="378"/>
      <c r="I399" s="378"/>
      <c r="J399" s="378"/>
      <c r="K399" s="378"/>
      <c r="L399" s="378"/>
      <c r="M399" s="381"/>
      <c r="N399" s="381"/>
      <c r="O399" s="381"/>
      <c r="P399" s="381"/>
      <c r="Q399" s="381"/>
      <c r="R399" s="381"/>
      <c r="S399" s="381"/>
      <c r="T399" s="381"/>
      <c r="U399" s="381"/>
      <c r="V399" s="381"/>
      <c r="W399" s="381"/>
      <c r="X399" s="381"/>
      <c r="Y399" s="381"/>
      <c r="Z399" s="381"/>
      <c r="AA399" s="381"/>
      <c r="AB399" s="381"/>
      <c r="AC399" s="382"/>
      <c r="AD399" s="382"/>
    </row>
    <row r="400" spans="1:30" ht="12.75" customHeight="1" x14ac:dyDescent="0.2">
      <c r="A400" s="378"/>
      <c r="B400" s="378"/>
      <c r="C400" s="378"/>
      <c r="D400" s="380"/>
      <c r="E400" s="380"/>
      <c r="F400" s="378"/>
      <c r="G400" s="378"/>
      <c r="H400" s="378"/>
      <c r="I400" s="378"/>
      <c r="J400" s="378"/>
      <c r="K400" s="378"/>
      <c r="L400" s="378"/>
      <c r="M400" s="381"/>
      <c r="N400" s="381"/>
      <c r="O400" s="381"/>
      <c r="P400" s="381"/>
      <c r="Q400" s="381"/>
      <c r="R400" s="381"/>
      <c r="S400" s="381"/>
      <c r="T400" s="381"/>
      <c r="U400" s="381"/>
      <c r="V400" s="381"/>
      <c r="W400" s="381"/>
      <c r="X400" s="381"/>
      <c r="Y400" s="381"/>
      <c r="Z400" s="381"/>
      <c r="AA400" s="381"/>
      <c r="AB400" s="381"/>
      <c r="AC400" s="382"/>
      <c r="AD400" s="382"/>
    </row>
    <row r="401" spans="1:30" ht="12.75" customHeight="1" x14ac:dyDescent="0.2">
      <c r="A401" s="378"/>
      <c r="B401" s="378"/>
      <c r="C401" s="378"/>
      <c r="D401" s="380"/>
      <c r="E401" s="380"/>
      <c r="F401" s="378"/>
      <c r="G401" s="378"/>
      <c r="H401" s="378"/>
      <c r="I401" s="378"/>
      <c r="J401" s="378"/>
      <c r="K401" s="378"/>
      <c r="L401" s="378"/>
      <c r="M401" s="381"/>
      <c r="N401" s="381"/>
      <c r="O401" s="381"/>
      <c r="P401" s="381"/>
      <c r="Q401" s="381"/>
      <c r="R401" s="381"/>
      <c r="S401" s="381"/>
      <c r="T401" s="381"/>
      <c r="U401" s="381"/>
      <c r="V401" s="381"/>
      <c r="W401" s="381"/>
      <c r="X401" s="381"/>
      <c r="Y401" s="381"/>
      <c r="Z401" s="381"/>
      <c r="AA401" s="381"/>
      <c r="AB401" s="381"/>
      <c r="AC401" s="382"/>
      <c r="AD401" s="382"/>
    </row>
    <row r="402" spans="1:30" ht="12.75" customHeight="1" x14ac:dyDescent="0.2">
      <c r="A402" s="378"/>
      <c r="B402" s="378"/>
      <c r="C402" s="378"/>
      <c r="D402" s="380"/>
      <c r="E402" s="380"/>
      <c r="F402" s="378"/>
      <c r="G402" s="378"/>
      <c r="H402" s="378"/>
      <c r="I402" s="378"/>
      <c r="J402" s="378"/>
      <c r="K402" s="378"/>
      <c r="L402" s="378"/>
      <c r="M402" s="381"/>
      <c r="N402" s="381"/>
      <c r="O402" s="381"/>
      <c r="P402" s="381"/>
      <c r="Q402" s="381"/>
      <c r="R402" s="381"/>
      <c r="S402" s="381"/>
      <c r="T402" s="381"/>
      <c r="U402" s="381"/>
      <c r="V402" s="381"/>
      <c r="W402" s="381"/>
      <c r="X402" s="381"/>
      <c r="Y402" s="381"/>
      <c r="Z402" s="381"/>
      <c r="AA402" s="381"/>
      <c r="AB402" s="381"/>
      <c r="AC402" s="382"/>
      <c r="AD402" s="382"/>
    </row>
    <row r="403" spans="1:30" ht="12.75" customHeight="1" x14ac:dyDescent="0.2">
      <c r="A403" s="378"/>
      <c r="B403" s="378"/>
      <c r="C403" s="378"/>
      <c r="D403" s="380"/>
      <c r="E403" s="380"/>
      <c r="F403" s="378"/>
      <c r="G403" s="378"/>
      <c r="H403" s="378"/>
      <c r="I403" s="378"/>
      <c r="J403" s="378"/>
      <c r="K403" s="378"/>
      <c r="L403" s="378"/>
      <c r="M403" s="381"/>
      <c r="N403" s="381"/>
      <c r="O403" s="381"/>
      <c r="P403" s="381"/>
      <c r="Q403" s="381"/>
      <c r="R403" s="381"/>
      <c r="S403" s="381"/>
      <c r="T403" s="381"/>
      <c r="U403" s="381"/>
      <c r="V403" s="381"/>
      <c r="W403" s="381"/>
      <c r="X403" s="381"/>
      <c r="Y403" s="381"/>
      <c r="Z403" s="381"/>
      <c r="AA403" s="381"/>
      <c r="AB403" s="381"/>
      <c r="AC403" s="382"/>
      <c r="AD403" s="382"/>
    </row>
    <row r="404" spans="1:30" ht="12.75" customHeight="1" x14ac:dyDescent="0.2">
      <c r="A404" s="378"/>
      <c r="B404" s="378"/>
      <c r="C404" s="378"/>
      <c r="D404" s="380"/>
      <c r="E404" s="380"/>
      <c r="F404" s="378"/>
      <c r="G404" s="378"/>
      <c r="H404" s="378"/>
      <c r="I404" s="378"/>
      <c r="J404" s="378"/>
      <c r="K404" s="378"/>
      <c r="L404" s="378"/>
      <c r="M404" s="381"/>
      <c r="N404" s="381"/>
      <c r="O404" s="381"/>
      <c r="P404" s="381"/>
      <c r="Q404" s="381"/>
      <c r="R404" s="381"/>
      <c r="S404" s="381"/>
      <c r="T404" s="381"/>
      <c r="U404" s="381"/>
      <c r="V404" s="381"/>
      <c r="W404" s="381"/>
      <c r="X404" s="381"/>
      <c r="Y404" s="381"/>
      <c r="Z404" s="381"/>
      <c r="AA404" s="381"/>
      <c r="AB404" s="381"/>
      <c r="AC404" s="382"/>
      <c r="AD404" s="382"/>
    </row>
    <row r="405" spans="1:30" ht="12.75" customHeight="1" x14ac:dyDescent="0.2">
      <c r="A405" s="378"/>
      <c r="B405" s="378"/>
      <c r="C405" s="378"/>
      <c r="D405" s="380"/>
      <c r="E405" s="380"/>
      <c r="F405" s="378"/>
      <c r="G405" s="378"/>
      <c r="H405" s="378"/>
      <c r="I405" s="378"/>
      <c r="J405" s="378"/>
      <c r="K405" s="378"/>
      <c r="L405" s="378"/>
      <c r="M405" s="381"/>
      <c r="N405" s="381"/>
      <c r="O405" s="381"/>
      <c r="P405" s="381"/>
      <c r="Q405" s="381"/>
      <c r="R405" s="381"/>
      <c r="S405" s="381"/>
      <c r="T405" s="381"/>
      <c r="U405" s="381"/>
      <c r="V405" s="381"/>
      <c r="W405" s="381"/>
      <c r="X405" s="381"/>
      <c r="Y405" s="381"/>
      <c r="Z405" s="381"/>
      <c r="AA405" s="381"/>
      <c r="AB405" s="381"/>
      <c r="AC405" s="382"/>
      <c r="AD405" s="382"/>
    </row>
    <row r="406" spans="1:30" ht="12.75" customHeight="1" x14ac:dyDescent="0.2">
      <c r="A406" s="378"/>
      <c r="B406" s="378"/>
      <c r="C406" s="378"/>
      <c r="D406" s="380"/>
      <c r="E406" s="380"/>
      <c r="F406" s="378"/>
      <c r="G406" s="378"/>
      <c r="H406" s="378"/>
      <c r="I406" s="378"/>
      <c r="J406" s="378"/>
      <c r="K406" s="378"/>
      <c r="L406" s="378"/>
      <c r="M406" s="381"/>
      <c r="N406" s="381"/>
      <c r="O406" s="381"/>
      <c r="P406" s="381"/>
      <c r="Q406" s="381"/>
      <c r="R406" s="381"/>
      <c r="S406" s="381"/>
      <c r="T406" s="381"/>
      <c r="U406" s="381"/>
      <c r="V406" s="381"/>
      <c r="W406" s="381"/>
      <c r="X406" s="381"/>
      <c r="Y406" s="381"/>
      <c r="Z406" s="381"/>
      <c r="AA406" s="381"/>
      <c r="AB406" s="381"/>
      <c r="AC406" s="382"/>
      <c r="AD406" s="382"/>
    </row>
    <row r="407" spans="1:30" ht="12.75" customHeight="1" x14ac:dyDescent="0.2">
      <c r="A407" s="378"/>
      <c r="B407" s="378"/>
      <c r="C407" s="378"/>
      <c r="D407" s="380"/>
      <c r="E407" s="380"/>
      <c r="F407" s="378"/>
      <c r="G407" s="378"/>
      <c r="H407" s="378"/>
      <c r="I407" s="378"/>
      <c r="J407" s="378"/>
      <c r="K407" s="378"/>
      <c r="L407" s="378"/>
      <c r="M407" s="381"/>
      <c r="N407" s="381"/>
      <c r="O407" s="381"/>
      <c r="P407" s="381"/>
      <c r="Q407" s="381"/>
      <c r="R407" s="381"/>
      <c r="S407" s="381"/>
      <c r="T407" s="381"/>
      <c r="U407" s="381"/>
      <c r="V407" s="381"/>
      <c r="W407" s="381"/>
      <c r="X407" s="381"/>
      <c r="Y407" s="381"/>
      <c r="Z407" s="381"/>
      <c r="AA407" s="381"/>
      <c r="AB407" s="381"/>
      <c r="AC407" s="382"/>
      <c r="AD407" s="382"/>
    </row>
    <row r="408" spans="1:30" ht="12.75" customHeight="1" x14ac:dyDescent="0.2">
      <c r="A408" s="378"/>
      <c r="B408" s="378"/>
      <c r="C408" s="378"/>
      <c r="D408" s="380"/>
      <c r="E408" s="380"/>
      <c r="F408" s="378"/>
      <c r="G408" s="378"/>
      <c r="H408" s="378"/>
      <c r="I408" s="378"/>
      <c r="J408" s="378"/>
      <c r="K408" s="378"/>
      <c r="L408" s="378"/>
      <c r="M408" s="381"/>
      <c r="N408" s="381"/>
      <c r="O408" s="381"/>
      <c r="P408" s="381"/>
      <c r="Q408" s="381"/>
      <c r="R408" s="381"/>
      <c r="S408" s="381"/>
      <c r="T408" s="381"/>
      <c r="U408" s="381"/>
      <c r="V408" s="381"/>
      <c r="W408" s="381"/>
      <c r="X408" s="381"/>
      <c r="Y408" s="381"/>
      <c r="Z408" s="381"/>
      <c r="AA408" s="381"/>
      <c r="AB408" s="381"/>
      <c r="AC408" s="382"/>
      <c r="AD408" s="382"/>
    </row>
    <row r="409" spans="1:30" ht="12.75" customHeight="1" x14ac:dyDescent="0.2">
      <c r="A409" s="378"/>
      <c r="B409" s="378"/>
      <c r="C409" s="378"/>
      <c r="D409" s="380"/>
      <c r="E409" s="380"/>
      <c r="F409" s="378"/>
      <c r="G409" s="378"/>
      <c r="H409" s="378"/>
      <c r="I409" s="378"/>
      <c r="J409" s="378"/>
      <c r="K409" s="378"/>
      <c r="L409" s="378"/>
      <c r="M409" s="381"/>
      <c r="N409" s="381"/>
      <c r="O409" s="381"/>
      <c r="P409" s="381"/>
      <c r="Q409" s="381"/>
      <c r="R409" s="381"/>
      <c r="S409" s="381"/>
      <c r="T409" s="381"/>
      <c r="U409" s="381"/>
      <c r="V409" s="381"/>
      <c r="W409" s="381"/>
      <c r="X409" s="381"/>
      <c r="Y409" s="381"/>
      <c r="Z409" s="381"/>
      <c r="AA409" s="381"/>
      <c r="AB409" s="381"/>
      <c r="AC409" s="382"/>
      <c r="AD409" s="382"/>
    </row>
    <row r="410" spans="1:30" ht="12.75" customHeight="1" x14ac:dyDescent="0.2">
      <c r="A410" s="378"/>
      <c r="B410" s="378"/>
      <c r="C410" s="378"/>
      <c r="D410" s="380"/>
      <c r="E410" s="380"/>
      <c r="F410" s="378"/>
      <c r="G410" s="378"/>
      <c r="H410" s="378"/>
      <c r="I410" s="378"/>
      <c r="J410" s="378"/>
      <c r="K410" s="378"/>
      <c r="L410" s="378"/>
      <c r="M410" s="381"/>
      <c r="N410" s="381"/>
      <c r="O410" s="381"/>
      <c r="P410" s="381"/>
      <c r="Q410" s="381"/>
      <c r="R410" s="381"/>
      <c r="S410" s="381"/>
      <c r="T410" s="381"/>
      <c r="U410" s="381"/>
      <c r="V410" s="381"/>
      <c r="W410" s="381"/>
      <c r="X410" s="381"/>
      <c r="Y410" s="381"/>
      <c r="Z410" s="381"/>
      <c r="AA410" s="381"/>
      <c r="AB410" s="381"/>
      <c r="AC410" s="382"/>
      <c r="AD410" s="382"/>
    </row>
    <row r="411" spans="1:30" ht="12.75" customHeight="1" x14ac:dyDescent="0.2">
      <c r="A411" s="378"/>
      <c r="B411" s="378"/>
      <c r="C411" s="378"/>
      <c r="D411" s="380"/>
      <c r="E411" s="380"/>
      <c r="F411" s="378"/>
      <c r="G411" s="378"/>
      <c r="H411" s="378"/>
      <c r="I411" s="378"/>
      <c r="J411" s="378"/>
      <c r="K411" s="378"/>
      <c r="L411" s="378"/>
      <c r="M411" s="381"/>
      <c r="N411" s="381"/>
      <c r="O411" s="381"/>
      <c r="P411" s="381"/>
      <c r="Q411" s="381"/>
      <c r="R411" s="381"/>
      <c r="S411" s="381"/>
      <c r="T411" s="381"/>
      <c r="U411" s="381"/>
      <c r="V411" s="381"/>
      <c r="W411" s="381"/>
      <c r="X411" s="381"/>
      <c r="Y411" s="381"/>
      <c r="Z411" s="381"/>
      <c r="AA411" s="381"/>
      <c r="AB411" s="381"/>
      <c r="AC411" s="382"/>
      <c r="AD411" s="382"/>
    </row>
    <row r="412" spans="1:30" ht="12.75" customHeight="1" x14ac:dyDescent="0.2">
      <c r="A412" s="378"/>
      <c r="B412" s="378"/>
      <c r="C412" s="378"/>
      <c r="D412" s="380"/>
      <c r="E412" s="380"/>
      <c r="F412" s="378"/>
      <c r="G412" s="378"/>
      <c r="H412" s="378"/>
      <c r="I412" s="378"/>
      <c r="J412" s="378"/>
      <c r="K412" s="378"/>
      <c r="L412" s="378"/>
      <c r="M412" s="381"/>
      <c r="N412" s="381"/>
      <c r="O412" s="381"/>
      <c r="P412" s="381"/>
      <c r="Q412" s="381"/>
      <c r="R412" s="381"/>
      <c r="S412" s="381"/>
      <c r="T412" s="381"/>
      <c r="U412" s="381"/>
      <c r="V412" s="381"/>
      <c r="W412" s="381"/>
      <c r="X412" s="381"/>
      <c r="Y412" s="381"/>
      <c r="Z412" s="381"/>
      <c r="AA412" s="381"/>
      <c r="AB412" s="381"/>
      <c r="AC412" s="382"/>
      <c r="AD412" s="382"/>
    </row>
    <row r="413" spans="1:30" ht="12.75" customHeight="1" x14ac:dyDescent="0.2">
      <c r="A413" s="378"/>
      <c r="B413" s="378"/>
      <c r="C413" s="378"/>
      <c r="D413" s="380"/>
      <c r="E413" s="380"/>
      <c r="F413" s="378"/>
      <c r="G413" s="378"/>
      <c r="H413" s="378"/>
      <c r="I413" s="378"/>
      <c r="J413" s="378"/>
      <c r="K413" s="378"/>
      <c r="L413" s="378"/>
      <c r="M413" s="381"/>
      <c r="N413" s="381"/>
      <c r="O413" s="381"/>
      <c r="P413" s="381"/>
      <c r="Q413" s="381"/>
      <c r="R413" s="381"/>
      <c r="S413" s="381"/>
      <c r="T413" s="381"/>
      <c r="U413" s="381"/>
      <c r="V413" s="381"/>
      <c r="W413" s="381"/>
      <c r="X413" s="381"/>
      <c r="Y413" s="381"/>
      <c r="Z413" s="381"/>
      <c r="AA413" s="381"/>
      <c r="AB413" s="381"/>
      <c r="AC413" s="382"/>
      <c r="AD413" s="382"/>
    </row>
    <row r="414" spans="1:30" ht="12.75" customHeight="1" x14ac:dyDescent="0.2">
      <c r="A414" s="378"/>
      <c r="B414" s="378"/>
      <c r="C414" s="378"/>
      <c r="D414" s="380"/>
      <c r="E414" s="380"/>
      <c r="F414" s="378"/>
      <c r="G414" s="378"/>
      <c r="H414" s="378"/>
      <c r="I414" s="378"/>
      <c r="J414" s="378"/>
      <c r="K414" s="378"/>
      <c r="L414" s="378"/>
      <c r="M414" s="381"/>
      <c r="N414" s="381"/>
      <c r="O414" s="381"/>
      <c r="P414" s="381"/>
      <c r="Q414" s="381"/>
      <c r="R414" s="381"/>
      <c r="S414" s="381"/>
      <c r="T414" s="381"/>
      <c r="U414" s="381"/>
      <c r="V414" s="381"/>
      <c r="W414" s="381"/>
      <c r="X414" s="381"/>
      <c r="Y414" s="381"/>
      <c r="Z414" s="381"/>
      <c r="AA414" s="381"/>
      <c r="AB414" s="381"/>
      <c r="AC414" s="382"/>
      <c r="AD414" s="382"/>
    </row>
    <row r="415" spans="1:30" ht="12.75" customHeight="1" x14ac:dyDescent="0.2">
      <c r="A415" s="378"/>
      <c r="B415" s="378"/>
      <c r="C415" s="378"/>
      <c r="D415" s="380"/>
      <c r="E415" s="380"/>
      <c r="F415" s="378"/>
      <c r="G415" s="378"/>
      <c r="H415" s="378"/>
      <c r="I415" s="378"/>
      <c r="J415" s="378"/>
      <c r="K415" s="378"/>
      <c r="L415" s="378"/>
      <c r="M415" s="381"/>
      <c r="N415" s="381"/>
      <c r="O415" s="381"/>
      <c r="P415" s="381"/>
      <c r="Q415" s="381"/>
      <c r="R415" s="381"/>
      <c r="S415" s="381"/>
      <c r="T415" s="381"/>
      <c r="U415" s="381"/>
      <c r="V415" s="381"/>
      <c r="W415" s="381"/>
      <c r="X415" s="381"/>
      <c r="Y415" s="381"/>
      <c r="Z415" s="381"/>
      <c r="AA415" s="381"/>
      <c r="AB415" s="381"/>
      <c r="AC415" s="382"/>
      <c r="AD415" s="382"/>
    </row>
    <row r="416" spans="1:30" ht="12.75" customHeight="1" x14ac:dyDescent="0.2">
      <c r="A416" s="378"/>
      <c r="B416" s="378"/>
      <c r="C416" s="378"/>
      <c r="D416" s="380"/>
      <c r="E416" s="380"/>
      <c r="F416" s="378"/>
      <c r="G416" s="378"/>
      <c r="H416" s="378"/>
      <c r="I416" s="378"/>
      <c r="J416" s="378"/>
      <c r="K416" s="378"/>
      <c r="L416" s="378"/>
      <c r="M416" s="381"/>
      <c r="N416" s="381"/>
      <c r="O416" s="381"/>
      <c r="P416" s="381"/>
      <c r="Q416" s="381"/>
      <c r="R416" s="381"/>
      <c r="S416" s="381"/>
      <c r="T416" s="381"/>
      <c r="U416" s="381"/>
      <c r="V416" s="381"/>
      <c r="W416" s="381"/>
      <c r="X416" s="381"/>
      <c r="Y416" s="381"/>
      <c r="Z416" s="381"/>
      <c r="AA416" s="381"/>
      <c r="AB416" s="381"/>
      <c r="AC416" s="382"/>
      <c r="AD416" s="382"/>
    </row>
    <row r="417" spans="1:30" ht="12.75" customHeight="1" x14ac:dyDescent="0.2">
      <c r="A417" s="378"/>
      <c r="B417" s="378"/>
      <c r="C417" s="378"/>
      <c r="D417" s="380"/>
      <c r="E417" s="380"/>
      <c r="F417" s="378"/>
      <c r="G417" s="378"/>
      <c r="H417" s="378"/>
      <c r="I417" s="378"/>
      <c r="J417" s="378"/>
      <c r="K417" s="378"/>
      <c r="L417" s="378"/>
      <c r="M417" s="381"/>
      <c r="N417" s="381"/>
      <c r="O417" s="381"/>
      <c r="P417" s="381"/>
      <c r="Q417" s="381"/>
      <c r="R417" s="381"/>
      <c r="S417" s="381"/>
      <c r="T417" s="381"/>
      <c r="U417" s="381"/>
      <c r="V417" s="381"/>
      <c r="W417" s="381"/>
      <c r="X417" s="381"/>
      <c r="Y417" s="381"/>
      <c r="Z417" s="381"/>
      <c r="AA417" s="381"/>
      <c r="AB417" s="381"/>
      <c r="AC417" s="382"/>
      <c r="AD417" s="382"/>
    </row>
    <row r="418" spans="1:30" ht="12.75" customHeight="1" x14ac:dyDescent="0.2">
      <c r="A418" s="378"/>
      <c r="B418" s="378"/>
      <c r="C418" s="378"/>
      <c r="D418" s="380"/>
      <c r="E418" s="380"/>
      <c r="F418" s="378"/>
      <c r="G418" s="378"/>
      <c r="H418" s="378"/>
      <c r="I418" s="378"/>
      <c r="J418" s="378"/>
      <c r="K418" s="378"/>
      <c r="L418" s="378"/>
      <c r="M418" s="381"/>
      <c r="N418" s="381"/>
      <c r="O418" s="381"/>
      <c r="P418" s="381"/>
      <c r="Q418" s="381"/>
      <c r="R418" s="381"/>
      <c r="S418" s="381"/>
      <c r="T418" s="381"/>
      <c r="U418" s="381"/>
      <c r="V418" s="381"/>
      <c r="W418" s="381"/>
      <c r="X418" s="381"/>
      <c r="Y418" s="381"/>
      <c r="Z418" s="381"/>
      <c r="AA418" s="381"/>
      <c r="AB418" s="381"/>
      <c r="AC418" s="382"/>
      <c r="AD418" s="382"/>
    </row>
    <row r="419" spans="1:30" ht="12.75" customHeight="1" x14ac:dyDescent="0.2">
      <c r="A419" s="378"/>
      <c r="B419" s="378"/>
      <c r="C419" s="378"/>
      <c r="D419" s="380"/>
      <c r="E419" s="380"/>
      <c r="F419" s="378"/>
      <c r="G419" s="378"/>
      <c r="H419" s="378"/>
      <c r="I419" s="378"/>
      <c r="J419" s="378"/>
      <c r="K419" s="378"/>
      <c r="L419" s="378"/>
      <c r="M419" s="381"/>
      <c r="N419" s="381"/>
      <c r="O419" s="381"/>
      <c r="P419" s="381"/>
      <c r="Q419" s="381"/>
      <c r="R419" s="381"/>
      <c r="S419" s="381"/>
      <c r="T419" s="381"/>
      <c r="U419" s="381"/>
      <c r="V419" s="381"/>
      <c r="W419" s="381"/>
      <c r="X419" s="381"/>
      <c r="Y419" s="381"/>
      <c r="Z419" s="381"/>
      <c r="AA419" s="381"/>
      <c r="AB419" s="381"/>
      <c r="AC419" s="382"/>
      <c r="AD419" s="382"/>
    </row>
    <row r="420" spans="1:30" ht="12.75" customHeight="1" x14ac:dyDescent="0.2">
      <c r="A420" s="378"/>
      <c r="B420" s="378"/>
      <c r="C420" s="378"/>
      <c r="D420" s="380"/>
      <c r="E420" s="380"/>
      <c r="F420" s="378"/>
      <c r="G420" s="378"/>
      <c r="H420" s="378"/>
      <c r="I420" s="378"/>
      <c r="J420" s="378"/>
      <c r="K420" s="378"/>
      <c r="L420" s="378"/>
      <c r="M420" s="381"/>
      <c r="N420" s="381"/>
      <c r="O420" s="381"/>
      <c r="P420" s="381"/>
      <c r="Q420" s="381"/>
      <c r="R420" s="381"/>
      <c r="S420" s="381"/>
      <c r="T420" s="381"/>
      <c r="U420" s="381"/>
      <c r="V420" s="381"/>
      <c r="W420" s="381"/>
      <c r="X420" s="381"/>
      <c r="Y420" s="381"/>
      <c r="Z420" s="381"/>
      <c r="AA420" s="381"/>
      <c r="AB420" s="381"/>
      <c r="AC420" s="382"/>
      <c r="AD420" s="382"/>
    </row>
    <row r="421" spans="1:30" ht="12.75" customHeight="1" x14ac:dyDescent="0.2">
      <c r="A421" s="378"/>
      <c r="B421" s="378"/>
      <c r="C421" s="378"/>
      <c r="D421" s="380"/>
      <c r="E421" s="380"/>
      <c r="F421" s="378"/>
      <c r="G421" s="378"/>
      <c r="H421" s="378"/>
      <c r="I421" s="378"/>
      <c r="J421" s="378"/>
      <c r="K421" s="378"/>
      <c r="L421" s="378"/>
      <c r="M421" s="381"/>
      <c r="N421" s="381"/>
      <c r="O421" s="381"/>
      <c r="P421" s="381"/>
      <c r="Q421" s="381"/>
      <c r="R421" s="381"/>
      <c r="S421" s="381"/>
      <c r="T421" s="381"/>
      <c r="U421" s="381"/>
      <c r="V421" s="381"/>
      <c r="W421" s="381"/>
      <c r="X421" s="381"/>
      <c r="Y421" s="381"/>
      <c r="Z421" s="381"/>
      <c r="AA421" s="381"/>
      <c r="AB421" s="381"/>
      <c r="AC421" s="382"/>
      <c r="AD421" s="382"/>
    </row>
    <row r="422" spans="1:30" ht="12.75" customHeight="1" x14ac:dyDescent="0.2">
      <c r="A422" s="378"/>
      <c r="B422" s="378"/>
      <c r="C422" s="378"/>
      <c r="D422" s="380"/>
      <c r="E422" s="380"/>
      <c r="F422" s="378"/>
      <c r="G422" s="378"/>
      <c r="H422" s="378"/>
      <c r="I422" s="378"/>
      <c r="J422" s="378"/>
      <c r="K422" s="378"/>
      <c r="L422" s="378"/>
      <c r="M422" s="381"/>
      <c r="N422" s="381"/>
      <c r="O422" s="381"/>
      <c r="P422" s="381"/>
      <c r="Q422" s="381"/>
      <c r="R422" s="381"/>
      <c r="S422" s="381"/>
      <c r="T422" s="381"/>
      <c r="U422" s="381"/>
      <c r="V422" s="381"/>
      <c r="W422" s="381"/>
      <c r="X422" s="381"/>
      <c r="Y422" s="381"/>
      <c r="Z422" s="381"/>
      <c r="AA422" s="381"/>
      <c r="AB422" s="381"/>
      <c r="AC422" s="382"/>
      <c r="AD422" s="382"/>
    </row>
    <row r="423" spans="1:30" ht="12.75" customHeight="1" x14ac:dyDescent="0.2">
      <c r="A423" s="378"/>
      <c r="B423" s="378"/>
      <c r="C423" s="378"/>
      <c r="D423" s="380"/>
      <c r="E423" s="380"/>
      <c r="F423" s="378"/>
      <c r="G423" s="378"/>
      <c r="H423" s="378"/>
      <c r="I423" s="378"/>
      <c r="J423" s="378"/>
      <c r="K423" s="378"/>
      <c r="L423" s="378"/>
      <c r="M423" s="381"/>
      <c r="N423" s="381"/>
      <c r="O423" s="381"/>
      <c r="P423" s="381"/>
      <c r="Q423" s="381"/>
      <c r="R423" s="381"/>
      <c r="S423" s="381"/>
      <c r="T423" s="381"/>
      <c r="U423" s="381"/>
      <c r="V423" s="381"/>
      <c r="W423" s="381"/>
      <c r="X423" s="381"/>
      <c r="Y423" s="381"/>
      <c r="Z423" s="381"/>
      <c r="AA423" s="381"/>
      <c r="AB423" s="381"/>
      <c r="AC423" s="382"/>
      <c r="AD423" s="382"/>
    </row>
    <row r="424" spans="1:30" ht="12.75" customHeight="1" x14ac:dyDescent="0.2">
      <c r="A424" s="378"/>
      <c r="B424" s="378"/>
      <c r="C424" s="378"/>
      <c r="D424" s="380"/>
      <c r="E424" s="380"/>
      <c r="F424" s="378"/>
      <c r="G424" s="378"/>
      <c r="H424" s="378"/>
      <c r="I424" s="378"/>
      <c r="J424" s="378"/>
      <c r="K424" s="378"/>
      <c r="L424" s="378"/>
      <c r="M424" s="381"/>
      <c r="N424" s="381"/>
      <c r="O424" s="381"/>
      <c r="P424" s="381"/>
      <c r="Q424" s="381"/>
      <c r="R424" s="381"/>
      <c r="S424" s="381"/>
      <c r="T424" s="381"/>
      <c r="U424" s="381"/>
      <c r="V424" s="381"/>
      <c r="W424" s="381"/>
      <c r="X424" s="381"/>
      <c r="Y424" s="381"/>
      <c r="Z424" s="381"/>
      <c r="AA424" s="381"/>
      <c r="AB424" s="381"/>
      <c r="AC424" s="382"/>
      <c r="AD424" s="382"/>
    </row>
    <row r="425" spans="1:30" ht="12.75" customHeight="1" x14ac:dyDescent="0.2">
      <c r="A425" s="378"/>
      <c r="B425" s="378"/>
      <c r="C425" s="378"/>
      <c r="D425" s="380"/>
      <c r="E425" s="380"/>
      <c r="F425" s="378"/>
      <c r="G425" s="378"/>
      <c r="H425" s="378"/>
      <c r="I425" s="378"/>
      <c r="J425" s="378"/>
      <c r="K425" s="378"/>
      <c r="L425" s="378"/>
      <c r="M425" s="381"/>
      <c r="N425" s="381"/>
      <c r="O425" s="381"/>
      <c r="P425" s="381"/>
      <c r="Q425" s="381"/>
      <c r="R425" s="381"/>
      <c r="S425" s="381"/>
      <c r="T425" s="381"/>
      <c r="U425" s="381"/>
      <c r="V425" s="381"/>
      <c r="W425" s="381"/>
      <c r="X425" s="381"/>
      <c r="Y425" s="381"/>
      <c r="Z425" s="381"/>
      <c r="AA425" s="381"/>
      <c r="AB425" s="381"/>
      <c r="AC425" s="382"/>
      <c r="AD425" s="382"/>
    </row>
    <row r="426" spans="1:30" ht="12.75" customHeight="1" x14ac:dyDescent="0.2">
      <c r="A426" s="378"/>
      <c r="B426" s="378"/>
      <c r="C426" s="378"/>
      <c r="D426" s="380"/>
      <c r="E426" s="380"/>
      <c r="F426" s="378"/>
      <c r="G426" s="378"/>
      <c r="H426" s="378"/>
      <c r="I426" s="378"/>
      <c r="J426" s="378"/>
      <c r="K426" s="378"/>
      <c r="L426" s="378"/>
      <c r="M426" s="381"/>
      <c r="N426" s="381"/>
      <c r="O426" s="381"/>
      <c r="P426" s="381"/>
      <c r="Q426" s="381"/>
      <c r="R426" s="381"/>
      <c r="S426" s="381"/>
      <c r="T426" s="381"/>
      <c r="U426" s="381"/>
      <c r="V426" s="381"/>
      <c r="W426" s="381"/>
      <c r="X426" s="381"/>
      <c r="Y426" s="381"/>
      <c r="Z426" s="381"/>
      <c r="AA426" s="381"/>
      <c r="AB426" s="381"/>
      <c r="AC426" s="382"/>
      <c r="AD426" s="382"/>
    </row>
    <row r="427" spans="1:30" ht="12.75" customHeight="1" x14ac:dyDescent="0.2">
      <c r="A427" s="378"/>
      <c r="B427" s="378"/>
      <c r="C427" s="378"/>
      <c r="D427" s="380"/>
      <c r="E427" s="380"/>
      <c r="F427" s="378"/>
      <c r="G427" s="378"/>
      <c r="H427" s="378"/>
      <c r="I427" s="378"/>
      <c r="J427" s="378"/>
      <c r="K427" s="378"/>
      <c r="L427" s="378"/>
      <c r="M427" s="381"/>
      <c r="N427" s="381"/>
      <c r="O427" s="381"/>
      <c r="P427" s="381"/>
      <c r="Q427" s="381"/>
      <c r="R427" s="381"/>
      <c r="S427" s="381"/>
      <c r="T427" s="381"/>
      <c r="U427" s="381"/>
      <c r="V427" s="381"/>
      <c r="W427" s="381"/>
      <c r="X427" s="381"/>
      <c r="Y427" s="381"/>
      <c r="Z427" s="381"/>
      <c r="AA427" s="381"/>
      <c r="AB427" s="381"/>
      <c r="AC427" s="382"/>
      <c r="AD427" s="382"/>
    </row>
    <row r="428" spans="1:30" ht="12.75" customHeight="1" x14ac:dyDescent="0.2">
      <c r="A428" s="378"/>
      <c r="B428" s="378"/>
      <c r="C428" s="378"/>
      <c r="D428" s="380"/>
      <c r="E428" s="380"/>
      <c r="F428" s="378"/>
      <c r="G428" s="378"/>
      <c r="H428" s="378"/>
      <c r="I428" s="378"/>
      <c r="J428" s="378"/>
      <c r="K428" s="378"/>
      <c r="L428" s="378"/>
      <c r="M428" s="381"/>
      <c r="N428" s="381"/>
      <c r="O428" s="381"/>
      <c r="P428" s="381"/>
      <c r="Q428" s="381"/>
      <c r="R428" s="381"/>
      <c r="S428" s="381"/>
      <c r="T428" s="381"/>
      <c r="U428" s="381"/>
      <c r="V428" s="381"/>
      <c r="W428" s="381"/>
      <c r="X428" s="381"/>
      <c r="Y428" s="381"/>
      <c r="Z428" s="381"/>
      <c r="AA428" s="381"/>
      <c r="AB428" s="381"/>
      <c r="AC428" s="382"/>
      <c r="AD428" s="382"/>
    </row>
    <row r="429" spans="1:30" ht="12.75" customHeight="1" x14ac:dyDescent="0.2">
      <c r="A429" s="378"/>
      <c r="B429" s="378"/>
      <c r="C429" s="378"/>
      <c r="D429" s="380"/>
      <c r="E429" s="380"/>
      <c r="F429" s="378"/>
      <c r="G429" s="378"/>
      <c r="H429" s="378"/>
      <c r="I429" s="378"/>
      <c r="J429" s="378"/>
      <c r="K429" s="378"/>
      <c r="L429" s="378"/>
      <c r="M429" s="381"/>
      <c r="N429" s="381"/>
      <c r="O429" s="381"/>
      <c r="P429" s="381"/>
      <c r="Q429" s="381"/>
      <c r="R429" s="381"/>
      <c r="S429" s="381"/>
      <c r="T429" s="381"/>
      <c r="U429" s="381"/>
      <c r="V429" s="381"/>
      <c r="W429" s="381"/>
      <c r="X429" s="381"/>
      <c r="Y429" s="381"/>
      <c r="Z429" s="381"/>
      <c r="AA429" s="381"/>
      <c r="AB429" s="381"/>
      <c r="AC429" s="382"/>
      <c r="AD429" s="382"/>
    </row>
    <row r="430" spans="1:30" ht="12.75" customHeight="1" x14ac:dyDescent="0.2">
      <c r="A430" s="378"/>
      <c r="B430" s="378"/>
      <c r="C430" s="378"/>
      <c r="D430" s="380"/>
      <c r="E430" s="380"/>
      <c r="F430" s="378"/>
      <c r="G430" s="378"/>
      <c r="H430" s="378"/>
      <c r="I430" s="378"/>
      <c r="J430" s="378"/>
      <c r="K430" s="378"/>
      <c r="L430" s="378"/>
      <c r="M430" s="381"/>
      <c r="N430" s="381"/>
      <c r="O430" s="381"/>
      <c r="P430" s="381"/>
      <c r="Q430" s="381"/>
      <c r="R430" s="381"/>
      <c r="S430" s="381"/>
      <c r="T430" s="381"/>
      <c r="U430" s="381"/>
      <c r="V430" s="381"/>
      <c r="W430" s="381"/>
      <c r="X430" s="381"/>
      <c r="Y430" s="381"/>
      <c r="Z430" s="381"/>
      <c r="AA430" s="381"/>
      <c r="AB430" s="381"/>
      <c r="AC430" s="382"/>
      <c r="AD430" s="382"/>
    </row>
    <row r="431" spans="1:30" ht="12.75" customHeight="1" x14ac:dyDescent="0.2">
      <c r="A431" s="378"/>
      <c r="B431" s="378"/>
      <c r="C431" s="378"/>
      <c r="D431" s="380"/>
      <c r="E431" s="380"/>
      <c r="F431" s="378"/>
      <c r="G431" s="378"/>
      <c r="H431" s="378"/>
      <c r="I431" s="378"/>
      <c r="J431" s="378"/>
      <c r="K431" s="378"/>
      <c r="L431" s="378"/>
      <c r="M431" s="381"/>
      <c r="N431" s="381"/>
      <c r="O431" s="381"/>
      <c r="P431" s="381"/>
      <c r="Q431" s="381"/>
      <c r="R431" s="381"/>
      <c r="S431" s="381"/>
      <c r="T431" s="381"/>
      <c r="U431" s="381"/>
      <c r="V431" s="381"/>
      <c r="W431" s="381"/>
      <c r="X431" s="381"/>
      <c r="Y431" s="381"/>
      <c r="Z431" s="381"/>
      <c r="AA431" s="381"/>
      <c r="AB431" s="381"/>
      <c r="AC431" s="382"/>
      <c r="AD431" s="382"/>
    </row>
    <row r="432" spans="1:30" ht="12.75" customHeight="1" x14ac:dyDescent="0.2">
      <c r="A432" s="378"/>
      <c r="B432" s="378"/>
      <c r="C432" s="378"/>
      <c r="D432" s="380"/>
      <c r="E432" s="380"/>
      <c r="F432" s="378"/>
      <c r="G432" s="378"/>
      <c r="H432" s="378"/>
      <c r="I432" s="378"/>
      <c r="J432" s="378"/>
      <c r="K432" s="378"/>
      <c r="L432" s="378"/>
      <c r="M432" s="381"/>
      <c r="N432" s="381"/>
      <c r="O432" s="381"/>
      <c r="P432" s="381"/>
      <c r="Q432" s="381"/>
      <c r="R432" s="381"/>
      <c r="S432" s="381"/>
      <c r="T432" s="381"/>
      <c r="U432" s="381"/>
      <c r="V432" s="381"/>
      <c r="W432" s="381"/>
      <c r="X432" s="381"/>
      <c r="Y432" s="381"/>
      <c r="Z432" s="381"/>
      <c r="AA432" s="381"/>
      <c r="AB432" s="381"/>
      <c r="AC432" s="382"/>
      <c r="AD432" s="382"/>
    </row>
    <row r="433" spans="1:30" ht="12.75" customHeight="1" x14ac:dyDescent="0.2">
      <c r="A433" s="378"/>
      <c r="B433" s="378"/>
      <c r="C433" s="378"/>
      <c r="D433" s="380"/>
      <c r="E433" s="380"/>
      <c r="F433" s="378"/>
      <c r="G433" s="378"/>
      <c r="H433" s="378"/>
      <c r="I433" s="378"/>
      <c r="J433" s="378"/>
      <c r="K433" s="378"/>
      <c r="L433" s="378"/>
      <c r="M433" s="381"/>
      <c r="N433" s="381"/>
      <c r="O433" s="381"/>
      <c r="P433" s="381"/>
      <c r="Q433" s="381"/>
      <c r="R433" s="381"/>
      <c r="S433" s="381"/>
      <c r="T433" s="381"/>
      <c r="U433" s="381"/>
      <c r="V433" s="381"/>
      <c r="W433" s="381"/>
      <c r="X433" s="381"/>
      <c r="Y433" s="381"/>
      <c r="Z433" s="381"/>
      <c r="AA433" s="381"/>
      <c r="AB433" s="381"/>
      <c r="AC433" s="382"/>
      <c r="AD433" s="382"/>
    </row>
    <row r="434" spans="1:30" ht="12.75" customHeight="1" x14ac:dyDescent="0.2">
      <c r="A434" s="378"/>
      <c r="B434" s="378"/>
      <c r="C434" s="378"/>
      <c r="D434" s="380"/>
      <c r="E434" s="380"/>
      <c r="F434" s="378"/>
      <c r="G434" s="378"/>
      <c r="H434" s="378"/>
      <c r="I434" s="378"/>
      <c r="J434" s="378"/>
      <c r="K434" s="378"/>
      <c r="L434" s="378"/>
      <c r="M434" s="381"/>
      <c r="N434" s="381"/>
      <c r="O434" s="381"/>
      <c r="P434" s="381"/>
      <c r="Q434" s="381"/>
      <c r="R434" s="381"/>
      <c r="S434" s="381"/>
      <c r="T434" s="381"/>
      <c r="U434" s="381"/>
      <c r="V434" s="381"/>
      <c r="W434" s="381"/>
      <c r="X434" s="381"/>
      <c r="Y434" s="381"/>
      <c r="Z434" s="381"/>
      <c r="AA434" s="381"/>
      <c r="AB434" s="381"/>
      <c r="AC434" s="382"/>
      <c r="AD434" s="382"/>
    </row>
    <row r="435" spans="1:30" ht="12.75" customHeight="1" x14ac:dyDescent="0.2">
      <c r="A435" s="378"/>
      <c r="B435" s="378"/>
      <c r="C435" s="378"/>
      <c r="D435" s="380"/>
      <c r="E435" s="380"/>
      <c r="F435" s="378"/>
      <c r="G435" s="378"/>
      <c r="H435" s="378"/>
      <c r="I435" s="378"/>
      <c r="J435" s="378"/>
      <c r="K435" s="378"/>
      <c r="L435" s="378"/>
      <c r="M435" s="381"/>
      <c r="N435" s="381"/>
      <c r="O435" s="381"/>
      <c r="P435" s="381"/>
      <c r="Q435" s="381"/>
      <c r="R435" s="381"/>
      <c r="S435" s="381"/>
      <c r="T435" s="381"/>
      <c r="U435" s="381"/>
      <c r="V435" s="381"/>
      <c r="W435" s="381"/>
      <c r="X435" s="381"/>
      <c r="Y435" s="381"/>
      <c r="Z435" s="381"/>
      <c r="AA435" s="381"/>
      <c r="AB435" s="381"/>
      <c r="AC435" s="382"/>
      <c r="AD435" s="382"/>
    </row>
    <row r="436" spans="1:30" ht="12.75" customHeight="1" x14ac:dyDescent="0.2">
      <c r="A436" s="378"/>
      <c r="B436" s="378"/>
      <c r="C436" s="378"/>
      <c r="D436" s="380"/>
      <c r="E436" s="380"/>
      <c r="F436" s="378"/>
      <c r="G436" s="378"/>
      <c r="H436" s="378"/>
      <c r="I436" s="378"/>
      <c r="J436" s="378"/>
      <c r="K436" s="378"/>
      <c r="L436" s="378"/>
      <c r="M436" s="381"/>
      <c r="N436" s="381"/>
      <c r="O436" s="381"/>
      <c r="P436" s="381"/>
      <c r="Q436" s="381"/>
      <c r="R436" s="381"/>
      <c r="S436" s="381"/>
      <c r="T436" s="381"/>
      <c r="U436" s="381"/>
      <c r="V436" s="381"/>
      <c r="W436" s="381"/>
      <c r="X436" s="381"/>
      <c r="Y436" s="381"/>
      <c r="Z436" s="381"/>
      <c r="AA436" s="381"/>
      <c r="AB436" s="381"/>
      <c r="AC436" s="382"/>
      <c r="AD436" s="382"/>
    </row>
    <row r="437" spans="1:30" ht="12.75" customHeight="1" x14ac:dyDescent="0.2">
      <c r="A437" s="378"/>
      <c r="B437" s="378"/>
      <c r="C437" s="378"/>
      <c r="D437" s="380"/>
      <c r="E437" s="380"/>
      <c r="F437" s="378"/>
      <c r="G437" s="378"/>
      <c r="H437" s="378"/>
      <c r="I437" s="378"/>
      <c r="J437" s="378"/>
      <c r="K437" s="378"/>
      <c r="L437" s="378"/>
      <c r="M437" s="381"/>
      <c r="N437" s="381"/>
      <c r="O437" s="381"/>
      <c r="P437" s="381"/>
      <c r="Q437" s="381"/>
      <c r="R437" s="381"/>
      <c r="S437" s="381"/>
      <c r="T437" s="381"/>
      <c r="U437" s="381"/>
      <c r="V437" s="381"/>
      <c r="W437" s="381"/>
      <c r="X437" s="381"/>
      <c r="Y437" s="381"/>
      <c r="Z437" s="381"/>
      <c r="AA437" s="381"/>
      <c r="AB437" s="381"/>
      <c r="AC437" s="382"/>
      <c r="AD437" s="382"/>
    </row>
    <row r="438" spans="1:30" ht="12.75" customHeight="1" x14ac:dyDescent="0.2">
      <c r="A438" s="378"/>
      <c r="B438" s="378"/>
      <c r="C438" s="378"/>
      <c r="D438" s="380"/>
      <c r="E438" s="380"/>
      <c r="F438" s="378"/>
      <c r="G438" s="378"/>
      <c r="H438" s="378"/>
      <c r="I438" s="378"/>
      <c r="J438" s="378"/>
      <c r="K438" s="378"/>
      <c r="L438" s="378"/>
      <c r="M438" s="381"/>
      <c r="N438" s="381"/>
      <c r="O438" s="381"/>
      <c r="P438" s="381"/>
      <c r="Q438" s="381"/>
      <c r="R438" s="381"/>
      <c r="S438" s="381"/>
      <c r="T438" s="381"/>
      <c r="U438" s="381"/>
      <c r="V438" s="381"/>
      <c r="W438" s="381"/>
      <c r="X438" s="381"/>
      <c r="Y438" s="381"/>
      <c r="Z438" s="381"/>
      <c r="AA438" s="381"/>
      <c r="AB438" s="381"/>
      <c r="AC438" s="382"/>
      <c r="AD438" s="382"/>
    </row>
    <row r="439" spans="1:30" ht="12.75" customHeight="1" x14ac:dyDescent="0.2">
      <c r="A439" s="378"/>
      <c r="B439" s="378"/>
      <c r="C439" s="378"/>
      <c r="D439" s="380"/>
      <c r="E439" s="380"/>
      <c r="F439" s="378"/>
      <c r="G439" s="378"/>
      <c r="H439" s="378"/>
      <c r="I439" s="378"/>
      <c r="J439" s="378"/>
      <c r="K439" s="378"/>
      <c r="L439" s="378"/>
      <c r="M439" s="381"/>
      <c r="N439" s="381"/>
      <c r="O439" s="381"/>
      <c r="P439" s="381"/>
      <c r="Q439" s="381"/>
      <c r="R439" s="381"/>
      <c r="S439" s="381"/>
      <c r="T439" s="381"/>
      <c r="U439" s="381"/>
      <c r="V439" s="381"/>
      <c r="W439" s="381"/>
      <c r="X439" s="381"/>
      <c r="Y439" s="381"/>
      <c r="Z439" s="381"/>
      <c r="AA439" s="381"/>
      <c r="AB439" s="381"/>
      <c r="AC439" s="382"/>
      <c r="AD439" s="382"/>
    </row>
    <row r="440" spans="1:30" ht="12.75" customHeight="1" x14ac:dyDescent="0.2">
      <c r="A440" s="378"/>
      <c r="B440" s="378"/>
      <c r="C440" s="378"/>
      <c r="D440" s="380"/>
      <c r="E440" s="380"/>
      <c r="F440" s="378"/>
      <c r="G440" s="378"/>
      <c r="H440" s="378"/>
      <c r="I440" s="378"/>
      <c r="J440" s="378"/>
      <c r="K440" s="378"/>
      <c r="L440" s="378"/>
      <c r="M440" s="381"/>
      <c r="N440" s="381"/>
      <c r="O440" s="381"/>
      <c r="P440" s="381"/>
      <c r="Q440" s="381"/>
      <c r="R440" s="381"/>
      <c r="S440" s="381"/>
      <c r="T440" s="381"/>
      <c r="U440" s="381"/>
      <c r="V440" s="381"/>
      <c r="W440" s="381"/>
      <c r="X440" s="381"/>
      <c r="Y440" s="381"/>
      <c r="Z440" s="381"/>
      <c r="AA440" s="381"/>
      <c r="AB440" s="381"/>
      <c r="AC440" s="382"/>
      <c r="AD440" s="382"/>
    </row>
    <row r="441" spans="1:30" ht="12.75" customHeight="1" x14ac:dyDescent="0.2">
      <c r="A441" s="378"/>
      <c r="B441" s="378"/>
      <c r="C441" s="378"/>
      <c r="D441" s="380"/>
      <c r="E441" s="380"/>
      <c r="F441" s="378"/>
      <c r="G441" s="378"/>
      <c r="H441" s="378"/>
      <c r="I441" s="378"/>
      <c r="J441" s="378"/>
      <c r="K441" s="378"/>
      <c r="L441" s="378"/>
      <c r="M441" s="381"/>
      <c r="N441" s="381"/>
      <c r="O441" s="381"/>
      <c r="P441" s="381"/>
      <c r="Q441" s="381"/>
      <c r="R441" s="381"/>
      <c r="S441" s="381"/>
      <c r="T441" s="381"/>
      <c r="U441" s="381"/>
      <c r="V441" s="381"/>
      <c r="W441" s="381"/>
      <c r="X441" s="381"/>
      <c r="Y441" s="381"/>
      <c r="Z441" s="381"/>
      <c r="AA441" s="381"/>
      <c r="AB441" s="381"/>
      <c r="AC441" s="382"/>
      <c r="AD441" s="382"/>
    </row>
    <row r="442" spans="1:30" ht="12.75" customHeight="1" x14ac:dyDescent="0.2">
      <c r="A442" s="378"/>
      <c r="B442" s="378"/>
      <c r="C442" s="378"/>
      <c r="D442" s="380"/>
      <c r="E442" s="380"/>
      <c r="F442" s="378"/>
      <c r="G442" s="378"/>
      <c r="H442" s="378"/>
      <c r="I442" s="378"/>
      <c r="J442" s="378"/>
      <c r="K442" s="378"/>
      <c r="L442" s="378"/>
      <c r="M442" s="381"/>
      <c r="N442" s="381"/>
      <c r="O442" s="381"/>
      <c r="P442" s="381"/>
      <c r="Q442" s="381"/>
      <c r="R442" s="381"/>
      <c r="S442" s="381"/>
      <c r="T442" s="381"/>
      <c r="U442" s="381"/>
      <c r="V442" s="381"/>
      <c r="W442" s="381"/>
      <c r="X442" s="381"/>
      <c r="Y442" s="381"/>
      <c r="Z442" s="381"/>
      <c r="AA442" s="381"/>
      <c r="AB442" s="381"/>
      <c r="AC442" s="382"/>
      <c r="AD442" s="382"/>
    </row>
    <row r="443" spans="1:30" ht="12.75" customHeight="1" x14ac:dyDescent="0.2">
      <c r="A443" s="378"/>
      <c r="B443" s="378"/>
      <c r="C443" s="378"/>
      <c r="D443" s="380"/>
      <c r="E443" s="380"/>
      <c r="F443" s="378"/>
      <c r="G443" s="378"/>
      <c r="H443" s="378"/>
      <c r="I443" s="378"/>
      <c r="J443" s="378"/>
      <c r="K443" s="378"/>
      <c r="L443" s="378"/>
      <c r="M443" s="381"/>
      <c r="N443" s="381"/>
      <c r="O443" s="381"/>
      <c r="P443" s="381"/>
      <c r="Q443" s="381"/>
      <c r="R443" s="381"/>
      <c r="S443" s="381"/>
      <c r="T443" s="381"/>
      <c r="U443" s="381"/>
      <c r="V443" s="381"/>
      <c r="W443" s="381"/>
      <c r="X443" s="381"/>
      <c r="Y443" s="381"/>
      <c r="Z443" s="381"/>
      <c r="AA443" s="381"/>
      <c r="AB443" s="381"/>
      <c r="AC443" s="382"/>
      <c r="AD443" s="382"/>
    </row>
    <row r="444" spans="1:30" ht="12.75" customHeight="1" x14ac:dyDescent="0.2">
      <c r="A444" s="378"/>
      <c r="B444" s="378"/>
      <c r="C444" s="378"/>
      <c r="D444" s="380"/>
      <c r="E444" s="380"/>
      <c r="F444" s="378"/>
      <c r="G444" s="378"/>
      <c r="H444" s="378"/>
      <c r="I444" s="378"/>
      <c r="J444" s="378"/>
      <c r="K444" s="378"/>
      <c r="L444" s="378"/>
      <c r="M444" s="381"/>
      <c r="N444" s="381"/>
      <c r="O444" s="381"/>
      <c r="P444" s="381"/>
      <c r="Q444" s="381"/>
      <c r="R444" s="381"/>
      <c r="S444" s="381"/>
      <c r="T444" s="381"/>
      <c r="U444" s="381"/>
      <c r="V444" s="381"/>
      <c r="W444" s="381"/>
      <c r="X444" s="381"/>
      <c r="Y444" s="381"/>
      <c r="Z444" s="381"/>
      <c r="AA444" s="381"/>
      <c r="AB444" s="381"/>
      <c r="AC444" s="382"/>
      <c r="AD444" s="382"/>
    </row>
    <row r="445" spans="1:30" ht="12.75" customHeight="1" x14ac:dyDescent="0.2">
      <c r="A445" s="378"/>
      <c r="B445" s="378"/>
      <c r="C445" s="378"/>
      <c r="D445" s="380"/>
      <c r="E445" s="380"/>
      <c r="F445" s="378"/>
      <c r="G445" s="378"/>
      <c r="H445" s="378"/>
      <c r="I445" s="378"/>
      <c r="J445" s="378"/>
      <c r="K445" s="378"/>
      <c r="L445" s="378"/>
      <c r="M445" s="381"/>
      <c r="N445" s="381"/>
      <c r="O445" s="381"/>
      <c r="P445" s="381"/>
      <c r="Q445" s="381"/>
      <c r="R445" s="381"/>
      <c r="S445" s="381"/>
      <c r="T445" s="381"/>
      <c r="U445" s="381"/>
      <c r="V445" s="381"/>
      <c r="W445" s="381"/>
      <c r="X445" s="381"/>
      <c r="Y445" s="381"/>
      <c r="Z445" s="381"/>
      <c r="AA445" s="381"/>
      <c r="AB445" s="381"/>
      <c r="AC445" s="382"/>
      <c r="AD445" s="382"/>
    </row>
    <row r="446" spans="1:30" ht="12.75" customHeight="1" x14ac:dyDescent="0.2">
      <c r="A446" s="378"/>
      <c r="B446" s="378"/>
      <c r="C446" s="378"/>
      <c r="D446" s="380"/>
      <c r="E446" s="380"/>
      <c r="F446" s="378"/>
      <c r="G446" s="378"/>
      <c r="H446" s="378"/>
      <c r="I446" s="378"/>
      <c r="J446" s="378"/>
      <c r="K446" s="378"/>
      <c r="L446" s="378"/>
      <c r="M446" s="381"/>
      <c r="N446" s="381"/>
      <c r="O446" s="381"/>
      <c r="P446" s="381"/>
      <c r="Q446" s="381"/>
      <c r="R446" s="381"/>
      <c r="S446" s="381"/>
      <c r="T446" s="381"/>
      <c r="U446" s="381"/>
      <c r="V446" s="381"/>
      <c r="W446" s="381"/>
      <c r="X446" s="381"/>
      <c r="Y446" s="381"/>
      <c r="Z446" s="381"/>
      <c r="AA446" s="381"/>
      <c r="AB446" s="381"/>
      <c r="AC446" s="382"/>
      <c r="AD446" s="382"/>
    </row>
    <row r="447" spans="1:30" ht="12.75" customHeight="1" x14ac:dyDescent="0.2">
      <c r="A447" s="378"/>
      <c r="B447" s="378"/>
      <c r="C447" s="378"/>
      <c r="D447" s="380"/>
      <c r="E447" s="380"/>
      <c r="F447" s="378"/>
      <c r="G447" s="378"/>
      <c r="H447" s="378"/>
      <c r="I447" s="378"/>
      <c r="J447" s="378"/>
      <c r="K447" s="378"/>
      <c r="L447" s="378"/>
      <c r="M447" s="381"/>
      <c r="N447" s="381"/>
      <c r="O447" s="381"/>
      <c r="P447" s="381"/>
      <c r="Q447" s="381"/>
      <c r="R447" s="381"/>
      <c r="S447" s="381"/>
      <c r="T447" s="381"/>
      <c r="U447" s="381"/>
      <c r="V447" s="381"/>
      <c r="W447" s="381"/>
      <c r="X447" s="381"/>
      <c r="Y447" s="381"/>
      <c r="Z447" s="381"/>
      <c r="AA447" s="381"/>
      <c r="AB447" s="381"/>
      <c r="AC447" s="382"/>
      <c r="AD447" s="382"/>
    </row>
    <row r="448" spans="1:30" ht="12.75" customHeight="1" x14ac:dyDescent="0.2">
      <c r="A448" s="378"/>
      <c r="B448" s="378"/>
      <c r="C448" s="378"/>
      <c r="D448" s="380"/>
      <c r="E448" s="380"/>
      <c r="F448" s="378"/>
      <c r="G448" s="378"/>
      <c r="H448" s="378"/>
      <c r="I448" s="378"/>
      <c r="J448" s="378"/>
      <c r="K448" s="378"/>
      <c r="L448" s="378"/>
      <c r="M448" s="381"/>
      <c r="N448" s="381"/>
      <c r="O448" s="381"/>
      <c r="P448" s="381"/>
      <c r="Q448" s="381"/>
      <c r="R448" s="381"/>
      <c r="S448" s="381"/>
      <c r="T448" s="381"/>
      <c r="U448" s="381"/>
      <c r="V448" s="381"/>
      <c r="W448" s="381"/>
      <c r="X448" s="381"/>
      <c r="Y448" s="381"/>
      <c r="Z448" s="381"/>
      <c r="AA448" s="381"/>
      <c r="AB448" s="381"/>
      <c r="AC448" s="382"/>
      <c r="AD448" s="382"/>
    </row>
    <row r="449" spans="1:30" ht="12.75" customHeight="1" x14ac:dyDescent="0.2">
      <c r="A449" s="378"/>
      <c r="B449" s="378"/>
      <c r="C449" s="378"/>
      <c r="D449" s="380"/>
      <c r="E449" s="380"/>
      <c r="F449" s="378"/>
      <c r="G449" s="378"/>
      <c r="H449" s="378"/>
      <c r="I449" s="378"/>
      <c r="J449" s="378"/>
      <c r="K449" s="378"/>
      <c r="L449" s="378"/>
      <c r="M449" s="381"/>
      <c r="N449" s="381"/>
      <c r="O449" s="381"/>
      <c r="P449" s="381"/>
      <c r="Q449" s="381"/>
      <c r="R449" s="381"/>
      <c r="S449" s="381"/>
      <c r="T449" s="381"/>
      <c r="U449" s="381"/>
      <c r="V449" s="381"/>
      <c r="W449" s="381"/>
      <c r="X449" s="381"/>
      <c r="Y449" s="381"/>
      <c r="Z449" s="381"/>
      <c r="AA449" s="381"/>
      <c r="AB449" s="381"/>
      <c r="AC449" s="382"/>
      <c r="AD449" s="382"/>
    </row>
    <row r="450" spans="1:30" ht="12.75" customHeight="1" x14ac:dyDescent="0.2">
      <c r="A450" s="378"/>
      <c r="B450" s="378"/>
      <c r="C450" s="378"/>
      <c r="D450" s="380"/>
      <c r="E450" s="380"/>
      <c r="F450" s="378"/>
      <c r="G450" s="378"/>
      <c r="H450" s="378"/>
      <c r="I450" s="378"/>
      <c r="J450" s="378"/>
      <c r="K450" s="378"/>
      <c r="L450" s="378"/>
      <c r="M450" s="381"/>
      <c r="N450" s="381"/>
      <c r="O450" s="381"/>
      <c r="P450" s="381"/>
      <c r="Q450" s="381"/>
      <c r="R450" s="381"/>
      <c r="S450" s="381"/>
      <c r="T450" s="381"/>
      <c r="U450" s="381"/>
      <c r="V450" s="381"/>
      <c r="W450" s="381"/>
      <c r="X450" s="381"/>
      <c r="Y450" s="381"/>
      <c r="Z450" s="381"/>
      <c r="AA450" s="381"/>
      <c r="AB450" s="381"/>
      <c r="AC450" s="382"/>
      <c r="AD450" s="382"/>
    </row>
    <row r="451" spans="1:30" ht="12.75" customHeight="1" x14ac:dyDescent="0.2">
      <c r="A451" s="378"/>
      <c r="B451" s="378"/>
      <c r="C451" s="378"/>
      <c r="D451" s="380"/>
      <c r="E451" s="380"/>
      <c r="F451" s="378"/>
      <c r="G451" s="378"/>
      <c r="H451" s="378"/>
      <c r="I451" s="378"/>
      <c r="J451" s="378"/>
      <c r="K451" s="378"/>
      <c r="L451" s="378"/>
      <c r="M451" s="381"/>
      <c r="N451" s="381"/>
      <c r="O451" s="381"/>
      <c r="P451" s="381"/>
      <c r="Q451" s="381"/>
      <c r="R451" s="381"/>
      <c r="S451" s="381"/>
      <c r="T451" s="381"/>
      <c r="U451" s="381"/>
      <c r="V451" s="381"/>
      <c r="W451" s="381"/>
      <c r="X451" s="381"/>
      <c r="Y451" s="381"/>
      <c r="Z451" s="381"/>
      <c r="AA451" s="381"/>
      <c r="AB451" s="381"/>
      <c r="AC451" s="382"/>
      <c r="AD451" s="382"/>
    </row>
    <row r="452" spans="1:30" ht="12.75" customHeight="1" x14ac:dyDescent="0.2">
      <c r="A452" s="378"/>
      <c r="B452" s="378"/>
      <c r="C452" s="378"/>
      <c r="D452" s="380"/>
      <c r="E452" s="380"/>
      <c r="F452" s="378"/>
      <c r="G452" s="378"/>
      <c r="H452" s="378"/>
      <c r="I452" s="378"/>
      <c r="J452" s="378"/>
      <c r="K452" s="378"/>
      <c r="L452" s="378"/>
      <c r="M452" s="381"/>
      <c r="N452" s="381"/>
      <c r="O452" s="381"/>
      <c r="P452" s="381"/>
      <c r="Q452" s="381"/>
      <c r="R452" s="381"/>
      <c r="S452" s="381"/>
      <c r="T452" s="381"/>
      <c r="U452" s="381"/>
      <c r="V452" s="381"/>
      <c r="W452" s="381"/>
      <c r="X452" s="381"/>
      <c r="Y452" s="381"/>
      <c r="Z452" s="381"/>
      <c r="AA452" s="381"/>
      <c r="AB452" s="381"/>
      <c r="AC452" s="382"/>
      <c r="AD452" s="382"/>
    </row>
    <row r="453" spans="1:30" ht="12.75" customHeight="1" x14ac:dyDescent="0.2">
      <c r="A453" s="378"/>
      <c r="B453" s="378"/>
      <c r="C453" s="378"/>
      <c r="D453" s="380"/>
      <c r="E453" s="380"/>
      <c r="F453" s="378"/>
      <c r="G453" s="378"/>
      <c r="H453" s="378"/>
      <c r="I453" s="378"/>
      <c r="J453" s="378"/>
      <c r="K453" s="378"/>
      <c r="L453" s="378"/>
      <c r="M453" s="381"/>
      <c r="N453" s="381"/>
      <c r="O453" s="381"/>
      <c r="P453" s="381"/>
      <c r="Q453" s="381"/>
      <c r="R453" s="381"/>
      <c r="S453" s="381"/>
      <c r="T453" s="381"/>
      <c r="U453" s="381"/>
      <c r="V453" s="381"/>
      <c r="W453" s="381"/>
      <c r="X453" s="381"/>
      <c r="Y453" s="381"/>
      <c r="Z453" s="381"/>
      <c r="AA453" s="381"/>
      <c r="AB453" s="381"/>
      <c r="AC453" s="382"/>
      <c r="AD453" s="382"/>
    </row>
    <row r="454" spans="1:30" ht="12.75" customHeight="1" x14ac:dyDescent="0.2">
      <c r="A454" s="378"/>
      <c r="B454" s="378"/>
      <c r="C454" s="378"/>
      <c r="D454" s="380"/>
      <c r="E454" s="380"/>
      <c r="F454" s="378"/>
      <c r="G454" s="378"/>
      <c r="H454" s="378"/>
      <c r="I454" s="378"/>
      <c r="J454" s="378"/>
      <c r="K454" s="378"/>
      <c r="L454" s="378"/>
      <c r="M454" s="381"/>
      <c r="N454" s="381"/>
      <c r="O454" s="381"/>
      <c r="P454" s="381"/>
      <c r="Q454" s="381"/>
      <c r="R454" s="381"/>
      <c r="S454" s="381"/>
      <c r="T454" s="381"/>
      <c r="U454" s="381"/>
      <c r="V454" s="381"/>
      <c r="W454" s="381"/>
      <c r="X454" s="381"/>
      <c r="Y454" s="381"/>
      <c r="Z454" s="381"/>
      <c r="AA454" s="381"/>
      <c r="AB454" s="381"/>
      <c r="AC454" s="382"/>
      <c r="AD454" s="382"/>
    </row>
    <row r="455" spans="1:30" ht="12.75" customHeight="1" x14ac:dyDescent="0.2">
      <c r="A455" s="378"/>
      <c r="B455" s="378"/>
      <c r="C455" s="378"/>
      <c r="D455" s="380"/>
      <c r="E455" s="380"/>
      <c r="F455" s="378"/>
      <c r="G455" s="378"/>
      <c r="H455" s="378"/>
      <c r="I455" s="378"/>
      <c r="J455" s="378"/>
      <c r="K455" s="378"/>
      <c r="L455" s="378"/>
      <c r="M455" s="381"/>
      <c r="N455" s="381"/>
      <c r="O455" s="381"/>
      <c r="P455" s="381"/>
      <c r="Q455" s="381"/>
      <c r="R455" s="381"/>
      <c r="S455" s="381"/>
      <c r="T455" s="381"/>
      <c r="U455" s="381"/>
      <c r="V455" s="381"/>
      <c r="W455" s="381"/>
      <c r="X455" s="381"/>
      <c r="Y455" s="381"/>
      <c r="Z455" s="381"/>
      <c r="AA455" s="381"/>
      <c r="AB455" s="381"/>
      <c r="AC455" s="382"/>
      <c r="AD455" s="382"/>
    </row>
    <row r="456" spans="1:30" ht="12.75" customHeight="1" x14ac:dyDescent="0.2">
      <c r="A456" s="378"/>
      <c r="B456" s="378"/>
      <c r="C456" s="378"/>
      <c r="D456" s="380"/>
      <c r="E456" s="380"/>
      <c r="F456" s="378"/>
      <c r="G456" s="378"/>
      <c r="H456" s="378"/>
      <c r="I456" s="378"/>
      <c r="J456" s="378"/>
      <c r="K456" s="378"/>
      <c r="L456" s="378"/>
      <c r="M456" s="381"/>
      <c r="N456" s="381"/>
      <c r="O456" s="381"/>
      <c r="P456" s="381"/>
      <c r="Q456" s="381"/>
      <c r="R456" s="381"/>
      <c r="S456" s="381"/>
      <c r="T456" s="381"/>
      <c r="U456" s="381"/>
      <c r="V456" s="381"/>
      <c r="W456" s="381"/>
      <c r="X456" s="381"/>
      <c r="Y456" s="381"/>
      <c r="Z456" s="381"/>
      <c r="AA456" s="381"/>
      <c r="AB456" s="381"/>
      <c r="AC456" s="382"/>
      <c r="AD456" s="382"/>
    </row>
    <row r="457" spans="1:30" ht="12.75" customHeight="1" x14ac:dyDescent="0.2">
      <c r="A457" s="378"/>
      <c r="B457" s="378"/>
      <c r="C457" s="378"/>
      <c r="D457" s="380"/>
      <c r="E457" s="380"/>
      <c r="F457" s="378"/>
      <c r="G457" s="378"/>
      <c r="H457" s="378"/>
      <c r="I457" s="378"/>
      <c r="J457" s="378"/>
      <c r="K457" s="378"/>
      <c r="L457" s="378"/>
      <c r="M457" s="381"/>
      <c r="N457" s="381"/>
      <c r="O457" s="381"/>
      <c r="P457" s="381"/>
      <c r="Q457" s="381"/>
      <c r="R457" s="381"/>
      <c r="S457" s="381"/>
      <c r="T457" s="381"/>
      <c r="U457" s="381"/>
      <c r="V457" s="381"/>
      <c r="W457" s="381"/>
      <c r="X457" s="381"/>
      <c r="Y457" s="381"/>
      <c r="Z457" s="381"/>
      <c r="AA457" s="381"/>
      <c r="AB457" s="381"/>
      <c r="AC457" s="382"/>
      <c r="AD457" s="382"/>
    </row>
    <row r="458" spans="1:30" ht="12.75" customHeight="1" x14ac:dyDescent="0.2">
      <c r="A458" s="378"/>
      <c r="B458" s="378"/>
      <c r="C458" s="378"/>
      <c r="D458" s="380"/>
      <c r="E458" s="380"/>
      <c r="F458" s="378"/>
      <c r="G458" s="378"/>
      <c r="H458" s="378"/>
      <c r="I458" s="378"/>
      <c r="J458" s="378"/>
      <c r="K458" s="378"/>
      <c r="L458" s="378"/>
      <c r="M458" s="381"/>
      <c r="N458" s="381"/>
      <c r="O458" s="381"/>
      <c r="P458" s="381"/>
      <c r="Q458" s="381"/>
      <c r="R458" s="381"/>
      <c r="S458" s="381"/>
      <c r="T458" s="381"/>
      <c r="U458" s="381"/>
      <c r="V458" s="381"/>
      <c r="W458" s="381"/>
      <c r="X458" s="381"/>
      <c r="Y458" s="381"/>
      <c r="Z458" s="381"/>
      <c r="AA458" s="381"/>
      <c r="AB458" s="381"/>
      <c r="AC458" s="382"/>
      <c r="AD458" s="382"/>
    </row>
    <row r="459" spans="1:30" ht="12.75" customHeight="1" x14ac:dyDescent="0.2">
      <c r="A459" s="378"/>
      <c r="B459" s="378"/>
      <c r="C459" s="378"/>
      <c r="D459" s="380"/>
      <c r="E459" s="380"/>
      <c r="F459" s="378"/>
      <c r="G459" s="378"/>
      <c r="H459" s="378"/>
      <c r="I459" s="378"/>
      <c r="J459" s="378"/>
      <c r="K459" s="378"/>
      <c r="L459" s="378"/>
      <c r="M459" s="381"/>
      <c r="N459" s="381"/>
      <c r="O459" s="381"/>
      <c r="P459" s="381"/>
      <c r="Q459" s="381"/>
      <c r="R459" s="381"/>
      <c r="S459" s="381"/>
      <c r="T459" s="381"/>
      <c r="U459" s="381"/>
      <c r="V459" s="381"/>
      <c r="W459" s="381"/>
      <c r="X459" s="381"/>
      <c r="Y459" s="381"/>
      <c r="Z459" s="381"/>
      <c r="AA459" s="381"/>
      <c r="AB459" s="381"/>
      <c r="AC459" s="382"/>
      <c r="AD459" s="382"/>
    </row>
    <row r="460" spans="1:30" ht="12.75" customHeight="1" x14ac:dyDescent="0.2">
      <c r="A460" s="378"/>
      <c r="B460" s="378"/>
      <c r="C460" s="378"/>
      <c r="D460" s="380"/>
      <c r="E460" s="380"/>
      <c r="F460" s="378"/>
      <c r="G460" s="378"/>
      <c r="H460" s="378"/>
      <c r="I460" s="378"/>
      <c r="J460" s="378"/>
      <c r="K460" s="378"/>
      <c r="L460" s="378"/>
      <c r="M460" s="381"/>
      <c r="N460" s="381"/>
      <c r="O460" s="381"/>
      <c r="P460" s="381"/>
      <c r="Q460" s="381"/>
      <c r="R460" s="381"/>
      <c r="S460" s="381"/>
      <c r="T460" s="381"/>
      <c r="U460" s="381"/>
      <c r="V460" s="381"/>
      <c r="W460" s="381"/>
      <c r="X460" s="381"/>
      <c r="Y460" s="381"/>
      <c r="Z460" s="381"/>
      <c r="AA460" s="381"/>
      <c r="AB460" s="381"/>
      <c r="AC460" s="382"/>
      <c r="AD460" s="382"/>
    </row>
    <row r="461" spans="1:30" ht="12.75" customHeight="1" x14ac:dyDescent="0.2">
      <c r="A461" s="378"/>
      <c r="B461" s="378"/>
      <c r="C461" s="378"/>
      <c r="D461" s="380"/>
      <c r="E461" s="380"/>
      <c r="F461" s="378"/>
      <c r="G461" s="378"/>
      <c r="H461" s="378"/>
      <c r="I461" s="378"/>
      <c r="J461" s="378"/>
      <c r="K461" s="378"/>
      <c r="L461" s="378"/>
      <c r="M461" s="381"/>
      <c r="N461" s="381"/>
      <c r="O461" s="381"/>
      <c r="P461" s="381"/>
      <c r="Q461" s="381"/>
      <c r="R461" s="381"/>
      <c r="S461" s="381"/>
      <c r="T461" s="381"/>
      <c r="U461" s="381"/>
      <c r="V461" s="381"/>
      <c r="W461" s="381"/>
      <c r="X461" s="381"/>
      <c r="Y461" s="381"/>
      <c r="Z461" s="381"/>
      <c r="AA461" s="381"/>
      <c r="AB461" s="381"/>
      <c r="AC461" s="382"/>
      <c r="AD461" s="382"/>
    </row>
    <row r="462" spans="1:30" ht="12.75" customHeight="1" x14ac:dyDescent="0.2">
      <c r="A462" s="378"/>
      <c r="B462" s="378"/>
      <c r="C462" s="378"/>
      <c r="D462" s="380"/>
      <c r="E462" s="380"/>
      <c r="F462" s="378"/>
      <c r="G462" s="378"/>
      <c r="H462" s="378"/>
      <c r="I462" s="378"/>
      <c r="J462" s="378"/>
      <c r="K462" s="378"/>
      <c r="L462" s="378"/>
      <c r="M462" s="381"/>
      <c r="N462" s="381"/>
      <c r="O462" s="381"/>
      <c r="P462" s="381"/>
      <c r="Q462" s="381"/>
      <c r="R462" s="381"/>
      <c r="S462" s="381"/>
      <c r="T462" s="381"/>
      <c r="U462" s="381"/>
      <c r="V462" s="381"/>
      <c r="W462" s="381"/>
      <c r="X462" s="381"/>
      <c r="Y462" s="381"/>
      <c r="Z462" s="381"/>
      <c r="AA462" s="381"/>
      <c r="AB462" s="381"/>
      <c r="AC462" s="382"/>
      <c r="AD462" s="382"/>
    </row>
    <row r="463" spans="1:30" ht="12.75" customHeight="1" x14ac:dyDescent="0.2">
      <c r="A463" s="378"/>
      <c r="B463" s="378"/>
      <c r="C463" s="378"/>
      <c r="D463" s="380"/>
      <c r="E463" s="380"/>
      <c r="F463" s="378"/>
      <c r="G463" s="378"/>
      <c r="H463" s="378"/>
      <c r="I463" s="378"/>
      <c r="J463" s="378"/>
      <c r="K463" s="378"/>
      <c r="L463" s="378"/>
      <c r="M463" s="381"/>
      <c r="N463" s="381"/>
      <c r="O463" s="381"/>
      <c r="P463" s="381"/>
      <c r="Q463" s="381"/>
      <c r="R463" s="381"/>
      <c r="S463" s="381"/>
      <c r="T463" s="381"/>
      <c r="U463" s="381"/>
      <c r="V463" s="381"/>
      <c r="W463" s="381"/>
      <c r="X463" s="381"/>
      <c r="Y463" s="381"/>
      <c r="Z463" s="381"/>
      <c r="AA463" s="381"/>
      <c r="AB463" s="381"/>
      <c r="AC463" s="382"/>
      <c r="AD463" s="382"/>
    </row>
    <row r="464" spans="1:30" ht="12.75" customHeight="1" x14ac:dyDescent="0.2">
      <c r="A464" s="378"/>
      <c r="B464" s="378"/>
      <c r="C464" s="378"/>
      <c r="D464" s="380"/>
      <c r="E464" s="380"/>
      <c r="F464" s="378"/>
      <c r="G464" s="378"/>
      <c r="H464" s="378"/>
      <c r="I464" s="378"/>
      <c r="J464" s="378"/>
      <c r="K464" s="378"/>
      <c r="L464" s="378"/>
      <c r="M464" s="381"/>
      <c r="N464" s="381"/>
      <c r="O464" s="381"/>
      <c r="P464" s="381"/>
      <c r="Q464" s="381"/>
      <c r="R464" s="381"/>
      <c r="S464" s="381"/>
      <c r="T464" s="381"/>
      <c r="U464" s="381"/>
      <c r="V464" s="381"/>
      <c r="W464" s="381"/>
      <c r="X464" s="381"/>
      <c r="Y464" s="381"/>
      <c r="Z464" s="381"/>
      <c r="AA464" s="381"/>
      <c r="AB464" s="381"/>
      <c r="AC464" s="382"/>
      <c r="AD464" s="382"/>
    </row>
    <row r="465" spans="1:30" ht="12.75" customHeight="1" x14ac:dyDescent="0.2">
      <c r="A465" s="378"/>
      <c r="B465" s="378"/>
      <c r="C465" s="378"/>
      <c r="D465" s="380"/>
      <c r="E465" s="380"/>
      <c r="F465" s="378"/>
      <c r="G465" s="378"/>
      <c r="H465" s="378"/>
      <c r="I465" s="378"/>
      <c r="J465" s="378"/>
      <c r="K465" s="378"/>
      <c r="L465" s="378"/>
      <c r="M465" s="381"/>
      <c r="N465" s="381"/>
      <c r="O465" s="381"/>
      <c r="P465" s="381"/>
      <c r="Q465" s="381"/>
      <c r="R465" s="381"/>
      <c r="S465" s="381"/>
      <c r="T465" s="381"/>
      <c r="U465" s="381"/>
      <c r="V465" s="381"/>
      <c r="W465" s="381"/>
      <c r="X465" s="381"/>
      <c r="Y465" s="381"/>
      <c r="Z465" s="381"/>
      <c r="AA465" s="381"/>
      <c r="AB465" s="381"/>
      <c r="AC465" s="382"/>
      <c r="AD465" s="382"/>
    </row>
    <row r="466" spans="1:30" ht="12.75" customHeight="1" x14ac:dyDescent="0.2">
      <c r="A466" s="378"/>
      <c r="B466" s="378"/>
      <c r="C466" s="378"/>
      <c r="D466" s="380"/>
      <c r="E466" s="380"/>
      <c r="F466" s="378"/>
      <c r="G466" s="378"/>
      <c r="H466" s="378"/>
      <c r="I466" s="378"/>
      <c r="J466" s="378"/>
      <c r="K466" s="378"/>
      <c r="L466" s="378"/>
      <c r="M466" s="381"/>
      <c r="N466" s="381"/>
      <c r="O466" s="381"/>
      <c r="P466" s="381"/>
      <c r="Q466" s="381"/>
      <c r="R466" s="381"/>
      <c r="S466" s="381"/>
      <c r="T466" s="381"/>
      <c r="U466" s="381"/>
      <c r="V466" s="381"/>
      <c r="W466" s="381"/>
      <c r="X466" s="381"/>
      <c r="Y466" s="381"/>
      <c r="Z466" s="381"/>
      <c r="AA466" s="381"/>
      <c r="AB466" s="381"/>
      <c r="AC466" s="382"/>
      <c r="AD466" s="382"/>
    </row>
    <row r="467" spans="1:30" ht="12.75" customHeight="1" x14ac:dyDescent="0.2">
      <c r="A467" s="378"/>
      <c r="B467" s="378"/>
      <c r="C467" s="378"/>
      <c r="D467" s="380"/>
      <c r="E467" s="380"/>
      <c r="F467" s="378"/>
      <c r="G467" s="378"/>
      <c r="H467" s="378"/>
      <c r="I467" s="378"/>
      <c r="J467" s="378"/>
      <c r="K467" s="378"/>
      <c r="L467" s="378"/>
      <c r="M467" s="381"/>
      <c r="N467" s="381"/>
      <c r="O467" s="381"/>
      <c r="P467" s="381"/>
      <c r="Q467" s="381"/>
      <c r="R467" s="381"/>
      <c r="S467" s="381"/>
      <c r="T467" s="381"/>
      <c r="U467" s="381"/>
      <c r="V467" s="381"/>
      <c r="W467" s="381"/>
      <c r="X467" s="381"/>
      <c r="Y467" s="381"/>
      <c r="Z467" s="381"/>
      <c r="AA467" s="381"/>
      <c r="AB467" s="381"/>
      <c r="AC467" s="382"/>
      <c r="AD467" s="382"/>
    </row>
    <row r="468" spans="1:30" ht="12.75" customHeight="1" x14ac:dyDescent="0.2">
      <c r="A468" s="378"/>
      <c r="B468" s="378"/>
      <c r="C468" s="378"/>
      <c r="D468" s="380"/>
      <c r="E468" s="380"/>
      <c r="F468" s="378"/>
      <c r="G468" s="378"/>
      <c r="H468" s="378"/>
      <c r="I468" s="378"/>
      <c r="J468" s="378"/>
      <c r="K468" s="378"/>
      <c r="L468" s="378"/>
      <c r="M468" s="381"/>
      <c r="N468" s="381"/>
      <c r="O468" s="381"/>
      <c r="P468" s="381"/>
      <c r="Q468" s="381"/>
      <c r="R468" s="381"/>
      <c r="S468" s="381"/>
      <c r="T468" s="381"/>
      <c r="U468" s="381"/>
      <c r="V468" s="381"/>
      <c r="W468" s="381"/>
      <c r="X468" s="381"/>
      <c r="Y468" s="381"/>
      <c r="Z468" s="381"/>
      <c r="AA468" s="381"/>
      <c r="AB468" s="381"/>
      <c r="AC468" s="382"/>
      <c r="AD468" s="382"/>
    </row>
    <row r="469" spans="1:30" ht="12.75" customHeight="1" x14ac:dyDescent="0.2">
      <c r="A469" s="378"/>
      <c r="B469" s="378"/>
      <c r="C469" s="378"/>
      <c r="D469" s="380"/>
      <c r="E469" s="380"/>
      <c r="F469" s="378"/>
      <c r="G469" s="378"/>
      <c r="H469" s="378"/>
      <c r="I469" s="378"/>
      <c r="J469" s="378"/>
      <c r="K469" s="378"/>
      <c r="L469" s="378"/>
      <c r="M469" s="381"/>
      <c r="N469" s="381"/>
      <c r="O469" s="381"/>
      <c r="P469" s="381"/>
      <c r="Q469" s="381"/>
      <c r="R469" s="381"/>
      <c r="S469" s="381"/>
      <c r="T469" s="381"/>
      <c r="U469" s="381"/>
      <c r="V469" s="381"/>
      <c r="W469" s="381"/>
      <c r="X469" s="381"/>
      <c r="Y469" s="381"/>
      <c r="Z469" s="381"/>
      <c r="AA469" s="381"/>
      <c r="AB469" s="381"/>
      <c r="AC469" s="382"/>
      <c r="AD469" s="382"/>
    </row>
    <row r="470" spans="1:30" ht="12.75" customHeight="1" x14ac:dyDescent="0.2">
      <c r="A470" s="378"/>
      <c r="B470" s="378"/>
      <c r="C470" s="378"/>
      <c r="D470" s="380"/>
      <c r="E470" s="380"/>
      <c r="F470" s="378"/>
      <c r="G470" s="378"/>
      <c r="H470" s="378"/>
      <c r="I470" s="378"/>
      <c r="J470" s="378"/>
      <c r="K470" s="378"/>
      <c r="L470" s="378"/>
      <c r="M470" s="381"/>
      <c r="N470" s="381"/>
      <c r="O470" s="381"/>
      <c r="P470" s="381"/>
      <c r="Q470" s="381"/>
      <c r="R470" s="381"/>
      <c r="S470" s="381"/>
      <c r="T470" s="381"/>
      <c r="U470" s="381"/>
      <c r="V470" s="381"/>
      <c r="W470" s="381"/>
      <c r="X470" s="381"/>
      <c r="Y470" s="381"/>
      <c r="Z470" s="381"/>
      <c r="AA470" s="381"/>
      <c r="AB470" s="381"/>
      <c r="AC470" s="382"/>
      <c r="AD470" s="382"/>
    </row>
    <row r="471" spans="1:30" ht="12.75" customHeight="1" x14ac:dyDescent="0.2">
      <c r="A471" s="378"/>
      <c r="B471" s="378"/>
      <c r="C471" s="378"/>
      <c r="D471" s="380"/>
      <c r="E471" s="380"/>
      <c r="F471" s="378"/>
      <c r="G471" s="378"/>
      <c r="H471" s="378"/>
      <c r="I471" s="378"/>
      <c r="J471" s="378"/>
      <c r="K471" s="378"/>
      <c r="L471" s="378"/>
      <c r="M471" s="381"/>
      <c r="N471" s="381"/>
      <c r="O471" s="381"/>
      <c r="P471" s="381"/>
      <c r="Q471" s="381"/>
      <c r="R471" s="381"/>
      <c r="S471" s="381"/>
      <c r="T471" s="381"/>
      <c r="U471" s="381"/>
      <c r="V471" s="381"/>
      <c r="W471" s="381"/>
      <c r="X471" s="381"/>
      <c r="Y471" s="381"/>
      <c r="Z471" s="381"/>
      <c r="AA471" s="381"/>
      <c r="AB471" s="381"/>
      <c r="AC471" s="382"/>
      <c r="AD471" s="382"/>
    </row>
    <row r="472" spans="1:30" ht="12.75" customHeight="1" x14ac:dyDescent="0.2">
      <c r="A472" s="378"/>
      <c r="B472" s="378"/>
      <c r="C472" s="378"/>
      <c r="D472" s="380"/>
      <c r="E472" s="380"/>
      <c r="F472" s="378"/>
      <c r="G472" s="378"/>
      <c r="H472" s="378"/>
      <c r="I472" s="378"/>
      <c r="J472" s="378"/>
      <c r="K472" s="378"/>
      <c r="L472" s="378"/>
      <c r="M472" s="381"/>
      <c r="N472" s="381"/>
      <c r="O472" s="381"/>
      <c r="P472" s="381"/>
      <c r="Q472" s="381"/>
      <c r="R472" s="381"/>
      <c r="S472" s="381"/>
      <c r="T472" s="381"/>
      <c r="U472" s="381"/>
      <c r="V472" s="381"/>
      <c r="W472" s="381"/>
      <c r="X472" s="381"/>
      <c r="Y472" s="381"/>
      <c r="Z472" s="381"/>
      <c r="AA472" s="381"/>
      <c r="AB472" s="381"/>
      <c r="AC472" s="382"/>
      <c r="AD472" s="382"/>
    </row>
    <row r="473" spans="1:30" ht="12.75" customHeight="1" x14ac:dyDescent="0.2">
      <c r="A473" s="378"/>
      <c r="B473" s="378"/>
      <c r="C473" s="378"/>
      <c r="D473" s="380"/>
      <c r="E473" s="380"/>
      <c r="F473" s="378"/>
      <c r="G473" s="378"/>
      <c r="H473" s="378"/>
      <c r="I473" s="378"/>
      <c r="J473" s="378"/>
      <c r="K473" s="378"/>
      <c r="L473" s="378"/>
      <c r="M473" s="381"/>
      <c r="N473" s="381"/>
      <c r="O473" s="381"/>
      <c r="P473" s="381"/>
      <c r="Q473" s="381"/>
      <c r="R473" s="381"/>
      <c r="S473" s="381"/>
      <c r="T473" s="381"/>
      <c r="U473" s="381"/>
      <c r="V473" s="381"/>
      <c r="W473" s="381"/>
      <c r="X473" s="381"/>
      <c r="Y473" s="381"/>
      <c r="Z473" s="381"/>
      <c r="AA473" s="381"/>
      <c r="AB473" s="381"/>
      <c r="AC473" s="382"/>
      <c r="AD473" s="382"/>
    </row>
    <row r="474" spans="1:30" ht="12.75" customHeight="1" x14ac:dyDescent="0.2">
      <c r="A474" s="378"/>
      <c r="B474" s="378"/>
      <c r="C474" s="378"/>
      <c r="D474" s="380"/>
      <c r="E474" s="380"/>
      <c r="F474" s="378"/>
      <c r="G474" s="378"/>
      <c r="H474" s="378"/>
      <c r="I474" s="378"/>
      <c r="J474" s="378"/>
      <c r="K474" s="378"/>
      <c r="L474" s="378"/>
      <c r="M474" s="381"/>
      <c r="N474" s="381"/>
      <c r="O474" s="381"/>
      <c r="P474" s="381"/>
      <c r="Q474" s="381"/>
      <c r="R474" s="381"/>
      <c r="S474" s="381"/>
      <c r="T474" s="381"/>
      <c r="U474" s="381"/>
      <c r="V474" s="381"/>
      <c r="W474" s="381"/>
      <c r="X474" s="381"/>
      <c r="Y474" s="381"/>
      <c r="Z474" s="381"/>
      <c r="AA474" s="381"/>
      <c r="AB474" s="381"/>
      <c r="AC474" s="382"/>
      <c r="AD474" s="382"/>
    </row>
    <row r="475" spans="1:30" ht="12.75" customHeight="1" x14ac:dyDescent="0.2">
      <c r="A475" s="378"/>
      <c r="B475" s="378"/>
      <c r="C475" s="378"/>
      <c r="D475" s="380"/>
      <c r="E475" s="380"/>
      <c r="F475" s="378"/>
      <c r="G475" s="378"/>
      <c r="H475" s="378"/>
      <c r="I475" s="378"/>
      <c r="J475" s="378"/>
      <c r="K475" s="378"/>
      <c r="L475" s="378"/>
      <c r="M475" s="381"/>
      <c r="N475" s="381"/>
      <c r="O475" s="381"/>
      <c r="P475" s="381"/>
      <c r="Q475" s="381"/>
      <c r="R475" s="381"/>
      <c r="S475" s="381"/>
      <c r="T475" s="381"/>
      <c r="U475" s="381"/>
      <c r="V475" s="381"/>
      <c r="W475" s="381"/>
      <c r="X475" s="381"/>
      <c r="Y475" s="381"/>
      <c r="Z475" s="381"/>
      <c r="AA475" s="381"/>
      <c r="AB475" s="381"/>
      <c r="AC475" s="382"/>
      <c r="AD475" s="382"/>
    </row>
    <row r="476" spans="1:30" ht="12.75" customHeight="1" x14ac:dyDescent="0.2">
      <c r="A476" s="378"/>
      <c r="B476" s="378"/>
      <c r="C476" s="378"/>
      <c r="D476" s="380"/>
      <c r="E476" s="380"/>
      <c r="F476" s="378"/>
      <c r="G476" s="378"/>
      <c r="H476" s="378"/>
      <c r="I476" s="378"/>
      <c r="J476" s="378"/>
      <c r="K476" s="378"/>
      <c r="L476" s="378"/>
      <c r="M476" s="381"/>
      <c r="N476" s="381"/>
      <c r="O476" s="381"/>
      <c r="P476" s="381"/>
      <c r="Q476" s="381"/>
      <c r="R476" s="381"/>
      <c r="S476" s="381"/>
      <c r="T476" s="381"/>
      <c r="U476" s="381"/>
      <c r="V476" s="381"/>
      <c r="W476" s="381"/>
      <c r="X476" s="381"/>
      <c r="Y476" s="381"/>
      <c r="Z476" s="381"/>
      <c r="AA476" s="381"/>
      <c r="AB476" s="381"/>
      <c r="AC476" s="382"/>
      <c r="AD476" s="382"/>
    </row>
    <row r="477" spans="1:30" ht="12.75" customHeight="1" x14ac:dyDescent="0.2">
      <c r="A477" s="378"/>
      <c r="B477" s="378"/>
      <c r="C477" s="378"/>
      <c r="D477" s="380"/>
      <c r="E477" s="380"/>
      <c r="F477" s="378"/>
      <c r="G477" s="378"/>
      <c r="H477" s="378"/>
      <c r="I477" s="378"/>
      <c r="J477" s="378"/>
      <c r="K477" s="378"/>
      <c r="L477" s="378"/>
      <c r="M477" s="381"/>
      <c r="N477" s="381"/>
      <c r="O477" s="381"/>
      <c r="P477" s="381"/>
      <c r="Q477" s="381"/>
      <c r="R477" s="381"/>
      <c r="S477" s="381"/>
      <c r="T477" s="381"/>
      <c r="U477" s="381"/>
      <c r="V477" s="381"/>
      <c r="W477" s="381"/>
      <c r="X477" s="381"/>
      <c r="Y477" s="381"/>
      <c r="Z477" s="381"/>
      <c r="AA477" s="381"/>
      <c r="AB477" s="381"/>
      <c r="AC477" s="382"/>
      <c r="AD477" s="382"/>
    </row>
    <row r="478" spans="1:30" ht="12.75" customHeight="1" x14ac:dyDescent="0.2">
      <c r="A478" s="378"/>
      <c r="B478" s="378"/>
      <c r="C478" s="378"/>
      <c r="D478" s="380"/>
      <c r="E478" s="380"/>
      <c r="F478" s="378"/>
      <c r="G478" s="378"/>
      <c r="H478" s="378"/>
      <c r="I478" s="378"/>
      <c r="J478" s="378"/>
      <c r="K478" s="378"/>
      <c r="L478" s="378"/>
      <c r="M478" s="381"/>
      <c r="N478" s="381"/>
      <c r="O478" s="381"/>
      <c r="P478" s="381"/>
      <c r="Q478" s="381"/>
      <c r="R478" s="381"/>
      <c r="S478" s="381"/>
      <c r="T478" s="381"/>
      <c r="U478" s="381"/>
      <c r="V478" s="381"/>
      <c r="W478" s="381"/>
      <c r="X478" s="381"/>
      <c r="Y478" s="381"/>
      <c r="Z478" s="381"/>
      <c r="AA478" s="381"/>
      <c r="AB478" s="381"/>
      <c r="AC478" s="382"/>
      <c r="AD478" s="382"/>
    </row>
    <row r="479" spans="1:30" ht="12.75" customHeight="1" x14ac:dyDescent="0.2">
      <c r="A479" s="378"/>
      <c r="B479" s="378"/>
      <c r="C479" s="378"/>
      <c r="D479" s="380"/>
      <c r="E479" s="380"/>
      <c r="F479" s="378"/>
      <c r="G479" s="378"/>
      <c r="H479" s="378"/>
      <c r="I479" s="378"/>
      <c r="J479" s="378"/>
      <c r="K479" s="378"/>
      <c r="L479" s="378"/>
      <c r="M479" s="381"/>
      <c r="N479" s="381"/>
      <c r="O479" s="381"/>
      <c r="P479" s="381"/>
      <c r="Q479" s="381"/>
      <c r="R479" s="381"/>
      <c r="S479" s="381"/>
      <c r="T479" s="381"/>
      <c r="U479" s="381"/>
      <c r="V479" s="381"/>
      <c r="W479" s="381"/>
      <c r="X479" s="381"/>
      <c r="Y479" s="381"/>
      <c r="Z479" s="381"/>
      <c r="AA479" s="381"/>
      <c r="AB479" s="381"/>
      <c r="AC479" s="382"/>
      <c r="AD479" s="382"/>
    </row>
    <row r="480" spans="1:30" ht="12.75" customHeight="1" x14ac:dyDescent="0.2">
      <c r="A480" s="378"/>
      <c r="B480" s="378"/>
      <c r="C480" s="378"/>
      <c r="D480" s="380"/>
      <c r="E480" s="380"/>
      <c r="F480" s="378"/>
      <c r="G480" s="378"/>
      <c r="H480" s="378"/>
      <c r="I480" s="378"/>
      <c r="J480" s="378"/>
      <c r="K480" s="378"/>
      <c r="L480" s="378"/>
      <c r="M480" s="381"/>
      <c r="N480" s="381"/>
      <c r="O480" s="381"/>
      <c r="P480" s="381"/>
      <c r="Q480" s="381"/>
      <c r="R480" s="381"/>
      <c r="S480" s="381"/>
      <c r="T480" s="381"/>
      <c r="U480" s="381"/>
      <c r="V480" s="381"/>
      <c r="W480" s="381"/>
      <c r="X480" s="381"/>
      <c r="Y480" s="381"/>
      <c r="Z480" s="381"/>
      <c r="AA480" s="381"/>
      <c r="AB480" s="381"/>
      <c r="AC480" s="382"/>
      <c r="AD480" s="382"/>
    </row>
    <row r="481" spans="1:30" ht="12.75" customHeight="1" x14ac:dyDescent="0.2">
      <c r="A481" s="378"/>
      <c r="B481" s="378"/>
      <c r="C481" s="378"/>
      <c r="D481" s="380"/>
      <c r="E481" s="380"/>
      <c r="F481" s="378"/>
      <c r="G481" s="378"/>
      <c r="H481" s="378"/>
      <c r="I481" s="378"/>
      <c r="J481" s="378"/>
      <c r="K481" s="378"/>
      <c r="L481" s="378"/>
      <c r="M481" s="381"/>
      <c r="N481" s="381"/>
      <c r="O481" s="381"/>
      <c r="P481" s="381"/>
      <c r="Q481" s="381"/>
      <c r="R481" s="381"/>
      <c r="S481" s="381"/>
      <c r="T481" s="381"/>
      <c r="U481" s="381"/>
      <c r="V481" s="381"/>
      <c r="W481" s="381"/>
      <c r="X481" s="381"/>
      <c r="Y481" s="381"/>
      <c r="Z481" s="381"/>
      <c r="AA481" s="381"/>
      <c r="AB481" s="381"/>
      <c r="AC481" s="382"/>
      <c r="AD481" s="382"/>
    </row>
    <row r="482" spans="1:30" ht="12.75" customHeight="1" x14ac:dyDescent="0.2">
      <c r="A482" s="378"/>
      <c r="B482" s="378"/>
      <c r="C482" s="378"/>
      <c r="D482" s="380"/>
      <c r="E482" s="380"/>
      <c r="F482" s="378"/>
      <c r="G482" s="378"/>
      <c r="H482" s="378"/>
      <c r="I482" s="378"/>
      <c r="J482" s="378"/>
      <c r="K482" s="378"/>
      <c r="L482" s="378"/>
      <c r="M482" s="381"/>
      <c r="N482" s="381"/>
      <c r="O482" s="381"/>
      <c r="P482" s="381"/>
      <c r="Q482" s="381"/>
      <c r="R482" s="381"/>
      <c r="S482" s="381"/>
      <c r="T482" s="381"/>
      <c r="U482" s="381"/>
      <c r="V482" s="381"/>
      <c r="W482" s="381"/>
      <c r="X482" s="381"/>
      <c r="Y482" s="381"/>
      <c r="Z482" s="381"/>
      <c r="AA482" s="381"/>
      <c r="AB482" s="381"/>
      <c r="AC482" s="382"/>
      <c r="AD482" s="382"/>
    </row>
    <row r="483" spans="1:30" ht="12.75" customHeight="1" x14ac:dyDescent="0.2">
      <c r="A483" s="378"/>
      <c r="B483" s="378"/>
      <c r="C483" s="378"/>
      <c r="D483" s="380"/>
      <c r="E483" s="380"/>
      <c r="F483" s="378"/>
      <c r="G483" s="378"/>
      <c r="H483" s="378"/>
      <c r="I483" s="378"/>
      <c r="J483" s="378"/>
      <c r="K483" s="378"/>
      <c r="L483" s="378"/>
      <c r="M483" s="381"/>
      <c r="N483" s="381"/>
      <c r="O483" s="381"/>
      <c r="P483" s="381"/>
      <c r="Q483" s="381"/>
      <c r="R483" s="381"/>
      <c r="S483" s="381"/>
      <c r="T483" s="381"/>
      <c r="U483" s="381"/>
      <c r="V483" s="381"/>
      <c r="W483" s="381"/>
      <c r="X483" s="381"/>
      <c r="Y483" s="381"/>
      <c r="Z483" s="381"/>
      <c r="AA483" s="381"/>
      <c r="AB483" s="381"/>
      <c r="AC483" s="382"/>
      <c r="AD483" s="382"/>
    </row>
    <row r="484" spans="1:30" ht="12.75" customHeight="1" x14ac:dyDescent="0.2">
      <c r="A484" s="378"/>
      <c r="B484" s="378"/>
      <c r="C484" s="378"/>
      <c r="D484" s="380"/>
      <c r="E484" s="380"/>
      <c r="F484" s="378"/>
      <c r="G484" s="378"/>
      <c r="H484" s="378"/>
      <c r="I484" s="378"/>
      <c r="J484" s="378"/>
      <c r="K484" s="378"/>
      <c r="L484" s="378"/>
      <c r="M484" s="381"/>
      <c r="N484" s="381"/>
      <c r="O484" s="381"/>
      <c r="P484" s="381"/>
      <c r="Q484" s="381"/>
      <c r="R484" s="381"/>
      <c r="S484" s="381"/>
      <c r="T484" s="381"/>
      <c r="U484" s="381"/>
      <c r="V484" s="381"/>
      <c r="W484" s="381"/>
      <c r="X484" s="381"/>
      <c r="Y484" s="381"/>
      <c r="Z484" s="381"/>
      <c r="AA484" s="381"/>
      <c r="AB484" s="381"/>
      <c r="AC484" s="382"/>
      <c r="AD484" s="382"/>
    </row>
    <row r="485" spans="1:30" ht="12.75" customHeight="1" x14ac:dyDescent="0.2">
      <c r="A485" s="378"/>
      <c r="B485" s="378"/>
      <c r="C485" s="378"/>
      <c r="D485" s="380"/>
      <c r="E485" s="380"/>
      <c r="F485" s="378"/>
      <c r="G485" s="378"/>
      <c r="H485" s="378"/>
      <c r="I485" s="378"/>
      <c r="J485" s="378"/>
      <c r="K485" s="378"/>
      <c r="L485" s="378"/>
      <c r="M485" s="381"/>
      <c r="N485" s="381"/>
      <c r="O485" s="381"/>
      <c r="P485" s="381"/>
      <c r="Q485" s="381"/>
      <c r="R485" s="381"/>
      <c r="S485" s="381"/>
      <c r="T485" s="381"/>
      <c r="U485" s="381"/>
      <c r="V485" s="381"/>
      <c r="W485" s="381"/>
      <c r="X485" s="381"/>
      <c r="Y485" s="381"/>
      <c r="Z485" s="381"/>
      <c r="AA485" s="381"/>
      <c r="AB485" s="381"/>
      <c r="AC485" s="382"/>
      <c r="AD485" s="382"/>
    </row>
    <row r="486" spans="1:30" ht="12.75" customHeight="1" x14ac:dyDescent="0.2">
      <c r="A486" s="378"/>
      <c r="B486" s="378"/>
      <c r="C486" s="378"/>
      <c r="D486" s="380"/>
      <c r="E486" s="380"/>
      <c r="F486" s="378"/>
      <c r="G486" s="378"/>
      <c r="H486" s="378"/>
      <c r="I486" s="378"/>
      <c r="J486" s="378"/>
      <c r="K486" s="378"/>
      <c r="L486" s="378"/>
      <c r="M486" s="381"/>
      <c r="N486" s="381"/>
      <c r="O486" s="381"/>
      <c r="P486" s="381"/>
      <c r="Q486" s="381"/>
      <c r="R486" s="381"/>
      <c r="S486" s="381"/>
      <c r="T486" s="381"/>
      <c r="U486" s="381"/>
      <c r="V486" s="381"/>
      <c r="W486" s="381"/>
      <c r="X486" s="381"/>
      <c r="Y486" s="381"/>
      <c r="Z486" s="381"/>
      <c r="AA486" s="381"/>
      <c r="AB486" s="381"/>
      <c r="AC486" s="382"/>
      <c r="AD486" s="382"/>
    </row>
    <row r="487" spans="1:30" ht="12.75" customHeight="1" x14ac:dyDescent="0.2">
      <c r="A487" s="378"/>
      <c r="B487" s="378"/>
      <c r="C487" s="378"/>
      <c r="D487" s="380"/>
      <c r="E487" s="380"/>
      <c r="F487" s="378"/>
      <c r="G487" s="378"/>
      <c r="H487" s="378"/>
      <c r="I487" s="378"/>
      <c r="J487" s="378"/>
      <c r="K487" s="378"/>
      <c r="L487" s="378"/>
      <c r="M487" s="381"/>
      <c r="N487" s="381"/>
      <c r="O487" s="381"/>
      <c r="P487" s="381"/>
      <c r="Q487" s="381"/>
      <c r="R487" s="381"/>
      <c r="S487" s="381"/>
      <c r="T487" s="381"/>
      <c r="U487" s="381"/>
      <c r="V487" s="381"/>
      <c r="W487" s="381"/>
      <c r="X487" s="381"/>
      <c r="Y487" s="381"/>
      <c r="Z487" s="381"/>
      <c r="AA487" s="381"/>
      <c r="AB487" s="381"/>
      <c r="AC487" s="382"/>
      <c r="AD487" s="382"/>
    </row>
    <row r="488" spans="1:30" ht="12.75" customHeight="1" x14ac:dyDescent="0.2">
      <c r="A488" s="378"/>
      <c r="B488" s="378"/>
      <c r="C488" s="378"/>
      <c r="D488" s="380"/>
      <c r="E488" s="380"/>
      <c r="F488" s="378"/>
      <c r="G488" s="378"/>
      <c r="H488" s="378"/>
      <c r="I488" s="378"/>
      <c r="J488" s="378"/>
      <c r="K488" s="378"/>
      <c r="L488" s="378"/>
      <c r="M488" s="381"/>
      <c r="N488" s="381"/>
      <c r="O488" s="381"/>
      <c r="P488" s="381"/>
      <c r="Q488" s="381"/>
      <c r="R488" s="381"/>
      <c r="S488" s="381"/>
      <c r="T488" s="381"/>
      <c r="U488" s="381"/>
      <c r="V488" s="381"/>
      <c r="W488" s="381"/>
      <c r="X488" s="381"/>
      <c r="Y488" s="381"/>
      <c r="Z488" s="381"/>
      <c r="AA488" s="381"/>
      <c r="AB488" s="381"/>
      <c r="AC488" s="382"/>
      <c r="AD488" s="382"/>
    </row>
    <row r="489" spans="1:30" ht="12.75" customHeight="1" x14ac:dyDescent="0.2">
      <c r="A489" s="378"/>
      <c r="B489" s="378"/>
      <c r="C489" s="378"/>
      <c r="D489" s="380"/>
      <c r="E489" s="380"/>
      <c r="F489" s="378"/>
      <c r="G489" s="378"/>
      <c r="H489" s="378"/>
      <c r="I489" s="378"/>
      <c r="J489" s="378"/>
      <c r="K489" s="378"/>
      <c r="L489" s="378"/>
      <c r="M489" s="381"/>
      <c r="N489" s="381"/>
      <c r="O489" s="381"/>
      <c r="P489" s="381"/>
      <c r="Q489" s="381"/>
      <c r="R489" s="381"/>
      <c r="S489" s="381"/>
      <c r="T489" s="381"/>
      <c r="U489" s="381"/>
      <c r="V489" s="381"/>
      <c r="W489" s="381"/>
      <c r="X489" s="381"/>
      <c r="Y489" s="381"/>
      <c r="Z489" s="381"/>
      <c r="AA489" s="381"/>
      <c r="AB489" s="381"/>
      <c r="AC489" s="382"/>
      <c r="AD489" s="382"/>
    </row>
    <row r="490" spans="1:30" ht="12.75" customHeight="1" x14ac:dyDescent="0.2">
      <c r="A490" s="378"/>
      <c r="B490" s="378"/>
      <c r="C490" s="378"/>
      <c r="D490" s="380"/>
      <c r="E490" s="380"/>
      <c r="F490" s="378"/>
      <c r="G490" s="378"/>
      <c r="H490" s="378"/>
      <c r="I490" s="378"/>
      <c r="J490" s="378"/>
      <c r="K490" s="378"/>
      <c r="L490" s="378"/>
      <c r="M490" s="381"/>
      <c r="N490" s="381"/>
      <c r="O490" s="381"/>
      <c r="P490" s="381"/>
      <c r="Q490" s="381"/>
      <c r="R490" s="381"/>
      <c r="S490" s="381"/>
      <c r="T490" s="381"/>
      <c r="U490" s="381"/>
      <c r="V490" s="381"/>
      <c r="W490" s="381"/>
      <c r="X490" s="381"/>
      <c r="Y490" s="381"/>
      <c r="Z490" s="381"/>
      <c r="AA490" s="381"/>
      <c r="AB490" s="381"/>
      <c r="AC490" s="382"/>
      <c r="AD490" s="382"/>
    </row>
    <row r="491" spans="1:30" ht="12.75" customHeight="1" x14ac:dyDescent="0.2">
      <c r="A491" s="378"/>
      <c r="B491" s="378"/>
      <c r="C491" s="378"/>
      <c r="D491" s="380"/>
      <c r="E491" s="380"/>
      <c r="F491" s="378"/>
      <c r="G491" s="378"/>
      <c r="H491" s="378"/>
      <c r="I491" s="378"/>
      <c r="J491" s="378"/>
      <c r="K491" s="378"/>
      <c r="L491" s="378"/>
      <c r="M491" s="381"/>
      <c r="N491" s="381"/>
      <c r="O491" s="381"/>
      <c r="P491" s="381"/>
      <c r="Q491" s="381"/>
      <c r="R491" s="381"/>
      <c r="S491" s="381"/>
      <c r="T491" s="381"/>
      <c r="U491" s="381"/>
      <c r="V491" s="381"/>
      <c r="W491" s="381"/>
      <c r="X491" s="381"/>
      <c r="Y491" s="381"/>
      <c r="Z491" s="381"/>
      <c r="AA491" s="381"/>
      <c r="AB491" s="381"/>
      <c r="AC491" s="382"/>
      <c r="AD491" s="382"/>
    </row>
    <row r="492" spans="1:30" ht="12.75" customHeight="1" x14ac:dyDescent="0.2">
      <c r="A492" s="378"/>
      <c r="B492" s="378"/>
      <c r="C492" s="378"/>
      <c r="D492" s="380"/>
      <c r="E492" s="380"/>
      <c r="F492" s="378"/>
      <c r="G492" s="378"/>
      <c r="H492" s="378"/>
      <c r="I492" s="378"/>
      <c r="J492" s="378"/>
      <c r="K492" s="378"/>
      <c r="L492" s="378"/>
      <c r="M492" s="381"/>
      <c r="N492" s="381"/>
      <c r="O492" s="381"/>
      <c r="P492" s="381"/>
      <c r="Q492" s="381"/>
      <c r="R492" s="381"/>
      <c r="S492" s="381"/>
      <c r="T492" s="381"/>
      <c r="U492" s="381"/>
      <c r="V492" s="381"/>
      <c r="W492" s="381"/>
      <c r="X492" s="381"/>
      <c r="Y492" s="381"/>
      <c r="Z492" s="381"/>
      <c r="AA492" s="381"/>
      <c r="AB492" s="381"/>
      <c r="AC492" s="382"/>
      <c r="AD492" s="382"/>
    </row>
    <row r="493" spans="1:30" ht="12.75" customHeight="1" x14ac:dyDescent="0.2">
      <c r="A493" s="378"/>
      <c r="B493" s="378"/>
      <c r="C493" s="378"/>
      <c r="D493" s="380"/>
      <c r="E493" s="380"/>
      <c r="F493" s="378"/>
      <c r="G493" s="378"/>
      <c r="H493" s="378"/>
      <c r="I493" s="378"/>
      <c r="J493" s="378"/>
      <c r="K493" s="378"/>
      <c r="L493" s="378"/>
      <c r="M493" s="381"/>
      <c r="N493" s="381"/>
      <c r="O493" s="381"/>
      <c r="P493" s="381"/>
      <c r="Q493" s="381"/>
      <c r="R493" s="381"/>
      <c r="S493" s="381"/>
      <c r="T493" s="381"/>
      <c r="U493" s="381"/>
      <c r="V493" s="381"/>
      <c r="W493" s="381"/>
      <c r="X493" s="381"/>
      <c r="Y493" s="381"/>
      <c r="Z493" s="381"/>
      <c r="AA493" s="381"/>
      <c r="AB493" s="381"/>
      <c r="AC493" s="382"/>
      <c r="AD493" s="382"/>
    </row>
    <row r="494" spans="1:30" ht="12.75" customHeight="1" x14ac:dyDescent="0.2">
      <c r="A494" s="378"/>
      <c r="B494" s="378"/>
      <c r="C494" s="378"/>
      <c r="D494" s="380"/>
      <c r="E494" s="380"/>
      <c r="F494" s="378"/>
      <c r="G494" s="378"/>
      <c r="H494" s="378"/>
      <c r="I494" s="378"/>
      <c r="J494" s="378"/>
      <c r="K494" s="378"/>
      <c r="L494" s="378"/>
      <c r="M494" s="381"/>
      <c r="N494" s="381"/>
      <c r="O494" s="381"/>
      <c r="P494" s="381"/>
      <c r="Q494" s="381"/>
      <c r="R494" s="381"/>
      <c r="S494" s="381"/>
      <c r="T494" s="381"/>
      <c r="U494" s="381"/>
      <c r="V494" s="381"/>
      <c r="W494" s="381"/>
      <c r="X494" s="381"/>
      <c r="Y494" s="381"/>
      <c r="Z494" s="381"/>
      <c r="AA494" s="381"/>
      <c r="AB494" s="381"/>
      <c r="AC494" s="382"/>
      <c r="AD494" s="382"/>
    </row>
    <row r="495" spans="1:30" ht="12.75" customHeight="1" x14ac:dyDescent="0.2">
      <c r="A495" s="378"/>
      <c r="B495" s="378"/>
      <c r="C495" s="378"/>
      <c r="D495" s="380"/>
      <c r="E495" s="380"/>
      <c r="F495" s="378"/>
      <c r="G495" s="378"/>
      <c r="H495" s="378"/>
      <c r="I495" s="378"/>
      <c r="J495" s="378"/>
      <c r="K495" s="378"/>
      <c r="L495" s="378"/>
      <c r="M495" s="381"/>
      <c r="N495" s="381"/>
      <c r="O495" s="381"/>
      <c r="P495" s="381"/>
      <c r="Q495" s="381"/>
      <c r="R495" s="381"/>
      <c r="S495" s="381"/>
      <c r="T495" s="381"/>
      <c r="U495" s="381"/>
      <c r="V495" s="381"/>
      <c r="W495" s="381"/>
      <c r="X495" s="381"/>
      <c r="Y495" s="381"/>
      <c r="Z495" s="381"/>
      <c r="AA495" s="381"/>
      <c r="AB495" s="381"/>
      <c r="AC495" s="382"/>
      <c r="AD495" s="382"/>
    </row>
    <row r="496" spans="1:30" ht="12.75" customHeight="1" x14ac:dyDescent="0.2">
      <c r="A496" s="378"/>
      <c r="B496" s="378"/>
      <c r="C496" s="378"/>
      <c r="D496" s="380"/>
      <c r="E496" s="380"/>
      <c r="F496" s="378"/>
      <c r="G496" s="378"/>
      <c r="H496" s="378"/>
      <c r="I496" s="378"/>
      <c r="J496" s="378"/>
      <c r="K496" s="378"/>
      <c r="L496" s="378"/>
      <c r="M496" s="381"/>
      <c r="N496" s="381"/>
      <c r="O496" s="381"/>
      <c r="P496" s="381"/>
      <c r="Q496" s="381"/>
      <c r="R496" s="381"/>
      <c r="S496" s="381"/>
      <c r="T496" s="381"/>
      <c r="U496" s="381"/>
      <c r="V496" s="381"/>
      <c r="W496" s="381"/>
      <c r="X496" s="381"/>
      <c r="Y496" s="381"/>
      <c r="Z496" s="381"/>
      <c r="AA496" s="381"/>
      <c r="AB496" s="381"/>
      <c r="AC496" s="382"/>
      <c r="AD496" s="382"/>
    </row>
    <row r="497" spans="1:30" ht="12.75" customHeight="1" x14ac:dyDescent="0.2">
      <c r="A497" s="378"/>
      <c r="B497" s="378"/>
      <c r="C497" s="378"/>
      <c r="D497" s="380"/>
      <c r="E497" s="380"/>
      <c r="F497" s="378"/>
      <c r="G497" s="378"/>
      <c r="H497" s="378"/>
      <c r="I497" s="378"/>
      <c r="J497" s="378"/>
      <c r="K497" s="378"/>
      <c r="L497" s="378"/>
      <c r="M497" s="381"/>
      <c r="N497" s="381"/>
      <c r="O497" s="381"/>
      <c r="P497" s="381"/>
      <c r="Q497" s="381"/>
      <c r="R497" s="381"/>
      <c r="S497" s="381"/>
      <c r="T497" s="381"/>
      <c r="U497" s="381"/>
      <c r="V497" s="381"/>
      <c r="W497" s="381"/>
      <c r="X497" s="381"/>
      <c r="Y497" s="381"/>
      <c r="Z497" s="381"/>
      <c r="AA497" s="381"/>
      <c r="AB497" s="381"/>
      <c r="AC497" s="382"/>
      <c r="AD497" s="382"/>
    </row>
    <row r="498" spans="1:30" ht="12.75" customHeight="1" x14ac:dyDescent="0.2">
      <c r="A498" s="378"/>
      <c r="B498" s="378"/>
      <c r="C498" s="378"/>
      <c r="D498" s="380"/>
      <c r="E498" s="380"/>
      <c r="F498" s="378"/>
      <c r="G498" s="378"/>
      <c r="H498" s="378"/>
      <c r="I498" s="378"/>
      <c r="J498" s="378"/>
      <c r="K498" s="378"/>
      <c r="L498" s="378"/>
      <c r="M498" s="381"/>
      <c r="N498" s="381"/>
      <c r="O498" s="381"/>
      <c r="P498" s="381"/>
      <c r="Q498" s="381"/>
      <c r="R498" s="381"/>
      <c r="S498" s="381"/>
      <c r="T498" s="381"/>
      <c r="U498" s="381"/>
      <c r="V498" s="381"/>
      <c r="W498" s="381"/>
      <c r="X498" s="381"/>
      <c r="Y498" s="381"/>
      <c r="Z498" s="381"/>
      <c r="AA498" s="381"/>
      <c r="AB498" s="381"/>
      <c r="AC498" s="382"/>
      <c r="AD498" s="382"/>
    </row>
    <row r="499" spans="1:30" ht="12.75" customHeight="1" x14ac:dyDescent="0.2">
      <c r="A499" s="378"/>
      <c r="B499" s="378"/>
      <c r="C499" s="378"/>
      <c r="D499" s="380"/>
      <c r="E499" s="380"/>
      <c r="F499" s="378"/>
      <c r="G499" s="378"/>
      <c r="H499" s="378"/>
      <c r="I499" s="378"/>
      <c r="J499" s="378"/>
      <c r="K499" s="378"/>
      <c r="L499" s="378"/>
      <c r="M499" s="381"/>
      <c r="N499" s="381"/>
      <c r="O499" s="381"/>
      <c r="P499" s="381"/>
      <c r="Q499" s="381"/>
      <c r="R499" s="381"/>
      <c r="S499" s="381"/>
      <c r="T499" s="381"/>
      <c r="U499" s="381"/>
      <c r="V499" s="381"/>
      <c r="W499" s="381"/>
      <c r="X499" s="381"/>
      <c r="Y499" s="381"/>
      <c r="Z499" s="381"/>
      <c r="AA499" s="381"/>
      <c r="AB499" s="381"/>
      <c r="AC499" s="382"/>
      <c r="AD499" s="382"/>
    </row>
    <row r="500" spans="1:30" ht="12.75" customHeight="1" x14ac:dyDescent="0.2">
      <c r="A500" s="378"/>
      <c r="B500" s="378"/>
      <c r="C500" s="378"/>
      <c r="D500" s="380"/>
      <c r="E500" s="380"/>
      <c r="F500" s="378"/>
      <c r="G500" s="378"/>
      <c r="H500" s="378"/>
      <c r="I500" s="378"/>
      <c r="J500" s="378"/>
      <c r="K500" s="378"/>
      <c r="L500" s="378"/>
      <c r="M500" s="381"/>
      <c r="N500" s="381"/>
      <c r="O500" s="381"/>
      <c r="P500" s="381"/>
      <c r="Q500" s="381"/>
      <c r="R500" s="381"/>
      <c r="S500" s="381"/>
      <c r="T500" s="381"/>
      <c r="U500" s="381"/>
      <c r="V500" s="381"/>
      <c r="W500" s="381"/>
      <c r="X500" s="381"/>
      <c r="Y500" s="381"/>
      <c r="Z500" s="381"/>
      <c r="AA500" s="381"/>
      <c r="AB500" s="381"/>
      <c r="AC500" s="382"/>
      <c r="AD500" s="382"/>
    </row>
    <row r="501" spans="1:30" ht="12.75" customHeight="1" x14ac:dyDescent="0.2">
      <c r="A501" s="378"/>
      <c r="B501" s="378"/>
      <c r="C501" s="378"/>
      <c r="D501" s="380"/>
      <c r="E501" s="380"/>
      <c r="F501" s="378"/>
      <c r="G501" s="378"/>
      <c r="H501" s="378"/>
      <c r="I501" s="378"/>
      <c r="J501" s="378"/>
      <c r="K501" s="378"/>
      <c r="L501" s="378"/>
      <c r="M501" s="381"/>
      <c r="N501" s="381"/>
      <c r="O501" s="381"/>
      <c r="P501" s="381"/>
      <c r="Q501" s="381"/>
      <c r="R501" s="381"/>
      <c r="S501" s="381"/>
      <c r="T501" s="381"/>
      <c r="U501" s="381"/>
      <c r="V501" s="381"/>
      <c r="W501" s="381"/>
      <c r="X501" s="381"/>
      <c r="Y501" s="381"/>
      <c r="Z501" s="381"/>
      <c r="AA501" s="381"/>
      <c r="AB501" s="381"/>
      <c r="AC501" s="382"/>
      <c r="AD501" s="382"/>
    </row>
    <row r="502" spans="1:30" ht="12.75" customHeight="1" x14ac:dyDescent="0.2">
      <c r="A502" s="378"/>
      <c r="B502" s="378"/>
      <c r="C502" s="378"/>
      <c r="D502" s="380"/>
      <c r="E502" s="380"/>
      <c r="F502" s="378"/>
      <c r="G502" s="378"/>
      <c r="H502" s="378"/>
      <c r="I502" s="378"/>
      <c r="J502" s="378"/>
      <c r="K502" s="378"/>
      <c r="L502" s="378"/>
      <c r="M502" s="381"/>
      <c r="N502" s="381"/>
      <c r="O502" s="381"/>
      <c r="P502" s="381"/>
      <c r="Q502" s="381"/>
      <c r="R502" s="381"/>
      <c r="S502" s="381"/>
      <c r="T502" s="381"/>
      <c r="U502" s="381"/>
      <c r="V502" s="381"/>
      <c r="W502" s="381"/>
      <c r="X502" s="381"/>
      <c r="Y502" s="381"/>
      <c r="Z502" s="381"/>
      <c r="AA502" s="381"/>
      <c r="AB502" s="381"/>
      <c r="AC502" s="382"/>
      <c r="AD502" s="382"/>
    </row>
    <row r="503" spans="1:30" ht="12.75" customHeight="1" x14ac:dyDescent="0.2">
      <c r="A503" s="378"/>
      <c r="B503" s="378"/>
      <c r="C503" s="378"/>
      <c r="D503" s="380"/>
      <c r="E503" s="380"/>
      <c r="F503" s="378"/>
      <c r="G503" s="378"/>
      <c r="H503" s="378"/>
      <c r="I503" s="378"/>
      <c r="J503" s="378"/>
      <c r="K503" s="378"/>
      <c r="L503" s="378"/>
      <c r="M503" s="381"/>
      <c r="N503" s="381"/>
      <c r="O503" s="381"/>
      <c r="P503" s="381"/>
      <c r="Q503" s="381"/>
      <c r="R503" s="381"/>
      <c r="S503" s="381"/>
      <c r="T503" s="381"/>
      <c r="U503" s="381"/>
      <c r="V503" s="381"/>
      <c r="W503" s="381"/>
      <c r="X503" s="381"/>
      <c r="Y503" s="381"/>
      <c r="Z503" s="381"/>
      <c r="AA503" s="381"/>
      <c r="AB503" s="381"/>
      <c r="AC503" s="382"/>
      <c r="AD503" s="382"/>
    </row>
    <row r="504" spans="1:30" ht="12.75" customHeight="1" x14ac:dyDescent="0.2">
      <c r="A504" s="378"/>
      <c r="B504" s="378"/>
      <c r="C504" s="378"/>
      <c r="D504" s="380"/>
      <c r="E504" s="380"/>
      <c r="F504" s="378"/>
      <c r="G504" s="378"/>
      <c r="H504" s="378"/>
      <c r="I504" s="378"/>
      <c r="J504" s="378"/>
      <c r="K504" s="378"/>
      <c r="L504" s="378"/>
      <c r="M504" s="381"/>
      <c r="N504" s="381"/>
      <c r="O504" s="381"/>
      <c r="P504" s="381"/>
      <c r="Q504" s="381"/>
      <c r="R504" s="381"/>
      <c r="S504" s="381"/>
      <c r="T504" s="381"/>
      <c r="U504" s="381"/>
      <c r="V504" s="381"/>
      <c r="W504" s="381"/>
      <c r="X504" s="381"/>
      <c r="Y504" s="381"/>
      <c r="Z504" s="381"/>
      <c r="AA504" s="381"/>
      <c r="AB504" s="381"/>
      <c r="AC504" s="382"/>
      <c r="AD504" s="382"/>
    </row>
    <row r="505" spans="1:30" ht="12.75" customHeight="1" x14ac:dyDescent="0.2">
      <c r="A505" s="378"/>
      <c r="B505" s="378"/>
      <c r="C505" s="378"/>
      <c r="D505" s="380"/>
      <c r="E505" s="380"/>
      <c r="F505" s="378"/>
      <c r="G505" s="378"/>
      <c r="H505" s="378"/>
      <c r="I505" s="378"/>
      <c r="J505" s="378"/>
      <c r="K505" s="378"/>
      <c r="L505" s="378"/>
      <c r="M505" s="381"/>
      <c r="N505" s="381"/>
      <c r="O505" s="381"/>
      <c r="P505" s="381"/>
      <c r="Q505" s="381"/>
      <c r="R505" s="381"/>
      <c r="S505" s="381"/>
      <c r="T505" s="381"/>
      <c r="U505" s="381"/>
      <c r="V505" s="381"/>
      <c r="W505" s="381"/>
      <c r="X505" s="381"/>
      <c r="Y505" s="381"/>
      <c r="Z505" s="381"/>
      <c r="AA505" s="381"/>
      <c r="AB505" s="381"/>
      <c r="AC505" s="382"/>
      <c r="AD505" s="382"/>
    </row>
    <row r="506" spans="1:30" ht="12.75" customHeight="1" x14ac:dyDescent="0.2">
      <c r="A506" s="378"/>
      <c r="B506" s="378"/>
      <c r="C506" s="378"/>
      <c r="D506" s="380"/>
      <c r="E506" s="380"/>
      <c r="F506" s="378"/>
      <c r="G506" s="378"/>
      <c r="H506" s="378"/>
      <c r="I506" s="378"/>
      <c r="J506" s="378"/>
      <c r="K506" s="378"/>
      <c r="L506" s="378"/>
      <c r="M506" s="381"/>
      <c r="N506" s="381"/>
      <c r="O506" s="381"/>
      <c r="P506" s="381"/>
      <c r="Q506" s="381"/>
      <c r="R506" s="381"/>
      <c r="S506" s="381"/>
      <c r="T506" s="381"/>
      <c r="U506" s="381"/>
      <c r="V506" s="381"/>
      <c r="W506" s="381"/>
      <c r="X506" s="381"/>
      <c r="Y506" s="381"/>
      <c r="Z506" s="381"/>
      <c r="AA506" s="381"/>
      <c r="AB506" s="381"/>
      <c r="AC506" s="382"/>
      <c r="AD506" s="382"/>
    </row>
    <row r="507" spans="1:30" ht="12.75" customHeight="1" x14ac:dyDescent="0.2">
      <c r="A507" s="378"/>
      <c r="B507" s="378"/>
      <c r="C507" s="378"/>
      <c r="D507" s="380"/>
      <c r="E507" s="380"/>
      <c r="F507" s="378"/>
      <c r="G507" s="378"/>
      <c r="H507" s="378"/>
      <c r="I507" s="378"/>
      <c r="J507" s="378"/>
      <c r="K507" s="378"/>
      <c r="L507" s="378"/>
      <c r="M507" s="381"/>
      <c r="N507" s="381"/>
      <c r="O507" s="381"/>
      <c r="P507" s="381"/>
      <c r="Q507" s="381"/>
      <c r="R507" s="381"/>
      <c r="S507" s="381"/>
      <c r="T507" s="381"/>
      <c r="U507" s="381"/>
      <c r="V507" s="381"/>
      <c r="W507" s="381"/>
      <c r="X507" s="381"/>
      <c r="Y507" s="381"/>
      <c r="Z507" s="381"/>
      <c r="AA507" s="381"/>
      <c r="AB507" s="381"/>
      <c r="AC507" s="382"/>
      <c r="AD507" s="382"/>
    </row>
    <row r="508" spans="1:30" ht="12.75" customHeight="1" x14ac:dyDescent="0.2">
      <c r="A508" s="378"/>
      <c r="B508" s="378"/>
      <c r="C508" s="378"/>
      <c r="D508" s="380"/>
      <c r="E508" s="380"/>
      <c r="F508" s="378"/>
      <c r="G508" s="378"/>
      <c r="H508" s="378"/>
      <c r="I508" s="378"/>
      <c r="J508" s="378"/>
      <c r="K508" s="378"/>
      <c r="L508" s="378"/>
      <c r="M508" s="381"/>
      <c r="N508" s="381"/>
      <c r="O508" s="381"/>
      <c r="P508" s="381"/>
      <c r="Q508" s="381"/>
      <c r="R508" s="381"/>
      <c r="S508" s="381"/>
      <c r="T508" s="381"/>
      <c r="U508" s="381"/>
      <c r="V508" s="381"/>
      <c r="W508" s="381"/>
      <c r="X508" s="381"/>
      <c r="Y508" s="381"/>
      <c r="Z508" s="381"/>
      <c r="AA508" s="381"/>
      <c r="AB508" s="381"/>
      <c r="AC508" s="382"/>
      <c r="AD508" s="382"/>
    </row>
    <row r="509" spans="1:30" ht="12.75" customHeight="1" x14ac:dyDescent="0.2">
      <c r="A509" s="378"/>
      <c r="B509" s="378"/>
      <c r="C509" s="378"/>
      <c r="D509" s="380"/>
      <c r="E509" s="380"/>
      <c r="F509" s="378"/>
      <c r="G509" s="378"/>
      <c r="H509" s="378"/>
      <c r="I509" s="378"/>
      <c r="J509" s="378"/>
      <c r="K509" s="378"/>
      <c r="L509" s="378"/>
      <c r="M509" s="381"/>
      <c r="N509" s="381"/>
      <c r="O509" s="381"/>
      <c r="P509" s="381"/>
      <c r="Q509" s="381"/>
      <c r="R509" s="381"/>
      <c r="S509" s="381"/>
      <c r="T509" s="381"/>
      <c r="U509" s="381"/>
      <c r="V509" s="381"/>
      <c r="W509" s="381"/>
      <c r="X509" s="381"/>
      <c r="Y509" s="381"/>
      <c r="Z509" s="381"/>
      <c r="AA509" s="381"/>
      <c r="AB509" s="381"/>
      <c r="AC509" s="382"/>
      <c r="AD509" s="382"/>
    </row>
    <row r="510" spans="1:30" ht="12.75" customHeight="1" x14ac:dyDescent="0.2">
      <c r="A510" s="378"/>
      <c r="B510" s="378"/>
      <c r="C510" s="378"/>
      <c r="D510" s="380"/>
      <c r="E510" s="380"/>
      <c r="F510" s="378"/>
      <c r="G510" s="378"/>
      <c r="H510" s="378"/>
      <c r="I510" s="378"/>
      <c r="J510" s="378"/>
      <c r="K510" s="378"/>
      <c r="L510" s="378"/>
      <c r="M510" s="381"/>
      <c r="N510" s="381"/>
      <c r="O510" s="381"/>
      <c r="P510" s="381"/>
      <c r="Q510" s="381"/>
      <c r="R510" s="381"/>
      <c r="S510" s="381"/>
      <c r="T510" s="381"/>
      <c r="U510" s="381"/>
      <c r="V510" s="381"/>
      <c r="W510" s="381"/>
      <c r="X510" s="381"/>
      <c r="Y510" s="381"/>
      <c r="Z510" s="381"/>
      <c r="AA510" s="381"/>
      <c r="AB510" s="381"/>
      <c r="AC510" s="382"/>
      <c r="AD510" s="382"/>
    </row>
    <row r="511" spans="1:30" ht="12.75" customHeight="1" x14ac:dyDescent="0.2">
      <c r="A511" s="378"/>
      <c r="B511" s="378"/>
      <c r="C511" s="378"/>
      <c r="D511" s="380"/>
      <c r="E511" s="380"/>
      <c r="F511" s="378"/>
      <c r="G511" s="378"/>
      <c r="H511" s="378"/>
      <c r="I511" s="378"/>
      <c r="J511" s="378"/>
      <c r="K511" s="378"/>
      <c r="L511" s="378"/>
      <c r="M511" s="381"/>
      <c r="N511" s="381"/>
      <c r="O511" s="381"/>
      <c r="P511" s="381"/>
      <c r="Q511" s="381"/>
      <c r="R511" s="381"/>
      <c r="S511" s="381"/>
      <c r="T511" s="381"/>
      <c r="U511" s="381"/>
      <c r="V511" s="381"/>
      <c r="W511" s="381"/>
      <c r="X511" s="381"/>
      <c r="Y511" s="381"/>
      <c r="Z511" s="381"/>
      <c r="AA511" s="381"/>
      <c r="AB511" s="381"/>
      <c r="AC511" s="382"/>
      <c r="AD511" s="382"/>
    </row>
    <row r="512" spans="1:30" ht="12.75" customHeight="1" x14ac:dyDescent="0.2">
      <c r="A512" s="378"/>
      <c r="B512" s="378"/>
      <c r="C512" s="378"/>
      <c r="D512" s="380"/>
      <c r="E512" s="380"/>
      <c r="F512" s="378"/>
      <c r="G512" s="378"/>
      <c r="H512" s="378"/>
      <c r="I512" s="378"/>
      <c r="J512" s="378"/>
      <c r="K512" s="378"/>
      <c r="L512" s="378"/>
      <c r="M512" s="381"/>
      <c r="N512" s="381"/>
      <c r="O512" s="381"/>
      <c r="P512" s="381"/>
      <c r="Q512" s="381"/>
      <c r="R512" s="381"/>
      <c r="S512" s="381"/>
      <c r="T512" s="381"/>
      <c r="U512" s="381"/>
      <c r="V512" s="381"/>
      <c r="W512" s="381"/>
      <c r="X512" s="381"/>
      <c r="Y512" s="381"/>
      <c r="Z512" s="381"/>
      <c r="AA512" s="381"/>
      <c r="AB512" s="381"/>
      <c r="AC512" s="382"/>
      <c r="AD512" s="382"/>
    </row>
    <row r="513" spans="1:30" ht="12.75" customHeight="1" x14ac:dyDescent="0.2">
      <c r="A513" s="378"/>
      <c r="B513" s="378"/>
      <c r="C513" s="378"/>
      <c r="D513" s="380"/>
      <c r="E513" s="380"/>
      <c r="F513" s="378"/>
      <c r="G513" s="378"/>
      <c r="H513" s="378"/>
      <c r="I513" s="378"/>
      <c r="J513" s="378"/>
      <c r="K513" s="378"/>
      <c r="L513" s="378"/>
      <c r="M513" s="381"/>
      <c r="N513" s="381"/>
      <c r="O513" s="381"/>
      <c r="P513" s="381"/>
      <c r="Q513" s="381"/>
      <c r="R513" s="381"/>
      <c r="S513" s="381"/>
      <c r="T513" s="381"/>
      <c r="U513" s="381"/>
      <c r="V513" s="381"/>
      <c r="W513" s="381"/>
      <c r="X513" s="381"/>
      <c r="Y513" s="381"/>
      <c r="Z513" s="381"/>
      <c r="AA513" s="381"/>
      <c r="AB513" s="381"/>
      <c r="AC513" s="382"/>
      <c r="AD513" s="382"/>
    </row>
    <row r="514" spans="1:30" ht="12.75" customHeight="1" x14ac:dyDescent="0.2">
      <c r="A514" s="378"/>
      <c r="B514" s="378"/>
      <c r="C514" s="378"/>
      <c r="D514" s="380"/>
      <c r="E514" s="380"/>
      <c r="F514" s="378"/>
      <c r="G514" s="378"/>
      <c r="H514" s="378"/>
      <c r="I514" s="378"/>
      <c r="J514" s="378"/>
      <c r="K514" s="378"/>
      <c r="L514" s="378"/>
      <c r="M514" s="381"/>
      <c r="N514" s="381"/>
      <c r="O514" s="381"/>
      <c r="P514" s="381"/>
      <c r="Q514" s="381"/>
      <c r="R514" s="381"/>
      <c r="S514" s="381"/>
      <c r="T514" s="381"/>
      <c r="U514" s="381"/>
      <c r="V514" s="381"/>
      <c r="W514" s="381"/>
      <c r="X514" s="381"/>
      <c r="Y514" s="381"/>
      <c r="Z514" s="381"/>
      <c r="AA514" s="381"/>
      <c r="AB514" s="381"/>
      <c r="AC514" s="382"/>
      <c r="AD514" s="382"/>
    </row>
    <row r="515" spans="1:30" ht="12.75" customHeight="1" x14ac:dyDescent="0.2">
      <c r="A515" s="378"/>
      <c r="B515" s="378"/>
      <c r="C515" s="378"/>
      <c r="D515" s="380"/>
      <c r="E515" s="380"/>
      <c r="F515" s="378"/>
      <c r="G515" s="378"/>
      <c r="H515" s="378"/>
      <c r="I515" s="378"/>
      <c r="J515" s="378"/>
      <c r="K515" s="378"/>
      <c r="L515" s="378"/>
      <c r="M515" s="381"/>
      <c r="N515" s="381"/>
      <c r="O515" s="381"/>
      <c r="P515" s="381"/>
      <c r="Q515" s="381"/>
      <c r="R515" s="381"/>
      <c r="S515" s="381"/>
      <c r="T515" s="381"/>
      <c r="U515" s="381"/>
      <c r="V515" s="381"/>
      <c r="W515" s="381"/>
      <c r="X515" s="381"/>
      <c r="Y515" s="381"/>
      <c r="Z515" s="381"/>
      <c r="AA515" s="381"/>
      <c r="AB515" s="381"/>
      <c r="AC515" s="382"/>
      <c r="AD515" s="382"/>
    </row>
    <row r="516" spans="1:30" ht="12.75" customHeight="1" x14ac:dyDescent="0.2">
      <c r="A516" s="378"/>
      <c r="B516" s="378"/>
      <c r="C516" s="378"/>
      <c r="D516" s="380"/>
      <c r="E516" s="380"/>
      <c r="F516" s="378"/>
      <c r="G516" s="378"/>
      <c r="H516" s="378"/>
      <c r="I516" s="378"/>
      <c r="J516" s="378"/>
      <c r="K516" s="378"/>
      <c r="L516" s="378"/>
      <c r="M516" s="381"/>
      <c r="N516" s="381"/>
      <c r="O516" s="381"/>
      <c r="P516" s="381"/>
      <c r="Q516" s="381"/>
      <c r="R516" s="381"/>
      <c r="S516" s="381"/>
      <c r="T516" s="381"/>
      <c r="U516" s="381"/>
      <c r="V516" s="381"/>
      <c r="W516" s="381"/>
      <c r="X516" s="381"/>
      <c r="Y516" s="381"/>
      <c r="Z516" s="381"/>
      <c r="AA516" s="381"/>
      <c r="AB516" s="381"/>
      <c r="AC516" s="382"/>
      <c r="AD516" s="382"/>
    </row>
    <row r="517" spans="1:30" ht="12.75" customHeight="1" x14ac:dyDescent="0.2">
      <c r="A517" s="378"/>
      <c r="B517" s="378"/>
      <c r="C517" s="378"/>
      <c r="D517" s="380"/>
      <c r="E517" s="380"/>
      <c r="F517" s="378"/>
      <c r="G517" s="378"/>
      <c r="H517" s="378"/>
      <c r="I517" s="378"/>
      <c r="J517" s="378"/>
      <c r="K517" s="378"/>
      <c r="L517" s="378"/>
      <c r="M517" s="381"/>
      <c r="N517" s="381"/>
      <c r="O517" s="381"/>
      <c r="P517" s="381"/>
      <c r="Q517" s="381"/>
      <c r="R517" s="381"/>
      <c r="S517" s="381"/>
      <c r="T517" s="381"/>
      <c r="U517" s="381"/>
      <c r="V517" s="381"/>
      <c r="W517" s="381"/>
      <c r="X517" s="381"/>
      <c r="Y517" s="381"/>
      <c r="Z517" s="381"/>
      <c r="AA517" s="381"/>
      <c r="AB517" s="381"/>
      <c r="AC517" s="382"/>
      <c r="AD517" s="382"/>
    </row>
    <row r="518" spans="1:30" ht="12.75" customHeight="1" x14ac:dyDescent="0.2">
      <c r="A518" s="378"/>
      <c r="B518" s="378"/>
      <c r="C518" s="378"/>
      <c r="D518" s="380"/>
      <c r="E518" s="380"/>
      <c r="F518" s="378"/>
      <c r="G518" s="378"/>
      <c r="H518" s="378"/>
      <c r="I518" s="378"/>
      <c r="J518" s="378"/>
      <c r="K518" s="378"/>
      <c r="L518" s="378"/>
      <c r="M518" s="381"/>
      <c r="N518" s="381"/>
      <c r="O518" s="381"/>
      <c r="P518" s="381"/>
      <c r="Q518" s="381"/>
      <c r="R518" s="381"/>
      <c r="S518" s="381"/>
      <c r="T518" s="381"/>
      <c r="U518" s="381"/>
      <c r="V518" s="381"/>
      <c r="W518" s="381"/>
      <c r="X518" s="381"/>
      <c r="Y518" s="381"/>
      <c r="Z518" s="381"/>
      <c r="AA518" s="381"/>
      <c r="AB518" s="381"/>
      <c r="AC518" s="382"/>
      <c r="AD518" s="382"/>
    </row>
    <row r="519" spans="1:30" ht="12.75" customHeight="1" x14ac:dyDescent="0.2">
      <c r="A519" s="378"/>
      <c r="B519" s="378"/>
      <c r="C519" s="378"/>
      <c r="D519" s="380"/>
      <c r="E519" s="380"/>
      <c r="F519" s="378"/>
      <c r="G519" s="378"/>
      <c r="H519" s="378"/>
      <c r="I519" s="378"/>
      <c r="J519" s="378"/>
      <c r="K519" s="378"/>
      <c r="L519" s="378"/>
      <c r="M519" s="381"/>
      <c r="N519" s="381"/>
      <c r="O519" s="381"/>
      <c r="P519" s="381"/>
      <c r="Q519" s="381"/>
      <c r="R519" s="381"/>
      <c r="S519" s="381"/>
      <c r="T519" s="381"/>
      <c r="U519" s="381"/>
      <c r="V519" s="381"/>
      <c r="W519" s="381"/>
      <c r="X519" s="381"/>
      <c r="Y519" s="381"/>
      <c r="Z519" s="381"/>
      <c r="AA519" s="381"/>
      <c r="AB519" s="381"/>
      <c r="AC519" s="382"/>
      <c r="AD519" s="382"/>
    </row>
    <row r="520" spans="1:30" ht="12.75" customHeight="1" x14ac:dyDescent="0.2">
      <c r="A520" s="378"/>
      <c r="B520" s="378"/>
      <c r="C520" s="378"/>
      <c r="D520" s="380"/>
      <c r="E520" s="380"/>
      <c r="F520" s="378"/>
      <c r="G520" s="378"/>
      <c r="H520" s="378"/>
      <c r="I520" s="378"/>
      <c r="J520" s="378"/>
      <c r="K520" s="378"/>
      <c r="L520" s="378"/>
      <c r="M520" s="381"/>
      <c r="N520" s="381"/>
      <c r="O520" s="381"/>
      <c r="P520" s="381"/>
      <c r="Q520" s="381"/>
      <c r="R520" s="381"/>
      <c r="S520" s="381"/>
      <c r="T520" s="381"/>
      <c r="U520" s="381"/>
      <c r="V520" s="381"/>
      <c r="W520" s="381"/>
      <c r="X520" s="381"/>
      <c r="Y520" s="381"/>
      <c r="Z520" s="381"/>
      <c r="AA520" s="381"/>
      <c r="AB520" s="381"/>
      <c r="AC520" s="382"/>
      <c r="AD520" s="382"/>
    </row>
    <row r="521" spans="1:30" ht="12.75" customHeight="1" x14ac:dyDescent="0.2">
      <c r="A521" s="378"/>
      <c r="B521" s="378"/>
      <c r="C521" s="378"/>
      <c r="D521" s="380"/>
      <c r="E521" s="380"/>
      <c r="F521" s="378"/>
      <c r="G521" s="378"/>
      <c r="H521" s="378"/>
      <c r="I521" s="378"/>
      <c r="J521" s="378"/>
      <c r="K521" s="378"/>
      <c r="L521" s="378"/>
      <c r="M521" s="381"/>
      <c r="N521" s="381"/>
      <c r="O521" s="381"/>
      <c r="P521" s="381"/>
      <c r="Q521" s="381"/>
      <c r="R521" s="381"/>
      <c r="S521" s="381"/>
      <c r="T521" s="381"/>
      <c r="U521" s="381"/>
      <c r="V521" s="381"/>
      <c r="W521" s="381"/>
      <c r="X521" s="381"/>
      <c r="Y521" s="381"/>
      <c r="Z521" s="381"/>
      <c r="AA521" s="381"/>
      <c r="AB521" s="381"/>
      <c r="AC521" s="382"/>
      <c r="AD521" s="382"/>
    </row>
    <row r="522" spans="1:30" ht="12.75" customHeight="1" x14ac:dyDescent="0.2">
      <c r="A522" s="378"/>
      <c r="B522" s="378"/>
      <c r="C522" s="378"/>
      <c r="D522" s="380"/>
      <c r="E522" s="380"/>
      <c r="F522" s="378"/>
      <c r="G522" s="378"/>
      <c r="H522" s="378"/>
      <c r="I522" s="378"/>
      <c r="J522" s="378"/>
      <c r="K522" s="378"/>
      <c r="L522" s="378"/>
      <c r="M522" s="381"/>
      <c r="N522" s="381"/>
      <c r="O522" s="381"/>
      <c r="P522" s="381"/>
      <c r="Q522" s="381"/>
      <c r="R522" s="381"/>
      <c r="S522" s="381"/>
      <c r="T522" s="381"/>
      <c r="U522" s="381"/>
      <c r="V522" s="381"/>
      <c r="W522" s="381"/>
      <c r="X522" s="381"/>
      <c r="Y522" s="381"/>
      <c r="Z522" s="381"/>
      <c r="AA522" s="381"/>
      <c r="AB522" s="381"/>
      <c r="AC522" s="382"/>
      <c r="AD522" s="382"/>
    </row>
    <row r="523" spans="1:30" ht="12.75" customHeight="1" x14ac:dyDescent="0.2">
      <c r="A523" s="378"/>
      <c r="B523" s="378"/>
      <c r="C523" s="378"/>
      <c r="D523" s="380"/>
      <c r="E523" s="380"/>
      <c r="F523" s="378"/>
      <c r="G523" s="378"/>
      <c r="H523" s="378"/>
      <c r="I523" s="378"/>
      <c r="J523" s="378"/>
      <c r="K523" s="378"/>
      <c r="L523" s="378"/>
      <c r="M523" s="381"/>
      <c r="N523" s="381"/>
      <c r="O523" s="381"/>
      <c r="P523" s="381"/>
      <c r="Q523" s="381"/>
      <c r="R523" s="381"/>
      <c r="S523" s="381"/>
      <c r="T523" s="381"/>
      <c r="U523" s="381"/>
      <c r="V523" s="381"/>
      <c r="W523" s="381"/>
      <c r="X523" s="381"/>
      <c r="Y523" s="381"/>
      <c r="Z523" s="381"/>
      <c r="AA523" s="381"/>
      <c r="AB523" s="381"/>
      <c r="AC523" s="382"/>
      <c r="AD523" s="382"/>
    </row>
    <row r="524" spans="1:30" ht="12.75" customHeight="1" x14ac:dyDescent="0.2">
      <c r="A524" s="378"/>
      <c r="B524" s="378"/>
      <c r="C524" s="378"/>
      <c r="D524" s="380"/>
      <c r="E524" s="380"/>
      <c r="F524" s="378"/>
      <c r="G524" s="378"/>
      <c r="H524" s="378"/>
      <c r="I524" s="378"/>
      <c r="J524" s="378"/>
      <c r="K524" s="378"/>
      <c r="L524" s="378"/>
      <c r="M524" s="381"/>
      <c r="N524" s="381"/>
      <c r="O524" s="381"/>
      <c r="P524" s="381"/>
      <c r="Q524" s="381"/>
      <c r="R524" s="381"/>
      <c r="S524" s="381"/>
      <c r="T524" s="381"/>
      <c r="U524" s="381"/>
      <c r="V524" s="381"/>
      <c r="W524" s="381"/>
      <c r="X524" s="381"/>
      <c r="Y524" s="381"/>
      <c r="Z524" s="381"/>
      <c r="AA524" s="381"/>
      <c r="AB524" s="381"/>
      <c r="AC524" s="382"/>
      <c r="AD524" s="382"/>
    </row>
    <row r="525" spans="1:30" ht="12.75" customHeight="1" x14ac:dyDescent="0.2">
      <c r="A525" s="378"/>
      <c r="B525" s="378"/>
      <c r="C525" s="378"/>
      <c r="D525" s="380"/>
      <c r="E525" s="380"/>
      <c r="F525" s="378"/>
      <c r="G525" s="378"/>
      <c r="H525" s="378"/>
      <c r="I525" s="378"/>
      <c r="J525" s="378"/>
      <c r="K525" s="378"/>
      <c r="L525" s="378"/>
      <c r="M525" s="381"/>
      <c r="N525" s="381"/>
      <c r="O525" s="381"/>
      <c r="P525" s="381"/>
      <c r="Q525" s="381"/>
      <c r="R525" s="381"/>
      <c r="S525" s="381"/>
      <c r="T525" s="381"/>
      <c r="U525" s="381"/>
      <c r="V525" s="381"/>
      <c r="W525" s="381"/>
      <c r="X525" s="381"/>
      <c r="Y525" s="381"/>
      <c r="Z525" s="381"/>
      <c r="AA525" s="381"/>
      <c r="AB525" s="381"/>
      <c r="AC525" s="382"/>
      <c r="AD525" s="382"/>
    </row>
    <row r="526" spans="1:30" ht="12.75" customHeight="1" x14ac:dyDescent="0.2">
      <c r="A526" s="378"/>
      <c r="B526" s="378"/>
      <c r="C526" s="378"/>
      <c r="D526" s="380"/>
      <c r="E526" s="380"/>
      <c r="F526" s="378"/>
      <c r="G526" s="378"/>
      <c r="H526" s="378"/>
      <c r="I526" s="378"/>
      <c r="J526" s="378"/>
      <c r="K526" s="378"/>
      <c r="L526" s="378"/>
      <c r="M526" s="381"/>
      <c r="N526" s="381"/>
      <c r="O526" s="381"/>
      <c r="P526" s="381"/>
      <c r="Q526" s="381"/>
      <c r="R526" s="381"/>
      <c r="S526" s="381"/>
      <c r="T526" s="381"/>
      <c r="U526" s="381"/>
      <c r="V526" s="381"/>
      <c r="W526" s="381"/>
      <c r="X526" s="381"/>
      <c r="Y526" s="381"/>
      <c r="Z526" s="381"/>
      <c r="AA526" s="381"/>
      <c r="AB526" s="381"/>
      <c r="AC526" s="382"/>
      <c r="AD526" s="382"/>
    </row>
    <row r="527" spans="1:30" ht="12.75" customHeight="1" x14ac:dyDescent="0.2">
      <c r="A527" s="378"/>
      <c r="B527" s="378"/>
      <c r="C527" s="378"/>
      <c r="D527" s="380"/>
      <c r="E527" s="380"/>
      <c r="F527" s="378"/>
      <c r="G527" s="378"/>
      <c r="H527" s="378"/>
      <c r="I527" s="378"/>
      <c r="J527" s="378"/>
      <c r="K527" s="378"/>
      <c r="L527" s="378"/>
      <c r="M527" s="381"/>
      <c r="N527" s="381"/>
      <c r="O527" s="381"/>
      <c r="P527" s="381"/>
      <c r="Q527" s="381"/>
      <c r="R527" s="381"/>
      <c r="S527" s="381"/>
      <c r="T527" s="381"/>
      <c r="U527" s="381"/>
      <c r="V527" s="381"/>
      <c r="W527" s="381"/>
      <c r="X527" s="381"/>
      <c r="Y527" s="381"/>
      <c r="Z527" s="381"/>
      <c r="AA527" s="381"/>
      <c r="AB527" s="381"/>
      <c r="AC527" s="382"/>
      <c r="AD527" s="382"/>
    </row>
    <row r="528" spans="1:30" ht="12.75" customHeight="1" x14ac:dyDescent="0.2">
      <c r="A528" s="378"/>
      <c r="B528" s="378"/>
      <c r="C528" s="378"/>
      <c r="D528" s="380"/>
      <c r="E528" s="380"/>
      <c r="F528" s="378"/>
      <c r="G528" s="378"/>
      <c r="H528" s="378"/>
      <c r="I528" s="378"/>
      <c r="J528" s="378"/>
      <c r="K528" s="378"/>
      <c r="L528" s="378"/>
      <c r="M528" s="381"/>
      <c r="N528" s="381"/>
      <c r="O528" s="381"/>
      <c r="P528" s="381"/>
      <c r="Q528" s="381"/>
      <c r="R528" s="381"/>
      <c r="S528" s="381"/>
      <c r="T528" s="381"/>
      <c r="U528" s="381"/>
      <c r="V528" s="381"/>
      <c r="W528" s="381"/>
      <c r="X528" s="381"/>
      <c r="Y528" s="381"/>
      <c r="Z528" s="381"/>
      <c r="AA528" s="381"/>
      <c r="AB528" s="381"/>
      <c r="AC528" s="382"/>
      <c r="AD528" s="382"/>
    </row>
    <row r="529" spans="1:30" ht="12.75" customHeight="1" x14ac:dyDescent="0.2">
      <c r="A529" s="378"/>
      <c r="B529" s="378"/>
      <c r="C529" s="378"/>
      <c r="D529" s="380"/>
      <c r="E529" s="380"/>
      <c r="F529" s="378"/>
      <c r="G529" s="378"/>
      <c r="H529" s="378"/>
      <c r="I529" s="378"/>
      <c r="J529" s="378"/>
      <c r="K529" s="378"/>
      <c r="L529" s="378"/>
      <c r="M529" s="381"/>
      <c r="N529" s="381"/>
      <c r="O529" s="381"/>
      <c r="P529" s="381"/>
      <c r="Q529" s="381"/>
      <c r="R529" s="381"/>
      <c r="S529" s="381"/>
      <c r="T529" s="381"/>
      <c r="U529" s="381"/>
      <c r="V529" s="381"/>
      <c r="W529" s="381"/>
      <c r="X529" s="381"/>
      <c r="Y529" s="381"/>
      <c r="Z529" s="381"/>
      <c r="AA529" s="381"/>
      <c r="AB529" s="381"/>
      <c r="AC529" s="382"/>
      <c r="AD529" s="382"/>
    </row>
    <row r="530" spans="1:30" ht="12.75" customHeight="1" x14ac:dyDescent="0.2">
      <c r="A530" s="378"/>
      <c r="B530" s="378"/>
      <c r="C530" s="378"/>
      <c r="D530" s="380"/>
      <c r="E530" s="380"/>
      <c r="F530" s="378"/>
      <c r="G530" s="378"/>
      <c r="H530" s="378"/>
      <c r="I530" s="378"/>
      <c r="J530" s="378"/>
      <c r="K530" s="378"/>
      <c r="L530" s="378"/>
      <c r="M530" s="381"/>
      <c r="N530" s="381"/>
      <c r="O530" s="381"/>
      <c r="P530" s="381"/>
      <c r="Q530" s="381"/>
      <c r="R530" s="381"/>
      <c r="S530" s="381"/>
      <c r="T530" s="381"/>
      <c r="U530" s="381"/>
      <c r="V530" s="381"/>
      <c r="W530" s="381"/>
      <c r="X530" s="381"/>
      <c r="Y530" s="381"/>
      <c r="Z530" s="381"/>
      <c r="AA530" s="381"/>
      <c r="AB530" s="381"/>
      <c r="AC530" s="382"/>
      <c r="AD530" s="382"/>
    </row>
    <row r="531" spans="1:30" ht="12.75" customHeight="1" x14ac:dyDescent="0.2">
      <c r="A531" s="378"/>
      <c r="B531" s="378"/>
      <c r="C531" s="378"/>
      <c r="D531" s="380"/>
      <c r="E531" s="380"/>
      <c r="F531" s="378"/>
      <c r="G531" s="378"/>
      <c r="H531" s="378"/>
      <c r="I531" s="378"/>
      <c r="J531" s="378"/>
      <c r="K531" s="378"/>
      <c r="L531" s="378"/>
      <c r="M531" s="381"/>
      <c r="N531" s="381"/>
      <c r="O531" s="381"/>
      <c r="P531" s="381"/>
      <c r="Q531" s="381"/>
      <c r="R531" s="381"/>
      <c r="S531" s="381"/>
      <c r="T531" s="381"/>
      <c r="U531" s="381"/>
      <c r="V531" s="381"/>
      <c r="W531" s="381"/>
      <c r="X531" s="381"/>
      <c r="Y531" s="381"/>
      <c r="Z531" s="381"/>
      <c r="AA531" s="381"/>
      <c r="AB531" s="381"/>
      <c r="AC531" s="382"/>
      <c r="AD531" s="382"/>
    </row>
    <row r="532" spans="1:30" ht="12.75" customHeight="1" x14ac:dyDescent="0.2">
      <c r="A532" s="378"/>
      <c r="B532" s="378"/>
      <c r="C532" s="378"/>
      <c r="D532" s="380"/>
      <c r="E532" s="380"/>
      <c r="F532" s="378"/>
      <c r="G532" s="378"/>
      <c r="H532" s="378"/>
      <c r="I532" s="378"/>
      <c r="J532" s="378"/>
      <c r="K532" s="378"/>
      <c r="L532" s="378"/>
      <c r="M532" s="381"/>
      <c r="N532" s="381"/>
      <c r="O532" s="381"/>
      <c r="P532" s="381"/>
      <c r="Q532" s="381"/>
      <c r="R532" s="381"/>
      <c r="S532" s="381"/>
      <c r="T532" s="381"/>
      <c r="U532" s="381"/>
      <c r="V532" s="381"/>
      <c r="W532" s="381"/>
      <c r="X532" s="381"/>
      <c r="Y532" s="381"/>
      <c r="Z532" s="381"/>
      <c r="AA532" s="381"/>
      <c r="AB532" s="381"/>
      <c r="AC532" s="382"/>
      <c r="AD532" s="382"/>
    </row>
    <row r="533" spans="1:30" ht="12.75" customHeight="1" x14ac:dyDescent="0.2">
      <c r="A533" s="378"/>
      <c r="B533" s="378"/>
      <c r="C533" s="378"/>
      <c r="D533" s="380"/>
      <c r="E533" s="380"/>
      <c r="F533" s="378"/>
      <c r="G533" s="378"/>
      <c r="H533" s="378"/>
      <c r="I533" s="378"/>
      <c r="J533" s="378"/>
      <c r="K533" s="378"/>
      <c r="L533" s="378"/>
      <c r="M533" s="381"/>
      <c r="N533" s="381"/>
      <c r="O533" s="381"/>
      <c r="P533" s="381"/>
      <c r="Q533" s="381"/>
      <c r="R533" s="381"/>
      <c r="S533" s="381"/>
      <c r="T533" s="381"/>
      <c r="U533" s="381"/>
      <c r="V533" s="381"/>
      <c r="W533" s="381"/>
      <c r="X533" s="381"/>
      <c r="Y533" s="381"/>
      <c r="Z533" s="381"/>
      <c r="AA533" s="381"/>
      <c r="AB533" s="381"/>
      <c r="AC533" s="382"/>
      <c r="AD533" s="382"/>
    </row>
    <row r="534" spans="1:30" ht="12.75" customHeight="1" x14ac:dyDescent="0.2">
      <c r="A534" s="378"/>
      <c r="B534" s="378"/>
      <c r="C534" s="378"/>
      <c r="D534" s="380"/>
      <c r="E534" s="380"/>
      <c r="F534" s="378"/>
      <c r="G534" s="378"/>
      <c r="H534" s="378"/>
      <c r="I534" s="378"/>
      <c r="J534" s="378"/>
      <c r="K534" s="378"/>
      <c r="L534" s="378"/>
      <c r="M534" s="381"/>
      <c r="N534" s="381"/>
      <c r="O534" s="381"/>
      <c r="P534" s="381"/>
      <c r="Q534" s="381"/>
      <c r="R534" s="381"/>
      <c r="S534" s="381"/>
      <c r="T534" s="381"/>
      <c r="U534" s="381"/>
      <c r="V534" s="381"/>
      <c r="W534" s="381"/>
      <c r="X534" s="381"/>
      <c r="Y534" s="381"/>
      <c r="Z534" s="381"/>
      <c r="AA534" s="381"/>
      <c r="AB534" s="381"/>
      <c r="AC534" s="382"/>
      <c r="AD534" s="382"/>
    </row>
    <row r="535" spans="1:30" ht="12.75" customHeight="1" x14ac:dyDescent="0.2">
      <c r="A535" s="378"/>
      <c r="B535" s="378"/>
      <c r="C535" s="378"/>
      <c r="D535" s="380"/>
      <c r="E535" s="380"/>
      <c r="F535" s="378"/>
      <c r="G535" s="378"/>
      <c r="H535" s="378"/>
      <c r="I535" s="378"/>
      <c r="J535" s="378"/>
      <c r="K535" s="378"/>
      <c r="L535" s="378"/>
      <c r="M535" s="381"/>
      <c r="N535" s="381"/>
      <c r="O535" s="381"/>
      <c r="P535" s="381"/>
      <c r="Q535" s="381"/>
      <c r="R535" s="381"/>
      <c r="S535" s="381"/>
      <c r="T535" s="381"/>
      <c r="U535" s="381"/>
      <c r="V535" s="381"/>
      <c r="W535" s="381"/>
      <c r="X535" s="381"/>
      <c r="Y535" s="381"/>
      <c r="Z535" s="381"/>
      <c r="AA535" s="381"/>
      <c r="AB535" s="381"/>
      <c r="AC535" s="382"/>
      <c r="AD535" s="382"/>
    </row>
    <row r="536" spans="1:30" ht="12.75" customHeight="1" x14ac:dyDescent="0.2">
      <c r="A536" s="378"/>
      <c r="B536" s="378"/>
      <c r="C536" s="378"/>
      <c r="D536" s="380"/>
      <c r="E536" s="380"/>
      <c r="F536" s="378"/>
      <c r="G536" s="378"/>
      <c r="H536" s="378"/>
      <c r="I536" s="378"/>
      <c r="J536" s="378"/>
      <c r="K536" s="378"/>
      <c r="L536" s="378"/>
      <c r="M536" s="381"/>
      <c r="N536" s="381"/>
      <c r="O536" s="381"/>
      <c r="P536" s="381"/>
      <c r="Q536" s="381"/>
      <c r="R536" s="381"/>
      <c r="S536" s="381"/>
      <c r="T536" s="381"/>
      <c r="U536" s="381"/>
      <c r="V536" s="381"/>
      <c r="W536" s="381"/>
      <c r="X536" s="381"/>
      <c r="Y536" s="381"/>
      <c r="Z536" s="381"/>
      <c r="AA536" s="381"/>
      <c r="AB536" s="381"/>
      <c r="AC536" s="382"/>
      <c r="AD536" s="382"/>
    </row>
    <row r="537" spans="1:30" ht="12.75" customHeight="1" x14ac:dyDescent="0.2">
      <c r="A537" s="378"/>
      <c r="B537" s="378"/>
      <c r="C537" s="378"/>
      <c r="D537" s="380"/>
      <c r="E537" s="380"/>
      <c r="F537" s="378"/>
      <c r="G537" s="378"/>
      <c r="H537" s="378"/>
      <c r="I537" s="378"/>
      <c r="J537" s="378"/>
      <c r="K537" s="378"/>
      <c r="L537" s="378"/>
      <c r="M537" s="381"/>
      <c r="N537" s="381"/>
      <c r="O537" s="381"/>
      <c r="P537" s="381"/>
      <c r="Q537" s="381"/>
      <c r="R537" s="381"/>
      <c r="S537" s="381"/>
      <c r="T537" s="381"/>
      <c r="U537" s="381"/>
      <c r="V537" s="381"/>
      <c r="W537" s="381"/>
      <c r="X537" s="381"/>
      <c r="Y537" s="381"/>
      <c r="Z537" s="381"/>
      <c r="AA537" s="381"/>
      <c r="AB537" s="381"/>
      <c r="AC537" s="382"/>
      <c r="AD537" s="382"/>
    </row>
    <row r="538" spans="1:30" ht="12.75" customHeight="1" x14ac:dyDescent="0.2">
      <c r="A538" s="378"/>
      <c r="B538" s="378"/>
      <c r="C538" s="378"/>
      <c r="D538" s="380"/>
      <c r="E538" s="380"/>
      <c r="F538" s="378"/>
      <c r="G538" s="378"/>
      <c r="H538" s="378"/>
      <c r="I538" s="378"/>
      <c r="J538" s="378"/>
      <c r="K538" s="378"/>
      <c r="L538" s="378"/>
      <c r="M538" s="381"/>
      <c r="N538" s="381"/>
      <c r="O538" s="381"/>
      <c r="P538" s="381"/>
      <c r="Q538" s="381"/>
      <c r="R538" s="381"/>
      <c r="S538" s="381"/>
      <c r="T538" s="381"/>
      <c r="U538" s="381"/>
      <c r="V538" s="381"/>
      <c r="W538" s="381"/>
      <c r="X538" s="381"/>
      <c r="Y538" s="381"/>
      <c r="Z538" s="381"/>
      <c r="AA538" s="381"/>
      <c r="AB538" s="381"/>
      <c r="AC538" s="382"/>
      <c r="AD538" s="382"/>
    </row>
    <row r="539" spans="1:30" ht="12.75" customHeight="1" x14ac:dyDescent="0.2">
      <c r="A539" s="378"/>
      <c r="B539" s="378"/>
      <c r="C539" s="378"/>
      <c r="D539" s="380"/>
      <c r="E539" s="380"/>
      <c r="F539" s="378"/>
      <c r="G539" s="378"/>
      <c r="H539" s="378"/>
      <c r="I539" s="378"/>
      <c r="J539" s="378"/>
      <c r="K539" s="378"/>
      <c r="L539" s="378"/>
      <c r="M539" s="381"/>
      <c r="N539" s="381"/>
      <c r="O539" s="381"/>
      <c r="P539" s="381"/>
      <c r="Q539" s="381"/>
      <c r="R539" s="381"/>
      <c r="S539" s="381"/>
      <c r="T539" s="381"/>
      <c r="U539" s="381"/>
      <c r="V539" s="381"/>
      <c r="W539" s="381"/>
      <c r="X539" s="381"/>
      <c r="Y539" s="381"/>
      <c r="Z539" s="381"/>
      <c r="AA539" s="381"/>
      <c r="AB539" s="381"/>
      <c r="AC539" s="382"/>
      <c r="AD539" s="382"/>
    </row>
    <row r="540" spans="1:30" ht="12.75" customHeight="1" x14ac:dyDescent="0.2">
      <c r="A540" s="378"/>
      <c r="B540" s="378"/>
      <c r="C540" s="378"/>
      <c r="D540" s="380"/>
      <c r="E540" s="380"/>
      <c r="F540" s="378"/>
      <c r="G540" s="378"/>
      <c r="H540" s="378"/>
      <c r="I540" s="378"/>
      <c r="J540" s="378"/>
      <c r="K540" s="378"/>
      <c r="L540" s="378"/>
      <c r="M540" s="381"/>
      <c r="N540" s="381"/>
      <c r="O540" s="381"/>
      <c r="P540" s="381"/>
      <c r="Q540" s="381"/>
      <c r="R540" s="381"/>
      <c r="S540" s="381"/>
      <c r="T540" s="381"/>
      <c r="U540" s="381"/>
      <c r="V540" s="381"/>
      <c r="W540" s="381"/>
      <c r="X540" s="381"/>
      <c r="Y540" s="381"/>
      <c r="Z540" s="381"/>
      <c r="AA540" s="381"/>
      <c r="AB540" s="381"/>
      <c r="AC540" s="382"/>
      <c r="AD540" s="382"/>
    </row>
    <row r="541" spans="1:30" ht="12.75" customHeight="1" x14ac:dyDescent="0.2">
      <c r="A541" s="378"/>
      <c r="B541" s="378"/>
      <c r="C541" s="378"/>
      <c r="D541" s="380"/>
      <c r="E541" s="380"/>
      <c r="F541" s="378"/>
      <c r="G541" s="378"/>
      <c r="H541" s="378"/>
      <c r="I541" s="378"/>
      <c r="J541" s="378"/>
      <c r="K541" s="378"/>
      <c r="L541" s="378"/>
      <c r="M541" s="381"/>
      <c r="N541" s="381"/>
      <c r="O541" s="381"/>
      <c r="P541" s="381"/>
      <c r="Q541" s="381"/>
      <c r="R541" s="381"/>
      <c r="S541" s="381"/>
      <c r="T541" s="381"/>
      <c r="U541" s="381"/>
      <c r="V541" s="381"/>
      <c r="W541" s="381"/>
      <c r="X541" s="381"/>
      <c r="Y541" s="381"/>
      <c r="Z541" s="381"/>
      <c r="AA541" s="381"/>
      <c r="AB541" s="381"/>
      <c r="AC541" s="382"/>
      <c r="AD541" s="382"/>
    </row>
    <row r="542" spans="1:30" ht="12.75" customHeight="1" x14ac:dyDescent="0.2">
      <c r="A542" s="378"/>
      <c r="B542" s="378"/>
      <c r="C542" s="378"/>
      <c r="D542" s="380"/>
      <c r="E542" s="380"/>
      <c r="F542" s="378"/>
      <c r="G542" s="378"/>
      <c r="H542" s="378"/>
      <c r="I542" s="378"/>
      <c r="J542" s="378"/>
      <c r="K542" s="378"/>
      <c r="L542" s="378"/>
      <c r="M542" s="381"/>
      <c r="N542" s="381"/>
      <c r="O542" s="381"/>
      <c r="P542" s="381"/>
      <c r="Q542" s="381"/>
      <c r="R542" s="381"/>
      <c r="S542" s="381"/>
      <c r="T542" s="381"/>
      <c r="U542" s="381"/>
      <c r="V542" s="381"/>
      <c r="W542" s="381"/>
      <c r="X542" s="381"/>
      <c r="Y542" s="381"/>
      <c r="Z542" s="381"/>
      <c r="AA542" s="381"/>
      <c r="AB542" s="381"/>
      <c r="AC542" s="382"/>
      <c r="AD542" s="382"/>
    </row>
    <row r="543" spans="1:30" ht="12.75" customHeight="1" x14ac:dyDescent="0.2">
      <c r="A543" s="378"/>
      <c r="B543" s="378"/>
      <c r="C543" s="378"/>
      <c r="D543" s="380"/>
      <c r="E543" s="380"/>
      <c r="F543" s="378"/>
      <c r="G543" s="378"/>
      <c r="H543" s="378"/>
      <c r="I543" s="378"/>
      <c r="J543" s="378"/>
      <c r="K543" s="378"/>
      <c r="L543" s="378"/>
      <c r="M543" s="381"/>
      <c r="N543" s="381"/>
      <c r="O543" s="381"/>
      <c r="P543" s="381"/>
      <c r="Q543" s="381"/>
      <c r="R543" s="381"/>
      <c r="S543" s="381"/>
      <c r="T543" s="381"/>
      <c r="U543" s="381"/>
      <c r="V543" s="381"/>
      <c r="W543" s="381"/>
      <c r="X543" s="381"/>
      <c r="Y543" s="381"/>
      <c r="Z543" s="381"/>
      <c r="AA543" s="381"/>
      <c r="AB543" s="381"/>
      <c r="AC543" s="382"/>
      <c r="AD543" s="382"/>
    </row>
    <row r="544" spans="1:30" ht="12.75" customHeight="1" x14ac:dyDescent="0.2">
      <c r="A544" s="378"/>
      <c r="B544" s="378"/>
      <c r="C544" s="378"/>
      <c r="D544" s="380"/>
      <c r="E544" s="380"/>
      <c r="F544" s="378"/>
      <c r="G544" s="378"/>
      <c r="H544" s="378"/>
      <c r="I544" s="378"/>
      <c r="J544" s="378"/>
      <c r="K544" s="378"/>
      <c r="L544" s="378"/>
      <c r="M544" s="381"/>
      <c r="N544" s="381"/>
      <c r="O544" s="381"/>
      <c r="P544" s="381"/>
      <c r="Q544" s="381"/>
      <c r="R544" s="381"/>
      <c r="S544" s="381"/>
      <c r="T544" s="381"/>
      <c r="U544" s="381"/>
      <c r="V544" s="381"/>
      <c r="W544" s="381"/>
      <c r="X544" s="381"/>
      <c r="Y544" s="381"/>
      <c r="Z544" s="381"/>
      <c r="AA544" s="381"/>
      <c r="AB544" s="381"/>
      <c r="AC544" s="382"/>
      <c r="AD544" s="382"/>
    </row>
    <row r="545" spans="1:30" ht="12.75" customHeight="1" x14ac:dyDescent="0.2">
      <c r="A545" s="378"/>
      <c r="B545" s="378"/>
      <c r="C545" s="378"/>
      <c r="D545" s="380"/>
      <c r="E545" s="380"/>
      <c r="F545" s="378"/>
      <c r="G545" s="378"/>
      <c r="H545" s="378"/>
      <c r="I545" s="378"/>
      <c r="J545" s="378"/>
      <c r="K545" s="378"/>
      <c r="L545" s="378"/>
      <c r="M545" s="381"/>
      <c r="N545" s="381"/>
      <c r="O545" s="381"/>
      <c r="P545" s="381"/>
      <c r="Q545" s="381"/>
      <c r="R545" s="381"/>
      <c r="S545" s="381"/>
      <c r="T545" s="381"/>
      <c r="U545" s="381"/>
      <c r="V545" s="381"/>
      <c r="W545" s="381"/>
      <c r="X545" s="381"/>
      <c r="Y545" s="381"/>
      <c r="Z545" s="381"/>
      <c r="AA545" s="381"/>
      <c r="AB545" s="381"/>
      <c r="AC545" s="382"/>
      <c r="AD545" s="382"/>
    </row>
    <row r="546" spans="1:30" ht="12.75" customHeight="1" x14ac:dyDescent="0.2">
      <c r="A546" s="378"/>
      <c r="B546" s="378"/>
      <c r="C546" s="378"/>
      <c r="D546" s="380"/>
      <c r="E546" s="380"/>
      <c r="F546" s="378"/>
      <c r="G546" s="378"/>
      <c r="H546" s="378"/>
      <c r="I546" s="378"/>
      <c r="J546" s="378"/>
      <c r="K546" s="378"/>
      <c r="L546" s="378"/>
      <c r="M546" s="381"/>
      <c r="N546" s="381"/>
      <c r="O546" s="381"/>
      <c r="P546" s="381"/>
      <c r="Q546" s="381"/>
      <c r="R546" s="381"/>
      <c r="S546" s="381"/>
      <c r="T546" s="381"/>
      <c r="U546" s="381"/>
      <c r="V546" s="381"/>
      <c r="W546" s="381"/>
      <c r="X546" s="381"/>
      <c r="Y546" s="381"/>
      <c r="Z546" s="381"/>
      <c r="AA546" s="381"/>
      <c r="AB546" s="381"/>
      <c r="AC546" s="382"/>
      <c r="AD546" s="382"/>
    </row>
    <row r="547" spans="1:30" ht="12.75" customHeight="1" x14ac:dyDescent="0.2">
      <c r="A547" s="378"/>
      <c r="B547" s="378"/>
      <c r="C547" s="378"/>
      <c r="D547" s="380"/>
      <c r="E547" s="380"/>
      <c r="F547" s="378"/>
      <c r="G547" s="378"/>
      <c r="H547" s="378"/>
      <c r="I547" s="378"/>
      <c r="J547" s="378"/>
      <c r="K547" s="378"/>
      <c r="L547" s="378"/>
      <c r="M547" s="381"/>
      <c r="N547" s="381"/>
      <c r="O547" s="381"/>
      <c r="P547" s="381"/>
      <c r="Q547" s="381"/>
      <c r="R547" s="381"/>
      <c r="S547" s="381"/>
      <c r="T547" s="381"/>
      <c r="U547" s="381"/>
      <c r="V547" s="381"/>
      <c r="W547" s="381"/>
      <c r="X547" s="381"/>
      <c r="Y547" s="381"/>
      <c r="Z547" s="381"/>
      <c r="AA547" s="381"/>
      <c r="AB547" s="381"/>
      <c r="AC547" s="382"/>
      <c r="AD547" s="382"/>
    </row>
    <row r="548" spans="1:30" ht="12.75" customHeight="1" x14ac:dyDescent="0.2">
      <c r="A548" s="378"/>
      <c r="B548" s="378"/>
      <c r="C548" s="378"/>
      <c r="D548" s="380"/>
      <c r="E548" s="380"/>
      <c r="F548" s="378"/>
      <c r="G548" s="378"/>
      <c r="H548" s="378"/>
      <c r="I548" s="378"/>
      <c r="J548" s="378"/>
      <c r="K548" s="378"/>
      <c r="L548" s="378"/>
      <c r="M548" s="381"/>
      <c r="N548" s="381"/>
      <c r="O548" s="381"/>
      <c r="P548" s="381"/>
      <c r="Q548" s="381"/>
      <c r="R548" s="381"/>
      <c r="S548" s="381"/>
      <c r="T548" s="381"/>
      <c r="U548" s="381"/>
      <c r="V548" s="381"/>
      <c r="W548" s="381"/>
      <c r="X548" s="381"/>
      <c r="Y548" s="381"/>
      <c r="Z548" s="381"/>
      <c r="AA548" s="381"/>
      <c r="AB548" s="381"/>
      <c r="AC548" s="382"/>
      <c r="AD548" s="382"/>
    </row>
    <row r="549" spans="1:30" ht="12.75" customHeight="1" x14ac:dyDescent="0.2">
      <c r="A549" s="378"/>
      <c r="B549" s="378"/>
      <c r="C549" s="378"/>
      <c r="D549" s="380"/>
      <c r="E549" s="380"/>
      <c r="F549" s="378"/>
      <c r="G549" s="378"/>
      <c r="H549" s="378"/>
      <c r="I549" s="378"/>
      <c r="J549" s="378"/>
      <c r="K549" s="378"/>
      <c r="L549" s="378"/>
      <c r="M549" s="381"/>
      <c r="N549" s="381"/>
      <c r="O549" s="381"/>
      <c r="P549" s="381"/>
      <c r="Q549" s="381"/>
      <c r="R549" s="381"/>
      <c r="S549" s="381"/>
      <c r="T549" s="381"/>
      <c r="U549" s="381"/>
      <c r="V549" s="381"/>
      <c r="W549" s="381"/>
      <c r="X549" s="381"/>
      <c r="Y549" s="381"/>
      <c r="Z549" s="381"/>
      <c r="AA549" s="381"/>
      <c r="AB549" s="381"/>
      <c r="AC549" s="382"/>
      <c r="AD549" s="382"/>
    </row>
    <row r="550" spans="1:30" ht="12.75" customHeight="1" x14ac:dyDescent="0.2">
      <c r="A550" s="378"/>
      <c r="B550" s="378"/>
      <c r="C550" s="378"/>
      <c r="D550" s="380"/>
      <c r="E550" s="380"/>
      <c r="F550" s="378"/>
      <c r="G550" s="378"/>
      <c r="H550" s="378"/>
      <c r="I550" s="378"/>
      <c r="J550" s="378"/>
      <c r="K550" s="378"/>
      <c r="L550" s="378"/>
      <c r="M550" s="381"/>
      <c r="N550" s="381"/>
      <c r="O550" s="381"/>
      <c r="P550" s="381"/>
      <c r="Q550" s="381"/>
      <c r="R550" s="381"/>
      <c r="S550" s="381"/>
      <c r="T550" s="381"/>
      <c r="U550" s="381"/>
      <c r="V550" s="381"/>
      <c r="W550" s="381"/>
      <c r="X550" s="381"/>
      <c r="Y550" s="381"/>
      <c r="Z550" s="381"/>
      <c r="AA550" s="381"/>
      <c r="AB550" s="381"/>
      <c r="AC550" s="382"/>
      <c r="AD550" s="382"/>
    </row>
    <row r="551" spans="1:30" ht="12.75" customHeight="1" x14ac:dyDescent="0.2">
      <c r="A551" s="378"/>
      <c r="B551" s="378"/>
      <c r="C551" s="378"/>
      <c r="D551" s="380"/>
      <c r="E551" s="380"/>
      <c r="F551" s="378"/>
      <c r="G551" s="378"/>
      <c r="H551" s="378"/>
      <c r="I551" s="378"/>
      <c r="J551" s="378"/>
      <c r="K551" s="378"/>
      <c r="L551" s="378"/>
      <c r="M551" s="381"/>
      <c r="N551" s="381"/>
      <c r="O551" s="381"/>
      <c r="P551" s="381"/>
      <c r="Q551" s="381"/>
      <c r="R551" s="381"/>
      <c r="S551" s="381"/>
      <c r="T551" s="381"/>
      <c r="U551" s="381"/>
      <c r="V551" s="381"/>
      <c r="W551" s="381"/>
      <c r="X551" s="381"/>
      <c r="Y551" s="381"/>
      <c r="Z551" s="381"/>
      <c r="AA551" s="381"/>
      <c r="AB551" s="381"/>
      <c r="AC551" s="382"/>
      <c r="AD551" s="382"/>
    </row>
    <row r="552" spans="1:30" ht="12.75" customHeight="1" x14ac:dyDescent="0.2">
      <c r="A552" s="378"/>
      <c r="B552" s="378"/>
      <c r="C552" s="378"/>
      <c r="D552" s="380"/>
      <c r="E552" s="380"/>
      <c r="F552" s="378"/>
      <c r="G552" s="378"/>
      <c r="H552" s="378"/>
      <c r="I552" s="378"/>
      <c r="J552" s="378"/>
      <c r="K552" s="378"/>
      <c r="L552" s="378"/>
      <c r="M552" s="381"/>
      <c r="N552" s="381"/>
      <c r="O552" s="381"/>
      <c r="P552" s="381"/>
      <c r="Q552" s="381"/>
      <c r="R552" s="381"/>
      <c r="S552" s="381"/>
      <c r="T552" s="381"/>
      <c r="U552" s="381"/>
      <c r="V552" s="381"/>
      <c r="W552" s="381"/>
      <c r="X552" s="381"/>
      <c r="Y552" s="381"/>
      <c r="Z552" s="381"/>
      <c r="AA552" s="381"/>
      <c r="AB552" s="381"/>
      <c r="AC552" s="382"/>
      <c r="AD552" s="382"/>
    </row>
    <row r="553" spans="1:30" ht="12.75" customHeight="1" x14ac:dyDescent="0.2">
      <c r="A553" s="378"/>
      <c r="B553" s="378"/>
      <c r="C553" s="378"/>
      <c r="D553" s="380"/>
      <c r="E553" s="380"/>
      <c r="F553" s="378"/>
      <c r="G553" s="378"/>
      <c r="H553" s="378"/>
      <c r="I553" s="378"/>
      <c r="J553" s="378"/>
      <c r="K553" s="378"/>
      <c r="L553" s="378"/>
      <c r="M553" s="381"/>
      <c r="N553" s="381"/>
      <c r="O553" s="381"/>
      <c r="P553" s="381"/>
      <c r="Q553" s="381"/>
      <c r="R553" s="381"/>
      <c r="S553" s="381"/>
      <c r="T553" s="381"/>
      <c r="U553" s="381"/>
      <c r="V553" s="381"/>
      <c r="W553" s="381"/>
      <c r="X553" s="381"/>
      <c r="Y553" s="381"/>
      <c r="Z553" s="381"/>
      <c r="AA553" s="381"/>
      <c r="AB553" s="381"/>
      <c r="AC553" s="382"/>
      <c r="AD553" s="382"/>
    </row>
    <row r="554" spans="1:30" ht="12.75" customHeight="1" x14ac:dyDescent="0.2">
      <c r="A554" s="378"/>
      <c r="B554" s="378"/>
      <c r="C554" s="378"/>
      <c r="D554" s="380"/>
      <c r="E554" s="380"/>
      <c r="F554" s="378"/>
      <c r="G554" s="378"/>
      <c r="H554" s="378"/>
      <c r="I554" s="378"/>
      <c r="J554" s="378"/>
      <c r="K554" s="378"/>
      <c r="L554" s="378"/>
      <c r="M554" s="381"/>
      <c r="N554" s="381"/>
      <c r="O554" s="381"/>
      <c r="P554" s="381"/>
      <c r="Q554" s="381"/>
      <c r="R554" s="381"/>
      <c r="S554" s="381"/>
      <c r="T554" s="381"/>
      <c r="U554" s="381"/>
      <c r="V554" s="381"/>
      <c r="W554" s="381"/>
      <c r="X554" s="381"/>
      <c r="Y554" s="381"/>
      <c r="Z554" s="381"/>
      <c r="AA554" s="381"/>
      <c r="AB554" s="381"/>
      <c r="AC554" s="382"/>
      <c r="AD554" s="382"/>
    </row>
    <row r="555" spans="1:30" ht="12.75" customHeight="1" x14ac:dyDescent="0.2">
      <c r="A555" s="378"/>
      <c r="B555" s="378"/>
      <c r="C555" s="378"/>
      <c r="D555" s="380"/>
      <c r="E555" s="380"/>
      <c r="F555" s="378"/>
      <c r="G555" s="378"/>
      <c r="H555" s="378"/>
      <c r="I555" s="378"/>
      <c r="J555" s="378"/>
      <c r="K555" s="378"/>
      <c r="L555" s="378"/>
      <c r="M555" s="381"/>
      <c r="N555" s="381"/>
      <c r="O555" s="381"/>
      <c r="P555" s="381"/>
      <c r="Q555" s="381"/>
      <c r="R555" s="381"/>
      <c r="S555" s="381"/>
      <c r="T555" s="381"/>
      <c r="U555" s="381"/>
      <c r="V555" s="381"/>
      <c r="W555" s="381"/>
      <c r="X555" s="381"/>
      <c r="Y555" s="381"/>
      <c r="Z555" s="381"/>
      <c r="AA555" s="381"/>
      <c r="AB555" s="381"/>
      <c r="AC555" s="382"/>
      <c r="AD555" s="382"/>
    </row>
    <row r="556" spans="1:30" ht="12.75" customHeight="1" x14ac:dyDescent="0.2">
      <c r="A556" s="378"/>
      <c r="B556" s="378"/>
      <c r="C556" s="378"/>
      <c r="D556" s="380"/>
      <c r="E556" s="380"/>
      <c r="F556" s="378"/>
      <c r="G556" s="378"/>
      <c r="H556" s="378"/>
      <c r="I556" s="378"/>
      <c r="J556" s="378"/>
      <c r="K556" s="378"/>
      <c r="L556" s="378"/>
      <c r="M556" s="381"/>
      <c r="N556" s="381"/>
      <c r="O556" s="381"/>
      <c r="P556" s="381"/>
      <c r="Q556" s="381"/>
      <c r="R556" s="381"/>
      <c r="S556" s="381"/>
      <c r="T556" s="381"/>
      <c r="U556" s="381"/>
      <c r="V556" s="381"/>
      <c r="W556" s="381"/>
      <c r="X556" s="381"/>
      <c r="Y556" s="381"/>
      <c r="Z556" s="381"/>
      <c r="AA556" s="381"/>
      <c r="AB556" s="381"/>
      <c r="AC556" s="382"/>
      <c r="AD556" s="382"/>
    </row>
    <row r="557" spans="1:30" ht="12.75" customHeight="1" x14ac:dyDescent="0.2">
      <c r="A557" s="378"/>
      <c r="B557" s="378"/>
      <c r="C557" s="378"/>
      <c r="D557" s="380"/>
      <c r="E557" s="380"/>
      <c r="F557" s="378"/>
      <c r="G557" s="378"/>
      <c r="H557" s="378"/>
      <c r="I557" s="378"/>
      <c r="J557" s="378"/>
      <c r="K557" s="378"/>
      <c r="L557" s="378"/>
      <c r="M557" s="381"/>
      <c r="N557" s="381"/>
      <c r="O557" s="381"/>
      <c r="P557" s="381"/>
      <c r="Q557" s="381"/>
      <c r="R557" s="381"/>
      <c r="S557" s="381"/>
      <c r="T557" s="381"/>
      <c r="U557" s="381"/>
      <c r="V557" s="381"/>
      <c r="W557" s="381"/>
      <c r="X557" s="381"/>
      <c r="Y557" s="381"/>
      <c r="Z557" s="381"/>
      <c r="AA557" s="381"/>
      <c r="AB557" s="381"/>
      <c r="AC557" s="382"/>
      <c r="AD557" s="382"/>
    </row>
    <row r="558" spans="1:30" ht="12.75" customHeight="1" x14ac:dyDescent="0.2">
      <c r="A558" s="378"/>
      <c r="B558" s="378"/>
      <c r="C558" s="378"/>
      <c r="D558" s="380"/>
      <c r="E558" s="380"/>
      <c r="F558" s="378"/>
      <c r="G558" s="378"/>
      <c r="H558" s="378"/>
      <c r="I558" s="378"/>
      <c r="J558" s="378"/>
      <c r="K558" s="378"/>
      <c r="L558" s="378"/>
      <c r="M558" s="381"/>
      <c r="N558" s="381"/>
      <c r="O558" s="381"/>
      <c r="P558" s="381"/>
      <c r="Q558" s="381"/>
      <c r="R558" s="381"/>
      <c r="S558" s="381"/>
      <c r="T558" s="381"/>
      <c r="U558" s="381"/>
      <c r="V558" s="381"/>
      <c r="W558" s="381"/>
      <c r="X558" s="381"/>
      <c r="Y558" s="381"/>
      <c r="Z558" s="381"/>
      <c r="AA558" s="381"/>
      <c r="AB558" s="381"/>
      <c r="AC558" s="382"/>
      <c r="AD558" s="382"/>
    </row>
    <row r="559" spans="1:30" ht="12.75" customHeight="1" x14ac:dyDescent="0.2">
      <c r="A559" s="378"/>
      <c r="B559" s="378"/>
      <c r="C559" s="378"/>
      <c r="D559" s="380"/>
      <c r="E559" s="380"/>
      <c r="F559" s="378"/>
      <c r="G559" s="378"/>
      <c r="H559" s="378"/>
      <c r="I559" s="378"/>
      <c r="J559" s="378"/>
      <c r="K559" s="378"/>
      <c r="L559" s="378"/>
      <c r="M559" s="381"/>
      <c r="N559" s="381"/>
      <c r="O559" s="381"/>
      <c r="P559" s="381"/>
      <c r="Q559" s="381"/>
      <c r="R559" s="381"/>
      <c r="S559" s="381"/>
      <c r="T559" s="381"/>
      <c r="U559" s="381"/>
      <c r="V559" s="381"/>
      <c r="W559" s="381"/>
      <c r="X559" s="381"/>
      <c r="Y559" s="381"/>
      <c r="Z559" s="381"/>
      <c r="AA559" s="381"/>
      <c r="AB559" s="381"/>
      <c r="AC559" s="382"/>
      <c r="AD559" s="382"/>
    </row>
    <row r="560" spans="1:30" ht="12.75" customHeight="1" x14ac:dyDescent="0.2">
      <c r="A560" s="378"/>
      <c r="B560" s="378"/>
      <c r="C560" s="378"/>
      <c r="D560" s="380"/>
      <c r="E560" s="380"/>
      <c r="F560" s="378"/>
      <c r="G560" s="378"/>
      <c r="H560" s="378"/>
      <c r="I560" s="378"/>
      <c r="J560" s="378"/>
      <c r="K560" s="378"/>
      <c r="L560" s="378"/>
      <c r="M560" s="381"/>
      <c r="N560" s="381"/>
      <c r="O560" s="381"/>
      <c r="P560" s="381"/>
      <c r="Q560" s="381"/>
      <c r="R560" s="381"/>
      <c r="S560" s="381"/>
      <c r="T560" s="381"/>
      <c r="U560" s="381"/>
      <c r="V560" s="381"/>
      <c r="W560" s="381"/>
      <c r="X560" s="381"/>
      <c r="Y560" s="381"/>
      <c r="Z560" s="381"/>
      <c r="AA560" s="381"/>
      <c r="AB560" s="381"/>
      <c r="AC560" s="382"/>
      <c r="AD560" s="382"/>
    </row>
    <row r="561" spans="1:30" ht="12.75" customHeight="1" x14ac:dyDescent="0.2">
      <c r="A561" s="378"/>
      <c r="B561" s="378"/>
      <c r="C561" s="378"/>
      <c r="D561" s="380"/>
      <c r="E561" s="380"/>
      <c r="F561" s="378"/>
      <c r="G561" s="378"/>
      <c r="H561" s="378"/>
      <c r="I561" s="378"/>
      <c r="J561" s="378"/>
      <c r="K561" s="378"/>
      <c r="L561" s="378"/>
      <c r="M561" s="381"/>
      <c r="N561" s="381"/>
      <c r="O561" s="381"/>
      <c r="P561" s="381"/>
      <c r="Q561" s="381"/>
      <c r="R561" s="381"/>
      <c r="S561" s="381"/>
      <c r="T561" s="381"/>
      <c r="U561" s="381"/>
      <c r="V561" s="381"/>
      <c r="W561" s="381"/>
      <c r="X561" s="381"/>
      <c r="Y561" s="381"/>
      <c r="Z561" s="381"/>
      <c r="AA561" s="381"/>
      <c r="AB561" s="381"/>
      <c r="AC561" s="382"/>
      <c r="AD561" s="382"/>
    </row>
    <row r="562" spans="1:30" ht="12.75" customHeight="1" x14ac:dyDescent="0.2">
      <c r="A562" s="378"/>
      <c r="B562" s="378"/>
      <c r="C562" s="378"/>
      <c r="D562" s="380"/>
      <c r="E562" s="380"/>
      <c r="F562" s="378"/>
      <c r="G562" s="378"/>
      <c r="H562" s="378"/>
      <c r="I562" s="378"/>
      <c r="J562" s="378"/>
      <c r="K562" s="378"/>
      <c r="L562" s="378"/>
      <c r="M562" s="381"/>
      <c r="N562" s="381"/>
      <c r="O562" s="381"/>
      <c r="P562" s="381"/>
      <c r="Q562" s="381"/>
      <c r="R562" s="381"/>
      <c r="S562" s="381"/>
      <c r="T562" s="381"/>
      <c r="U562" s="381"/>
      <c r="V562" s="381"/>
      <c r="W562" s="381"/>
      <c r="X562" s="381"/>
      <c r="Y562" s="381"/>
      <c r="Z562" s="381"/>
      <c r="AA562" s="381"/>
      <c r="AB562" s="381"/>
      <c r="AC562" s="382"/>
      <c r="AD562" s="382"/>
    </row>
    <row r="563" spans="1:30" ht="12.75" customHeight="1" x14ac:dyDescent="0.2">
      <c r="A563" s="378"/>
      <c r="B563" s="378"/>
      <c r="C563" s="378"/>
      <c r="D563" s="380"/>
      <c r="E563" s="380"/>
      <c r="F563" s="378"/>
      <c r="G563" s="378"/>
      <c r="H563" s="378"/>
      <c r="I563" s="378"/>
      <c r="J563" s="378"/>
      <c r="K563" s="378"/>
      <c r="L563" s="378"/>
      <c r="M563" s="381"/>
      <c r="N563" s="381"/>
      <c r="O563" s="381"/>
      <c r="P563" s="381"/>
      <c r="Q563" s="381"/>
      <c r="R563" s="381"/>
      <c r="S563" s="381"/>
      <c r="T563" s="381"/>
      <c r="U563" s="381"/>
      <c r="V563" s="381"/>
      <c r="W563" s="381"/>
      <c r="X563" s="381"/>
      <c r="Y563" s="381"/>
      <c r="Z563" s="381"/>
      <c r="AA563" s="381"/>
      <c r="AB563" s="381"/>
      <c r="AC563" s="382"/>
      <c r="AD563" s="382"/>
    </row>
    <row r="564" spans="1:30" ht="12.75" customHeight="1" x14ac:dyDescent="0.2">
      <c r="A564" s="378"/>
      <c r="B564" s="378"/>
      <c r="C564" s="378"/>
      <c r="D564" s="380"/>
      <c r="E564" s="380"/>
      <c r="F564" s="378"/>
      <c r="G564" s="378"/>
      <c r="H564" s="378"/>
      <c r="I564" s="378"/>
      <c r="J564" s="378"/>
      <c r="K564" s="378"/>
      <c r="L564" s="378"/>
      <c r="M564" s="381"/>
      <c r="N564" s="381"/>
      <c r="O564" s="381"/>
      <c r="P564" s="381"/>
      <c r="Q564" s="381"/>
      <c r="R564" s="381"/>
      <c r="S564" s="381"/>
      <c r="T564" s="381"/>
      <c r="U564" s="381"/>
      <c r="V564" s="381"/>
      <c r="W564" s="381"/>
      <c r="X564" s="381"/>
      <c r="Y564" s="381"/>
      <c r="Z564" s="381"/>
      <c r="AA564" s="381"/>
      <c r="AB564" s="381"/>
      <c r="AC564" s="382"/>
      <c r="AD564" s="382"/>
    </row>
    <row r="565" spans="1:30" ht="12.75" customHeight="1" x14ac:dyDescent="0.2">
      <c r="A565" s="378"/>
      <c r="B565" s="378"/>
      <c r="C565" s="378"/>
      <c r="D565" s="380"/>
      <c r="E565" s="380"/>
      <c r="F565" s="378"/>
      <c r="G565" s="378"/>
      <c r="H565" s="378"/>
      <c r="I565" s="378"/>
      <c r="J565" s="378"/>
      <c r="K565" s="378"/>
      <c r="L565" s="378"/>
      <c r="M565" s="381"/>
      <c r="N565" s="381"/>
      <c r="O565" s="381"/>
      <c r="P565" s="381"/>
      <c r="Q565" s="381"/>
      <c r="R565" s="381"/>
      <c r="S565" s="381"/>
      <c r="T565" s="381"/>
      <c r="U565" s="381"/>
      <c r="V565" s="381"/>
      <c r="W565" s="381"/>
      <c r="X565" s="381"/>
      <c r="Y565" s="381"/>
      <c r="Z565" s="381"/>
      <c r="AA565" s="381"/>
      <c r="AB565" s="381"/>
      <c r="AC565" s="382"/>
      <c r="AD565" s="382"/>
    </row>
    <row r="566" spans="1:30" ht="12.75" customHeight="1" x14ac:dyDescent="0.2">
      <c r="A566" s="378"/>
      <c r="B566" s="378"/>
      <c r="C566" s="378"/>
      <c r="D566" s="380"/>
      <c r="E566" s="380"/>
      <c r="F566" s="378"/>
      <c r="G566" s="378"/>
      <c r="H566" s="378"/>
      <c r="I566" s="378"/>
      <c r="J566" s="378"/>
      <c r="K566" s="378"/>
      <c r="L566" s="378"/>
      <c r="M566" s="381"/>
      <c r="N566" s="381"/>
      <c r="O566" s="381"/>
      <c r="P566" s="381"/>
      <c r="Q566" s="381"/>
      <c r="R566" s="381"/>
      <c r="S566" s="381"/>
      <c r="T566" s="381"/>
      <c r="U566" s="381"/>
      <c r="V566" s="381"/>
      <c r="W566" s="381"/>
      <c r="X566" s="381"/>
      <c r="Y566" s="381"/>
      <c r="Z566" s="381"/>
      <c r="AA566" s="381"/>
      <c r="AB566" s="381"/>
      <c r="AC566" s="382"/>
      <c r="AD566" s="382"/>
    </row>
    <row r="567" spans="1:30" ht="12.75" customHeight="1" x14ac:dyDescent="0.2">
      <c r="A567" s="378"/>
      <c r="B567" s="378"/>
      <c r="C567" s="378"/>
      <c r="D567" s="380"/>
      <c r="E567" s="380"/>
      <c r="F567" s="378"/>
      <c r="G567" s="378"/>
      <c r="H567" s="378"/>
      <c r="I567" s="378"/>
      <c r="J567" s="378"/>
      <c r="K567" s="378"/>
      <c r="L567" s="378"/>
      <c r="M567" s="381"/>
      <c r="N567" s="381"/>
      <c r="O567" s="381"/>
      <c r="P567" s="381"/>
      <c r="Q567" s="381"/>
      <c r="R567" s="381"/>
      <c r="S567" s="381"/>
      <c r="T567" s="381"/>
      <c r="U567" s="381"/>
      <c r="V567" s="381"/>
      <c r="W567" s="381"/>
      <c r="X567" s="381"/>
      <c r="Y567" s="381"/>
      <c r="Z567" s="381"/>
      <c r="AA567" s="381"/>
      <c r="AB567" s="381"/>
      <c r="AC567" s="382"/>
      <c r="AD567" s="382"/>
    </row>
    <row r="568" spans="1:30" ht="12.75" customHeight="1" x14ac:dyDescent="0.2">
      <c r="A568" s="378"/>
      <c r="B568" s="378"/>
      <c r="C568" s="378"/>
      <c r="D568" s="380"/>
      <c r="E568" s="380"/>
      <c r="F568" s="378"/>
      <c r="G568" s="378"/>
      <c r="H568" s="378"/>
      <c r="I568" s="378"/>
      <c r="J568" s="378"/>
      <c r="K568" s="378"/>
      <c r="L568" s="378"/>
      <c r="M568" s="381"/>
      <c r="N568" s="381"/>
      <c r="O568" s="381"/>
      <c r="P568" s="381"/>
      <c r="Q568" s="381"/>
      <c r="R568" s="381"/>
      <c r="S568" s="381"/>
      <c r="T568" s="381"/>
      <c r="U568" s="381"/>
      <c r="V568" s="381"/>
      <c r="W568" s="381"/>
      <c r="X568" s="381"/>
      <c r="Y568" s="381"/>
      <c r="Z568" s="381"/>
      <c r="AA568" s="381"/>
      <c r="AB568" s="381"/>
      <c r="AC568" s="382"/>
      <c r="AD568" s="382"/>
    </row>
    <row r="569" spans="1:30" ht="12.75" customHeight="1" x14ac:dyDescent="0.2">
      <c r="A569" s="378"/>
      <c r="B569" s="378"/>
      <c r="C569" s="378"/>
      <c r="D569" s="380"/>
      <c r="E569" s="380"/>
      <c r="F569" s="378"/>
      <c r="G569" s="378"/>
      <c r="H569" s="378"/>
      <c r="I569" s="378"/>
      <c r="J569" s="378"/>
      <c r="K569" s="378"/>
      <c r="L569" s="378"/>
      <c r="M569" s="381"/>
      <c r="N569" s="381"/>
      <c r="O569" s="381"/>
      <c r="P569" s="381"/>
      <c r="Q569" s="381"/>
      <c r="R569" s="381"/>
      <c r="S569" s="381"/>
      <c r="T569" s="381"/>
      <c r="U569" s="381"/>
      <c r="V569" s="381"/>
      <c r="W569" s="381"/>
      <c r="X569" s="381"/>
      <c r="Y569" s="381"/>
      <c r="Z569" s="381"/>
      <c r="AA569" s="381"/>
      <c r="AB569" s="381"/>
      <c r="AC569" s="382"/>
      <c r="AD569" s="382"/>
    </row>
    <row r="570" spans="1:30" ht="12.75" customHeight="1" x14ac:dyDescent="0.2">
      <c r="A570" s="378"/>
      <c r="B570" s="378"/>
      <c r="C570" s="378"/>
      <c r="D570" s="380"/>
      <c r="E570" s="380"/>
      <c r="F570" s="378"/>
      <c r="G570" s="378"/>
      <c r="H570" s="378"/>
      <c r="I570" s="378"/>
      <c r="J570" s="378"/>
      <c r="K570" s="378"/>
      <c r="L570" s="378"/>
      <c r="M570" s="381"/>
      <c r="N570" s="381"/>
      <c r="O570" s="381"/>
      <c r="P570" s="381"/>
      <c r="Q570" s="381"/>
      <c r="R570" s="381"/>
      <c r="S570" s="381"/>
      <c r="T570" s="381"/>
      <c r="U570" s="381"/>
      <c r="V570" s="381"/>
      <c r="W570" s="381"/>
      <c r="X570" s="381"/>
      <c r="Y570" s="381"/>
      <c r="Z570" s="381"/>
      <c r="AA570" s="381"/>
      <c r="AB570" s="381"/>
      <c r="AC570" s="382"/>
      <c r="AD570" s="382"/>
    </row>
    <row r="571" spans="1:30" ht="12.75" customHeight="1" x14ac:dyDescent="0.2">
      <c r="A571" s="378"/>
      <c r="B571" s="378"/>
      <c r="C571" s="378"/>
      <c r="D571" s="380"/>
      <c r="E571" s="380"/>
      <c r="F571" s="378"/>
      <c r="G571" s="378"/>
      <c r="H571" s="378"/>
      <c r="I571" s="378"/>
      <c r="J571" s="378"/>
      <c r="K571" s="378"/>
      <c r="L571" s="378"/>
      <c r="M571" s="381"/>
      <c r="N571" s="381"/>
      <c r="O571" s="381"/>
      <c r="P571" s="381"/>
      <c r="Q571" s="381"/>
      <c r="R571" s="381"/>
      <c r="S571" s="381"/>
      <c r="T571" s="381"/>
      <c r="U571" s="381"/>
      <c r="V571" s="381"/>
      <c r="W571" s="381"/>
      <c r="X571" s="381"/>
      <c r="Y571" s="381"/>
      <c r="Z571" s="381"/>
      <c r="AA571" s="381"/>
      <c r="AB571" s="381"/>
      <c r="AC571" s="382"/>
      <c r="AD571" s="382"/>
    </row>
    <row r="572" spans="1:30" ht="12.75" customHeight="1" x14ac:dyDescent="0.2">
      <c r="A572" s="378"/>
      <c r="B572" s="378"/>
      <c r="C572" s="378"/>
      <c r="D572" s="380"/>
      <c r="E572" s="380"/>
      <c r="F572" s="378"/>
      <c r="G572" s="378"/>
      <c r="H572" s="378"/>
      <c r="I572" s="378"/>
      <c r="J572" s="378"/>
      <c r="K572" s="378"/>
      <c r="L572" s="378"/>
      <c r="M572" s="381"/>
      <c r="N572" s="381"/>
      <c r="O572" s="381"/>
      <c r="P572" s="381"/>
      <c r="Q572" s="381"/>
      <c r="R572" s="381"/>
      <c r="S572" s="381"/>
      <c r="T572" s="381"/>
      <c r="U572" s="381"/>
      <c r="V572" s="381"/>
      <c r="W572" s="381"/>
      <c r="X572" s="381"/>
      <c r="Y572" s="381"/>
      <c r="Z572" s="381"/>
      <c r="AA572" s="381"/>
      <c r="AB572" s="381"/>
      <c r="AC572" s="382"/>
      <c r="AD572" s="382"/>
    </row>
    <row r="573" spans="1:30" ht="12.75" customHeight="1" x14ac:dyDescent="0.2">
      <c r="A573" s="378"/>
      <c r="B573" s="378"/>
      <c r="C573" s="378"/>
      <c r="D573" s="380"/>
      <c r="E573" s="380"/>
      <c r="F573" s="378"/>
      <c r="G573" s="378"/>
      <c r="H573" s="378"/>
      <c r="I573" s="378"/>
      <c r="J573" s="378"/>
      <c r="K573" s="378"/>
      <c r="L573" s="378"/>
      <c r="M573" s="381"/>
      <c r="N573" s="381"/>
      <c r="O573" s="381"/>
      <c r="P573" s="381"/>
      <c r="Q573" s="381"/>
      <c r="R573" s="381"/>
      <c r="S573" s="381"/>
      <c r="T573" s="381"/>
      <c r="U573" s="381"/>
      <c r="V573" s="381"/>
      <c r="W573" s="381"/>
      <c r="X573" s="381"/>
      <c r="Y573" s="381"/>
      <c r="Z573" s="381"/>
      <c r="AA573" s="381"/>
      <c r="AB573" s="381"/>
      <c r="AC573" s="382"/>
      <c r="AD573" s="382"/>
    </row>
    <row r="574" spans="1:30" ht="12.75" customHeight="1" x14ac:dyDescent="0.2">
      <c r="A574" s="378"/>
      <c r="B574" s="378"/>
      <c r="C574" s="378"/>
      <c r="D574" s="380"/>
      <c r="E574" s="380"/>
      <c r="F574" s="378"/>
      <c r="G574" s="378"/>
      <c r="H574" s="378"/>
      <c r="I574" s="378"/>
      <c r="J574" s="378"/>
      <c r="K574" s="378"/>
      <c r="L574" s="378"/>
      <c r="M574" s="381"/>
      <c r="N574" s="381"/>
      <c r="O574" s="381"/>
      <c r="P574" s="381"/>
      <c r="Q574" s="381"/>
      <c r="R574" s="381"/>
      <c r="S574" s="381"/>
      <c r="T574" s="381"/>
      <c r="U574" s="381"/>
      <c r="V574" s="381"/>
      <c r="W574" s="381"/>
      <c r="X574" s="381"/>
      <c r="Y574" s="381"/>
      <c r="Z574" s="381"/>
      <c r="AA574" s="381"/>
      <c r="AB574" s="381"/>
      <c r="AC574" s="382"/>
      <c r="AD574" s="382"/>
    </row>
    <row r="575" spans="1:30" ht="12.75" customHeight="1" x14ac:dyDescent="0.2">
      <c r="A575" s="378"/>
      <c r="B575" s="378"/>
      <c r="C575" s="378"/>
      <c r="D575" s="380"/>
      <c r="E575" s="380"/>
      <c r="F575" s="378"/>
      <c r="G575" s="378"/>
      <c r="H575" s="378"/>
      <c r="I575" s="378"/>
      <c r="J575" s="378"/>
      <c r="K575" s="378"/>
      <c r="L575" s="378"/>
      <c r="M575" s="381"/>
      <c r="N575" s="381"/>
      <c r="O575" s="381"/>
      <c r="P575" s="381"/>
      <c r="Q575" s="381"/>
      <c r="R575" s="381"/>
      <c r="S575" s="381"/>
      <c r="T575" s="381"/>
      <c r="U575" s="381"/>
      <c r="V575" s="381"/>
      <c r="W575" s="381"/>
      <c r="X575" s="381"/>
      <c r="Y575" s="381"/>
      <c r="Z575" s="381"/>
      <c r="AA575" s="381"/>
      <c r="AB575" s="381"/>
      <c r="AC575" s="382"/>
      <c r="AD575" s="382"/>
    </row>
    <row r="576" spans="1:30" ht="12.75" customHeight="1" x14ac:dyDescent="0.2">
      <c r="A576" s="378"/>
      <c r="B576" s="378"/>
      <c r="C576" s="378"/>
      <c r="D576" s="380"/>
      <c r="E576" s="380"/>
      <c r="F576" s="378"/>
      <c r="G576" s="378"/>
      <c r="H576" s="378"/>
      <c r="I576" s="378"/>
      <c r="J576" s="378"/>
      <c r="K576" s="378"/>
      <c r="L576" s="378"/>
      <c r="M576" s="381"/>
      <c r="N576" s="381"/>
      <c r="O576" s="381"/>
      <c r="P576" s="381"/>
      <c r="Q576" s="381"/>
      <c r="R576" s="381"/>
      <c r="S576" s="381"/>
      <c r="T576" s="381"/>
      <c r="U576" s="381"/>
      <c r="V576" s="381"/>
      <c r="W576" s="381"/>
      <c r="X576" s="381"/>
      <c r="Y576" s="381"/>
      <c r="Z576" s="381"/>
      <c r="AA576" s="381"/>
      <c r="AB576" s="381"/>
      <c r="AC576" s="382"/>
      <c r="AD576" s="382"/>
    </row>
    <row r="577" spans="1:30" ht="12.75" customHeight="1" x14ac:dyDescent="0.2">
      <c r="A577" s="378"/>
      <c r="B577" s="378"/>
      <c r="C577" s="378"/>
      <c r="D577" s="380"/>
      <c r="E577" s="380"/>
      <c r="F577" s="378"/>
      <c r="G577" s="378"/>
      <c r="H577" s="378"/>
      <c r="I577" s="378"/>
      <c r="J577" s="378"/>
      <c r="K577" s="378"/>
      <c r="L577" s="378"/>
      <c r="M577" s="381"/>
      <c r="N577" s="381"/>
      <c r="O577" s="381"/>
      <c r="P577" s="381"/>
      <c r="Q577" s="381"/>
      <c r="R577" s="381"/>
      <c r="S577" s="381"/>
      <c r="T577" s="381"/>
      <c r="U577" s="381"/>
      <c r="V577" s="381"/>
      <c r="W577" s="381"/>
      <c r="X577" s="381"/>
      <c r="Y577" s="381"/>
      <c r="Z577" s="381"/>
      <c r="AA577" s="381"/>
      <c r="AB577" s="381"/>
      <c r="AC577" s="382"/>
      <c r="AD577" s="382"/>
    </row>
    <row r="578" spans="1:30" ht="12.75" customHeight="1" x14ac:dyDescent="0.2">
      <c r="A578" s="378"/>
      <c r="B578" s="378"/>
      <c r="C578" s="378"/>
      <c r="D578" s="380"/>
      <c r="E578" s="380"/>
      <c r="F578" s="378"/>
      <c r="G578" s="378"/>
      <c r="H578" s="378"/>
      <c r="I578" s="378"/>
      <c r="J578" s="378"/>
      <c r="K578" s="378"/>
      <c r="L578" s="378"/>
      <c r="M578" s="381"/>
      <c r="N578" s="381"/>
      <c r="O578" s="381"/>
      <c r="P578" s="381"/>
      <c r="Q578" s="381"/>
      <c r="R578" s="381"/>
      <c r="S578" s="381"/>
      <c r="T578" s="381"/>
      <c r="U578" s="381"/>
      <c r="V578" s="381"/>
      <c r="W578" s="381"/>
      <c r="X578" s="381"/>
      <c r="Y578" s="381"/>
      <c r="Z578" s="381"/>
      <c r="AA578" s="381"/>
      <c r="AB578" s="381"/>
      <c r="AC578" s="382"/>
      <c r="AD578" s="382"/>
    </row>
    <row r="579" spans="1:30" ht="12.75" customHeight="1" x14ac:dyDescent="0.2">
      <c r="A579" s="378"/>
      <c r="B579" s="378"/>
      <c r="C579" s="378"/>
      <c r="D579" s="380"/>
      <c r="E579" s="380"/>
      <c r="F579" s="378"/>
      <c r="G579" s="378"/>
      <c r="H579" s="378"/>
      <c r="I579" s="378"/>
      <c r="J579" s="378"/>
      <c r="K579" s="378"/>
      <c r="L579" s="378"/>
      <c r="M579" s="381"/>
      <c r="N579" s="381"/>
      <c r="O579" s="381"/>
      <c r="P579" s="381"/>
      <c r="Q579" s="381"/>
      <c r="R579" s="381"/>
      <c r="S579" s="381"/>
      <c r="T579" s="381"/>
      <c r="U579" s="381"/>
      <c r="V579" s="381"/>
      <c r="W579" s="381"/>
      <c r="X579" s="381"/>
      <c r="Y579" s="381"/>
      <c r="Z579" s="381"/>
      <c r="AA579" s="381"/>
      <c r="AB579" s="381"/>
      <c r="AC579" s="382"/>
      <c r="AD579" s="382"/>
    </row>
    <row r="580" spans="1:30" ht="12.75" customHeight="1" x14ac:dyDescent="0.2">
      <c r="A580" s="378"/>
      <c r="B580" s="378"/>
      <c r="C580" s="378"/>
      <c r="D580" s="380"/>
      <c r="E580" s="380"/>
      <c r="F580" s="378"/>
      <c r="G580" s="378"/>
      <c r="H580" s="378"/>
      <c r="I580" s="378"/>
      <c r="J580" s="378"/>
      <c r="K580" s="378"/>
      <c r="L580" s="378"/>
      <c r="M580" s="381"/>
      <c r="N580" s="381"/>
      <c r="O580" s="381"/>
      <c r="P580" s="381"/>
      <c r="Q580" s="381"/>
      <c r="R580" s="381"/>
      <c r="S580" s="381"/>
      <c r="T580" s="381"/>
      <c r="U580" s="381"/>
      <c r="V580" s="381"/>
      <c r="W580" s="381"/>
      <c r="X580" s="381"/>
      <c r="Y580" s="381"/>
      <c r="Z580" s="381"/>
      <c r="AA580" s="381"/>
      <c r="AB580" s="381"/>
      <c r="AC580" s="382"/>
      <c r="AD580" s="382"/>
    </row>
    <row r="581" spans="1:30" ht="12.75" customHeight="1" x14ac:dyDescent="0.2">
      <c r="A581" s="378"/>
      <c r="B581" s="378"/>
      <c r="C581" s="378"/>
      <c r="D581" s="380"/>
      <c r="E581" s="380"/>
      <c r="F581" s="378"/>
      <c r="G581" s="378"/>
      <c r="H581" s="378"/>
      <c r="I581" s="378"/>
      <c r="J581" s="378"/>
      <c r="K581" s="378"/>
      <c r="L581" s="378"/>
      <c r="M581" s="381"/>
      <c r="N581" s="381"/>
      <c r="O581" s="381"/>
      <c r="P581" s="381"/>
      <c r="Q581" s="381"/>
      <c r="R581" s="381"/>
      <c r="S581" s="381"/>
      <c r="T581" s="381"/>
      <c r="U581" s="381"/>
      <c r="V581" s="381"/>
      <c r="W581" s="381"/>
      <c r="X581" s="381"/>
      <c r="Y581" s="381"/>
      <c r="Z581" s="381"/>
      <c r="AA581" s="381"/>
      <c r="AB581" s="381"/>
      <c r="AC581" s="382"/>
      <c r="AD581" s="382"/>
    </row>
    <row r="582" spans="1:30" ht="12.75" customHeight="1" x14ac:dyDescent="0.2">
      <c r="A582" s="378"/>
      <c r="B582" s="378"/>
      <c r="C582" s="378"/>
      <c r="D582" s="380"/>
      <c r="E582" s="380"/>
      <c r="F582" s="378"/>
      <c r="G582" s="378"/>
      <c r="H582" s="378"/>
      <c r="I582" s="378"/>
      <c r="J582" s="378"/>
      <c r="K582" s="378"/>
      <c r="L582" s="378"/>
      <c r="M582" s="381"/>
      <c r="N582" s="381"/>
      <c r="O582" s="381"/>
      <c r="P582" s="381"/>
      <c r="Q582" s="381"/>
      <c r="R582" s="381"/>
      <c r="S582" s="381"/>
      <c r="T582" s="381"/>
      <c r="U582" s="381"/>
      <c r="V582" s="381"/>
      <c r="W582" s="381"/>
      <c r="X582" s="381"/>
      <c r="Y582" s="381"/>
      <c r="Z582" s="381"/>
      <c r="AA582" s="381"/>
      <c r="AB582" s="381"/>
      <c r="AC582" s="382"/>
      <c r="AD582" s="382"/>
    </row>
    <row r="583" spans="1:30" ht="12.75" customHeight="1" x14ac:dyDescent="0.2">
      <c r="A583" s="378"/>
      <c r="B583" s="378"/>
      <c r="C583" s="378"/>
      <c r="D583" s="380"/>
      <c r="E583" s="380"/>
      <c r="F583" s="378"/>
      <c r="G583" s="378"/>
      <c r="H583" s="378"/>
      <c r="I583" s="378"/>
      <c r="J583" s="378"/>
      <c r="K583" s="378"/>
      <c r="L583" s="378"/>
      <c r="M583" s="381"/>
      <c r="N583" s="381"/>
      <c r="O583" s="381"/>
      <c r="P583" s="381"/>
      <c r="Q583" s="381"/>
      <c r="R583" s="381"/>
      <c r="S583" s="381"/>
      <c r="T583" s="381"/>
      <c r="U583" s="381"/>
      <c r="V583" s="381"/>
      <c r="W583" s="381"/>
      <c r="X583" s="381"/>
      <c r="Y583" s="381"/>
      <c r="Z583" s="381"/>
      <c r="AA583" s="381"/>
      <c r="AB583" s="381"/>
      <c r="AC583" s="382"/>
      <c r="AD583" s="382"/>
    </row>
    <row r="584" spans="1:30" ht="12.75" customHeight="1" x14ac:dyDescent="0.2">
      <c r="A584" s="378"/>
      <c r="B584" s="378"/>
      <c r="C584" s="378"/>
      <c r="D584" s="380"/>
      <c r="E584" s="380"/>
      <c r="F584" s="378"/>
      <c r="G584" s="378"/>
      <c r="H584" s="378"/>
      <c r="I584" s="378"/>
      <c r="J584" s="378"/>
      <c r="K584" s="378"/>
      <c r="L584" s="378"/>
      <c r="M584" s="381"/>
      <c r="N584" s="381"/>
      <c r="O584" s="381"/>
      <c r="P584" s="381"/>
      <c r="Q584" s="381"/>
      <c r="R584" s="381"/>
      <c r="S584" s="381"/>
      <c r="T584" s="381"/>
      <c r="U584" s="381"/>
      <c r="V584" s="381"/>
      <c r="W584" s="381"/>
      <c r="X584" s="381"/>
      <c r="Y584" s="381"/>
      <c r="Z584" s="381"/>
      <c r="AA584" s="381"/>
      <c r="AB584" s="381"/>
      <c r="AC584" s="382"/>
      <c r="AD584" s="382"/>
    </row>
    <row r="585" spans="1:30" ht="12.75" customHeight="1" x14ac:dyDescent="0.2">
      <c r="A585" s="378"/>
      <c r="B585" s="378"/>
      <c r="C585" s="378"/>
      <c r="D585" s="380"/>
      <c r="E585" s="380"/>
      <c r="F585" s="378"/>
      <c r="G585" s="378"/>
      <c r="H585" s="378"/>
      <c r="I585" s="378"/>
      <c r="J585" s="378"/>
      <c r="K585" s="378"/>
      <c r="L585" s="378"/>
      <c r="M585" s="381"/>
      <c r="N585" s="381"/>
      <c r="O585" s="381"/>
      <c r="P585" s="381"/>
      <c r="Q585" s="381"/>
      <c r="R585" s="381"/>
      <c r="S585" s="381"/>
      <c r="T585" s="381"/>
      <c r="U585" s="381"/>
      <c r="V585" s="381"/>
      <c r="W585" s="381"/>
      <c r="X585" s="381"/>
      <c r="Y585" s="381"/>
      <c r="Z585" s="381"/>
      <c r="AA585" s="381"/>
      <c r="AB585" s="381"/>
      <c r="AC585" s="382"/>
      <c r="AD585" s="382"/>
    </row>
    <row r="586" spans="1:30" ht="12.75" customHeight="1" x14ac:dyDescent="0.2">
      <c r="A586" s="378"/>
      <c r="B586" s="378"/>
      <c r="C586" s="378"/>
      <c r="D586" s="380"/>
      <c r="E586" s="380"/>
      <c r="F586" s="378"/>
      <c r="G586" s="378"/>
      <c r="H586" s="378"/>
      <c r="I586" s="378"/>
      <c r="J586" s="378"/>
      <c r="K586" s="378"/>
      <c r="L586" s="378"/>
      <c r="M586" s="381"/>
      <c r="N586" s="381"/>
      <c r="O586" s="381"/>
      <c r="P586" s="381"/>
      <c r="Q586" s="381"/>
      <c r="R586" s="381"/>
      <c r="S586" s="381"/>
      <c r="T586" s="381"/>
      <c r="U586" s="381"/>
      <c r="V586" s="381"/>
      <c r="W586" s="381"/>
      <c r="X586" s="381"/>
      <c r="Y586" s="381"/>
      <c r="Z586" s="381"/>
      <c r="AA586" s="381"/>
      <c r="AB586" s="381"/>
      <c r="AC586" s="382"/>
      <c r="AD586" s="382"/>
    </row>
    <row r="587" spans="1:30" ht="12.75" customHeight="1" x14ac:dyDescent="0.2">
      <c r="A587" s="378"/>
      <c r="B587" s="378"/>
      <c r="C587" s="378"/>
      <c r="D587" s="380"/>
      <c r="E587" s="380"/>
      <c r="F587" s="378"/>
      <c r="G587" s="378"/>
      <c r="H587" s="378"/>
      <c r="I587" s="378"/>
      <c r="J587" s="378"/>
      <c r="K587" s="378"/>
      <c r="L587" s="378"/>
      <c r="M587" s="381"/>
      <c r="N587" s="381"/>
      <c r="O587" s="381"/>
      <c r="P587" s="381"/>
      <c r="Q587" s="381"/>
      <c r="R587" s="381"/>
      <c r="S587" s="381"/>
      <c r="T587" s="381"/>
      <c r="U587" s="381"/>
      <c r="V587" s="381"/>
      <c r="W587" s="381"/>
      <c r="X587" s="381"/>
      <c r="Y587" s="381"/>
      <c r="Z587" s="381"/>
      <c r="AA587" s="381"/>
      <c r="AB587" s="381"/>
      <c r="AC587" s="382"/>
      <c r="AD587" s="382"/>
    </row>
    <row r="588" spans="1:30" ht="12.75" customHeight="1" x14ac:dyDescent="0.2">
      <c r="A588" s="378"/>
      <c r="B588" s="378"/>
      <c r="C588" s="378"/>
      <c r="D588" s="380"/>
      <c r="E588" s="380"/>
      <c r="F588" s="378"/>
      <c r="G588" s="378"/>
      <c r="H588" s="378"/>
      <c r="I588" s="378"/>
      <c r="J588" s="378"/>
      <c r="K588" s="378"/>
      <c r="L588" s="378"/>
      <c r="M588" s="381"/>
      <c r="N588" s="381"/>
      <c r="O588" s="381"/>
      <c r="P588" s="381"/>
      <c r="Q588" s="381"/>
      <c r="R588" s="381"/>
      <c r="S588" s="381"/>
      <c r="T588" s="381"/>
      <c r="U588" s="381"/>
      <c r="V588" s="381"/>
      <c r="W588" s="381"/>
      <c r="X588" s="381"/>
      <c r="Y588" s="381"/>
      <c r="Z588" s="381"/>
      <c r="AA588" s="381"/>
      <c r="AB588" s="381"/>
      <c r="AC588" s="382"/>
      <c r="AD588" s="382"/>
    </row>
    <row r="589" spans="1:30" ht="12.75" customHeight="1" x14ac:dyDescent="0.2">
      <c r="A589" s="378"/>
      <c r="B589" s="378"/>
      <c r="C589" s="378"/>
      <c r="D589" s="380"/>
      <c r="E589" s="380"/>
      <c r="F589" s="378"/>
      <c r="G589" s="378"/>
      <c r="H589" s="378"/>
      <c r="I589" s="378"/>
      <c r="J589" s="378"/>
      <c r="K589" s="378"/>
      <c r="L589" s="378"/>
      <c r="M589" s="381"/>
      <c r="N589" s="381"/>
      <c r="O589" s="381"/>
      <c r="P589" s="381"/>
      <c r="Q589" s="381"/>
      <c r="R589" s="381"/>
      <c r="S589" s="381"/>
      <c r="T589" s="381"/>
      <c r="U589" s="381"/>
      <c r="V589" s="381"/>
      <c r="W589" s="381"/>
      <c r="X589" s="381"/>
      <c r="Y589" s="381"/>
      <c r="Z589" s="381"/>
      <c r="AA589" s="381"/>
      <c r="AB589" s="381"/>
      <c r="AC589" s="382"/>
      <c r="AD589" s="382"/>
    </row>
    <row r="590" spans="1:30" ht="12.75" customHeight="1" x14ac:dyDescent="0.2">
      <c r="A590" s="378"/>
      <c r="B590" s="378"/>
      <c r="C590" s="378"/>
      <c r="D590" s="380"/>
      <c r="E590" s="380"/>
      <c r="F590" s="378"/>
      <c r="G590" s="378"/>
      <c r="H590" s="378"/>
      <c r="I590" s="378"/>
      <c r="J590" s="378"/>
      <c r="K590" s="378"/>
      <c r="L590" s="378"/>
      <c r="M590" s="381"/>
      <c r="N590" s="381"/>
      <c r="O590" s="381"/>
      <c r="P590" s="381"/>
      <c r="Q590" s="381"/>
      <c r="R590" s="381"/>
      <c r="S590" s="381"/>
      <c r="T590" s="381"/>
      <c r="U590" s="381"/>
      <c r="V590" s="381"/>
      <c r="W590" s="381"/>
      <c r="X590" s="381"/>
      <c r="Y590" s="381"/>
      <c r="Z590" s="381"/>
      <c r="AA590" s="381"/>
      <c r="AB590" s="381"/>
      <c r="AC590" s="382"/>
      <c r="AD590" s="382"/>
    </row>
    <row r="591" spans="1:30" ht="12.75" customHeight="1" x14ac:dyDescent="0.2">
      <c r="A591" s="378"/>
      <c r="B591" s="378"/>
      <c r="C591" s="378"/>
      <c r="D591" s="380"/>
      <c r="E591" s="380"/>
      <c r="F591" s="378"/>
      <c r="G591" s="378"/>
      <c r="H591" s="378"/>
      <c r="I591" s="378"/>
      <c r="J591" s="378"/>
      <c r="K591" s="378"/>
      <c r="L591" s="378"/>
      <c r="M591" s="381"/>
      <c r="N591" s="381"/>
      <c r="O591" s="381"/>
      <c r="P591" s="381"/>
      <c r="Q591" s="381"/>
      <c r="R591" s="381"/>
      <c r="S591" s="381"/>
      <c r="T591" s="381"/>
      <c r="U591" s="381"/>
      <c r="V591" s="381"/>
      <c r="W591" s="381"/>
      <c r="X591" s="381"/>
      <c r="Y591" s="381"/>
      <c r="Z591" s="381"/>
      <c r="AA591" s="381"/>
      <c r="AB591" s="381"/>
      <c r="AC591" s="382"/>
      <c r="AD591" s="382"/>
    </row>
    <row r="592" spans="1:30" ht="12.75" customHeight="1" x14ac:dyDescent="0.2">
      <c r="A592" s="378"/>
      <c r="B592" s="378"/>
      <c r="C592" s="378"/>
      <c r="D592" s="380"/>
      <c r="E592" s="380"/>
      <c r="F592" s="378"/>
      <c r="G592" s="378"/>
      <c r="H592" s="378"/>
      <c r="I592" s="378"/>
      <c r="J592" s="378"/>
      <c r="K592" s="378"/>
      <c r="L592" s="378"/>
      <c r="M592" s="381"/>
      <c r="N592" s="381"/>
      <c r="O592" s="381"/>
      <c r="P592" s="381"/>
      <c r="Q592" s="381"/>
      <c r="R592" s="381"/>
      <c r="S592" s="381"/>
      <c r="T592" s="381"/>
      <c r="U592" s="381"/>
      <c r="V592" s="381"/>
      <c r="W592" s="381"/>
      <c r="X592" s="381"/>
      <c r="Y592" s="381"/>
      <c r="Z592" s="381"/>
      <c r="AA592" s="381"/>
      <c r="AB592" s="381"/>
      <c r="AC592" s="382"/>
      <c r="AD592" s="382"/>
    </row>
    <row r="593" spans="1:30" ht="12.75" customHeight="1" x14ac:dyDescent="0.2">
      <c r="A593" s="378"/>
      <c r="B593" s="378"/>
      <c r="C593" s="378"/>
      <c r="D593" s="380"/>
      <c r="E593" s="380"/>
      <c r="F593" s="378"/>
      <c r="G593" s="378"/>
      <c r="H593" s="378"/>
      <c r="I593" s="378"/>
      <c r="J593" s="378"/>
      <c r="K593" s="378"/>
      <c r="L593" s="378"/>
      <c r="M593" s="381"/>
      <c r="N593" s="381"/>
      <c r="O593" s="381"/>
      <c r="P593" s="381"/>
      <c r="Q593" s="381"/>
      <c r="R593" s="381"/>
      <c r="S593" s="381"/>
      <c r="T593" s="381"/>
      <c r="U593" s="381"/>
      <c r="V593" s="381"/>
      <c r="W593" s="381"/>
      <c r="X593" s="381"/>
      <c r="Y593" s="381"/>
      <c r="Z593" s="381"/>
      <c r="AA593" s="381"/>
      <c r="AB593" s="381"/>
      <c r="AC593" s="382"/>
      <c r="AD593" s="382"/>
    </row>
    <row r="594" spans="1:30" ht="12.75" customHeight="1" x14ac:dyDescent="0.2">
      <c r="A594" s="378"/>
      <c r="B594" s="378"/>
      <c r="C594" s="378"/>
      <c r="D594" s="380"/>
      <c r="E594" s="380"/>
      <c r="F594" s="378"/>
      <c r="G594" s="378"/>
      <c r="H594" s="378"/>
      <c r="I594" s="378"/>
      <c r="J594" s="378"/>
      <c r="K594" s="378"/>
      <c r="L594" s="378"/>
      <c r="M594" s="381"/>
      <c r="N594" s="381"/>
      <c r="O594" s="381"/>
      <c r="P594" s="381"/>
      <c r="Q594" s="381"/>
      <c r="R594" s="381"/>
      <c r="S594" s="381"/>
      <c r="T594" s="381"/>
      <c r="U594" s="381"/>
      <c r="V594" s="381"/>
      <c r="W594" s="381"/>
      <c r="X594" s="381"/>
      <c r="Y594" s="381"/>
      <c r="Z594" s="381"/>
      <c r="AA594" s="381"/>
      <c r="AB594" s="381"/>
      <c r="AC594" s="382"/>
      <c r="AD594" s="382"/>
    </row>
    <row r="595" spans="1:30" ht="12.75" customHeight="1" x14ac:dyDescent="0.2">
      <c r="A595" s="378"/>
      <c r="B595" s="378"/>
      <c r="C595" s="378"/>
      <c r="D595" s="380"/>
      <c r="E595" s="380"/>
      <c r="F595" s="378"/>
      <c r="G595" s="378"/>
      <c r="H595" s="378"/>
      <c r="I595" s="378"/>
      <c r="J595" s="378"/>
      <c r="K595" s="378"/>
      <c r="L595" s="378"/>
      <c r="M595" s="381"/>
      <c r="N595" s="381"/>
      <c r="O595" s="381"/>
      <c r="P595" s="381"/>
      <c r="Q595" s="381"/>
      <c r="R595" s="381"/>
      <c r="S595" s="381"/>
      <c r="T595" s="381"/>
      <c r="U595" s="381"/>
      <c r="V595" s="381"/>
      <c r="W595" s="381"/>
      <c r="X595" s="381"/>
      <c r="Y595" s="381"/>
      <c r="Z595" s="381"/>
      <c r="AA595" s="381"/>
      <c r="AB595" s="381"/>
      <c r="AC595" s="382"/>
      <c r="AD595" s="382"/>
    </row>
    <row r="596" spans="1:30" ht="12.75" customHeight="1" x14ac:dyDescent="0.2">
      <c r="A596" s="378"/>
      <c r="B596" s="378"/>
      <c r="C596" s="378"/>
      <c r="D596" s="380"/>
      <c r="E596" s="380"/>
      <c r="F596" s="378"/>
      <c r="G596" s="378"/>
      <c r="H596" s="378"/>
      <c r="I596" s="378"/>
      <c r="J596" s="378"/>
      <c r="K596" s="378"/>
      <c r="L596" s="378"/>
      <c r="M596" s="381"/>
      <c r="N596" s="381"/>
      <c r="O596" s="381"/>
      <c r="P596" s="381"/>
      <c r="Q596" s="381"/>
      <c r="R596" s="381"/>
      <c r="S596" s="381"/>
      <c r="T596" s="381"/>
      <c r="U596" s="381"/>
      <c r="V596" s="381"/>
      <c r="W596" s="381"/>
      <c r="X596" s="381"/>
      <c r="Y596" s="381"/>
      <c r="Z596" s="381"/>
      <c r="AA596" s="381"/>
      <c r="AB596" s="381"/>
      <c r="AC596" s="382"/>
      <c r="AD596" s="382"/>
    </row>
    <row r="597" spans="1:30" ht="12.75" customHeight="1" x14ac:dyDescent="0.2">
      <c r="A597" s="378"/>
      <c r="B597" s="378"/>
      <c r="C597" s="378"/>
      <c r="D597" s="380"/>
      <c r="E597" s="380"/>
      <c r="F597" s="378"/>
      <c r="G597" s="378"/>
      <c r="H597" s="378"/>
      <c r="I597" s="378"/>
      <c r="J597" s="378"/>
      <c r="K597" s="378"/>
      <c r="L597" s="378"/>
      <c r="M597" s="381"/>
      <c r="N597" s="381"/>
      <c r="O597" s="381"/>
      <c r="P597" s="381"/>
      <c r="Q597" s="381"/>
      <c r="R597" s="381"/>
      <c r="S597" s="381"/>
      <c r="T597" s="381"/>
      <c r="U597" s="381"/>
      <c r="V597" s="381"/>
      <c r="W597" s="381"/>
      <c r="X597" s="381"/>
      <c r="Y597" s="381"/>
      <c r="Z597" s="381"/>
      <c r="AA597" s="381"/>
      <c r="AB597" s="381"/>
      <c r="AC597" s="382"/>
      <c r="AD597" s="382"/>
    </row>
    <row r="598" spans="1:30" ht="12.75" customHeight="1" x14ac:dyDescent="0.2">
      <c r="A598" s="378"/>
      <c r="B598" s="378"/>
      <c r="C598" s="378"/>
      <c r="D598" s="380"/>
      <c r="E598" s="380"/>
      <c r="F598" s="378"/>
      <c r="G598" s="378"/>
      <c r="H598" s="378"/>
      <c r="I598" s="378"/>
      <c r="J598" s="378"/>
      <c r="K598" s="378"/>
      <c r="L598" s="378"/>
      <c r="M598" s="381"/>
      <c r="N598" s="381"/>
      <c r="O598" s="381"/>
      <c r="P598" s="381"/>
      <c r="Q598" s="381"/>
      <c r="R598" s="381"/>
      <c r="S598" s="381"/>
      <c r="T598" s="381"/>
      <c r="U598" s="381"/>
      <c r="V598" s="381"/>
      <c r="W598" s="381"/>
      <c r="X598" s="381"/>
      <c r="Y598" s="381"/>
      <c r="Z598" s="381"/>
      <c r="AA598" s="381"/>
      <c r="AB598" s="381"/>
      <c r="AC598" s="382"/>
      <c r="AD598" s="382"/>
    </row>
    <row r="599" spans="1:30" ht="12.75" customHeight="1" x14ac:dyDescent="0.2">
      <c r="A599" s="378"/>
      <c r="B599" s="378"/>
      <c r="C599" s="378"/>
      <c r="D599" s="380"/>
      <c r="E599" s="380"/>
      <c r="F599" s="378"/>
      <c r="G599" s="378"/>
      <c r="H599" s="378"/>
      <c r="I599" s="378"/>
      <c r="J599" s="378"/>
      <c r="K599" s="378"/>
      <c r="L599" s="378"/>
      <c r="M599" s="381"/>
      <c r="N599" s="381"/>
      <c r="O599" s="381"/>
      <c r="P599" s="381"/>
      <c r="Q599" s="381"/>
      <c r="R599" s="381"/>
      <c r="S599" s="381"/>
      <c r="T599" s="381"/>
      <c r="U599" s="381"/>
      <c r="V599" s="381"/>
      <c r="W599" s="381"/>
      <c r="X599" s="381"/>
      <c r="Y599" s="381"/>
      <c r="Z599" s="381"/>
      <c r="AA599" s="381"/>
      <c r="AB599" s="381"/>
      <c r="AC599" s="382"/>
      <c r="AD599" s="382"/>
    </row>
    <row r="600" spans="1:30" ht="12.75" customHeight="1" x14ac:dyDescent="0.2">
      <c r="A600" s="378"/>
      <c r="B600" s="378"/>
      <c r="C600" s="378"/>
      <c r="D600" s="380"/>
      <c r="E600" s="380"/>
      <c r="F600" s="378"/>
      <c r="G600" s="378"/>
      <c r="H600" s="378"/>
      <c r="I600" s="378"/>
      <c r="J600" s="378"/>
      <c r="K600" s="378"/>
      <c r="L600" s="378"/>
      <c r="M600" s="381"/>
      <c r="N600" s="381"/>
      <c r="O600" s="381"/>
      <c r="P600" s="381"/>
      <c r="Q600" s="381"/>
      <c r="R600" s="381"/>
      <c r="S600" s="381"/>
      <c r="T600" s="381"/>
      <c r="U600" s="381"/>
      <c r="V600" s="381"/>
      <c r="W600" s="381"/>
      <c r="X600" s="381"/>
      <c r="Y600" s="381"/>
      <c r="Z600" s="381"/>
      <c r="AA600" s="381"/>
      <c r="AB600" s="381"/>
      <c r="AC600" s="382"/>
      <c r="AD600" s="382"/>
    </row>
    <row r="601" spans="1:30" ht="12.75" customHeight="1" x14ac:dyDescent="0.2">
      <c r="A601" s="378"/>
      <c r="B601" s="378"/>
      <c r="C601" s="378"/>
      <c r="D601" s="380"/>
      <c r="E601" s="380"/>
      <c r="F601" s="378"/>
      <c r="G601" s="378"/>
      <c r="H601" s="378"/>
      <c r="I601" s="378"/>
      <c r="J601" s="378"/>
      <c r="K601" s="378"/>
      <c r="L601" s="378"/>
      <c r="M601" s="381"/>
      <c r="N601" s="381"/>
      <c r="O601" s="381"/>
      <c r="P601" s="381"/>
      <c r="Q601" s="381"/>
      <c r="R601" s="381"/>
      <c r="S601" s="381"/>
      <c r="T601" s="381"/>
      <c r="U601" s="381"/>
      <c r="V601" s="381"/>
      <c r="W601" s="381"/>
      <c r="X601" s="381"/>
      <c r="Y601" s="381"/>
      <c r="Z601" s="381"/>
      <c r="AA601" s="381"/>
      <c r="AB601" s="381"/>
      <c r="AC601" s="382"/>
      <c r="AD601" s="382"/>
    </row>
    <row r="602" spans="1:30" ht="12.75" customHeight="1" x14ac:dyDescent="0.2">
      <c r="A602" s="378"/>
      <c r="B602" s="378"/>
      <c r="C602" s="378"/>
      <c r="D602" s="380"/>
      <c r="E602" s="380"/>
      <c r="F602" s="378"/>
      <c r="G602" s="378"/>
      <c r="H602" s="378"/>
      <c r="I602" s="378"/>
      <c r="J602" s="378"/>
      <c r="K602" s="378"/>
      <c r="L602" s="378"/>
      <c r="M602" s="381"/>
      <c r="N602" s="381"/>
      <c r="O602" s="381"/>
      <c r="P602" s="381"/>
      <c r="Q602" s="381"/>
      <c r="R602" s="381"/>
      <c r="S602" s="381"/>
      <c r="T602" s="381"/>
      <c r="U602" s="381"/>
      <c r="V602" s="381"/>
      <c r="W602" s="381"/>
      <c r="X602" s="381"/>
      <c r="Y602" s="381"/>
      <c r="Z602" s="381"/>
      <c r="AA602" s="381"/>
      <c r="AB602" s="381"/>
      <c r="AC602" s="382"/>
      <c r="AD602" s="382"/>
    </row>
    <row r="603" spans="1:30" ht="12.75" customHeight="1" x14ac:dyDescent="0.2">
      <c r="A603" s="378"/>
      <c r="B603" s="378"/>
      <c r="C603" s="378"/>
      <c r="D603" s="380"/>
      <c r="E603" s="380"/>
      <c r="F603" s="378"/>
      <c r="G603" s="378"/>
      <c r="H603" s="378"/>
      <c r="I603" s="378"/>
      <c r="J603" s="378"/>
      <c r="K603" s="378"/>
      <c r="L603" s="378"/>
      <c r="M603" s="381"/>
      <c r="N603" s="381"/>
      <c r="O603" s="381"/>
      <c r="P603" s="381"/>
      <c r="Q603" s="381"/>
      <c r="R603" s="381"/>
      <c r="S603" s="381"/>
      <c r="T603" s="381"/>
      <c r="U603" s="381"/>
      <c r="V603" s="381"/>
      <c r="W603" s="381"/>
      <c r="X603" s="381"/>
      <c r="Y603" s="381"/>
      <c r="Z603" s="381"/>
      <c r="AA603" s="381"/>
      <c r="AB603" s="381"/>
      <c r="AC603" s="382"/>
      <c r="AD603" s="382"/>
    </row>
    <row r="604" spans="1:30" ht="12.75" customHeight="1" x14ac:dyDescent="0.2">
      <c r="A604" s="378"/>
      <c r="B604" s="378"/>
      <c r="C604" s="378"/>
      <c r="D604" s="380"/>
      <c r="E604" s="380"/>
      <c r="F604" s="378"/>
      <c r="G604" s="378"/>
      <c r="H604" s="378"/>
      <c r="I604" s="378"/>
      <c r="J604" s="378"/>
      <c r="K604" s="378"/>
      <c r="L604" s="378"/>
      <c r="M604" s="381"/>
      <c r="N604" s="381"/>
      <c r="O604" s="381"/>
      <c r="P604" s="381"/>
      <c r="Q604" s="381"/>
      <c r="R604" s="381"/>
      <c r="S604" s="381"/>
      <c r="T604" s="381"/>
      <c r="U604" s="381"/>
      <c r="V604" s="381"/>
      <c r="W604" s="381"/>
      <c r="X604" s="381"/>
      <c r="Y604" s="381"/>
      <c r="Z604" s="381"/>
      <c r="AA604" s="381"/>
      <c r="AB604" s="381"/>
      <c r="AC604" s="382"/>
      <c r="AD604" s="382"/>
    </row>
    <row r="605" spans="1:30" ht="12.75" customHeight="1" x14ac:dyDescent="0.2">
      <c r="A605" s="378"/>
      <c r="B605" s="378"/>
      <c r="C605" s="378"/>
      <c r="D605" s="380"/>
      <c r="E605" s="380"/>
      <c r="F605" s="378"/>
      <c r="G605" s="378"/>
      <c r="H605" s="378"/>
      <c r="I605" s="378"/>
      <c r="J605" s="378"/>
      <c r="K605" s="378"/>
      <c r="L605" s="378"/>
      <c r="M605" s="381"/>
      <c r="N605" s="381"/>
      <c r="O605" s="381"/>
      <c r="P605" s="381"/>
      <c r="Q605" s="381"/>
      <c r="R605" s="381"/>
      <c r="S605" s="381"/>
      <c r="T605" s="381"/>
      <c r="U605" s="381"/>
      <c r="V605" s="381"/>
      <c r="W605" s="381"/>
      <c r="X605" s="381"/>
      <c r="Y605" s="381"/>
      <c r="Z605" s="381"/>
      <c r="AA605" s="381"/>
      <c r="AB605" s="381"/>
      <c r="AC605" s="382"/>
      <c r="AD605" s="382"/>
    </row>
    <row r="606" spans="1:30" ht="12.75" customHeight="1" x14ac:dyDescent="0.2">
      <c r="A606" s="378"/>
      <c r="B606" s="378"/>
      <c r="C606" s="378"/>
      <c r="D606" s="380"/>
      <c r="E606" s="380"/>
      <c r="F606" s="378"/>
      <c r="G606" s="378"/>
      <c r="H606" s="378"/>
      <c r="I606" s="378"/>
      <c r="J606" s="378"/>
      <c r="K606" s="378"/>
      <c r="L606" s="378"/>
      <c r="M606" s="381"/>
      <c r="N606" s="381"/>
      <c r="O606" s="381"/>
      <c r="P606" s="381"/>
      <c r="Q606" s="381"/>
      <c r="R606" s="381"/>
      <c r="S606" s="381"/>
      <c r="T606" s="381"/>
      <c r="U606" s="381"/>
      <c r="V606" s="381"/>
      <c r="W606" s="381"/>
      <c r="X606" s="381"/>
      <c r="Y606" s="381"/>
      <c r="Z606" s="381"/>
      <c r="AA606" s="381"/>
      <c r="AB606" s="381"/>
      <c r="AC606" s="382"/>
      <c r="AD606" s="382"/>
    </row>
    <row r="607" spans="1:30" ht="12.75" customHeight="1" x14ac:dyDescent="0.2">
      <c r="A607" s="378"/>
      <c r="B607" s="378"/>
      <c r="C607" s="378"/>
      <c r="D607" s="380"/>
      <c r="E607" s="380"/>
      <c r="F607" s="378"/>
      <c r="G607" s="378"/>
      <c r="H607" s="378"/>
      <c r="I607" s="378"/>
      <c r="J607" s="378"/>
      <c r="K607" s="378"/>
      <c r="L607" s="378"/>
      <c r="M607" s="381"/>
      <c r="N607" s="381"/>
      <c r="O607" s="381"/>
      <c r="P607" s="381"/>
      <c r="Q607" s="381"/>
      <c r="R607" s="381"/>
      <c r="S607" s="381"/>
      <c r="T607" s="381"/>
      <c r="U607" s="381"/>
      <c r="V607" s="381"/>
      <c r="W607" s="381"/>
      <c r="X607" s="381"/>
      <c r="Y607" s="381"/>
      <c r="Z607" s="381"/>
      <c r="AA607" s="381"/>
      <c r="AB607" s="381"/>
      <c r="AC607" s="382"/>
      <c r="AD607" s="382"/>
    </row>
    <row r="608" spans="1:30" ht="12.75" customHeight="1" x14ac:dyDescent="0.2">
      <c r="A608" s="378"/>
      <c r="B608" s="378"/>
      <c r="C608" s="378"/>
      <c r="D608" s="380"/>
      <c r="E608" s="380"/>
      <c r="F608" s="378"/>
      <c r="G608" s="378"/>
      <c r="H608" s="378"/>
      <c r="I608" s="378"/>
      <c r="J608" s="378"/>
      <c r="K608" s="378"/>
      <c r="L608" s="378"/>
      <c r="M608" s="381"/>
      <c r="N608" s="381"/>
      <c r="O608" s="381"/>
      <c r="P608" s="381"/>
      <c r="Q608" s="381"/>
      <c r="R608" s="381"/>
      <c r="S608" s="381"/>
      <c r="T608" s="381"/>
      <c r="U608" s="381"/>
      <c r="V608" s="381"/>
      <c r="W608" s="381"/>
      <c r="X608" s="381"/>
      <c r="Y608" s="381"/>
      <c r="Z608" s="381"/>
      <c r="AA608" s="381"/>
      <c r="AB608" s="381"/>
      <c r="AC608" s="382"/>
      <c r="AD608" s="382"/>
    </row>
    <row r="609" spans="1:30" ht="12.75" customHeight="1" x14ac:dyDescent="0.2">
      <c r="A609" s="378"/>
      <c r="B609" s="378"/>
      <c r="C609" s="378"/>
      <c r="D609" s="380"/>
      <c r="E609" s="380"/>
      <c r="F609" s="378"/>
      <c r="G609" s="378"/>
      <c r="H609" s="378"/>
      <c r="I609" s="378"/>
      <c r="J609" s="378"/>
      <c r="K609" s="378"/>
      <c r="L609" s="378"/>
      <c r="M609" s="381"/>
      <c r="N609" s="381"/>
      <c r="O609" s="381"/>
      <c r="P609" s="381"/>
      <c r="Q609" s="381"/>
      <c r="R609" s="381"/>
      <c r="S609" s="381"/>
      <c r="T609" s="381"/>
      <c r="U609" s="381"/>
      <c r="V609" s="381"/>
      <c r="W609" s="381"/>
      <c r="X609" s="381"/>
      <c r="Y609" s="381"/>
      <c r="Z609" s="381"/>
      <c r="AA609" s="381"/>
      <c r="AB609" s="381"/>
      <c r="AC609" s="382"/>
      <c r="AD609" s="382"/>
    </row>
    <row r="610" spans="1:30" ht="12.75" customHeight="1" x14ac:dyDescent="0.2">
      <c r="A610" s="378"/>
      <c r="B610" s="378"/>
      <c r="C610" s="378"/>
      <c r="D610" s="380"/>
      <c r="E610" s="380"/>
      <c r="F610" s="378"/>
      <c r="G610" s="378"/>
      <c r="H610" s="378"/>
      <c r="I610" s="378"/>
      <c r="J610" s="378"/>
      <c r="K610" s="378"/>
      <c r="L610" s="378"/>
      <c r="M610" s="381"/>
      <c r="N610" s="381"/>
      <c r="O610" s="381"/>
      <c r="P610" s="381"/>
      <c r="Q610" s="381"/>
      <c r="R610" s="381"/>
      <c r="S610" s="381"/>
      <c r="T610" s="381"/>
      <c r="U610" s="381"/>
      <c r="V610" s="381"/>
      <c r="W610" s="381"/>
      <c r="X610" s="381"/>
      <c r="Y610" s="381"/>
      <c r="Z610" s="381"/>
      <c r="AA610" s="381"/>
      <c r="AB610" s="381"/>
      <c r="AC610" s="382"/>
      <c r="AD610" s="382"/>
    </row>
    <row r="611" spans="1:30" ht="12.75" customHeight="1" x14ac:dyDescent="0.2">
      <c r="A611" s="378"/>
      <c r="B611" s="378"/>
      <c r="C611" s="378"/>
      <c r="D611" s="380"/>
      <c r="E611" s="380"/>
      <c r="F611" s="378"/>
      <c r="G611" s="378"/>
      <c r="H611" s="378"/>
      <c r="I611" s="378"/>
      <c r="J611" s="378"/>
      <c r="K611" s="378"/>
      <c r="L611" s="378"/>
      <c r="M611" s="381"/>
      <c r="N611" s="381"/>
      <c r="O611" s="381"/>
      <c r="P611" s="381"/>
      <c r="Q611" s="381"/>
      <c r="R611" s="381"/>
      <c r="S611" s="381"/>
      <c r="T611" s="381"/>
      <c r="U611" s="381"/>
      <c r="V611" s="381"/>
      <c r="W611" s="381"/>
      <c r="X611" s="381"/>
      <c r="Y611" s="381"/>
      <c r="Z611" s="381"/>
      <c r="AA611" s="381"/>
      <c r="AB611" s="381"/>
      <c r="AC611" s="382"/>
      <c r="AD611" s="382"/>
    </row>
    <row r="612" spans="1:30" ht="12.75" customHeight="1" x14ac:dyDescent="0.2">
      <c r="A612" s="378"/>
      <c r="B612" s="378"/>
      <c r="C612" s="378"/>
      <c r="D612" s="380"/>
      <c r="E612" s="380"/>
      <c r="F612" s="378"/>
      <c r="G612" s="378"/>
      <c r="H612" s="378"/>
      <c r="I612" s="378"/>
      <c r="J612" s="378"/>
      <c r="K612" s="378"/>
      <c r="L612" s="378"/>
      <c r="M612" s="381"/>
      <c r="N612" s="381"/>
      <c r="O612" s="381"/>
      <c r="P612" s="381"/>
      <c r="Q612" s="381"/>
      <c r="R612" s="381"/>
      <c r="S612" s="381"/>
      <c r="T612" s="381"/>
      <c r="U612" s="381"/>
      <c r="V612" s="381"/>
      <c r="W612" s="381"/>
      <c r="X612" s="381"/>
      <c r="Y612" s="381"/>
      <c r="Z612" s="381"/>
      <c r="AA612" s="381"/>
      <c r="AB612" s="381"/>
      <c r="AC612" s="382"/>
      <c r="AD612" s="382"/>
    </row>
    <row r="613" spans="1:30" ht="12.75" customHeight="1" x14ac:dyDescent="0.2">
      <c r="A613" s="378"/>
      <c r="B613" s="378"/>
      <c r="C613" s="378"/>
      <c r="D613" s="380"/>
      <c r="E613" s="380"/>
      <c r="F613" s="378"/>
      <c r="G613" s="378"/>
      <c r="H613" s="378"/>
      <c r="I613" s="378"/>
      <c r="J613" s="378"/>
      <c r="K613" s="378"/>
      <c r="L613" s="378"/>
      <c r="M613" s="381"/>
      <c r="N613" s="381"/>
      <c r="O613" s="381"/>
      <c r="P613" s="381"/>
      <c r="Q613" s="381"/>
      <c r="R613" s="381"/>
      <c r="S613" s="381"/>
      <c r="T613" s="381"/>
      <c r="U613" s="381"/>
      <c r="V613" s="381"/>
      <c r="W613" s="381"/>
      <c r="X613" s="381"/>
      <c r="Y613" s="381"/>
      <c r="Z613" s="381"/>
      <c r="AA613" s="381"/>
      <c r="AB613" s="381"/>
      <c r="AC613" s="382"/>
      <c r="AD613" s="382"/>
    </row>
    <row r="614" spans="1:30" ht="12.75" customHeight="1" x14ac:dyDescent="0.2">
      <c r="A614" s="378"/>
      <c r="B614" s="378"/>
      <c r="C614" s="378"/>
      <c r="D614" s="380"/>
      <c r="E614" s="380"/>
      <c r="F614" s="378"/>
      <c r="G614" s="378"/>
      <c r="H614" s="378"/>
      <c r="I614" s="378"/>
      <c r="J614" s="378"/>
      <c r="K614" s="378"/>
      <c r="L614" s="378"/>
      <c r="M614" s="381"/>
      <c r="N614" s="381"/>
      <c r="O614" s="381"/>
      <c r="P614" s="381"/>
      <c r="Q614" s="381"/>
      <c r="R614" s="381"/>
      <c r="S614" s="381"/>
      <c r="T614" s="381"/>
      <c r="U614" s="381"/>
      <c r="V614" s="381"/>
      <c r="W614" s="381"/>
      <c r="X614" s="381"/>
      <c r="Y614" s="381"/>
      <c r="Z614" s="381"/>
      <c r="AA614" s="381"/>
      <c r="AB614" s="381"/>
      <c r="AC614" s="382"/>
      <c r="AD614" s="382"/>
    </row>
    <row r="615" spans="1:30" ht="12.75" customHeight="1" x14ac:dyDescent="0.2">
      <c r="A615" s="378"/>
      <c r="B615" s="378"/>
      <c r="C615" s="378"/>
      <c r="D615" s="380"/>
      <c r="E615" s="380"/>
      <c r="F615" s="378"/>
      <c r="G615" s="378"/>
      <c r="H615" s="378"/>
      <c r="I615" s="378"/>
      <c r="J615" s="378"/>
      <c r="K615" s="378"/>
      <c r="L615" s="378"/>
      <c r="M615" s="381"/>
      <c r="N615" s="381"/>
      <c r="O615" s="381"/>
      <c r="P615" s="381"/>
      <c r="Q615" s="381"/>
      <c r="R615" s="381"/>
      <c r="S615" s="381"/>
      <c r="T615" s="381"/>
      <c r="U615" s="381"/>
      <c r="V615" s="381"/>
      <c r="W615" s="381"/>
      <c r="X615" s="381"/>
      <c r="Y615" s="381"/>
      <c r="Z615" s="381"/>
      <c r="AA615" s="381"/>
      <c r="AB615" s="381"/>
      <c r="AC615" s="382"/>
      <c r="AD615" s="382"/>
    </row>
    <row r="616" spans="1:30" ht="12.75" customHeight="1" x14ac:dyDescent="0.2">
      <c r="A616" s="378"/>
      <c r="B616" s="378"/>
      <c r="C616" s="378"/>
      <c r="D616" s="380"/>
      <c r="E616" s="380"/>
      <c r="F616" s="378"/>
      <c r="G616" s="378"/>
      <c r="H616" s="378"/>
      <c r="I616" s="378"/>
      <c r="J616" s="378"/>
      <c r="K616" s="378"/>
      <c r="L616" s="378"/>
      <c r="M616" s="381"/>
      <c r="N616" s="381"/>
      <c r="O616" s="381"/>
      <c r="P616" s="381"/>
      <c r="Q616" s="381"/>
      <c r="R616" s="381"/>
      <c r="S616" s="381"/>
      <c r="T616" s="381"/>
      <c r="U616" s="381"/>
      <c r="V616" s="381"/>
      <c r="W616" s="381"/>
      <c r="X616" s="381"/>
      <c r="Y616" s="381"/>
      <c r="Z616" s="381"/>
      <c r="AA616" s="381"/>
      <c r="AB616" s="381"/>
      <c r="AC616" s="382"/>
      <c r="AD616" s="382"/>
    </row>
    <row r="617" spans="1:30" ht="12.75" customHeight="1" x14ac:dyDescent="0.2">
      <c r="A617" s="378"/>
      <c r="B617" s="378"/>
      <c r="C617" s="378"/>
      <c r="D617" s="380"/>
      <c r="E617" s="380"/>
      <c r="F617" s="378"/>
      <c r="G617" s="378"/>
      <c r="H617" s="378"/>
      <c r="I617" s="378"/>
      <c r="J617" s="378"/>
      <c r="K617" s="378"/>
      <c r="L617" s="378"/>
      <c r="M617" s="381"/>
      <c r="N617" s="381"/>
      <c r="O617" s="381"/>
      <c r="P617" s="381"/>
      <c r="Q617" s="381"/>
      <c r="R617" s="381"/>
      <c r="S617" s="381"/>
      <c r="T617" s="381"/>
      <c r="U617" s="381"/>
      <c r="V617" s="381"/>
      <c r="W617" s="381"/>
      <c r="X617" s="381"/>
      <c r="Y617" s="381"/>
      <c r="Z617" s="381"/>
      <c r="AA617" s="381"/>
      <c r="AB617" s="381"/>
      <c r="AC617" s="382"/>
      <c r="AD617" s="382"/>
    </row>
    <row r="618" spans="1:30" ht="12.75" customHeight="1" x14ac:dyDescent="0.2">
      <c r="A618" s="378"/>
      <c r="B618" s="378"/>
      <c r="C618" s="378"/>
      <c r="D618" s="380"/>
      <c r="E618" s="380"/>
      <c r="F618" s="378"/>
      <c r="G618" s="378"/>
      <c r="H618" s="378"/>
      <c r="I618" s="378"/>
      <c r="J618" s="378"/>
      <c r="K618" s="378"/>
      <c r="L618" s="378"/>
      <c r="M618" s="381"/>
      <c r="N618" s="381"/>
      <c r="O618" s="381"/>
      <c r="P618" s="381"/>
      <c r="Q618" s="381"/>
      <c r="R618" s="381"/>
      <c r="S618" s="381"/>
      <c r="T618" s="381"/>
      <c r="U618" s="381"/>
      <c r="V618" s="381"/>
      <c r="W618" s="381"/>
      <c r="X618" s="381"/>
      <c r="Y618" s="381"/>
      <c r="Z618" s="381"/>
      <c r="AA618" s="381"/>
      <c r="AB618" s="381"/>
      <c r="AC618" s="382"/>
      <c r="AD618" s="382"/>
    </row>
    <row r="619" spans="1:30" ht="12.75" customHeight="1" x14ac:dyDescent="0.2">
      <c r="A619" s="378"/>
      <c r="B619" s="378"/>
      <c r="C619" s="378"/>
      <c r="D619" s="380"/>
      <c r="E619" s="380"/>
      <c r="F619" s="378"/>
      <c r="G619" s="378"/>
      <c r="H619" s="378"/>
      <c r="I619" s="378"/>
      <c r="J619" s="378"/>
      <c r="K619" s="378"/>
      <c r="L619" s="378"/>
      <c r="M619" s="381"/>
      <c r="N619" s="381"/>
      <c r="O619" s="381"/>
      <c r="P619" s="381"/>
      <c r="Q619" s="381"/>
      <c r="R619" s="381"/>
      <c r="S619" s="381"/>
      <c r="T619" s="381"/>
      <c r="U619" s="381"/>
      <c r="V619" s="381"/>
      <c r="W619" s="381"/>
      <c r="X619" s="381"/>
      <c r="Y619" s="381"/>
      <c r="Z619" s="381"/>
      <c r="AA619" s="381"/>
      <c r="AB619" s="381"/>
      <c r="AC619" s="382"/>
      <c r="AD619" s="382"/>
    </row>
    <row r="620" spans="1:30" ht="12.75" customHeight="1" x14ac:dyDescent="0.2">
      <c r="A620" s="378"/>
      <c r="B620" s="378"/>
      <c r="C620" s="378"/>
      <c r="D620" s="380"/>
      <c r="E620" s="380"/>
      <c r="F620" s="378"/>
      <c r="G620" s="378"/>
      <c r="H620" s="378"/>
      <c r="I620" s="378"/>
      <c r="J620" s="378"/>
      <c r="K620" s="378"/>
      <c r="L620" s="378"/>
      <c r="M620" s="381"/>
      <c r="N620" s="381"/>
      <c r="O620" s="381"/>
      <c r="P620" s="381"/>
      <c r="Q620" s="381"/>
      <c r="R620" s="381"/>
      <c r="S620" s="381"/>
      <c r="T620" s="381"/>
      <c r="U620" s="381"/>
      <c r="V620" s="381"/>
      <c r="W620" s="381"/>
      <c r="X620" s="381"/>
      <c r="Y620" s="381"/>
      <c r="Z620" s="381"/>
      <c r="AA620" s="381"/>
      <c r="AB620" s="381"/>
      <c r="AC620" s="382"/>
      <c r="AD620" s="382"/>
    </row>
    <row r="621" spans="1:30" ht="12.75" customHeight="1" x14ac:dyDescent="0.2">
      <c r="A621" s="378"/>
      <c r="B621" s="378"/>
      <c r="C621" s="378"/>
      <c r="D621" s="380"/>
      <c r="E621" s="380"/>
      <c r="F621" s="378"/>
      <c r="G621" s="378"/>
      <c r="H621" s="378"/>
      <c r="I621" s="378"/>
      <c r="J621" s="378"/>
      <c r="K621" s="378"/>
      <c r="L621" s="378"/>
      <c r="M621" s="381"/>
      <c r="N621" s="381"/>
      <c r="O621" s="381"/>
      <c r="P621" s="381"/>
      <c r="Q621" s="381"/>
      <c r="R621" s="381"/>
      <c r="S621" s="381"/>
      <c r="T621" s="381"/>
      <c r="U621" s="381"/>
      <c r="V621" s="381"/>
      <c r="W621" s="381"/>
      <c r="X621" s="381"/>
      <c r="Y621" s="381"/>
      <c r="Z621" s="381"/>
      <c r="AA621" s="381"/>
      <c r="AB621" s="381"/>
      <c r="AC621" s="382"/>
      <c r="AD621" s="382"/>
    </row>
    <row r="622" spans="1:30" ht="12.75" customHeight="1" x14ac:dyDescent="0.2">
      <c r="A622" s="378"/>
      <c r="B622" s="378"/>
      <c r="C622" s="378"/>
      <c r="D622" s="380"/>
      <c r="E622" s="380"/>
      <c r="F622" s="378"/>
      <c r="G622" s="378"/>
      <c r="H622" s="378"/>
      <c r="I622" s="378"/>
      <c r="J622" s="378"/>
      <c r="K622" s="378"/>
      <c r="L622" s="378"/>
      <c r="M622" s="381"/>
      <c r="N622" s="381"/>
      <c r="O622" s="381"/>
      <c r="P622" s="381"/>
      <c r="Q622" s="381"/>
      <c r="R622" s="381"/>
      <c r="S622" s="381"/>
      <c r="T622" s="381"/>
      <c r="U622" s="381"/>
      <c r="V622" s="381"/>
      <c r="W622" s="381"/>
      <c r="X622" s="381"/>
      <c r="Y622" s="381"/>
      <c r="Z622" s="381"/>
      <c r="AA622" s="381"/>
      <c r="AB622" s="381"/>
      <c r="AC622" s="382"/>
      <c r="AD622" s="382"/>
    </row>
    <row r="623" spans="1:30" ht="12.75" customHeight="1" x14ac:dyDescent="0.2">
      <c r="A623" s="378"/>
      <c r="B623" s="378"/>
      <c r="C623" s="378"/>
      <c r="D623" s="380"/>
      <c r="E623" s="380"/>
      <c r="F623" s="378"/>
      <c r="G623" s="378"/>
      <c r="H623" s="378"/>
      <c r="I623" s="378"/>
      <c r="J623" s="378"/>
      <c r="K623" s="378"/>
      <c r="L623" s="378"/>
      <c r="M623" s="381"/>
      <c r="N623" s="381"/>
      <c r="O623" s="381"/>
      <c r="P623" s="381"/>
      <c r="Q623" s="381"/>
      <c r="R623" s="381"/>
      <c r="S623" s="381"/>
      <c r="T623" s="381"/>
      <c r="U623" s="381"/>
      <c r="V623" s="381"/>
      <c r="W623" s="381"/>
      <c r="X623" s="381"/>
      <c r="Y623" s="381"/>
      <c r="Z623" s="381"/>
      <c r="AA623" s="381"/>
      <c r="AB623" s="381"/>
      <c r="AC623" s="382"/>
      <c r="AD623" s="382"/>
    </row>
    <row r="624" spans="1:30" ht="12.75" customHeight="1" x14ac:dyDescent="0.2">
      <c r="A624" s="378"/>
      <c r="B624" s="378"/>
      <c r="C624" s="378"/>
      <c r="D624" s="380"/>
      <c r="E624" s="380"/>
      <c r="F624" s="378"/>
      <c r="G624" s="378"/>
      <c r="H624" s="378"/>
      <c r="I624" s="378"/>
      <c r="J624" s="378"/>
      <c r="K624" s="378"/>
      <c r="L624" s="378"/>
      <c r="M624" s="381"/>
      <c r="N624" s="381"/>
      <c r="O624" s="381"/>
      <c r="P624" s="381"/>
      <c r="Q624" s="381"/>
      <c r="R624" s="381"/>
      <c r="S624" s="381"/>
      <c r="T624" s="381"/>
      <c r="U624" s="381"/>
      <c r="V624" s="381"/>
      <c r="W624" s="381"/>
      <c r="X624" s="381"/>
      <c r="Y624" s="381"/>
      <c r="Z624" s="381"/>
      <c r="AA624" s="381"/>
      <c r="AB624" s="381"/>
      <c r="AC624" s="382"/>
      <c r="AD624" s="382"/>
    </row>
    <row r="625" spans="1:30" ht="12.75" customHeight="1" x14ac:dyDescent="0.2">
      <c r="A625" s="378"/>
      <c r="B625" s="378"/>
      <c r="C625" s="378"/>
      <c r="D625" s="380"/>
      <c r="E625" s="380"/>
      <c r="F625" s="378"/>
      <c r="G625" s="378"/>
      <c r="H625" s="378"/>
      <c r="I625" s="378"/>
      <c r="J625" s="378"/>
      <c r="K625" s="378"/>
      <c r="L625" s="378"/>
      <c r="M625" s="381"/>
      <c r="N625" s="381"/>
      <c r="O625" s="381"/>
      <c r="P625" s="381"/>
      <c r="Q625" s="381"/>
      <c r="R625" s="381"/>
      <c r="S625" s="381"/>
      <c r="T625" s="381"/>
      <c r="U625" s="381"/>
      <c r="V625" s="381"/>
      <c r="W625" s="381"/>
      <c r="X625" s="381"/>
      <c r="Y625" s="381"/>
      <c r="Z625" s="381"/>
      <c r="AA625" s="381"/>
      <c r="AB625" s="381"/>
      <c r="AC625" s="382"/>
      <c r="AD625" s="382"/>
    </row>
    <row r="626" spans="1:30" ht="12.75" customHeight="1" x14ac:dyDescent="0.2">
      <c r="A626" s="378"/>
      <c r="B626" s="378"/>
      <c r="C626" s="378"/>
      <c r="D626" s="380"/>
      <c r="E626" s="380"/>
      <c r="F626" s="378"/>
      <c r="G626" s="378"/>
      <c r="H626" s="378"/>
      <c r="I626" s="378"/>
      <c r="J626" s="378"/>
      <c r="K626" s="378"/>
      <c r="L626" s="378"/>
      <c r="M626" s="381"/>
      <c r="N626" s="381"/>
      <c r="O626" s="381"/>
      <c r="P626" s="381"/>
      <c r="Q626" s="381"/>
      <c r="R626" s="381"/>
      <c r="S626" s="381"/>
      <c r="T626" s="381"/>
      <c r="U626" s="381"/>
      <c r="V626" s="381"/>
      <c r="W626" s="381"/>
      <c r="X626" s="381"/>
      <c r="Y626" s="381"/>
      <c r="Z626" s="381"/>
      <c r="AA626" s="381"/>
      <c r="AB626" s="381"/>
      <c r="AC626" s="382"/>
      <c r="AD626" s="382"/>
    </row>
    <row r="627" spans="1:30" ht="12.75" customHeight="1" x14ac:dyDescent="0.2">
      <c r="A627" s="378"/>
      <c r="B627" s="378"/>
      <c r="C627" s="378"/>
      <c r="D627" s="380"/>
      <c r="E627" s="380"/>
      <c r="F627" s="378"/>
      <c r="G627" s="378"/>
      <c r="H627" s="378"/>
      <c r="I627" s="378"/>
      <c r="J627" s="378"/>
      <c r="K627" s="378"/>
      <c r="L627" s="378"/>
      <c r="M627" s="381"/>
      <c r="N627" s="381"/>
      <c r="O627" s="381"/>
      <c r="P627" s="381"/>
      <c r="Q627" s="381"/>
      <c r="R627" s="381"/>
      <c r="S627" s="381"/>
      <c r="T627" s="381"/>
      <c r="U627" s="381"/>
      <c r="V627" s="381"/>
      <c r="W627" s="381"/>
      <c r="X627" s="381"/>
      <c r="Y627" s="381"/>
      <c r="Z627" s="381"/>
      <c r="AA627" s="381"/>
      <c r="AB627" s="381"/>
      <c r="AC627" s="382"/>
      <c r="AD627" s="382"/>
    </row>
    <row r="628" spans="1:30" ht="12.75" customHeight="1" x14ac:dyDescent="0.2">
      <c r="A628" s="378"/>
      <c r="B628" s="378"/>
      <c r="C628" s="378"/>
      <c r="D628" s="380"/>
      <c r="E628" s="380"/>
      <c r="F628" s="378"/>
      <c r="G628" s="378"/>
      <c r="H628" s="378"/>
      <c r="I628" s="378"/>
      <c r="J628" s="378"/>
      <c r="K628" s="378"/>
      <c r="L628" s="378"/>
      <c r="M628" s="381"/>
      <c r="N628" s="381"/>
      <c r="O628" s="381"/>
      <c r="P628" s="381"/>
      <c r="Q628" s="381"/>
      <c r="R628" s="381"/>
      <c r="S628" s="381"/>
      <c r="T628" s="381"/>
      <c r="U628" s="381"/>
      <c r="V628" s="381"/>
      <c r="W628" s="381"/>
      <c r="X628" s="381"/>
      <c r="Y628" s="381"/>
      <c r="Z628" s="381"/>
      <c r="AA628" s="381"/>
      <c r="AB628" s="381"/>
      <c r="AC628" s="382"/>
      <c r="AD628" s="382"/>
    </row>
    <row r="629" spans="1:30" ht="12.75" customHeight="1" x14ac:dyDescent="0.2">
      <c r="A629" s="378"/>
      <c r="B629" s="378"/>
      <c r="C629" s="378"/>
      <c r="D629" s="380"/>
      <c r="E629" s="380"/>
      <c r="F629" s="378"/>
      <c r="G629" s="378"/>
      <c r="H629" s="378"/>
      <c r="I629" s="378"/>
      <c r="J629" s="378"/>
      <c r="K629" s="378"/>
      <c r="L629" s="378"/>
      <c r="M629" s="381"/>
      <c r="N629" s="381"/>
      <c r="O629" s="381"/>
      <c r="P629" s="381"/>
      <c r="Q629" s="381"/>
      <c r="R629" s="381"/>
      <c r="S629" s="381"/>
      <c r="T629" s="381"/>
      <c r="U629" s="381"/>
      <c r="V629" s="381"/>
      <c r="W629" s="381"/>
      <c r="X629" s="381"/>
      <c r="Y629" s="381"/>
      <c r="Z629" s="381"/>
      <c r="AA629" s="381"/>
      <c r="AB629" s="381"/>
      <c r="AC629" s="382"/>
      <c r="AD629" s="382"/>
    </row>
    <row r="630" spans="1:30" ht="12.75" customHeight="1" x14ac:dyDescent="0.2">
      <c r="A630" s="378"/>
      <c r="B630" s="378"/>
      <c r="C630" s="378"/>
      <c r="D630" s="380"/>
      <c r="E630" s="380"/>
      <c r="F630" s="378"/>
      <c r="G630" s="378"/>
      <c r="H630" s="378"/>
      <c r="I630" s="378"/>
      <c r="J630" s="378"/>
      <c r="K630" s="378"/>
      <c r="L630" s="378"/>
      <c r="M630" s="381"/>
      <c r="N630" s="381"/>
      <c r="O630" s="381"/>
      <c r="P630" s="381"/>
      <c r="Q630" s="381"/>
      <c r="R630" s="381"/>
      <c r="S630" s="381"/>
      <c r="T630" s="381"/>
      <c r="U630" s="381"/>
      <c r="V630" s="381"/>
      <c r="W630" s="381"/>
      <c r="X630" s="381"/>
      <c r="Y630" s="381"/>
      <c r="Z630" s="381"/>
      <c r="AA630" s="381"/>
      <c r="AB630" s="381"/>
      <c r="AC630" s="382"/>
      <c r="AD630" s="382"/>
    </row>
    <row r="631" spans="1:30" ht="12.75" customHeight="1" x14ac:dyDescent="0.2">
      <c r="A631" s="378"/>
      <c r="B631" s="378"/>
      <c r="C631" s="378"/>
      <c r="D631" s="380"/>
      <c r="E631" s="380"/>
      <c r="F631" s="378"/>
      <c r="G631" s="378"/>
      <c r="H631" s="378"/>
      <c r="I631" s="378"/>
      <c r="J631" s="378"/>
      <c r="K631" s="378"/>
      <c r="L631" s="378"/>
      <c r="M631" s="381"/>
      <c r="N631" s="381"/>
      <c r="O631" s="381"/>
      <c r="P631" s="381"/>
      <c r="Q631" s="381"/>
      <c r="R631" s="381"/>
      <c r="S631" s="381"/>
      <c r="T631" s="381"/>
      <c r="U631" s="381"/>
      <c r="V631" s="381"/>
      <c r="W631" s="381"/>
      <c r="X631" s="381"/>
      <c r="Y631" s="381"/>
      <c r="Z631" s="381"/>
      <c r="AA631" s="381"/>
      <c r="AB631" s="381"/>
      <c r="AC631" s="382"/>
      <c r="AD631" s="382"/>
    </row>
    <row r="632" spans="1:30" ht="12.75" customHeight="1" x14ac:dyDescent="0.2">
      <c r="A632" s="378"/>
      <c r="B632" s="378"/>
      <c r="C632" s="378"/>
      <c r="D632" s="380"/>
      <c r="E632" s="380"/>
      <c r="F632" s="378"/>
      <c r="G632" s="378"/>
      <c r="H632" s="378"/>
      <c r="I632" s="378"/>
      <c r="J632" s="378"/>
      <c r="K632" s="378"/>
      <c r="L632" s="378"/>
      <c r="M632" s="381"/>
      <c r="N632" s="381"/>
      <c r="O632" s="381"/>
      <c r="P632" s="381"/>
      <c r="Q632" s="381"/>
      <c r="R632" s="381"/>
      <c r="S632" s="381"/>
      <c r="T632" s="381"/>
      <c r="U632" s="381"/>
      <c r="V632" s="381"/>
      <c r="W632" s="381"/>
      <c r="X632" s="381"/>
      <c r="Y632" s="381"/>
      <c r="Z632" s="381"/>
      <c r="AA632" s="381"/>
      <c r="AB632" s="381"/>
      <c r="AC632" s="382"/>
      <c r="AD632" s="382"/>
    </row>
    <row r="633" spans="1:30" ht="12.75" customHeight="1" x14ac:dyDescent="0.2">
      <c r="A633" s="378"/>
      <c r="B633" s="378"/>
      <c r="C633" s="378"/>
      <c r="D633" s="380"/>
      <c r="E633" s="380"/>
      <c r="F633" s="378"/>
      <c r="G633" s="378"/>
      <c r="H633" s="378"/>
      <c r="I633" s="378"/>
      <c r="J633" s="378"/>
      <c r="K633" s="378"/>
      <c r="L633" s="378"/>
      <c r="M633" s="381"/>
      <c r="N633" s="381"/>
      <c r="O633" s="381"/>
      <c r="P633" s="381"/>
      <c r="Q633" s="381"/>
      <c r="R633" s="381"/>
      <c r="S633" s="381"/>
      <c r="T633" s="381"/>
      <c r="U633" s="381"/>
      <c r="V633" s="381"/>
      <c r="W633" s="381"/>
      <c r="X633" s="381"/>
      <c r="Y633" s="381"/>
      <c r="Z633" s="381"/>
      <c r="AA633" s="381"/>
      <c r="AB633" s="381"/>
      <c r="AC633" s="382"/>
      <c r="AD633" s="382"/>
    </row>
    <row r="634" spans="1:30" ht="12.75" customHeight="1" x14ac:dyDescent="0.2">
      <c r="A634" s="378"/>
      <c r="B634" s="378"/>
      <c r="C634" s="378"/>
      <c r="D634" s="380"/>
      <c r="E634" s="380"/>
      <c r="F634" s="378"/>
      <c r="G634" s="378"/>
      <c r="H634" s="378"/>
      <c r="I634" s="378"/>
      <c r="J634" s="378"/>
      <c r="K634" s="378"/>
      <c r="L634" s="378"/>
      <c r="M634" s="381"/>
      <c r="N634" s="381"/>
      <c r="O634" s="381"/>
      <c r="P634" s="381"/>
      <c r="Q634" s="381"/>
      <c r="R634" s="381"/>
      <c r="S634" s="381"/>
      <c r="T634" s="381"/>
      <c r="U634" s="381"/>
      <c r="V634" s="381"/>
      <c r="W634" s="381"/>
      <c r="X634" s="381"/>
      <c r="Y634" s="381"/>
      <c r="Z634" s="381"/>
      <c r="AA634" s="381"/>
      <c r="AB634" s="381"/>
      <c r="AC634" s="382"/>
      <c r="AD634" s="382"/>
    </row>
    <row r="635" spans="1:30" ht="12.75" customHeight="1" x14ac:dyDescent="0.2">
      <c r="A635" s="378"/>
      <c r="B635" s="378"/>
      <c r="C635" s="378"/>
      <c r="D635" s="380"/>
      <c r="E635" s="380"/>
      <c r="F635" s="378"/>
      <c r="G635" s="378"/>
      <c r="H635" s="378"/>
      <c r="I635" s="378"/>
      <c r="J635" s="378"/>
      <c r="K635" s="378"/>
      <c r="L635" s="378"/>
      <c r="M635" s="381"/>
      <c r="N635" s="381"/>
      <c r="O635" s="381"/>
      <c r="P635" s="381"/>
      <c r="Q635" s="381"/>
      <c r="R635" s="381"/>
      <c r="S635" s="381"/>
      <c r="T635" s="381"/>
      <c r="U635" s="381"/>
      <c r="V635" s="381"/>
      <c r="W635" s="381"/>
      <c r="X635" s="381"/>
      <c r="Y635" s="381"/>
      <c r="Z635" s="381"/>
      <c r="AA635" s="381"/>
      <c r="AB635" s="381"/>
      <c r="AC635" s="382"/>
      <c r="AD635" s="382"/>
    </row>
    <row r="636" spans="1:30" ht="12.75" customHeight="1" x14ac:dyDescent="0.2">
      <c r="A636" s="378"/>
      <c r="B636" s="378"/>
      <c r="C636" s="378"/>
      <c r="D636" s="380"/>
      <c r="E636" s="380"/>
      <c r="F636" s="378"/>
      <c r="G636" s="378"/>
      <c r="H636" s="378"/>
      <c r="I636" s="378"/>
      <c r="J636" s="378"/>
      <c r="K636" s="378"/>
      <c r="L636" s="378"/>
      <c r="M636" s="381"/>
      <c r="N636" s="381"/>
      <c r="O636" s="381"/>
      <c r="P636" s="381"/>
      <c r="Q636" s="381"/>
      <c r="R636" s="381"/>
      <c r="S636" s="381"/>
      <c r="T636" s="381"/>
      <c r="U636" s="381"/>
      <c r="V636" s="381"/>
      <c r="W636" s="381"/>
      <c r="X636" s="381"/>
      <c r="Y636" s="381"/>
      <c r="Z636" s="381"/>
      <c r="AA636" s="381"/>
      <c r="AB636" s="381"/>
      <c r="AC636" s="382"/>
      <c r="AD636" s="382"/>
    </row>
    <row r="637" spans="1:30" ht="12.75" customHeight="1" x14ac:dyDescent="0.2">
      <c r="A637" s="378"/>
      <c r="B637" s="378"/>
      <c r="C637" s="378"/>
      <c r="D637" s="380"/>
      <c r="E637" s="380"/>
      <c r="F637" s="378"/>
      <c r="G637" s="378"/>
      <c r="H637" s="378"/>
      <c r="I637" s="378"/>
      <c r="J637" s="378"/>
      <c r="K637" s="378"/>
      <c r="L637" s="378"/>
      <c r="M637" s="381"/>
      <c r="N637" s="381"/>
      <c r="O637" s="381"/>
      <c r="P637" s="381"/>
      <c r="Q637" s="381"/>
      <c r="R637" s="381"/>
      <c r="S637" s="381"/>
      <c r="T637" s="381"/>
      <c r="U637" s="381"/>
      <c r="V637" s="381"/>
      <c r="W637" s="381"/>
      <c r="X637" s="381"/>
      <c r="Y637" s="381"/>
      <c r="Z637" s="381"/>
      <c r="AA637" s="381"/>
      <c r="AB637" s="381"/>
      <c r="AC637" s="382"/>
      <c r="AD637" s="382"/>
    </row>
    <row r="638" spans="1:30" ht="12.75" customHeight="1" x14ac:dyDescent="0.2">
      <c r="A638" s="378"/>
      <c r="B638" s="378"/>
      <c r="C638" s="378"/>
      <c r="D638" s="380"/>
      <c r="E638" s="380"/>
      <c r="F638" s="378"/>
      <c r="G638" s="378"/>
      <c r="H638" s="378"/>
      <c r="I638" s="378"/>
      <c r="J638" s="378"/>
      <c r="K638" s="378"/>
      <c r="L638" s="378"/>
      <c r="M638" s="381"/>
      <c r="N638" s="381"/>
      <c r="O638" s="381"/>
      <c r="P638" s="381"/>
      <c r="Q638" s="381"/>
      <c r="R638" s="381"/>
      <c r="S638" s="381"/>
      <c r="T638" s="381"/>
      <c r="U638" s="381"/>
      <c r="V638" s="381"/>
      <c r="W638" s="381"/>
      <c r="X638" s="381"/>
      <c r="Y638" s="381"/>
      <c r="Z638" s="381"/>
      <c r="AA638" s="381"/>
      <c r="AB638" s="381"/>
      <c r="AC638" s="382"/>
      <c r="AD638" s="382"/>
    </row>
    <row r="639" spans="1:30" ht="12.75" customHeight="1" x14ac:dyDescent="0.2">
      <c r="A639" s="378"/>
      <c r="B639" s="378"/>
      <c r="C639" s="378"/>
      <c r="D639" s="380"/>
      <c r="E639" s="380"/>
      <c r="F639" s="378"/>
      <c r="G639" s="378"/>
      <c r="H639" s="378"/>
      <c r="I639" s="378"/>
      <c r="J639" s="378"/>
      <c r="K639" s="378"/>
      <c r="L639" s="378"/>
      <c r="M639" s="381"/>
      <c r="N639" s="381"/>
      <c r="O639" s="381"/>
      <c r="P639" s="381"/>
      <c r="Q639" s="381"/>
      <c r="R639" s="381"/>
      <c r="S639" s="381"/>
      <c r="T639" s="381"/>
      <c r="U639" s="381"/>
      <c r="V639" s="381"/>
      <c r="W639" s="381"/>
      <c r="X639" s="381"/>
      <c r="Y639" s="381"/>
      <c r="Z639" s="381"/>
      <c r="AA639" s="381"/>
      <c r="AB639" s="381"/>
      <c r="AC639" s="382"/>
      <c r="AD639" s="382"/>
    </row>
    <row r="640" spans="1:30" ht="12.75" customHeight="1" x14ac:dyDescent="0.2">
      <c r="A640" s="378"/>
      <c r="B640" s="378"/>
      <c r="C640" s="378"/>
      <c r="D640" s="380"/>
      <c r="E640" s="380"/>
      <c r="F640" s="378"/>
      <c r="G640" s="378"/>
      <c r="H640" s="378"/>
      <c r="I640" s="378"/>
      <c r="J640" s="378"/>
      <c r="K640" s="378"/>
      <c r="L640" s="378"/>
      <c r="M640" s="381"/>
      <c r="N640" s="381"/>
      <c r="O640" s="381"/>
      <c r="P640" s="381"/>
      <c r="Q640" s="381"/>
      <c r="R640" s="381"/>
      <c r="S640" s="381"/>
      <c r="T640" s="381"/>
      <c r="U640" s="381"/>
      <c r="V640" s="381"/>
      <c r="W640" s="381"/>
      <c r="X640" s="381"/>
      <c r="Y640" s="381"/>
      <c r="Z640" s="381"/>
      <c r="AA640" s="381"/>
      <c r="AB640" s="381"/>
      <c r="AC640" s="382"/>
      <c r="AD640" s="382"/>
    </row>
    <row r="641" spans="1:30" ht="12.75" customHeight="1" x14ac:dyDescent="0.2">
      <c r="A641" s="378"/>
      <c r="B641" s="378"/>
      <c r="C641" s="378"/>
      <c r="D641" s="380"/>
      <c r="E641" s="380"/>
      <c r="F641" s="378"/>
      <c r="G641" s="378"/>
      <c r="H641" s="378"/>
      <c r="I641" s="378"/>
      <c r="J641" s="378"/>
      <c r="K641" s="378"/>
      <c r="L641" s="378"/>
      <c r="M641" s="381"/>
      <c r="N641" s="381"/>
      <c r="O641" s="381"/>
      <c r="P641" s="381"/>
      <c r="Q641" s="381"/>
      <c r="R641" s="381"/>
      <c r="S641" s="381"/>
      <c r="T641" s="381"/>
      <c r="U641" s="381"/>
      <c r="V641" s="381"/>
      <c r="W641" s="381"/>
      <c r="X641" s="381"/>
      <c r="Y641" s="381"/>
      <c r="Z641" s="381"/>
      <c r="AA641" s="381"/>
      <c r="AB641" s="381"/>
      <c r="AC641" s="382"/>
      <c r="AD641" s="382"/>
    </row>
    <row r="642" spans="1:30" ht="12.75" customHeight="1" x14ac:dyDescent="0.2">
      <c r="A642" s="378"/>
      <c r="B642" s="378"/>
      <c r="C642" s="378"/>
      <c r="D642" s="380"/>
      <c r="E642" s="380"/>
      <c r="F642" s="378"/>
      <c r="G642" s="378"/>
      <c r="H642" s="378"/>
      <c r="I642" s="378"/>
      <c r="J642" s="378"/>
      <c r="K642" s="378"/>
      <c r="L642" s="378"/>
      <c r="M642" s="381"/>
      <c r="N642" s="381"/>
      <c r="O642" s="381"/>
      <c r="P642" s="381"/>
      <c r="Q642" s="381"/>
      <c r="R642" s="381"/>
      <c r="S642" s="381"/>
      <c r="T642" s="381"/>
      <c r="U642" s="381"/>
      <c r="V642" s="381"/>
      <c r="W642" s="381"/>
      <c r="X642" s="381"/>
      <c r="Y642" s="381"/>
      <c r="Z642" s="381"/>
      <c r="AA642" s="381"/>
      <c r="AB642" s="381"/>
      <c r="AC642" s="382"/>
      <c r="AD642" s="382"/>
    </row>
    <row r="643" spans="1:30" ht="12.75" customHeight="1" x14ac:dyDescent="0.2">
      <c r="A643" s="378"/>
      <c r="B643" s="378"/>
      <c r="C643" s="378"/>
      <c r="D643" s="380"/>
      <c r="E643" s="380"/>
      <c r="F643" s="378"/>
      <c r="G643" s="378"/>
      <c r="H643" s="378"/>
      <c r="I643" s="378"/>
      <c r="J643" s="378"/>
      <c r="K643" s="378"/>
      <c r="L643" s="378"/>
      <c r="M643" s="381"/>
      <c r="N643" s="381"/>
      <c r="O643" s="381"/>
      <c r="P643" s="381"/>
      <c r="Q643" s="381"/>
      <c r="R643" s="381"/>
      <c r="S643" s="381"/>
      <c r="T643" s="381"/>
      <c r="U643" s="381"/>
      <c r="V643" s="381"/>
      <c r="W643" s="381"/>
      <c r="X643" s="381"/>
      <c r="Y643" s="381"/>
      <c r="Z643" s="381"/>
      <c r="AA643" s="381"/>
      <c r="AB643" s="381"/>
      <c r="AC643" s="382"/>
      <c r="AD643" s="382"/>
    </row>
    <row r="644" spans="1:30" ht="12.75" customHeight="1" x14ac:dyDescent="0.2">
      <c r="A644" s="378"/>
      <c r="B644" s="378"/>
      <c r="C644" s="378"/>
      <c r="D644" s="380"/>
      <c r="E644" s="380"/>
      <c r="F644" s="378"/>
      <c r="G644" s="378"/>
      <c r="H644" s="378"/>
      <c r="I644" s="378"/>
      <c r="J644" s="378"/>
      <c r="K644" s="378"/>
      <c r="L644" s="378"/>
      <c r="M644" s="381"/>
      <c r="N644" s="381"/>
      <c r="O644" s="381"/>
      <c r="P644" s="381"/>
      <c r="Q644" s="381"/>
      <c r="R644" s="381"/>
      <c r="S644" s="381"/>
      <c r="T644" s="381"/>
      <c r="U644" s="381"/>
      <c r="V644" s="381"/>
      <c r="W644" s="381"/>
      <c r="X644" s="381"/>
      <c r="Y644" s="381"/>
      <c r="Z644" s="381"/>
      <c r="AA644" s="381"/>
      <c r="AB644" s="381"/>
      <c r="AC644" s="382"/>
      <c r="AD644" s="382"/>
    </row>
    <row r="645" spans="1:30" ht="12.75" customHeight="1" x14ac:dyDescent="0.2">
      <c r="A645" s="378"/>
      <c r="B645" s="378"/>
      <c r="C645" s="378"/>
      <c r="D645" s="380"/>
      <c r="E645" s="380"/>
      <c r="F645" s="378"/>
      <c r="G645" s="378"/>
      <c r="H645" s="378"/>
      <c r="I645" s="378"/>
      <c r="J645" s="378"/>
      <c r="K645" s="378"/>
      <c r="L645" s="378"/>
      <c r="M645" s="381"/>
      <c r="N645" s="381"/>
      <c r="O645" s="381"/>
      <c r="P645" s="381"/>
      <c r="Q645" s="381"/>
      <c r="R645" s="381"/>
      <c r="S645" s="381"/>
      <c r="T645" s="381"/>
      <c r="U645" s="381"/>
      <c r="V645" s="381"/>
      <c r="W645" s="381"/>
      <c r="X645" s="381"/>
      <c r="Y645" s="381"/>
      <c r="Z645" s="381"/>
      <c r="AA645" s="381"/>
      <c r="AB645" s="381"/>
      <c r="AC645" s="382"/>
      <c r="AD645" s="382"/>
    </row>
    <row r="646" spans="1:30" ht="12.75" customHeight="1" x14ac:dyDescent="0.2">
      <c r="A646" s="378"/>
      <c r="B646" s="378"/>
      <c r="C646" s="378"/>
      <c r="D646" s="380"/>
      <c r="E646" s="380"/>
      <c r="F646" s="378"/>
      <c r="G646" s="378"/>
      <c r="H646" s="378"/>
      <c r="I646" s="378"/>
      <c r="J646" s="378"/>
      <c r="K646" s="378"/>
      <c r="L646" s="378"/>
      <c r="M646" s="381"/>
      <c r="N646" s="381"/>
      <c r="O646" s="381"/>
      <c r="P646" s="381"/>
      <c r="Q646" s="381"/>
      <c r="R646" s="381"/>
      <c r="S646" s="381"/>
      <c r="T646" s="381"/>
      <c r="U646" s="381"/>
      <c r="V646" s="381"/>
      <c r="W646" s="381"/>
      <c r="X646" s="381"/>
      <c r="Y646" s="381"/>
      <c r="Z646" s="381"/>
      <c r="AA646" s="381"/>
      <c r="AB646" s="381"/>
      <c r="AC646" s="382"/>
      <c r="AD646" s="382"/>
    </row>
    <row r="647" spans="1:30" ht="12.75" customHeight="1" x14ac:dyDescent="0.2">
      <c r="A647" s="378"/>
      <c r="B647" s="378"/>
      <c r="C647" s="378"/>
      <c r="D647" s="380"/>
      <c r="E647" s="380"/>
      <c r="F647" s="378"/>
      <c r="G647" s="378"/>
      <c r="H647" s="378"/>
      <c r="I647" s="378"/>
      <c r="J647" s="378"/>
      <c r="K647" s="378"/>
      <c r="L647" s="378"/>
      <c r="M647" s="381"/>
      <c r="N647" s="381"/>
      <c r="O647" s="381"/>
      <c r="P647" s="381"/>
      <c r="Q647" s="381"/>
      <c r="R647" s="381"/>
      <c r="S647" s="381"/>
      <c r="T647" s="381"/>
      <c r="U647" s="381"/>
      <c r="V647" s="381"/>
      <c r="W647" s="381"/>
      <c r="X647" s="381"/>
      <c r="Y647" s="381"/>
      <c r="Z647" s="381"/>
      <c r="AA647" s="381"/>
      <c r="AB647" s="381"/>
      <c r="AC647" s="382"/>
      <c r="AD647" s="382"/>
    </row>
    <row r="648" spans="1:30" ht="12.75" customHeight="1" x14ac:dyDescent="0.2">
      <c r="A648" s="378"/>
      <c r="B648" s="378"/>
      <c r="C648" s="378"/>
      <c r="D648" s="380"/>
      <c r="E648" s="380"/>
      <c r="F648" s="378"/>
      <c r="G648" s="378"/>
      <c r="H648" s="378"/>
      <c r="I648" s="378"/>
      <c r="J648" s="378"/>
      <c r="K648" s="378"/>
      <c r="L648" s="378"/>
      <c r="M648" s="381"/>
      <c r="N648" s="381"/>
      <c r="O648" s="381"/>
      <c r="P648" s="381"/>
      <c r="Q648" s="381"/>
      <c r="R648" s="381"/>
      <c r="S648" s="381"/>
      <c r="T648" s="381"/>
      <c r="U648" s="381"/>
      <c r="V648" s="381"/>
      <c r="W648" s="381"/>
      <c r="X648" s="381"/>
      <c r="Y648" s="381"/>
      <c r="Z648" s="381"/>
      <c r="AA648" s="381"/>
      <c r="AB648" s="381"/>
      <c r="AC648" s="382"/>
      <c r="AD648" s="382"/>
    </row>
    <row r="649" spans="1:30" ht="12.75" customHeight="1" x14ac:dyDescent="0.2">
      <c r="A649" s="378"/>
      <c r="B649" s="378"/>
      <c r="C649" s="378"/>
      <c r="D649" s="380"/>
      <c r="E649" s="380"/>
      <c r="F649" s="378"/>
      <c r="G649" s="378"/>
      <c r="H649" s="378"/>
      <c r="I649" s="378"/>
      <c r="J649" s="378"/>
      <c r="K649" s="378"/>
      <c r="L649" s="378"/>
      <c r="M649" s="381"/>
      <c r="N649" s="381"/>
      <c r="O649" s="381"/>
      <c r="P649" s="381"/>
      <c r="Q649" s="381"/>
      <c r="R649" s="381"/>
      <c r="S649" s="381"/>
      <c r="T649" s="381"/>
      <c r="U649" s="381"/>
      <c r="V649" s="381"/>
      <c r="W649" s="381"/>
      <c r="X649" s="381"/>
      <c r="Y649" s="381"/>
      <c r="Z649" s="381"/>
      <c r="AA649" s="381"/>
      <c r="AB649" s="381"/>
      <c r="AC649" s="382"/>
      <c r="AD649" s="382"/>
    </row>
    <row r="650" spans="1:30" ht="12.75" customHeight="1" x14ac:dyDescent="0.2">
      <c r="A650" s="378"/>
      <c r="B650" s="378"/>
      <c r="C650" s="378"/>
      <c r="D650" s="380"/>
      <c r="E650" s="380"/>
      <c r="F650" s="378"/>
      <c r="G650" s="378"/>
      <c r="H650" s="378"/>
      <c r="I650" s="378"/>
      <c r="J650" s="378"/>
      <c r="K650" s="378"/>
      <c r="L650" s="378"/>
      <c r="M650" s="381"/>
      <c r="N650" s="381"/>
      <c r="O650" s="381"/>
      <c r="P650" s="381"/>
      <c r="Q650" s="381"/>
      <c r="R650" s="381"/>
      <c r="S650" s="381"/>
      <c r="T650" s="381"/>
      <c r="U650" s="381"/>
      <c r="V650" s="381"/>
      <c r="W650" s="381"/>
      <c r="X650" s="381"/>
      <c r="Y650" s="381"/>
      <c r="Z650" s="381"/>
      <c r="AA650" s="381"/>
      <c r="AB650" s="381"/>
      <c r="AC650" s="382"/>
      <c r="AD650" s="382"/>
    </row>
    <row r="651" spans="1:30" ht="12.75" customHeight="1" x14ac:dyDescent="0.2">
      <c r="A651" s="378"/>
      <c r="B651" s="378"/>
      <c r="C651" s="378"/>
      <c r="D651" s="380"/>
      <c r="E651" s="380"/>
      <c r="F651" s="378"/>
      <c r="G651" s="378"/>
      <c r="H651" s="378"/>
      <c r="I651" s="378"/>
      <c r="J651" s="378"/>
      <c r="K651" s="378"/>
      <c r="L651" s="378"/>
      <c r="M651" s="381"/>
      <c r="N651" s="381"/>
      <c r="O651" s="381"/>
      <c r="P651" s="381"/>
      <c r="Q651" s="381"/>
      <c r="R651" s="381"/>
      <c r="S651" s="381"/>
      <c r="T651" s="381"/>
      <c r="U651" s="381"/>
      <c r="V651" s="381"/>
      <c r="W651" s="381"/>
      <c r="X651" s="381"/>
      <c r="Y651" s="381"/>
      <c r="Z651" s="381"/>
      <c r="AA651" s="381"/>
      <c r="AB651" s="381"/>
      <c r="AC651" s="382"/>
      <c r="AD651" s="382"/>
    </row>
    <row r="652" spans="1:30" ht="12.75" customHeight="1" x14ac:dyDescent="0.2">
      <c r="A652" s="378"/>
      <c r="B652" s="378"/>
      <c r="C652" s="378"/>
      <c r="D652" s="380"/>
      <c r="E652" s="380"/>
      <c r="F652" s="378"/>
      <c r="G652" s="378"/>
      <c r="H652" s="378"/>
      <c r="I652" s="378"/>
      <c r="J652" s="378"/>
      <c r="K652" s="378"/>
      <c r="L652" s="378"/>
      <c r="M652" s="381"/>
      <c r="N652" s="381"/>
      <c r="O652" s="381"/>
      <c r="P652" s="381"/>
      <c r="Q652" s="381"/>
      <c r="R652" s="381"/>
      <c r="S652" s="381"/>
      <c r="T652" s="381"/>
      <c r="U652" s="381"/>
      <c r="V652" s="381"/>
      <c r="W652" s="381"/>
      <c r="X652" s="381"/>
      <c r="Y652" s="381"/>
      <c r="Z652" s="381"/>
      <c r="AA652" s="381"/>
      <c r="AB652" s="381"/>
      <c r="AC652" s="382"/>
      <c r="AD652" s="382"/>
    </row>
    <row r="653" spans="1:30" ht="12.75" customHeight="1" x14ac:dyDescent="0.2">
      <c r="A653" s="378"/>
      <c r="B653" s="378"/>
      <c r="C653" s="378"/>
      <c r="D653" s="380"/>
      <c r="E653" s="380"/>
      <c r="F653" s="378"/>
      <c r="G653" s="378"/>
      <c r="H653" s="378"/>
      <c r="I653" s="378"/>
      <c r="J653" s="378"/>
      <c r="K653" s="378"/>
      <c r="L653" s="378"/>
      <c r="M653" s="381"/>
      <c r="N653" s="381"/>
      <c r="O653" s="381"/>
      <c r="P653" s="381"/>
      <c r="Q653" s="381"/>
      <c r="R653" s="381"/>
      <c r="S653" s="381"/>
      <c r="T653" s="381"/>
      <c r="U653" s="381"/>
      <c r="V653" s="381"/>
      <c r="W653" s="381"/>
      <c r="X653" s="381"/>
      <c r="Y653" s="381"/>
      <c r="Z653" s="381"/>
      <c r="AA653" s="381"/>
      <c r="AB653" s="381"/>
      <c r="AC653" s="382"/>
      <c r="AD653" s="382"/>
    </row>
    <row r="654" spans="1:30" ht="12.75" customHeight="1" x14ac:dyDescent="0.2">
      <c r="A654" s="378"/>
      <c r="B654" s="378"/>
      <c r="C654" s="378"/>
      <c r="D654" s="380"/>
      <c r="E654" s="380"/>
      <c r="F654" s="378"/>
      <c r="G654" s="378"/>
      <c r="H654" s="378"/>
      <c r="I654" s="378"/>
      <c r="J654" s="378"/>
      <c r="K654" s="378"/>
      <c r="L654" s="378"/>
      <c r="M654" s="381"/>
      <c r="N654" s="381"/>
      <c r="O654" s="381"/>
      <c r="P654" s="381"/>
      <c r="Q654" s="381"/>
      <c r="R654" s="381"/>
      <c r="S654" s="381"/>
      <c r="T654" s="381"/>
      <c r="U654" s="381"/>
      <c r="V654" s="381"/>
      <c r="W654" s="381"/>
      <c r="X654" s="381"/>
      <c r="Y654" s="381"/>
      <c r="Z654" s="381"/>
      <c r="AA654" s="381"/>
      <c r="AB654" s="381"/>
      <c r="AC654" s="382"/>
      <c r="AD654" s="382"/>
    </row>
    <row r="655" spans="1:30" ht="12.75" customHeight="1" x14ac:dyDescent="0.2">
      <c r="A655" s="378"/>
      <c r="B655" s="378"/>
      <c r="C655" s="378"/>
      <c r="D655" s="380"/>
      <c r="E655" s="380"/>
      <c r="F655" s="378"/>
      <c r="G655" s="378"/>
      <c r="H655" s="378"/>
      <c r="I655" s="378"/>
      <c r="J655" s="378"/>
      <c r="K655" s="378"/>
      <c r="L655" s="378"/>
      <c r="M655" s="381"/>
      <c r="N655" s="381"/>
      <c r="O655" s="381"/>
      <c r="P655" s="381"/>
      <c r="Q655" s="381"/>
      <c r="R655" s="381"/>
      <c r="S655" s="381"/>
      <c r="T655" s="381"/>
      <c r="U655" s="381"/>
      <c r="V655" s="381"/>
      <c r="W655" s="381"/>
      <c r="X655" s="381"/>
      <c r="Y655" s="381"/>
      <c r="Z655" s="381"/>
      <c r="AA655" s="381"/>
      <c r="AB655" s="381"/>
      <c r="AC655" s="382"/>
      <c r="AD655" s="382"/>
    </row>
    <row r="656" spans="1:30" ht="12.75" customHeight="1" x14ac:dyDescent="0.2">
      <c r="A656" s="378"/>
      <c r="B656" s="378"/>
      <c r="C656" s="378"/>
      <c r="D656" s="380"/>
      <c r="E656" s="380"/>
      <c r="F656" s="378"/>
      <c r="G656" s="378"/>
      <c r="H656" s="378"/>
      <c r="I656" s="378"/>
      <c r="J656" s="378"/>
      <c r="K656" s="378"/>
      <c r="L656" s="378"/>
      <c r="M656" s="381"/>
      <c r="N656" s="381"/>
      <c r="O656" s="381"/>
      <c r="P656" s="381"/>
      <c r="Q656" s="381"/>
      <c r="R656" s="381"/>
      <c r="S656" s="381"/>
      <c r="T656" s="381"/>
      <c r="U656" s="381"/>
      <c r="V656" s="381"/>
      <c r="W656" s="381"/>
      <c r="X656" s="381"/>
      <c r="Y656" s="381"/>
      <c r="Z656" s="381"/>
      <c r="AA656" s="381"/>
      <c r="AB656" s="381"/>
      <c r="AC656" s="382"/>
      <c r="AD656" s="382"/>
    </row>
    <row r="657" spans="1:30" ht="12.75" customHeight="1" x14ac:dyDescent="0.2">
      <c r="A657" s="378"/>
      <c r="B657" s="378"/>
      <c r="C657" s="378"/>
      <c r="D657" s="380"/>
      <c r="E657" s="380"/>
      <c r="F657" s="378"/>
      <c r="G657" s="378"/>
      <c r="H657" s="378"/>
      <c r="I657" s="378"/>
      <c r="J657" s="378"/>
      <c r="K657" s="378"/>
      <c r="L657" s="378"/>
      <c r="M657" s="381"/>
      <c r="N657" s="381"/>
      <c r="O657" s="381"/>
      <c r="P657" s="381"/>
      <c r="Q657" s="381"/>
      <c r="R657" s="381"/>
      <c r="S657" s="381"/>
      <c r="T657" s="381"/>
      <c r="U657" s="381"/>
      <c r="V657" s="381"/>
      <c r="W657" s="381"/>
      <c r="X657" s="381"/>
      <c r="Y657" s="381"/>
      <c r="Z657" s="381"/>
      <c r="AA657" s="381"/>
      <c r="AB657" s="381"/>
      <c r="AC657" s="382"/>
      <c r="AD657" s="382"/>
    </row>
    <row r="658" spans="1:30" ht="12.75" customHeight="1" x14ac:dyDescent="0.2">
      <c r="A658" s="378"/>
      <c r="B658" s="378"/>
      <c r="C658" s="378"/>
      <c r="D658" s="380"/>
      <c r="E658" s="380"/>
      <c r="F658" s="378"/>
      <c r="G658" s="378"/>
      <c r="H658" s="378"/>
      <c r="I658" s="378"/>
      <c r="J658" s="378"/>
      <c r="K658" s="378"/>
      <c r="L658" s="378"/>
      <c r="M658" s="381"/>
      <c r="N658" s="381"/>
      <c r="O658" s="381"/>
      <c r="P658" s="381"/>
      <c r="Q658" s="381"/>
      <c r="R658" s="381"/>
      <c r="S658" s="381"/>
      <c r="T658" s="381"/>
      <c r="U658" s="381"/>
      <c r="V658" s="381"/>
      <c r="W658" s="381"/>
      <c r="X658" s="381"/>
      <c r="Y658" s="381"/>
      <c r="Z658" s="381"/>
      <c r="AA658" s="381"/>
      <c r="AB658" s="381"/>
      <c r="AC658" s="382"/>
      <c r="AD658" s="382"/>
    </row>
    <row r="659" spans="1:30" ht="12.75" customHeight="1" x14ac:dyDescent="0.2">
      <c r="A659" s="378"/>
      <c r="B659" s="378"/>
      <c r="C659" s="378"/>
      <c r="D659" s="380"/>
      <c r="E659" s="380"/>
      <c r="F659" s="378"/>
      <c r="G659" s="378"/>
      <c r="H659" s="378"/>
      <c r="I659" s="378"/>
      <c r="J659" s="378"/>
      <c r="K659" s="378"/>
      <c r="L659" s="378"/>
      <c r="M659" s="381"/>
      <c r="N659" s="381"/>
      <c r="O659" s="381"/>
      <c r="P659" s="381"/>
      <c r="Q659" s="381"/>
      <c r="R659" s="381"/>
      <c r="S659" s="381"/>
      <c r="T659" s="381"/>
      <c r="U659" s="381"/>
      <c r="V659" s="381"/>
      <c r="W659" s="381"/>
      <c r="X659" s="381"/>
      <c r="Y659" s="381"/>
      <c r="Z659" s="381"/>
      <c r="AA659" s="381"/>
      <c r="AB659" s="381"/>
      <c r="AC659" s="382"/>
      <c r="AD659" s="382"/>
    </row>
    <row r="660" spans="1:30" ht="12.75" customHeight="1" x14ac:dyDescent="0.2">
      <c r="A660" s="378"/>
      <c r="B660" s="378"/>
      <c r="C660" s="378"/>
      <c r="D660" s="380"/>
      <c r="E660" s="380"/>
      <c r="F660" s="378"/>
      <c r="G660" s="378"/>
      <c r="H660" s="378"/>
      <c r="I660" s="378"/>
      <c r="J660" s="378"/>
      <c r="K660" s="378"/>
      <c r="L660" s="378"/>
      <c r="M660" s="381"/>
      <c r="N660" s="381"/>
      <c r="O660" s="381"/>
      <c r="P660" s="381"/>
      <c r="Q660" s="381"/>
      <c r="R660" s="381"/>
      <c r="S660" s="381"/>
      <c r="T660" s="381"/>
      <c r="U660" s="381"/>
      <c r="V660" s="381"/>
      <c r="W660" s="381"/>
      <c r="X660" s="381"/>
      <c r="Y660" s="381"/>
      <c r="Z660" s="381"/>
      <c r="AA660" s="381"/>
      <c r="AB660" s="381"/>
      <c r="AC660" s="382"/>
      <c r="AD660" s="382"/>
    </row>
    <row r="661" spans="1:30" ht="12.75" customHeight="1" x14ac:dyDescent="0.2">
      <c r="A661" s="378"/>
      <c r="B661" s="378"/>
      <c r="C661" s="378"/>
      <c r="D661" s="380"/>
      <c r="E661" s="380"/>
      <c r="F661" s="378"/>
      <c r="G661" s="378"/>
      <c r="H661" s="378"/>
      <c r="I661" s="378"/>
      <c r="J661" s="378"/>
      <c r="K661" s="378"/>
      <c r="L661" s="378"/>
      <c r="M661" s="381"/>
      <c r="N661" s="381"/>
      <c r="O661" s="381"/>
      <c r="P661" s="381"/>
      <c r="Q661" s="381"/>
      <c r="R661" s="381"/>
      <c r="S661" s="381"/>
      <c r="T661" s="381"/>
      <c r="U661" s="381"/>
      <c r="V661" s="381"/>
      <c r="W661" s="381"/>
      <c r="X661" s="381"/>
      <c r="Y661" s="381"/>
      <c r="Z661" s="381"/>
      <c r="AA661" s="381"/>
      <c r="AB661" s="381"/>
      <c r="AC661" s="382"/>
      <c r="AD661" s="382"/>
    </row>
    <row r="662" spans="1:30" ht="12.75" customHeight="1" x14ac:dyDescent="0.2">
      <c r="A662" s="378"/>
      <c r="B662" s="378"/>
      <c r="C662" s="378"/>
      <c r="D662" s="380"/>
      <c r="E662" s="380"/>
      <c r="F662" s="378"/>
      <c r="G662" s="378"/>
      <c r="H662" s="378"/>
      <c r="I662" s="378"/>
      <c r="J662" s="378"/>
      <c r="K662" s="378"/>
      <c r="L662" s="378"/>
      <c r="M662" s="381"/>
      <c r="N662" s="381"/>
      <c r="O662" s="381"/>
      <c r="P662" s="381"/>
      <c r="Q662" s="381"/>
      <c r="R662" s="381"/>
      <c r="S662" s="381"/>
      <c r="T662" s="381"/>
      <c r="U662" s="381"/>
      <c r="V662" s="381"/>
      <c r="W662" s="381"/>
      <c r="X662" s="381"/>
      <c r="Y662" s="381"/>
      <c r="Z662" s="381"/>
      <c r="AA662" s="381"/>
      <c r="AB662" s="381"/>
      <c r="AC662" s="382"/>
      <c r="AD662" s="382"/>
    </row>
    <row r="663" spans="1:30" ht="12.75" customHeight="1" x14ac:dyDescent="0.2">
      <c r="A663" s="378"/>
      <c r="B663" s="378"/>
      <c r="C663" s="378"/>
      <c r="D663" s="380"/>
      <c r="E663" s="380"/>
      <c r="F663" s="378"/>
      <c r="G663" s="378"/>
      <c r="H663" s="378"/>
      <c r="I663" s="378"/>
      <c r="J663" s="378"/>
      <c r="K663" s="378"/>
      <c r="L663" s="378"/>
      <c r="M663" s="381"/>
      <c r="N663" s="381"/>
      <c r="O663" s="381"/>
      <c r="P663" s="381"/>
      <c r="Q663" s="381"/>
      <c r="R663" s="381"/>
      <c r="S663" s="381"/>
      <c r="T663" s="381"/>
      <c r="U663" s="381"/>
      <c r="V663" s="381"/>
      <c r="W663" s="381"/>
      <c r="X663" s="381"/>
      <c r="Y663" s="381"/>
      <c r="Z663" s="381"/>
      <c r="AA663" s="381"/>
      <c r="AB663" s="381"/>
      <c r="AC663" s="382"/>
      <c r="AD663" s="382"/>
    </row>
    <row r="664" spans="1:30" ht="12.75" customHeight="1" x14ac:dyDescent="0.2">
      <c r="A664" s="378"/>
      <c r="B664" s="378"/>
      <c r="C664" s="378"/>
      <c r="D664" s="380"/>
      <c r="E664" s="380"/>
      <c r="F664" s="378"/>
      <c r="G664" s="378"/>
      <c r="H664" s="378"/>
      <c r="I664" s="378"/>
      <c r="J664" s="378"/>
      <c r="K664" s="378"/>
      <c r="L664" s="378"/>
      <c r="M664" s="381"/>
      <c r="N664" s="381"/>
      <c r="O664" s="381"/>
      <c r="P664" s="381"/>
      <c r="Q664" s="381"/>
      <c r="R664" s="381"/>
      <c r="S664" s="381"/>
      <c r="T664" s="381"/>
      <c r="U664" s="381"/>
      <c r="V664" s="381"/>
      <c r="W664" s="381"/>
      <c r="X664" s="381"/>
      <c r="Y664" s="381"/>
      <c r="Z664" s="381"/>
      <c r="AA664" s="381"/>
      <c r="AB664" s="381"/>
      <c r="AC664" s="382"/>
      <c r="AD664" s="382"/>
    </row>
    <row r="665" spans="1:30" ht="12.75" customHeight="1" x14ac:dyDescent="0.2">
      <c r="A665" s="378"/>
      <c r="B665" s="378"/>
      <c r="C665" s="378"/>
      <c r="D665" s="380"/>
      <c r="E665" s="380"/>
      <c r="F665" s="378"/>
      <c r="G665" s="378"/>
      <c r="H665" s="378"/>
      <c r="I665" s="378"/>
      <c r="J665" s="378"/>
      <c r="K665" s="378"/>
      <c r="L665" s="378"/>
      <c r="M665" s="381"/>
      <c r="N665" s="381"/>
      <c r="O665" s="381"/>
      <c r="P665" s="381"/>
      <c r="Q665" s="381"/>
      <c r="R665" s="381"/>
      <c r="S665" s="381"/>
      <c r="T665" s="381"/>
      <c r="U665" s="381"/>
      <c r="V665" s="381"/>
      <c r="W665" s="381"/>
      <c r="X665" s="381"/>
      <c r="Y665" s="381"/>
      <c r="Z665" s="381"/>
      <c r="AA665" s="381"/>
      <c r="AB665" s="381"/>
      <c r="AC665" s="382"/>
      <c r="AD665" s="382"/>
    </row>
    <row r="666" spans="1:30" ht="12.75" customHeight="1" x14ac:dyDescent="0.2">
      <c r="A666" s="378"/>
      <c r="B666" s="378"/>
      <c r="C666" s="378"/>
      <c r="D666" s="380"/>
      <c r="E666" s="380"/>
      <c r="F666" s="378"/>
      <c r="G666" s="378"/>
      <c r="H666" s="378"/>
      <c r="I666" s="378"/>
      <c r="J666" s="378"/>
      <c r="K666" s="378"/>
      <c r="L666" s="378"/>
      <c r="M666" s="381"/>
      <c r="N666" s="381"/>
      <c r="O666" s="381"/>
      <c r="P666" s="381"/>
      <c r="Q666" s="381"/>
      <c r="R666" s="381"/>
      <c r="S666" s="381"/>
      <c r="T666" s="381"/>
      <c r="U666" s="381"/>
      <c r="V666" s="381"/>
      <c r="W666" s="381"/>
      <c r="X666" s="381"/>
      <c r="Y666" s="381"/>
      <c r="Z666" s="381"/>
      <c r="AA666" s="381"/>
      <c r="AB666" s="381"/>
      <c r="AC666" s="382"/>
      <c r="AD666" s="382"/>
    </row>
    <row r="667" spans="1:30" ht="12.75" customHeight="1" x14ac:dyDescent="0.2">
      <c r="A667" s="378"/>
      <c r="B667" s="378"/>
      <c r="C667" s="378"/>
      <c r="D667" s="380"/>
      <c r="E667" s="380"/>
      <c r="F667" s="378"/>
      <c r="G667" s="378"/>
      <c r="H667" s="378"/>
      <c r="I667" s="378"/>
      <c r="J667" s="378"/>
      <c r="K667" s="378"/>
      <c r="L667" s="378"/>
      <c r="M667" s="381"/>
      <c r="N667" s="381"/>
      <c r="O667" s="381"/>
      <c r="P667" s="381"/>
      <c r="Q667" s="381"/>
      <c r="R667" s="381"/>
      <c r="S667" s="381"/>
      <c r="T667" s="381"/>
      <c r="U667" s="381"/>
      <c r="V667" s="381"/>
      <c r="W667" s="381"/>
      <c r="X667" s="381"/>
      <c r="Y667" s="381"/>
      <c r="Z667" s="381"/>
      <c r="AA667" s="381"/>
      <c r="AB667" s="381"/>
      <c r="AC667" s="382"/>
      <c r="AD667" s="382"/>
    </row>
    <row r="668" spans="1:30" ht="12.75" customHeight="1" x14ac:dyDescent="0.2">
      <c r="A668" s="378"/>
      <c r="B668" s="378"/>
      <c r="C668" s="378"/>
      <c r="D668" s="380"/>
      <c r="E668" s="380"/>
      <c r="F668" s="378"/>
      <c r="G668" s="378"/>
      <c r="H668" s="378"/>
      <c r="I668" s="378"/>
      <c r="J668" s="378"/>
      <c r="K668" s="378"/>
      <c r="L668" s="378"/>
      <c r="M668" s="381"/>
      <c r="N668" s="381"/>
      <c r="O668" s="381"/>
      <c r="P668" s="381"/>
      <c r="Q668" s="381"/>
      <c r="R668" s="381"/>
      <c r="S668" s="381"/>
      <c r="T668" s="381"/>
      <c r="U668" s="381"/>
      <c r="V668" s="381"/>
      <c r="W668" s="381"/>
      <c r="X668" s="381"/>
      <c r="Y668" s="381"/>
      <c r="Z668" s="381"/>
      <c r="AA668" s="381"/>
      <c r="AB668" s="381"/>
      <c r="AC668" s="382"/>
      <c r="AD668" s="382"/>
    </row>
    <row r="669" spans="1:30" ht="12.75" customHeight="1" x14ac:dyDescent="0.2">
      <c r="A669" s="378"/>
      <c r="B669" s="378"/>
      <c r="C669" s="378"/>
      <c r="D669" s="380"/>
      <c r="E669" s="380"/>
      <c r="F669" s="378"/>
      <c r="G669" s="378"/>
      <c r="H669" s="378"/>
      <c r="I669" s="378"/>
      <c r="J669" s="378"/>
      <c r="K669" s="378"/>
      <c r="L669" s="378"/>
      <c r="M669" s="381"/>
      <c r="N669" s="381"/>
      <c r="O669" s="381"/>
      <c r="P669" s="381"/>
      <c r="Q669" s="381"/>
      <c r="R669" s="381"/>
      <c r="S669" s="381"/>
      <c r="T669" s="381"/>
      <c r="U669" s="381"/>
      <c r="V669" s="381"/>
      <c r="W669" s="381"/>
      <c r="X669" s="381"/>
      <c r="Y669" s="381"/>
      <c r="Z669" s="381"/>
      <c r="AA669" s="381"/>
      <c r="AB669" s="381"/>
      <c r="AC669" s="382"/>
      <c r="AD669" s="382"/>
    </row>
    <row r="670" spans="1:30" ht="12.75" customHeight="1" x14ac:dyDescent="0.2">
      <c r="A670" s="378"/>
      <c r="B670" s="378"/>
      <c r="C670" s="378"/>
      <c r="D670" s="380"/>
      <c r="E670" s="380"/>
      <c r="F670" s="378"/>
      <c r="G670" s="378"/>
      <c r="H670" s="378"/>
      <c r="I670" s="378"/>
      <c r="J670" s="378"/>
      <c r="K670" s="378"/>
      <c r="L670" s="378"/>
      <c r="M670" s="381"/>
      <c r="N670" s="381"/>
      <c r="O670" s="381"/>
      <c r="P670" s="381"/>
      <c r="Q670" s="381"/>
      <c r="R670" s="381"/>
      <c r="S670" s="381"/>
      <c r="T670" s="381"/>
      <c r="U670" s="381"/>
      <c r="V670" s="381"/>
      <c r="W670" s="381"/>
      <c r="X670" s="381"/>
      <c r="Y670" s="381"/>
      <c r="Z670" s="381"/>
      <c r="AA670" s="381"/>
      <c r="AB670" s="381"/>
      <c r="AC670" s="382"/>
      <c r="AD670" s="382"/>
    </row>
    <row r="671" spans="1:30" ht="12.75" customHeight="1" x14ac:dyDescent="0.2">
      <c r="A671" s="378"/>
      <c r="B671" s="378"/>
      <c r="C671" s="378"/>
      <c r="D671" s="380"/>
      <c r="E671" s="380"/>
      <c r="F671" s="378"/>
      <c r="G671" s="378"/>
      <c r="H671" s="378"/>
      <c r="I671" s="378"/>
      <c r="J671" s="378"/>
      <c r="K671" s="378"/>
      <c r="L671" s="378"/>
      <c r="M671" s="381"/>
      <c r="N671" s="381"/>
      <c r="O671" s="381"/>
      <c r="P671" s="381"/>
      <c r="Q671" s="381"/>
      <c r="R671" s="381"/>
      <c r="S671" s="381"/>
      <c r="T671" s="381"/>
      <c r="U671" s="381"/>
      <c r="V671" s="381"/>
      <c r="W671" s="381"/>
      <c r="X671" s="381"/>
      <c r="Y671" s="381"/>
      <c r="Z671" s="381"/>
      <c r="AA671" s="381"/>
      <c r="AB671" s="381"/>
      <c r="AC671" s="382"/>
      <c r="AD671" s="382"/>
    </row>
    <row r="672" spans="1:30" ht="12.75" customHeight="1" x14ac:dyDescent="0.2">
      <c r="A672" s="378"/>
      <c r="B672" s="378"/>
      <c r="C672" s="378"/>
      <c r="D672" s="380"/>
      <c r="E672" s="380"/>
      <c r="F672" s="378"/>
      <c r="G672" s="378"/>
      <c r="H672" s="378"/>
      <c r="I672" s="378"/>
      <c r="J672" s="378"/>
      <c r="K672" s="378"/>
      <c r="L672" s="378"/>
      <c r="M672" s="381"/>
      <c r="N672" s="381"/>
      <c r="O672" s="381"/>
      <c r="P672" s="381"/>
      <c r="Q672" s="381"/>
      <c r="R672" s="381"/>
      <c r="S672" s="381"/>
      <c r="T672" s="381"/>
      <c r="U672" s="381"/>
      <c r="V672" s="381"/>
      <c r="W672" s="381"/>
      <c r="X672" s="381"/>
      <c r="Y672" s="381"/>
      <c r="Z672" s="381"/>
      <c r="AA672" s="381"/>
      <c r="AB672" s="381"/>
      <c r="AC672" s="382"/>
      <c r="AD672" s="382"/>
    </row>
    <row r="673" spans="1:30" ht="12.75" customHeight="1" x14ac:dyDescent="0.2">
      <c r="A673" s="378"/>
      <c r="B673" s="378"/>
      <c r="C673" s="378"/>
      <c r="D673" s="380"/>
      <c r="E673" s="380"/>
      <c r="F673" s="378"/>
      <c r="G673" s="378"/>
      <c r="H673" s="378"/>
      <c r="I673" s="378"/>
      <c r="J673" s="378"/>
      <c r="K673" s="378"/>
      <c r="L673" s="378"/>
      <c r="M673" s="381"/>
      <c r="N673" s="381"/>
      <c r="O673" s="381"/>
      <c r="P673" s="381"/>
      <c r="Q673" s="381"/>
      <c r="R673" s="381"/>
      <c r="S673" s="381"/>
      <c r="T673" s="381"/>
      <c r="U673" s="381"/>
      <c r="V673" s="381"/>
      <c r="W673" s="381"/>
      <c r="X673" s="381"/>
      <c r="Y673" s="381"/>
      <c r="Z673" s="381"/>
      <c r="AA673" s="381"/>
      <c r="AB673" s="381"/>
      <c r="AC673" s="382"/>
      <c r="AD673" s="382"/>
    </row>
    <row r="674" spans="1:30" ht="12.75" customHeight="1" x14ac:dyDescent="0.2">
      <c r="A674" s="378"/>
      <c r="B674" s="378"/>
      <c r="C674" s="378"/>
      <c r="D674" s="380"/>
      <c r="E674" s="380"/>
      <c r="F674" s="378"/>
      <c r="G674" s="378"/>
      <c r="H674" s="378"/>
      <c r="I674" s="378"/>
      <c r="J674" s="378"/>
      <c r="K674" s="378"/>
      <c r="L674" s="378"/>
      <c r="M674" s="381"/>
      <c r="N674" s="381"/>
      <c r="O674" s="381"/>
      <c r="P674" s="381"/>
      <c r="Q674" s="381"/>
      <c r="R674" s="381"/>
      <c r="S674" s="381"/>
      <c r="T674" s="381"/>
      <c r="U674" s="381"/>
      <c r="V674" s="381"/>
      <c r="W674" s="381"/>
      <c r="X674" s="381"/>
      <c r="Y674" s="381"/>
      <c r="Z674" s="381"/>
      <c r="AA674" s="381"/>
      <c r="AB674" s="381"/>
      <c r="AC674" s="382"/>
      <c r="AD674" s="382"/>
    </row>
    <row r="675" spans="1:30" ht="12.75" customHeight="1" x14ac:dyDescent="0.2">
      <c r="A675" s="378"/>
      <c r="B675" s="378"/>
      <c r="C675" s="378"/>
      <c r="D675" s="380"/>
      <c r="E675" s="380"/>
      <c r="F675" s="378"/>
      <c r="G675" s="378"/>
      <c r="H675" s="378"/>
      <c r="I675" s="378"/>
      <c r="J675" s="378"/>
      <c r="K675" s="378"/>
      <c r="L675" s="378"/>
      <c r="M675" s="381"/>
      <c r="N675" s="381"/>
      <c r="O675" s="381"/>
      <c r="P675" s="381"/>
      <c r="Q675" s="381"/>
      <c r="R675" s="381"/>
      <c r="S675" s="381"/>
      <c r="T675" s="381"/>
      <c r="U675" s="381"/>
      <c r="V675" s="381"/>
      <c r="W675" s="381"/>
      <c r="X675" s="381"/>
      <c r="Y675" s="381"/>
      <c r="Z675" s="381"/>
      <c r="AA675" s="381"/>
      <c r="AB675" s="381"/>
      <c r="AC675" s="382"/>
      <c r="AD675" s="382"/>
    </row>
    <row r="676" spans="1:30" ht="12.75" customHeight="1" x14ac:dyDescent="0.2">
      <c r="A676" s="378"/>
      <c r="B676" s="378"/>
      <c r="C676" s="378"/>
      <c r="D676" s="380"/>
      <c r="E676" s="380"/>
      <c r="F676" s="378"/>
      <c r="G676" s="378"/>
      <c r="H676" s="378"/>
      <c r="I676" s="378"/>
      <c r="J676" s="378"/>
      <c r="K676" s="378"/>
      <c r="L676" s="378"/>
      <c r="M676" s="381"/>
      <c r="N676" s="381"/>
      <c r="O676" s="381"/>
      <c r="P676" s="381"/>
      <c r="Q676" s="381"/>
      <c r="R676" s="381"/>
      <c r="S676" s="381"/>
      <c r="T676" s="381"/>
      <c r="U676" s="381"/>
      <c r="V676" s="381"/>
      <c r="W676" s="381"/>
      <c r="X676" s="381"/>
      <c r="Y676" s="381"/>
      <c r="Z676" s="381"/>
      <c r="AA676" s="381"/>
      <c r="AB676" s="381"/>
      <c r="AC676" s="382"/>
      <c r="AD676" s="382"/>
    </row>
    <row r="677" spans="1:30" ht="12.75" customHeight="1" x14ac:dyDescent="0.2">
      <c r="A677" s="378"/>
      <c r="B677" s="378"/>
      <c r="C677" s="378"/>
      <c r="D677" s="380"/>
      <c r="E677" s="380"/>
      <c r="F677" s="378"/>
      <c r="G677" s="378"/>
      <c r="H677" s="378"/>
      <c r="I677" s="378"/>
      <c r="J677" s="378"/>
      <c r="K677" s="378"/>
      <c r="L677" s="378"/>
      <c r="M677" s="381"/>
      <c r="N677" s="381"/>
      <c r="O677" s="381"/>
      <c r="P677" s="381"/>
      <c r="Q677" s="381"/>
      <c r="R677" s="381"/>
      <c r="S677" s="381"/>
      <c r="T677" s="381"/>
      <c r="U677" s="381"/>
      <c r="V677" s="381"/>
      <c r="W677" s="381"/>
      <c r="X677" s="381"/>
      <c r="Y677" s="381"/>
      <c r="Z677" s="381"/>
      <c r="AA677" s="381"/>
      <c r="AB677" s="381"/>
      <c r="AC677" s="382"/>
      <c r="AD677" s="382"/>
    </row>
    <row r="678" spans="1:30" ht="12.75" customHeight="1" x14ac:dyDescent="0.2">
      <c r="A678" s="378"/>
      <c r="B678" s="378"/>
      <c r="C678" s="378"/>
      <c r="D678" s="380"/>
      <c r="E678" s="380"/>
      <c r="F678" s="378"/>
      <c r="G678" s="378"/>
      <c r="H678" s="378"/>
      <c r="I678" s="378"/>
      <c r="J678" s="378"/>
      <c r="K678" s="378"/>
      <c r="L678" s="378"/>
      <c r="M678" s="381"/>
      <c r="N678" s="381"/>
      <c r="O678" s="381"/>
      <c r="P678" s="381"/>
      <c r="Q678" s="381"/>
      <c r="R678" s="381"/>
      <c r="S678" s="381"/>
      <c r="T678" s="381"/>
      <c r="U678" s="381"/>
      <c r="V678" s="381"/>
      <c r="W678" s="381"/>
      <c r="X678" s="381"/>
      <c r="Y678" s="381"/>
      <c r="Z678" s="381"/>
      <c r="AA678" s="381"/>
      <c r="AB678" s="381"/>
      <c r="AC678" s="382"/>
      <c r="AD678" s="382"/>
    </row>
    <row r="679" spans="1:30" ht="12.75" customHeight="1" x14ac:dyDescent="0.2">
      <c r="A679" s="378"/>
      <c r="B679" s="378"/>
      <c r="C679" s="378"/>
      <c r="D679" s="380"/>
      <c r="E679" s="380"/>
      <c r="F679" s="378"/>
      <c r="G679" s="378"/>
      <c r="H679" s="378"/>
      <c r="I679" s="378"/>
      <c r="J679" s="378"/>
      <c r="K679" s="378"/>
      <c r="L679" s="378"/>
      <c r="M679" s="381"/>
      <c r="N679" s="381"/>
      <c r="O679" s="381"/>
      <c r="P679" s="381"/>
      <c r="Q679" s="381"/>
      <c r="R679" s="381"/>
      <c r="S679" s="381"/>
      <c r="T679" s="381"/>
      <c r="U679" s="381"/>
      <c r="V679" s="381"/>
      <c r="W679" s="381"/>
      <c r="X679" s="381"/>
      <c r="Y679" s="381"/>
      <c r="Z679" s="381"/>
      <c r="AA679" s="381"/>
      <c r="AB679" s="381"/>
      <c r="AC679" s="382"/>
      <c r="AD679" s="382"/>
    </row>
    <row r="680" spans="1:30" ht="12.75" customHeight="1" x14ac:dyDescent="0.2">
      <c r="A680" s="378"/>
      <c r="B680" s="378"/>
      <c r="C680" s="378"/>
      <c r="D680" s="380"/>
      <c r="E680" s="380"/>
      <c r="F680" s="378"/>
      <c r="G680" s="378"/>
      <c r="H680" s="378"/>
      <c r="I680" s="378"/>
      <c r="J680" s="378"/>
      <c r="K680" s="378"/>
      <c r="L680" s="378"/>
      <c r="M680" s="381"/>
      <c r="N680" s="381"/>
      <c r="O680" s="381"/>
      <c r="P680" s="381"/>
      <c r="Q680" s="381"/>
      <c r="R680" s="381"/>
      <c r="S680" s="381"/>
      <c r="T680" s="381"/>
      <c r="U680" s="381"/>
      <c r="V680" s="381"/>
      <c r="W680" s="381"/>
      <c r="X680" s="381"/>
      <c r="Y680" s="381"/>
      <c r="Z680" s="381"/>
      <c r="AA680" s="381"/>
      <c r="AB680" s="381"/>
      <c r="AC680" s="382"/>
      <c r="AD680" s="382"/>
    </row>
    <row r="681" spans="1:30" ht="12.75" customHeight="1" x14ac:dyDescent="0.2">
      <c r="A681" s="378"/>
      <c r="B681" s="378"/>
      <c r="C681" s="378"/>
      <c r="D681" s="380"/>
      <c r="E681" s="380"/>
      <c r="F681" s="378"/>
      <c r="G681" s="378"/>
      <c r="H681" s="378"/>
      <c r="I681" s="378"/>
      <c r="J681" s="378"/>
      <c r="K681" s="378"/>
      <c r="L681" s="378"/>
      <c r="M681" s="381"/>
      <c r="N681" s="381"/>
      <c r="O681" s="381"/>
      <c r="P681" s="381"/>
      <c r="Q681" s="381"/>
      <c r="R681" s="381"/>
      <c r="S681" s="381"/>
      <c r="T681" s="381"/>
      <c r="U681" s="381"/>
      <c r="V681" s="381"/>
      <c r="W681" s="381"/>
      <c r="X681" s="381"/>
      <c r="Y681" s="381"/>
      <c r="Z681" s="381"/>
      <c r="AA681" s="381"/>
      <c r="AB681" s="381"/>
      <c r="AC681" s="382"/>
      <c r="AD681" s="382"/>
    </row>
    <row r="682" spans="1:30" ht="12.75" customHeight="1" x14ac:dyDescent="0.2">
      <c r="A682" s="378"/>
      <c r="B682" s="378"/>
      <c r="C682" s="378"/>
      <c r="D682" s="380"/>
      <c r="E682" s="380"/>
      <c r="F682" s="378"/>
      <c r="G682" s="378"/>
      <c r="H682" s="378"/>
      <c r="I682" s="378"/>
      <c r="J682" s="378"/>
      <c r="K682" s="378"/>
      <c r="L682" s="378"/>
      <c r="M682" s="381"/>
      <c r="N682" s="381"/>
      <c r="O682" s="381"/>
      <c r="P682" s="381"/>
      <c r="Q682" s="381"/>
      <c r="R682" s="381"/>
      <c r="S682" s="381"/>
      <c r="T682" s="381"/>
      <c r="U682" s="381"/>
      <c r="V682" s="381"/>
      <c r="W682" s="381"/>
      <c r="X682" s="381"/>
      <c r="Y682" s="381"/>
      <c r="Z682" s="381"/>
      <c r="AA682" s="381"/>
      <c r="AB682" s="381"/>
      <c r="AC682" s="382"/>
      <c r="AD682" s="382"/>
    </row>
    <row r="683" spans="1:30" ht="12.75" customHeight="1" x14ac:dyDescent="0.2">
      <c r="A683" s="378"/>
      <c r="B683" s="378"/>
      <c r="C683" s="378"/>
      <c r="D683" s="380"/>
      <c r="E683" s="380"/>
      <c r="F683" s="378"/>
      <c r="G683" s="378"/>
      <c r="H683" s="378"/>
      <c r="I683" s="378"/>
      <c r="J683" s="378"/>
      <c r="K683" s="378"/>
      <c r="L683" s="378"/>
      <c r="M683" s="381"/>
      <c r="N683" s="381"/>
      <c r="O683" s="381"/>
      <c r="P683" s="381"/>
      <c r="Q683" s="381"/>
      <c r="R683" s="381"/>
      <c r="S683" s="381"/>
      <c r="T683" s="381"/>
      <c r="U683" s="381"/>
      <c r="V683" s="381"/>
      <c r="W683" s="381"/>
      <c r="X683" s="381"/>
      <c r="Y683" s="381"/>
      <c r="Z683" s="381"/>
      <c r="AA683" s="381"/>
      <c r="AB683" s="381"/>
      <c r="AC683" s="382"/>
      <c r="AD683" s="382"/>
    </row>
    <row r="684" spans="1:30" ht="12.75" customHeight="1" x14ac:dyDescent="0.2">
      <c r="A684" s="378"/>
      <c r="B684" s="378"/>
      <c r="C684" s="378"/>
      <c r="D684" s="380"/>
      <c r="E684" s="380"/>
      <c r="F684" s="378"/>
      <c r="G684" s="378"/>
      <c r="H684" s="378"/>
      <c r="I684" s="378"/>
      <c r="J684" s="378"/>
      <c r="K684" s="378"/>
      <c r="L684" s="378"/>
      <c r="M684" s="381"/>
      <c r="N684" s="381"/>
      <c r="O684" s="381"/>
      <c r="P684" s="381"/>
      <c r="Q684" s="381"/>
      <c r="R684" s="381"/>
      <c r="S684" s="381"/>
      <c r="T684" s="381"/>
      <c r="U684" s="381"/>
      <c r="V684" s="381"/>
      <c r="W684" s="381"/>
      <c r="X684" s="381"/>
      <c r="Y684" s="381"/>
      <c r="Z684" s="381"/>
      <c r="AA684" s="381"/>
      <c r="AB684" s="381"/>
      <c r="AC684" s="382"/>
      <c r="AD684" s="382"/>
    </row>
    <row r="685" spans="1:30" ht="12.75" customHeight="1" x14ac:dyDescent="0.2">
      <c r="A685" s="378"/>
      <c r="B685" s="378"/>
      <c r="C685" s="378"/>
      <c r="D685" s="380"/>
      <c r="E685" s="380"/>
      <c r="F685" s="378"/>
      <c r="G685" s="378"/>
      <c r="H685" s="378"/>
      <c r="I685" s="378"/>
      <c r="J685" s="378"/>
      <c r="K685" s="378"/>
      <c r="L685" s="378"/>
      <c r="M685" s="381"/>
      <c r="N685" s="381"/>
      <c r="O685" s="381"/>
      <c r="P685" s="381"/>
      <c r="Q685" s="381"/>
      <c r="R685" s="381"/>
      <c r="S685" s="381"/>
      <c r="T685" s="381"/>
      <c r="U685" s="381"/>
      <c r="V685" s="381"/>
      <c r="W685" s="381"/>
      <c r="X685" s="381"/>
      <c r="Y685" s="381"/>
      <c r="Z685" s="381"/>
      <c r="AA685" s="381"/>
      <c r="AB685" s="381"/>
      <c r="AC685" s="382"/>
      <c r="AD685" s="382"/>
    </row>
    <row r="686" spans="1:30" ht="12.75" customHeight="1" x14ac:dyDescent="0.2">
      <c r="A686" s="378"/>
      <c r="B686" s="378"/>
      <c r="C686" s="378"/>
      <c r="D686" s="380"/>
      <c r="E686" s="380"/>
      <c r="F686" s="378"/>
      <c r="G686" s="378"/>
      <c r="H686" s="378"/>
      <c r="I686" s="378"/>
      <c r="J686" s="378"/>
      <c r="K686" s="378"/>
      <c r="L686" s="378"/>
      <c r="M686" s="381"/>
      <c r="N686" s="381"/>
      <c r="O686" s="381"/>
      <c r="P686" s="381"/>
      <c r="Q686" s="381"/>
      <c r="R686" s="381"/>
      <c r="S686" s="381"/>
      <c r="T686" s="381"/>
      <c r="U686" s="381"/>
      <c r="V686" s="381"/>
      <c r="W686" s="381"/>
      <c r="X686" s="381"/>
      <c r="Y686" s="381"/>
      <c r="Z686" s="381"/>
      <c r="AA686" s="381"/>
      <c r="AB686" s="381"/>
      <c r="AC686" s="382"/>
      <c r="AD686" s="382"/>
    </row>
    <row r="687" spans="1:30" ht="12.75" customHeight="1" x14ac:dyDescent="0.2">
      <c r="A687" s="378"/>
      <c r="B687" s="378"/>
      <c r="C687" s="378"/>
      <c r="D687" s="380"/>
      <c r="E687" s="380"/>
      <c r="F687" s="378"/>
      <c r="G687" s="378"/>
      <c r="H687" s="378"/>
      <c r="I687" s="378"/>
      <c r="J687" s="378"/>
      <c r="K687" s="378"/>
      <c r="L687" s="378"/>
      <c r="M687" s="381"/>
      <c r="N687" s="381"/>
      <c r="O687" s="381"/>
      <c r="P687" s="381"/>
      <c r="Q687" s="381"/>
      <c r="R687" s="381"/>
      <c r="S687" s="381"/>
      <c r="T687" s="381"/>
      <c r="U687" s="381"/>
      <c r="V687" s="381"/>
      <c r="W687" s="381"/>
      <c r="X687" s="381"/>
      <c r="Y687" s="381"/>
      <c r="Z687" s="381"/>
      <c r="AA687" s="381"/>
      <c r="AB687" s="381"/>
      <c r="AC687" s="382"/>
      <c r="AD687" s="382"/>
    </row>
    <row r="688" spans="1:30" ht="12.75" customHeight="1" x14ac:dyDescent="0.2">
      <c r="A688" s="378"/>
      <c r="B688" s="378"/>
      <c r="C688" s="378"/>
      <c r="D688" s="380"/>
      <c r="E688" s="380"/>
      <c r="F688" s="378"/>
      <c r="G688" s="378"/>
      <c r="H688" s="378"/>
      <c r="I688" s="378"/>
      <c r="J688" s="378"/>
      <c r="K688" s="378"/>
      <c r="L688" s="378"/>
      <c r="M688" s="381"/>
      <c r="N688" s="381"/>
      <c r="O688" s="381"/>
      <c r="P688" s="381"/>
      <c r="Q688" s="381"/>
      <c r="R688" s="381"/>
      <c r="S688" s="381"/>
      <c r="T688" s="381"/>
      <c r="U688" s="381"/>
      <c r="V688" s="381"/>
      <c r="W688" s="381"/>
      <c r="X688" s="381"/>
      <c r="Y688" s="381"/>
      <c r="Z688" s="381"/>
      <c r="AA688" s="381"/>
      <c r="AB688" s="381"/>
      <c r="AC688" s="382"/>
      <c r="AD688" s="382"/>
    </row>
    <row r="689" spans="1:30" ht="12.75" customHeight="1" x14ac:dyDescent="0.2">
      <c r="A689" s="378"/>
      <c r="B689" s="378"/>
      <c r="C689" s="378"/>
      <c r="D689" s="380"/>
      <c r="E689" s="380"/>
      <c r="F689" s="378"/>
      <c r="G689" s="378"/>
      <c r="H689" s="378"/>
      <c r="I689" s="378"/>
      <c r="J689" s="378"/>
      <c r="K689" s="378"/>
      <c r="L689" s="378"/>
      <c r="M689" s="381"/>
      <c r="N689" s="381"/>
      <c r="O689" s="381"/>
      <c r="P689" s="381"/>
      <c r="Q689" s="381"/>
      <c r="R689" s="381"/>
      <c r="S689" s="381"/>
      <c r="T689" s="381"/>
      <c r="U689" s="381"/>
      <c r="V689" s="381"/>
      <c r="W689" s="381"/>
      <c r="X689" s="381"/>
      <c r="Y689" s="381"/>
      <c r="Z689" s="381"/>
      <c r="AA689" s="381"/>
      <c r="AB689" s="381"/>
      <c r="AC689" s="382"/>
      <c r="AD689" s="382"/>
    </row>
    <row r="690" spans="1:30" ht="12.75" customHeight="1" x14ac:dyDescent="0.2">
      <c r="A690" s="378"/>
      <c r="B690" s="378"/>
      <c r="C690" s="378"/>
      <c r="D690" s="380"/>
      <c r="E690" s="380"/>
      <c r="F690" s="378"/>
      <c r="G690" s="378"/>
      <c r="H690" s="378"/>
      <c r="I690" s="378"/>
      <c r="J690" s="378"/>
      <c r="K690" s="378"/>
      <c r="L690" s="378"/>
      <c r="M690" s="381"/>
      <c r="N690" s="381"/>
      <c r="O690" s="381"/>
      <c r="P690" s="381"/>
      <c r="Q690" s="381"/>
      <c r="R690" s="381"/>
      <c r="S690" s="381"/>
      <c r="T690" s="381"/>
      <c r="U690" s="381"/>
      <c r="V690" s="381"/>
      <c r="W690" s="381"/>
      <c r="X690" s="381"/>
      <c r="Y690" s="381"/>
      <c r="Z690" s="381"/>
      <c r="AA690" s="381"/>
      <c r="AB690" s="381"/>
      <c r="AC690" s="382"/>
      <c r="AD690" s="382"/>
    </row>
    <row r="691" spans="1:30" ht="12.75" customHeight="1" x14ac:dyDescent="0.2">
      <c r="A691" s="378"/>
      <c r="B691" s="378"/>
      <c r="C691" s="378"/>
      <c r="D691" s="380"/>
      <c r="E691" s="380"/>
      <c r="F691" s="378"/>
      <c r="G691" s="378"/>
      <c r="H691" s="378"/>
      <c r="I691" s="378"/>
      <c r="J691" s="378"/>
      <c r="K691" s="378"/>
      <c r="L691" s="378"/>
      <c r="M691" s="381"/>
      <c r="N691" s="381"/>
      <c r="O691" s="381"/>
      <c r="P691" s="381"/>
      <c r="Q691" s="381"/>
      <c r="R691" s="381"/>
      <c r="S691" s="381"/>
      <c r="T691" s="381"/>
      <c r="U691" s="381"/>
      <c r="V691" s="381"/>
      <c r="W691" s="381"/>
      <c r="X691" s="381"/>
      <c r="Y691" s="381"/>
      <c r="Z691" s="381"/>
      <c r="AA691" s="381"/>
      <c r="AB691" s="381"/>
      <c r="AC691" s="382"/>
      <c r="AD691" s="382"/>
    </row>
    <row r="692" spans="1:30" ht="12.75" customHeight="1" x14ac:dyDescent="0.2">
      <c r="A692" s="378"/>
      <c r="B692" s="378"/>
      <c r="C692" s="378"/>
      <c r="D692" s="380"/>
      <c r="E692" s="380"/>
      <c r="F692" s="378"/>
      <c r="G692" s="378"/>
      <c r="H692" s="378"/>
      <c r="I692" s="378"/>
      <c r="J692" s="378"/>
      <c r="K692" s="378"/>
      <c r="L692" s="378"/>
      <c r="M692" s="381"/>
      <c r="N692" s="381"/>
      <c r="O692" s="381"/>
      <c r="P692" s="381"/>
      <c r="Q692" s="381"/>
      <c r="R692" s="381"/>
      <c r="S692" s="381"/>
      <c r="T692" s="381"/>
      <c r="U692" s="381"/>
      <c r="V692" s="381"/>
      <c r="W692" s="381"/>
      <c r="X692" s="381"/>
      <c r="Y692" s="381"/>
      <c r="Z692" s="381"/>
      <c r="AA692" s="381"/>
      <c r="AB692" s="381"/>
      <c r="AC692" s="382"/>
      <c r="AD692" s="382"/>
    </row>
    <row r="693" spans="1:30" ht="12.75" customHeight="1" x14ac:dyDescent="0.2">
      <c r="A693" s="378"/>
      <c r="B693" s="378"/>
      <c r="C693" s="378"/>
      <c r="D693" s="380"/>
      <c r="E693" s="380"/>
      <c r="F693" s="378"/>
      <c r="G693" s="378"/>
      <c r="H693" s="378"/>
      <c r="I693" s="378"/>
      <c r="J693" s="378"/>
      <c r="K693" s="378"/>
      <c r="L693" s="378"/>
      <c r="M693" s="381"/>
      <c r="N693" s="381"/>
      <c r="O693" s="381"/>
      <c r="P693" s="381"/>
      <c r="Q693" s="381"/>
      <c r="R693" s="381"/>
      <c r="S693" s="381"/>
      <c r="T693" s="381"/>
      <c r="U693" s="381"/>
      <c r="V693" s="381"/>
      <c r="W693" s="381"/>
      <c r="X693" s="381"/>
      <c r="Y693" s="381"/>
      <c r="Z693" s="381"/>
      <c r="AA693" s="381"/>
      <c r="AB693" s="381"/>
      <c r="AC693" s="382"/>
      <c r="AD693" s="382"/>
    </row>
    <row r="694" spans="1:30" ht="12.75" customHeight="1" x14ac:dyDescent="0.2">
      <c r="A694" s="378"/>
      <c r="B694" s="378"/>
      <c r="C694" s="378"/>
      <c r="D694" s="380"/>
      <c r="E694" s="380"/>
      <c r="F694" s="378"/>
      <c r="G694" s="378"/>
      <c r="H694" s="378"/>
      <c r="I694" s="378"/>
      <c r="J694" s="378"/>
      <c r="K694" s="378"/>
      <c r="L694" s="378"/>
      <c r="M694" s="381"/>
      <c r="N694" s="381"/>
      <c r="O694" s="381"/>
      <c r="P694" s="381"/>
      <c r="Q694" s="381"/>
      <c r="R694" s="381"/>
      <c r="S694" s="381"/>
      <c r="T694" s="381"/>
      <c r="U694" s="381"/>
      <c r="V694" s="381"/>
      <c r="W694" s="381"/>
      <c r="X694" s="381"/>
      <c r="Y694" s="381"/>
      <c r="Z694" s="381"/>
      <c r="AA694" s="381"/>
      <c r="AB694" s="381"/>
      <c r="AC694" s="382"/>
      <c r="AD694" s="382"/>
    </row>
    <row r="695" spans="1:30" ht="12.75" customHeight="1" x14ac:dyDescent="0.2">
      <c r="A695" s="378"/>
      <c r="B695" s="378"/>
      <c r="C695" s="378"/>
      <c r="D695" s="380"/>
      <c r="E695" s="380"/>
      <c r="F695" s="378"/>
      <c r="G695" s="378"/>
      <c r="H695" s="378"/>
      <c r="I695" s="378"/>
      <c r="J695" s="378"/>
      <c r="K695" s="378"/>
      <c r="L695" s="378"/>
      <c r="M695" s="381"/>
      <c r="N695" s="381"/>
      <c r="O695" s="381"/>
      <c r="P695" s="381"/>
      <c r="Q695" s="381"/>
      <c r="R695" s="381"/>
      <c r="S695" s="381"/>
      <c r="T695" s="381"/>
      <c r="U695" s="381"/>
      <c r="V695" s="381"/>
      <c r="W695" s="381"/>
      <c r="X695" s="381"/>
      <c r="Y695" s="381"/>
      <c r="Z695" s="381"/>
      <c r="AA695" s="381"/>
      <c r="AB695" s="381"/>
      <c r="AC695" s="382"/>
      <c r="AD695" s="382"/>
    </row>
    <row r="696" spans="1:30" ht="12.75" customHeight="1" x14ac:dyDescent="0.2">
      <c r="A696" s="378"/>
      <c r="B696" s="378"/>
      <c r="C696" s="378"/>
      <c r="D696" s="380"/>
      <c r="E696" s="380"/>
      <c r="F696" s="378"/>
      <c r="G696" s="378"/>
      <c r="H696" s="378"/>
      <c r="I696" s="378"/>
      <c r="J696" s="378"/>
      <c r="K696" s="378"/>
      <c r="L696" s="378"/>
      <c r="M696" s="381"/>
      <c r="N696" s="381"/>
      <c r="O696" s="381"/>
      <c r="P696" s="381"/>
      <c r="Q696" s="381"/>
      <c r="R696" s="381"/>
      <c r="S696" s="381"/>
      <c r="T696" s="381"/>
      <c r="U696" s="381"/>
      <c r="V696" s="381"/>
      <c r="W696" s="381"/>
      <c r="X696" s="381"/>
      <c r="Y696" s="381"/>
      <c r="Z696" s="381"/>
      <c r="AA696" s="381"/>
      <c r="AB696" s="381"/>
      <c r="AC696" s="382"/>
      <c r="AD696" s="382"/>
    </row>
    <row r="697" spans="1:30" ht="12.75" customHeight="1" x14ac:dyDescent="0.2">
      <c r="A697" s="378"/>
      <c r="B697" s="378"/>
      <c r="C697" s="378"/>
      <c r="D697" s="380"/>
      <c r="E697" s="380"/>
      <c r="F697" s="378"/>
      <c r="G697" s="378"/>
      <c r="H697" s="378"/>
      <c r="I697" s="378"/>
      <c r="J697" s="378"/>
      <c r="K697" s="378"/>
      <c r="L697" s="378"/>
      <c r="M697" s="381"/>
      <c r="N697" s="381"/>
      <c r="O697" s="381"/>
      <c r="P697" s="381"/>
      <c r="Q697" s="381"/>
      <c r="R697" s="381"/>
      <c r="S697" s="381"/>
      <c r="T697" s="381"/>
      <c r="U697" s="381"/>
      <c r="V697" s="381"/>
      <c r="W697" s="381"/>
      <c r="X697" s="381"/>
      <c r="Y697" s="381"/>
      <c r="Z697" s="381"/>
      <c r="AA697" s="381"/>
      <c r="AB697" s="381"/>
      <c r="AC697" s="382"/>
      <c r="AD697" s="382"/>
    </row>
    <row r="698" spans="1:30" ht="12.75" customHeight="1" x14ac:dyDescent="0.2">
      <c r="A698" s="378"/>
      <c r="B698" s="378"/>
      <c r="C698" s="378"/>
      <c r="D698" s="380"/>
      <c r="E698" s="380"/>
      <c r="F698" s="378"/>
      <c r="G698" s="378"/>
      <c r="H698" s="378"/>
      <c r="I698" s="378"/>
      <c r="J698" s="378"/>
      <c r="K698" s="378"/>
      <c r="L698" s="378"/>
      <c r="M698" s="381"/>
      <c r="N698" s="381"/>
      <c r="O698" s="381"/>
      <c r="P698" s="381"/>
      <c r="Q698" s="381"/>
      <c r="R698" s="381"/>
      <c r="S698" s="381"/>
      <c r="T698" s="381"/>
      <c r="U698" s="381"/>
      <c r="V698" s="381"/>
      <c r="W698" s="381"/>
      <c r="X698" s="381"/>
      <c r="Y698" s="381"/>
      <c r="Z698" s="381"/>
      <c r="AA698" s="381"/>
      <c r="AB698" s="381"/>
      <c r="AC698" s="382"/>
      <c r="AD698" s="382"/>
    </row>
    <row r="699" spans="1:30" ht="12.75" customHeight="1" x14ac:dyDescent="0.2">
      <c r="A699" s="378"/>
      <c r="B699" s="378"/>
      <c r="C699" s="378"/>
      <c r="D699" s="380"/>
      <c r="E699" s="380"/>
      <c r="F699" s="378"/>
      <c r="G699" s="378"/>
      <c r="H699" s="378"/>
      <c r="I699" s="378"/>
      <c r="J699" s="378"/>
      <c r="K699" s="378"/>
      <c r="L699" s="378"/>
      <c r="M699" s="381"/>
      <c r="N699" s="381"/>
      <c r="O699" s="381"/>
      <c r="P699" s="381"/>
      <c r="Q699" s="381"/>
      <c r="R699" s="381"/>
      <c r="S699" s="381"/>
      <c r="T699" s="381"/>
      <c r="U699" s="381"/>
      <c r="V699" s="381"/>
      <c r="W699" s="381"/>
      <c r="X699" s="381"/>
      <c r="Y699" s="381"/>
      <c r="Z699" s="381"/>
      <c r="AA699" s="381"/>
      <c r="AB699" s="381"/>
      <c r="AC699" s="382"/>
      <c r="AD699" s="382"/>
    </row>
    <row r="700" spans="1:30" ht="12.75" customHeight="1" x14ac:dyDescent="0.2">
      <c r="A700" s="378"/>
      <c r="B700" s="378"/>
      <c r="C700" s="378"/>
      <c r="D700" s="380"/>
      <c r="E700" s="380"/>
      <c r="F700" s="378"/>
      <c r="G700" s="378"/>
      <c r="H700" s="378"/>
      <c r="I700" s="378"/>
      <c r="J700" s="378"/>
      <c r="K700" s="378"/>
      <c r="L700" s="378"/>
      <c r="M700" s="381"/>
      <c r="N700" s="381"/>
      <c r="O700" s="381"/>
      <c r="P700" s="381"/>
      <c r="Q700" s="381"/>
      <c r="R700" s="381"/>
      <c r="S700" s="381"/>
      <c r="T700" s="381"/>
      <c r="U700" s="381"/>
      <c r="V700" s="381"/>
      <c r="W700" s="381"/>
      <c r="X700" s="381"/>
      <c r="Y700" s="381"/>
      <c r="Z700" s="381"/>
      <c r="AA700" s="381"/>
      <c r="AB700" s="381"/>
      <c r="AC700" s="382"/>
      <c r="AD700" s="382"/>
    </row>
    <row r="701" spans="1:30" ht="12.75" customHeight="1" x14ac:dyDescent="0.2">
      <c r="A701" s="378"/>
      <c r="B701" s="378"/>
      <c r="C701" s="378"/>
      <c r="D701" s="380"/>
      <c r="E701" s="380"/>
      <c r="F701" s="378"/>
      <c r="G701" s="378"/>
      <c r="H701" s="378"/>
      <c r="I701" s="378"/>
      <c r="J701" s="378"/>
      <c r="K701" s="378"/>
      <c r="L701" s="378"/>
      <c r="M701" s="381"/>
      <c r="N701" s="381"/>
      <c r="O701" s="381"/>
      <c r="P701" s="381"/>
      <c r="Q701" s="381"/>
      <c r="R701" s="381"/>
      <c r="S701" s="381"/>
      <c r="T701" s="381"/>
      <c r="U701" s="381"/>
      <c r="V701" s="381"/>
      <c r="W701" s="381"/>
      <c r="X701" s="381"/>
      <c r="Y701" s="381"/>
      <c r="Z701" s="381"/>
      <c r="AA701" s="381"/>
      <c r="AB701" s="381"/>
      <c r="AC701" s="382"/>
      <c r="AD701" s="382"/>
    </row>
    <row r="702" spans="1:30" ht="12.75" customHeight="1" x14ac:dyDescent="0.2">
      <c r="A702" s="378"/>
      <c r="B702" s="378"/>
      <c r="C702" s="378"/>
      <c r="D702" s="380"/>
      <c r="E702" s="380"/>
      <c r="F702" s="378"/>
      <c r="G702" s="378"/>
      <c r="H702" s="378"/>
      <c r="I702" s="378"/>
      <c r="J702" s="378"/>
      <c r="K702" s="378"/>
      <c r="L702" s="378"/>
      <c r="M702" s="381"/>
      <c r="N702" s="381"/>
      <c r="O702" s="381"/>
      <c r="P702" s="381"/>
      <c r="Q702" s="381"/>
      <c r="R702" s="381"/>
      <c r="S702" s="381"/>
      <c r="T702" s="381"/>
      <c r="U702" s="381"/>
      <c r="V702" s="381"/>
      <c r="W702" s="381"/>
      <c r="X702" s="381"/>
      <c r="Y702" s="381"/>
      <c r="Z702" s="381"/>
      <c r="AA702" s="381"/>
      <c r="AB702" s="381"/>
      <c r="AC702" s="382"/>
      <c r="AD702" s="382"/>
    </row>
    <row r="703" spans="1:30" ht="12.75" customHeight="1" x14ac:dyDescent="0.2">
      <c r="A703" s="378"/>
      <c r="B703" s="378"/>
      <c r="C703" s="378"/>
      <c r="D703" s="380"/>
      <c r="E703" s="380"/>
      <c r="F703" s="378"/>
      <c r="G703" s="378"/>
      <c r="H703" s="378"/>
      <c r="I703" s="378"/>
      <c r="J703" s="378"/>
      <c r="K703" s="378"/>
      <c r="L703" s="378"/>
      <c r="M703" s="381"/>
      <c r="N703" s="381"/>
      <c r="O703" s="381"/>
      <c r="P703" s="381"/>
      <c r="Q703" s="381"/>
      <c r="R703" s="381"/>
      <c r="S703" s="381"/>
      <c r="T703" s="381"/>
      <c r="U703" s="381"/>
      <c r="V703" s="381"/>
      <c r="W703" s="381"/>
      <c r="X703" s="381"/>
      <c r="Y703" s="381"/>
      <c r="Z703" s="381"/>
      <c r="AA703" s="381"/>
      <c r="AB703" s="381"/>
      <c r="AC703" s="382"/>
      <c r="AD703" s="382"/>
    </row>
    <row r="704" spans="1:30" ht="12.75" customHeight="1" x14ac:dyDescent="0.2">
      <c r="A704" s="378"/>
      <c r="B704" s="378"/>
      <c r="C704" s="378"/>
      <c r="D704" s="380"/>
      <c r="E704" s="380"/>
      <c r="F704" s="378"/>
      <c r="G704" s="378"/>
      <c r="H704" s="378"/>
      <c r="I704" s="378"/>
      <c r="J704" s="378"/>
      <c r="K704" s="378"/>
      <c r="L704" s="378"/>
      <c r="M704" s="381"/>
      <c r="N704" s="381"/>
      <c r="O704" s="381"/>
      <c r="P704" s="381"/>
      <c r="Q704" s="381"/>
      <c r="R704" s="381"/>
      <c r="S704" s="381"/>
      <c r="T704" s="381"/>
      <c r="U704" s="381"/>
      <c r="V704" s="381"/>
      <c r="W704" s="381"/>
      <c r="X704" s="381"/>
      <c r="Y704" s="381"/>
      <c r="Z704" s="381"/>
      <c r="AA704" s="381"/>
      <c r="AB704" s="381"/>
      <c r="AC704" s="382"/>
      <c r="AD704" s="382"/>
    </row>
    <row r="705" spans="1:30" ht="12.75" customHeight="1" x14ac:dyDescent="0.2">
      <c r="A705" s="378"/>
      <c r="B705" s="378"/>
      <c r="C705" s="378"/>
      <c r="D705" s="380"/>
      <c r="E705" s="380"/>
      <c r="F705" s="378"/>
      <c r="G705" s="378"/>
      <c r="H705" s="378"/>
      <c r="I705" s="378"/>
      <c r="J705" s="378"/>
      <c r="K705" s="378"/>
      <c r="L705" s="378"/>
      <c r="M705" s="381"/>
      <c r="N705" s="381"/>
      <c r="O705" s="381"/>
      <c r="P705" s="381"/>
      <c r="Q705" s="381"/>
      <c r="R705" s="381"/>
      <c r="S705" s="381"/>
      <c r="T705" s="381"/>
      <c r="U705" s="381"/>
      <c r="V705" s="381"/>
      <c r="W705" s="381"/>
      <c r="X705" s="381"/>
      <c r="Y705" s="381"/>
      <c r="Z705" s="381"/>
      <c r="AA705" s="381"/>
      <c r="AB705" s="381"/>
      <c r="AC705" s="382"/>
      <c r="AD705" s="382"/>
    </row>
    <row r="706" spans="1:30" ht="12.75" customHeight="1" x14ac:dyDescent="0.2">
      <c r="A706" s="378"/>
      <c r="B706" s="378"/>
      <c r="C706" s="378"/>
      <c r="D706" s="380"/>
      <c r="E706" s="380"/>
      <c r="F706" s="378"/>
      <c r="G706" s="378"/>
      <c r="H706" s="378"/>
      <c r="I706" s="378"/>
      <c r="J706" s="378"/>
      <c r="K706" s="378"/>
      <c r="L706" s="378"/>
      <c r="M706" s="381"/>
      <c r="N706" s="381"/>
      <c r="O706" s="381"/>
      <c r="P706" s="381"/>
      <c r="Q706" s="381"/>
      <c r="R706" s="381"/>
      <c r="S706" s="381"/>
      <c r="T706" s="381"/>
      <c r="U706" s="381"/>
      <c r="V706" s="381"/>
      <c r="W706" s="381"/>
      <c r="X706" s="381"/>
      <c r="Y706" s="381"/>
      <c r="Z706" s="381"/>
      <c r="AA706" s="381"/>
      <c r="AB706" s="381"/>
      <c r="AC706" s="382"/>
      <c r="AD706" s="382"/>
    </row>
    <row r="707" spans="1:30" ht="12.75" customHeight="1" x14ac:dyDescent="0.2">
      <c r="A707" s="378"/>
      <c r="B707" s="378"/>
      <c r="C707" s="378"/>
      <c r="D707" s="380"/>
      <c r="E707" s="380"/>
      <c r="F707" s="378"/>
      <c r="G707" s="378"/>
      <c r="H707" s="378"/>
      <c r="I707" s="378"/>
      <c r="J707" s="378"/>
      <c r="K707" s="378"/>
      <c r="L707" s="378"/>
      <c r="M707" s="381"/>
      <c r="N707" s="381"/>
      <c r="O707" s="381"/>
      <c r="P707" s="381"/>
      <c r="Q707" s="381"/>
      <c r="R707" s="381"/>
      <c r="S707" s="381"/>
      <c r="T707" s="381"/>
      <c r="U707" s="381"/>
      <c r="V707" s="381"/>
      <c r="W707" s="381"/>
      <c r="X707" s="381"/>
      <c r="Y707" s="381"/>
      <c r="Z707" s="381"/>
      <c r="AA707" s="381"/>
      <c r="AB707" s="381"/>
      <c r="AC707" s="382"/>
      <c r="AD707" s="382"/>
    </row>
    <row r="708" spans="1:30" ht="12.75" customHeight="1" x14ac:dyDescent="0.2">
      <c r="A708" s="378"/>
      <c r="B708" s="378"/>
      <c r="C708" s="378"/>
      <c r="D708" s="380"/>
      <c r="E708" s="380"/>
      <c r="F708" s="378"/>
      <c r="G708" s="378"/>
      <c r="H708" s="378"/>
      <c r="I708" s="378"/>
      <c r="J708" s="378"/>
      <c r="K708" s="378"/>
      <c r="L708" s="378"/>
      <c r="M708" s="381"/>
      <c r="N708" s="381"/>
      <c r="O708" s="381"/>
      <c r="P708" s="381"/>
      <c r="Q708" s="381"/>
      <c r="R708" s="381"/>
      <c r="S708" s="381"/>
      <c r="T708" s="381"/>
      <c r="U708" s="381"/>
      <c r="V708" s="381"/>
      <c r="W708" s="381"/>
      <c r="X708" s="381"/>
      <c r="Y708" s="381"/>
      <c r="Z708" s="381"/>
      <c r="AA708" s="381"/>
      <c r="AB708" s="381"/>
      <c r="AC708" s="382"/>
      <c r="AD708" s="382"/>
    </row>
    <row r="709" spans="1:30" ht="12.75" customHeight="1" x14ac:dyDescent="0.2">
      <c r="A709" s="378"/>
      <c r="B709" s="378"/>
      <c r="C709" s="378"/>
      <c r="D709" s="380"/>
      <c r="E709" s="380"/>
      <c r="F709" s="378"/>
      <c r="G709" s="378"/>
      <c r="H709" s="378"/>
      <c r="I709" s="378"/>
      <c r="J709" s="378"/>
      <c r="K709" s="378"/>
      <c r="L709" s="378"/>
      <c r="M709" s="381"/>
      <c r="N709" s="381"/>
      <c r="O709" s="381"/>
      <c r="P709" s="381"/>
      <c r="Q709" s="381"/>
      <c r="R709" s="381"/>
      <c r="S709" s="381"/>
      <c r="T709" s="381"/>
      <c r="U709" s="381"/>
      <c r="V709" s="381"/>
      <c r="W709" s="381"/>
      <c r="X709" s="381"/>
      <c r="Y709" s="381"/>
      <c r="Z709" s="381"/>
      <c r="AA709" s="381"/>
      <c r="AB709" s="381"/>
      <c r="AC709" s="382"/>
      <c r="AD709" s="382"/>
    </row>
    <row r="710" spans="1:30" ht="12.75" customHeight="1" x14ac:dyDescent="0.2">
      <c r="A710" s="378"/>
      <c r="B710" s="378"/>
      <c r="C710" s="378"/>
      <c r="D710" s="380"/>
      <c r="E710" s="380"/>
      <c r="F710" s="378"/>
      <c r="G710" s="378"/>
      <c r="H710" s="378"/>
      <c r="I710" s="378"/>
      <c r="J710" s="378"/>
      <c r="K710" s="378"/>
      <c r="L710" s="378"/>
      <c r="M710" s="381"/>
      <c r="N710" s="381"/>
      <c r="O710" s="381"/>
      <c r="P710" s="381"/>
      <c r="Q710" s="381"/>
      <c r="R710" s="381"/>
      <c r="S710" s="381"/>
      <c r="T710" s="381"/>
      <c r="U710" s="381"/>
      <c r="V710" s="381"/>
      <c r="W710" s="381"/>
      <c r="X710" s="381"/>
      <c r="Y710" s="381"/>
      <c r="Z710" s="381"/>
      <c r="AA710" s="381"/>
      <c r="AB710" s="381"/>
      <c r="AC710" s="382"/>
      <c r="AD710" s="382"/>
    </row>
    <row r="711" spans="1:30" ht="12.75" customHeight="1" x14ac:dyDescent="0.2">
      <c r="A711" s="378"/>
      <c r="B711" s="378"/>
      <c r="C711" s="378"/>
      <c r="D711" s="380"/>
      <c r="E711" s="380"/>
      <c r="F711" s="378"/>
      <c r="G711" s="378"/>
      <c r="H711" s="378"/>
      <c r="I711" s="378"/>
      <c r="J711" s="378"/>
      <c r="K711" s="378"/>
      <c r="L711" s="378"/>
      <c r="M711" s="381"/>
      <c r="N711" s="381"/>
      <c r="O711" s="381"/>
      <c r="P711" s="381"/>
      <c r="Q711" s="381"/>
      <c r="R711" s="381"/>
      <c r="S711" s="381"/>
      <c r="T711" s="381"/>
      <c r="U711" s="381"/>
      <c r="V711" s="381"/>
      <c r="W711" s="381"/>
      <c r="X711" s="381"/>
      <c r="Y711" s="381"/>
      <c r="Z711" s="381"/>
      <c r="AA711" s="381"/>
      <c r="AB711" s="381"/>
      <c r="AC711" s="382"/>
      <c r="AD711" s="382"/>
    </row>
    <row r="712" spans="1:30" ht="12.75" customHeight="1" x14ac:dyDescent="0.2">
      <c r="A712" s="378"/>
      <c r="B712" s="378"/>
      <c r="C712" s="378"/>
      <c r="D712" s="380"/>
      <c r="E712" s="380"/>
      <c r="F712" s="378"/>
      <c r="G712" s="378"/>
      <c r="H712" s="378"/>
      <c r="I712" s="378"/>
      <c r="J712" s="378"/>
      <c r="K712" s="378"/>
      <c r="L712" s="378"/>
      <c r="M712" s="381"/>
      <c r="N712" s="381"/>
      <c r="O712" s="381"/>
      <c r="P712" s="381"/>
      <c r="Q712" s="381"/>
      <c r="R712" s="381"/>
      <c r="S712" s="381"/>
      <c r="T712" s="381"/>
      <c r="U712" s="381"/>
      <c r="V712" s="381"/>
      <c r="W712" s="381"/>
      <c r="X712" s="381"/>
      <c r="Y712" s="381"/>
      <c r="Z712" s="381"/>
      <c r="AA712" s="381"/>
      <c r="AB712" s="381"/>
      <c r="AC712" s="382"/>
      <c r="AD712" s="382"/>
    </row>
    <row r="713" spans="1:30" ht="12.75" customHeight="1" x14ac:dyDescent="0.2">
      <c r="A713" s="378"/>
      <c r="B713" s="378"/>
      <c r="C713" s="378"/>
      <c r="D713" s="380"/>
      <c r="E713" s="380"/>
      <c r="F713" s="378"/>
      <c r="G713" s="378"/>
      <c r="H713" s="378"/>
      <c r="I713" s="378"/>
      <c r="J713" s="378"/>
      <c r="K713" s="378"/>
      <c r="L713" s="378"/>
      <c r="M713" s="381"/>
      <c r="N713" s="381"/>
      <c r="O713" s="381"/>
      <c r="P713" s="381"/>
      <c r="Q713" s="381"/>
      <c r="R713" s="381"/>
      <c r="S713" s="381"/>
      <c r="T713" s="381"/>
      <c r="U713" s="381"/>
      <c r="V713" s="381"/>
      <c r="W713" s="381"/>
      <c r="X713" s="381"/>
      <c r="Y713" s="381"/>
      <c r="Z713" s="381"/>
      <c r="AA713" s="381"/>
      <c r="AB713" s="381"/>
      <c r="AC713" s="382"/>
      <c r="AD713" s="382"/>
    </row>
    <row r="714" spans="1:30" ht="12.75" customHeight="1" x14ac:dyDescent="0.2">
      <c r="A714" s="378"/>
      <c r="B714" s="378"/>
      <c r="C714" s="378"/>
      <c r="D714" s="380"/>
      <c r="E714" s="380"/>
      <c r="F714" s="378"/>
      <c r="G714" s="378"/>
      <c r="H714" s="378"/>
      <c r="I714" s="378"/>
      <c r="J714" s="378"/>
      <c r="K714" s="378"/>
      <c r="L714" s="378"/>
      <c r="M714" s="381"/>
      <c r="N714" s="381"/>
      <c r="O714" s="381"/>
      <c r="P714" s="381"/>
      <c r="Q714" s="381"/>
      <c r="R714" s="381"/>
      <c r="S714" s="381"/>
      <c r="T714" s="381"/>
      <c r="U714" s="381"/>
      <c r="V714" s="381"/>
      <c r="W714" s="381"/>
      <c r="X714" s="381"/>
      <c r="Y714" s="381"/>
      <c r="Z714" s="381"/>
      <c r="AA714" s="381"/>
      <c r="AB714" s="381"/>
      <c r="AC714" s="382"/>
      <c r="AD714" s="382"/>
    </row>
    <row r="715" spans="1:30" ht="12.75" customHeight="1" x14ac:dyDescent="0.2">
      <c r="A715" s="378"/>
      <c r="B715" s="378"/>
      <c r="C715" s="378"/>
      <c r="D715" s="380"/>
      <c r="E715" s="380"/>
      <c r="F715" s="378"/>
      <c r="G715" s="378"/>
      <c r="H715" s="378"/>
      <c r="I715" s="378"/>
      <c r="J715" s="378"/>
      <c r="K715" s="378"/>
      <c r="L715" s="378"/>
      <c r="M715" s="381"/>
      <c r="N715" s="381"/>
      <c r="O715" s="381"/>
      <c r="P715" s="381"/>
      <c r="Q715" s="381"/>
      <c r="R715" s="381"/>
      <c r="S715" s="381"/>
      <c r="T715" s="381"/>
      <c r="U715" s="381"/>
      <c r="V715" s="381"/>
      <c r="W715" s="381"/>
      <c r="X715" s="381"/>
      <c r="Y715" s="381"/>
      <c r="Z715" s="381"/>
      <c r="AA715" s="381"/>
      <c r="AB715" s="381"/>
      <c r="AC715" s="382"/>
      <c r="AD715" s="382"/>
    </row>
    <row r="716" spans="1:30" ht="12.75" customHeight="1" x14ac:dyDescent="0.2">
      <c r="A716" s="378"/>
      <c r="B716" s="378"/>
      <c r="C716" s="378"/>
      <c r="D716" s="380"/>
      <c r="E716" s="380"/>
      <c r="F716" s="378"/>
      <c r="G716" s="378"/>
      <c r="H716" s="378"/>
      <c r="I716" s="378"/>
      <c r="J716" s="378"/>
      <c r="K716" s="378"/>
      <c r="L716" s="378"/>
      <c r="M716" s="381"/>
      <c r="N716" s="381"/>
      <c r="O716" s="381"/>
      <c r="P716" s="381"/>
      <c r="Q716" s="381"/>
      <c r="R716" s="381"/>
      <c r="S716" s="381"/>
      <c r="T716" s="381"/>
      <c r="U716" s="381"/>
      <c r="V716" s="381"/>
      <c r="W716" s="381"/>
      <c r="X716" s="381"/>
      <c r="Y716" s="381"/>
      <c r="Z716" s="381"/>
      <c r="AA716" s="381"/>
      <c r="AB716" s="381"/>
      <c r="AC716" s="382"/>
      <c r="AD716" s="382"/>
    </row>
    <row r="717" spans="1:30" ht="12.75" customHeight="1" x14ac:dyDescent="0.2">
      <c r="A717" s="378"/>
      <c r="B717" s="378"/>
      <c r="C717" s="378"/>
      <c r="D717" s="380"/>
      <c r="E717" s="380"/>
      <c r="F717" s="378"/>
      <c r="G717" s="378"/>
      <c r="H717" s="378"/>
      <c r="I717" s="378"/>
      <c r="J717" s="378"/>
      <c r="K717" s="378"/>
      <c r="L717" s="378"/>
      <c r="M717" s="381"/>
      <c r="N717" s="381"/>
      <c r="O717" s="381"/>
      <c r="P717" s="381"/>
      <c r="Q717" s="381"/>
      <c r="R717" s="381"/>
      <c r="S717" s="381"/>
      <c r="T717" s="381"/>
      <c r="U717" s="381"/>
      <c r="V717" s="381"/>
      <c r="W717" s="381"/>
      <c r="X717" s="381"/>
      <c r="Y717" s="381"/>
      <c r="Z717" s="381"/>
      <c r="AA717" s="381"/>
      <c r="AB717" s="381"/>
      <c r="AC717" s="382"/>
      <c r="AD717" s="382"/>
    </row>
    <row r="718" spans="1:30" ht="12.75" customHeight="1" x14ac:dyDescent="0.2">
      <c r="A718" s="378"/>
      <c r="B718" s="378"/>
      <c r="C718" s="378"/>
      <c r="D718" s="380"/>
      <c r="E718" s="380"/>
      <c r="F718" s="378"/>
      <c r="G718" s="378"/>
      <c r="H718" s="378"/>
      <c r="I718" s="378"/>
      <c r="J718" s="378"/>
      <c r="K718" s="378"/>
      <c r="L718" s="378"/>
      <c r="M718" s="381"/>
      <c r="N718" s="381"/>
      <c r="O718" s="381"/>
      <c r="P718" s="381"/>
      <c r="Q718" s="381"/>
      <c r="R718" s="381"/>
      <c r="S718" s="381"/>
      <c r="T718" s="381"/>
      <c r="U718" s="381"/>
      <c r="V718" s="381"/>
      <c r="W718" s="381"/>
      <c r="X718" s="381"/>
      <c r="Y718" s="381"/>
      <c r="Z718" s="381"/>
      <c r="AA718" s="381"/>
      <c r="AB718" s="381"/>
      <c r="AC718" s="382"/>
      <c r="AD718" s="382"/>
    </row>
    <row r="719" spans="1:30" ht="12.75" customHeight="1" x14ac:dyDescent="0.2">
      <c r="A719" s="378"/>
      <c r="B719" s="378"/>
      <c r="C719" s="378"/>
      <c r="D719" s="380"/>
      <c r="E719" s="380"/>
      <c r="F719" s="378"/>
      <c r="G719" s="378"/>
      <c r="H719" s="378"/>
      <c r="I719" s="378"/>
      <c r="J719" s="378"/>
      <c r="K719" s="378"/>
      <c r="L719" s="378"/>
      <c r="M719" s="381"/>
      <c r="N719" s="381"/>
      <c r="O719" s="381"/>
      <c r="P719" s="381"/>
      <c r="Q719" s="381"/>
      <c r="R719" s="381"/>
      <c r="S719" s="381"/>
      <c r="T719" s="381"/>
      <c r="U719" s="381"/>
      <c r="V719" s="381"/>
      <c r="W719" s="381"/>
      <c r="X719" s="381"/>
      <c r="Y719" s="381"/>
      <c r="Z719" s="381"/>
      <c r="AA719" s="381"/>
      <c r="AB719" s="381"/>
      <c r="AC719" s="382"/>
      <c r="AD719" s="382"/>
    </row>
    <row r="720" spans="1:30" ht="12.75" customHeight="1" x14ac:dyDescent="0.2">
      <c r="A720" s="378"/>
      <c r="B720" s="378"/>
      <c r="C720" s="378"/>
      <c r="D720" s="380"/>
      <c r="E720" s="380"/>
      <c r="F720" s="378"/>
      <c r="G720" s="378"/>
      <c r="H720" s="378"/>
      <c r="I720" s="378"/>
      <c r="J720" s="378"/>
      <c r="K720" s="378"/>
      <c r="L720" s="378"/>
      <c r="M720" s="381"/>
      <c r="N720" s="381"/>
      <c r="O720" s="381"/>
      <c r="P720" s="381"/>
      <c r="Q720" s="381"/>
      <c r="R720" s="381"/>
      <c r="S720" s="381"/>
      <c r="T720" s="381"/>
      <c r="U720" s="381"/>
      <c r="V720" s="381"/>
      <c r="W720" s="381"/>
      <c r="X720" s="381"/>
      <c r="Y720" s="381"/>
      <c r="Z720" s="381"/>
      <c r="AA720" s="381"/>
      <c r="AB720" s="381"/>
      <c r="AC720" s="382"/>
      <c r="AD720" s="382"/>
    </row>
    <row r="721" spans="1:30" ht="12.75" customHeight="1" x14ac:dyDescent="0.2">
      <c r="A721" s="378"/>
      <c r="B721" s="378"/>
      <c r="C721" s="378"/>
      <c r="D721" s="380"/>
      <c r="E721" s="380"/>
      <c r="F721" s="378"/>
      <c r="G721" s="378"/>
      <c r="H721" s="378"/>
      <c r="I721" s="378"/>
      <c r="J721" s="378"/>
      <c r="K721" s="378"/>
      <c r="L721" s="378"/>
      <c r="M721" s="381"/>
      <c r="N721" s="381"/>
      <c r="O721" s="381"/>
      <c r="P721" s="381"/>
      <c r="Q721" s="381"/>
      <c r="R721" s="381"/>
      <c r="S721" s="381"/>
      <c r="T721" s="381"/>
      <c r="U721" s="381"/>
      <c r="V721" s="381"/>
      <c r="W721" s="381"/>
      <c r="X721" s="381"/>
      <c r="Y721" s="381"/>
      <c r="Z721" s="381"/>
      <c r="AA721" s="381"/>
      <c r="AB721" s="381"/>
      <c r="AC721" s="382"/>
      <c r="AD721" s="382"/>
    </row>
    <row r="722" spans="1:30" ht="12.75" customHeight="1" x14ac:dyDescent="0.2">
      <c r="A722" s="378"/>
      <c r="B722" s="378"/>
      <c r="C722" s="378"/>
      <c r="D722" s="380"/>
      <c r="E722" s="380"/>
      <c r="F722" s="378"/>
      <c r="G722" s="378"/>
      <c r="H722" s="378"/>
      <c r="I722" s="378"/>
      <c r="J722" s="378"/>
      <c r="K722" s="378"/>
      <c r="L722" s="378"/>
      <c r="M722" s="381"/>
      <c r="N722" s="381"/>
      <c r="O722" s="381"/>
      <c r="P722" s="381"/>
      <c r="Q722" s="381"/>
      <c r="R722" s="381"/>
      <c r="S722" s="381"/>
      <c r="T722" s="381"/>
      <c r="U722" s="381"/>
      <c r="V722" s="381"/>
      <c r="W722" s="381"/>
      <c r="X722" s="381"/>
      <c r="Y722" s="381"/>
      <c r="Z722" s="381"/>
      <c r="AA722" s="381"/>
      <c r="AB722" s="381"/>
      <c r="AC722" s="382"/>
      <c r="AD722" s="382"/>
    </row>
    <row r="723" spans="1:30" ht="12.75" customHeight="1" x14ac:dyDescent="0.2">
      <c r="A723" s="378"/>
      <c r="B723" s="378"/>
      <c r="C723" s="378"/>
      <c r="D723" s="380"/>
      <c r="E723" s="380"/>
      <c r="F723" s="378"/>
      <c r="G723" s="378"/>
      <c r="H723" s="378"/>
      <c r="I723" s="378"/>
      <c r="J723" s="378"/>
      <c r="K723" s="378"/>
      <c r="L723" s="378"/>
      <c r="M723" s="381"/>
      <c r="N723" s="381"/>
      <c r="O723" s="381"/>
      <c r="P723" s="381"/>
      <c r="Q723" s="381"/>
      <c r="R723" s="381"/>
      <c r="S723" s="381"/>
      <c r="T723" s="381"/>
      <c r="U723" s="381"/>
      <c r="V723" s="381"/>
      <c r="W723" s="381"/>
      <c r="X723" s="381"/>
      <c r="Y723" s="381"/>
      <c r="Z723" s="381"/>
      <c r="AA723" s="381"/>
      <c r="AB723" s="381"/>
      <c r="AC723" s="382"/>
      <c r="AD723" s="382"/>
    </row>
    <row r="724" spans="1:30" ht="12.75" customHeight="1" x14ac:dyDescent="0.2">
      <c r="A724" s="378"/>
      <c r="B724" s="378"/>
      <c r="C724" s="378"/>
      <c r="D724" s="380"/>
      <c r="E724" s="380"/>
      <c r="F724" s="378"/>
      <c r="G724" s="378"/>
      <c r="H724" s="378"/>
      <c r="I724" s="378"/>
      <c r="J724" s="378"/>
      <c r="K724" s="378"/>
      <c r="L724" s="378"/>
      <c r="M724" s="381"/>
      <c r="N724" s="381"/>
      <c r="O724" s="381"/>
      <c r="P724" s="381"/>
      <c r="Q724" s="381"/>
      <c r="R724" s="381"/>
      <c r="S724" s="381"/>
      <c r="T724" s="381"/>
      <c r="U724" s="381"/>
      <c r="V724" s="381"/>
      <c r="W724" s="381"/>
      <c r="X724" s="381"/>
      <c r="Y724" s="381"/>
      <c r="Z724" s="381"/>
      <c r="AA724" s="381"/>
      <c r="AB724" s="381"/>
      <c r="AC724" s="382"/>
      <c r="AD724" s="382"/>
    </row>
    <row r="725" spans="1:30" ht="12.75" customHeight="1" x14ac:dyDescent="0.2">
      <c r="A725" s="378"/>
      <c r="B725" s="378"/>
      <c r="C725" s="378"/>
      <c r="D725" s="380"/>
      <c r="E725" s="380"/>
      <c r="F725" s="378"/>
      <c r="G725" s="378"/>
      <c r="H725" s="378"/>
      <c r="I725" s="378"/>
      <c r="J725" s="378"/>
      <c r="K725" s="378"/>
      <c r="L725" s="378"/>
      <c r="M725" s="381"/>
      <c r="N725" s="381"/>
      <c r="O725" s="381"/>
      <c r="P725" s="381"/>
      <c r="Q725" s="381"/>
      <c r="R725" s="381"/>
      <c r="S725" s="381"/>
      <c r="T725" s="381"/>
      <c r="U725" s="381"/>
      <c r="V725" s="381"/>
      <c r="W725" s="381"/>
      <c r="X725" s="381"/>
      <c r="Y725" s="381"/>
      <c r="Z725" s="381"/>
      <c r="AA725" s="381"/>
      <c r="AB725" s="381"/>
      <c r="AC725" s="382"/>
      <c r="AD725" s="382"/>
    </row>
    <row r="726" spans="1:30" ht="12.75" customHeight="1" x14ac:dyDescent="0.2">
      <c r="A726" s="378"/>
      <c r="B726" s="378"/>
      <c r="C726" s="378"/>
      <c r="D726" s="380"/>
      <c r="E726" s="380"/>
      <c r="F726" s="378"/>
      <c r="G726" s="378"/>
      <c r="H726" s="378"/>
      <c r="I726" s="378"/>
      <c r="J726" s="378"/>
      <c r="K726" s="378"/>
      <c r="L726" s="378"/>
      <c r="M726" s="381"/>
      <c r="N726" s="381"/>
      <c r="O726" s="381"/>
      <c r="P726" s="381"/>
      <c r="Q726" s="381"/>
      <c r="R726" s="381"/>
      <c r="S726" s="381"/>
      <c r="T726" s="381"/>
      <c r="U726" s="381"/>
      <c r="V726" s="381"/>
      <c r="W726" s="381"/>
      <c r="X726" s="381"/>
      <c r="Y726" s="381"/>
      <c r="Z726" s="381"/>
      <c r="AA726" s="381"/>
      <c r="AB726" s="381"/>
      <c r="AC726" s="382"/>
      <c r="AD726" s="382"/>
    </row>
    <row r="727" spans="1:30" ht="12.75" customHeight="1" x14ac:dyDescent="0.2">
      <c r="A727" s="378"/>
      <c r="B727" s="378"/>
      <c r="C727" s="378"/>
      <c r="D727" s="380"/>
      <c r="E727" s="380"/>
      <c r="F727" s="378"/>
      <c r="G727" s="378"/>
      <c r="H727" s="378"/>
      <c r="I727" s="378"/>
      <c r="J727" s="378"/>
      <c r="K727" s="378"/>
      <c r="L727" s="378"/>
      <c r="M727" s="381"/>
      <c r="N727" s="381"/>
      <c r="O727" s="381"/>
      <c r="P727" s="381"/>
      <c r="Q727" s="381"/>
      <c r="R727" s="381"/>
      <c r="S727" s="381"/>
      <c r="T727" s="381"/>
      <c r="U727" s="381"/>
      <c r="V727" s="381"/>
      <c r="W727" s="381"/>
      <c r="X727" s="381"/>
      <c r="Y727" s="381"/>
      <c r="Z727" s="381"/>
      <c r="AA727" s="381"/>
      <c r="AB727" s="381"/>
      <c r="AC727" s="382"/>
      <c r="AD727" s="382"/>
    </row>
    <row r="728" spans="1:30" ht="12.75" customHeight="1" x14ac:dyDescent="0.2">
      <c r="A728" s="378"/>
      <c r="B728" s="378"/>
      <c r="C728" s="378"/>
      <c r="D728" s="380"/>
      <c r="E728" s="380"/>
      <c r="F728" s="378"/>
      <c r="G728" s="378"/>
      <c r="H728" s="378"/>
      <c r="I728" s="378"/>
      <c r="J728" s="378"/>
      <c r="K728" s="378"/>
      <c r="L728" s="378"/>
      <c r="M728" s="381"/>
      <c r="N728" s="381"/>
      <c r="O728" s="381"/>
      <c r="P728" s="381"/>
      <c r="Q728" s="381"/>
      <c r="R728" s="381"/>
      <c r="S728" s="381"/>
      <c r="T728" s="381"/>
      <c r="U728" s="381"/>
      <c r="V728" s="381"/>
      <c r="W728" s="381"/>
      <c r="X728" s="381"/>
      <c r="Y728" s="381"/>
      <c r="Z728" s="381"/>
      <c r="AA728" s="381"/>
      <c r="AB728" s="381"/>
      <c r="AC728" s="382"/>
      <c r="AD728" s="382"/>
    </row>
    <row r="729" spans="1:30" ht="12.75" customHeight="1" x14ac:dyDescent="0.2">
      <c r="A729" s="378"/>
      <c r="B729" s="378"/>
      <c r="C729" s="378"/>
      <c r="D729" s="380"/>
      <c r="E729" s="380"/>
      <c r="F729" s="378"/>
      <c r="G729" s="378"/>
      <c r="H729" s="378"/>
      <c r="I729" s="378"/>
      <c r="J729" s="378"/>
      <c r="K729" s="378"/>
      <c r="L729" s="378"/>
      <c r="M729" s="381"/>
      <c r="N729" s="381"/>
      <c r="O729" s="381"/>
      <c r="P729" s="381"/>
      <c r="Q729" s="381"/>
      <c r="R729" s="381"/>
      <c r="S729" s="381"/>
      <c r="T729" s="381"/>
      <c r="U729" s="381"/>
      <c r="V729" s="381"/>
      <c r="W729" s="381"/>
      <c r="X729" s="381"/>
      <c r="Y729" s="381"/>
      <c r="Z729" s="381"/>
      <c r="AA729" s="381"/>
      <c r="AB729" s="381"/>
      <c r="AC729" s="382"/>
      <c r="AD729" s="382"/>
    </row>
    <row r="730" spans="1:30" ht="12.75" customHeight="1" x14ac:dyDescent="0.2">
      <c r="A730" s="378"/>
      <c r="B730" s="378"/>
      <c r="C730" s="378"/>
      <c r="D730" s="380"/>
      <c r="E730" s="380"/>
      <c r="F730" s="378"/>
      <c r="G730" s="378"/>
      <c r="H730" s="378"/>
      <c r="I730" s="378"/>
      <c r="J730" s="378"/>
      <c r="K730" s="378"/>
      <c r="L730" s="378"/>
      <c r="M730" s="381"/>
      <c r="N730" s="381"/>
      <c r="O730" s="381"/>
      <c r="P730" s="381"/>
      <c r="Q730" s="381"/>
      <c r="R730" s="381"/>
      <c r="S730" s="381"/>
      <c r="T730" s="381"/>
      <c r="U730" s="381"/>
      <c r="V730" s="381"/>
      <c r="W730" s="381"/>
      <c r="X730" s="381"/>
      <c r="Y730" s="381"/>
      <c r="Z730" s="381"/>
      <c r="AA730" s="381"/>
      <c r="AB730" s="381"/>
      <c r="AC730" s="382"/>
      <c r="AD730" s="382"/>
    </row>
    <row r="731" spans="1:30" ht="12.75" customHeight="1" x14ac:dyDescent="0.2">
      <c r="A731" s="378"/>
      <c r="B731" s="378"/>
      <c r="C731" s="378"/>
      <c r="D731" s="380"/>
      <c r="E731" s="380"/>
      <c r="F731" s="378"/>
      <c r="G731" s="378"/>
      <c r="H731" s="378"/>
      <c r="I731" s="378"/>
      <c r="J731" s="378"/>
      <c r="K731" s="378"/>
      <c r="L731" s="378"/>
      <c r="M731" s="381"/>
      <c r="N731" s="381"/>
      <c r="O731" s="381"/>
      <c r="P731" s="381"/>
      <c r="Q731" s="381"/>
      <c r="R731" s="381"/>
      <c r="S731" s="381"/>
      <c r="T731" s="381"/>
      <c r="U731" s="381"/>
      <c r="V731" s="381"/>
      <c r="W731" s="381"/>
      <c r="X731" s="381"/>
      <c r="Y731" s="381"/>
      <c r="Z731" s="381"/>
      <c r="AA731" s="381"/>
      <c r="AB731" s="381"/>
      <c r="AC731" s="382"/>
      <c r="AD731" s="382"/>
    </row>
    <row r="732" spans="1:30" ht="12.75" customHeight="1" x14ac:dyDescent="0.2">
      <c r="A732" s="378"/>
      <c r="B732" s="378"/>
      <c r="C732" s="378"/>
      <c r="D732" s="380"/>
      <c r="E732" s="380"/>
      <c r="F732" s="378"/>
      <c r="G732" s="378"/>
      <c r="H732" s="378"/>
      <c r="I732" s="378"/>
      <c r="J732" s="378"/>
      <c r="K732" s="378"/>
      <c r="L732" s="378"/>
      <c r="M732" s="381"/>
      <c r="N732" s="381"/>
      <c r="O732" s="381"/>
      <c r="P732" s="381"/>
      <c r="Q732" s="381"/>
      <c r="R732" s="381"/>
      <c r="S732" s="381"/>
      <c r="T732" s="381"/>
      <c r="U732" s="381"/>
      <c r="V732" s="381"/>
      <c r="W732" s="381"/>
      <c r="X732" s="381"/>
      <c r="Y732" s="381"/>
      <c r="Z732" s="381"/>
      <c r="AA732" s="381"/>
      <c r="AB732" s="381"/>
      <c r="AC732" s="382"/>
      <c r="AD732" s="382"/>
    </row>
    <row r="733" spans="1:30" ht="12.75" customHeight="1" x14ac:dyDescent="0.2">
      <c r="A733" s="378"/>
      <c r="B733" s="378"/>
      <c r="C733" s="378"/>
      <c r="D733" s="380"/>
      <c r="E733" s="380"/>
      <c r="F733" s="378"/>
      <c r="G733" s="378"/>
      <c r="H733" s="378"/>
      <c r="I733" s="378"/>
      <c r="J733" s="378"/>
      <c r="K733" s="378"/>
      <c r="L733" s="378"/>
      <c r="M733" s="381"/>
      <c r="N733" s="381"/>
      <c r="O733" s="381"/>
      <c r="P733" s="381"/>
      <c r="Q733" s="381"/>
      <c r="R733" s="381"/>
      <c r="S733" s="381"/>
      <c r="T733" s="381"/>
      <c r="U733" s="381"/>
      <c r="V733" s="381"/>
      <c r="W733" s="381"/>
      <c r="X733" s="381"/>
      <c r="Y733" s="381"/>
      <c r="Z733" s="381"/>
      <c r="AA733" s="381"/>
      <c r="AB733" s="381"/>
      <c r="AC733" s="382"/>
      <c r="AD733" s="382"/>
    </row>
    <row r="734" spans="1:30" ht="12.75" customHeight="1" x14ac:dyDescent="0.2">
      <c r="A734" s="378"/>
      <c r="B734" s="378"/>
      <c r="C734" s="378"/>
      <c r="D734" s="380"/>
      <c r="E734" s="380"/>
      <c r="F734" s="378"/>
      <c r="G734" s="378"/>
      <c r="H734" s="378"/>
      <c r="I734" s="378"/>
      <c r="J734" s="378"/>
      <c r="K734" s="378"/>
      <c r="L734" s="378"/>
      <c r="M734" s="381"/>
      <c r="N734" s="381"/>
      <c r="O734" s="381"/>
      <c r="P734" s="381"/>
      <c r="Q734" s="381"/>
      <c r="R734" s="381"/>
      <c r="S734" s="381"/>
      <c r="T734" s="381"/>
      <c r="U734" s="381"/>
      <c r="V734" s="381"/>
      <c r="W734" s="381"/>
      <c r="X734" s="381"/>
      <c r="Y734" s="381"/>
      <c r="Z734" s="381"/>
      <c r="AA734" s="381"/>
      <c r="AB734" s="381"/>
      <c r="AC734" s="382"/>
      <c r="AD734" s="382"/>
    </row>
    <row r="735" spans="1:30" ht="12.75" customHeight="1" x14ac:dyDescent="0.2">
      <c r="A735" s="378"/>
      <c r="B735" s="378"/>
      <c r="C735" s="378"/>
      <c r="D735" s="380"/>
      <c r="E735" s="380"/>
      <c r="F735" s="378"/>
      <c r="G735" s="378"/>
      <c r="H735" s="378"/>
      <c r="I735" s="378"/>
      <c r="J735" s="378"/>
      <c r="K735" s="378"/>
      <c r="L735" s="378"/>
      <c r="M735" s="381"/>
      <c r="N735" s="381"/>
      <c r="O735" s="381"/>
      <c r="P735" s="381"/>
      <c r="Q735" s="381"/>
      <c r="R735" s="381"/>
      <c r="S735" s="381"/>
      <c r="T735" s="381"/>
      <c r="U735" s="381"/>
      <c r="V735" s="381"/>
      <c r="W735" s="381"/>
      <c r="X735" s="381"/>
      <c r="Y735" s="381"/>
      <c r="Z735" s="381"/>
      <c r="AA735" s="381"/>
      <c r="AB735" s="381"/>
      <c r="AC735" s="382"/>
      <c r="AD735" s="382"/>
    </row>
    <row r="736" spans="1:30" ht="12.75" customHeight="1" x14ac:dyDescent="0.2">
      <c r="A736" s="378"/>
      <c r="B736" s="378"/>
      <c r="C736" s="378"/>
      <c r="D736" s="380"/>
      <c r="E736" s="380"/>
      <c r="F736" s="378"/>
      <c r="G736" s="378"/>
      <c r="H736" s="378"/>
      <c r="I736" s="378"/>
      <c r="J736" s="378"/>
      <c r="K736" s="378"/>
      <c r="L736" s="378"/>
      <c r="M736" s="381"/>
      <c r="N736" s="381"/>
      <c r="O736" s="381"/>
      <c r="P736" s="381"/>
      <c r="Q736" s="381"/>
      <c r="R736" s="381"/>
      <c r="S736" s="381"/>
      <c r="T736" s="381"/>
      <c r="U736" s="381"/>
      <c r="V736" s="381"/>
      <c r="W736" s="381"/>
      <c r="X736" s="381"/>
      <c r="Y736" s="381"/>
      <c r="Z736" s="381"/>
      <c r="AA736" s="381"/>
      <c r="AB736" s="381"/>
      <c r="AC736" s="382"/>
      <c r="AD736" s="382"/>
    </row>
    <row r="737" spans="1:30" ht="12.75" customHeight="1" x14ac:dyDescent="0.2">
      <c r="A737" s="378"/>
      <c r="B737" s="378"/>
      <c r="C737" s="378"/>
      <c r="D737" s="380"/>
      <c r="E737" s="380"/>
      <c r="F737" s="378"/>
      <c r="G737" s="378"/>
      <c r="H737" s="378"/>
      <c r="I737" s="378"/>
      <c r="J737" s="378"/>
      <c r="K737" s="378"/>
      <c r="L737" s="378"/>
      <c r="M737" s="381"/>
      <c r="N737" s="381"/>
      <c r="O737" s="381"/>
      <c r="P737" s="381"/>
      <c r="Q737" s="381"/>
      <c r="R737" s="381"/>
      <c r="S737" s="381"/>
      <c r="T737" s="381"/>
      <c r="U737" s="381"/>
      <c r="V737" s="381"/>
      <c r="W737" s="381"/>
      <c r="X737" s="381"/>
      <c r="Y737" s="381"/>
      <c r="Z737" s="381"/>
      <c r="AA737" s="381"/>
      <c r="AB737" s="381"/>
      <c r="AC737" s="382"/>
      <c r="AD737" s="382"/>
    </row>
    <row r="738" spans="1:30" ht="12.75" customHeight="1" x14ac:dyDescent="0.2">
      <c r="A738" s="378"/>
      <c r="B738" s="378"/>
      <c r="C738" s="378"/>
      <c r="D738" s="380"/>
      <c r="E738" s="380"/>
      <c r="F738" s="378"/>
      <c r="G738" s="378"/>
      <c r="H738" s="378"/>
      <c r="I738" s="378"/>
      <c r="J738" s="378"/>
      <c r="K738" s="378"/>
      <c r="L738" s="378"/>
      <c r="M738" s="381"/>
      <c r="N738" s="381"/>
      <c r="O738" s="381"/>
      <c r="P738" s="381"/>
      <c r="Q738" s="381"/>
      <c r="R738" s="381"/>
      <c r="S738" s="381"/>
      <c r="T738" s="381"/>
      <c r="U738" s="381"/>
      <c r="V738" s="381"/>
      <c r="W738" s="381"/>
      <c r="X738" s="381"/>
      <c r="Y738" s="381"/>
      <c r="Z738" s="381"/>
      <c r="AA738" s="381"/>
      <c r="AB738" s="381"/>
      <c r="AC738" s="382"/>
      <c r="AD738" s="382"/>
    </row>
    <row r="739" spans="1:30" ht="12.75" customHeight="1" x14ac:dyDescent="0.2">
      <c r="A739" s="378"/>
      <c r="B739" s="378"/>
      <c r="C739" s="378"/>
      <c r="D739" s="380"/>
      <c r="E739" s="380"/>
      <c r="F739" s="378"/>
      <c r="G739" s="378"/>
      <c r="H739" s="378"/>
      <c r="I739" s="378"/>
      <c r="J739" s="378"/>
      <c r="K739" s="378"/>
      <c r="L739" s="378"/>
      <c r="M739" s="381"/>
      <c r="N739" s="381"/>
      <c r="O739" s="381"/>
      <c r="P739" s="381"/>
      <c r="Q739" s="381"/>
      <c r="R739" s="381"/>
      <c r="S739" s="381"/>
      <c r="T739" s="381"/>
      <c r="U739" s="381"/>
      <c r="V739" s="381"/>
      <c r="W739" s="381"/>
      <c r="X739" s="381"/>
      <c r="Y739" s="381"/>
      <c r="Z739" s="381"/>
      <c r="AA739" s="381"/>
      <c r="AB739" s="381"/>
      <c r="AC739" s="382"/>
      <c r="AD739" s="382"/>
    </row>
    <row r="740" spans="1:30" ht="12.75" customHeight="1" x14ac:dyDescent="0.2">
      <c r="A740" s="378"/>
      <c r="B740" s="378"/>
      <c r="C740" s="378"/>
      <c r="D740" s="380"/>
      <c r="E740" s="380"/>
      <c r="F740" s="378"/>
      <c r="G740" s="378"/>
      <c r="H740" s="378"/>
      <c r="I740" s="378"/>
      <c r="J740" s="378"/>
      <c r="K740" s="378"/>
      <c r="L740" s="378"/>
      <c r="M740" s="381"/>
      <c r="N740" s="381"/>
      <c r="O740" s="381"/>
      <c r="P740" s="381"/>
      <c r="Q740" s="381"/>
      <c r="R740" s="381"/>
      <c r="S740" s="381"/>
      <c r="T740" s="381"/>
      <c r="U740" s="381"/>
      <c r="V740" s="381"/>
      <c r="W740" s="381"/>
      <c r="X740" s="381"/>
      <c r="Y740" s="381"/>
      <c r="Z740" s="381"/>
      <c r="AA740" s="381"/>
      <c r="AB740" s="381"/>
      <c r="AC740" s="382"/>
      <c r="AD740" s="382"/>
    </row>
    <row r="741" spans="1:30" ht="12.75" customHeight="1" x14ac:dyDescent="0.2">
      <c r="A741" s="378"/>
      <c r="B741" s="378"/>
      <c r="C741" s="378"/>
      <c r="D741" s="380"/>
      <c r="E741" s="380"/>
      <c r="F741" s="378"/>
      <c r="G741" s="378"/>
      <c r="H741" s="378"/>
      <c r="I741" s="378"/>
      <c r="J741" s="378"/>
      <c r="K741" s="378"/>
      <c r="L741" s="378"/>
      <c r="M741" s="381"/>
      <c r="N741" s="381"/>
      <c r="O741" s="381"/>
      <c r="P741" s="381"/>
      <c r="Q741" s="381"/>
      <c r="R741" s="381"/>
      <c r="S741" s="381"/>
      <c r="T741" s="381"/>
      <c r="U741" s="381"/>
      <c r="V741" s="381"/>
      <c r="W741" s="381"/>
      <c r="X741" s="381"/>
      <c r="Y741" s="381"/>
      <c r="Z741" s="381"/>
      <c r="AA741" s="381"/>
      <c r="AB741" s="381"/>
      <c r="AC741" s="382"/>
      <c r="AD741" s="382"/>
    </row>
    <row r="742" spans="1:30" ht="12.75" customHeight="1" x14ac:dyDescent="0.2">
      <c r="A742" s="378"/>
      <c r="B742" s="378"/>
      <c r="C742" s="378"/>
      <c r="D742" s="380"/>
      <c r="E742" s="380"/>
      <c r="F742" s="378"/>
      <c r="G742" s="378"/>
      <c r="H742" s="378"/>
      <c r="I742" s="378"/>
      <c r="J742" s="378"/>
      <c r="K742" s="378"/>
      <c r="L742" s="378"/>
      <c r="M742" s="381"/>
      <c r="N742" s="381"/>
      <c r="O742" s="381"/>
      <c r="P742" s="381"/>
      <c r="Q742" s="381"/>
      <c r="R742" s="381"/>
      <c r="S742" s="381"/>
      <c r="T742" s="381"/>
      <c r="U742" s="381"/>
      <c r="V742" s="381"/>
      <c r="W742" s="381"/>
      <c r="X742" s="381"/>
      <c r="Y742" s="381"/>
      <c r="Z742" s="381"/>
      <c r="AA742" s="381"/>
      <c r="AB742" s="381"/>
      <c r="AC742" s="382"/>
      <c r="AD742" s="382"/>
    </row>
    <row r="743" spans="1:30" ht="12.75" customHeight="1" x14ac:dyDescent="0.2">
      <c r="A743" s="378"/>
      <c r="B743" s="378"/>
      <c r="C743" s="378"/>
      <c r="D743" s="380"/>
      <c r="E743" s="380"/>
      <c r="F743" s="378"/>
      <c r="G743" s="378"/>
      <c r="H743" s="378"/>
      <c r="I743" s="378"/>
      <c r="J743" s="378"/>
      <c r="K743" s="378"/>
      <c r="L743" s="378"/>
      <c r="M743" s="381"/>
      <c r="N743" s="381"/>
      <c r="O743" s="381"/>
      <c r="P743" s="381"/>
      <c r="Q743" s="381"/>
      <c r="R743" s="381"/>
      <c r="S743" s="381"/>
      <c r="T743" s="381"/>
      <c r="U743" s="381"/>
      <c r="V743" s="381"/>
      <c r="W743" s="381"/>
      <c r="X743" s="381"/>
      <c r="Y743" s="381"/>
      <c r="Z743" s="381"/>
      <c r="AA743" s="381"/>
      <c r="AB743" s="381"/>
      <c r="AC743" s="382"/>
      <c r="AD743" s="382"/>
    </row>
    <row r="744" spans="1:30" ht="12.75" customHeight="1" x14ac:dyDescent="0.2">
      <c r="A744" s="378"/>
      <c r="B744" s="378"/>
      <c r="C744" s="378"/>
      <c r="D744" s="380"/>
      <c r="E744" s="380"/>
      <c r="F744" s="378"/>
      <c r="G744" s="378"/>
      <c r="H744" s="378"/>
      <c r="I744" s="378"/>
      <c r="J744" s="378"/>
      <c r="K744" s="378"/>
      <c r="L744" s="378"/>
      <c r="M744" s="381"/>
      <c r="N744" s="381"/>
      <c r="O744" s="381"/>
      <c r="P744" s="381"/>
      <c r="Q744" s="381"/>
      <c r="R744" s="381"/>
      <c r="S744" s="381"/>
      <c r="T744" s="381"/>
      <c r="U744" s="381"/>
      <c r="V744" s="381"/>
      <c r="W744" s="381"/>
      <c r="X744" s="381"/>
      <c r="Y744" s="381"/>
      <c r="Z744" s="381"/>
      <c r="AA744" s="381"/>
      <c r="AB744" s="381"/>
      <c r="AC744" s="382"/>
      <c r="AD744" s="382"/>
    </row>
    <row r="745" spans="1:30" ht="12.75" customHeight="1" x14ac:dyDescent="0.2">
      <c r="A745" s="378"/>
      <c r="B745" s="378"/>
      <c r="C745" s="378"/>
      <c r="D745" s="380"/>
      <c r="E745" s="380"/>
      <c r="F745" s="378"/>
      <c r="G745" s="378"/>
      <c r="H745" s="378"/>
      <c r="I745" s="378"/>
      <c r="J745" s="378"/>
      <c r="K745" s="378"/>
      <c r="L745" s="378"/>
      <c r="M745" s="381"/>
      <c r="N745" s="381"/>
      <c r="O745" s="381"/>
      <c r="P745" s="381"/>
      <c r="Q745" s="381"/>
      <c r="R745" s="381"/>
      <c r="S745" s="381"/>
      <c r="T745" s="381"/>
      <c r="U745" s="381"/>
      <c r="V745" s="381"/>
      <c r="W745" s="381"/>
      <c r="X745" s="381"/>
      <c r="Y745" s="381"/>
      <c r="Z745" s="381"/>
      <c r="AA745" s="381"/>
      <c r="AB745" s="381"/>
      <c r="AC745" s="382"/>
      <c r="AD745" s="382"/>
    </row>
    <row r="746" spans="1:30" ht="12.75" customHeight="1" x14ac:dyDescent="0.2">
      <c r="A746" s="378"/>
      <c r="B746" s="378"/>
      <c r="C746" s="378"/>
      <c r="D746" s="380"/>
      <c r="E746" s="380"/>
      <c r="F746" s="378"/>
      <c r="G746" s="378"/>
      <c r="H746" s="378"/>
      <c r="I746" s="378"/>
      <c r="J746" s="378"/>
      <c r="K746" s="378"/>
      <c r="L746" s="378"/>
      <c r="M746" s="381"/>
      <c r="N746" s="381"/>
      <c r="O746" s="381"/>
      <c r="P746" s="381"/>
      <c r="Q746" s="381"/>
      <c r="R746" s="381"/>
      <c r="S746" s="381"/>
      <c r="T746" s="381"/>
      <c r="U746" s="381"/>
      <c r="V746" s="381"/>
      <c r="W746" s="381"/>
      <c r="X746" s="381"/>
      <c r="Y746" s="381"/>
      <c r="Z746" s="381"/>
      <c r="AA746" s="381"/>
      <c r="AB746" s="381"/>
      <c r="AC746" s="382"/>
      <c r="AD746" s="382"/>
    </row>
    <row r="747" spans="1:30" ht="12.75" customHeight="1" x14ac:dyDescent="0.2">
      <c r="A747" s="378"/>
      <c r="B747" s="378"/>
      <c r="C747" s="378"/>
      <c r="D747" s="380"/>
      <c r="E747" s="380"/>
      <c r="F747" s="378"/>
      <c r="G747" s="378"/>
      <c r="H747" s="378"/>
      <c r="I747" s="378"/>
      <c r="J747" s="378"/>
      <c r="K747" s="378"/>
      <c r="L747" s="378"/>
      <c r="M747" s="381"/>
      <c r="N747" s="381"/>
      <c r="O747" s="381"/>
      <c r="P747" s="381"/>
      <c r="Q747" s="381"/>
      <c r="R747" s="381"/>
      <c r="S747" s="381"/>
      <c r="T747" s="381"/>
      <c r="U747" s="381"/>
      <c r="V747" s="381"/>
      <c r="W747" s="381"/>
      <c r="X747" s="381"/>
      <c r="Y747" s="381"/>
      <c r="Z747" s="381"/>
      <c r="AA747" s="381"/>
      <c r="AB747" s="381"/>
      <c r="AC747" s="382"/>
      <c r="AD747" s="382"/>
    </row>
    <row r="748" spans="1:30" ht="12.75" customHeight="1" x14ac:dyDescent="0.2">
      <c r="A748" s="378"/>
      <c r="B748" s="378"/>
      <c r="C748" s="378"/>
      <c r="D748" s="380"/>
      <c r="E748" s="380"/>
      <c r="F748" s="378"/>
      <c r="G748" s="378"/>
      <c r="H748" s="378"/>
      <c r="I748" s="378"/>
      <c r="J748" s="378"/>
      <c r="K748" s="378"/>
      <c r="L748" s="378"/>
      <c r="M748" s="381"/>
      <c r="N748" s="381"/>
      <c r="O748" s="381"/>
      <c r="P748" s="381"/>
      <c r="Q748" s="381"/>
      <c r="R748" s="381"/>
      <c r="S748" s="381"/>
      <c r="T748" s="381"/>
      <c r="U748" s="381"/>
      <c r="V748" s="381"/>
      <c r="W748" s="381"/>
      <c r="X748" s="381"/>
      <c r="Y748" s="381"/>
      <c r="Z748" s="381"/>
      <c r="AA748" s="381"/>
      <c r="AB748" s="381"/>
      <c r="AC748" s="382"/>
      <c r="AD748" s="382"/>
    </row>
    <row r="749" spans="1:30" ht="12.75" customHeight="1" x14ac:dyDescent="0.2">
      <c r="A749" s="378"/>
      <c r="B749" s="378"/>
      <c r="C749" s="378"/>
      <c r="D749" s="380"/>
      <c r="E749" s="380"/>
      <c r="F749" s="378"/>
      <c r="G749" s="378"/>
      <c r="H749" s="378"/>
      <c r="I749" s="378"/>
      <c r="J749" s="378"/>
      <c r="K749" s="378"/>
      <c r="L749" s="378"/>
      <c r="M749" s="381"/>
      <c r="N749" s="381"/>
      <c r="O749" s="381"/>
      <c r="P749" s="381"/>
      <c r="Q749" s="381"/>
      <c r="R749" s="381"/>
      <c r="S749" s="381"/>
      <c r="T749" s="381"/>
      <c r="U749" s="381"/>
      <c r="V749" s="381"/>
      <c r="W749" s="381"/>
      <c r="X749" s="381"/>
      <c r="Y749" s="381"/>
      <c r="Z749" s="381"/>
      <c r="AA749" s="381"/>
      <c r="AB749" s="381"/>
      <c r="AC749" s="382"/>
      <c r="AD749" s="382"/>
    </row>
    <row r="750" spans="1:30" ht="12.75" customHeight="1" x14ac:dyDescent="0.2">
      <c r="A750" s="378"/>
      <c r="B750" s="378"/>
      <c r="C750" s="378"/>
      <c r="D750" s="380"/>
      <c r="E750" s="380"/>
      <c r="F750" s="378"/>
      <c r="G750" s="378"/>
      <c r="H750" s="378"/>
      <c r="I750" s="378"/>
      <c r="J750" s="378"/>
      <c r="K750" s="378"/>
      <c r="L750" s="378"/>
      <c r="M750" s="381"/>
      <c r="N750" s="381"/>
      <c r="O750" s="381"/>
      <c r="P750" s="381"/>
      <c r="Q750" s="381"/>
      <c r="R750" s="381"/>
      <c r="S750" s="381"/>
      <c r="T750" s="381"/>
      <c r="U750" s="381"/>
      <c r="V750" s="381"/>
      <c r="W750" s="381"/>
      <c r="X750" s="381"/>
      <c r="Y750" s="381"/>
      <c r="Z750" s="381"/>
      <c r="AA750" s="381"/>
      <c r="AB750" s="381"/>
      <c r="AC750" s="382"/>
      <c r="AD750" s="382"/>
    </row>
    <row r="751" spans="1:30" ht="12.75" customHeight="1" x14ac:dyDescent="0.2">
      <c r="A751" s="378"/>
      <c r="B751" s="378"/>
      <c r="C751" s="378"/>
      <c r="D751" s="380"/>
      <c r="E751" s="380"/>
      <c r="F751" s="378"/>
      <c r="G751" s="378"/>
      <c r="H751" s="378"/>
      <c r="I751" s="378"/>
      <c r="J751" s="378"/>
      <c r="K751" s="378"/>
      <c r="L751" s="378"/>
      <c r="M751" s="381"/>
      <c r="N751" s="381"/>
      <c r="O751" s="381"/>
      <c r="P751" s="381"/>
      <c r="Q751" s="381"/>
      <c r="R751" s="381"/>
      <c r="S751" s="381"/>
      <c r="T751" s="381"/>
      <c r="U751" s="381"/>
      <c r="V751" s="381"/>
      <c r="W751" s="381"/>
      <c r="X751" s="381"/>
      <c r="Y751" s="381"/>
      <c r="Z751" s="381"/>
      <c r="AA751" s="381"/>
      <c r="AB751" s="381"/>
      <c r="AC751" s="382"/>
      <c r="AD751" s="382"/>
    </row>
    <row r="752" spans="1:30" ht="12.75" customHeight="1" x14ac:dyDescent="0.2">
      <c r="A752" s="378"/>
      <c r="B752" s="378"/>
      <c r="C752" s="378"/>
      <c r="D752" s="380"/>
      <c r="E752" s="380"/>
      <c r="F752" s="378"/>
      <c r="G752" s="378"/>
      <c r="H752" s="378"/>
      <c r="I752" s="378"/>
      <c r="J752" s="378"/>
      <c r="K752" s="378"/>
      <c r="L752" s="378"/>
      <c r="M752" s="381"/>
      <c r="N752" s="381"/>
      <c r="O752" s="381"/>
      <c r="P752" s="381"/>
      <c r="Q752" s="381"/>
      <c r="R752" s="381"/>
      <c r="S752" s="381"/>
      <c r="T752" s="381"/>
      <c r="U752" s="381"/>
      <c r="V752" s="381"/>
      <c r="W752" s="381"/>
      <c r="X752" s="381"/>
      <c r="Y752" s="381"/>
      <c r="Z752" s="381"/>
      <c r="AA752" s="381"/>
      <c r="AB752" s="381"/>
      <c r="AC752" s="382"/>
      <c r="AD752" s="382"/>
    </row>
    <row r="753" spans="1:30" ht="12.75" customHeight="1" x14ac:dyDescent="0.2">
      <c r="A753" s="378"/>
      <c r="B753" s="378"/>
      <c r="C753" s="378"/>
      <c r="D753" s="380"/>
      <c r="E753" s="380"/>
      <c r="F753" s="378"/>
      <c r="G753" s="378"/>
      <c r="H753" s="378"/>
      <c r="I753" s="378"/>
      <c r="J753" s="378"/>
      <c r="K753" s="378"/>
      <c r="L753" s="378"/>
      <c r="M753" s="381"/>
      <c r="N753" s="381"/>
      <c r="O753" s="381"/>
      <c r="P753" s="381"/>
      <c r="Q753" s="381"/>
      <c r="R753" s="381"/>
      <c r="S753" s="381"/>
      <c r="T753" s="381"/>
      <c r="U753" s="381"/>
      <c r="V753" s="381"/>
      <c r="W753" s="381"/>
      <c r="X753" s="381"/>
      <c r="Y753" s="381"/>
      <c r="Z753" s="381"/>
      <c r="AA753" s="381"/>
      <c r="AB753" s="381"/>
      <c r="AC753" s="382"/>
      <c r="AD753" s="382"/>
    </row>
    <row r="754" spans="1:30" ht="12.75" customHeight="1" x14ac:dyDescent="0.2">
      <c r="A754" s="378"/>
      <c r="B754" s="378"/>
      <c r="C754" s="378"/>
      <c r="D754" s="380"/>
      <c r="E754" s="380"/>
      <c r="F754" s="378"/>
      <c r="G754" s="378"/>
      <c r="H754" s="378"/>
      <c r="I754" s="378"/>
      <c r="J754" s="378"/>
      <c r="K754" s="378"/>
      <c r="L754" s="378"/>
      <c r="M754" s="381"/>
      <c r="N754" s="381"/>
      <c r="O754" s="381"/>
      <c r="P754" s="381"/>
      <c r="Q754" s="381"/>
      <c r="R754" s="381"/>
      <c r="S754" s="381"/>
      <c r="T754" s="381"/>
      <c r="U754" s="381"/>
      <c r="V754" s="381"/>
      <c r="W754" s="381"/>
      <c r="X754" s="381"/>
      <c r="Y754" s="381"/>
      <c r="Z754" s="381"/>
      <c r="AA754" s="381"/>
      <c r="AB754" s="381"/>
      <c r="AC754" s="382"/>
      <c r="AD754" s="382"/>
    </row>
    <row r="755" spans="1:30" ht="12.75" customHeight="1" x14ac:dyDescent="0.2">
      <c r="A755" s="378"/>
      <c r="B755" s="378"/>
      <c r="C755" s="378"/>
      <c r="D755" s="380"/>
      <c r="E755" s="380"/>
      <c r="F755" s="378"/>
      <c r="G755" s="378"/>
      <c r="H755" s="378"/>
      <c r="I755" s="378"/>
      <c r="J755" s="378"/>
      <c r="K755" s="378"/>
      <c r="L755" s="378"/>
      <c r="M755" s="381"/>
      <c r="N755" s="381"/>
      <c r="O755" s="381"/>
      <c r="P755" s="381"/>
      <c r="Q755" s="381"/>
      <c r="R755" s="381"/>
      <c r="S755" s="381"/>
      <c r="T755" s="381"/>
      <c r="U755" s="381"/>
      <c r="V755" s="381"/>
      <c r="W755" s="381"/>
      <c r="X755" s="381"/>
      <c r="Y755" s="381"/>
      <c r="Z755" s="381"/>
      <c r="AA755" s="381"/>
      <c r="AB755" s="381"/>
      <c r="AC755" s="382"/>
      <c r="AD755" s="382"/>
    </row>
    <row r="756" spans="1:30" ht="12.75" customHeight="1" x14ac:dyDescent="0.2">
      <c r="A756" s="378"/>
      <c r="B756" s="378"/>
      <c r="C756" s="378"/>
      <c r="D756" s="380"/>
      <c r="E756" s="380"/>
      <c r="F756" s="378"/>
      <c r="G756" s="378"/>
      <c r="H756" s="378"/>
      <c r="I756" s="378"/>
      <c r="J756" s="378"/>
      <c r="K756" s="378"/>
      <c r="L756" s="378"/>
      <c r="M756" s="381"/>
      <c r="N756" s="381"/>
      <c r="O756" s="381"/>
      <c r="P756" s="381"/>
      <c r="Q756" s="381"/>
      <c r="R756" s="381"/>
      <c r="S756" s="381"/>
      <c r="T756" s="381"/>
      <c r="U756" s="381"/>
      <c r="V756" s="381"/>
      <c r="W756" s="381"/>
      <c r="X756" s="381"/>
      <c r="Y756" s="381"/>
      <c r="Z756" s="381"/>
      <c r="AA756" s="381"/>
      <c r="AB756" s="381"/>
      <c r="AC756" s="382"/>
      <c r="AD756" s="382"/>
    </row>
    <row r="757" spans="1:30" ht="12.75" customHeight="1" x14ac:dyDescent="0.2">
      <c r="A757" s="378"/>
      <c r="B757" s="378"/>
      <c r="C757" s="378"/>
      <c r="D757" s="380"/>
      <c r="E757" s="380"/>
      <c r="F757" s="378"/>
      <c r="G757" s="378"/>
      <c r="H757" s="378"/>
      <c r="I757" s="378"/>
      <c r="J757" s="378"/>
      <c r="K757" s="378"/>
      <c r="L757" s="378"/>
      <c r="M757" s="381"/>
      <c r="N757" s="381"/>
      <c r="O757" s="381"/>
      <c r="P757" s="381"/>
      <c r="Q757" s="381"/>
      <c r="R757" s="381"/>
      <c r="S757" s="381"/>
      <c r="T757" s="381"/>
      <c r="U757" s="381"/>
      <c r="V757" s="381"/>
      <c r="W757" s="381"/>
      <c r="X757" s="381"/>
      <c r="Y757" s="381"/>
      <c r="Z757" s="381"/>
      <c r="AA757" s="381"/>
      <c r="AB757" s="381"/>
      <c r="AC757" s="382"/>
      <c r="AD757" s="382"/>
    </row>
    <row r="758" spans="1:30" ht="12.75" customHeight="1" x14ac:dyDescent="0.2">
      <c r="A758" s="378"/>
      <c r="B758" s="378"/>
      <c r="C758" s="378"/>
      <c r="D758" s="380"/>
      <c r="E758" s="380"/>
      <c r="F758" s="378"/>
      <c r="G758" s="378"/>
      <c r="H758" s="378"/>
      <c r="I758" s="378"/>
      <c r="J758" s="378"/>
      <c r="K758" s="378"/>
      <c r="L758" s="378"/>
      <c r="M758" s="381"/>
      <c r="N758" s="381"/>
      <c r="O758" s="381"/>
      <c r="P758" s="381"/>
      <c r="Q758" s="381"/>
      <c r="R758" s="381"/>
      <c r="S758" s="381"/>
      <c r="T758" s="381"/>
      <c r="U758" s="381"/>
      <c r="V758" s="381"/>
      <c r="W758" s="381"/>
      <c r="X758" s="381"/>
      <c r="Y758" s="381"/>
      <c r="Z758" s="381"/>
      <c r="AA758" s="381"/>
      <c r="AB758" s="381"/>
      <c r="AC758" s="382"/>
      <c r="AD758" s="382"/>
    </row>
    <row r="759" spans="1:30" ht="12.75" customHeight="1" x14ac:dyDescent="0.2">
      <c r="A759" s="378"/>
      <c r="B759" s="378"/>
      <c r="C759" s="378"/>
      <c r="D759" s="380"/>
      <c r="E759" s="380"/>
      <c r="F759" s="378"/>
      <c r="G759" s="378"/>
      <c r="H759" s="378"/>
      <c r="I759" s="378"/>
      <c r="J759" s="378"/>
      <c r="K759" s="378"/>
      <c r="L759" s="378"/>
      <c r="M759" s="381"/>
      <c r="N759" s="381"/>
      <c r="O759" s="381"/>
      <c r="P759" s="381"/>
      <c r="Q759" s="381"/>
      <c r="R759" s="381"/>
      <c r="S759" s="381"/>
      <c r="T759" s="381"/>
      <c r="U759" s="381"/>
      <c r="V759" s="381"/>
      <c r="W759" s="381"/>
      <c r="X759" s="381"/>
      <c r="Y759" s="381"/>
      <c r="Z759" s="381"/>
      <c r="AA759" s="381"/>
      <c r="AB759" s="381"/>
      <c r="AC759" s="382"/>
      <c r="AD759" s="382"/>
    </row>
    <row r="760" spans="1:30" ht="12.75" customHeight="1" x14ac:dyDescent="0.2">
      <c r="A760" s="378"/>
      <c r="B760" s="378"/>
      <c r="C760" s="378"/>
      <c r="D760" s="380"/>
      <c r="E760" s="380"/>
      <c r="F760" s="378"/>
      <c r="G760" s="378"/>
      <c r="H760" s="378"/>
      <c r="I760" s="378"/>
      <c r="J760" s="378"/>
      <c r="K760" s="378"/>
      <c r="L760" s="378"/>
      <c r="M760" s="381"/>
      <c r="N760" s="381"/>
      <c r="O760" s="381"/>
      <c r="P760" s="381"/>
      <c r="Q760" s="381"/>
      <c r="R760" s="381"/>
      <c r="S760" s="381"/>
      <c r="T760" s="381"/>
      <c r="U760" s="381"/>
      <c r="V760" s="381"/>
      <c r="W760" s="381"/>
      <c r="X760" s="381"/>
      <c r="Y760" s="381"/>
      <c r="Z760" s="381"/>
      <c r="AA760" s="381"/>
      <c r="AB760" s="381"/>
      <c r="AC760" s="382"/>
      <c r="AD760" s="382"/>
    </row>
    <row r="761" spans="1:30" ht="12.75" customHeight="1" x14ac:dyDescent="0.2">
      <c r="A761" s="378"/>
      <c r="B761" s="378"/>
      <c r="C761" s="378"/>
      <c r="D761" s="380"/>
      <c r="E761" s="380"/>
      <c r="F761" s="378"/>
      <c r="G761" s="378"/>
      <c r="H761" s="378"/>
      <c r="I761" s="378"/>
      <c r="J761" s="378"/>
      <c r="K761" s="378"/>
      <c r="L761" s="378"/>
      <c r="M761" s="381"/>
      <c r="N761" s="381"/>
      <c r="O761" s="381"/>
      <c r="P761" s="381"/>
      <c r="Q761" s="381"/>
      <c r="R761" s="381"/>
      <c r="S761" s="381"/>
      <c r="T761" s="381"/>
      <c r="U761" s="381"/>
      <c r="V761" s="381"/>
      <c r="W761" s="381"/>
      <c r="X761" s="381"/>
      <c r="Y761" s="381"/>
      <c r="Z761" s="381"/>
      <c r="AA761" s="381"/>
      <c r="AB761" s="381"/>
      <c r="AC761" s="382"/>
      <c r="AD761" s="382"/>
    </row>
    <row r="762" spans="1:30" ht="12.75" customHeight="1" x14ac:dyDescent="0.2">
      <c r="A762" s="378"/>
      <c r="B762" s="378"/>
      <c r="C762" s="378"/>
      <c r="D762" s="380"/>
      <c r="E762" s="380"/>
      <c r="F762" s="378"/>
      <c r="G762" s="378"/>
      <c r="H762" s="378"/>
      <c r="I762" s="378"/>
      <c r="J762" s="378"/>
      <c r="K762" s="378"/>
      <c r="L762" s="378"/>
      <c r="M762" s="381"/>
      <c r="N762" s="381"/>
      <c r="O762" s="381"/>
      <c r="P762" s="381"/>
      <c r="Q762" s="381"/>
      <c r="R762" s="381"/>
      <c r="S762" s="381"/>
      <c r="T762" s="381"/>
      <c r="U762" s="381"/>
      <c r="V762" s="381"/>
      <c r="W762" s="381"/>
      <c r="X762" s="381"/>
      <c r="Y762" s="381"/>
      <c r="Z762" s="381"/>
      <c r="AA762" s="381"/>
      <c r="AB762" s="381"/>
      <c r="AC762" s="382"/>
      <c r="AD762" s="382"/>
    </row>
    <row r="763" spans="1:30" ht="12.75" customHeight="1" x14ac:dyDescent="0.2">
      <c r="A763" s="378"/>
      <c r="B763" s="378"/>
      <c r="C763" s="378"/>
      <c r="D763" s="380"/>
      <c r="E763" s="380"/>
      <c r="F763" s="378"/>
      <c r="G763" s="378"/>
      <c r="H763" s="378"/>
      <c r="I763" s="378"/>
      <c r="J763" s="378"/>
      <c r="K763" s="378"/>
      <c r="L763" s="378"/>
      <c r="M763" s="381"/>
      <c r="N763" s="381"/>
      <c r="O763" s="381"/>
      <c r="P763" s="381"/>
      <c r="Q763" s="381"/>
      <c r="R763" s="381"/>
      <c r="S763" s="381"/>
      <c r="T763" s="381"/>
      <c r="U763" s="381"/>
      <c r="V763" s="381"/>
      <c r="W763" s="381"/>
      <c r="X763" s="381"/>
      <c r="Y763" s="381"/>
      <c r="Z763" s="381"/>
      <c r="AA763" s="381"/>
      <c r="AB763" s="381"/>
      <c r="AC763" s="382"/>
      <c r="AD763" s="382"/>
    </row>
    <row r="764" spans="1:30" ht="12.75" customHeight="1" x14ac:dyDescent="0.2">
      <c r="A764" s="378"/>
      <c r="B764" s="378"/>
      <c r="C764" s="378"/>
      <c r="D764" s="380"/>
      <c r="E764" s="380"/>
      <c r="F764" s="378"/>
      <c r="G764" s="378"/>
      <c r="H764" s="378"/>
      <c r="I764" s="378"/>
      <c r="J764" s="378"/>
      <c r="K764" s="378"/>
      <c r="L764" s="378"/>
      <c r="M764" s="381"/>
      <c r="N764" s="381"/>
      <c r="O764" s="381"/>
      <c r="P764" s="381"/>
      <c r="Q764" s="381"/>
      <c r="R764" s="381"/>
      <c r="S764" s="381"/>
      <c r="T764" s="381"/>
      <c r="U764" s="381"/>
      <c r="V764" s="381"/>
      <c r="W764" s="381"/>
      <c r="X764" s="381"/>
      <c r="Y764" s="381"/>
      <c r="Z764" s="381"/>
      <c r="AA764" s="381"/>
      <c r="AB764" s="381"/>
      <c r="AC764" s="382"/>
      <c r="AD764" s="382"/>
    </row>
    <row r="765" spans="1:30" ht="12.75" customHeight="1" x14ac:dyDescent="0.2">
      <c r="A765" s="378"/>
      <c r="B765" s="378"/>
      <c r="C765" s="378"/>
      <c r="D765" s="380"/>
      <c r="E765" s="380"/>
      <c r="F765" s="378"/>
      <c r="G765" s="378"/>
      <c r="H765" s="378"/>
      <c r="I765" s="378"/>
      <c r="J765" s="378"/>
      <c r="K765" s="378"/>
      <c r="L765" s="378"/>
      <c r="M765" s="381"/>
      <c r="N765" s="381"/>
      <c r="O765" s="381"/>
      <c r="P765" s="381"/>
      <c r="Q765" s="381"/>
      <c r="R765" s="381"/>
      <c r="S765" s="381"/>
      <c r="T765" s="381"/>
      <c r="U765" s="381"/>
      <c r="V765" s="381"/>
      <c r="W765" s="381"/>
      <c r="X765" s="381"/>
      <c r="Y765" s="381"/>
      <c r="Z765" s="381"/>
      <c r="AA765" s="381"/>
      <c r="AB765" s="381"/>
      <c r="AC765" s="382"/>
      <c r="AD765" s="382"/>
    </row>
    <row r="766" spans="1:30" ht="12.75" customHeight="1" x14ac:dyDescent="0.2">
      <c r="A766" s="378"/>
      <c r="B766" s="378"/>
      <c r="C766" s="378"/>
      <c r="D766" s="380"/>
      <c r="E766" s="380"/>
      <c r="F766" s="378"/>
      <c r="G766" s="378"/>
      <c r="H766" s="378"/>
      <c r="I766" s="378"/>
      <c r="J766" s="378"/>
      <c r="K766" s="378"/>
      <c r="L766" s="378"/>
      <c r="M766" s="381"/>
      <c r="N766" s="381"/>
      <c r="O766" s="381"/>
      <c r="P766" s="381"/>
      <c r="Q766" s="381"/>
      <c r="R766" s="381"/>
      <c r="S766" s="381"/>
      <c r="T766" s="381"/>
      <c r="U766" s="381"/>
      <c r="V766" s="381"/>
      <c r="W766" s="381"/>
      <c r="X766" s="381"/>
      <c r="Y766" s="381"/>
      <c r="Z766" s="381"/>
      <c r="AA766" s="381"/>
      <c r="AB766" s="381"/>
      <c r="AC766" s="382"/>
      <c r="AD766" s="382"/>
    </row>
    <row r="767" spans="1:30" ht="12.75" customHeight="1" x14ac:dyDescent="0.2">
      <c r="A767" s="378"/>
      <c r="B767" s="378"/>
      <c r="C767" s="378"/>
      <c r="D767" s="380"/>
      <c r="E767" s="380"/>
      <c r="F767" s="378"/>
      <c r="G767" s="378"/>
      <c r="H767" s="378"/>
      <c r="I767" s="378"/>
      <c r="J767" s="378"/>
      <c r="K767" s="378"/>
      <c r="L767" s="378"/>
      <c r="M767" s="381"/>
      <c r="N767" s="381"/>
      <c r="O767" s="381"/>
      <c r="P767" s="381"/>
      <c r="Q767" s="381"/>
      <c r="R767" s="381"/>
      <c r="S767" s="381"/>
      <c r="T767" s="381"/>
      <c r="U767" s="381"/>
      <c r="V767" s="381"/>
      <c r="W767" s="381"/>
      <c r="X767" s="381"/>
      <c r="Y767" s="381"/>
      <c r="Z767" s="381"/>
      <c r="AA767" s="381"/>
      <c r="AB767" s="381"/>
      <c r="AC767" s="382"/>
      <c r="AD767" s="382"/>
    </row>
    <row r="768" spans="1:30" ht="12.75" customHeight="1" x14ac:dyDescent="0.2">
      <c r="A768" s="378"/>
      <c r="B768" s="378"/>
      <c r="C768" s="378"/>
      <c r="D768" s="380"/>
      <c r="E768" s="380"/>
      <c r="F768" s="378"/>
      <c r="G768" s="378"/>
      <c r="H768" s="378"/>
      <c r="I768" s="378"/>
      <c r="J768" s="378"/>
      <c r="K768" s="378"/>
      <c r="L768" s="378"/>
      <c r="M768" s="381"/>
      <c r="N768" s="381"/>
      <c r="O768" s="381"/>
      <c r="P768" s="381"/>
      <c r="Q768" s="381"/>
      <c r="R768" s="381"/>
      <c r="S768" s="381"/>
      <c r="T768" s="381"/>
      <c r="U768" s="381"/>
      <c r="V768" s="381"/>
      <c r="W768" s="381"/>
      <c r="X768" s="381"/>
      <c r="Y768" s="381"/>
      <c r="Z768" s="381"/>
      <c r="AA768" s="381"/>
      <c r="AB768" s="381"/>
      <c r="AC768" s="382"/>
      <c r="AD768" s="382"/>
    </row>
    <row r="769" spans="1:30" ht="12.75" customHeight="1" x14ac:dyDescent="0.2">
      <c r="A769" s="378"/>
      <c r="B769" s="378"/>
      <c r="C769" s="378"/>
      <c r="D769" s="380"/>
      <c r="E769" s="380"/>
      <c r="F769" s="378"/>
      <c r="G769" s="378"/>
      <c r="H769" s="378"/>
      <c r="I769" s="378"/>
      <c r="J769" s="378"/>
      <c r="K769" s="378"/>
      <c r="L769" s="378"/>
      <c r="M769" s="381"/>
      <c r="N769" s="381"/>
      <c r="O769" s="381"/>
      <c r="P769" s="381"/>
      <c r="Q769" s="381"/>
      <c r="R769" s="381"/>
      <c r="S769" s="381"/>
      <c r="T769" s="381"/>
      <c r="U769" s="381"/>
      <c r="V769" s="381"/>
      <c r="W769" s="381"/>
      <c r="X769" s="381"/>
      <c r="Y769" s="381"/>
      <c r="Z769" s="381"/>
      <c r="AA769" s="381"/>
      <c r="AB769" s="381"/>
      <c r="AC769" s="382"/>
      <c r="AD769" s="382"/>
    </row>
    <row r="770" spans="1:30" ht="12.75" customHeight="1" x14ac:dyDescent="0.2">
      <c r="A770" s="378"/>
      <c r="B770" s="378"/>
      <c r="C770" s="378"/>
      <c r="D770" s="380"/>
      <c r="E770" s="380"/>
      <c r="F770" s="378"/>
      <c r="G770" s="378"/>
      <c r="H770" s="378"/>
      <c r="I770" s="378"/>
      <c r="J770" s="378"/>
      <c r="K770" s="378"/>
      <c r="L770" s="378"/>
      <c r="M770" s="381"/>
      <c r="N770" s="381"/>
      <c r="O770" s="381"/>
      <c r="P770" s="381"/>
      <c r="Q770" s="381"/>
      <c r="R770" s="381"/>
      <c r="S770" s="381"/>
      <c r="T770" s="381"/>
      <c r="U770" s="381"/>
      <c r="V770" s="381"/>
      <c r="W770" s="381"/>
      <c r="X770" s="381"/>
      <c r="Y770" s="381"/>
      <c r="Z770" s="381"/>
      <c r="AA770" s="381"/>
      <c r="AB770" s="381"/>
      <c r="AC770" s="382"/>
      <c r="AD770" s="382"/>
    </row>
    <row r="771" spans="1:30" ht="12.75" customHeight="1" x14ac:dyDescent="0.2">
      <c r="A771" s="378"/>
      <c r="B771" s="378"/>
      <c r="C771" s="378"/>
      <c r="D771" s="380"/>
      <c r="E771" s="380"/>
      <c r="F771" s="378"/>
      <c r="G771" s="378"/>
      <c r="H771" s="378"/>
      <c r="I771" s="378"/>
      <c r="J771" s="378"/>
      <c r="K771" s="378"/>
      <c r="L771" s="378"/>
      <c r="M771" s="381"/>
      <c r="N771" s="381"/>
      <c r="O771" s="381"/>
      <c r="P771" s="381"/>
      <c r="Q771" s="381"/>
      <c r="R771" s="381"/>
      <c r="S771" s="381"/>
      <c r="T771" s="381"/>
      <c r="U771" s="381"/>
      <c r="V771" s="381"/>
      <c r="W771" s="381"/>
      <c r="X771" s="381"/>
      <c r="Y771" s="381"/>
      <c r="Z771" s="381"/>
      <c r="AA771" s="381"/>
      <c r="AB771" s="381"/>
      <c r="AC771" s="382"/>
      <c r="AD771" s="382"/>
    </row>
    <row r="772" spans="1:30" ht="12.75" customHeight="1" x14ac:dyDescent="0.2">
      <c r="A772" s="378"/>
      <c r="B772" s="378"/>
      <c r="C772" s="378"/>
      <c r="D772" s="380"/>
      <c r="E772" s="380"/>
      <c r="F772" s="378"/>
      <c r="G772" s="378"/>
      <c r="H772" s="378"/>
      <c r="I772" s="378"/>
      <c r="J772" s="378"/>
      <c r="K772" s="378"/>
      <c r="L772" s="378"/>
      <c r="M772" s="381"/>
      <c r="N772" s="381"/>
      <c r="O772" s="381"/>
      <c r="P772" s="381"/>
      <c r="Q772" s="381"/>
      <c r="R772" s="381"/>
      <c r="S772" s="381"/>
      <c r="T772" s="381"/>
      <c r="U772" s="381"/>
      <c r="V772" s="381"/>
      <c r="W772" s="381"/>
      <c r="X772" s="381"/>
      <c r="Y772" s="381"/>
      <c r="Z772" s="381"/>
      <c r="AA772" s="381"/>
      <c r="AB772" s="381"/>
      <c r="AC772" s="382"/>
      <c r="AD772" s="382"/>
    </row>
    <row r="773" spans="1:30" ht="12.75" customHeight="1" x14ac:dyDescent="0.2">
      <c r="A773" s="378"/>
      <c r="B773" s="378"/>
      <c r="C773" s="378"/>
      <c r="D773" s="380"/>
      <c r="E773" s="380"/>
      <c r="F773" s="378"/>
      <c r="G773" s="378"/>
      <c r="H773" s="378"/>
      <c r="I773" s="378"/>
      <c r="J773" s="378"/>
      <c r="K773" s="378"/>
      <c r="L773" s="378"/>
      <c r="M773" s="381"/>
      <c r="N773" s="381"/>
      <c r="O773" s="381"/>
      <c r="P773" s="381"/>
      <c r="Q773" s="381"/>
      <c r="R773" s="381"/>
      <c r="S773" s="381"/>
      <c r="T773" s="381"/>
      <c r="U773" s="381"/>
      <c r="V773" s="381"/>
      <c r="W773" s="381"/>
      <c r="X773" s="381"/>
      <c r="Y773" s="381"/>
      <c r="Z773" s="381"/>
      <c r="AA773" s="381"/>
      <c r="AB773" s="381"/>
      <c r="AC773" s="382"/>
      <c r="AD773" s="382"/>
    </row>
    <row r="774" spans="1:30" ht="12.75" customHeight="1" x14ac:dyDescent="0.2">
      <c r="A774" s="378"/>
      <c r="B774" s="378"/>
      <c r="C774" s="378"/>
      <c r="D774" s="380"/>
      <c r="E774" s="380"/>
      <c r="F774" s="378"/>
      <c r="G774" s="378"/>
      <c r="H774" s="378"/>
      <c r="I774" s="378"/>
      <c r="J774" s="378"/>
      <c r="K774" s="378"/>
      <c r="L774" s="378"/>
      <c r="M774" s="381"/>
      <c r="N774" s="381"/>
      <c r="O774" s="381"/>
      <c r="P774" s="381"/>
      <c r="Q774" s="381"/>
      <c r="R774" s="381"/>
      <c r="S774" s="381"/>
      <c r="T774" s="381"/>
      <c r="U774" s="381"/>
      <c r="V774" s="381"/>
      <c r="W774" s="381"/>
      <c r="X774" s="381"/>
      <c r="Y774" s="381"/>
      <c r="Z774" s="381"/>
      <c r="AA774" s="381"/>
      <c r="AB774" s="381"/>
      <c r="AC774" s="382"/>
      <c r="AD774" s="382"/>
    </row>
    <row r="775" spans="1:30" ht="12.75" customHeight="1" x14ac:dyDescent="0.2">
      <c r="A775" s="378"/>
      <c r="B775" s="378"/>
      <c r="C775" s="378"/>
      <c r="D775" s="380"/>
      <c r="E775" s="380"/>
      <c r="F775" s="378"/>
      <c r="G775" s="378"/>
      <c r="H775" s="378"/>
      <c r="I775" s="378"/>
      <c r="J775" s="378"/>
      <c r="K775" s="378"/>
      <c r="L775" s="378"/>
      <c r="M775" s="381"/>
      <c r="N775" s="381"/>
      <c r="O775" s="381"/>
      <c r="P775" s="381"/>
      <c r="Q775" s="381"/>
      <c r="R775" s="381"/>
      <c r="S775" s="381"/>
      <c r="T775" s="381"/>
      <c r="U775" s="381"/>
      <c r="V775" s="381"/>
      <c r="W775" s="381"/>
      <c r="X775" s="381"/>
      <c r="Y775" s="381"/>
      <c r="Z775" s="381"/>
      <c r="AA775" s="381"/>
      <c r="AB775" s="381"/>
      <c r="AC775" s="382"/>
      <c r="AD775" s="382"/>
    </row>
    <row r="776" spans="1:30" ht="12.75" customHeight="1" x14ac:dyDescent="0.2">
      <c r="A776" s="378"/>
      <c r="B776" s="378"/>
      <c r="C776" s="378"/>
      <c r="D776" s="380"/>
      <c r="E776" s="380"/>
      <c r="F776" s="378"/>
      <c r="G776" s="378"/>
      <c r="H776" s="378"/>
      <c r="I776" s="378"/>
      <c r="J776" s="378"/>
      <c r="K776" s="378"/>
      <c r="L776" s="378"/>
      <c r="M776" s="381"/>
      <c r="N776" s="381"/>
      <c r="O776" s="381"/>
      <c r="P776" s="381"/>
      <c r="Q776" s="381"/>
      <c r="R776" s="381"/>
      <c r="S776" s="381"/>
      <c r="T776" s="381"/>
      <c r="U776" s="381"/>
      <c r="V776" s="381"/>
      <c r="W776" s="381"/>
      <c r="X776" s="381"/>
      <c r="Y776" s="381"/>
      <c r="Z776" s="381"/>
      <c r="AA776" s="381"/>
      <c r="AB776" s="381"/>
      <c r="AC776" s="382"/>
      <c r="AD776" s="382"/>
    </row>
    <row r="777" spans="1:30" ht="12.75" customHeight="1" x14ac:dyDescent="0.2">
      <c r="A777" s="378"/>
      <c r="B777" s="378"/>
      <c r="C777" s="378"/>
      <c r="D777" s="380"/>
      <c r="E777" s="380"/>
      <c r="F777" s="378"/>
      <c r="G777" s="378"/>
      <c r="H777" s="378"/>
      <c r="I777" s="378"/>
      <c r="J777" s="378"/>
      <c r="K777" s="378"/>
      <c r="L777" s="378"/>
      <c r="M777" s="381"/>
      <c r="N777" s="381"/>
      <c r="O777" s="381"/>
      <c r="P777" s="381"/>
      <c r="Q777" s="381"/>
      <c r="R777" s="381"/>
      <c r="S777" s="381"/>
      <c r="T777" s="381"/>
      <c r="U777" s="381"/>
      <c r="V777" s="381"/>
      <c r="W777" s="381"/>
      <c r="X777" s="381"/>
      <c r="Y777" s="381"/>
      <c r="Z777" s="381"/>
      <c r="AA777" s="381"/>
      <c r="AB777" s="381"/>
      <c r="AC777" s="382"/>
      <c r="AD777" s="382"/>
    </row>
    <row r="778" spans="1:30" ht="12.75" customHeight="1" x14ac:dyDescent="0.2">
      <c r="A778" s="378"/>
      <c r="B778" s="378"/>
      <c r="C778" s="378"/>
      <c r="D778" s="380"/>
      <c r="E778" s="380"/>
      <c r="F778" s="378"/>
      <c r="G778" s="378"/>
      <c r="H778" s="378"/>
      <c r="I778" s="378"/>
      <c r="J778" s="378"/>
      <c r="K778" s="378"/>
      <c r="L778" s="378"/>
      <c r="M778" s="381"/>
      <c r="N778" s="381"/>
      <c r="O778" s="381"/>
      <c r="P778" s="381"/>
      <c r="Q778" s="381"/>
      <c r="R778" s="381"/>
      <c r="S778" s="381"/>
      <c r="T778" s="381"/>
      <c r="U778" s="381"/>
      <c r="V778" s="381"/>
      <c r="W778" s="381"/>
      <c r="X778" s="381"/>
      <c r="Y778" s="381"/>
      <c r="Z778" s="381"/>
      <c r="AA778" s="381"/>
      <c r="AB778" s="381"/>
      <c r="AC778" s="382"/>
      <c r="AD778" s="382"/>
    </row>
    <row r="779" spans="1:30" ht="12.75" customHeight="1" x14ac:dyDescent="0.2">
      <c r="A779" s="378"/>
      <c r="B779" s="378"/>
      <c r="C779" s="378"/>
      <c r="D779" s="380"/>
      <c r="E779" s="380"/>
      <c r="F779" s="378"/>
      <c r="G779" s="378"/>
      <c r="H779" s="378"/>
      <c r="I779" s="378"/>
      <c r="J779" s="378"/>
      <c r="K779" s="378"/>
      <c r="L779" s="378"/>
      <c r="M779" s="381"/>
      <c r="N779" s="381"/>
      <c r="O779" s="381"/>
      <c r="P779" s="381"/>
      <c r="Q779" s="381"/>
      <c r="R779" s="381"/>
      <c r="S779" s="381"/>
      <c r="T779" s="381"/>
      <c r="U779" s="381"/>
      <c r="V779" s="381"/>
      <c r="W779" s="381"/>
      <c r="X779" s="381"/>
      <c r="Y779" s="381"/>
      <c r="Z779" s="381"/>
      <c r="AA779" s="381"/>
      <c r="AB779" s="381"/>
      <c r="AC779" s="382"/>
      <c r="AD779" s="382"/>
    </row>
    <row r="780" spans="1:30" ht="12.75" customHeight="1" x14ac:dyDescent="0.2">
      <c r="A780" s="378"/>
      <c r="B780" s="378"/>
      <c r="C780" s="378"/>
      <c r="D780" s="380"/>
      <c r="E780" s="380"/>
      <c r="F780" s="378"/>
      <c r="G780" s="378"/>
      <c r="H780" s="378"/>
      <c r="I780" s="378"/>
      <c r="J780" s="378"/>
      <c r="K780" s="378"/>
      <c r="L780" s="378"/>
      <c r="M780" s="381"/>
      <c r="N780" s="381"/>
      <c r="O780" s="381"/>
      <c r="P780" s="381"/>
      <c r="Q780" s="381"/>
      <c r="R780" s="381"/>
      <c r="S780" s="381"/>
      <c r="T780" s="381"/>
      <c r="U780" s="381"/>
      <c r="V780" s="381"/>
      <c r="W780" s="381"/>
      <c r="X780" s="381"/>
      <c r="Y780" s="381"/>
      <c r="Z780" s="381"/>
      <c r="AA780" s="381"/>
      <c r="AB780" s="381"/>
      <c r="AC780" s="382"/>
      <c r="AD780" s="382"/>
    </row>
    <row r="781" spans="1:30" ht="12.75" customHeight="1" x14ac:dyDescent="0.2">
      <c r="A781" s="378"/>
      <c r="B781" s="378"/>
      <c r="C781" s="378"/>
      <c r="D781" s="380"/>
      <c r="E781" s="380"/>
      <c r="F781" s="378"/>
      <c r="G781" s="378"/>
      <c r="H781" s="378"/>
      <c r="I781" s="378"/>
      <c r="J781" s="378"/>
      <c r="K781" s="378"/>
      <c r="L781" s="378"/>
      <c r="M781" s="381"/>
      <c r="N781" s="381"/>
      <c r="O781" s="381"/>
      <c r="P781" s="381"/>
      <c r="Q781" s="381"/>
      <c r="R781" s="381"/>
      <c r="S781" s="381"/>
      <c r="T781" s="381"/>
      <c r="U781" s="381"/>
      <c r="V781" s="381"/>
      <c r="W781" s="381"/>
      <c r="X781" s="381"/>
      <c r="Y781" s="381"/>
      <c r="Z781" s="381"/>
      <c r="AA781" s="381"/>
      <c r="AB781" s="381"/>
      <c r="AC781" s="382"/>
      <c r="AD781" s="382"/>
    </row>
    <row r="782" spans="1:30" ht="12.75" customHeight="1" x14ac:dyDescent="0.2">
      <c r="A782" s="378"/>
      <c r="B782" s="378"/>
      <c r="C782" s="378"/>
      <c r="D782" s="380"/>
      <c r="E782" s="380"/>
      <c r="F782" s="378"/>
      <c r="G782" s="378"/>
      <c r="H782" s="378"/>
      <c r="I782" s="378"/>
      <c r="J782" s="378"/>
      <c r="K782" s="378"/>
      <c r="L782" s="378"/>
      <c r="M782" s="381"/>
      <c r="N782" s="381"/>
      <c r="O782" s="381"/>
      <c r="P782" s="381"/>
      <c r="Q782" s="381"/>
      <c r="R782" s="381"/>
      <c r="S782" s="381"/>
      <c r="T782" s="381"/>
      <c r="U782" s="381"/>
      <c r="V782" s="381"/>
      <c r="W782" s="381"/>
      <c r="X782" s="381"/>
      <c r="Y782" s="381"/>
      <c r="Z782" s="381"/>
      <c r="AA782" s="381"/>
      <c r="AB782" s="381"/>
      <c r="AC782" s="382"/>
      <c r="AD782" s="382"/>
    </row>
    <row r="783" spans="1:30" ht="12.75" customHeight="1" x14ac:dyDescent="0.2">
      <c r="A783" s="378"/>
      <c r="B783" s="378"/>
      <c r="C783" s="378"/>
      <c r="D783" s="380"/>
      <c r="E783" s="380"/>
      <c r="F783" s="378"/>
      <c r="G783" s="378"/>
      <c r="H783" s="378"/>
      <c r="I783" s="378"/>
      <c r="J783" s="378"/>
      <c r="K783" s="378"/>
      <c r="L783" s="378"/>
      <c r="M783" s="381"/>
      <c r="N783" s="381"/>
      <c r="O783" s="381"/>
      <c r="P783" s="381"/>
      <c r="Q783" s="381"/>
      <c r="R783" s="381"/>
      <c r="S783" s="381"/>
      <c r="T783" s="381"/>
      <c r="U783" s="381"/>
      <c r="V783" s="381"/>
      <c r="W783" s="381"/>
      <c r="X783" s="381"/>
      <c r="Y783" s="381"/>
      <c r="Z783" s="381"/>
      <c r="AA783" s="381"/>
      <c r="AB783" s="381"/>
      <c r="AC783" s="382"/>
      <c r="AD783" s="382"/>
    </row>
    <row r="784" spans="1:30" ht="12.75" customHeight="1" x14ac:dyDescent="0.2">
      <c r="A784" s="378"/>
      <c r="B784" s="378"/>
      <c r="C784" s="378"/>
      <c r="D784" s="380"/>
      <c r="E784" s="380"/>
      <c r="F784" s="378"/>
      <c r="G784" s="378"/>
      <c r="H784" s="378"/>
      <c r="I784" s="378"/>
      <c r="J784" s="378"/>
      <c r="K784" s="378"/>
      <c r="L784" s="378"/>
      <c r="M784" s="381"/>
      <c r="N784" s="381"/>
      <c r="O784" s="381"/>
      <c r="P784" s="381"/>
      <c r="Q784" s="381"/>
      <c r="R784" s="381"/>
      <c r="S784" s="381"/>
      <c r="T784" s="381"/>
      <c r="U784" s="381"/>
      <c r="V784" s="381"/>
      <c r="W784" s="381"/>
      <c r="X784" s="381"/>
      <c r="Y784" s="381"/>
      <c r="Z784" s="381"/>
      <c r="AA784" s="381"/>
      <c r="AB784" s="381"/>
      <c r="AC784" s="382"/>
      <c r="AD784" s="382"/>
    </row>
    <row r="785" spans="1:30" ht="12.75" customHeight="1" x14ac:dyDescent="0.2">
      <c r="A785" s="378"/>
      <c r="B785" s="378"/>
      <c r="C785" s="378"/>
      <c r="D785" s="380"/>
      <c r="E785" s="380"/>
      <c r="F785" s="378"/>
      <c r="G785" s="378"/>
      <c r="H785" s="378"/>
      <c r="I785" s="378"/>
      <c r="J785" s="378"/>
      <c r="K785" s="378"/>
      <c r="L785" s="378"/>
      <c r="M785" s="381"/>
      <c r="N785" s="381"/>
      <c r="O785" s="381"/>
      <c r="P785" s="381"/>
      <c r="Q785" s="381"/>
      <c r="R785" s="381"/>
      <c r="S785" s="381"/>
      <c r="T785" s="381"/>
      <c r="U785" s="381"/>
      <c r="V785" s="381"/>
      <c r="W785" s="381"/>
      <c r="X785" s="381"/>
      <c r="Y785" s="381"/>
      <c r="Z785" s="381"/>
      <c r="AA785" s="381"/>
      <c r="AB785" s="381"/>
      <c r="AC785" s="382"/>
      <c r="AD785" s="382"/>
    </row>
    <row r="786" spans="1:30" ht="12.75" customHeight="1" x14ac:dyDescent="0.2">
      <c r="A786" s="378"/>
      <c r="B786" s="378"/>
      <c r="C786" s="378"/>
      <c r="D786" s="380"/>
      <c r="E786" s="380"/>
      <c r="F786" s="378"/>
      <c r="G786" s="378"/>
      <c r="H786" s="378"/>
      <c r="I786" s="378"/>
      <c r="J786" s="378"/>
      <c r="K786" s="378"/>
      <c r="L786" s="378"/>
      <c r="M786" s="381"/>
      <c r="N786" s="381"/>
      <c r="O786" s="381"/>
      <c r="P786" s="381"/>
      <c r="Q786" s="381"/>
      <c r="R786" s="381"/>
      <c r="S786" s="381"/>
      <c r="T786" s="381"/>
      <c r="U786" s="381"/>
      <c r="V786" s="381"/>
      <c r="W786" s="381"/>
      <c r="X786" s="381"/>
      <c r="Y786" s="381"/>
      <c r="Z786" s="381"/>
      <c r="AA786" s="381"/>
      <c r="AB786" s="381"/>
      <c r="AC786" s="382"/>
      <c r="AD786" s="382"/>
    </row>
    <row r="787" spans="1:30" ht="12.75" customHeight="1" x14ac:dyDescent="0.2">
      <c r="A787" s="378"/>
      <c r="B787" s="378"/>
      <c r="C787" s="378"/>
      <c r="D787" s="380"/>
      <c r="E787" s="380"/>
      <c r="F787" s="378"/>
      <c r="G787" s="378"/>
      <c r="H787" s="378"/>
      <c r="I787" s="378"/>
      <c r="J787" s="378"/>
      <c r="K787" s="378"/>
      <c r="L787" s="378"/>
      <c r="M787" s="381"/>
      <c r="N787" s="381"/>
      <c r="O787" s="381"/>
      <c r="P787" s="381"/>
      <c r="Q787" s="381"/>
      <c r="R787" s="381"/>
      <c r="S787" s="381"/>
      <c r="T787" s="381"/>
      <c r="U787" s="381"/>
      <c r="V787" s="381"/>
      <c r="W787" s="381"/>
      <c r="X787" s="381"/>
      <c r="Y787" s="381"/>
      <c r="Z787" s="381"/>
      <c r="AA787" s="381"/>
      <c r="AB787" s="381"/>
      <c r="AC787" s="382"/>
      <c r="AD787" s="382"/>
    </row>
    <row r="788" spans="1:30" ht="12.75" customHeight="1" x14ac:dyDescent="0.2">
      <c r="A788" s="378"/>
      <c r="B788" s="378"/>
      <c r="C788" s="378"/>
      <c r="D788" s="380"/>
      <c r="E788" s="380"/>
      <c r="F788" s="378"/>
      <c r="G788" s="378"/>
      <c r="H788" s="378"/>
      <c r="I788" s="378"/>
      <c r="J788" s="378"/>
      <c r="K788" s="378"/>
      <c r="L788" s="378"/>
      <c r="M788" s="381"/>
      <c r="N788" s="381"/>
      <c r="O788" s="381"/>
      <c r="P788" s="381"/>
      <c r="Q788" s="381"/>
      <c r="R788" s="381"/>
      <c r="S788" s="381"/>
      <c r="T788" s="381"/>
      <c r="U788" s="381"/>
      <c r="V788" s="381"/>
      <c r="W788" s="381"/>
      <c r="X788" s="381"/>
      <c r="Y788" s="381"/>
      <c r="Z788" s="381"/>
      <c r="AA788" s="381"/>
      <c r="AB788" s="381"/>
      <c r="AC788" s="382"/>
      <c r="AD788" s="382"/>
    </row>
    <row r="789" spans="1:30" ht="12.75" customHeight="1" x14ac:dyDescent="0.2">
      <c r="A789" s="378"/>
      <c r="B789" s="378"/>
      <c r="C789" s="378"/>
      <c r="D789" s="380"/>
      <c r="E789" s="380"/>
      <c r="F789" s="378"/>
      <c r="G789" s="378"/>
      <c r="H789" s="378"/>
      <c r="I789" s="378"/>
      <c r="J789" s="378"/>
      <c r="K789" s="378"/>
      <c r="L789" s="378"/>
      <c r="M789" s="381"/>
      <c r="N789" s="381"/>
      <c r="O789" s="381"/>
      <c r="P789" s="381"/>
      <c r="Q789" s="381"/>
      <c r="R789" s="381"/>
      <c r="S789" s="381"/>
      <c r="T789" s="381"/>
      <c r="U789" s="381"/>
      <c r="V789" s="381"/>
      <c r="W789" s="381"/>
      <c r="X789" s="381"/>
      <c r="Y789" s="381"/>
      <c r="Z789" s="381"/>
      <c r="AA789" s="381"/>
      <c r="AB789" s="381"/>
      <c r="AC789" s="382"/>
      <c r="AD789" s="382"/>
    </row>
    <row r="790" spans="1:30" ht="12.75" customHeight="1" x14ac:dyDescent="0.2">
      <c r="A790" s="378"/>
      <c r="B790" s="378"/>
      <c r="C790" s="378"/>
      <c r="D790" s="380"/>
      <c r="E790" s="380"/>
      <c r="F790" s="378"/>
      <c r="G790" s="378"/>
      <c r="H790" s="378"/>
      <c r="I790" s="378"/>
      <c r="J790" s="378"/>
      <c r="K790" s="378"/>
      <c r="L790" s="378"/>
      <c r="M790" s="381"/>
      <c r="N790" s="381"/>
      <c r="O790" s="381"/>
      <c r="P790" s="381"/>
      <c r="Q790" s="381"/>
      <c r="R790" s="381"/>
      <c r="S790" s="381"/>
      <c r="T790" s="381"/>
      <c r="U790" s="381"/>
      <c r="V790" s="381"/>
      <c r="W790" s="381"/>
      <c r="X790" s="381"/>
      <c r="Y790" s="381"/>
      <c r="Z790" s="381"/>
      <c r="AA790" s="381"/>
      <c r="AB790" s="381"/>
      <c r="AC790" s="382"/>
      <c r="AD790" s="382"/>
    </row>
    <row r="791" spans="1:30" ht="12.75" customHeight="1" x14ac:dyDescent="0.2">
      <c r="A791" s="378"/>
      <c r="B791" s="378"/>
      <c r="C791" s="378"/>
      <c r="D791" s="380"/>
      <c r="E791" s="380"/>
      <c r="F791" s="378"/>
      <c r="G791" s="378"/>
      <c r="H791" s="378"/>
      <c r="I791" s="378"/>
      <c r="J791" s="378"/>
      <c r="K791" s="378"/>
      <c r="L791" s="378"/>
      <c r="M791" s="381"/>
      <c r="N791" s="381"/>
      <c r="O791" s="381"/>
      <c r="P791" s="381"/>
      <c r="Q791" s="381"/>
      <c r="R791" s="381"/>
      <c r="S791" s="381"/>
      <c r="T791" s="381"/>
      <c r="U791" s="381"/>
      <c r="V791" s="381"/>
      <c r="W791" s="381"/>
      <c r="X791" s="381"/>
      <c r="Y791" s="381"/>
      <c r="Z791" s="381"/>
      <c r="AA791" s="381"/>
      <c r="AB791" s="381"/>
      <c r="AC791" s="382"/>
      <c r="AD791" s="382"/>
    </row>
    <row r="792" spans="1:30" ht="12.75" customHeight="1" x14ac:dyDescent="0.2">
      <c r="A792" s="378"/>
      <c r="B792" s="378"/>
      <c r="C792" s="378"/>
      <c r="D792" s="380"/>
      <c r="E792" s="380"/>
      <c r="F792" s="378"/>
      <c r="G792" s="378"/>
      <c r="H792" s="378"/>
      <c r="I792" s="378"/>
      <c r="J792" s="378"/>
      <c r="K792" s="378"/>
      <c r="L792" s="378"/>
      <c r="M792" s="381"/>
      <c r="N792" s="381"/>
      <c r="O792" s="381"/>
      <c r="P792" s="381"/>
      <c r="Q792" s="381"/>
      <c r="R792" s="381"/>
      <c r="S792" s="381"/>
      <c r="T792" s="381"/>
      <c r="U792" s="381"/>
      <c r="V792" s="381"/>
      <c r="W792" s="381"/>
      <c r="X792" s="381"/>
      <c r="Y792" s="381"/>
      <c r="Z792" s="381"/>
      <c r="AA792" s="381"/>
      <c r="AB792" s="381"/>
      <c r="AC792" s="382"/>
      <c r="AD792" s="382"/>
    </row>
    <row r="793" spans="1:30" ht="12.75" customHeight="1" x14ac:dyDescent="0.2">
      <c r="A793" s="378"/>
      <c r="B793" s="378"/>
      <c r="C793" s="378"/>
      <c r="D793" s="380"/>
      <c r="E793" s="380"/>
      <c r="F793" s="378"/>
      <c r="G793" s="378"/>
      <c r="H793" s="378"/>
      <c r="I793" s="378"/>
      <c r="J793" s="378"/>
      <c r="K793" s="378"/>
      <c r="L793" s="378"/>
      <c r="M793" s="381"/>
      <c r="N793" s="381"/>
      <c r="O793" s="381"/>
      <c r="P793" s="381"/>
      <c r="Q793" s="381"/>
      <c r="R793" s="381"/>
      <c r="S793" s="381"/>
      <c r="T793" s="381"/>
      <c r="U793" s="381"/>
      <c r="V793" s="381"/>
      <c r="W793" s="381"/>
      <c r="X793" s="381"/>
      <c r="Y793" s="381"/>
      <c r="Z793" s="381"/>
      <c r="AA793" s="381"/>
      <c r="AB793" s="381"/>
      <c r="AC793" s="382"/>
      <c r="AD793" s="382"/>
    </row>
    <row r="794" spans="1:30" ht="12.75" customHeight="1" x14ac:dyDescent="0.2">
      <c r="A794" s="378"/>
      <c r="B794" s="378"/>
      <c r="C794" s="378"/>
      <c r="D794" s="380"/>
      <c r="E794" s="380"/>
      <c r="F794" s="378"/>
      <c r="G794" s="378"/>
      <c r="H794" s="378"/>
      <c r="I794" s="378"/>
      <c r="J794" s="378"/>
      <c r="K794" s="378"/>
      <c r="L794" s="378"/>
      <c r="M794" s="381"/>
      <c r="N794" s="381"/>
      <c r="O794" s="381"/>
      <c r="P794" s="381"/>
      <c r="Q794" s="381"/>
      <c r="R794" s="381"/>
      <c r="S794" s="381"/>
      <c r="T794" s="381"/>
      <c r="U794" s="381"/>
      <c r="V794" s="381"/>
      <c r="W794" s="381"/>
      <c r="X794" s="381"/>
      <c r="Y794" s="381"/>
      <c r="Z794" s="381"/>
      <c r="AA794" s="381"/>
      <c r="AB794" s="381"/>
      <c r="AC794" s="382"/>
      <c r="AD794" s="382"/>
    </row>
    <row r="795" spans="1:30" ht="12.75" customHeight="1" x14ac:dyDescent="0.2">
      <c r="A795" s="378"/>
      <c r="B795" s="378"/>
      <c r="C795" s="378"/>
      <c r="D795" s="380"/>
      <c r="E795" s="380"/>
      <c r="F795" s="378"/>
      <c r="G795" s="378"/>
      <c r="H795" s="378"/>
      <c r="I795" s="378"/>
      <c r="J795" s="378"/>
      <c r="K795" s="378"/>
      <c r="L795" s="378"/>
      <c r="M795" s="381"/>
      <c r="N795" s="381"/>
      <c r="O795" s="381"/>
      <c r="P795" s="381"/>
      <c r="Q795" s="381"/>
      <c r="R795" s="381"/>
      <c r="S795" s="381"/>
      <c r="T795" s="381"/>
      <c r="U795" s="381"/>
      <c r="V795" s="381"/>
      <c r="W795" s="381"/>
      <c r="X795" s="381"/>
      <c r="Y795" s="381"/>
      <c r="Z795" s="381"/>
      <c r="AA795" s="381"/>
      <c r="AB795" s="381"/>
      <c r="AC795" s="382"/>
      <c r="AD795" s="382"/>
    </row>
    <row r="796" spans="1:30" ht="12.75" customHeight="1" x14ac:dyDescent="0.2">
      <c r="A796" s="378"/>
      <c r="B796" s="378"/>
      <c r="C796" s="378"/>
      <c r="D796" s="380"/>
      <c r="E796" s="380"/>
      <c r="F796" s="378"/>
      <c r="G796" s="378"/>
      <c r="H796" s="378"/>
      <c r="I796" s="378"/>
      <c r="J796" s="378"/>
      <c r="K796" s="378"/>
      <c r="L796" s="378"/>
      <c r="M796" s="381"/>
      <c r="N796" s="381"/>
      <c r="O796" s="381"/>
      <c r="P796" s="381"/>
      <c r="Q796" s="381"/>
      <c r="R796" s="381"/>
      <c r="S796" s="381"/>
      <c r="T796" s="381"/>
      <c r="U796" s="381"/>
      <c r="V796" s="381"/>
      <c r="W796" s="381"/>
      <c r="X796" s="381"/>
      <c r="Y796" s="381"/>
      <c r="Z796" s="381"/>
      <c r="AA796" s="381"/>
      <c r="AB796" s="381"/>
      <c r="AC796" s="382"/>
      <c r="AD796" s="382"/>
    </row>
    <row r="797" spans="1:30" ht="12.75" customHeight="1" x14ac:dyDescent="0.2">
      <c r="A797" s="378"/>
      <c r="B797" s="378"/>
      <c r="C797" s="378"/>
      <c r="D797" s="380"/>
      <c r="E797" s="380"/>
      <c r="F797" s="378"/>
      <c r="G797" s="378"/>
      <c r="H797" s="378"/>
      <c r="I797" s="378"/>
      <c r="J797" s="378"/>
      <c r="K797" s="378"/>
      <c r="L797" s="378"/>
      <c r="M797" s="381"/>
      <c r="N797" s="381"/>
      <c r="O797" s="381"/>
      <c r="P797" s="381"/>
      <c r="Q797" s="381"/>
      <c r="R797" s="381"/>
      <c r="S797" s="381"/>
      <c r="T797" s="381"/>
      <c r="U797" s="381"/>
      <c r="V797" s="381"/>
      <c r="W797" s="381"/>
      <c r="X797" s="381"/>
      <c r="Y797" s="381"/>
      <c r="Z797" s="381"/>
      <c r="AA797" s="381"/>
      <c r="AB797" s="381"/>
      <c r="AC797" s="382"/>
      <c r="AD797" s="382"/>
    </row>
    <row r="798" spans="1:30" ht="12.75" customHeight="1" x14ac:dyDescent="0.2">
      <c r="A798" s="378"/>
      <c r="B798" s="378"/>
      <c r="C798" s="378"/>
      <c r="D798" s="380"/>
      <c r="E798" s="380"/>
      <c r="F798" s="378"/>
      <c r="G798" s="378"/>
      <c r="H798" s="378"/>
      <c r="I798" s="378"/>
      <c r="J798" s="378"/>
      <c r="K798" s="378"/>
      <c r="L798" s="378"/>
      <c r="M798" s="381"/>
      <c r="N798" s="381"/>
      <c r="O798" s="381"/>
      <c r="P798" s="381"/>
      <c r="Q798" s="381"/>
      <c r="R798" s="381"/>
      <c r="S798" s="381"/>
      <c r="T798" s="381"/>
      <c r="U798" s="381"/>
      <c r="V798" s="381"/>
      <c r="W798" s="381"/>
      <c r="X798" s="381"/>
      <c r="Y798" s="381"/>
      <c r="Z798" s="381"/>
      <c r="AA798" s="381"/>
      <c r="AB798" s="381"/>
      <c r="AC798" s="382"/>
      <c r="AD798" s="382"/>
    </row>
    <row r="799" spans="1:30" ht="12.75" customHeight="1" x14ac:dyDescent="0.2">
      <c r="A799" s="378"/>
      <c r="B799" s="378"/>
      <c r="C799" s="378"/>
      <c r="D799" s="380"/>
      <c r="E799" s="380"/>
      <c r="F799" s="378"/>
      <c r="G799" s="378"/>
      <c r="H799" s="378"/>
      <c r="I799" s="378"/>
      <c r="J799" s="378"/>
      <c r="K799" s="378"/>
      <c r="L799" s="378"/>
      <c r="M799" s="381"/>
      <c r="N799" s="381"/>
      <c r="O799" s="381"/>
      <c r="P799" s="381"/>
      <c r="Q799" s="381"/>
      <c r="R799" s="381"/>
      <c r="S799" s="381"/>
      <c r="T799" s="381"/>
      <c r="U799" s="381"/>
      <c r="V799" s="381"/>
      <c r="W799" s="381"/>
      <c r="X799" s="381"/>
      <c r="Y799" s="381"/>
      <c r="Z799" s="381"/>
      <c r="AA799" s="381"/>
      <c r="AB799" s="381"/>
      <c r="AC799" s="382"/>
      <c r="AD799" s="382"/>
    </row>
    <row r="800" spans="1:30" ht="12.75" customHeight="1" x14ac:dyDescent="0.2">
      <c r="A800" s="378"/>
      <c r="B800" s="378"/>
      <c r="C800" s="378"/>
      <c r="D800" s="380"/>
      <c r="E800" s="380"/>
      <c r="F800" s="378"/>
      <c r="G800" s="378"/>
      <c r="H800" s="378"/>
      <c r="I800" s="378"/>
      <c r="J800" s="378"/>
      <c r="K800" s="378"/>
      <c r="L800" s="378"/>
      <c r="M800" s="381"/>
      <c r="N800" s="381"/>
      <c r="O800" s="381"/>
      <c r="P800" s="381"/>
      <c r="Q800" s="381"/>
      <c r="R800" s="381"/>
      <c r="S800" s="381"/>
      <c r="T800" s="381"/>
      <c r="U800" s="381"/>
      <c r="V800" s="381"/>
      <c r="W800" s="381"/>
      <c r="X800" s="381"/>
      <c r="Y800" s="381"/>
      <c r="Z800" s="381"/>
      <c r="AA800" s="381"/>
      <c r="AB800" s="381"/>
      <c r="AC800" s="382"/>
      <c r="AD800" s="382"/>
    </row>
    <row r="801" spans="1:30" ht="12.75" customHeight="1" x14ac:dyDescent="0.2">
      <c r="A801" s="378"/>
      <c r="B801" s="378"/>
      <c r="C801" s="378"/>
      <c r="D801" s="380"/>
      <c r="E801" s="380"/>
      <c r="F801" s="378"/>
      <c r="G801" s="378"/>
      <c r="H801" s="378"/>
      <c r="I801" s="378"/>
      <c r="J801" s="378"/>
      <c r="K801" s="378"/>
      <c r="L801" s="378"/>
      <c r="M801" s="381"/>
      <c r="N801" s="381"/>
      <c r="O801" s="381"/>
      <c r="P801" s="381"/>
      <c r="Q801" s="381"/>
      <c r="R801" s="381"/>
      <c r="S801" s="381"/>
      <c r="T801" s="381"/>
      <c r="U801" s="381"/>
      <c r="V801" s="381"/>
      <c r="W801" s="381"/>
      <c r="X801" s="381"/>
      <c r="Y801" s="381"/>
      <c r="Z801" s="381"/>
      <c r="AA801" s="381"/>
      <c r="AB801" s="381"/>
      <c r="AC801" s="382"/>
      <c r="AD801" s="382"/>
    </row>
    <row r="802" spans="1:30" ht="12.75" customHeight="1" x14ac:dyDescent="0.2">
      <c r="A802" s="378"/>
      <c r="B802" s="378"/>
      <c r="C802" s="378"/>
      <c r="D802" s="380"/>
      <c r="E802" s="380"/>
      <c r="F802" s="378"/>
      <c r="G802" s="378"/>
      <c r="H802" s="378"/>
      <c r="I802" s="378"/>
      <c r="J802" s="378"/>
      <c r="K802" s="378"/>
      <c r="L802" s="378"/>
      <c r="M802" s="381"/>
      <c r="N802" s="381"/>
      <c r="O802" s="381"/>
      <c r="P802" s="381"/>
      <c r="Q802" s="381"/>
      <c r="R802" s="381"/>
      <c r="S802" s="381"/>
      <c r="T802" s="381"/>
      <c r="U802" s="381"/>
      <c r="V802" s="381"/>
      <c r="W802" s="381"/>
      <c r="X802" s="381"/>
      <c r="Y802" s="381"/>
      <c r="Z802" s="381"/>
      <c r="AA802" s="381"/>
      <c r="AB802" s="381"/>
      <c r="AC802" s="382"/>
      <c r="AD802" s="382"/>
    </row>
    <row r="803" spans="1:30" ht="12.75" customHeight="1" x14ac:dyDescent="0.2">
      <c r="A803" s="378"/>
      <c r="B803" s="378"/>
      <c r="C803" s="378"/>
      <c r="D803" s="380"/>
      <c r="E803" s="380"/>
      <c r="F803" s="378"/>
      <c r="G803" s="378"/>
      <c r="H803" s="378"/>
      <c r="I803" s="378"/>
      <c r="J803" s="378"/>
      <c r="K803" s="378"/>
      <c r="L803" s="378"/>
      <c r="M803" s="381"/>
      <c r="N803" s="381"/>
      <c r="O803" s="381"/>
      <c r="P803" s="381"/>
      <c r="Q803" s="381"/>
      <c r="R803" s="381"/>
      <c r="S803" s="381"/>
      <c r="T803" s="381"/>
      <c r="U803" s="381"/>
      <c r="V803" s="381"/>
      <c r="W803" s="381"/>
      <c r="X803" s="381"/>
      <c r="Y803" s="381"/>
      <c r="Z803" s="381"/>
      <c r="AA803" s="381"/>
      <c r="AB803" s="381"/>
      <c r="AC803" s="382"/>
      <c r="AD803" s="382"/>
    </row>
    <row r="804" spans="1:30" ht="12.75" customHeight="1" x14ac:dyDescent="0.2">
      <c r="A804" s="378"/>
      <c r="B804" s="378"/>
      <c r="C804" s="378"/>
      <c r="D804" s="380"/>
      <c r="E804" s="380"/>
      <c r="F804" s="378"/>
      <c r="G804" s="378"/>
      <c r="H804" s="378"/>
      <c r="I804" s="378"/>
      <c r="J804" s="378"/>
      <c r="K804" s="378"/>
      <c r="L804" s="378"/>
      <c r="M804" s="381"/>
      <c r="N804" s="381"/>
      <c r="O804" s="381"/>
      <c r="P804" s="381"/>
      <c r="Q804" s="381"/>
      <c r="R804" s="381"/>
      <c r="S804" s="381"/>
      <c r="T804" s="381"/>
      <c r="U804" s="381"/>
      <c r="V804" s="381"/>
      <c r="W804" s="381"/>
      <c r="X804" s="381"/>
      <c r="Y804" s="381"/>
      <c r="Z804" s="381"/>
      <c r="AA804" s="381"/>
      <c r="AB804" s="381"/>
      <c r="AC804" s="382"/>
      <c r="AD804" s="382"/>
    </row>
    <row r="805" spans="1:30" ht="12.75" customHeight="1" x14ac:dyDescent="0.2">
      <c r="A805" s="378"/>
      <c r="B805" s="378"/>
      <c r="C805" s="378"/>
      <c r="D805" s="380"/>
      <c r="E805" s="380"/>
      <c r="F805" s="378"/>
      <c r="G805" s="378"/>
      <c r="H805" s="378"/>
      <c r="I805" s="378"/>
      <c r="J805" s="378"/>
      <c r="K805" s="378"/>
      <c r="L805" s="378"/>
      <c r="M805" s="381"/>
      <c r="N805" s="381"/>
      <c r="O805" s="381"/>
      <c r="P805" s="381"/>
      <c r="Q805" s="381"/>
      <c r="R805" s="381"/>
      <c r="S805" s="381"/>
      <c r="T805" s="381"/>
      <c r="U805" s="381"/>
      <c r="V805" s="381"/>
      <c r="W805" s="381"/>
      <c r="X805" s="381"/>
      <c r="Y805" s="381"/>
      <c r="Z805" s="381"/>
      <c r="AA805" s="381"/>
      <c r="AB805" s="381"/>
      <c r="AC805" s="382"/>
      <c r="AD805" s="382"/>
    </row>
    <row r="806" spans="1:30" ht="12.75" customHeight="1" x14ac:dyDescent="0.2">
      <c r="A806" s="378"/>
      <c r="B806" s="378"/>
      <c r="C806" s="378"/>
      <c r="D806" s="380"/>
      <c r="E806" s="380"/>
      <c r="F806" s="378"/>
      <c r="G806" s="378"/>
      <c r="H806" s="378"/>
      <c r="I806" s="378"/>
      <c r="J806" s="378"/>
      <c r="K806" s="378"/>
      <c r="L806" s="378"/>
      <c r="M806" s="381"/>
      <c r="N806" s="381"/>
      <c r="O806" s="381"/>
      <c r="P806" s="381"/>
      <c r="Q806" s="381"/>
      <c r="R806" s="381"/>
      <c r="S806" s="381"/>
      <c r="T806" s="381"/>
      <c r="U806" s="381"/>
      <c r="V806" s="381"/>
      <c r="W806" s="381"/>
      <c r="X806" s="381"/>
      <c r="Y806" s="381"/>
      <c r="Z806" s="381"/>
      <c r="AA806" s="381"/>
      <c r="AB806" s="381"/>
      <c r="AC806" s="382"/>
      <c r="AD806" s="382"/>
    </row>
    <row r="807" spans="1:30" ht="12.75" customHeight="1" x14ac:dyDescent="0.2">
      <c r="A807" s="378"/>
      <c r="B807" s="378"/>
      <c r="C807" s="378"/>
      <c r="D807" s="380"/>
      <c r="E807" s="380"/>
      <c r="F807" s="378"/>
      <c r="G807" s="378"/>
      <c r="H807" s="378"/>
      <c r="I807" s="378"/>
      <c r="J807" s="378"/>
      <c r="K807" s="378"/>
      <c r="L807" s="378"/>
      <c r="M807" s="381"/>
      <c r="N807" s="381"/>
      <c r="O807" s="381"/>
      <c r="P807" s="381"/>
      <c r="Q807" s="381"/>
      <c r="R807" s="381"/>
      <c r="S807" s="381"/>
      <c r="T807" s="381"/>
      <c r="U807" s="381"/>
      <c r="V807" s="381"/>
      <c r="W807" s="381"/>
      <c r="X807" s="381"/>
      <c r="Y807" s="381"/>
      <c r="Z807" s="381"/>
      <c r="AA807" s="381"/>
      <c r="AB807" s="381"/>
      <c r="AC807" s="382"/>
      <c r="AD807" s="382"/>
    </row>
    <row r="808" spans="1:30" ht="12.75" customHeight="1" x14ac:dyDescent="0.2">
      <c r="A808" s="378"/>
      <c r="B808" s="378"/>
      <c r="C808" s="378"/>
      <c r="D808" s="380"/>
      <c r="E808" s="380"/>
      <c r="F808" s="378"/>
      <c r="G808" s="378"/>
      <c r="H808" s="378"/>
      <c r="I808" s="378"/>
      <c r="J808" s="378"/>
      <c r="K808" s="378"/>
      <c r="L808" s="378"/>
      <c r="M808" s="381"/>
      <c r="N808" s="381"/>
      <c r="O808" s="381"/>
      <c r="P808" s="381"/>
      <c r="Q808" s="381"/>
      <c r="R808" s="381"/>
      <c r="S808" s="381"/>
      <c r="T808" s="381"/>
      <c r="U808" s="381"/>
      <c r="V808" s="381"/>
      <c r="W808" s="381"/>
      <c r="X808" s="381"/>
      <c r="Y808" s="381"/>
      <c r="Z808" s="381"/>
      <c r="AA808" s="381"/>
      <c r="AB808" s="381"/>
      <c r="AC808" s="382"/>
      <c r="AD808" s="382"/>
    </row>
    <row r="809" spans="1:30" ht="12.75" customHeight="1" x14ac:dyDescent="0.2">
      <c r="A809" s="378"/>
      <c r="B809" s="378"/>
      <c r="C809" s="378"/>
      <c r="D809" s="380"/>
      <c r="E809" s="380"/>
      <c r="F809" s="378"/>
      <c r="G809" s="378"/>
      <c r="H809" s="378"/>
      <c r="I809" s="378"/>
      <c r="J809" s="378"/>
      <c r="K809" s="378"/>
      <c r="L809" s="378"/>
      <c r="M809" s="381"/>
      <c r="N809" s="381"/>
      <c r="O809" s="381"/>
      <c r="P809" s="381"/>
      <c r="Q809" s="381"/>
      <c r="R809" s="381"/>
      <c r="S809" s="381"/>
      <c r="T809" s="381"/>
      <c r="U809" s="381"/>
      <c r="V809" s="381"/>
      <c r="W809" s="381"/>
      <c r="X809" s="381"/>
      <c r="Y809" s="381"/>
      <c r="Z809" s="381"/>
      <c r="AA809" s="381"/>
      <c r="AB809" s="381"/>
      <c r="AC809" s="382"/>
      <c r="AD809" s="382"/>
    </row>
    <row r="810" spans="1:30" ht="12.75" customHeight="1" x14ac:dyDescent="0.2">
      <c r="A810" s="378"/>
      <c r="B810" s="378"/>
      <c r="C810" s="378"/>
      <c r="D810" s="380"/>
      <c r="E810" s="380"/>
      <c r="F810" s="378"/>
      <c r="G810" s="378"/>
      <c r="H810" s="378"/>
      <c r="I810" s="378"/>
      <c r="J810" s="378"/>
      <c r="K810" s="378"/>
      <c r="L810" s="378"/>
      <c r="M810" s="381"/>
      <c r="N810" s="381"/>
      <c r="O810" s="381"/>
      <c r="P810" s="381"/>
      <c r="Q810" s="381"/>
      <c r="R810" s="381"/>
      <c r="S810" s="381"/>
      <c r="T810" s="381"/>
      <c r="U810" s="381"/>
      <c r="V810" s="381"/>
      <c r="W810" s="381"/>
      <c r="X810" s="381"/>
      <c r="Y810" s="381"/>
      <c r="Z810" s="381"/>
      <c r="AA810" s="381"/>
      <c r="AB810" s="381"/>
      <c r="AC810" s="382"/>
      <c r="AD810" s="382"/>
    </row>
    <row r="811" spans="1:30" ht="12.75" customHeight="1" x14ac:dyDescent="0.2">
      <c r="A811" s="378"/>
      <c r="B811" s="378"/>
      <c r="C811" s="378"/>
      <c r="D811" s="380"/>
      <c r="E811" s="380"/>
      <c r="F811" s="378"/>
      <c r="G811" s="378"/>
      <c r="H811" s="378"/>
      <c r="I811" s="378"/>
      <c r="J811" s="378"/>
      <c r="K811" s="378"/>
      <c r="L811" s="378"/>
      <c r="M811" s="381"/>
      <c r="N811" s="381"/>
      <c r="O811" s="381"/>
      <c r="P811" s="381"/>
      <c r="Q811" s="381"/>
      <c r="R811" s="381"/>
      <c r="S811" s="381"/>
      <c r="T811" s="381"/>
      <c r="U811" s="381"/>
      <c r="V811" s="381"/>
      <c r="W811" s="381"/>
      <c r="X811" s="381"/>
      <c r="Y811" s="381"/>
      <c r="Z811" s="381"/>
      <c r="AA811" s="381"/>
      <c r="AB811" s="381"/>
      <c r="AC811" s="382"/>
      <c r="AD811" s="382"/>
    </row>
    <row r="812" spans="1:30" ht="12.75" customHeight="1" x14ac:dyDescent="0.2">
      <c r="A812" s="378"/>
      <c r="B812" s="378"/>
      <c r="C812" s="378"/>
      <c r="D812" s="380"/>
      <c r="E812" s="380"/>
      <c r="F812" s="378"/>
      <c r="G812" s="378"/>
      <c r="H812" s="378"/>
      <c r="I812" s="378"/>
      <c r="J812" s="378"/>
      <c r="K812" s="378"/>
      <c r="L812" s="378"/>
      <c r="M812" s="381"/>
      <c r="N812" s="381"/>
      <c r="O812" s="381"/>
      <c r="P812" s="381"/>
      <c r="Q812" s="381"/>
      <c r="R812" s="381"/>
      <c r="S812" s="381"/>
      <c r="T812" s="381"/>
      <c r="U812" s="381"/>
      <c r="V812" s="381"/>
      <c r="W812" s="381"/>
      <c r="X812" s="381"/>
      <c r="Y812" s="381"/>
      <c r="Z812" s="381"/>
      <c r="AA812" s="381"/>
      <c r="AB812" s="381"/>
      <c r="AC812" s="382"/>
      <c r="AD812" s="382"/>
    </row>
    <row r="813" spans="1:30" ht="12.75" customHeight="1" x14ac:dyDescent="0.2">
      <c r="A813" s="378"/>
      <c r="B813" s="378"/>
      <c r="C813" s="378"/>
      <c r="D813" s="380"/>
      <c r="E813" s="380"/>
      <c r="F813" s="378"/>
      <c r="G813" s="378"/>
      <c r="H813" s="378"/>
      <c r="I813" s="378"/>
      <c r="J813" s="378"/>
      <c r="K813" s="378"/>
      <c r="L813" s="378"/>
      <c r="M813" s="381"/>
      <c r="N813" s="381"/>
      <c r="O813" s="381"/>
      <c r="P813" s="381"/>
      <c r="Q813" s="381"/>
      <c r="R813" s="381"/>
      <c r="S813" s="381"/>
      <c r="T813" s="381"/>
      <c r="U813" s="381"/>
      <c r="V813" s="381"/>
      <c r="W813" s="381"/>
      <c r="X813" s="381"/>
      <c r="Y813" s="381"/>
      <c r="Z813" s="381"/>
      <c r="AA813" s="381"/>
      <c r="AB813" s="381"/>
      <c r="AC813" s="382"/>
      <c r="AD813" s="382"/>
    </row>
    <row r="814" spans="1:30" ht="12.75" customHeight="1" x14ac:dyDescent="0.2">
      <c r="A814" s="378"/>
      <c r="B814" s="378"/>
      <c r="C814" s="378"/>
      <c r="D814" s="380"/>
      <c r="E814" s="380"/>
      <c r="F814" s="378"/>
      <c r="G814" s="378"/>
      <c r="H814" s="378"/>
      <c r="I814" s="378"/>
      <c r="J814" s="378"/>
      <c r="K814" s="378"/>
      <c r="L814" s="378"/>
      <c r="M814" s="381"/>
      <c r="N814" s="381"/>
      <c r="O814" s="381"/>
      <c r="P814" s="381"/>
      <c r="Q814" s="381"/>
      <c r="R814" s="381"/>
      <c r="S814" s="381"/>
      <c r="T814" s="381"/>
      <c r="U814" s="381"/>
      <c r="V814" s="381"/>
      <c r="W814" s="381"/>
      <c r="X814" s="381"/>
      <c r="Y814" s="381"/>
      <c r="Z814" s="381"/>
      <c r="AA814" s="381"/>
      <c r="AB814" s="381"/>
      <c r="AC814" s="382"/>
      <c r="AD814" s="382"/>
    </row>
    <row r="815" spans="1:30" ht="12.75" customHeight="1" x14ac:dyDescent="0.2">
      <c r="A815" s="378"/>
      <c r="B815" s="378"/>
      <c r="C815" s="378"/>
      <c r="D815" s="380"/>
      <c r="E815" s="380"/>
      <c r="F815" s="378"/>
      <c r="G815" s="378"/>
      <c r="H815" s="378"/>
      <c r="I815" s="378"/>
      <c r="J815" s="378"/>
      <c r="K815" s="378"/>
      <c r="L815" s="378"/>
      <c r="M815" s="381"/>
      <c r="N815" s="381"/>
      <c r="O815" s="381"/>
      <c r="P815" s="381"/>
      <c r="Q815" s="381"/>
      <c r="R815" s="381"/>
      <c r="S815" s="381"/>
      <c r="T815" s="381"/>
      <c r="U815" s="381"/>
      <c r="V815" s="381"/>
      <c r="W815" s="381"/>
      <c r="X815" s="381"/>
      <c r="Y815" s="381"/>
      <c r="Z815" s="381"/>
      <c r="AA815" s="381"/>
      <c r="AB815" s="381"/>
      <c r="AC815" s="382"/>
      <c r="AD815" s="382"/>
    </row>
    <row r="816" spans="1:30" ht="12.75" customHeight="1" x14ac:dyDescent="0.2">
      <c r="A816" s="378"/>
      <c r="B816" s="378"/>
      <c r="C816" s="378"/>
      <c r="D816" s="380"/>
      <c r="E816" s="380"/>
      <c r="F816" s="378"/>
      <c r="G816" s="378"/>
      <c r="H816" s="378"/>
      <c r="I816" s="378"/>
      <c r="J816" s="378"/>
      <c r="K816" s="378"/>
      <c r="L816" s="378"/>
      <c r="M816" s="381"/>
      <c r="N816" s="381"/>
      <c r="O816" s="381"/>
      <c r="P816" s="381"/>
      <c r="Q816" s="381"/>
      <c r="R816" s="381"/>
      <c r="S816" s="381"/>
      <c r="T816" s="381"/>
      <c r="U816" s="381"/>
      <c r="V816" s="381"/>
      <c r="W816" s="381"/>
      <c r="X816" s="381"/>
      <c r="Y816" s="381"/>
      <c r="Z816" s="381"/>
      <c r="AA816" s="381"/>
      <c r="AB816" s="381"/>
      <c r="AC816" s="382"/>
      <c r="AD816" s="382"/>
    </row>
    <row r="817" spans="1:30" ht="12.75" customHeight="1" x14ac:dyDescent="0.2">
      <c r="A817" s="378"/>
      <c r="B817" s="378"/>
      <c r="C817" s="378"/>
      <c r="D817" s="380"/>
      <c r="E817" s="380"/>
      <c r="F817" s="378"/>
      <c r="G817" s="378"/>
      <c r="H817" s="378"/>
      <c r="I817" s="378"/>
      <c r="J817" s="378"/>
      <c r="K817" s="378"/>
      <c r="L817" s="378"/>
      <c r="M817" s="381"/>
      <c r="N817" s="381"/>
      <c r="O817" s="381"/>
      <c r="P817" s="381"/>
      <c r="Q817" s="381"/>
      <c r="R817" s="381"/>
      <c r="S817" s="381"/>
      <c r="T817" s="381"/>
      <c r="U817" s="381"/>
      <c r="V817" s="381"/>
      <c r="W817" s="381"/>
      <c r="X817" s="381"/>
      <c r="Y817" s="381"/>
      <c r="Z817" s="381"/>
      <c r="AA817" s="381"/>
      <c r="AB817" s="381"/>
      <c r="AC817" s="382"/>
      <c r="AD817" s="382"/>
    </row>
    <row r="818" spans="1:30" ht="12.75" customHeight="1" x14ac:dyDescent="0.2">
      <c r="A818" s="378"/>
      <c r="B818" s="378"/>
      <c r="C818" s="378"/>
      <c r="D818" s="380"/>
      <c r="E818" s="380"/>
      <c r="F818" s="378"/>
      <c r="G818" s="378"/>
      <c r="H818" s="378"/>
      <c r="I818" s="378"/>
      <c r="J818" s="378"/>
      <c r="K818" s="378"/>
      <c r="L818" s="378"/>
      <c r="M818" s="381"/>
      <c r="N818" s="381"/>
      <c r="O818" s="381"/>
      <c r="P818" s="381"/>
      <c r="Q818" s="381"/>
      <c r="R818" s="381"/>
      <c r="S818" s="381"/>
      <c r="T818" s="381"/>
      <c r="U818" s="381"/>
      <c r="V818" s="381"/>
      <c r="W818" s="381"/>
      <c r="X818" s="381"/>
      <c r="Y818" s="381"/>
      <c r="Z818" s="381"/>
      <c r="AA818" s="381"/>
      <c r="AB818" s="381"/>
      <c r="AC818" s="382"/>
      <c r="AD818" s="382"/>
    </row>
    <row r="819" spans="1:30" ht="12.75" customHeight="1" x14ac:dyDescent="0.2">
      <c r="A819" s="378"/>
      <c r="B819" s="378"/>
      <c r="C819" s="378"/>
      <c r="D819" s="380"/>
      <c r="E819" s="380"/>
      <c r="F819" s="378"/>
      <c r="G819" s="378"/>
      <c r="H819" s="378"/>
      <c r="I819" s="378"/>
      <c r="J819" s="378"/>
      <c r="K819" s="378"/>
      <c r="L819" s="378"/>
      <c r="M819" s="381"/>
      <c r="N819" s="381"/>
      <c r="O819" s="381"/>
      <c r="P819" s="381"/>
      <c r="Q819" s="381"/>
      <c r="R819" s="381"/>
      <c r="S819" s="381"/>
      <c r="T819" s="381"/>
      <c r="U819" s="381"/>
      <c r="V819" s="381"/>
      <c r="W819" s="381"/>
      <c r="X819" s="381"/>
      <c r="Y819" s="381"/>
      <c r="Z819" s="381"/>
      <c r="AA819" s="381"/>
      <c r="AB819" s="381"/>
      <c r="AC819" s="382"/>
      <c r="AD819" s="382"/>
    </row>
    <row r="820" spans="1:30" ht="12.75" customHeight="1" x14ac:dyDescent="0.2">
      <c r="A820" s="378"/>
      <c r="B820" s="378"/>
      <c r="C820" s="378"/>
      <c r="D820" s="380"/>
      <c r="E820" s="380"/>
      <c r="F820" s="378"/>
      <c r="G820" s="378"/>
      <c r="H820" s="378"/>
      <c r="I820" s="378"/>
      <c r="J820" s="378"/>
      <c r="K820" s="378"/>
      <c r="L820" s="378"/>
      <c r="M820" s="381"/>
      <c r="N820" s="381"/>
      <c r="O820" s="381"/>
      <c r="P820" s="381"/>
      <c r="Q820" s="381"/>
      <c r="R820" s="381"/>
      <c r="S820" s="381"/>
      <c r="T820" s="381"/>
      <c r="U820" s="381"/>
      <c r="V820" s="381"/>
      <c r="W820" s="381"/>
      <c r="X820" s="381"/>
      <c r="Y820" s="381"/>
      <c r="Z820" s="381"/>
      <c r="AA820" s="381"/>
      <c r="AB820" s="381"/>
      <c r="AC820" s="382"/>
      <c r="AD820" s="382"/>
    </row>
    <row r="821" spans="1:30" ht="12.75" customHeight="1" x14ac:dyDescent="0.2">
      <c r="A821" s="378"/>
      <c r="B821" s="378"/>
      <c r="C821" s="378"/>
      <c r="D821" s="380"/>
      <c r="E821" s="380"/>
      <c r="F821" s="378"/>
      <c r="G821" s="378"/>
      <c r="H821" s="378"/>
      <c r="I821" s="378"/>
      <c r="J821" s="378"/>
      <c r="K821" s="378"/>
      <c r="L821" s="378"/>
      <c r="M821" s="381"/>
      <c r="N821" s="381"/>
      <c r="O821" s="381"/>
      <c r="P821" s="381"/>
      <c r="Q821" s="381"/>
      <c r="R821" s="381"/>
      <c r="S821" s="381"/>
      <c r="T821" s="381"/>
      <c r="U821" s="381"/>
      <c r="V821" s="381"/>
      <c r="W821" s="381"/>
      <c r="X821" s="381"/>
      <c r="Y821" s="381"/>
      <c r="Z821" s="381"/>
      <c r="AA821" s="381"/>
      <c r="AB821" s="381"/>
      <c r="AC821" s="382"/>
      <c r="AD821" s="382"/>
    </row>
    <row r="822" spans="1:30" ht="12.75" customHeight="1" x14ac:dyDescent="0.2">
      <c r="A822" s="378"/>
      <c r="B822" s="378"/>
      <c r="C822" s="378"/>
      <c r="D822" s="380"/>
      <c r="E822" s="380"/>
      <c r="F822" s="378"/>
      <c r="G822" s="378"/>
      <c r="H822" s="378"/>
      <c r="I822" s="378"/>
      <c r="J822" s="378"/>
      <c r="K822" s="378"/>
      <c r="L822" s="378"/>
      <c r="M822" s="381"/>
      <c r="N822" s="381"/>
      <c r="O822" s="381"/>
      <c r="P822" s="381"/>
      <c r="Q822" s="381"/>
      <c r="R822" s="381"/>
      <c r="S822" s="381"/>
      <c r="T822" s="381"/>
      <c r="U822" s="381"/>
      <c r="V822" s="381"/>
      <c r="W822" s="381"/>
      <c r="X822" s="381"/>
      <c r="Y822" s="381"/>
      <c r="Z822" s="381"/>
      <c r="AA822" s="381"/>
      <c r="AB822" s="381"/>
      <c r="AC822" s="382"/>
      <c r="AD822" s="382"/>
    </row>
    <row r="823" spans="1:30" ht="12.75" customHeight="1" x14ac:dyDescent="0.2">
      <c r="A823" s="378"/>
      <c r="B823" s="378"/>
      <c r="C823" s="378"/>
      <c r="D823" s="380"/>
      <c r="E823" s="380"/>
      <c r="F823" s="378"/>
      <c r="G823" s="378"/>
      <c r="H823" s="378"/>
      <c r="I823" s="378"/>
      <c r="J823" s="378"/>
      <c r="K823" s="378"/>
      <c r="L823" s="378"/>
      <c r="M823" s="381"/>
      <c r="N823" s="381"/>
      <c r="O823" s="381"/>
      <c r="P823" s="381"/>
      <c r="Q823" s="381"/>
      <c r="R823" s="381"/>
      <c r="S823" s="381"/>
      <c r="T823" s="381"/>
      <c r="U823" s="381"/>
      <c r="V823" s="381"/>
      <c r="W823" s="381"/>
      <c r="X823" s="381"/>
      <c r="Y823" s="381"/>
      <c r="Z823" s="381"/>
      <c r="AA823" s="381"/>
      <c r="AB823" s="381"/>
      <c r="AC823" s="382"/>
      <c r="AD823" s="382"/>
    </row>
    <row r="824" spans="1:30" ht="12.75" customHeight="1" x14ac:dyDescent="0.2">
      <c r="A824" s="378"/>
      <c r="B824" s="378"/>
      <c r="C824" s="378"/>
      <c r="D824" s="380"/>
      <c r="E824" s="380"/>
      <c r="F824" s="378"/>
      <c r="G824" s="378"/>
      <c r="H824" s="378"/>
      <c r="I824" s="378"/>
      <c r="J824" s="378"/>
      <c r="K824" s="378"/>
      <c r="L824" s="378"/>
      <c r="M824" s="381"/>
      <c r="N824" s="381"/>
      <c r="O824" s="381"/>
      <c r="P824" s="381"/>
      <c r="Q824" s="381"/>
      <c r="R824" s="381"/>
      <c r="S824" s="381"/>
      <c r="T824" s="381"/>
      <c r="U824" s="381"/>
      <c r="V824" s="381"/>
      <c r="W824" s="381"/>
      <c r="X824" s="381"/>
      <c r="Y824" s="381"/>
      <c r="Z824" s="381"/>
      <c r="AA824" s="381"/>
      <c r="AB824" s="381"/>
      <c r="AC824" s="382"/>
      <c r="AD824" s="382"/>
    </row>
    <row r="825" spans="1:30" ht="12.75" customHeight="1" x14ac:dyDescent="0.2">
      <c r="A825" s="378"/>
      <c r="B825" s="378"/>
      <c r="C825" s="378"/>
      <c r="D825" s="380"/>
      <c r="E825" s="380"/>
      <c r="F825" s="378"/>
      <c r="G825" s="378"/>
      <c r="H825" s="378"/>
      <c r="I825" s="378"/>
      <c r="J825" s="378"/>
      <c r="K825" s="378"/>
      <c r="L825" s="378"/>
      <c r="M825" s="381"/>
      <c r="N825" s="381"/>
      <c r="O825" s="381"/>
      <c r="P825" s="381"/>
      <c r="Q825" s="381"/>
      <c r="R825" s="381"/>
      <c r="S825" s="381"/>
      <c r="T825" s="381"/>
      <c r="U825" s="381"/>
      <c r="V825" s="381"/>
      <c r="W825" s="381"/>
      <c r="X825" s="381"/>
      <c r="Y825" s="381"/>
      <c r="Z825" s="381"/>
      <c r="AA825" s="381"/>
      <c r="AB825" s="381"/>
      <c r="AC825" s="382"/>
      <c r="AD825" s="382"/>
    </row>
    <row r="826" spans="1:30" ht="12.75" customHeight="1" x14ac:dyDescent="0.2">
      <c r="A826" s="378"/>
      <c r="B826" s="378"/>
      <c r="C826" s="378"/>
      <c r="D826" s="380"/>
      <c r="E826" s="380"/>
      <c r="F826" s="378"/>
      <c r="G826" s="378"/>
      <c r="H826" s="378"/>
      <c r="I826" s="378"/>
      <c r="J826" s="378"/>
      <c r="K826" s="378"/>
      <c r="L826" s="378"/>
      <c r="M826" s="381"/>
      <c r="N826" s="381"/>
      <c r="O826" s="381"/>
      <c r="P826" s="381"/>
      <c r="Q826" s="381"/>
      <c r="R826" s="381"/>
      <c r="S826" s="381"/>
      <c r="T826" s="381"/>
      <c r="U826" s="381"/>
      <c r="V826" s="381"/>
      <c r="W826" s="381"/>
      <c r="X826" s="381"/>
      <c r="Y826" s="381"/>
      <c r="Z826" s="381"/>
      <c r="AA826" s="381"/>
      <c r="AB826" s="381"/>
      <c r="AC826" s="382"/>
      <c r="AD826" s="382"/>
    </row>
    <row r="827" spans="1:30" ht="12.75" customHeight="1" x14ac:dyDescent="0.2">
      <c r="A827" s="378"/>
      <c r="B827" s="378"/>
      <c r="C827" s="378"/>
      <c r="D827" s="380"/>
      <c r="E827" s="380"/>
      <c r="F827" s="378"/>
      <c r="G827" s="378"/>
      <c r="H827" s="378"/>
      <c r="I827" s="378"/>
      <c r="J827" s="378"/>
      <c r="K827" s="378"/>
      <c r="L827" s="378"/>
      <c r="M827" s="381"/>
      <c r="N827" s="381"/>
      <c r="O827" s="381"/>
      <c r="P827" s="381"/>
      <c r="Q827" s="381"/>
      <c r="R827" s="381"/>
      <c r="S827" s="381"/>
      <c r="T827" s="381"/>
      <c r="U827" s="381"/>
      <c r="V827" s="381"/>
      <c r="W827" s="381"/>
      <c r="X827" s="381"/>
      <c r="Y827" s="381"/>
      <c r="Z827" s="381"/>
      <c r="AA827" s="381"/>
      <c r="AB827" s="381"/>
      <c r="AC827" s="382"/>
      <c r="AD827" s="382"/>
    </row>
    <row r="828" spans="1:30" ht="12.75" customHeight="1" x14ac:dyDescent="0.2">
      <c r="A828" s="378"/>
      <c r="B828" s="378"/>
      <c r="C828" s="378"/>
      <c r="D828" s="380"/>
      <c r="E828" s="380"/>
      <c r="F828" s="378"/>
      <c r="G828" s="378"/>
      <c r="H828" s="378"/>
      <c r="I828" s="378"/>
      <c r="J828" s="378"/>
      <c r="K828" s="378"/>
      <c r="L828" s="378"/>
      <c r="M828" s="381"/>
      <c r="N828" s="381"/>
      <c r="O828" s="381"/>
      <c r="P828" s="381"/>
      <c r="Q828" s="381"/>
      <c r="R828" s="381"/>
      <c r="S828" s="381"/>
      <c r="T828" s="381"/>
      <c r="U828" s="381"/>
      <c r="V828" s="381"/>
      <c r="W828" s="381"/>
      <c r="X828" s="381"/>
      <c r="Y828" s="381"/>
      <c r="Z828" s="381"/>
      <c r="AA828" s="381"/>
      <c r="AB828" s="381"/>
      <c r="AC828" s="382"/>
      <c r="AD828" s="382"/>
    </row>
    <row r="829" spans="1:30" ht="12.75" customHeight="1" x14ac:dyDescent="0.2">
      <c r="A829" s="378"/>
      <c r="B829" s="378"/>
      <c r="C829" s="378"/>
      <c r="D829" s="380"/>
      <c r="E829" s="380"/>
      <c r="F829" s="378"/>
      <c r="G829" s="378"/>
      <c r="H829" s="378"/>
      <c r="I829" s="378"/>
      <c r="J829" s="378"/>
      <c r="K829" s="378"/>
      <c r="L829" s="378"/>
      <c r="M829" s="381"/>
      <c r="N829" s="381"/>
      <c r="O829" s="381"/>
      <c r="P829" s="381"/>
      <c r="Q829" s="381"/>
      <c r="R829" s="381"/>
      <c r="S829" s="381"/>
      <c r="T829" s="381"/>
      <c r="U829" s="381"/>
      <c r="V829" s="381"/>
      <c r="W829" s="381"/>
      <c r="X829" s="381"/>
      <c r="Y829" s="381"/>
      <c r="Z829" s="381"/>
      <c r="AA829" s="381"/>
      <c r="AB829" s="381"/>
      <c r="AC829" s="382"/>
      <c r="AD829" s="382"/>
    </row>
    <row r="830" spans="1:30" ht="12.75" customHeight="1" x14ac:dyDescent="0.2">
      <c r="A830" s="378"/>
      <c r="B830" s="378"/>
      <c r="C830" s="378"/>
      <c r="D830" s="380"/>
      <c r="E830" s="380"/>
      <c r="F830" s="378"/>
      <c r="G830" s="378"/>
      <c r="H830" s="378"/>
      <c r="I830" s="378"/>
      <c r="J830" s="378"/>
      <c r="K830" s="378"/>
      <c r="L830" s="378"/>
      <c r="M830" s="381"/>
      <c r="N830" s="381"/>
      <c r="O830" s="381"/>
      <c r="P830" s="381"/>
      <c r="Q830" s="381"/>
      <c r="R830" s="381"/>
      <c r="S830" s="381"/>
      <c r="T830" s="381"/>
      <c r="U830" s="381"/>
      <c r="V830" s="381"/>
      <c r="W830" s="381"/>
      <c r="X830" s="381"/>
      <c r="Y830" s="381"/>
      <c r="Z830" s="381"/>
      <c r="AA830" s="381"/>
      <c r="AB830" s="381"/>
      <c r="AC830" s="382"/>
      <c r="AD830" s="382"/>
    </row>
    <row r="831" spans="1:30" ht="12.75" customHeight="1" x14ac:dyDescent="0.2">
      <c r="A831" s="378"/>
      <c r="B831" s="378"/>
      <c r="C831" s="378"/>
      <c r="D831" s="380"/>
      <c r="E831" s="380"/>
      <c r="F831" s="378"/>
      <c r="G831" s="378"/>
      <c r="H831" s="378"/>
      <c r="I831" s="378"/>
      <c r="J831" s="378"/>
      <c r="K831" s="378"/>
      <c r="L831" s="378"/>
      <c r="M831" s="381"/>
      <c r="N831" s="381"/>
      <c r="O831" s="381"/>
      <c r="P831" s="381"/>
      <c r="Q831" s="381"/>
      <c r="R831" s="381"/>
      <c r="S831" s="381"/>
      <c r="T831" s="381"/>
      <c r="U831" s="381"/>
      <c r="V831" s="381"/>
      <c r="W831" s="381"/>
      <c r="X831" s="381"/>
      <c r="Y831" s="381"/>
      <c r="Z831" s="381"/>
      <c r="AA831" s="381"/>
      <c r="AB831" s="381"/>
      <c r="AC831" s="382"/>
      <c r="AD831" s="382"/>
    </row>
    <row r="832" spans="1:30" ht="12.75" customHeight="1" x14ac:dyDescent="0.2">
      <c r="A832" s="378"/>
      <c r="B832" s="378"/>
      <c r="C832" s="378"/>
      <c r="D832" s="380"/>
      <c r="E832" s="380"/>
      <c r="F832" s="378"/>
      <c r="G832" s="378"/>
      <c r="H832" s="378"/>
      <c r="I832" s="378"/>
      <c r="J832" s="378"/>
      <c r="K832" s="378"/>
      <c r="L832" s="378"/>
      <c r="M832" s="381"/>
      <c r="N832" s="381"/>
      <c r="O832" s="381"/>
      <c r="P832" s="381"/>
      <c r="Q832" s="381"/>
      <c r="R832" s="381"/>
      <c r="S832" s="381"/>
      <c r="T832" s="381"/>
      <c r="U832" s="381"/>
      <c r="V832" s="381"/>
      <c r="W832" s="381"/>
      <c r="X832" s="381"/>
      <c r="Y832" s="381"/>
      <c r="Z832" s="381"/>
      <c r="AA832" s="381"/>
      <c r="AB832" s="381"/>
      <c r="AC832" s="382"/>
      <c r="AD832" s="382"/>
    </row>
    <row r="833" spans="1:30" ht="12.75" customHeight="1" x14ac:dyDescent="0.2">
      <c r="A833" s="378"/>
      <c r="B833" s="378"/>
      <c r="C833" s="378"/>
      <c r="D833" s="380"/>
      <c r="E833" s="380"/>
      <c r="F833" s="378"/>
      <c r="G833" s="378"/>
      <c r="H833" s="378"/>
      <c r="I833" s="378"/>
      <c r="J833" s="378"/>
      <c r="K833" s="378"/>
      <c r="L833" s="378"/>
      <c r="M833" s="381"/>
      <c r="N833" s="381"/>
      <c r="O833" s="381"/>
      <c r="P833" s="381"/>
      <c r="Q833" s="381"/>
      <c r="R833" s="381"/>
      <c r="S833" s="381"/>
      <c r="T833" s="381"/>
      <c r="U833" s="381"/>
      <c r="V833" s="381"/>
      <c r="W833" s="381"/>
      <c r="X833" s="381"/>
      <c r="Y833" s="381"/>
      <c r="Z833" s="381"/>
      <c r="AA833" s="381"/>
      <c r="AB833" s="381"/>
      <c r="AC833" s="382"/>
      <c r="AD833" s="382"/>
    </row>
    <row r="834" spans="1:30" ht="12.75" customHeight="1" x14ac:dyDescent="0.2">
      <c r="A834" s="378"/>
      <c r="B834" s="378"/>
      <c r="C834" s="378"/>
      <c r="D834" s="380"/>
      <c r="E834" s="380"/>
      <c r="F834" s="378"/>
      <c r="G834" s="378"/>
      <c r="H834" s="378"/>
      <c r="I834" s="378"/>
      <c r="J834" s="378"/>
      <c r="K834" s="378"/>
      <c r="L834" s="378"/>
      <c r="M834" s="381"/>
      <c r="N834" s="381"/>
      <c r="O834" s="381"/>
      <c r="P834" s="381"/>
      <c r="Q834" s="381"/>
      <c r="R834" s="381"/>
      <c r="S834" s="381"/>
      <c r="T834" s="381"/>
      <c r="U834" s="381"/>
      <c r="V834" s="381"/>
      <c r="W834" s="381"/>
      <c r="X834" s="381"/>
      <c r="Y834" s="381"/>
      <c r="Z834" s="381"/>
      <c r="AA834" s="381"/>
      <c r="AB834" s="381"/>
      <c r="AC834" s="382"/>
      <c r="AD834" s="382"/>
    </row>
    <row r="835" spans="1:30" ht="12.75" customHeight="1" x14ac:dyDescent="0.2">
      <c r="A835" s="378"/>
      <c r="B835" s="378"/>
      <c r="C835" s="378"/>
      <c r="D835" s="380"/>
      <c r="E835" s="380"/>
      <c r="F835" s="378"/>
      <c r="G835" s="378"/>
      <c r="H835" s="378"/>
      <c r="I835" s="378"/>
      <c r="J835" s="378"/>
      <c r="K835" s="378"/>
      <c r="L835" s="378"/>
      <c r="M835" s="381"/>
      <c r="N835" s="381"/>
      <c r="O835" s="381"/>
      <c r="P835" s="381"/>
      <c r="Q835" s="381"/>
      <c r="R835" s="381"/>
      <c r="S835" s="381"/>
      <c r="T835" s="381"/>
      <c r="U835" s="381"/>
      <c r="V835" s="381"/>
      <c r="W835" s="381"/>
      <c r="X835" s="381"/>
      <c r="Y835" s="381"/>
      <c r="Z835" s="381"/>
      <c r="AA835" s="381"/>
      <c r="AB835" s="381"/>
      <c r="AC835" s="382"/>
      <c r="AD835" s="382"/>
    </row>
    <row r="836" spans="1:30" ht="12.75" customHeight="1" x14ac:dyDescent="0.2">
      <c r="A836" s="378"/>
      <c r="B836" s="378"/>
      <c r="C836" s="378"/>
      <c r="D836" s="380"/>
      <c r="E836" s="380"/>
      <c r="F836" s="378"/>
      <c r="G836" s="378"/>
      <c r="H836" s="378"/>
      <c r="I836" s="378"/>
      <c r="J836" s="378"/>
      <c r="K836" s="378"/>
      <c r="L836" s="378"/>
      <c r="M836" s="381"/>
      <c r="N836" s="381"/>
      <c r="O836" s="381"/>
      <c r="P836" s="381"/>
      <c r="Q836" s="381"/>
      <c r="R836" s="381"/>
      <c r="S836" s="381"/>
      <c r="T836" s="381"/>
      <c r="U836" s="381"/>
      <c r="V836" s="381"/>
      <c r="W836" s="381"/>
      <c r="X836" s="381"/>
      <c r="Y836" s="381"/>
      <c r="Z836" s="381"/>
      <c r="AA836" s="381"/>
      <c r="AB836" s="381"/>
      <c r="AC836" s="382"/>
      <c r="AD836" s="382"/>
    </row>
    <row r="837" spans="1:30" ht="12.75" customHeight="1" x14ac:dyDescent="0.2">
      <c r="A837" s="378"/>
      <c r="B837" s="378"/>
      <c r="C837" s="378"/>
      <c r="D837" s="380"/>
      <c r="E837" s="380"/>
      <c r="F837" s="378"/>
      <c r="G837" s="378"/>
      <c r="H837" s="378"/>
      <c r="I837" s="378"/>
      <c r="J837" s="378"/>
      <c r="K837" s="378"/>
      <c r="L837" s="378"/>
      <c r="M837" s="381"/>
      <c r="N837" s="381"/>
      <c r="O837" s="381"/>
      <c r="P837" s="381"/>
      <c r="Q837" s="381"/>
      <c r="R837" s="381"/>
      <c r="S837" s="381"/>
      <c r="T837" s="381"/>
      <c r="U837" s="381"/>
      <c r="V837" s="381"/>
      <c r="W837" s="381"/>
      <c r="X837" s="381"/>
      <c r="Y837" s="381"/>
      <c r="Z837" s="381"/>
      <c r="AA837" s="381"/>
      <c r="AB837" s="381"/>
      <c r="AC837" s="382"/>
      <c r="AD837" s="382"/>
    </row>
    <row r="838" spans="1:30" ht="12.75" customHeight="1" x14ac:dyDescent="0.2">
      <c r="A838" s="378"/>
      <c r="B838" s="378"/>
      <c r="C838" s="378"/>
      <c r="D838" s="380"/>
      <c r="E838" s="380"/>
      <c r="F838" s="378"/>
      <c r="G838" s="378"/>
      <c r="H838" s="378"/>
      <c r="I838" s="378"/>
      <c r="J838" s="378"/>
      <c r="K838" s="378"/>
      <c r="L838" s="378"/>
      <c r="M838" s="381"/>
      <c r="N838" s="381"/>
      <c r="O838" s="381"/>
      <c r="P838" s="381"/>
      <c r="Q838" s="381"/>
      <c r="R838" s="381"/>
      <c r="S838" s="381"/>
      <c r="T838" s="381"/>
      <c r="U838" s="381"/>
      <c r="V838" s="381"/>
      <c r="W838" s="381"/>
      <c r="X838" s="381"/>
      <c r="Y838" s="381"/>
      <c r="Z838" s="381"/>
      <c r="AA838" s="381"/>
      <c r="AB838" s="381"/>
      <c r="AC838" s="382"/>
      <c r="AD838" s="382"/>
    </row>
    <row r="839" spans="1:30" ht="12.75" customHeight="1" x14ac:dyDescent="0.2">
      <c r="A839" s="378"/>
      <c r="B839" s="378"/>
      <c r="C839" s="378"/>
      <c r="D839" s="380"/>
      <c r="E839" s="380"/>
      <c r="F839" s="378"/>
      <c r="G839" s="378"/>
      <c r="H839" s="378"/>
      <c r="I839" s="378"/>
      <c r="J839" s="378"/>
      <c r="K839" s="378"/>
      <c r="L839" s="378"/>
      <c r="M839" s="381"/>
      <c r="N839" s="381"/>
      <c r="O839" s="381"/>
      <c r="P839" s="381"/>
      <c r="Q839" s="381"/>
      <c r="R839" s="381"/>
      <c r="S839" s="381"/>
      <c r="T839" s="381"/>
      <c r="U839" s="381"/>
      <c r="V839" s="381"/>
      <c r="W839" s="381"/>
      <c r="X839" s="381"/>
      <c r="Y839" s="381"/>
      <c r="Z839" s="381"/>
      <c r="AA839" s="381"/>
      <c r="AB839" s="381"/>
      <c r="AC839" s="382"/>
      <c r="AD839" s="382"/>
    </row>
    <row r="840" spans="1:30" ht="12.75" customHeight="1" x14ac:dyDescent="0.2">
      <c r="A840" s="378"/>
      <c r="B840" s="378"/>
      <c r="C840" s="378"/>
      <c r="D840" s="380"/>
      <c r="E840" s="380"/>
      <c r="F840" s="378"/>
      <c r="G840" s="378"/>
      <c r="H840" s="378"/>
      <c r="I840" s="378"/>
      <c r="J840" s="378"/>
      <c r="K840" s="378"/>
      <c r="L840" s="378"/>
      <c r="M840" s="381"/>
      <c r="N840" s="381"/>
      <c r="O840" s="381"/>
      <c r="P840" s="381"/>
      <c r="Q840" s="381"/>
      <c r="R840" s="381"/>
      <c r="S840" s="381"/>
      <c r="T840" s="381"/>
      <c r="U840" s="381"/>
      <c r="V840" s="381"/>
      <c r="W840" s="381"/>
      <c r="X840" s="381"/>
      <c r="Y840" s="381"/>
      <c r="Z840" s="381"/>
      <c r="AA840" s="381"/>
      <c r="AB840" s="381"/>
      <c r="AC840" s="382"/>
      <c r="AD840" s="382"/>
    </row>
    <row r="841" spans="1:30" ht="12.75" customHeight="1" x14ac:dyDescent="0.2">
      <c r="A841" s="378"/>
      <c r="B841" s="378"/>
      <c r="C841" s="378"/>
      <c r="D841" s="380"/>
      <c r="E841" s="380"/>
      <c r="F841" s="378"/>
      <c r="G841" s="378"/>
      <c r="H841" s="378"/>
      <c r="I841" s="378"/>
      <c r="J841" s="378"/>
      <c r="K841" s="378"/>
      <c r="L841" s="378"/>
      <c r="M841" s="381"/>
      <c r="N841" s="381"/>
      <c r="O841" s="381"/>
      <c r="P841" s="381"/>
      <c r="Q841" s="381"/>
      <c r="R841" s="381"/>
      <c r="S841" s="381"/>
      <c r="T841" s="381"/>
      <c r="U841" s="381"/>
      <c r="V841" s="381"/>
      <c r="W841" s="381"/>
      <c r="X841" s="381"/>
      <c r="Y841" s="381"/>
      <c r="Z841" s="381"/>
      <c r="AA841" s="381"/>
      <c r="AB841" s="381"/>
      <c r="AC841" s="382"/>
      <c r="AD841" s="382"/>
    </row>
    <row r="842" spans="1:30" ht="12.75" customHeight="1" x14ac:dyDescent="0.2">
      <c r="A842" s="378"/>
      <c r="B842" s="378"/>
      <c r="C842" s="378"/>
      <c r="D842" s="380"/>
      <c r="E842" s="380"/>
      <c r="F842" s="378"/>
      <c r="G842" s="378"/>
      <c r="H842" s="378"/>
      <c r="I842" s="378"/>
      <c r="J842" s="378"/>
      <c r="K842" s="378"/>
      <c r="L842" s="378"/>
      <c r="M842" s="381"/>
      <c r="N842" s="381"/>
      <c r="O842" s="381"/>
      <c r="P842" s="381"/>
      <c r="Q842" s="381"/>
      <c r="R842" s="381"/>
      <c r="S842" s="381"/>
      <c r="T842" s="381"/>
      <c r="U842" s="381"/>
      <c r="V842" s="381"/>
      <c r="W842" s="381"/>
      <c r="X842" s="381"/>
      <c r="Y842" s="381"/>
      <c r="Z842" s="381"/>
      <c r="AA842" s="381"/>
      <c r="AB842" s="381"/>
      <c r="AC842" s="382"/>
      <c r="AD842" s="382"/>
    </row>
    <row r="843" spans="1:30" ht="12.75" customHeight="1" x14ac:dyDescent="0.2">
      <c r="A843" s="378"/>
      <c r="B843" s="378"/>
      <c r="C843" s="378"/>
      <c r="D843" s="380"/>
      <c r="E843" s="380"/>
      <c r="F843" s="378"/>
      <c r="G843" s="378"/>
      <c r="H843" s="378"/>
      <c r="I843" s="378"/>
      <c r="J843" s="378"/>
      <c r="K843" s="378"/>
      <c r="L843" s="378"/>
      <c r="M843" s="381"/>
      <c r="N843" s="381"/>
      <c r="O843" s="381"/>
      <c r="P843" s="381"/>
      <c r="Q843" s="381"/>
      <c r="R843" s="381"/>
      <c r="S843" s="381"/>
      <c r="T843" s="381"/>
      <c r="U843" s="381"/>
      <c r="V843" s="381"/>
      <c r="W843" s="381"/>
      <c r="X843" s="381"/>
      <c r="Y843" s="381"/>
      <c r="Z843" s="381"/>
      <c r="AA843" s="381"/>
      <c r="AB843" s="381"/>
      <c r="AC843" s="382"/>
      <c r="AD843" s="382"/>
    </row>
    <row r="844" spans="1:30" ht="12.75" customHeight="1" x14ac:dyDescent="0.2">
      <c r="A844" s="378"/>
      <c r="B844" s="378"/>
      <c r="C844" s="378"/>
      <c r="D844" s="380"/>
      <c r="E844" s="380"/>
      <c r="F844" s="378"/>
      <c r="G844" s="378"/>
      <c r="H844" s="378"/>
      <c r="I844" s="378"/>
      <c r="J844" s="378"/>
      <c r="K844" s="378"/>
      <c r="L844" s="378"/>
      <c r="M844" s="381"/>
      <c r="N844" s="381"/>
      <c r="O844" s="381"/>
      <c r="P844" s="381"/>
      <c r="Q844" s="381"/>
      <c r="R844" s="381"/>
      <c r="S844" s="381"/>
      <c r="T844" s="381"/>
      <c r="U844" s="381"/>
      <c r="V844" s="381"/>
      <c r="W844" s="381"/>
      <c r="X844" s="381"/>
      <c r="Y844" s="381"/>
      <c r="Z844" s="381"/>
      <c r="AA844" s="381"/>
      <c r="AB844" s="381"/>
      <c r="AC844" s="382"/>
      <c r="AD844" s="382"/>
    </row>
    <row r="845" spans="1:30" ht="12.75" customHeight="1" x14ac:dyDescent="0.2">
      <c r="A845" s="378"/>
      <c r="B845" s="378"/>
      <c r="C845" s="378"/>
      <c r="D845" s="380"/>
      <c r="E845" s="380"/>
      <c r="F845" s="378"/>
      <c r="G845" s="378"/>
      <c r="H845" s="378"/>
      <c r="I845" s="378"/>
      <c r="J845" s="378"/>
      <c r="K845" s="378"/>
      <c r="L845" s="378"/>
      <c r="M845" s="381"/>
      <c r="N845" s="381"/>
      <c r="O845" s="381"/>
      <c r="P845" s="381"/>
      <c r="Q845" s="381"/>
      <c r="R845" s="381"/>
      <c r="S845" s="381"/>
      <c r="T845" s="381"/>
      <c r="U845" s="381"/>
      <c r="V845" s="381"/>
      <c r="W845" s="381"/>
      <c r="X845" s="381"/>
      <c r="Y845" s="381"/>
      <c r="Z845" s="381"/>
      <c r="AA845" s="381"/>
      <c r="AB845" s="381"/>
      <c r="AC845" s="382"/>
      <c r="AD845" s="382"/>
    </row>
    <row r="846" spans="1:30" ht="12.75" customHeight="1" x14ac:dyDescent="0.2">
      <c r="A846" s="378"/>
      <c r="B846" s="378"/>
      <c r="C846" s="378"/>
      <c r="D846" s="380"/>
      <c r="E846" s="380"/>
      <c r="F846" s="378"/>
      <c r="G846" s="378"/>
      <c r="H846" s="378"/>
      <c r="I846" s="378"/>
      <c r="J846" s="378"/>
      <c r="K846" s="378"/>
      <c r="L846" s="378"/>
      <c r="M846" s="381"/>
      <c r="N846" s="381"/>
      <c r="O846" s="381"/>
      <c r="P846" s="381"/>
      <c r="Q846" s="381"/>
      <c r="R846" s="381"/>
      <c r="S846" s="381"/>
      <c r="T846" s="381"/>
      <c r="U846" s="381"/>
      <c r="V846" s="381"/>
      <c r="W846" s="381"/>
      <c r="X846" s="381"/>
      <c r="Y846" s="381"/>
      <c r="Z846" s="381"/>
      <c r="AA846" s="381"/>
      <c r="AB846" s="381"/>
      <c r="AC846" s="382"/>
      <c r="AD846" s="382"/>
    </row>
    <row r="847" spans="1:30" ht="12.75" customHeight="1" x14ac:dyDescent="0.2">
      <c r="A847" s="378"/>
      <c r="B847" s="378"/>
      <c r="C847" s="378"/>
      <c r="D847" s="380"/>
      <c r="E847" s="380"/>
      <c r="F847" s="378"/>
      <c r="G847" s="378"/>
      <c r="H847" s="378"/>
      <c r="I847" s="378"/>
      <c r="J847" s="378"/>
      <c r="K847" s="378"/>
      <c r="L847" s="378"/>
      <c r="M847" s="381"/>
      <c r="N847" s="381"/>
      <c r="O847" s="381"/>
      <c r="P847" s="381"/>
      <c r="Q847" s="381"/>
      <c r="R847" s="381"/>
      <c r="S847" s="381"/>
      <c r="T847" s="381"/>
      <c r="U847" s="381"/>
      <c r="V847" s="381"/>
      <c r="W847" s="381"/>
      <c r="X847" s="381"/>
      <c r="Y847" s="381"/>
      <c r="Z847" s="381"/>
      <c r="AA847" s="381"/>
      <c r="AB847" s="381"/>
      <c r="AC847" s="382"/>
      <c r="AD847" s="382"/>
    </row>
    <row r="848" spans="1:30" ht="12.75" customHeight="1" x14ac:dyDescent="0.2">
      <c r="A848" s="378"/>
      <c r="B848" s="378"/>
      <c r="C848" s="378"/>
      <c r="D848" s="380"/>
      <c r="E848" s="380"/>
      <c r="F848" s="378"/>
      <c r="G848" s="378"/>
      <c r="H848" s="378"/>
      <c r="I848" s="378"/>
      <c r="J848" s="378"/>
      <c r="K848" s="378"/>
      <c r="L848" s="378"/>
      <c r="M848" s="381"/>
      <c r="N848" s="381"/>
      <c r="O848" s="381"/>
      <c r="P848" s="381"/>
      <c r="Q848" s="381"/>
      <c r="R848" s="381"/>
      <c r="S848" s="381"/>
      <c r="T848" s="381"/>
      <c r="U848" s="381"/>
      <c r="V848" s="381"/>
      <c r="W848" s="381"/>
      <c r="X848" s="381"/>
      <c r="Y848" s="381"/>
      <c r="Z848" s="381"/>
      <c r="AA848" s="381"/>
      <c r="AB848" s="381"/>
      <c r="AC848" s="382"/>
      <c r="AD848" s="382"/>
    </row>
    <row r="849" spans="1:30" ht="12.75" customHeight="1" x14ac:dyDescent="0.2">
      <c r="A849" s="378"/>
      <c r="B849" s="378"/>
      <c r="C849" s="378"/>
      <c r="D849" s="380"/>
      <c r="E849" s="380"/>
      <c r="F849" s="378"/>
      <c r="G849" s="378"/>
      <c r="H849" s="378"/>
      <c r="I849" s="378"/>
      <c r="J849" s="378"/>
      <c r="K849" s="378"/>
      <c r="L849" s="378"/>
      <c r="M849" s="381"/>
      <c r="N849" s="381"/>
      <c r="O849" s="381"/>
      <c r="P849" s="381"/>
      <c r="Q849" s="381"/>
      <c r="R849" s="381"/>
      <c r="S849" s="381"/>
      <c r="T849" s="381"/>
      <c r="U849" s="381"/>
      <c r="V849" s="381"/>
      <c r="W849" s="381"/>
      <c r="X849" s="381"/>
      <c r="Y849" s="381"/>
      <c r="Z849" s="381"/>
      <c r="AA849" s="381"/>
      <c r="AB849" s="381"/>
      <c r="AC849" s="382"/>
      <c r="AD849" s="382"/>
    </row>
    <row r="850" spans="1:30" ht="12.75" customHeight="1" x14ac:dyDescent="0.2">
      <c r="A850" s="378"/>
      <c r="B850" s="378"/>
      <c r="C850" s="378"/>
      <c r="D850" s="380"/>
      <c r="E850" s="380"/>
      <c r="F850" s="378"/>
      <c r="G850" s="378"/>
      <c r="H850" s="378"/>
      <c r="I850" s="378"/>
      <c r="J850" s="378"/>
      <c r="K850" s="378"/>
      <c r="L850" s="378"/>
      <c r="M850" s="381"/>
      <c r="N850" s="381"/>
      <c r="O850" s="381"/>
      <c r="P850" s="381"/>
      <c r="Q850" s="381"/>
      <c r="R850" s="381"/>
      <c r="S850" s="381"/>
      <c r="T850" s="381"/>
      <c r="U850" s="381"/>
      <c r="V850" s="381"/>
      <c r="W850" s="381"/>
      <c r="X850" s="381"/>
      <c r="Y850" s="381"/>
      <c r="Z850" s="381"/>
      <c r="AA850" s="381"/>
      <c r="AB850" s="381"/>
      <c r="AC850" s="382"/>
      <c r="AD850" s="382"/>
    </row>
    <row r="851" spans="1:30" ht="12.75" customHeight="1" x14ac:dyDescent="0.2">
      <c r="A851" s="378"/>
      <c r="B851" s="378"/>
      <c r="C851" s="378"/>
      <c r="D851" s="380"/>
      <c r="E851" s="380"/>
      <c r="F851" s="378"/>
      <c r="G851" s="378"/>
      <c r="H851" s="378"/>
      <c r="I851" s="378"/>
      <c r="J851" s="378"/>
      <c r="K851" s="378"/>
      <c r="L851" s="378"/>
      <c r="M851" s="381"/>
      <c r="N851" s="381"/>
      <c r="O851" s="381"/>
      <c r="P851" s="381"/>
      <c r="Q851" s="381"/>
      <c r="R851" s="381"/>
      <c r="S851" s="381"/>
      <c r="T851" s="381"/>
      <c r="U851" s="381"/>
      <c r="V851" s="381"/>
      <c r="W851" s="381"/>
      <c r="X851" s="381"/>
      <c r="Y851" s="381"/>
      <c r="Z851" s="381"/>
      <c r="AA851" s="381"/>
      <c r="AB851" s="381"/>
      <c r="AC851" s="382"/>
      <c r="AD851" s="382"/>
    </row>
    <row r="852" spans="1:30" ht="12.75" customHeight="1" x14ac:dyDescent="0.2">
      <c r="A852" s="378"/>
      <c r="B852" s="378"/>
      <c r="C852" s="378"/>
      <c r="D852" s="380"/>
      <c r="E852" s="380"/>
      <c r="F852" s="378"/>
      <c r="G852" s="378"/>
      <c r="H852" s="378"/>
      <c r="I852" s="378"/>
      <c r="J852" s="378"/>
      <c r="K852" s="378"/>
      <c r="L852" s="378"/>
      <c r="M852" s="381"/>
      <c r="N852" s="381"/>
      <c r="O852" s="381"/>
      <c r="P852" s="381"/>
      <c r="Q852" s="381"/>
      <c r="R852" s="381"/>
      <c r="S852" s="381"/>
      <c r="T852" s="381"/>
      <c r="U852" s="381"/>
      <c r="V852" s="381"/>
      <c r="W852" s="381"/>
      <c r="X852" s="381"/>
      <c r="Y852" s="381"/>
      <c r="Z852" s="381"/>
      <c r="AA852" s="381"/>
      <c r="AB852" s="381"/>
      <c r="AC852" s="382"/>
      <c r="AD852" s="382"/>
    </row>
    <row r="853" spans="1:30" ht="12.75" customHeight="1" x14ac:dyDescent="0.2">
      <c r="A853" s="378"/>
      <c r="B853" s="378"/>
      <c r="C853" s="378"/>
      <c r="D853" s="380"/>
      <c r="E853" s="380"/>
      <c r="F853" s="378"/>
      <c r="G853" s="378"/>
      <c r="H853" s="378"/>
      <c r="I853" s="378"/>
      <c r="J853" s="378"/>
      <c r="K853" s="378"/>
      <c r="L853" s="378"/>
      <c r="M853" s="381"/>
      <c r="N853" s="381"/>
      <c r="O853" s="381"/>
      <c r="P853" s="381"/>
      <c r="Q853" s="381"/>
      <c r="R853" s="381"/>
      <c r="S853" s="381"/>
      <c r="T853" s="381"/>
      <c r="U853" s="381"/>
      <c r="V853" s="381"/>
      <c r="W853" s="381"/>
      <c r="X853" s="381"/>
      <c r="Y853" s="381"/>
      <c r="Z853" s="381"/>
      <c r="AA853" s="381"/>
      <c r="AB853" s="381"/>
      <c r="AC853" s="382"/>
      <c r="AD853" s="382"/>
    </row>
    <row r="854" spans="1:30" ht="12.75" customHeight="1" x14ac:dyDescent="0.2">
      <c r="A854" s="378"/>
      <c r="B854" s="378"/>
      <c r="C854" s="378"/>
      <c r="D854" s="380"/>
      <c r="E854" s="380"/>
      <c r="F854" s="378"/>
      <c r="G854" s="378"/>
      <c r="H854" s="378"/>
      <c r="I854" s="378"/>
      <c r="J854" s="378"/>
      <c r="K854" s="378"/>
      <c r="L854" s="378"/>
      <c r="M854" s="381"/>
      <c r="N854" s="381"/>
      <c r="O854" s="381"/>
      <c r="P854" s="381"/>
      <c r="Q854" s="381"/>
      <c r="R854" s="381"/>
      <c r="S854" s="381"/>
      <c r="T854" s="381"/>
      <c r="U854" s="381"/>
      <c r="V854" s="381"/>
      <c r="W854" s="381"/>
      <c r="X854" s="381"/>
      <c r="Y854" s="381"/>
      <c r="Z854" s="381"/>
      <c r="AA854" s="381"/>
      <c r="AB854" s="381"/>
      <c r="AC854" s="382"/>
      <c r="AD854" s="382"/>
    </row>
    <row r="855" spans="1:30" ht="12.75" customHeight="1" x14ac:dyDescent="0.2">
      <c r="A855" s="378"/>
      <c r="B855" s="378"/>
      <c r="C855" s="378"/>
      <c r="D855" s="380"/>
      <c r="E855" s="380"/>
      <c r="F855" s="378"/>
      <c r="G855" s="378"/>
      <c r="H855" s="378"/>
      <c r="I855" s="378"/>
      <c r="J855" s="378"/>
      <c r="K855" s="378"/>
      <c r="L855" s="378"/>
      <c r="M855" s="381"/>
      <c r="N855" s="381"/>
      <c r="O855" s="381"/>
      <c r="P855" s="381"/>
      <c r="Q855" s="381"/>
      <c r="R855" s="381"/>
      <c r="S855" s="381"/>
      <c r="T855" s="381"/>
      <c r="U855" s="381"/>
      <c r="V855" s="381"/>
      <c r="W855" s="381"/>
      <c r="X855" s="381"/>
      <c r="Y855" s="381"/>
      <c r="Z855" s="381"/>
      <c r="AA855" s="381"/>
      <c r="AB855" s="381"/>
      <c r="AC855" s="382"/>
      <c r="AD855" s="382"/>
    </row>
    <row r="856" spans="1:30" ht="12.75" customHeight="1" x14ac:dyDescent="0.2">
      <c r="A856" s="378"/>
      <c r="B856" s="378"/>
      <c r="C856" s="378"/>
      <c r="D856" s="380"/>
      <c r="E856" s="380"/>
      <c r="F856" s="378"/>
      <c r="G856" s="378"/>
      <c r="H856" s="378"/>
      <c r="I856" s="378"/>
      <c r="J856" s="378"/>
      <c r="K856" s="378"/>
      <c r="L856" s="378"/>
      <c r="M856" s="381"/>
      <c r="N856" s="381"/>
      <c r="O856" s="381"/>
      <c r="P856" s="381"/>
      <c r="Q856" s="381"/>
      <c r="R856" s="381"/>
      <c r="S856" s="381"/>
      <c r="T856" s="381"/>
      <c r="U856" s="381"/>
      <c r="V856" s="381"/>
      <c r="W856" s="381"/>
      <c r="X856" s="381"/>
      <c r="Y856" s="381"/>
      <c r="Z856" s="381"/>
      <c r="AA856" s="381"/>
      <c r="AB856" s="381"/>
      <c r="AC856" s="382"/>
      <c r="AD856" s="382"/>
    </row>
    <row r="857" spans="1:30" ht="12.75" customHeight="1" x14ac:dyDescent="0.2">
      <c r="A857" s="378"/>
      <c r="B857" s="378"/>
      <c r="C857" s="378"/>
      <c r="D857" s="380"/>
      <c r="E857" s="380"/>
      <c r="F857" s="378"/>
      <c r="G857" s="378"/>
      <c r="H857" s="378"/>
      <c r="I857" s="378"/>
      <c r="J857" s="378"/>
      <c r="K857" s="378"/>
      <c r="L857" s="378"/>
      <c r="M857" s="381"/>
      <c r="N857" s="381"/>
      <c r="O857" s="381"/>
      <c r="P857" s="381"/>
      <c r="Q857" s="381"/>
      <c r="R857" s="381"/>
      <c r="S857" s="381"/>
      <c r="T857" s="381"/>
      <c r="U857" s="381"/>
      <c r="V857" s="381"/>
      <c r="W857" s="381"/>
      <c r="X857" s="381"/>
      <c r="Y857" s="381"/>
      <c r="Z857" s="381"/>
      <c r="AA857" s="381"/>
      <c r="AB857" s="381"/>
      <c r="AC857" s="382"/>
      <c r="AD857" s="382"/>
    </row>
    <row r="858" spans="1:30" ht="12.75" customHeight="1" x14ac:dyDescent="0.2">
      <c r="A858" s="378"/>
      <c r="B858" s="378"/>
      <c r="C858" s="378"/>
      <c r="D858" s="380"/>
      <c r="E858" s="380"/>
      <c r="F858" s="378"/>
      <c r="G858" s="378"/>
      <c r="H858" s="378"/>
      <c r="I858" s="378"/>
      <c r="J858" s="378"/>
      <c r="K858" s="378"/>
      <c r="L858" s="378"/>
      <c r="M858" s="381"/>
      <c r="N858" s="381"/>
      <c r="O858" s="381"/>
      <c r="P858" s="381"/>
      <c r="Q858" s="381"/>
      <c r="R858" s="381"/>
      <c r="S858" s="381"/>
      <c r="T858" s="381"/>
      <c r="U858" s="381"/>
      <c r="V858" s="381"/>
      <c r="W858" s="381"/>
      <c r="X858" s="381"/>
      <c r="Y858" s="381"/>
      <c r="Z858" s="381"/>
      <c r="AA858" s="381"/>
      <c r="AB858" s="381"/>
      <c r="AC858" s="382"/>
      <c r="AD858" s="382"/>
    </row>
    <row r="859" spans="1:30" ht="12.75" customHeight="1" x14ac:dyDescent="0.2">
      <c r="A859" s="378"/>
      <c r="B859" s="378"/>
      <c r="C859" s="378"/>
      <c r="D859" s="380"/>
      <c r="E859" s="380"/>
      <c r="F859" s="378"/>
      <c r="G859" s="378"/>
      <c r="H859" s="378"/>
      <c r="I859" s="378"/>
      <c r="J859" s="378"/>
      <c r="K859" s="378"/>
      <c r="L859" s="378"/>
      <c r="M859" s="381"/>
      <c r="N859" s="381"/>
      <c r="O859" s="381"/>
      <c r="P859" s="381"/>
      <c r="Q859" s="381"/>
      <c r="R859" s="381"/>
      <c r="S859" s="381"/>
      <c r="T859" s="381"/>
      <c r="U859" s="381"/>
      <c r="V859" s="381"/>
      <c r="W859" s="381"/>
      <c r="X859" s="381"/>
      <c r="Y859" s="381"/>
      <c r="Z859" s="381"/>
      <c r="AA859" s="381"/>
      <c r="AB859" s="381"/>
      <c r="AC859" s="382"/>
      <c r="AD859" s="382"/>
    </row>
    <row r="860" spans="1:30" ht="12.75" customHeight="1" x14ac:dyDescent="0.2">
      <c r="A860" s="378"/>
      <c r="B860" s="378"/>
      <c r="C860" s="378"/>
      <c r="D860" s="380"/>
      <c r="E860" s="380"/>
      <c r="F860" s="378"/>
      <c r="G860" s="378"/>
      <c r="H860" s="378"/>
      <c r="I860" s="378"/>
      <c r="J860" s="378"/>
      <c r="K860" s="378"/>
      <c r="L860" s="378"/>
      <c r="M860" s="381"/>
      <c r="N860" s="381"/>
      <c r="O860" s="381"/>
      <c r="P860" s="381"/>
      <c r="Q860" s="381"/>
      <c r="R860" s="381"/>
      <c r="S860" s="381"/>
      <c r="T860" s="381"/>
      <c r="U860" s="381"/>
      <c r="V860" s="381"/>
      <c r="W860" s="381"/>
      <c r="X860" s="381"/>
      <c r="Y860" s="381"/>
      <c r="Z860" s="381"/>
      <c r="AA860" s="381"/>
      <c r="AB860" s="381"/>
      <c r="AC860" s="382"/>
      <c r="AD860" s="382"/>
    </row>
    <row r="861" spans="1:30" ht="12.75" customHeight="1" x14ac:dyDescent="0.2">
      <c r="A861" s="378"/>
      <c r="B861" s="378"/>
      <c r="C861" s="378"/>
      <c r="D861" s="380"/>
      <c r="E861" s="380"/>
      <c r="F861" s="378"/>
      <c r="G861" s="378"/>
      <c r="H861" s="378"/>
      <c r="I861" s="378"/>
      <c r="J861" s="378"/>
      <c r="K861" s="378"/>
      <c r="L861" s="378"/>
      <c r="M861" s="381"/>
      <c r="N861" s="381"/>
      <c r="O861" s="381"/>
      <c r="P861" s="381"/>
      <c r="Q861" s="381"/>
      <c r="R861" s="381"/>
      <c r="S861" s="381"/>
      <c r="T861" s="381"/>
      <c r="U861" s="381"/>
      <c r="V861" s="381"/>
      <c r="W861" s="381"/>
      <c r="X861" s="381"/>
      <c r="Y861" s="381"/>
      <c r="Z861" s="381"/>
      <c r="AA861" s="381"/>
      <c r="AB861" s="381"/>
      <c r="AC861" s="382"/>
      <c r="AD861" s="382"/>
    </row>
    <row r="862" spans="1:30" ht="12.75" customHeight="1" x14ac:dyDescent="0.2">
      <c r="A862" s="378"/>
      <c r="B862" s="378"/>
      <c r="C862" s="378"/>
      <c r="D862" s="380"/>
      <c r="E862" s="380"/>
      <c r="F862" s="378"/>
      <c r="G862" s="378"/>
      <c r="H862" s="378"/>
      <c r="I862" s="378"/>
      <c r="J862" s="378"/>
      <c r="K862" s="378"/>
      <c r="L862" s="378"/>
      <c r="M862" s="381"/>
      <c r="N862" s="381"/>
      <c r="O862" s="381"/>
      <c r="P862" s="381"/>
      <c r="Q862" s="381"/>
      <c r="R862" s="381"/>
      <c r="S862" s="381"/>
      <c r="T862" s="381"/>
      <c r="U862" s="381"/>
      <c r="V862" s="381"/>
      <c r="W862" s="381"/>
      <c r="X862" s="381"/>
      <c r="Y862" s="381"/>
      <c r="Z862" s="381"/>
      <c r="AA862" s="381"/>
      <c r="AB862" s="381"/>
      <c r="AC862" s="382"/>
      <c r="AD862" s="382"/>
    </row>
    <row r="863" spans="1:30" ht="12.75" customHeight="1" x14ac:dyDescent="0.2">
      <c r="A863" s="378"/>
      <c r="B863" s="378"/>
      <c r="C863" s="378"/>
      <c r="D863" s="380"/>
      <c r="E863" s="380"/>
      <c r="F863" s="378"/>
      <c r="G863" s="378"/>
      <c r="H863" s="378"/>
      <c r="I863" s="378"/>
      <c r="J863" s="378"/>
      <c r="K863" s="378"/>
      <c r="L863" s="378"/>
      <c r="M863" s="381"/>
      <c r="N863" s="381"/>
      <c r="O863" s="381"/>
      <c r="P863" s="381"/>
      <c r="Q863" s="381"/>
      <c r="R863" s="381"/>
      <c r="S863" s="381"/>
      <c r="T863" s="381"/>
      <c r="U863" s="381"/>
      <c r="V863" s="381"/>
      <c r="W863" s="381"/>
      <c r="X863" s="381"/>
      <c r="Y863" s="381"/>
      <c r="Z863" s="381"/>
      <c r="AA863" s="381"/>
      <c r="AB863" s="381"/>
      <c r="AC863" s="382"/>
      <c r="AD863" s="382"/>
    </row>
    <row r="864" spans="1:30" ht="12.75" customHeight="1" x14ac:dyDescent="0.2">
      <c r="A864" s="378"/>
      <c r="B864" s="378"/>
      <c r="C864" s="378"/>
      <c r="D864" s="380"/>
      <c r="E864" s="380"/>
      <c r="F864" s="378"/>
      <c r="G864" s="378"/>
      <c r="H864" s="378"/>
      <c r="I864" s="378"/>
      <c r="J864" s="378"/>
      <c r="K864" s="378"/>
      <c r="L864" s="378"/>
      <c r="M864" s="381"/>
      <c r="N864" s="381"/>
      <c r="O864" s="381"/>
      <c r="P864" s="381"/>
      <c r="Q864" s="381"/>
      <c r="R864" s="381"/>
      <c r="S864" s="381"/>
      <c r="T864" s="381"/>
      <c r="U864" s="381"/>
      <c r="V864" s="381"/>
      <c r="W864" s="381"/>
      <c r="X864" s="381"/>
      <c r="Y864" s="381"/>
      <c r="Z864" s="381"/>
      <c r="AA864" s="381"/>
      <c r="AB864" s="381"/>
      <c r="AC864" s="382"/>
      <c r="AD864" s="382"/>
    </row>
    <row r="865" spans="1:30" ht="12.75" customHeight="1" x14ac:dyDescent="0.2">
      <c r="A865" s="378"/>
      <c r="B865" s="378"/>
      <c r="C865" s="378"/>
      <c r="D865" s="380"/>
      <c r="E865" s="380"/>
      <c r="F865" s="378"/>
      <c r="G865" s="378"/>
      <c r="H865" s="378"/>
      <c r="I865" s="378"/>
      <c r="J865" s="378"/>
      <c r="K865" s="378"/>
      <c r="L865" s="378"/>
      <c r="M865" s="381"/>
      <c r="N865" s="381"/>
      <c r="O865" s="381"/>
      <c r="P865" s="381"/>
      <c r="Q865" s="381"/>
      <c r="R865" s="381"/>
      <c r="S865" s="381"/>
      <c r="T865" s="381"/>
      <c r="U865" s="381"/>
      <c r="V865" s="381"/>
      <c r="W865" s="381"/>
      <c r="X865" s="381"/>
      <c r="Y865" s="381"/>
      <c r="Z865" s="381"/>
      <c r="AA865" s="381"/>
      <c r="AB865" s="381"/>
      <c r="AC865" s="382"/>
      <c r="AD865" s="382"/>
    </row>
    <row r="866" spans="1:30" ht="12.75" customHeight="1" x14ac:dyDescent="0.2">
      <c r="A866" s="378"/>
      <c r="B866" s="378"/>
      <c r="C866" s="378"/>
      <c r="D866" s="380"/>
      <c r="E866" s="380"/>
      <c r="F866" s="378"/>
      <c r="G866" s="378"/>
      <c r="H866" s="378"/>
      <c r="I866" s="378"/>
      <c r="J866" s="378"/>
      <c r="K866" s="378"/>
      <c r="L866" s="378"/>
      <c r="M866" s="381"/>
      <c r="N866" s="381"/>
      <c r="O866" s="381"/>
      <c r="P866" s="381"/>
      <c r="Q866" s="381"/>
      <c r="R866" s="381"/>
      <c r="S866" s="381"/>
      <c r="T866" s="381"/>
      <c r="U866" s="381"/>
      <c r="V866" s="381"/>
      <c r="W866" s="381"/>
      <c r="X866" s="381"/>
      <c r="Y866" s="381"/>
      <c r="Z866" s="381"/>
      <c r="AA866" s="381"/>
      <c r="AB866" s="381"/>
      <c r="AC866" s="382"/>
      <c r="AD866" s="382"/>
    </row>
    <row r="867" spans="1:30" ht="12.75" customHeight="1" x14ac:dyDescent="0.2">
      <c r="A867" s="378"/>
      <c r="B867" s="378"/>
      <c r="C867" s="378"/>
      <c r="D867" s="380"/>
      <c r="E867" s="380"/>
      <c r="F867" s="378"/>
      <c r="G867" s="378"/>
      <c r="H867" s="378"/>
      <c r="I867" s="378"/>
      <c r="J867" s="378"/>
      <c r="K867" s="378"/>
      <c r="L867" s="378"/>
      <c r="M867" s="381"/>
      <c r="N867" s="381"/>
      <c r="O867" s="381"/>
      <c r="P867" s="381"/>
      <c r="Q867" s="381"/>
      <c r="R867" s="381"/>
      <c r="S867" s="381"/>
      <c r="T867" s="381"/>
      <c r="U867" s="381"/>
      <c r="V867" s="381"/>
      <c r="W867" s="381"/>
      <c r="X867" s="381"/>
      <c r="Y867" s="381"/>
      <c r="Z867" s="381"/>
      <c r="AA867" s="381"/>
      <c r="AB867" s="381"/>
      <c r="AC867" s="382"/>
      <c r="AD867" s="382"/>
    </row>
    <row r="868" spans="1:30" ht="12.75" customHeight="1" x14ac:dyDescent="0.2">
      <c r="A868" s="378"/>
      <c r="B868" s="378"/>
      <c r="C868" s="378"/>
      <c r="D868" s="380"/>
      <c r="E868" s="380"/>
      <c r="F868" s="378"/>
      <c r="G868" s="378"/>
      <c r="H868" s="378"/>
      <c r="I868" s="378"/>
      <c r="J868" s="378"/>
      <c r="K868" s="378"/>
      <c r="L868" s="378"/>
      <c r="M868" s="381"/>
      <c r="N868" s="381"/>
      <c r="O868" s="381"/>
      <c r="P868" s="381"/>
      <c r="Q868" s="381"/>
      <c r="R868" s="381"/>
      <c r="S868" s="381"/>
      <c r="T868" s="381"/>
      <c r="U868" s="381"/>
      <c r="V868" s="381"/>
      <c r="W868" s="381"/>
      <c r="X868" s="381"/>
      <c r="Y868" s="381"/>
      <c r="Z868" s="381"/>
      <c r="AA868" s="381"/>
      <c r="AB868" s="381"/>
      <c r="AC868" s="382"/>
      <c r="AD868" s="382"/>
    </row>
    <row r="869" spans="1:30" ht="12.75" customHeight="1" x14ac:dyDescent="0.2">
      <c r="A869" s="378"/>
      <c r="B869" s="378"/>
      <c r="C869" s="378"/>
      <c r="D869" s="380"/>
      <c r="E869" s="380"/>
      <c r="F869" s="378"/>
      <c r="G869" s="378"/>
      <c r="H869" s="378"/>
      <c r="I869" s="378"/>
      <c r="J869" s="378"/>
      <c r="K869" s="378"/>
      <c r="L869" s="378"/>
      <c r="M869" s="381"/>
      <c r="N869" s="381"/>
      <c r="O869" s="381"/>
      <c r="P869" s="381"/>
      <c r="Q869" s="381"/>
      <c r="R869" s="381"/>
      <c r="S869" s="381"/>
      <c r="T869" s="381"/>
      <c r="U869" s="381"/>
      <c r="V869" s="381"/>
      <c r="W869" s="381"/>
      <c r="X869" s="381"/>
      <c r="Y869" s="381"/>
      <c r="Z869" s="381"/>
      <c r="AA869" s="381"/>
      <c r="AB869" s="381"/>
      <c r="AC869" s="382"/>
      <c r="AD869" s="382"/>
    </row>
    <row r="870" spans="1:30" ht="12.75" customHeight="1" x14ac:dyDescent="0.2">
      <c r="A870" s="378"/>
      <c r="B870" s="378"/>
      <c r="C870" s="378"/>
      <c r="D870" s="380"/>
      <c r="E870" s="380"/>
      <c r="F870" s="378"/>
      <c r="G870" s="378"/>
      <c r="H870" s="378"/>
      <c r="I870" s="378"/>
      <c r="J870" s="378"/>
      <c r="K870" s="378"/>
      <c r="L870" s="378"/>
      <c r="M870" s="381"/>
      <c r="N870" s="381"/>
      <c r="O870" s="381"/>
      <c r="P870" s="381"/>
      <c r="Q870" s="381"/>
      <c r="R870" s="381"/>
      <c r="S870" s="381"/>
      <c r="T870" s="381"/>
      <c r="U870" s="381"/>
      <c r="V870" s="381"/>
      <c r="W870" s="381"/>
      <c r="X870" s="381"/>
      <c r="Y870" s="381"/>
      <c r="Z870" s="381"/>
      <c r="AA870" s="381"/>
      <c r="AB870" s="381"/>
      <c r="AC870" s="382"/>
      <c r="AD870" s="382"/>
    </row>
    <row r="871" spans="1:30" ht="12.75" customHeight="1" x14ac:dyDescent="0.2">
      <c r="A871" s="378"/>
      <c r="B871" s="378"/>
      <c r="C871" s="378"/>
      <c r="D871" s="380"/>
      <c r="E871" s="380"/>
      <c r="F871" s="378"/>
      <c r="G871" s="378"/>
      <c r="H871" s="378"/>
      <c r="I871" s="378"/>
      <c r="J871" s="378"/>
      <c r="K871" s="378"/>
      <c r="L871" s="378"/>
      <c r="M871" s="381"/>
      <c r="N871" s="381"/>
      <c r="O871" s="381"/>
      <c r="P871" s="381"/>
      <c r="Q871" s="381"/>
      <c r="R871" s="381"/>
      <c r="S871" s="381"/>
      <c r="T871" s="381"/>
      <c r="U871" s="381"/>
      <c r="V871" s="381"/>
      <c r="W871" s="381"/>
      <c r="X871" s="381"/>
      <c r="Y871" s="381"/>
      <c r="Z871" s="381"/>
      <c r="AA871" s="381"/>
      <c r="AB871" s="381"/>
      <c r="AC871" s="382"/>
      <c r="AD871" s="382"/>
    </row>
    <row r="872" spans="1:30" ht="12.75" customHeight="1" x14ac:dyDescent="0.2">
      <c r="A872" s="378"/>
      <c r="B872" s="378"/>
      <c r="C872" s="378"/>
      <c r="D872" s="380"/>
      <c r="E872" s="380"/>
      <c r="F872" s="378"/>
      <c r="G872" s="378"/>
      <c r="H872" s="378"/>
      <c r="I872" s="378"/>
      <c r="J872" s="378"/>
      <c r="K872" s="378"/>
      <c r="L872" s="378"/>
      <c r="M872" s="381"/>
      <c r="N872" s="381"/>
      <c r="O872" s="381"/>
      <c r="P872" s="381"/>
      <c r="Q872" s="381"/>
      <c r="R872" s="381"/>
      <c r="S872" s="381"/>
      <c r="T872" s="381"/>
      <c r="U872" s="381"/>
      <c r="V872" s="381"/>
      <c r="W872" s="381"/>
      <c r="X872" s="381"/>
      <c r="Y872" s="381"/>
      <c r="Z872" s="381"/>
      <c r="AA872" s="381"/>
      <c r="AB872" s="381"/>
      <c r="AC872" s="382"/>
      <c r="AD872" s="382"/>
    </row>
    <row r="873" spans="1:30" ht="12.75" customHeight="1" x14ac:dyDescent="0.2">
      <c r="A873" s="378"/>
      <c r="B873" s="378"/>
      <c r="C873" s="378"/>
      <c r="D873" s="380"/>
      <c r="E873" s="380"/>
      <c r="F873" s="378"/>
      <c r="G873" s="378"/>
      <c r="H873" s="378"/>
      <c r="I873" s="378"/>
      <c r="J873" s="378"/>
      <c r="K873" s="378"/>
      <c r="L873" s="378"/>
      <c r="M873" s="381"/>
      <c r="N873" s="381"/>
      <c r="O873" s="381"/>
      <c r="P873" s="381"/>
      <c r="Q873" s="381"/>
      <c r="R873" s="381"/>
      <c r="S873" s="381"/>
      <c r="T873" s="381"/>
      <c r="U873" s="381"/>
      <c r="V873" s="381"/>
      <c r="W873" s="381"/>
      <c r="X873" s="381"/>
      <c r="Y873" s="381"/>
      <c r="Z873" s="381"/>
      <c r="AA873" s="381"/>
      <c r="AB873" s="381"/>
      <c r="AC873" s="382"/>
      <c r="AD873" s="382"/>
    </row>
    <row r="874" spans="1:30" ht="12.75" customHeight="1" x14ac:dyDescent="0.2">
      <c r="A874" s="378"/>
      <c r="B874" s="378"/>
      <c r="C874" s="378"/>
      <c r="D874" s="380"/>
      <c r="E874" s="380"/>
      <c r="F874" s="378"/>
      <c r="G874" s="378"/>
      <c r="H874" s="378"/>
      <c r="I874" s="378"/>
      <c r="J874" s="378"/>
      <c r="K874" s="378"/>
      <c r="L874" s="378"/>
      <c r="M874" s="381"/>
      <c r="N874" s="381"/>
      <c r="O874" s="381"/>
      <c r="P874" s="381"/>
      <c r="Q874" s="381"/>
      <c r="R874" s="381"/>
      <c r="S874" s="381"/>
      <c r="T874" s="381"/>
      <c r="U874" s="381"/>
      <c r="V874" s="381"/>
      <c r="W874" s="381"/>
      <c r="X874" s="381"/>
      <c r="Y874" s="381"/>
      <c r="Z874" s="381"/>
      <c r="AA874" s="381"/>
      <c r="AB874" s="381"/>
      <c r="AC874" s="382"/>
      <c r="AD874" s="382"/>
    </row>
    <row r="875" spans="1:30" ht="12.75" customHeight="1" x14ac:dyDescent="0.2">
      <c r="A875" s="378"/>
      <c r="B875" s="378"/>
      <c r="C875" s="378"/>
      <c r="D875" s="380"/>
      <c r="E875" s="380"/>
      <c r="F875" s="378"/>
      <c r="G875" s="378"/>
      <c r="H875" s="378"/>
      <c r="I875" s="378"/>
      <c r="J875" s="378"/>
      <c r="K875" s="378"/>
      <c r="L875" s="378"/>
      <c r="M875" s="381"/>
      <c r="N875" s="381"/>
      <c r="O875" s="381"/>
      <c r="P875" s="381"/>
      <c r="Q875" s="381"/>
      <c r="R875" s="381"/>
      <c r="S875" s="381"/>
      <c r="T875" s="381"/>
      <c r="U875" s="381"/>
      <c r="V875" s="381"/>
      <c r="W875" s="381"/>
      <c r="X875" s="381"/>
      <c r="Y875" s="381"/>
      <c r="Z875" s="381"/>
      <c r="AA875" s="381"/>
      <c r="AB875" s="381"/>
      <c r="AC875" s="382"/>
      <c r="AD875" s="382"/>
    </row>
    <row r="876" spans="1:30" ht="12.75" customHeight="1" x14ac:dyDescent="0.2">
      <c r="A876" s="378"/>
      <c r="B876" s="378"/>
      <c r="C876" s="378"/>
      <c r="D876" s="380"/>
      <c r="E876" s="380"/>
      <c r="F876" s="378"/>
      <c r="G876" s="378"/>
      <c r="H876" s="378"/>
      <c r="I876" s="378"/>
      <c r="J876" s="378"/>
      <c r="K876" s="378"/>
      <c r="L876" s="378"/>
      <c r="M876" s="381"/>
      <c r="N876" s="381"/>
      <c r="O876" s="381"/>
      <c r="P876" s="381"/>
      <c r="Q876" s="381"/>
      <c r="R876" s="381"/>
      <c r="S876" s="381"/>
      <c r="T876" s="381"/>
      <c r="U876" s="381"/>
      <c r="V876" s="381"/>
      <c r="W876" s="381"/>
      <c r="X876" s="381"/>
      <c r="Y876" s="381"/>
      <c r="Z876" s="381"/>
      <c r="AA876" s="381"/>
      <c r="AB876" s="381"/>
      <c r="AC876" s="382"/>
      <c r="AD876" s="382"/>
    </row>
    <row r="877" spans="1:30" ht="12.75" customHeight="1" x14ac:dyDescent="0.2">
      <c r="A877" s="378"/>
      <c r="B877" s="378"/>
      <c r="C877" s="378"/>
      <c r="D877" s="380"/>
      <c r="E877" s="380"/>
      <c r="F877" s="378"/>
      <c r="G877" s="378"/>
      <c r="H877" s="378"/>
      <c r="I877" s="378"/>
      <c r="J877" s="378"/>
      <c r="K877" s="378"/>
      <c r="L877" s="378"/>
      <c r="M877" s="381"/>
      <c r="N877" s="381"/>
      <c r="O877" s="381"/>
      <c r="P877" s="381"/>
      <c r="Q877" s="381"/>
      <c r="R877" s="381"/>
      <c r="S877" s="381"/>
      <c r="T877" s="381"/>
      <c r="U877" s="381"/>
      <c r="V877" s="381"/>
      <c r="W877" s="381"/>
      <c r="X877" s="381"/>
      <c r="Y877" s="381"/>
      <c r="Z877" s="381"/>
      <c r="AA877" s="381"/>
      <c r="AB877" s="381"/>
      <c r="AC877" s="382"/>
      <c r="AD877" s="382"/>
    </row>
    <row r="878" spans="1:30" ht="12.75" customHeight="1" x14ac:dyDescent="0.2">
      <c r="A878" s="378"/>
      <c r="B878" s="378"/>
      <c r="C878" s="378"/>
      <c r="D878" s="380"/>
      <c r="E878" s="380"/>
      <c r="F878" s="378"/>
      <c r="G878" s="378"/>
      <c r="H878" s="378"/>
      <c r="I878" s="378"/>
      <c r="J878" s="378"/>
      <c r="K878" s="378"/>
      <c r="L878" s="378"/>
      <c r="M878" s="381"/>
      <c r="N878" s="381"/>
      <c r="O878" s="381"/>
      <c r="P878" s="381"/>
      <c r="Q878" s="381"/>
      <c r="R878" s="381"/>
      <c r="S878" s="381"/>
      <c r="T878" s="381"/>
      <c r="U878" s="381"/>
      <c r="V878" s="381"/>
      <c r="W878" s="381"/>
      <c r="X878" s="381"/>
      <c r="Y878" s="381"/>
      <c r="Z878" s="381"/>
      <c r="AA878" s="381"/>
      <c r="AB878" s="381"/>
      <c r="AC878" s="382"/>
      <c r="AD878" s="382"/>
    </row>
    <row r="879" spans="1:30" ht="12.75" customHeight="1" x14ac:dyDescent="0.2">
      <c r="A879" s="378"/>
      <c r="B879" s="378"/>
      <c r="C879" s="378"/>
      <c r="D879" s="380"/>
      <c r="E879" s="380"/>
      <c r="F879" s="378"/>
      <c r="G879" s="378"/>
      <c r="H879" s="378"/>
      <c r="I879" s="378"/>
      <c r="J879" s="378"/>
      <c r="K879" s="378"/>
      <c r="L879" s="378"/>
      <c r="M879" s="381"/>
      <c r="N879" s="381"/>
      <c r="O879" s="381"/>
      <c r="P879" s="381"/>
      <c r="Q879" s="381"/>
      <c r="R879" s="381"/>
      <c r="S879" s="381"/>
      <c r="T879" s="381"/>
      <c r="U879" s="381"/>
      <c r="V879" s="381"/>
      <c r="W879" s="381"/>
      <c r="X879" s="381"/>
      <c r="Y879" s="381"/>
      <c r="Z879" s="381"/>
      <c r="AA879" s="381"/>
      <c r="AB879" s="381"/>
      <c r="AC879" s="382"/>
      <c r="AD879" s="382"/>
    </row>
    <row r="880" spans="1:30" ht="12.75" customHeight="1" x14ac:dyDescent="0.2">
      <c r="A880" s="378"/>
      <c r="B880" s="378"/>
      <c r="C880" s="378"/>
      <c r="D880" s="380"/>
      <c r="E880" s="380"/>
      <c r="F880" s="378"/>
      <c r="G880" s="378"/>
      <c r="H880" s="378"/>
      <c r="I880" s="378"/>
      <c r="J880" s="378"/>
      <c r="K880" s="378"/>
      <c r="L880" s="378"/>
      <c r="M880" s="381"/>
      <c r="N880" s="381"/>
      <c r="O880" s="381"/>
      <c r="P880" s="381"/>
      <c r="Q880" s="381"/>
      <c r="R880" s="381"/>
      <c r="S880" s="381"/>
      <c r="T880" s="381"/>
      <c r="U880" s="381"/>
      <c r="V880" s="381"/>
      <c r="W880" s="381"/>
      <c r="X880" s="381"/>
      <c r="Y880" s="381"/>
      <c r="Z880" s="381"/>
      <c r="AA880" s="381"/>
      <c r="AB880" s="381"/>
      <c r="AC880" s="382"/>
      <c r="AD880" s="382"/>
    </row>
    <row r="881" spans="1:30" ht="12.75" customHeight="1" x14ac:dyDescent="0.2">
      <c r="A881" s="378"/>
      <c r="B881" s="378"/>
      <c r="C881" s="378"/>
      <c r="D881" s="380"/>
      <c r="E881" s="380"/>
      <c r="F881" s="378"/>
      <c r="G881" s="378"/>
      <c r="H881" s="378"/>
      <c r="I881" s="378"/>
      <c r="J881" s="378"/>
      <c r="K881" s="378"/>
      <c r="L881" s="378"/>
      <c r="M881" s="381"/>
      <c r="N881" s="381"/>
      <c r="O881" s="381"/>
      <c r="P881" s="381"/>
      <c r="Q881" s="381"/>
      <c r="R881" s="381"/>
      <c r="S881" s="381"/>
      <c r="T881" s="381"/>
      <c r="U881" s="381"/>
      <c r="V881" s="381"/>
      <c r="W881" s="381"/>
      <c r="X881" s="381"/>
      <c r="Y881" s="381"/>
      <c r="Z881" s="381"/>
      <c r="AA881" s="381"/>
      <c r="AB881" s="381"/>
      <c r="AC881" s="382"/>
      <c r="AD881" s="382"/>
    </row>
    <row r="882" spans="1:30" ht="12.75" customHeight="1" x14ac:dyDescent="0.2">
      <c r="A882" s="378"/>
      <c r="B882" s="378"/>
      <c r="C882" s="378"/>
      <c r="D882" s="380"/>
      <c r="E882" s="380"/>
      <c r="F882" s="378"/>
      <c r="G882" s="378"/>
      <c r="H882" s="378"/>
      <c r="I882" s="378"/>
      <c r="J882" s="378"/>
      <c r="K882" s="378"/>
      <c r="L882" s="378"/>
      <c r="M882" s="381"/>
      <c r="N882" s="381"/>
      <c r="O882" s="381"/>
      <c r="P882" s="381"/>
      <c r="Q882" s="381"/>
      <c r="R882" s="381"/>
      <c r="S882" s="381"/>
      <c r="T882" s="381"/>
      <c r="U882" s="381"/>
      <c r="V882" s="381"/>
      <c r="W882" s="381"/>
      <c r="X882" s="381"/>
      <c r="Y882" s="381"/>
      <c r="Z882" s="381"/>
      <c r="AA882" s="381"/>
      <c r="AB882" s="381"/>
      <c r="AC882" s="382"/>
      <c r="AD882" s="382"/>
    </row>
    <row r="883" spans="1:30" ht="12.75" customHeight="1" x14ac:dyDescent="0.2">
      <c r="A883" s="378"/>
      <c r="B883" s="378"/>
      <c r="C883" s="378"/>
      <c r="D883" s="380"/>
      <c r="E883" s="380"/>
      <c r="F883" s="378"/>
      <c r="G883" s="378"/>
      <c r="H883" s="378"/>
      <c r="I883" s="378"/>
      <c r="J883" s="378"/>
      <c r="K883" s="378"/>
      <c r="L883" s="378"/>
      <c r="M883" s="381"/>
      <c r="N883" s="381"/>
      <c r="O883" s="381"/>
      <c r="P883" s="381"/>
      <c r="Q883" s="381"/>
      <c r="R883" s="381"/>
      <c r="S883" s="381"/>
      <c r="T883" s="381"/>
      <c r="U883" s="381"/>
      <c r="V883" s="381"/>
      <c r="W883" s="381"/>
      <c r="X883" s="381"/>
      <c r="Y883" s="381"/>
      <c r="Z883" s="381"/>
      <c r="AA883" s="381"/>
      <c r="AB883" s="381"/>
      <c r="AC883" s="382"/>
      <c r="AD883" s="382"/>
    </row>
    <row r="884" spans="1:30" ht="12.75" customHeight="1" x14ac:dyDescent="0.2">
      <c r="A884" s="378"/>
      <c r="B884" s="378"/>
      <c r="C884" s="378"/>
      <c r="D884" s="380"/>
      <c r="E884" s="380"/>
      <c r="F884" s="378"/>
      <c r="G884" s="378"/>
      <c r="H884" s="378"/>
      <c r="I884" s="378"/>
      <c r="J884" s="378"/>
      <c r="K884" s="378"/>
      <c r="L884" s="378"/>
      <c r="M884" s="381"/>
      <c r="N884" s="381"/>
      <c r="O884" s="381"/>
      <c r="P884" s="381"/>
      <c r="Q884" s="381"/>
      <c r="R884" s="381"/>
      <c r="S884" s="381"/>
      <c r="T884" s="381"/>
      <c r="U884" s="381"/>
      <c r="V884" s="381"/>
      <c r="W884" s="381"/>
      <c r="X884" s="381"/>
      <c r="Y884" s="381"/>
      <c r="Z884" s="381"/>
      <c r="AA884" s="381"/>
      <c r="AB884" s="381"/>
      <c r="AC884" s="382"/>
      <c r="AD884" s="382"/>
    </row>
    <row r="885" spans="1:30" ht="12.75" customHeight="1" x14ac:dyDescent="0.2">
      <c r="A885" s="378"/>
      <c r="B885" s="378"/>
      <c r="C885" s="378"/>
      <c r="D885" s="380"/>
      <c r="E885" s="380"/>
      <c r="F885" s="378"/>
      <c r="G885" s="378"/>
      <c r="H885" s="378"/>
      <c r="I885" s="378"/>
      <c r="J885" s="378"/>
      <c r="K885" s="378"/>
      <c r="L885" s="378"/>
      <c r="M885" s="381"/>
      <c r="N885" s="381"/>
      <c r="O885" s="381"/>
      <c r="P885" s="381"/>
      <c r="Q885" s="381"/>
      <c r="R885" s="381"/>
      <c r="S885" s="381"/>
      <c r="T885" s="381"/>
      <c r="U885" s="381"/>
      <c r="V885" s="381"/>
      <c r="W885" s="381"/>
      <c r="X885" s="381"/>
      <c r="Y885" s="381"/>
      <c r="Z885" s="381"/>
      <c r="AA885" s="381"/>
      <c r="AB885" s="381"/>
      <c r="AC885" s="382"/>
      <c r="AD885" s="382"/>
    </row>
    <row r="886" spans="1:30" ht="12.75" customHeight="1" x14ac:dyDescent="0.2">
      <c r="A886" s="378"/>
      <c r="B886" s="378"/>
      <c r="C886" s="378"/>
      <c r="D886" s="380"/>
      <c r="E886" s="380"/>
      <c r="F886" s="378"/>
      <c r="G886" s="378"/>
      <c r="H886" s="378"/>
      <c r="I886" s="378"/>
      <c r="J886" s="378"/>
      <c r="K886" s="378"/>
      <c r="L886" s="378"/>
      <c r="M886" s="381"/>
      <c r="N886" s="381"/>
      <c r="O886" s="381"/>
      <c r="P886" s="381"/>
      <c r="Q886" s="381"/>
      <c r="R886" s="381"/>
      <c r="S886" s="381"/>
      <c r="T886" s="381"/>
      <c r="U886" s="381"/>
      <c r="V886" s="381"/>
      <c r="W886" s="381"/>
      <c r="X886" s="381"/>
      <c r="Y886" s="381"/>
      <c r="Z886" s="381"/>
      <c r="AA886" s="381"/>
      <c r="AB886" s="381"/>
      <c r="AC886" s="382"/>
      <c r="AD886" s="382"/>
    </row>
    <row r="887" spans="1:30" ht="12.75" customHeight="1" x14ac:dyDescent="0.2">
      <c r="A887" s="378"/>
      <c r="B887" s="378"/>
      <c r="C887" s="378"/>
      <c r="D887" s="380"/>
      <c r="E887" s="380"/>
      <c r="F887" s="378"/>
      <c r="G887" s="378"/>
      <c r="H887" s="378"/>
      <c r="I887" s="378"/>
      <c r="J887" s="378"/>
      <c r="K887" s="378"/>
      <c r="L887" s="378"/>
      <c r="M887" s="381"/>
      <c r="N887" s="381"/>
      <c r="O887" s="381"/>
      <c r="P887" s="381"/>
      <c r="Q887" s="381"/>
      <c r="R887" s="381"/>
      <c r="S887" s="381"/>
      <c r="T887" s="381"/>
      <c r="U887" s="381"/>
      <c r="V887" s="381"/>
      <c r="W887" s="381"/>
      <c r="X887" s="381"/>
      <c r="Y887" s="381"/>
      <c r="Z887" s="381"/>
      <c r="AA887" s="381"/>
      <c r="AB887" s="381"/>
      <c r="AC887" s="382"/>
      <c r="AD887" s="382"/>
    </row>
    <row r="888" spans="1:30" ht="12.75" customHeight="1" x14ac:dyDescent="0.2">
      <c r="A888" s="378"/>
      <c r="B888" s="378"/>
      <c r="C888" s="378"/>
      <c r="D888" s="380"/>
      <c r="E888" s="380"/>
      <c r="F888" s="378"/>
      <c r="G888" s="378"/>
      <c r="H888" s="378"/>
      <c r="I888" s="378"/>
      <c r="J888" s="378"/>
      <c r="K888" s="378"/>
      <c r="L888" s="378"/>
      <c r="M888" s="381"/>
      <c r="N888" s="381"/>
      <c r="O888" s="381"/>
      <c r="P888" s="381"/>
      <c r="Q888" s="381"/>
      <c r="R888" s="381"/>
      <c r="S888" s="381"/>
      <c r="T888" s="381"/>
      <c r="U888" s="381"/>
      <c r="V888" s="381"/>
      <c r="W888" s="381"/>
      <c r="X888" s="381"/>
      <c r="Y888" s="381"/>
      <c r="Z888" s="381"/>
      <c r="AA888" s="381"/>
      <c r="AB888" s="381"/>
      <c r="AC888" s="382"/>
      <c r="AD888" s="382"/>
    </row>
    <row r="889" spans="1:30" ht="12.75" customHeight="1" x14ac:dyDescent="0.2">
      <c r="A889" s="378"/>
      <c r="B889" s="378"/>
      <c r="C889" s="378"/>
      <c r="D889" s="380"/>
      <c r="E889" s="380"/>
      <c r="F889" s="378"/>
      <c r="G889" s="378"/>
      <c r="H889" s="378"/>
      <c r="I889" s="378"/>
      <c r="J889" s="378"/>
      <c r="K889" s="378"/>
      <c r="L889" s="378"/>
      <c r="M889" s="381"/>
      <c r="N889" s="381"/>
      <c r="O889" s="381"/>
      <c r="P889" s="381"/>
      <c r="Q889" s="381"/>
      <c r="R889" s="381"/>
      <c r="S889" s="381"/>
      <c r="T889" s="381"/>
      <c r="U889" s="381"/>
      <c r="V889" s="381"/>
      <c r="W889" s="381"/>
      <c r="X889" s="381"/>
      <c r="Y889" s="381"/>
      <c r="Z889" s="381"/>
      <c r="AA889" s="381"/>
      <c r="AB889" s="381"/>
      <c r="AC889" s="382"/>
      <c r="AD889" s="382"/>
    </row>
    <row r="890" spans="1:30" ht="12.75" customHeight="1" x14ac:dyDescent="0.2">
      <c r="A890" s="378"/>
      <c r="B890" s="378"/>
      <c r="C890" s="378"/>
      <c r="D890" s="380"/>
      <c r="E890" s="380"/>
      <c r="F890" s="378"/>
      <c r="G890" s="378"/>
      <c r="H890" s="378"/>
      <c r="I890" s="378"/>
      <c r="J890" s="378"/>
      <c r="K890" s="378"/>
      <c r="L890" s="378"/>
      <c r="M890" s="381"/>
      <c r="N890" s="381"/>
      <c r="O890" s="381"/>
      <c r="P890" s="381"/>
      <c r="Q890" s="381"/>
      <c r="R890" s="381"/>
      <c r="S890" s="381"/>
      <c r="T890" s="381"/>
      <c r="U890" s="381"/>
      <c r="V890" s="381"/>
      <c r="W890" s="381"/>
      <c r="X890" s="381"/>
      <c r="Y890" s="381"/>
      <c r="Z890" s="381"/>
      <c r="AA890" s="381"/>
      <c r="AB890" s="381"/>
      <c r="AC890" s="382"/>
      <c r="AD890" s="382"/>
    </row>
    <row r="891" spans="1:30" ht="12.75" customHeight="1" x14ac:dyDescent="0.2">
      <c r="A891" s="378"/>
      <c r="B891" s="378"/>
      <c r="C891" s="378"/>
      <c r="D891" s="380"/>
      <c r="E891" s="380"/>
      <c r="F891" s="378"/>
      <c r="G891" s="378"/>
      <c r="H891" s="378"/>
      <c r="I891" s="378"/>
      <c r="J891" s="378"/>
      <c r="K891" s="378"/>
      <c r="L891" s="378"/>
      <c r="M891" s="381"/>
      <c r="N891" s="381"/>
      <c r="O891" s="381"/>
      <c r="P891" s="381"/>
      <c r="Q891" s="381"/>
      <c r="R891" s="381"/>
      <c r="S891" s="381"/>
      <c r="T891" s="381"/>
      <c r="U891" s="381"/>
      <c r="V891" s="381"/>
      <c r="W891" s="381"/>
      <c r="X891" s="381"/>
      <c r="Y891" s="381"/>
      <c r="Z891" s="381"/>
      <c r="AA891" s="381"/>
      <c r="AB891" s="381"/>
      <c r="AC891" s="382"/>
      <c r="AD891" s="382"/>
    </row>
    <row r="892" spans="1:30" ht="12.75" customHeight="1" x14ac:dyDescent="0.2">
      <c r="A892" s="378"/>
      <c r="B892" s="378"/>
      <c r="C892" s="378"/>
      <c r="D892" s="380"/>
      <c r="E892" s="380"/>
      <c r="F892" s="378"/>
      <c r="G892" s="378"/>
      <c r="H892" s="378"/>
      <c r="I892" s="378"/>
      <c r="J892" s="378"/>
      <c r="K892" s="378"/>
      <c r="L892" s="378"/>
      <c r="M892" s="381"/>
      <c r="N892" s="381"/>
      <c r="O892" s="381"/>
      <c r="P892" s="381"/>
      <c r="Q892" s="381"/>
      <c r="R892" s="381"/>
      <c r="S892" s="381"/>
      <c r="T892" s="381"/>
      <c r="U892" s="381"/>
      <c r="V892" s="381"/>
      <c r="W892" s="381"/>
      <c r="X892" s="381"/>
      <c r="Y892" s="381"/>
      <c r="Z892" s="381"/>
      <c r="AA892" s="381"/>
      <c r="AB892" s="381"/>
      <c r="AC892" s="382"/>
      <c r="AD892" s="382"/>
    </row>
    <row r="893" spans="1:30" ht="12.75" customHeight="1" x14ac:dyDescent="0.2">
      <c r="A893" s="378"/>
      <c r="B893" s="378"/>
      <c r="C893" s="378"/>
      <c r="D893" s="380"/>
      <c r="E893" s="380"/>
      <c r="F893" s="378"/>
      <c r="G893" s="378"/>
      <c r="H893" s="378"/>
      <c r="I893" s="378"/>
      <c r="J893" s="378"/>
      <c r="K893" s="378"/>
      <c r="L893" s="378"/>
      <c r="M893" s="381"/>
      <c r="N893" s="381"/>
      <c r="O893" s="381"/>
      <c r="P893" s="381"/>
      <c r="Q893" s="381"/>
      <c r="R893" s="381"/>
      <c r="S893" s="381"/>
      <c r="T893" s="381"/>
      <c r="U893" s="381"/>
      <c r="V893" s="381"/>
      <c r="W893" s="381"/>
      <c r="X893" s="381"/>
      <c r="Y893" s="381"/>
      <c r="Z893" s="381"/>
      <c r="AA893" s="381"/>
      <c r="AB893" s="381"/>
      <c r="AC893" s="382"/>
      <c r="AD893" s="382"/>
    </row>
    <row r="894" spans="1:30" ht="12.75" customHeight="1" x14ac:dyDescent="0.2">
      <c r="A894" s="378"/>
      <c r="B894" s="378"/>
      <c r="C894" s="378"/>
      <c r="D894" s="380"/>
      <c r="E894" s="380"/>
      <c r="F894" s="378"/>
      <c r="G894" s="378"/>
      <c r="H894" s="378"/>
      <c r="I894" s="378"/>
      <c r="J894" s="378"/>
      <c r="K894" s="378"/>
      <c r="L894" s="378"/>
      <c r="M894" s="381"/>
      <c r="N894" s="381"/>
      <c r="O894" s="381"/>
      <c r="P894" s="381"/>
      <c r="Q894" s="381"/>
      <c r="R894" s="381"/>
      <c r="S894" s="381"/>
      <c r="T894" s="381"/>
      <c r="U894" s="381"/>
      <c r="V894" s="381"/>
      <c r="W894" s="381"/>
      <c r="X894" s="381"/>
      <c r="Y894" s="381"/>
      <c r="Z894" s="381"/>
      <c r="AA894" s="381"/>
      <c r="AB894" s="381"/>
      <c r="AC894" s="382"/>
      <c r="AD894" s="382"/>
    </row>
    <row r="895" spans="1:30" ht="12.75" customHeight="1" x14ac:dyDescent="0.2">
      <c r="A895" s="378"/>
      <c r="B895" s="378"/>
      <c r="C895" s="378"/>
      <c r="D895" s="380"/>
      <c r="E895" s="380"/>
      <c r="F895" s="378"/>
      <c r="G895" s="378"/>
      <c r="H895" s="378"/>
      <c r="I895" s="378"/>
      <c r="J895" s="378"/>
      <c r="K895" s="378"/>
      <c r="L895" s="378"/>
      <c r="M895" s="381"/>
      <c r="N895" s="381"/>
      <c r="O895" s="381"/>
      <c r="P895" s="381"/>
      <c r="Q895" s="381"/>
      <c r="R895" s="381"/>
      <c r="S895" s="381"/>
      <c r="T895" s="381"/>
      <c r="U895" s="381"/>
      <c r="V895" s="381"/>
      <c r="W895" s="381"/>
      <c r="X895" s="381"/>
      <c r="Y895" s="381"/>
      <c r="Z895" s="381"/>
      <c r="AA895" s="381"/>
      <c r="AB895" s="381"/>
      <c r="AC895" s="382"/>
      <c r="AD895" s="382"/>
    </row>
    <row r="896" spans="1:30" ht="12.75" customHeight="1" x14ac:dyDescent="0.2">
      <c r="A896" s="378"/>
      <c r="B896" s="378"/>
      <c r="C896" s="378"/>
      <c r="D896" s="380"/>
      <c r="E896" s="380"/>
      <c r="F896" s="378"/>
      <c r="G896" s="378"/>
      <c r="H896" s="378"/>
      <c r="I896" s="378"/>
      <c r="J896" s="378"/>
      <c r="K896" s="378"/>
      <c r="L896" s="378"/>
      <c r="M896" s="381"/>
      <c r="N896" s="381"/>
      <c r="O896" s="381"/>
      <c r="P896" s="381"/>
      <c r="Q896" s="381"/>
      <c r="R896" s="381"/>
      <c r="S896" s="381"/>
      <c r="T896" s="381"/>
      <c r="U896" s="381"/>
      <c r="V896" s="381"/>
      <c r="W896" s="381"/>
      <c r="X896" s="381"/>
      <c r="Y896" s="381"/>
      <c r="Z896" s="381"/>
      <c r="AA896" s="381"/>
      <c r="AB896" s="381"/>
      <c r="AC896" s="382"/>
      <c r="AD896" s="382"/>
    </row>
    <row r="897" spans="1:30" ht="12.75" customHeight="1" x14ac:dyDescent="0.2">
      <c r="A897" s="378"/>
      <c r="B897" s="378"/>
      <c r="C897" s="378"/>
      <c r="D897" s="380"/>
      <c r="E897" s="380"/>
      <c r="F897" s="378"/>
      <c r="G897" s="378"/>
      <c r="H897" s="378"/>
      <c r="I897" s="378"/>
      <c r="J897" s="378"/>
      <c r="K897" s="378"/>
      <c r="L897" s="378"/>
      <c r="M897" s="381"/>
      <c r="N897" s="381"/>
      <c r="O897" s="381"/>
      <c r="P897" s="381"/>
      <c r="Q897" s="381"/>
      <c r="R897" s="381"/>
      <c r="S897" s="381"/>
      <c r="T897" s="381"/>
      <c r="U897" s="381"/>
      <c r="V897" s="381"/>
      <c r="W897" s="381"/>
      <c r="X897" s="381"/>
      <c r="Y897" s="381"/>
      <c r="Z897" s="381"/>
      <c r="AA897" s="381"/>
      <c r="AB897" s="381"/>
      <c r="AC897" s="382"/>
      <c r="AD897" s="382"/>
    </row>
    <row r="898" spans="1:30" ht="12.75" customHeight="1" x14ac:dyDescent="0.2">
      <c r="A898" s="378"/>
      <c r="B898" s="378"/>
      <c r="C898" s="378"/>
      <c r="D898" s="380"/>
      <c r="E898" s="380"/>
      <c r="F898" s="378"/>
      <c r="G898" s="378"/>
      <c r="H898" s="378"/>
      <c r="I898" s="378"/>
      <c r="J898" s="378"/>
      <c r="K898" s="378"/>
      <c r="L898" s="378"/>
      <c r="M898" s="381"/>
      <c r="N898" s="381"/>
      <c r="O898" s="381"/>
      <c r="P898" s="381"/>
      <c r="Q898" s="381"/>
      <c r="R898" s="381"/>
      <c r="S898" s="381"/>
      <c r="T898" s="381"/>
      <c r="U898" s="381"/>
      <c r="V898" s="381"/>
      <c r="W898" s="381"/>
      <c r="X898" s="381"/>
      <c r="Y898" s="381"/>
      <c r="Z898" s="381"/>
      <c r="AA898" s="381"/>
      <c r="AB898" s="381"/>
      <c r="AC898" s="382"/>
      <c r="AD898" s="382"/>
    </row>
    <row r="899" spans="1:30" ht="12.75" customHeight="1" x14ac:dyDescent="0.2">
      <c r="A899" s="378"/>
      <c r="B899" s="378"/>
      <c r="C899" s="378"/>
      <c r="D899" s="380"/>
      <c r="E899" s="380"/>
      <c r="F899" s="378"/>
      <c r="G899" s="378"/>
      <c r="H899" s="378"/>
      <c r="I899" s="378"/>
      <c r="J899" s="378"/>
      <c r="K899" s="378"/>
      <c r="L899" s="378"/>
      <c r="M899" s="381"/>
      <c r="N899" s="381"/>
      <c r="O899" s="381"/>
      <c r="P899" s="381"/>
      <c r="Q899" s="381"/>
      <c r="R899" s="381"/>
      <c r="S899" s="381"/>
      <c r="T899" s="381"/>
      <c r="U899" s="381"/>
      <c r="V899" s="381"/>
      <c r="W899" s="381"/>
      <c r="X899" s="381"/>
      <c r="Y899" s="381"/>
      <c r="Z899" s="381"/>
      <c r="AA899" s="381"/>
      <c r="AB899" s="381"/>
      <c r="AC899" s="382"/>
      <c r="AD899" s="382"/>
    </row>
    <row r="900" spans="1:30" ht="12.75" customHeight="1" x14ac:dyDescent="0.2">
      <c r="A900" s="378"/>
      <c r="B900" s="378"/>
      <c r="C900" s="378"/>
      <c r="D900" s="380"/>
      <c r="E900" s="380"/>
      <c r="F900" s="378"/>
      <c r="G900" s="378"/>
      <c r="H900" s="378"/>
      <c r="I900" s="378"/>
      <c r="J900" s="378"/>
      <c r="K900" s="378"/>
      <c r="L900" s="378"/>
      <c r="M900" s="381"/>
      <c r="N900" s="381"/>
      <c r="O900" s="381"/>
      <c r="P900" s="381"/>
      <c r="Q900" s="381"/>
      <c r="R900" s="381"/>
      <c r="S900" s="381"/>
      <c r="T900" s="381"/>
      <c r="U900" s="381"/>
      <c r="V900" s="381"/>
      <c r="W900" s="381"/>
      <c r="X900" s="381"/>
      <c r="Y900" s="381"/>
      <c r="Z900" s="381"/>
      <c r="AA900" s="381"/>
      <c r="AB900" s="381"/>
      <c r="AC900" s="382"/>
      <c r="AD900" s="382"/>
    </row>
    <row r="901" spans="1:30" ht="12.75" customHeight="1" x14ac:dyDescent="0.2">
      <c r="A901" s="378"/>
      <c r="B901" s="378"/>
      <c r="C901" s="378"/>
      <c r="D901" s="380"/>
      <c r="E901" s="380"/>
      <c r="F901" s="378"/>
      <c r="G901" s="378"/>
      <c r="H901" s="378"/>
      <c r="I901" s="378"/>
      <c r="J901" s="378"/>
      <c r="K901" s="378"/>
      <c r="L901" s="378"/>
      <c r="M901" s="381"/>
      <c r="N901" s="381"/>
      <c r="O901" s="381"/>
      <c r="P901" s="381"/>
      <c r="Q901" s="381"/>
      <c r="R901" s="381"/>
      <c r="S901" s="381"/>
      <c r="T901" s="381"/>
      <c r="U901" s="381"/>
      <c r="V901" s="381"/>
      <c r="W901" s="381"/>
      <c r="X901" s="381"/>
      <c r="Y901" s="381"/>
      <c r="Z901" s="381"/>
      <c r="AA901" s="381"/>
      <c r="AB901" s="381"/>
      <c r="AC901" s="382"/>
      <c r="AD901" s="382"/>
    </row>
    <row r="902" spans="1:30" ht="12.75" customHeight="1" x14ac:dyDescent="0.2">
      <c r="A902" s="378"/>
      <c r="B902" s="378"/>
      <c r="C902" s="378"/>
      <c r="D902" s="380"/>
      <c r="E902" s="380"/>
      <c r="F902" s="378"/>
      <c r="G902" s="378"/>
      <c r="H902" s="378"/>
      <c r="I902" s="378"/>
      <c r="J902" s="378"/>
      <c r="K902" s="378"/>
      <c r="L902" s="378"/>
      <c r="M902" s="381"/>
      <c r="N902" s="381"/>
      <c r="O902" s="381"/>
      <c r="P902" s="381"/>
      <c r="Q902" s="381"/>
      <c r="R902" s="381"/>
      <c r="S902" s="381"/>
      <c r="T902" s="381"/>
      <c r="U902" s="381"/>
      <c r="V902" s="381"/>
      <c r="W902" s="381"/>
      <c r="X902" s="381"/>
      <c r="Y902" s="381"/>
      <c r="Z902" s="381"/>
      <c r="AA902" s="381"/>
      <c r="AB902" s="381"/>
      <c r="AC902" s="382"/>
      <c r="AD902" s="382"/>
    </row>
    <row r="903" spans="1:30" ht="12.75" customHeight="1" x14ac:dyDescent="0.2">
      <c r="A903" s="378"/>
      <c r="B903" s="378"/>
      <c r="C903" s="378"/>
      <c r="D903" s="380"/>
      <c r="E903" s="380"/>
      <c r="F903" s="378"/>
      <c r="G903" s="378"/>
      <c r="H903" s="378"/>
      <c r="I903" s="378"/>
      <c r="J903" s="378"/>
      <c r="K903" s="378"/>
      <c r="L903" s="378"/>
      <c r="M903" s="381"/>
      <c r="N903" s="381"/>
      <c r="O903" s="381"/>
      <c r="P903" s="381"/>
      <c r="Q903" s="381"/>
      <c r="R903" s="381"/>
      <c r="S903" s="381"/>
      <c r="T903" s="381"/>
      <c r="U903" s="381"/>
      <c r="V903" s="381"/>
      <c r="W903" s="381"/>
      <c r="X903" s="381"/>
      <c r="Y903" s="381"/>
      <c r="Z903" s="381"/>
      <c r="AA903" s="381"/>
      <c r="AB903" s="381"/>
      <c r="AC903" s="382"/>
      <c r="AD903" s="382"/>
    </row>
    <row r="904" spans="1:30" ht="12.75" customHeight="1" x14ac:dyDescent="0.2">
      <c r="A904" s="378"/>
      <c r="B904" s="378"/>
      <c r="C904" s="378"/>
      <c r="D904" s="380"/>
      <c r="E904" s="380"/>
      <c r="F904" s="378"/>
      <c r="G904" s="378"/>
      <c r="H904" s="378"/>
      <c r="I904" s="378"/>
      <c r="J904" s="378"/>
      <c r="K904" s="378"/>
      <c r="L904" s="378"/>
      <c r="M904" s="381"/>
      <c r="N904" s="381"/>
      <c r="O904" s="381"/>
      <c r="P904" s="381"/>
      <c r="Q904" s="381"/>
      <c r="R904" s="381"/>
      <c r="S904" s="381"/>
      <c r="T904" s="381"/>
      <c r="U904" s="381"/>
      <c r="V904" s="381"/>
      <c r="W904" s="381"/>
      <c r="X904" s="381"/>
      <c r="Y904" s="381"/>
      <c r="Z904" s="381"/>
      <c r="AA904" s="381"/>
      <c r="AB904" s="381"/>
      <c r="AC904" s="382"/>
      <c r="AD904" s="382"/>
    </row>
    <row r="905" spans="1:30" ht="12.75" customHeight="1" x14ac:dyDescent="0.2">
      <c r="A905" s="378"/>
      <c r="B905" s="378"/>
      <c r="C905" s="378"/>
      <c r="D905" s="380"/>
      <c r="E905" s="380"/>
      <c r="F905" s="378"/>
      <c r="G905" s="378"/>
      <c r="H905" s="378"/>
      <c r="I905" s="378"/>
      <c r="J905" s="378"/>
      <c r="K905" s="378"/>
      <c r="L905" s="378"/>
      <c r="M905" s="381"/>
      <c r="N905" s="381"/>
      <c r="O905" s="381"/>
      <c r="P905" s="381"/>
      <c r="Q905" s="381"/>
      <c r="R905" s="381"/>
      <c r="S905" s="381"/>
      <c r="T905" s="381"/>
      <c r="U905" s="381"/>
      <c r="V905" s="381"/>
      <c r="W905" s="381"/>
      <c r="X905" s="381"/>
      <c r="Y905" s="381"/>
      <c r="Z905" s="381"/>
      <c r="AA905" s="381"/>
      <c r="AB905" s="381"/>
      <c r="AC905" s="382"/>
      <c r="AD905" s="382"/>
    </row>
    <row r="906" spans="1:30" ht="12.75" customHeight="1" x14ac:dyDescent="0.2">
      <c r="A906" s="378"/>
      <c r="B906" s="378"/>
      <c r="C906" s="378"/>
      <c r="D906" s="380"/>
      <c r="E906" s="380"/>
      <c r="F906" s="378"/>
      <c r="G906" s="378"/>
      <c r="H906" s="378"/>
      <c r="I906" s="378"/>
      <c r="J906" s="378"/>
      <c r="K906" s="378"/>
      <c r="L906" s="378"/>
      <c r="M906" s="381"/>
      <c r="N906" s="381"/>
      <c r="O906" s="381"/>
      <c r="P906" s="381"/>
      <c r="Q906" s="381"/>
      <c r="R906" s="381"/>
      <c r="S906" s="381"/>
      <c r="T906" s="381"/>
      <c r="U906" s="381"/>
      <c r="V906" s="381"/>
      <c r="W906" s="381"/>
      <c r="X906" s="381"/>
      <c r="Y906" s="381"/>
      <c r="Z906" s="381"/>
      <c r="AA906" s="381"/>
      <c r="AB906" s="381"/>
      <c r="AC906" s="382"/>
      <c r="AD906" s="382"/>
    </row>
    <row r="907" spans="1:30" ht="12.75" customHeight="1" x14ac:dyDescent="0.2">
      <c r="A907" s="378"/>
      <c r="B907" s="378"/>
      <c r="C907" s="378"/>
      <c r="D907" s="380"/>
      <c r="E907" s="380"/>
      <c r="F907" s="378"/>
      <c r="G907" s="378"/>
      <c r="H907" s="378"/>
      <c r="I907" s="378"/>
      <c r="J907" s="378"/>
      <c r="K907" s="378"/>
      <c r="L907" s="378"/>
      <c r="M907" s="381"/>
      <c r="N907" s="381"/>
      <c r="O907" s="381"/>
      <c r="P907" s="381"/>
      <c r="Q907" s="381"/>
      <c r="R907" s="381"/>
      <c r="S907" s="381"/>
      <c r="T907" s="381"/>
      <c r="U907" s="381"/>
      <c r="V907" s="381"/>
      <c r="W907" s="381"/>
      <c r="X907" s="381"/>
      <c r="Y907" s="381"/>
      <c r="Z907" s="381"/>
      <c r="AA907" s="381"/>
      <c r="AB907" s="381"/>
      <c r="AC907" s="382"/>
      <c r="AD907" s="382"/>
    </row>
    <row r="908" spans="1:30" ht="12.75" customHeight="1" x14ac:dyDescent="0.2">
      <c r="A908" s="378"/>
      <c r="B908" s="378"/>
      <c r="C908" s="378"/>
      <c r="D908" s="380"/>
      <c r="E908" s="380"/>
      <c r="F908" s="378"/>
      <c r="G908" s="378"/>
      <c r="H908" s="378"/>
      <c r="I908" s="378"/>
      <c r="J908" s="378"/>
      <c r="K908" s="378"/>
      <c r="L908" s="378"/>
      <c r="M908" s="381"/>
      <c r="N908" s="381"/>
      <c r="O908" s="381"/>
      <c r="P908" s="381"/>
      <c r="Q908" s="381"/>
      <c r="R908" s="381"/>
      <c r="S908" s="381"/>
      <c r="T908" s="381"/>
      <c r="U908" s="381"/>
      <c r="V908" s="381"/>
      <c r="W908" s="381"/>
      <c r="X908" s="381"/>
      <c r="Y908" s="381"/>
      <c r="Z908" s="381"/>
      <c r="AA908" s="381"/>
      <c r="AB908" s="381"/>
      <c r="AC908" s="382"/>
      <c r="AD908" s="382"/>
    </row>
    <row r="909" spans="1:30" ht="12.75" customHeight="1" x14ac:dyDescent="0.2">
      <c r="A909" s="378"/>
      <c r="B909" s="378"/>
      <c r="C909" s="378"/>
      <c r="D909" s="380"/>
      <c r="E909" s="380"/>
      <c r="F909" s="378"/>
      <c r="G909" s="378"/>
      <c r="H909" s="378"/>
      <c r="I909" s="378"/>
      <c r="J909" s="378"/>
      <c r="K909" s="378"/>
      <c r="L909" s="378"/>
      <c r="M909" s="381"/>
      <c r="N909" s="381"/>
      <c r="O909" s="381"/>
      <c r="P909" s="381"/>
      <c r="Q909" s="381"/>
      <c r="R909" s="381"/>
      <c r="S909" s="381"/>
      <c r="T909" s="381"/>
      <c r="U909" s="381"/>
      <c r="V909" s="381"/>
      <c r="W909" s="381"/>
      <c r="X909" s="381"/>
      <c r="Y909" s="381"/>
      <c r="Z909" s="381"/>
      <c r="AA909" s="381"/>
      <c r="AB909" s="381"/>
      <c r="AC909" s="382"/>
      <c r="AD909" s="382"/>
    </row>
    <row r="910" spans="1:30" ht="12.75" customHeight="1" x14ac:dyDescent="0.2">
      <c r="A910" s="378"/>
      <c r="B910" s="378"/>
      <c r="C910" s="378"/>
      <c r="D910" s="380"/>
      <c r="E910" s="380"/>
      <c r="F910" s="378"/>
      <c r="G910" s="378"/>
      <c r="H910" s="378"/>
      <c r="I910" s="378"/>
      <c r="J910" s="378"/>
      <c r="K910" s="378"/>
      <c r="L910" s="378"/>
      <c r="M910" s="381"/>
      <c r="N910" s="381"/>
      <c r="O910" s="381"/>
      <c r="P910" s="381"/>
      <c r="Q910" s="381"/>
      <c r="R910" s="381"/>
      <c r="S910" s="381"/>
      <c r="T910" s="381"/>
      <c r="U910" s="381"/>
      <c r="V910" s="381"/>
      <c r="W910" s="381"/>
      <c r="X910" s="381"/>
      <c r="Y910" s="381"/>
      <c r="Z910" s="381"/>
      <c r="AA910" s="381"/>
      <c r="AB910" s="381"/>
      <c r="AC910" s="382"/>
      <c r="AD910" s="382"/>
    </row>
    <row r="911" spans="1:30" ht="12.75" customHeight="1" x14ac:dyDescent="0.2">
      <c r="A911" s="378"/>
      <c r="B911" s="378"/>
      <c r="C911" s="378"/>
      <c r="D911" s="380"/>
      <c r="E911" s="380"/>
      <c r="F911" s="378"/>
      <c r="G911" s="378"/>
      <c r="H911" s="378"/>
      <c r="I911" s="378"/>
      <c r="J911" s="378"/>
      <c r="K911" s="378"/>
      <c r="L911" s="378"/>
      <c r="M911" s="381"/>
      <c r="N911" s="381"/>
      <c r="O911" s="381"/>
      <c r="P911" s="381"/>
      <c r="Q911" s="381"/>
      <c r="R911" s="381"/>
      <c r="S911" s="381"/>
      <c r="T911" s="381"/>
      <c r="U911" s="381"/>
      <c r="V911" s="381"/>
      <c r="W911" s="381"/>
      <c r="X911" s="381"/>
      <c r="Y911" s="381"/>
      <c r="Z911" s="381"/>
      <c r="AA911" s="381"/>
      <c r="AB911" s="381"/>
      <c r="AC911" s="382"/>
      <c r="AD911" s="382"/>
    </row>
    <row r="912" spans="1:30" ht="12.75" customHeight="1" x14ac:dyDescent="0.2">
      <c r="A912" s="378"/>
      <c r="B912" s="378"/>
      <c r="C912" s="378"/>
      <c r="D912" s="380"/>
      <c r="E912" s="380"/>
      <c r="F912" s="378"/>
      <c r="G912" s="378"/>
      <c r="H912" s="378"/>
      <c r="I912" s="378"/>
      <c r="J912" s="378"/>
      <c r="K912" s="378"/>
      <c r="L912" s="378"/>
      <c r="M912" s="381"/>
      <c r="N912" s="381"/>
      <c r="O912" s="381"/>
      <c r="P912" s="381"/>
      <c r="Q912" s="381"/>
      <c r="R912" s="381"/>
      <c r="S912" s="381"/>
      <c r="T912" s="381"/>
      <c r="U912" s="381"/>
      <c r="V912" s="381"/>
      <c r="W912" s="381"/>
      <c r="X912" s="381"/>
      <c r="Y912" s="381"/>
      <c r="Z912" s="381"/>
      <c r="AA912" s="381"/>
      <c r="AB912" s="381"/>
      <c r="AC912" s="382"/>
      <c r="AD912" s="382"/>
    </row>
    <row r="913" spans="1:30" ht="12.75" customHeight="1" x14ac:dyDescent="0.2">
      <c r="A913" s="378"/>
      <c r="B913" s="378"/>
      <c r="C913" s="378"/>
      <c r="D913" s="380"/>
      <c r="E913" s="380"/>
      <c r="F913" s="378"/>
      <c r="G913" s="378"/>
      <c r="H913" s="378"/>
      <c r="I913" s="378"/>
      <c r="J913" s="378"/>
      <c r="K913" s="378"/>
      <c r="L913" s="378"/>
      <c r="M913" s="381"/>
      <c r="N913" s="381"/>
      <c r="O913" s="381"/>
      <c r="P913" s="381"/>
      <c r="Q913" s="381"/>
      <c r="R913" s="381"/>
      <c r="S913" s="381"/>
      <c r="T913" s="381"/>
      <c r="U913" s="381"/>
      <c r="V913" s="381"/>
      <c r="W913" s="381"/>
      <c r="X913" s="381"/>
      <c r="Y913" s="381"/>
      <c r="Z913" s="381"/>
      <c r="AA913" s="381"/>
      <c r="AB913" s="381"/>
      <c r="AC913" s="382"/>
      <c r="AD913" s="382"/>
    </row>
    <row r="914" spans="1:30" ht="12.75" customHeight="1" x14ac:dyDescent="0.2">
      <c r="A914" s="378"/>
      <c r="B914" s="378"/>
      <c r="C914" s="378"/>
      <c r="D914" s="380"/>
      <c r="E914" s="380"/>
      <c r="F914" s="378"/>
      <c r="G914" s="378"/>
      <c r="H914" s="378"/>
      <c r="I914" s="378"/>
      <c r="J914" s="378"/>
      <c r="K914" s="378"/>
      <c r="L914" s="378"/>
      <c r="M914" s="381"/>
      <c r="N914" s="381"/>
      <c r="O914" s="381"/>
      <c r="P914" s="381"/>
      <c r="Q914" s="381"/>
      <c r="R914" s="381"/>
      <c r="S914" s="381"/>
      <c r="T914" s="381"/>
      <c r="U914" s="381"/>
      <c r="V914" s="381"/>
      <c r="W914" s="381"/>
      <c r="X914" s="381"/>
      <c r="Y914" s="381"/>
      <c r="Z914" s="381"/>
      <c r="AA914" s="381"/>
      <c r="AB914" s="381"/>
      <c r="AC914" s="382"/>
      <c r="AD914" s="382"/>
    </row>
    <row r="915" spans="1:30" ht="12.75" customHeight="1" x14ac:dyDescent="0.2">
      <c r="A915" s="378"/>
      <c r="B915" s="378"/>
      <c r="C915" s="378"/>
      <c r="D915" s="380"/>
      <c r="E915" s="380"/>
      <c r="F915" s="378"/>
      <c r="G915" s="378"/>
      <c r="H915" s="378"/>
      <c r="I915" s="378"/>
      <c r="J915" s="378"/>
      <c r="K915" s="378"/>
      <c r="L915" s="378"/>
      <c r="M915" s="381"/>
      <c r="N915" s="381"/>
      <c r="O915" s="381"/>
      <c r="P915" s="381"/>
      <c r="Q915" s="381"/>
      <c r="R915" s="381"/>
      <c r="S915" s="381"/>
      <c r="T915" s="381"/>
      <c r="U915" s="381"/>
      <c r="V915" s="381"/>
      <c r="W915" s="381"/>
      <c r="X915" s="381"/>
      <c r="Y915" s="381"/>
      <c r="Z915" s="381"/>
      <c r="AA915" s="381"/>
      <c r="AB915" s="381"/>
      <c r="AC915" s="382"/>
      <c r="AD915" s="382"/>
    </row>
    <row r="916" spans="1:30" ht="12.75" customHeight="1" x14ac:dyDescent="0.2">
      <c r="A916" s="378"/>
      <c r="B916" s="378"/>
      <c r="C916" s="378"/>
      <c r="D916" s="380"/>
      <c r="E916" s="380"/>
      <c r="F916" s="378"/>
      <c r="G916" s="378"/>
      <c r="H916" s="378"/>
      <c r="I916" s="378"/>
      <c r="J916" s="378"/>
      <c r="K916" s="378"/>
      <c r="L916" s="378"/>
      <c r="M916" s="381"/>
      <c r="N916" s="381"/>
      <c r="O916" s="381"/>
      <c r="P916" s="381"/>
      <c r="Q916" s="381"/>
      <c r="R916" s="381"/>
      <c r="S916" s="381"/>
      <c r="T916" s="381"/>
      <c r="U916" s="381"/>
      <c r="V916" s="381"/>
      <c r="W916" s="381"/>
      <c r="X916" s="381"/>
      <c r="Y916" s="381"/>
      <c r="Z916" s="381"/>
      <c r="AA916" s="381"/>
      <c r="AB916" s="381"/>
      <c r="AC916" s="382"/>
      <c r="AD916" s="382"/>
    </row>
    <row r="917" spans="1:30" ht="12.75" customHeight="1" x14ac:dyDescent="0.2">
      <c r="A917" s="378"/>
      <c r="B917" s="378"/>
      <c r="C917" s="378"/>
      <c r="D917" s="380"/>
      <c r="E917" s="380"/>
      <c r="F917" s="378"/>
      <c r="G917" s="378"/>
      <c r="H917" s="378"/>
      <c r="I917" s="378"/>
      <c r="J917" s="378"/>
      <c r="K917" s="378"/>
      <c r="L917" s="378"/>
      <c r="M917" s="381"/>
      <c r="N917" s="381"/>
      <c r="O917" s="381"/>
      <c r="P917" s="381"/>
      <c r="Q917" s="381"/>
      <c r="R917" s="381"/>
      <c r="S917" s="381"/>
      <c r="T917" s="381"/>
      <c r="U917" s="381"/>
      <c r="V917" s="381"/>
      <c r="W917" s="381"/>
      <c r="X917" s="381"/>
      <c r="Y917" s="381"/>
      <c r="Z917" s="381"/>
      <c r="AA917" s="381"/>
      <c r="AB917" s="381"/>
      <c r="AC917" s="382"/>
      <c r="AD917" s="382"/>
    </row>
    <row r="918" spans="1:30" ht="12.75" customHeight="1" x14ac:dyDescent="0.2">
      <c r="A918" s="378"/>
      <c r="B918" s="378"/>
      <c r="C918" s="378"/>
      <c r="D918" s="380"/>
      <c r="E918" s="380"/>
      <c r="F918" s="378"/>
      <c r="G918" s="378"/>
      <c r="H918" s="378"/>
      <c r="I918" s="378"/>
      <c r="J918" s="378"/>
      <c r="K918" s="378"/>
      <c r="L918" s="378"/>
      <c r="M918" s="381"/>
      <c r="N918" s="381"/>
      <c r="O918" s="381"/>
      <c r="P918" s="381"/>
      <c r="Q918" s="381"/>
      <c r="R918" s="381"/>
      <c r="S918" s="381"/>
      <c r="T918" s="381"/>
      <c r="U918" s="381"/>
      <c r="V918" s="381"/>
      <c r="W918" s="381"/>
      <c r="X918" s="381"/>
      <c r="Y918" s="381"/>
      <c r="Z918" s="381"/>
      <c r="AA918" s="381"/>
      <c r="AB918" s="381"/>
      <c r="AC918" s="382"/>
      <c r="AD918" s="382"/>
    </row>
    <row r="919" spans="1:30" ht="12.75" customHeight="1" x14ac:dyDescent="0.2">
      <c r="A919" s="378"/>
      <c r="B919" s="378"/>
      <c r="C919" s="378"/>
      <c r="D919" s="380"/>
      <c r="E919" s="380"/>
      <c r="F919" s="378"/>
      <c r="G919" s="378"/>
      <c r="H919" s="378"/>
      <c r="I919" s="378"/>
      <c r="J919" s="378"/>
      <c r="K919" s="378"/>
      <c r="L919" s="378"/>
      <c r="M919" s="381"/>
      <c r="N919" s="381"/>
      <c r="O919" s="381"/>
      <c r="P919" s="381"/>
      <c r="Q919" s="381"/>
      <c r="R919" s="381"/>
      <c r="S919" s="381"/>
      <c r="T919" s="381"/>
      <c r="U919" s="381"/>
      <c r="V919" s="381"/>
      <c r="W919" s="381"/>
      <c r="X919" s="381"/>
      <c r="Y919" s="381"/>
      <c r="Z919" s="381"/>
      <c r="AA919" s="381"/>
      <c r="AB919" s="381"/>
      <c r="AC919" s="382"/>
      <c r="AD919" s="382"/>
    </row>
    <row r="920" spans="1:30" ht="12.75" customHeight="1" x14ac:dyDescent="0.2">
      <c r="A920" s="378"/>
      <c r="B920" s="378"/>
      <c r="C920" s="378"/>
      <c r="D920" s="380"/>
      <c r="E920" s="380"/>
      <c r="F920" s="378"/>
      <c r="G920" s="378"/>
      <c r="H920" s="378"/>
      <c r="I920" s="378"/>
      <c r="J920" s="378"/>
      <c r="K920" s="378"/>
      <c r="L920" s="378"/>
      <c r="M920" s="381"/>
      <c r="N920" s="381"/>
      <c r="O920" s="381"/>
      <c r="P920" s="381"/>
      <c r="Q920" s="381"/>
      <c r="R920" s="381"/>
      <c r="S920" s="381"/>
      <c r="T920" s="381"/>
      <c r="U920" s="381"/>
      <c r="V920" s="381"/>
      <c r="W920" s="381"/>
      <c r="X920" s="381"/>
      <c r="Y920" s="381"/>
      <c r="Z920" s="381"/>
      <c r="AA920" s="381"/>
      <c r="AB920" s="381"/>
      <c r="AC920" s="382"/>
      <c r="AD920" s="382"/>
    </row>
    <row r="921" spans="1:30" ht="12.75" customHeight="1" x14ac:dyDescent="0.2">
      <c r="A921" s="378"/>
      <c r="B921" s="378"/>
      <c r="C921" s="378"/>
      <c r="D921" s="380"/>
      <c r="E921" s="380"/>
      <c r="F921" s="378"/>
      <c r="G921" s="378"/>
      <c r="H921" s="378"/>
      <c r="I921" s="378"/>
      <c r="J921" s="378"/>
      <c r="K921" s="378"/>
      <c r="L921" s="378"/>
      <c r="M921" s="381"/>
      <c r="N921" s="381"/>
      <c r="O921" s="381"/>
      <c r="P921" s="381"/>
      <c r="Q921" s="381"/>
      <c r="R921" s="381"/>
      <c r="S921" s="381"/>
      <c r="T921" s="381"/>
      <c r="U921" s="381"/>
      <c r="V921" s="381"/>
      <c r="W921" s="381"/>
      <c r="X921" s="381"/>
      <c r="Y921" s="381"/>
      <c r="Z921" s="381"/>
      <c r="AA921" s="381"/>
      <c r="AB921" s="381"/>
      <c r="AC921" s="382"/>
      <c r="AD921" s="382"/>
    </row>
    <row r="922" spans="1:30" ht="12.75" customHeight="1" x14ac:dyDescent="0.2">
      <c r="A922" s="378"/>
      <c r="B922" s="378"/>
      <c r="C922" s="378"/>
      <c r="D922" s="380"/>
      <c r="E922" s="380"/>
      <c r="F922" s="378"/>
      <c r="G922" s="378"/>
      <c r="H922" s="378"/>
      <c r="I922" s="378"/>
      <c r="J922" s="378"/>
      <c r="K922" s="378"/>
      <c r="L922" s="378"/>
      <c r="M922" s="381"/>
      <c r="N922" s="381"/>
      <c r="O922" s="381"/>
      <c r="P922" s="381"/>
      <c r="Q922" s="381"/>
      <c r="R922" s="381"/>
      <c r="S922" s="381"/>
      <c r="T922" s="381"/>
      <c r="U922" s="381"/>
      <c r="V922" s="381"/>
      <c r="W922" s="381"/>
      <c r="X922" s="381"/>
      <c r="Y922" s="381"/>
      <c r="Z922" s="381"/>
      <c r="AA922" s="381"/>
      <c r="AB922" s="381"/>
      <c r="AC922" s="382"/>
      <c r="AD922" s="382"/>
    </row>
    <row r="923" spans="1:30" ht="12.75" customHeight="1" x14ac:dyDescent="0.2">
      <c r="A923" s="378"/>
      <c r="B923" s="378"/>
      <c r="C923" s="378"/>
      <c r="D923" s="380"/>
      <c r="E923" s="380"/>
      <c r="F923" s="378"/>
      <c r="G923" s="378"/>
      <c r="H923" s="378"/>
      <c r="I923" s="378"/>
      <c r="J923" s="378"/>
      <c r="K923" s="378"/>
      <c r="L923" s="378"/>
      <c r="M923" s="381"/>
      <c r="N923" s="381"/>
      <c r="O923" s="381"/>
      <c r="P923" s="381"/>
      <c r="Q923" s="381"/>
      <c r="R923" s="381"/>
      <c r="S923" s="381"/>
      <c r="T923" s="381"/>
      <c r="U923" s="381"/>
      <c r="V923" s="381"/>
      <c r="W923" s="381"/>
      <c r="X923" s="381"/>
      <c r="Y923" s="381"/>
      <c r="Z923" s="381"/>
      <c r="AA923" s="381"/>
      <c r="AB923" s="381"/>
      <c r="AC923" s="382"/>
      <c r="AD923" s="382"/>
    </row>
    <row r="924" spans="1:30" ht="12.75" customHeight="1" x14ac:dyDescent="0.2">
      <c r="A924" s="378"/>
      <c r="B924" s="378"/>
      <c r="C924" s="378"/>
      <c r="D924" s="380"/>
      <c r="E924" s="380"/>
      <c r="F924" s="378"/>
      <c r="G924" s="378"/>
      <c r="H924" s="378"/>
      <c r="I924" s="378"/>
      <c r="J924" s="378"/>
      <c r="K924" s="378"/>
      <c r="L924" s="378"/>
      <c r="M924" s="381"/>
      <c r="N924" s="381"/>
      <c r="O924" s="381"/>
      <c r="P924" s="381"/>
      <c r="Q924" s="381"/>
      <c r="R924" s="381"/>
      <c r="S924" s="381"/>
      <c r="T924" s="381"/>
      <c r="U924" s="381"/>
      <c r="V924" s="381"/>
      <c r="W924" s="381"/>
      <c r="X924" s="381"/>
      <c r="Y924" s="381"/>
      <c r="Z924" s="381"/>
      <c r="AA924" s="381"/>
      <c r="AB924" s="381"/>
      <c r="AC924" s="382"/>
      <c r="AD924" s="382"/>
    </row>
    <row r="925" spans="1:30" ht="12.75" customHeight="1" x14ac:dyDescent="0.2">
      <c r="A925" s="378"/>
      <c r="B925" s="378"/>
      <c r="C925" s="378"/>
      <c r="D925" s="380"/>
      <c r="E925" s="380"/>
      <c r="F925" s="378"/>
      <c r="G925" s="378"/>
      <c r="H925" s="378"/>
      <c r="I925" s="378"/>
      <c r="J925" s="378"/>
      <c r="K925" s="378"/>
      <c r="L925" s="378"/>
      <c r="M925" s="381"/>
      <c r="N925" s="381"/>
      <c r="O925" s="381"/>
      <c r="P925" s="381"/>
      <c r="Q925" s="381"/>
      <c r="R925" s="381"/>
      <c r="S925" s="381"/>
      <c r="T925" s="381"/>
      <c r="U925" s="381"/>
      <c r="V925" s="381"/>
      <c r="W925" s="381"/>
      <c r="X925" s="381"/>
      <c r="Y925" s="381"/>
      <c r="Z925" s="381"/>
      <c r="AA925" s="381"/>
      <c r="AB925" s="381"/>
      <c r="AC925" s="382"/>
      <c r="AD925" s="382"/>
    </row>
    <row r="926" spans="1:30" ht="12.75" customHeight="1" x14ac:dyDescent="0.2">
      <c r="A926" s="378"/>
      <c r="B926" s="378"/>
      <c r="C926" s="378"/>
      <c r="D926" s="380"/>
      <c r="E926" s="380"/>
      <c r="F926" s="378"/>
      <c r="G926" s="378"/>
      <c r="H926" s="378"/>
      <c r="I926" s="378"/>
      <c r="J926" s="378"/>
      <c r="K926" s="378"/>
      <c r="L926" s="378"/>
      <c r="M926" s="381"/>
      <c r="N926" s="381"/>
      <c r="O926" s="381"/>
      <c r="P926" s="381"/>
      <c r="Q926" s="381"/>
      <c r="R926" s="381"/>
      <c r="S926" s="381"/>
      <c r="T926" s="381"/>
      <c r="U926" s="381"/>
      <c r="V926" s="381"/>
      <c r="W926" s="381"/>
      <c r="X926" s="381"/>
      <c r="Y926" s="381"/>
      <c r="Z926" s="381"/>
      <c r="AA926" s="381"/>
      <c r="AB926" s="381"/>
      <c r="AC926" s="382"/>
      <c r="AD926" s="382"/>
    </row>
    <row r="927" spans="1:30" ht="12.75" customHeight="1" x14ac:dyDescent="0.2">
      <c r="A927" s="378"/>
      <c r="B927" s="378"/>
      <c r="C927" s="378"/>
      <c r="D927" s="380"/>
      <c r="E927" s="380"/>
      <c r="F927" s="378"/>
      <c r="G927" s="378"/>
      <c r="H927" s="378"/>
      <c r="I927" s="378"/>
      <c r="J927" s="378"/>
      <c r="K927" s="378"/>
      <c r="L927" s="378"/>
      <c r="M927" s="381"/>
      <c r="N927" s="381"/>
      <c r="O927" s="381"/>
      <c r="P927" s="381"/>
      <c r="Q927" s="381"/>
      <c r="R927" s="381"/>
      <c r="S927" s="381"/>
      <c r="T927" s="381"/>
      <c r="U927" s="381"/>
      <c r="V927" s="381"/>
      <c r="W927" s="381"/>
      <c r="X927" s="381"/>
      <c r="Y927" s="381"/>
      <c r="Z927" s="381"/>
      <c r="AA927" s="381"/>
      <c r="AB927" s="381"/>
      <c r="AC927" s="382"/>
      <c r="AD927" s="382"/>
    </row>
    <row r="928" spans="1:30" ht="12.75" customHeight="1" x14ac:dyDescent="0.2">
      <c r="A928" s="378"/>
      <c r="B928" s="378"/>
      <c r="C928" s="378"/>
      <c r="D928" s="380"/>
      <c r="E928" s="380"/>
      <c r="F928" s="378"/>
      <c r="G928" s="378"/>
      <c r="H928" s="378"/>
      <c r="I928" s="378"/>
      <c r="J928" s="378"/>
      <c r="K928" s="378"/>
      <c r="L928" s="378"/>
      <c r="M928" s="381"/>
      <c r="N928" s="381"/>
      <c r="O928" s="381"/>
      <c r="P928" s="381"/>
      <c r="Q928" s="381"/>
      <c r="R928" s="381"/>
      <c r="S928" s="381"/>
      <c r="T928" s="381"/>
      <c r="U928" s="381"/>
      <c r="V928" s="381"/>
      <c r="W928" s="381"/>
      <c r="X928" s="381"/>
      <c r="Y928" s="381"/>
      <c r="Z928" s="381"/>
      <c r="AA928" s="381"/>
      <c r="AB928" s="381"/>
      <c r="AC928" s="382"/>
      <c r="AD928" s="382"/>
    </row>
    <row r="929" spans="1:30" ht="12.75" customHeight="1" x14ac:dyDescent="0.2">
      <c r="A929" s="378"/>
      <c r="B929" s="378"/>
      <c r="C929" s="378"/>
      <c r="D929" s="380"/>
      <c r="E929" s="380"/>
      <c r="F929" s="378"/>
      <c r="G929" s="378"/>
      <c r="H929" s="378"/>
      <c r="I929" s="378"/>
      <c r="J929" s="378"/>
      <c r="K929" s="378"/>
      <c r="L929" s="378"/>
      <c r="M929" s="381"/>
      <c r="N929" s="381"/>
      <c r="O929" s="381"/>
      <c r="P929" s="381"/>
      <c r="Q929" s="381"/>
      <c r="R929" s="381"/>
      <c r="S929" s="381"/>
      <c r="T929" s="381"/>
      <c r="U929" s="381"/>
      <c r="V929" s="381"/>
      <c r="W929" s="381"/>
      <c r="X929" s="381"/>
      <c r="Y929" s="381"/>
      <c r="Z929" s="381"/>
      <c r="AA929" s="381"/>
      <c r="AB929" s="381"/>
      <c r="AC929" s="382"/>
      <c r="AD929" s="382"/>
    </row>
    <row r="930" spans="1:30" ht="12.75" customHeight="1" x14ac:dyDescent="0.2">
      <c r="A930" s="378"/>
      <c r="B930" s="378"/>
      <c r="C930" s="378"/>
      <c r="D930" s="380"/>
      <c r="E930" s="380"/>
      <c r="F930" s="378"/>
      <c r="G930" s="378"/>
      <c r="H930" s="378"/>
      <c r="I930" s="378"/>
      <c r="J930" s="378"/>
      <c r="K930" s="378"/>
      <c r="L930" s="378"/>
      <c r="M930" s="381"/>
      <c r="N930" s="381"/>
      <c r="O930" s="381"/>
      <c r="P930" s="381"/>
      <c r="Q930" s="381"/>
      <c r="R930" s="381"/>
      <c r="S930" s="381"/>
      <c r="T930" s="381"/>
      <c r="U930" s="381"/>
      <c r="V930" s="381"/>
      <c r="W930" s="381"/>
      <c r="X930" s="381"/>
      <c r="Y930" s="381"/>
      <c r="Z930" s="381"/>
      <c r="AA930" s="381"/>
      <c r="AB930" s="381"/>
      <c r="AC930" s="382"/>
      <c r="AD930" s="382"/>
    </row>
    <row r="931" spans="1:30" ht="12.75" customHeight="1" x14ac:dyDescent="0.2">
      <c r="A931" s="378"/>
      <c r="B931" s="378"/>
      <c r="C931" s="378"/>
      <c r="D931" s="380"/>
      <c r="E931" s="380"/>
      <c r="F931" s="378"/>
      <c r="G931" s="378"/>
      <c r="H931" s="378"/>
      <c r="I931" s="378"/>
      <c r="J931" s="378"/>
      <c r="K931" s="378"/>
      <c r="L931" s="378"/>
      <c r="M931" s="381"/>
      <c r="N931" s="381"/>
      <c r="O931" s="381"/>
      <c r="P931" s="381"/>
      <c r="Q931" s="381"/>
      <c r="R931" s="381"/>
      <c r="S931" s="381"/>
      <c r="T931" s="381"/>
      <c r="U931" s="381"/>
      <c r="V931" s="381"/>
      <c r="W931" s="381"/>
      <c r="X931" s="381"/>
      <c r="Y931" s="381"/>
      <c r="Z931" s="381"/>
      <c r="AA931" s="381"/>
      <c r="AB931" s="381"/>
      <c r="AC931" s="382"/>
      <c r="AD931" s="382"/>
    </row>
    <row r="932" spans="1:30" ht="12.75" customHeight="1" x14ac:dyDescent="0.2">
      <c r="A932" s="378"/>
      <c r="B932" s="378"/>
      <c r="C932" s="378"/>
      <c r="D932" s="380"/>
      <c r="E932" s="380"/>
      <c r="F932" s="378"/>
      <c r="G932" s="378"/>
      <c r="H932" s="378"/>
      <c r="I932" s="378"/>
      <c r="J932" s="378"/>
      <c r="K932" s="378"/>
      <c r="L932" s="378"/>
      <c r="M932" s="381"/>
      <c r="N932" s="381"/>
      <c r="O932" s="381"/>
      <c r="P932" s="381"/>
      <c r="Q932" s="381"/>
      <c r="R932" s="381"/>
      <c r="S932" s="381"/>
      <c r="T932" s="381"/>
      <c r="U932" s="381"/>
      <c r="V932" s="381"/>
      <c r="W932" s="381"/>
      <c r="X932" s="381"/>
      <c r="Y932" s="381"/>
      <c r="Z932" s="381"/>
      <c r="AA932" s="381"/>
      <c r="AB932" s="381"/>
      <c r="AC932" s="382"/>
      <c r="AD932" s="382"/>
    </row>
    <row r="933" spans="1:30" ht="12.75" customHeight="1" x14ac:dyDescent="0.2">
      <c r="A933" s="378"/>
      <c r="B933" s="378"/>
      <c r="C933" s="378"/>
      <c r="D933" s="380"/>
      <c r="E933" s="380"/>
      <c r="F933" s="378"/>
      <c r="G933" s="378"/>
      <c r="H933" s="378"/>
      <c r="I933" s="378"/>
      <c r="J933" s="378"/>
      <c r="K933" s="378"/>
      <c r="L933" s="378"/>
      <c r="M933" s="381"/>
      <c r="N933" s="381"/>
      <c r="O933" s="381"/>
      <c r="P933" s="381"/>
      <c r="Q933" s="381"/>
      <c r="R933" s="381"/>
      <c r="S933" s="381"/>
      <c r="T933" s="381"/>
      <c r="U933" s="381"/>
      <c r="V933" s="381"/>
      <c r="W933" s="381"/>
      <c r="X933" s="381"/>
      <c r="Y933" s="381"/>
      <c r="Z933" s="381"/>
      <c r="AA933" s="381"/>
      <c r="AB933" s="381"/>
      <c r="AC933" s="382"/>
      <c r="AD933" s="382"/>
    </row>
    <row r="934" spans="1:30" ht="12.75" customHeight="1" x14ac:dyDescent="0.2">
      <c r="A934" s="378"/>
      <c r="B934" s="378"/>
      <c r="C934" s="378"/>
      <c r="D934" s="380"/>
      <c r="E934" s="380"/>
      <c r="F934" s="378"/>
      <c r="G934" s="378"/>
      <c r="H934" s="378"/>
      <c r="I934" s="378"/>
      <c r="J934" s="378"/>
      <c r="K934" s="378"/>
      <c r="L934" s="378"/>
      <c r="M934" s="381"/>
      <c r="N934" s="381"/>
      <c r="O934" s="381"/>
      <c r="P934" s="381"/>
      <c r="Q934" s="381"/>
      <c r="R934" s="381"/>
      <c r="S934" s="381"/>
      <c r="T934" s="381"/>
      <c r="U934" s="381"/>
      <c r="V934" s="381"/>
      <c r="W934" s="381"/>
      <c r="X934" s="381"/>
      <c r="Y934" s="381"/>
      <c r="Z934" s="381"/>
      <c r="AA934" s="381"/>
      <c r="AB934" s="381"/>
      <c r="AC934" s="382"/>
      <c r="AD934" s="382"/>
    </row>
    <row r="935" spans="1:30" ht="12.75" customHeight="1" x14ac:dyDescent="0.2">
      <c r="A935" s="378"/>
      <c r="B935" s="378"/>
      <c r="C935" s="378"/>
      <c r="D935" s="380"/>
      <c r="E935" s="380"/>
      <c r="F935" s="378"/>
      <c r="G935" s="378"/>
      <c r="H935" s="378"/>
      <c r="I935" s="378"/>
      <c r="J935" s="378"/>
      <c r="K935" s="378"/>
      <c r="L935" s="378"/>
      <c r="M935" s="381"/>
      <c r="N935" s="381"/>
      <c r="O935" s="381"/>
      <c r="P935" s="381"/>
      <c r="Q935" s="381"/>
      <c r="R935" s="381"/>
      <c r="S935" s="381"/>
      <c r="T935" s="381"/>
      <c r="U935" s="381"/>
      <c r="V935" s="381"/>
      <c r="W935" s="381"/>
      <c r="X935" s="381"/>
      <c r="Y935" s="381"/>
      <c r="Z935" s="381"/>
      <c r="AA935" s="381"/>
      <c r="AB935" s="381"/>
      <c r="AC935" s="382"/>
      <c r="AD935" s="382"/>
    </row>
    <row r="936" spans="1:30" ht="12.75" customHeight="1" x14ac:dyDescent="0.2">
      <c r="A936" s="378"/>
      <c r="B936" s="378"/>
      <c r="C936" s="378"/>
      <c r="D936" s="380"/>
      <c r="E936" s="380"/>
      <c r="F936" s="378"/>
      <c r="G936" s="378"/>
      <c r="H936" s="378"/>
      <c r="I936" s="378"/>
      <c r="J936" s="378"/>
      <c r="K936" s="378"/>
      <c r="L936" s="378"/>
      <c r="M936" s="381"/>
      <c r="N936" s="381"/>
      <c r="O936" s="381"/>
      <c r="P936" s="381"/>
      <c r="Q936" s="381"/>
      <c r="R936" s="381"/>
      <c r="S936" s="381"/>
      <c r="T936" s="381"/>
      <c r="U936" s="381"/>
      <c r="V936" s="381"/>
      <c r="W936" s="381"/>
      <c r="X936" s="381"/>
      <c r="Y936" s="381"/>
      <c r="Z936" s="381"/>
      <c r="AA936" s="381"/>
      <c r="AB936" s="381"/>
      <c r="AC936" s="382"/>
      <c r="AD936" s="382"/>
    </row>
    <row r="937" spans="1:30" ht="12.75" customHeight="1" x14ac:dyDescent="0.2">
      <c r="A937" s="378"/>
      <c r="B937" s="378"/>
      <c r="C937" s="378"/>
      <c r="D937" s="380"/>
      <c r="E937" s="380"/>
      <c r="F937" s="378"/>
      <c r="G937" s="378"/>
      <c r="H937" s="378"/>
      <c r="I937" s="378"/>
      <c r="J937" s="378"/>
      <c r="K937" s="378"/>
      <c r="L937" s="378"/>
      <c r="M937" s="381"/>
      <c r="N937" s="381"/>
      <c r="O937" s="381"/>
      <c r="P937" s="381"/>
      <c r="Q937" s="381"/>
      <c r="R937" s="381"/>
      <c r="S937" s="381"/>
      <c r="T937" s="381"/>
      <c r="U937" s="381"/>
      <c r="V937" s="381"/>
      <c r="W937" s="381"/>
      <c r="X937" s="381"/>
      <c r="Y937" s="381"/>
      <c r="Z937" s="381"/>
      <c r="AA937" s="381"/>
      <c r="AB937" s="381"/>
      <c r="AC937" s="382"/>
      <c r="AD937" s="382"/>
    </row>
    <row r="938" spans="1:30" ht="12.75" customHeight="1" x14ac:dyDescent="0.2">
      <c r="A938" s="378"/>
      <c r="B938" s="378"/>
      <c r="C938" s="378"/>
      <c r="D938" s="380"/>
      <c r="E938" s="380"/>
      <c r="F938" s="378"/>
      <c r="G938" s="378"/>
      <c r="H938" s="378"/>
      <c r="I938" s="378"/>
      <c r="J938" s="378"/>
      <c r="K938" s="378"/>
      <c r="L938" s="378"/>
      <c r="M938" s="381"/>
      <c r="N938" s="381"/>
      <c r="O938" s="381"/>
      <c r="P938" s="381"/>
      <c r="Q938" s="381"/>
      <c r="R938" s="381"/>
      <c r="S938" s="381"/>
      <c r="T938" s="381"/>
      <c r="U938" s="381"/>
      <c r="V938" s="381"/>
      <c r="W938" s="381"/>
      <c r="X938" s="381"/>
      <c r="Y938" s="381"/>
      <c r="Z938" s="381"/>
      <c r="AA938" s="381"/>
      <c r="AB938" s="381"/>
      <c r="AC938" s="382"/>
      <c r="AD938" s="382"/>
    </row>
    <row r="939" spans="1:30" ht="12.75" customHeight="1" x14ac:dyDescent="0.2">
      <c r="A939" s="378"/>
      <c r="B939" s="378"/>
      <c r="C939" s="378"/>
      <c r="D939" s="380"/>
      <c r="E939" s="380"/>
      <c r="F939" s="378"/>
      <c r="G939" s="378"/>
      <c r="H939" s="378"/>
      <c r="I939" s="378"/>
      <c r="J939" s="378"/>
      <c r="K939" s="378"/>
      <c r="L939" s="378"/>
      <c r="M939" s="381"/>
      <c r="N939" s="381"/>
      <c r="O939" s="381"/>
      <c r="P939" s="381"/>
      <c r="Q939" s="381"/>
      <c r="R939" s="381"/>
      <c r="S939" s="381"/>
      <c r="T939" s="381"/>
      <c r="U939" s="381"/>
      <c r="V939" s="381"/>
      <c r="W939" s="381"/>
      <c r="X939" s="381"/>
      <c r="Y939" s="381"/>
      <c r="Z939" s="381"/>
      <c r="AA939" s="381"/>
      <c r="AB939" s="381"/>
      <c r="AC939" s="382"/>
      <c r="AD939" s="382"/>
    </row>
    <row r="940" spans="1:30" ht="12.75" customHeight="1" x14ac:dyDescent="0.2">
      <c r="A940" s="378"/>
      <c r="B940" s="378"/>
      <c r="C940" s="378"/>
      <c r="D940" s="380"/>
      <c r="E940" s="380"/>
      <c r="F940" s="378"/>
      <c r="G940" s="378"/>
      <c r="H940" s="378"/>
      <c r="I940" s="378"/>
      <c r="J940" s="378"/>
      <c r="K940" s="378"/>
      <c r="L940" s="378"/>
      <c r="M940" s="381"/>
      <c r="N940" s="381"/>
      <c r="O940" s="381"/>
      <c r="P940" s="381"/>
      <c r="Q940" s="381"/>
      <c r="R940" s="381"/>
      <c r="S940" s="381"/>
      <c r="T940" s="381"/>
      <c r="U940" s="381"/>
      <c r="V940" s="381"/>
      <c r="W940" s="381"/>
      <c r="X940" s="381"/>
      <c r="Y940" s="381"/>
      <c r="Z940" s="381"/>
      <c r="AA940" s="381"/>
      <c r="AB940" s="381"/>
      <c r="AC940" s="382"/>
      <c r="AD940" s="382"/>
    </row>
    <row r="941" spans="1:30" ht="12.75" customHeight="1" x14ac:dyDescent="0.2">
      <c r="A941" s="378"/>
      <c r="B941" s="378"/>
      <c r="C941" s="378"/>
      <c r="D941" s="380"/>
      <c r="E941" s="380"/>
      <c r="F941" s="378"/>
      <c r="G941" s="378"/>
      <c r="H941" s="378"/>
      <c r="I941" s="378"/>
      <c r="J941" s="378"/>
      <c r="K941" s="378"/>
      <c r="L941" s="378"/>
      <c r="M941" s="381"/>
      <c r="N941" s="381"/>
      <c r="O941" s="381"/>
      <c r="P941" s="381"/>
      <c r="Q941" s="381"/>
      <c r="R941" s="381"/>
      <c r="S941" s="381"/>
      <c r="T941" s="381"/>
      <c r="U941" s="381"/>
      <c r="V941" s="381"/>
      <c r="W941" s="381"/>
      <c r="X941" s="381"/>
      <c r="Y941" s="381"/>
      <c r="Z941" s="381"/>
      <c r="AA941" s="381"/>
      <c r="AB941" s="381"/>
      <c r="AC941" s="382"/>
      <c r="AD941" s="382"/>
    </row>
    <row r="942" spans="1:30" ht="12.75" customHeight="1" x14ac:dyDescent="0.2">
      <c r="A942" s="378"/>
      <c r="B942" s="378"/>
      <c r="C942" s="378"/>
      <c r="D942" s="380"/>
      <c r="E942" s="380"/>
      <c r="F942" s="378"/>
      <c r="G942" s="378"/>
      <c r="H942" s="378"/>
      <c r="I942" s="378"/>
      <c r="J942" s="378"/>
      <c r="K942" s="378"/>
      <c r="L942" s="378"/>
      <c r="M942" s="381"/>
      <c r="N942" s="381"/>
      <c r="O942" s="381"/>
      <c r="P942" s="381"/>
      <c r="Q942" s="381"/>
      <c r="R942" s="381"/>
      <c r="S942" s="381"/>
      <c r="T942" s="381"/>
      <c r="U942" s="381"/>
      <c r="V942" s="381"/>
      <c r="W942" s="381"/>
      <c r="X942" s="381"/>
      <c r="Y942" s="381"/>
      <c r="Z942" s="381"/>
      <c r="AA942" s="381"/>
      <c r="AB942" s="381"/>
      <c r="AC942" s="382"/>
      <c r="AD942" s="382"/>
    </row>
    <row r="943" spans="1:30" ht="12.75" customHeight="1" x14ac:dyDescent="0.2">
      <c r="A943" s="378"/>
      <c r="B943" s="378"/>
      <c r="C943" s="378"/>
      <c r="D943" s="380"/>
      <c r="E943" s="380"/>
      <c r="F943" s="378"/>
      <c r="G943" s="378"/>
      <c r="H943" s="378"/>
      <c r="I943" s="378"/>
      <c r="J943" s="378"/>
      <c r="K943" s="378"/>
      <c r="L943" s="378"/>
      <c r="M943" s="381"/>
      <c r="N943" s="381"/>
      <c r="O943" s="381"/>
      <c r="P943" s="381"/>
      <c r="Q943" s="381"/>
      <c r="R943" s="381"/>
      <c r="S943" s="381"/>
      <c r="T943" s="381"/>
      <c r="U943" s="381"/>
      <c r="V943" s="381"/>
      <c r="W943" s="381"/>
      <c r="X943" s="381"/>
      <c r="Y943" s="381"/>
      <c r="Z943" s="381"/>
      <c r="AA943" s="381"/>
      <c r="AB943" s="381"/>
      <c r="AC943" s="382"/>
      <c r="AD943" s="382"/>
    </row>
    <row r="944" spans="1:30" ht="12.75" customHeight="1" x14ac:dyDescent="0.2">
      <c r="A944" s="378"/>
      <c r="B944" s="378"/>
      <c r="C944" s="378"/>
      <c r="D944" s="380"/>
      <c r="E944" s="380"/>
      <c r="F944" s="378"/>
      <c r="G944" s="378"/>
      <c r="H944" s="378"/>
      <c r="I944" s="378"/>
      <c r="J944" s="378"/>
      <c r="K944" s="378"/>
      <c r="L944" s="378"/>
      <c r="M944" s="381"/>
      <c r="N944" s="381"/>
      <c r="O944" s="381"/>
      <c r="P944" s="381"/>
      <c r="Q944" s="381"/>
      <c r="R944" s="381"/>
      <c r="S944" s="381"/>
      <c r="T944" s="381"/>
      <c r="U944" s="381"/>
      <c r="V944" s="381"/>
      <c r="W944" s="381"/>
      <c r="X944" s="381"/>
      <c r="Y944" s="381"/>
      <c r="Z944" s="381"/>
      <c r="AA944" s="381"/>
      <c r="AB944" s="381"/>
      <c r="AC944" s="382"/>
      <c r="AD944" s="382"/>
    </row>
    <row r="945" spans="1:30" ht="12.75" customHeight="1" x14ac:dyDescent="0.2">
      <c r="A945" s="378"/>
      <c r="B945" s="378"/>
      <c r="C945" s="378"/>
      <c r="D945" s="380"/>
      <c r="E945" s="380"/>
      <c r="F945" s="378"/>
      <c r="G945" s="378"/>
      <c r="H945" s="378"/>
      <c r="I945" s="378"/>
      <c r="J945" s="378"/>
      <c r="K945" s="378"/>
      <c r="L945" s="378"/>
      <c r="M945" s="381"/>
      <c r="N945" s="381"/>
      <c r="O945" s="381"/>
      <c r="P945" s="381"/>
      <c r="Q945" s="381"/>
      <c r="R945" s="381"/>
      <c r="S945" s="381"/>
      <c r="T945" s="381"/>
      <c r="U945" s="381"/>
      <c r="V945" s="381"/>
      <c r="W945" s="381"/>
      <c r="X945" s="381"/>
      <c r="Y945" s="381"/>
      <c r="Z945" s="381"/>
      <c r="AA945" s="381"/>
      <c r="AB945" s="381"/>
      <c r="AC945" s="382"/>
      <c r="AD945" s="382"/>
    </row>
    <row r="946" spans="1:30" ht="12.75" customHeight="1" x14ac:dyDescent="0.2">
      <c r="A946" s="378"/>
      <c r="B946" s="378"/>
      <c r="C946" s="378"/>
      <c r="D946" s="380"/>
      <c r="E946" s="380"/>
      <c r="F946" s="378"/>
      <c r="G946" s="378"/>
      <c r="H946" s="378"/>
      <c r="I946" s="378"/>
      <c r="J946" s="378"/>
      <c r="K946" s="378"/>
      <c r="L946" s="378"/>
      <c r="M946" s="381"/>
      <c r="N946" s="381"/>
      <c r="O946" s="381"/>
      <c r="P946" s="381"/>
      <c r="Q946" s="381"/>
      <c r="R946" s="381"/>
      <c r="S946" s="381"/>
      <c r="T946" s="381"/>
      <c r="U946" s="381"/>
      <c r="V946" s="381"/>
      <c r="W946" s="381"/>
      <c r="X946" s="381"/>
      <c r="Y946" s="381"/>
      <c r="Z946" s="381"/>
      <c r="AA946" s="381"/>
      <c r="AB946" s="381"/>
      <c r="AC946" s="382"/>
      <c r="AD946" s="382"/>
    </row>
    <row r="947" spans="1:30" ht="12.75" customHeight="1" x14ac:dyDescent="0.2">
      <c r="A947" s="378"/>
      <c r="B947" s="378"/>
      <c r="C947" s="378"/>
      <c r="D947" s="380"/>
      <c r="E947" s="380"/>
      <c r="F947" s="378"/>
      <c r="G947" s="378"/>
      <c r="H947" s="378"/>
      <c r="I947" s="378"/>
      <c r="J947" s="378"/>
      <c r="K947" s="378"/>
      <c r="L947" s="378"/>
      <c r="M947" s="381"/>
      <c r="N947" s="381"/>
      <c r="O947" s="381"/>
      <c r="P947" s="381"/>
      <c r="Q947" s="381"/>
      <c r="R947" s="381"/>
      <c r="S947" s="381"/>
      <c r="T947" s="381"/>
      <c r="U947" s="381"/>
      <c r="V947" s="381"/>
      <c r="W947" s="381"/>
      <c r="X947" s="381"/>
      <c r="Y947" s="381"/>
      <c r="Z947" s="381"/>
      <c r="AA947" s="381"/>
      <c r="AB947" s="381"/>
      <c r="AC947" s="382"/>
      <c r="AD947" s="382"/>
    </row>
    <row r="948" spans="1:30" ht="12.75" customHeight="1" x14ac:dyDescent="0.2">
      <c r="A948" s="378"/>
      <c r="B948" s="378"/>
      <c r="C948" s="378"/>
      <c r="D948" s="380"/>
      <c r="E948" s="380"/>
      <c r="F948" s="378"/>
      <c r="G948" s="378"/>
      <c r="H948" s="378"/>
      <c r="I948" s="378"/>
      <c r="J948" s="378"/>
      <c r="K948" s="378"/>
      <c r="L948" s="378"/>
      <c r="M948" s="381"/>
      <c r="N948" s="381"/>
      <c r="O948" s="381"/>
      <c r="P948" s="381"/>
      <c r="Q948" s="381"/>
      <c r="R948" s="381"/>
      <c r="S948" s="381"/>
      <c r="T948" s="381"/>
      <c r="U948" s="381"/>
      <c r="V948" s="381"/>
      <c r="W948" s="381"/>
      <c r="X948" s="381"/>
      <c r="Y948" s="381"/>
      <c r="Z948" s="381"/>
      <c r="AA948" s="381"/>
      <c r="AB948" s="381"/>
      <c r="AC948" s="382"/>
      <c r="AD948" s="382"/>
    </row>
    <row r="949" spans="1:30" ht="12.75" customHeight="1" x14ac:dyDescent="0.2">
      <c r="A949" s="378"/>
      <c r="B949" s="378"/>
      <c r="C949" s="378"/>
      <c r="D949" s="380"/>
      <c r="E949" s="380"/>
      <c r="F949" s="378"/>
      <c r="G949" s="378"/>
      <c r="H949" s="378"/>
      <c r="I949" s="378"/>
      <c r="J949" s="378"/>
      <c r="K949" s="378"/>
      <c r="L949" s="378"/>
      <c r="M949" s="381"/>
      <c r="N949" s="381"/>
      <c r="O949" s="381"/>
      <c r="P949" s="381"/>
      <c r="Q949" s="381"/>
      <c r="R949" s="381"/>
      <c r="S949" s="381"/>
      <c r="T949" s="381"/>
      <c r="U949" s="381"/>
      <c r="V949" s="381"/>
      <c r="W949" s="381"/>
      <c r="X949" s="381"/>
      <c r="Y949" s="381"/>
      <c r="Z949" s="381"/>
      <c r="AA949" s="381"/>
      <c r="AB949" s="381"/>
      <c r="AC949" s="382"/>
      <c r="AD949" s="382"/>
    </row>
    <row r="950" spans="1:30" ht="12.75" customHeight="1" x14ac:dyDescent="0.2">
      <c r="A950" s="378"/>
      <c r="B950" s="378"/>
      <c r="C950" s="378"/>
      <c r="D950" s="380"/>
      <c r="E950" s="380"/>
      <c r="F950" s="378"/>
      <c r="G950" s="378"/>
      <c r="H950" s="378"/>
      <c r="I950" s="378"/>
      <c r="J950" s="378"/>
      <c r="K950" s="378"/>
      <c r="L950" s="378"/>
      <c r="M950" s="381"/>
      <c r="N950" s="381"/>
      <c r="O950" s="381"/>
      <c r="P950" s="381"/>
      <c r="Q950" s="381"/>
      <c r="R950" s="381"/>
      <c r="S950" s="381"/>
      <c r="T950" s="381"/>
      <c r="U950" s="381"/>
      <c r="V950" s="381"/>
      <c r="W950" s="381"/>
      <c r="X950" s="381"/>
      <c r="Y950" s="381"/>
      <c r="Z950" s="381"/>
      <c r="AA950" s="381"/>
      <c r="AB950" s="381"/>
      <c r="AC950" s="382"/>
      <c r="AD950" s="382"/>
    </row>
    <row r="951" spans="1:30" ht="12.75" customHeight="1" x14ac:dyDescent="0.2">
      <c r="A951" s="378"/>
      <c r="B951" s="378"/>
      <c r="C951" s="378"/>
      <c r="D951" s="380"/>
      <c r="E951" s="380"/>
      <c r="F951" s="378"/>
      <c r="G951" s="378"/>
      <c r="H951" s="378"/>
      <c r="I951" s="378"/>
      <c r="J951" s="378"/>
      <c r="K951" s="378"/>
      <c r="L951" s="378"/>
      <c r="M951" s="381"/>
      <c r="N951" s="381"/>
      <c r="O951" s="381"/>
      <c r="P951" s="381"/>
      <c r="Q951" s="381"/>
      <c r="R951" s="381"/>
      <c r="S951" s="381"/>
      <c r="T951" s="381"/>
      <c r="U951" s="381"/>
      <c r="V951" s="381"/>
      <c r="W951" s="381"/>
      <c r="X951" s="381"/>
      <c r="Y951" s="381"/>
      <c r="Z951" s="381"/>
      <c r="AA951" s="381"/>
      <c r="AB951" s="381"/>
      <c r="AC951" s="382"/>
      <c r="AD951" s="382"/>
    </row>
    <row r="952" spans="1:30" ht="12.75" customHeight="1" x14ac:dyDescent="0.2">
      <c r="A952" s="378"/>
      <c r="B952" s="378"/>
      <c r="C952" s="378"/>
      <c r="D952" s="380"/>
      <c r="E952" s="380"/>
      <c r="F952" s="378"/>
      <c r="G952" s="378"/>
      <c r="H952" s="378"/>
      <c r="I952" s="378"/>
      <c r="J952" s="378"/>
      <c r="K952" s="378"/>
      <c r="L952" s="378"/>
      <c r="M952" s="381"/>
      <c r="N952" s="381"/>
      <c r="O952" s="381"/>
      <c r="P952" s="381"/>
      <c r="Q952" s="381"/>
      <c r="R952" s="381"/>
      <c r="S952" s="381"/>
      <c r="T952" s="381"/>
      <c r="U952" s="381"/>
      <c r="V952" s="381"/>
      <c r="W952" s="381"/>
      <c r="X952" s="381"/>
      <c r="Y952" s="381"/>
      <c r="Z952" s="381"/>
      <c r="AA952" s="381"/>
      <c r="AB952" s="381"/>
      <c r="AC952" s="382"/>
      <c r="AD952" s="382"/>
    </row>
    <row r="953" spans="1:30" ht="12.75" customHeight="1" x14ac:dyDescent="0.2">
      <c r="A953" s="378"/>
      <c r="B953" s="378"/>
      <c r="C953" s="378"/>
      <c r="D953" s="380"/>
      <c r="E953" s="380"/>
      <c r="F953" s="378"/>
      <c r="G953" s="378"/>
      <c r="H953" s="378"/>
      <c r="I953" s="378"/>
      <c r="J953" s="378"/>
      <c r="K953" s="378"/>
      <c r="L953" s="378"/>
      <c r="M953" s="381"/>
      <c r="N953" s="381"/>
      <c r="O953" s="381"/>
      <c r="P953" s="381"/>
      <c r="Q953" s="381"/>
      <c r="R953" s="381"/>
      <c r="S953" s="381"/>
      <c r="T953" s="381"/>
      <c r="U953" s="381"/>
      <c r="V953" s="381"/>
      <c r="W953" s="381"/>
      <c r="X953" s="381"/>
      <c r="Y953" s="381"/>
      <c r="Z953" s="381"/>
      <c r="AA953" s="381"/>
      <c r="AB953" s="381"/>
      <c r="AC953" s="382"/>
      <c r="AD953" s="382"/>
    </row>
    <row r="954" spans="1:30" ht="12.75" customHeight="1" x14ac:dyDescent="0.2">
      <c r="A954" s="378"/>
      <c r="B954" s="378"/>
      <c r="C954" s="378"/>
      <c r="D954" s="380"/>
      <c r="E954" s="380"/>
      <c r="F954" s="378"/>
      <c r="G954" s="378"/>
      <c r="H954" s="378"/>
      <c r="I954" s="378"/>
      <c r="J954" s="378"/>
      <c r="K954" s="378"/>
      <c r="L954" s="378"/>
      <c r="M954" s="381"/>
      <c r="N954" s="381"/>
      <c r="O954" s="381"/>
      <c r="P954" s="381"/>
      <c r="Q954" s="381"/>
      <c r="R954" s="381"/>
      <c r="S954" s="381"/>
      <c r="T954" s="381"/>
      <c r="U954" s="381"/>
      <c r="V954" s="381"/>
      <c r="W954" s="381"/>
      <c r="X954" s="381"/>
      <c r="Y954" s="381"/>
      <c r="Z954" s="381"/>
      <c r="AA954" s="381"/>
      <c r="AB954" s="381"/>
      <c r="AC954" s="382"/>
      <c r="AD954" s="382"/>
    </row>
    <row r="955" spans="1:30" ht="12.75" customHeight="1" x14ac:dyDescent="0.2">
      <c r="A955" s="378"/>
      <c r="B955" s="378"/>
      <c r="C955" s="378"/>
      <c r="D955" s="380"/>
      <c r="E955" s="380"/>
      <c r="F955" s="378"/>
      <c r="G955" s="378"/>
      <c r="H955" s="378"/>
      <c r="I955" s="378"/>
      <c r="J955" s="378"/>
      <c r="K955" s="378"/>
      <c r="L955" s="378"/>
      <c r="M955" s="381"/>
      <c r="N955" s="381"/>
      <c r="O955" s="381"/>
      <c r="P955" s="381"/>
      <c r="Q955" s="381"/>
      <c r="R955" s="381"/>
      <c r="S955" s="381"/>
      <c r="T955" s="381"/>
      <c r="U955" s="381"/>
      <c r="V955" s="381"/>
      <c r="W955" s="381"/>
      <c r="X955" s="381"/>
      <c r="Y955" s="381"/>
      <c r="Z955" s="381"/>
      <c r="AA955" s="381"/>
      <c r="AB955" s="381"/>
      <c r="AC955" s="382"/>
      <c r="AD955" s="382"/>
    </row>
    <row r="956" spans="1:30" ht="12.75" customHeight="1" x14ac:dyDescent="0.2">
      <c r="A956" s="378"/>
      <c r="B956" s="378"/>
      <c r="C956" s="378"/>
      <c r="D956" s="380"/>
      <c r="E956" s="380"/>
      <c r="F956" s="378"/>
      <c r="G956" s="378"/>
      <c r="H956" s="378"/>
      <c r="I956" s="378"/>
      <c r="J956" s="378"/>
      <c r="K956" s="378"/>
      <c r="L956" s="378"/>
      <c r="M956" s="381"/>
      <c r="N956" s="381"/>
      <c r="O956" s="381"/>
      <c r="P956" s="381"/>
      <c r="Q956" s="381"/>
      <c r="R956" s="381"/>
      <c r="S956" s="381"/>
      <c r="T956" s="381"/>
      <c r="U956" s="381"/>
      <c r="V956" s="381"/>
      <c r="W956" s="381"/>
      <c r="X956" s="381"/>
      <c r="Y956" s="381"/>
      <c r="Z956" s="381"/>
      <c r="AA956" s="381"/>
      <c r="AB956" s="381"/>
      <c r="AC956" s="382"/>
      <c r="AD956" s="382"/>
    </row>
    <row r="957" spans="1:30" ht="12.75" customHeight="1" x14ac:dyDescent="0.2">
      <c r="A957" s="378"/>
      <c r="B957" s="378"/>
      <c r="C957" s="378"/>
      <c r="D957" s="380"/>
      <c r="E957" s="380"/>
      <c r="F957" s="378"/>
      <c r="G957" s="378"/>
      <c r="H957" s="378"/>
      <c r="I957" s="378"/>
      <c r="J957" s="378"/>
      <c r="K957" s="378"/>
      <c r="L957" s="378"/>
      <c r="M957" s="381"/>
      <c r="N957" s="381"/>
      <c r="O957" s="381"/>
      <c r="P957" s="381"/>
      <c r="Q957" s="381"/>
      <c r="R957" s="381"/>
      <c r="S957" s="381"/>
      <c r="T957" s="381"/>
      <c r="U957" s="381"/>
      <c r="V957" s="381"/>
      <c r="W957" s="381"/>
      <c r="X957" s="381"/>
      <c r="Y957" s="381"/>
      <c r="Z957" s="381"/>
      <c r="AA957" s="381"/>
      <c r="AB957" s="381"/>
      <c r="AC957" s="382"/>
      <c r="AD957" s="382"/>
    </row>
    <row r="958" spans="1:30" ht="12.75" customHeight="1" x14ac:dyDescent="0.2">
      <c r="A958" s="378"/>
      <c r="B958" s="378"/>
      <c r="C958" s="378"/>
      <c r="D958" s="380"/>
      <c r="E958" s="380"/>
      <c r="F958" s="378"/>
      <c r="G958" s="378"/>
      <c r="H958" s="378"/>
      <c r="I958" s="378"/>
      <c r="J958" s="378"/>
      <c r="K958" s="378"/>
      <c r="L958" s="378"/>
      <c r="M958" s="381"/>
      <c r="N958" s="381"/>
      <c r="O958" s="381"/>
      <c r="P958" s="381"/>
      <c r="Q958" s="381"/>
      <c r="R958" s="381"/>
      <c r="S958" s="381"/>
      <c r="T958" s="381"/>
      <c r="U958" s="381"/>
      <c r="V958" s="381"/>
      <c r="W958" s="381"/>
      <c r="X958" s="381"/>
      <c r="Y958" s="381"/>
      <c r="Z958" s="381"/>
      <c r="AA958" s="381"/>
      <c r="AB958" s="381"/>
      <c r="AC958" s="382"/>
      <c r="AD958" s="382"/>
    </row>
    <row r="959" spans="1:30" ht="12.75" customHeight="1" x14ac:dyDescent="0.2">
      <c r="A959" s="378"/>
      <c r="B959" s="378"/>
      <c r="C959" s="378"/>
      <c r="D959" s="380"/>
      <c r="E959" s="380"/>
      <c r="F959" s="378"/>
      <c r="G959" s="378"/>
      <c r="H959" s="378"/>
      <c r="I959" s="378"/>
      <c r="J959" s="378"/>
      <c r="K959" s="378"/>
      <c r="L959" s="378"/>
      <c r="M959" s="381"/>
      <c r="N959" s="381"/>
      <c r="O959" s="381"/>
      <c r="P959" s="381"/>
      <c r="Q959" s="381"/>
      <c r="R959" s="381"/>
      <c r="S959" s="381"/>
      <c r="T959" s="381"/>
      <c r="U959" s="381"/>
      <c r="V959" s="381"/>
      <c r="W959" s="381"/>
      <c r="X959" s="381"/>
      <c r="Y959" s="381"/>
      <c r="Z959" s="381"/>
      <c r="AA959" s="381"/>
      <c r="AB959" s="381"/>
      <c r="AC959" s="382"/>
      <c r="AD959" s="382"/>
    </row>
    <row r="960" spans="1:30" ht="12.75" customHeight="1" x14ac:dyDescent="0.2">
      <c r="A960" s="378"/>
      <c r="B960" s="378"/>
      <c r="C960" s="378"/>
      <c r="D960" s="380"/>
      <c r="E960" s="380"/>
      <c r="F960" s="378"/>
      <c r="G960" s="378"/>
      <c r="H960" s="378"/>
      <c r="I960" s="378"/>
      <c r="J960" s="378"/>
      <c r="K960" s="378"/>
      <c r="L960" s="378"/>
      <c r="M960" s="381"/>
      <c r="N960" s="381"/>
      <c r="O960" s="381"/>
      <c r="P960" s="381"/>
      <c r="Q960" s="381"/>
      <c r="R960" s="381"/>
      <c r="S960" s="381"/>
      <c r="T960" s="381"/>
      <c r="U960" s="381"/>
      <c r="V960" s="381"/>
      <c r="W960" s="381"/>
      <c r="X960" s="381"/>
      <c r="Y960" s="381"/>
      <c r="Z960" s="381"/>
      <c r="AA960" s="381"/>
      <c r="AB960" s="381"/>
      <c r="AC960" s="382"/>
      <c r="AD960" s="382"/>
    </row>
    <row r="961" spans="1:30" ht="12.75" customHeight="1" x14ac:dyDescent="0.2">
      <c r="A961" s="378"/>
      <c r="B961" s="378"/>
      <c r="C961" s="378"/>
      <c r="D961" s="380"/>
      <c r="E961" s="380"/>
      <c r="F961" s="378"/>
      <c r="G961" s="378"/>
      <c r="H961" s="378"/>
      <c r="I961" s="378"/>
      <c r="J961" s="378"/>
      <c r="K961" s="378"/>
      <c r="L961" s="378"/>
      <c r="M961" s="381"/>
      <c r="N961" s="381"/>
      <c r="O961" s="381"/>
      <c r="P961" s="381"/>
      <c r="Q961" s="381"/>
      <c r="R961" s="381"/>
      <c r="S961" s="381"/>
      <c r="T961" s="381"/>
      <c r="U961" s="381"/>
      <c r="V961" s="381"/>
      <c r="W961" s="381"/>
      <c r="X961" s="381"/>
      <c r="Y961" s="381"/>
      <c r="Z961" s="381"/>
      <c r="AA961" s="381"/>
      <c r="AB961" s="381"/>
      <c r="AC961" s="382"/>
      <c r="AD961" s="382"/>
    </row>
    <row r="962" spans="1:30" ht="12.75" customHeight="1" x14ac:dyDescent="0.2">
      <c r="A962" s="378"/>
      <c r="B962" s="378"/>
      <c r="C962" s="378"/>
      <c r="D962" s="380"/>
      <c r="E962" s="380"/>
      <c r="F962" s="378"/>
      <c r="G962" s="378"/>
      <c r="H962" s="378"/>
      <c r="I962" s="378"/>
      <c r="J962" s="378"/>
      <c r="K962" s="378"/>
      <c r="L962" s="378"/>
      <c r="M962" s="381"/>
      <c r="N962" s="381"/>
      <c r="O962" s="381"/>
      <c r="P962" s="381"/>
      <c r="Q962" s="381"/>
      <c r="R962" s="381"/>
      <c r="S962" s="381"/>
      <c r="T962" s="381"/>
      <c r="U962" s="381"/>
      <c r="V962" s="381"/>
      <c r="W962" s="381"/>
      <c r="X962" s="381"/>
      <c r="Y962" s="381"/>
      <c r="Z962" s="381"/>
      <c r="AA962" s="381"/>
      <c r="AB962" s="381"/>
      <c r="AC962" s="382"/>
      <c r="AD962" s="382"/>
    </row>
    <row r="963" spans="1:30" ht="12.75" customHeight="1" x14ac:dyDescent="0.2">
      <c r="A963" s="378"/>
      <c r="B963" s="378"/>
      <c r="C963" s="378"/>
      <c r="D963" s="380"/>
      <c r="E963" s="380"/>
      <c r="F963" s="378"/>
      <c r="G963" s="378"/>
      <c r="H963" s="378"/>
      <c r="I963" s="378"/>
      <c r="J963" s="378"/>
      <c r="K963" s="378"/>
      <c r="L963" s="378"/>
      <c r="M963" s="381"/>
      <c r="N963" s="381"/>
      <c r="O963" s="381"/>
      <c r="P963" s="381"/>
      <c r="Q963" s="381"/>
      <c r="R963" s="381"/>
      <c r="S963" s="381"/>
      <c r="T963" s="381"/>
      <c r="U963" s="381"/>
      <c r="V963" s="381"/>
      <c r="W963" s="381"/>
      <c r="X963" s="381"/>
      <c r="Y963" s="381"/>
      <c r="Z963" s="381"/>
      <c r="AA963" s="381"/>
      <c r="AB963" s="381"/>
      <c r="AC963" s="382"/>
      <c r="AD963" s="382"/>
    </row>
    <row r="964" spans="1:30" ht="12.75" customHeight="1" x14ac:dyDescent="0.2">
      <c r="A964" s="378"/>
      <c r="B964" s="378"/>
      <c r="C964" s="378"/>
      <c r="D964" s="380"/>
      <c r="E964" s="380"/>
      <c r="F964" s="378"/>
      <c r="G964" s="378"/>
      <c r="H964" s="378"/>
      <c r="I964" s="378"/>
      <c r="J964" s="378"/>
      <c r="K964" s="378"/>
      <c r="L964" s="378"/>
      <c r="M964" s="381"/>
      <c r="N964" s="381"/>
      <c r="O964" s="381"/>
      <c r="P964" s="381"/>
      <c r="Q964" s="381"/>
      <c r="R964" s="381"/>
      <c r="S964" s="381"/>
      <c r="T964" s="381"/>
      <c r="U964" s="381"/>
      <c r="V964" s="381"/>
      <c r="W964" s="381"/>
      <c r="X964" s="381"/>
      <c r="Y964" s="381"/>
      <c r="Z964" s="381"/>
      <c r="AA964" s="381"/>
      <c r="AB964" s="381"/>
      <c r="AC964" s="382"/>
      <c r="AD964" s="382"/>
    </row>
    <row r="965" spans="1:30" ht="12.75" customHeight="1" x14ac:dyDescent="0.2">
      <c r="A965" s="378"/>
      <c r="B965" s="378"/>
      <c r="C965" s="378"/>
      <c r="D965" s="380"/>
      <c r="E965" s="380"/>
      <c r="F965" s="378"/>
      <c r="G965" s="378"/>
      <c r="H965" s="378"/>
      <c r="I965" s="378"/>
      <c r="J965" s="378"/>
      <c r="K965" s="378"/>
      <c r="L965" s="378"/>
      <c r="M965" s="381"/>
      <c r="N965" s="381"/>
      <c r="O965" s="381"/>
      <c r="P965" s="381"/>
      <c r="Q965" s="381"/>
      <c r="R965" s="381"/>
      <c r="S965" s="381"/>
      <c r="T965" s="381"/>
      <c r="U965" s="381"/>
      <c r="V965" s="381"/>
      <c r="W965" s="381"/>
      <c r="X965" s="381"/>
      <c r="Y965" s="381"/>
      <c r="Z965" s="381"/>
      <c r="AA965" s="381"/>
      <c r="AB965" s="381"/>
      <c r="AC965" s="382"/>
      <c r="AD965" s="382"/>
    </row>
    <row r="966" spans="1:30" ht="12.75" customHeight="1" x14ac:dyDescent="0.2">
      <c r="A966" s="378"/>
      <c r="B966" s="378"/>
      <c r="C966" s="378"/>
      <c r="D966" s="380"/>
      <c r="E966" s="380"/>
      <c r="F966" s="378"/>
      <c r="G966" s="378"/>
      <c r="H966" s="378"/>
      <c r="I966" s="378"/>
      <c r="J966" s="378"/>
      <c r="K966" s="378"/>
      <c r="L966" s="378"/>
      <c r="M966" s="381"/>
      <c r="N966" s="381"/>
      <c r="O966" s="381"/>
      <c r="P966" s="381"/>
      <c r="Q966" s="381"/>
      <c r="R966" s="381"/>
      <c r="S966" s="381"/>
      <c r="T966" s="381"/>
      <c r="U966" s="381"/>
      <c r="V966" s="381"/>
      <c r="W966" s="381"/>
      <c r="X966" s="381"/>
      <c r="Y966" s="381"/>
      <c r="Z966" s="381"/>
      <c r="AA966" s="381"/>
      <c r="AB966" s="381"/>
      <c r="AC966" s="382"/>
      <c r="AD966" s="382"/>
    </row>
    <row r="967" spans="1:30" ht="12.75" customHeight="1" x14ac:dyDescent="0.2">
      <c r="A967" s="378"/>
      <c r="B967" s="378"/>
      <c r="C967" s="378"/>
      <c r="D967" s="380"/>
      <c r="E967" s="380"/>
      <c r="F967" s="378"/>
      <c r="G967" s="378"/>
      <c r="H967" s="378"/>
      <c r="I967" s="378"/>
      <c r="J967" s="378"/>
      <c r="K967" s="378"/>
      <c r="L967" s="378"/>
      <c r="M967" s="381"/>
      <c r="N967" s="381"/>
      <c r="O967" s="381"/>
      <c r="P967" s="381"/>
      <c r="Q967" s="381"/>
      <c r="R967" s="381"/>
      <c r="S967" s="381"/>
      <c r="T967" s="381"/>
      <c r="U967" s="381"/>
      <c r="V967" s="381"/>
      <c r="W967" s="381"/>
      <c r="X967" s="381"/>
      <c r="Y967" s="381"/>
      <c r="Z967" s="381"/>
      <c r="AA967" s="381"/>
      <c r="AB967" s="381"/>
      <c r="AC967" s="382"/>
      <c r="AD967" s="382"/>
    </row>
    <row r="968" spans="1:30" ht="12.75" customHeight="1" x14ac:dyDescent="0.2">
      <c r="A968" s="378"/>
      <c r="B968" s="378"/>
      <c r="C968" s="378"/>
      <c r="D968" s="380"/>
      <c r="E968" s="380"/>
      <c r="F968" s="378"/>
      <c r="G968" s="378"/>
      <c r="H968" s="378"/>
      <c r="I968" s="378"/>
      <c r="J968" s="378"/>
      <c r="K968" s="378"/>
      <c r="L968" s="378"/>
      <c r="M968" s="381"/>
      <c r="N968" s="381"/>
      <c r="O968" s="381"/>
      <c r="P968" s="381"/>
      <c r="Q968" s="381"/>
      <c r="R968" s="381"/>
      <c r="S968" s="381"/>
      <c r="T968" s="381"/>
      <c r="U968" s="381"/>
      <c r="V968" s="381"/>
      <c r="W968" s="381"/>
      <c r="X968" s="381"/>
      <c r="Y968" s="381"/>
      <c r="Z968" s="381"/>
      <c r="AA968" s="381"/>
      <c r="AB968" s="381"/>
      <c r="AC968" s="382"/>
      <c r="AD968" s="382"/>
    </row>
    <row r="969" spans="1:30" ht="12.75" customHeight="1" x14ac:dyDescent="0.2">
      <c r="A969" s="378"/>
      <c r="B969" s="378"/>
      <c r="C969" s="378"/>
      <c r="D969" s="380"/>
      <c r="E969" s="380"/>
      <c r="F969" s="378"/>
      <c r="G969" s="378"/>
      <c r="H969" s="378"/>
      <c r="I969" s="378"/>
      <c r="J969" s="378"/>
      <c r="K969" s="378"/>
      <c r="L969" s="378"/>
      <c r="M969" s="381"/>
      <c r="N969" s="381"/>
      <c r="O969" s="381"/>
      <c r="P969" s="381"/>
      <c r="Q969" s="381"/>
      <c r="R969" s="381"/>
      <c r="S969" s="381"/>
      <c r="T969" s="381"/>
      <c r="U969" s="381"/>
      <c r="V969" s="381"/>
      <c r="W969" s="381"/>
      <c r="X969" s="381"/>
      <c r="Y969" s="381"/>
      <c r="Z969" s="381"/>
      <c r="AA969" s="381"/>
      <c r="AB969" s="381"/>
      <c r="AC969" s="382"/>
      <c r="AD969" s="382"/>
    </row>
    <row r="970" spans="1:30" ht="12.75" customHeight="1" x14ac:dyDescent="0.2">
      <c r="A970" s="378"/>
      <c r="B970" s="378"/>
      <c r="C970" s="378"/>
      <c r="D970" s="380"/>
      <c r="E970" s="380"/>
      <c r="F970" s="378"/>
      <c r="G970" s="378"/>
      <c r="H970" s="378"/>
      <c r="I970" s="378"/>
      <c r="J970" s="378"/>
      <c r="K970" s="378"/>
      <c r="L970" s="378"/>
      <c r="M970" s="381"/>
      <c r="N970" s="381"/>
      <c r="O970" s="381"/>
      <c r="P970" s="381"/>
      <c r="Q970" s="381"/>
      <c r="R970" s="381"/>
      <c r="S970" s="381"/>
      <c r="T970" s="381"/>
      <c r="U970" s="381"/>
      <c r="V970" s="381"/>
      <c r="W970" s="381"/>
      <c r="X970" s="381"/>
      <c r="Y970" s="381"/>
      <c r="Z970" s="381"/>
      <c r="AA970" s="381"/>
      <c r="AB970" s="381"/>
      <c r="AC970" s="382"/>
      <c r="AD970" s="382"/>
    </row>
    <row r="971" spans="1:30" ht="12.75" customHeight="1" x14ac:dyDescent="0.2">
      <c r="A971" s="378"/>
      <c r="B971" s="378"/>
      <c r="C971" s="378"/>
      <c r="D971" s="380"/>
      <c r="E971" s="380"/>
      <c r="F971" s="378"/>
      <c r="G971" s="378"/>
      <c r="H971" s="378"/>
      <c r="I971" s="378"/>
      <c r="J971" s="378"/>
      <c r="K971" s="378"/>
      <c r="L971" s="378"/>
      <c r="M971" s="381"/>
      <c r="N971" s="381"/>
      <c r="O971" s="381"/>
      <c r="P971" s="381"/>
      <c r="Q971" s="381"/>
      <c r="R971" s="381"/>
      <c r="S971" s="381"/>
      <c r="T971" s="381"/>
      <c r="U971" s="381"/>
      <c r="V971" s="381"/>
      <c r="W971" s="381"/>
      <c r="X971" s="381"/>
      <c r="Y971" s="381"/>
      <c r="Z971" s="381"/>
      <c r="AA971" s="381"/>
      <c r="AB971" s="381"/>
      <c r="AC971" s="382"/>
      <c r="AD971" s="382"/>
    </row>
    <row r="972" spans="1:30" ht="12.75" customHeight="1" x14ac:dyDescent="0.2">
      <c r="A972" s="378"/>
      <c r="B972" s="378"/>
      <c r="C972" s="378"/>
      <c r="D972" s="380"/>
      <c r="E972" s="380"/>
      <c r="F972" s="378"/>
      <c r="G972" s="378"/>
      <c r="H972" s="378"/>
      <c r="I972" s="378"/>
      <c r="J972" s="378"/>
      <c r="K972" s="378"/>
      <c r="L972" s="378"/>
      <c r="M972" s="381"/>
      <c r="N972" s="381"/>
      <c r="O972" s="381"/>
      <c r="P972" s="381"/>
      <c r="Q972" s="381"/>
      <c r="R972" s="381"/>
      <c r="S972" s="381"/>
      <c r="T972" s="381"/>
      <c r="U972" s="381"/>
      <c r="V972" s="381"/>
      <c r="W972" s="381"/>
      <c r="X972" s="381"/>
      <c r="Y972" s="381"/>
      <c r="Z972" s="381"/>
      <c r="AA972" s="381"/>
      <c r="AB972" s="381"/>
      <c r="AC972" s="382"/>
      <c r="AD972" s="382"/>
    </row>
    <row r="973" spans="1:30" ht="12.75" customHeight="1" x14ac:dyDescent="0.2">
      <c r="A973" s="378"/>
      <c r="B973" s="378"/>
      <c r="C973" s="378"/>
      <c r="D973" s="380"/>
      <c r="E973" s="380"/>
      <c r="F973" s="378"/>
      <c r="G973" s="378"/>
      <c r="H973" s="378"/>
      <c r="I973" s="378"/>
      <c r="J973" s="378"/>
      <c r="K973" s="378"/>
      <c r="L973" s="378"/>
      <c r="M973" s="381"/>
      <c r="N973" s="381"/>
      <c r="O973" s="381"/>
      <c r="P973" s="381"/>
      <c r="Q973" s="381"/>
      <c r="R973" s="381"/>
      <c r="S973" s="381"/>
      <c r="T973" s="381"/>
      <c r="U973" s="381"/>
      <c r="V973" s="381"/>
      <c r="W973" s="381"/>
      <c r="X973" s="381"/>
      <c r="Y973" s="381"/>
      <c r="Z973" s="381"/>
      <c r="AA973" s="381"/>
      <c r="AB973" s="381"/>
      <c r="AC973" s="382"/>
      <c r="AD973" s="382"/>
    </row>
    <row r="974" spans="1:30" ht="12.75" customHeight="1" x14ac:dyDescent="0.2">
      <c r="A974" s="378"/>
      <c r="B974" s="378"/>
      <c r="C974" s="378"/>
      <c r="D974" s="380"/>
      <c r="E974" s="380"/>
      <c r="F974" s="378"/>
      <c r="G974" s="378"/>
      <c r="H974" s="378"/>
      <c r="I974" s="378"/>
      <c r="J974" s="378"/>
      <c r="K974" s="378"/>
      <c r="L974" s="378"/>
      <c r="M974" s="381"/>
      <c r="N974" s="381"/>
      <c r="O974" s="381"/>
      <c r="P974" s="381"/>
      <c r="Q974" s="381"/>
      <c r="R974" s="381"/>
      <c r="S974" s="381"/>
      <c r="T974" s="381"/>
      <c r="U974" s="381"/>
      <c r="V974" s="381"/>
      <c r="W974" s="381"/>
      <c r="X974" s="381"/>
      <c r="Y974" s="381"/>
      <c r="Z974" s="381"/>
      <c r="AA974" s="381"/>
      <c r="AB974" s="381"/>
      <c r="AC974" s="382"/>
      <c r="AD974" s="382"/>
    </row>
    <row r="975" spans="1:30" ht="12.75" customHeight="1" x14ac:dyDescent="0.2">
      <c r="A975" s="378"/>
      <c r="B975" s="378"/>
      <c r="C975" s="378"/>
      <c r="D975" s="380"/>
      <c r="E975" s="380"/>
      <c r="F975" s="378"/>
      <c r="G975" s="378"/>
      <c r="H975" s="378"/>
      <c r="I975" s="378"/>
      <c r="J975" s="378"/>
      <c r="K975" s="378"/>
      <c r="L975" s="378"/>
      <c r="M975" s="381"/>
      <c r="N975" s="381"/>
      <c r="O975" s="381"/>
      <c r="P975" s="381"/>
      <c r="Q975" s="381"/>
      <c r="R975" s="381"/>
      <c r="S975" s="381"/>
      <c r="T975" s="381"/>
      <c r="U975" s="381"/>
      <c r="V975" s="381"/>
      <c r="W975" s="381"/>
      <c r="X975" s="381"/>
      <c r="Y975" s="381"/>
      <c r="Z975" s="381"/>
      <c r="AA975" s="381"/>
      <c r="AB975" s="381"/>
      <c r="AC975" s="382"/>
      <c r="AD975" s="382"/>
    </row>
    <row r="976" spans="1:30" ht="12.75" customHeight="1" x14ac:dyDescent="0.2">
      <c r="A976" s="378"/>
      <c r="B976" s="378"/>
      <c r="C976" s="378"/>
      <c r="D976" s="380"/>
      <c r="E976" s="380"/>
      <c r="F976" s="378"/>
      <c r="G976" s="378"/>
      <c r="H976" s="378"/>
      <c r="I976" s="378"/>
      <c r="J976" s="378"/>
      <c r="K976" s="378"/>
      <c r="L976" s="378"/>
      <c r="M976" s="381"/>
      <c r="N976" s="381"/>
      <c r="O976" s="381"/>
      <c r="P976" s="381"/>
      <c r="Q976" s="381"/>
      <c r="R976" s="381"/>
      <c r="S976" s="381"/>
      <c r="T976" s="381"/>
      <c r="U976" s="381"/>
      <c r="V976" s="381"/>
      <c r="W976" s="381"/>
      <c r="X976" s="381"/>
      <c r="Y976" s="381"/>
      <c r="Z976" s="381"/>
      <c r="AA976" s="381"/>
      <c r="AB976" s="381"/>
      <c r="AC976" s="382"/>
      <c r="AD976" s="382"/>
    </row>
    <row r="977" spans="1:30" ht="12.75" customHeight="1" x14ac:dyDescent="0.2">
      <c r="A977" s="378"/>
      <c r="B977" s="378"/>
      <c r="C977" s="378"/>
      <c r="D977" s="380"/>
      <c r="E977" s="380"/>
      <c r="F977" s="378"/>
      <c r="G977" s="378"/>
      <c r="H977" s="378"/>
      <c r="I977" s="378"/>
      <c r="J977" s="378"/>
      <c r="K977" s="378"/>
      <c r="L977" s="378"/>
      <c r="M977" s="381"/>
      <c r="N977" s="381"/>
      <c r="O977" s="381"/>
      <c r="P977" s="381"/>
      <c r="Q977" s="381"/>
      <c r="R977" s="381"/>
      <c r="S977" s="381"/>
      <c r="T977" s="381"/>
      <c r="U977" s="381"/>
      <c r="V977" s="381"/>
      <c r="W977" s="381"/>
      <c r="X977" s="381"/>
      <c r="Y977" s="381"/>
      <c r="Z977" s="381"/>
      <c r="AA977" s="381"/>
      <c r="AB977" s="381"/>
      <c r="AC977" s="382"/>
      <c r="AD977" s="382"/>
    </row>
    <row r="978" spans="1:30" ht="12.75" customHeight="1" x14ac:dyDescent="0.2">
      <c r="A978" s="378"/>
      <c r="B978" s="378"/>
      <c r="C978" s="378"/>
      <c r="D978" s="380"/>
      <c r="E978" s="380"/>
      <c r="F978" s="378"/>
      <c r="G978" s="378"/>
      <c r="H978" s="378"/>
      <c r="I978" s="378"/>
      <c r="J978" s="378"/>
      <c r="K978" s="378"/>
      <c r="L978" s="378"/>
      <c r="M978" s="381"/>
      <c r="N978" s="381"/>
      <c r="O978" s="381"/>
      <c r="P978" s="381"/>
      <c r="Q978" s="381"/>
      <c r="R978" s="381"/>
      <c r="S978" s="381"/>
      <c r="T978" s="381"/>
      <c r="U978" s="381"/>
      <c r="V978" s="381"/>
      <c r="W978" s="381"/>
      <c r="X978" s="381"/>
      <c r="Y978" s="381"/>
      <c r="Z978" s="381"/>
      <c r="AA978" s="381"/>
      <c r="AB978" s="381"/>
      <c r="AC978" s="382"/>
      <c r="AD978" s="382"/>
    </row>
    <row r="979" spans="1:30" ht="12.75" customHeight="1" x14ac:dyDescent="0.2">
      <c r="A979" s="378"/>
      <c r="B979" s="378"/>
      <c r="C979" s="378"/>
      <c r="D979" s="380"/>
      <c r="E979" s="380"/>
      <c r="F979" s="378"/>
      <c r="G979" s="378"/>
      <c r="H979" s="378"/>
      <c r="I979" s="378"/>
      <c r="J979" s="378"/>
      <c r="K979" s="378"/>
      <c r="L979" s="378"/>
      <c r="M979" s="381"/>
      <c r="N979" s="381"/>
      <c r="O979" s="381"/>
      <c r="P979" s="381"/>
      <c r="Q979" s="381"/>
      <c r="R979" s="381"/>
      <c r="S979" s="381"/>
      <c r="T979" s="381"/>
      <c r="U979" s="381"/>
      <c r="V979" s="381"/>
      <c r="W979" s="381"/>
      <c r="X979" s="381"/>
      <c r="Y979" s="381"/>
      <c r="Z979" s="381"/>
      <c r="AA979" s="381"/>
      <c r="AB979" s="381"/>
      <c r="AC979" s="382"/>
      <c r="AD979" s="382"/>
    </row>
    <row r="980" spans="1:30" ht="12.75" customHeight="1" x14ac:dyDescent="0.2">
      <c r="A980" s="378"/>
      <c r="B980" s="378"/>
      <c r="C980" s="378"/>
      <c r="D980" s="380"/>
      <c r="E980" s="380"/>
      <c r="F980" s="378"/>
      <c r="G980" s="378"/>
      <c r="H980" s="378"/>
      <c r="I980" s="378"/>
      <c r="J980" s="378"/>
      <c r="K980" s="378"/>
      <c r="L980" s="378"/>
      <c r="M980" s="381"/>
      <c r="N980" s="381"/>
      <c r="O980" s="381"/>
      <c r="P980" s="381"/>
      <c r="Q980" s="381"/>
      <c r="R980" s="381"/>
      <c r="S980" s="381"/>
      <c r="T980" s="381"/>
      <c r="U980" s="381"/>
      <c r="V980" s="381"/>
      <c r="W980" s="381"/>
      <c r="X980" s="381"/>
      <c r="Y980" s="381"/>
      <c r="Z980" s="381"/>
      <c r="AA980" s="381"/>
      <c r="AB980" s="381"/>
      <c r="AC980" s="382"/>
      <c r="AD980" s="382"/>
    </row>
    <row r="981" spans="1:30" ht="12.75" customHeight="1" x14ac:dyDescent="0.2">
      <c r="A981" s="378"/>
      <c r="B981" s="378"/>
      <c r="C981" s="378"/>
      <c r="D981" s="380"/>
      <c r="E981" s="380"/>
      <c r="F981" s="378"/>
      <c r="G981" s="378"/>
      <c r="H981" s="378"/>
      <c r="I981" s="378"/>
      <c r="J981" s="378"/>
      <c r="K981" s="378"/>
      <c r="L981" s="378"/>
      <c r="M981" s="381"/>
      <c r="N981" s="381"/>
      <c r="O981" s="381"/>
      <c r="P981" s="381"/>
      <c r="Q981" s="381"/>
      <c r="R981" s="381"/>
      <c r="S981" s="381"/>
      <c r="T981" s="381"/>
      <c r="U981" s="381"/>
      <c r="V981" s="381"/>
      <c r="W981" s="381"/>
      <c r="X981" s="381"/>
      <c r="Y981" s="381"/>
      <c r="Z981" s="381"/>
      <c r="AA981" s="381"/>
      <c r="AB981" s="381"/>
      <c r="AC981" s="382"/>
      <c r="AD981" s="382"/>
    </row>
    <row r="982" spans="1:30" ht="12.75" customHeight="1" x14ac:dyDescent="0.2">
      <c r="A982" s="378"/>
      <c r="B982" s="378"/>
      <c r="C982" s="378"/>
      <c r="D982" s="380"/>
      <c r="E982" s="380"/>
      <c r="F982" s="378"/>
      <c r="G982" s="378"/>
      <c r="H982" s="378"/>
      <c r="I982" s="378"/>
      <c r="J982" s="378"/>
      <c r="K982" s="378"/>
      <c r="L982" s="378"/>
      <c r="M982" s="381"/>
      <c r="N982" s="381"/>
      <c r="O982" s="381"/>
      <c r="P982" s="381"/>
      <c r="Q982" s="381"/>
      <c r="R982" s="381"/>
      <c r="S982" s="381"/>
      <c r="T982" s="381"/>
      <c r="U982" s="381"/>
      <c r="V982" s="381"/>
      <c r="W982" s="381"/>
      <c r="X982" s="381"/>
      <c r="Y982" s="381"/>
      <c r="Z982" s="381"/>
      <c r="AA982" s="381"/>
      <c r="AB982" s="381"/>
      <c r="AC982" s="382"/>
      <c r="AD982" s="382"/>
    </row>
    <row r="983" spans="1:30" ht="12.75" customHeight="1" x14ac:dyDescent="0.2">
      <c r="A983" s="378"/>
      <c r="B983" s="378"/>
      <c r="C983" s="378"/>
      <c r="D983" s="380"/>
      <c r="E983" s="380"/>
      <c r="F983" s="378"/>
      <c r="G983" s="378"/>
      <c r="H983" s="378"/>
      <c r="I983" s="378"/>
      <c r="J983" s="378"/>
      <c r="K983" s="378"/>
      <c r="L983" s="378"/>
      <c r="M983" s="381"/>
      <c r="N983" s="381"/>
      <c r="O983" s="381"/>
      <c r="P983" s="381"/>
      <c r="Q983" s="381"/>
      <c r="R983" s="381"/>
      <c r="S983" s="381"/>
      <c r="T983" s="381"/>
      <c r="U983" s="381"/>
      <c r="V983" s="381"/>
      <c r="W983" s="381"/>
      <c r="X983" s="381"/>
      <c r="Y983" s="381"/>
      <c r="Z983" s="381"/>
      <c r="AA983" s="381"/>
      <c r="AB983" s="381"/>
      <c r="AC983" s="382"/>
      <c r="AD983" s="382"/>
    </row>
    <row r="984" spans="1:30" ht="12.75" customHeight="1" x14ac:dyDescent="0.2">
      <c r="A984" s="378"/>
      <c r="B984" s="378"/>
      <c r="C984" s="378"/>
      <c r="D984" s="380"/>
      <c r="E984" s="380"/>
      <c r="F984" s="378"/>
      <c r="G984" s="378"/>
      <c r="H984" s="378"/>
      <c r="I984" s="378"/>
      <c r="J984" s="378"/>
      <c r="K984" s="378"/>
      <c r="L984" s="378"/>
      <c r="M984" s="381"/>
      <c r="N984" s="381"/>
      <c r="O984" s="381"/>
      <c r="P984" s="381"/>
      <c r="Q984" s="381"/>
      <c r="R984" s="381"/>
      <c r="S984" s="381"/>
      <c r="T984" s="381"/>
      <c r="U984" s="381"/>
      <c r="V984" s="381"/>
      <c r="W984" s="381"/>
      <c r="X984" s="381"/>
      <c r="Y984" s="381"/>
      <c r="Z984" s="381"/>
      <c r="AA984" s="381"/>
      <c r="AB984" s="381"/>
      <c r="AC984" s="382"/>
      <c r="AD984" s="382"/>
    </row>
    <row r="985" spans="1:30" ht="12.75" customHeight="1" x14ac:dyDescent="0.2">
      <c r="A985" s="378"/>
      <c r="B985" s="378"/>
      <c r="C985" s="378"/>
      <c r="D985" s="380"/>
      <c r="E985" s="380"/>
      <c r="F985" s="378"/>
      <c r="G985" s="378"/>
      <c r="H985" s="378"/>
      <c r="I985" s="378"/>
      <c r="J985" s="378"/>
      <c r="K985" s="378"/>
      <c r="L985" s="378"/>
      <c r="M985" s="381"/>
      <c r="N985" s="381"/>
      <c r="O985" s="381"/>
      <c r="P985" s="381"/>
      <c r="Q985" s="381"/>
      <c r="R985" s="381"/>
      <c r="S985" s="381"/>
      <c r="T985" s="381"/>
      <c r="U985" s="381"/>
      <c r="V985" s="381"/>
      <c r="W985" s="381"/>
      <c r="X985" s="381"/>
      <c r="Y985" s="381"/>
      <c r="Z985" s="381"/>
      <c r="AA985" s="381"/>
      <c r="AB985" s="381"/>
      <c r="AC985" s="382"/>
      <c r="AD985" s="382"/>
    </row>
    <row r="986" spans="1:30" ht="12.75" customHeight="1" x14ac:dyDescent="0.2">
      <c r="A986" s="378"/>
      <c r="B986" s="378"/>
      <c r="C986" s="378"/>
      <c r="D986" s="380"/>
      <c r="E986" s="380"/>
      <c r="F986" s="378"/>
      <c r="G986" s="378"/>
      <c r="H986" s="378"/>
      <c r="I986" s="378"/>
      <c r="J986" s="378"/>
      <c r="K986" s="378"/>
      <c r="L986" s="378"/>
      <c r="M986" s="381"/>
      <c r="N986" s="381"/>
      <c r="O986" s="381"/>
      <c r="P986" s="381"/>
      <c r="Q986" s="381"/>
      <c r="R986" s="381"/>
      <c r="S986" s="381"/>
      <c r="T986" s="381"/>
      <c r="U986" s="381"/>
      <c r="V986" s="381"/>
      <c r="W986" s="381"/>
      <c r="X986" s="381"/>
      <c r="Y986" s="381"/>
      <c r="Z986" s="381"/>
      <c r="AA986" s="381"/>
      <c r="AB986" s="381"/>
      <c r="AC986" s="382"/>
      <c r="AD986" s="382"/>
    </row>
    <row r="987" spans="1:30" ht="12.75" customHeight="1" x14ac:dyDescent="0.2">
      <c r="A987" s="378"/>
      <c r="B987" s="378"/>
      <c r="C987" s="378"/>
      <c r="D987" s="380"/>
      <c r="E987" s="380"/>
      <c r="F987" s="378"/>
      <c r="G987" s="378"/>
      <c r="H987" s="378"/>
      <c r="I987" s="378"/>
      <c r="J987" s="378"/>
      <c r="K987" s="378"/>
      <c r="L987" s="378"/>
      <c r="M987" s="381"/>
      <c r="N987" s="381"/>
      <c r="O987" s="381"/>
      <c r="P987" s="381"/>
      <c r="Q987" s="381"/>
      <c r="R987" s="381"/>
      <c r="S987" s="381"/>
      <c r="T987" s="381"/>
      <c r="U987" s="381"/>
      <c r="V987" s="381"/>
      <c r="W987" s="381"/>
      <c r="X987" s="381"/>
      <c r="Y987" s="381"/>
      <c r="Z987" s="381"/>
      <c r="AA987" s="381"/>
      <c r="AB987" s="381"/>
      <c r="AC987" s="382"/>
      <c r="AD987" s="382"/>
    </row>
    <row r="988" spans="1:30" ht="12.75" customHeight="1" x14ac:dyDescent="0.2">
      <c r="A988" s="378"/>
      <c r="B988" s="378"/>
      <c r="C988" s="378"/>
      <c r="D988" s="380"/>
      <c r="E988" s="380"/>
      <c r="F988" s="378"/>
      <c r="G988" s="378"/>
      <c r="H988" s="378"/>
      <c r="I988" s="378"/>
      <c r="J988" s="378"/>
      <c r="K988" s="378"/>
      <c r="L988" s="378"/>
      <c r="M988" s="381"/>
      <c r="N988" s="381"/>
      <c r="O988" s="381"/>
      <c r="P988" s="381"/>
      <c r="Q988" s="381"/>
      <c r="R988" s="381"/>
      <c r="S988" s="381"/>
      <c r="T988" s="381"/>
      <c r="U988" s="381"/>
      <c r="V988" s="381"/>
      <c r="W988" s="381"/>
      <c r="X988" s="381"/>
      <c r="Y988" s="381"/>
      <c r="Z988" s="381"/>
      <c r="AA988" s="381"/>
      <c r="AB988" s="381"/>
      <c r="AC988" s="382"/>
      <c r="AD988" s="382"/>
    </row>
    <row r="989" spans="1:30" ht="12.75" customHeight="1" x14ac:dyDescent="0.2">
      <c r="A989" s="378"/>
      <c r="B989" s="378"/>
      <c r="C989" s="378"/>
      <c r="D989" s="380"/>
      <c r="E989" s="380"/>
      <c r="F989" s="378"/>
      <c r="G989" s="378"/>
      <c r="H989" s="378"/>
      <c r="I989" s="378"/>
      <c r="J989" s="378"/>
      <c r="K989" s="378"/>
      <c r="L989" s="378"/>
      <c r="M989" s="381"/>
      <c r="N989" s="381"/>
      <c r="O989" s="381"/>
      <c r="P989" s="381"/>
      <c r="Q989" s="381"/>
      <c r="R989" s="381"/>
      <c r="S989" s="381"/>
      <c r="T989" s="381"/>
      <c r="U989" s="381"/>
      <c r="V989" s="381"/>
      <c r="W989" s="381"/>
      <c r="X989" s="381"/>
      <c r="Y989" s="381"/>
      <c r="Z989" s="381"/>
      <c r="AA989" s="381"/>
      <c r="AB989" s="381"/>
      <c r="AC989" s="382"/>
      <c r="AD989" s="382"/>
    </row>
    <row r="990" spans="1:30" ht="12.75" customHeight="1" x14ac:dyDescent="0.2">
      <c r="A990" s="378"/>
      <c r="B990" s="378"/>
      <c r="C990" s="378"/>
      <c r="D990" s="380"/>
      <c r="E990" s="380"/>
      <c r="F990" s="378"/>
      <c r="G990" s="378"/>
      <c r="H990" s="378"/>
      <c r="I990" s="378"/>
      <c r="J990" s="378"/>
      <c r="K990" s="378"/>
      <c r="L990" s="378"/>
      <c r="M990" s="381"/>
      <c r="N990" s="381"/>
      <c r="O990" s="381"/>
      <c r="P990" s="381"/>
      <c r="Q990" s="381"/>
      <c r="R990" s="381"/>
      <c r="S990" s="381"/>
      <c r="T990" s="381"/>
      <c r="U990" s="381"/>
      <c r="V990" s="381"/>
      <c r="W990" s="381"/>
      <c r="X990" s="381"/>
      <c r="Y990" s="381"/>
      <c r="Z990" s="381"/>
      <c r="AA990" s="381"/>
      <c r="AB990" s="381"/>
      <c r="AC990" s="382"/>
      <c r="AD990" s="382"/>
    </row>
    <row r="991" spans="1:30" ht="12.75" customHeight="1" x14ac:dyDescent="0.2">
      <c r="A991" s="378"/>
      <c r="B991" s="378"/>
      <c r="C991" s="378"/>
      <c r="D991" s="380"/>
      <c r="E991" s="380"/>
      <c r="F991" s="378"/>
      <c r="G991" s="378"/>
      <c r="H991" s="378"/>
      <c r="I991" s="378"/>
      <c r="J991" s="378"/>
      <c r="K991" s="378"/>
      <c r="L991" s="378"/>
      <c r="M991" s="381"/>
      <c r="N991" s="381"/>
      <c r="O991" s="381"/>
      <c r="P991" s="381"/>
      <c r="Q991" s="381"/>
      <c r="R991" s="381"/>
      <c r="S991" s="381"/>
      <c r="T991" s="381"/>
      <c r="U991" s="381"/>
      <c r="V991" s="381"/>
      <c r="W991" s="381"/>
      <c r="X991" s="381"/>
      <c r="Y991" s="381"/>
      <c r="Z991" s="381"/>
      <c r="AA991" s="381"/>
      <c r="AB991" s="381"/>
      <c r="AC991" s="382"/>
      <c r="AD991" s="382"/>
    </row>
    <row r="992" spans="1:30" ht="12.75" customHeight="1" x14ac:dyDescent="0.2">
      <c r="A992" s="378"/>
      <c r="B992" s="378"/>
      <c r="C992" s="378"/>
      <c r="D992" s="380"/>
      <c r="E992" s="380"/>
      <c r="F992" s="378"/>
      <c r="G992" s="378"/>
      <c r="H992" s="378"/>
      <c r="I992" s="378"/>
      <c r="J992" s="378"/>
      <c r="K992" s="378"/>
      <c r="L992" s="378"/>
      <c r="M992" s="381"/>
      <c r="N992" s="381"/>
      <c r="O992" s="381"/>
      <c r="P992" s="381"/>
      <c r="Q992" s="381"/>
      <c r="R992" s="381"/>
      <c r="S992" s="381"/>
      <c r="T992" s="381"/>
      <c r="U992" s="381"/>
      <c r="V992" s="381"/>
      <c r="W992" s="381"/>
      <c r="X992" s="381"/>
      <c r="Y992" s="381"/>
      <c r="Z992" s="381"/>
      <c r="AA992" s="381"/>
      <c r="AB992" s="381"/>
      <c r="AC992" s="382"/>
      <c r="AD992" s="382"/>
    </row>
    <row r="993" spans="1:30" ht="12.75" customHeight="1" x14ac:dyDescent="0.2">
      <c r="A993" s="378"/>
      <c r="B993" s="378"/>
      <c r="C993" s="378"/>
      <c r="D993" s="380"/>
      <c r="E993" s="380"/>
      <c r="F993" s="378"/>
      <c r="G993" s="378"/>
      <c r="H993" s="378"/>
      <c r="I993" s="378"/>
      <c r="J993" s="378"/>
      <c r="K993" s="378"/>
      <c r="L993" s="378"/>
      <c r="M993" s="381"/>
      <c r="N993" s="381"/>
      <c r="O993" s="381"/>
      <c r="P993" s="381"/>
      <c r="Q993" s="381"/>
      <c r="R993" s="381"/>
      <c r="S993" s="381"/>
      <c r="T993" s="381"/>
      <c r="U993" s="381"/>
      <c r="V993" s="381"/>
      <c r="W993" s="381"/>
      <c r="X993" s="381"/>
      <c r="Y993" s="381"/>
      <c r="Z993" s="381"/>
      <c r="AA993" s="381"/>
      <c r="AB993" s="381"/>
      <c r="AC993" s="382"/>
      <c r="AD993" s="382"/>
    </row>
    <row r="994" spans="1:30" ht="12.75" customHeight="1" x14ac:dyDescent="0.2">
      <c r="A994" s="378"/>
      <c r="B994" s="378"/>
      <c r="C994" s="378"/>
      <c r="D994" s="380"/>
      <c r="E994" s="380"/>
      <c r="F994" s="378"/>
      <c r="G994" s="378"/>
      <c r="H994" s="378"/>
      <c r="I994" s="378"/>
      <c r="J994" s="378"/>
      <c r="K994" s="378"/>
      <c r="L994" s="378"/>
      <c r="M994" s="381"/>
      <c r="N994" s="381"/>
      <c r="O994" s="381"/>
      <c r="P994" s="381"/>
      <c r="Q994" s="381"/>
      <c r="R994" s="381"/>
      <c r="S994" s="381"/>
      <c r="T994" s="381"/>
      <c r="U994" s="381"/>
      <c r="V994" s="381"/>
      <c r="W994" s="381"/>
      <c r="X994" s="381"/>
      <c r="Y994" s="381"/>
      <c r="Z994" s="381"/>
      <c r="AA994" s="381"/>
      <c r="AB994" s="381"/>
      <c r="AC994" s="382"/>
      <c r="AD994" s="382"/>
    </row>
    <row r="995" spans="1:30" ht="12.75" customHeight="1" x14ac:dyDescent="0.2">
      <c r="A995" s="378"/>
      <c r="B995" s="378"/>
      <c r="C995" s="378"/>
      <c r="D995" s="380"/>
      <c r="E995" s="380"/>
      <c r="F995" s="378"/>
      <c r="G995" s="378"/>
      <c r="H995" s="378"/>
      <c r="I995" s="378"/>
      <c r="J995" s="378"/>
      <c r="K995" s="378"/>
      <c r="L995" s="378"/>
      <c r="M995" s="381"/>
      <c r="N995" s="381"/>
      <c r="O995" s="381"/>
      <c r="P995" s="381"/>
      <c r="Q995" s="381"/>
      <c r="R995" s="381"/>
      <c r="S995" s="381"/>
      <c r="T995" s="381"/>
      <c r="U995" s="381"/>
      <c r="V995" s="381"/>
      <c r="W995" s="381"/>
      <c r="X995" s="381"/>
      <c r="Y995" s="381"/>
      <c r="Z995" s="381"/>
      <c r="AA995" s="381"/>
      <c r="AB995" s="381"/>
      <c r="AC995" s="382"/>
      <c r="AD995" s="382"/>
    </row>
    <row r="996" spans="1:30" ht="12.75" customHeight="1" x14ac:dyDescent="0.2">
      <c r="A996" s="378"/>
      <c r="B996" s="378"/>
      <c r="C996" s="378"/>
      <c r="D996" s="380"/>
      <c r="E996" s="380"/>
      <c r="F996" s="378"/>
      <c r="G996" s="378"/>
      <c r="H996" s="378"/>
      <c r="I996" s="378"/>
      <c r="J996" s="378"/>
      <c r="K996" s="378"/>
      <c r="L996" s="378"/>
      <c r="M996" s="381"/>
      <c r="N996" s="381"/>
      <c r="O996" s="381"/>
      <c r="P996" s="381"/>
      <c r="Q996" s="381"/>
      <c r="R996" s="381"/>
      <c r="S996" s="381"/>
      <c r="T996" s="381"/>
      <c r="U996" s="381"/>
      <c r="V996" s="381"/>
      <c r="W996" s="381"/>
      <c r="X996" s="381"/>
      <c r="Y996" s="381"/>
      <c r="Z996" s="381"/>
      <c r="AA996" s="381"/>
      <c r="AB996" s="381"/>
      <c r="AC996" s="382"/>
      <c r="AD996" s="382"/>
    </row>
    <row r="997" spans="1:30" ht="12.75" customHeight="1" x14ac:dyDescent="0.2">
      <c r="A997" s="378"/>
      <c r="B997" s="378"/>
      <c r="C997" s="378"/>
      <c r="D997" s="380"/>
      <c r="E997" s="380"/>
      <c r="F997" s="378"/>
      <c r="G997" s="378"/>
      <c r="H997" s="378"/>
      <c r="I997" s="378"/>
      <c r="J997" s="378"/>
      <c r="K997" s="378"/>
      <c r="L997" s="378"/>
      <c r="M997" s="381"/>
      <c r="N997" s="381"/>
      <c r="O997" s="381"/>
      <c r="P997" s="381"/>
      <c r="Q997" s="381"/>
      <c r="R997" s="381"/>
      <c r="S997" s="381"/>
      <c r="T997" s="381"/>
      <c r="U997" s="381"/>
      <c r="V997" s="381"/>
      <c r="W997" s="381"/>
      <c r="X997" s="381"/>
      <c r="Y997" s="381"/>
      <c r="Z997" s="381"/>
      <c r="AA997" s="381"/>
      <c r="AB997" s="381"/>
      <c r="AC997" s="382"/>
      <c r="AD997" s="382"/>
    </row>
    <row r="998" spans="1:30" ht="12.75" customHeight="1" x14ac:dyDescent="0.2">
      <c r="A998" s="378"/>
      <c r="B998" s="378"/>
      <c r="C998" s="378"/>
      <c r="D998" s="380"/>
      <c r="E998" s="380"/>
      <c r="F998" s="378"/>
      <c r="G998" s="378"/>
      <c r="H998" s="378"/>
      <c r="I998" s="378"/>
      <c r="J998" s="378"/>
      <c r="K998" s="378"/>
      <c r="L998" s="378"/>
      <c r="M998" s="381"/>
      <c r="N998" s="381"/>
      <c r="O998" s="381"/>
      <c r="P998" s="381"/>
      <c r="Q998" s="381"/>
      <c r="R998" s="381"/>
      <c r="S998" s="381"/>
      <c r="T998" s="381"/>
      <c r="U998" s="381"/>
      <c r="V998" s="381"/>
      <c r="W998" s="381"/>
      <c r="X998" s="381"/>
      <c r="Y998" s="381"/>
      <c r="Z998" s="381"/>
      <c r="AA998" s="381"/>
      <c r="AB998" s="381"/>
      <c r="AC998" s="382"/>
      <c r="AD998" s="382"/>
    </row>
    <row r="999" spans="1:30" ht="12.75" customHeight="1" x14ac:dyDescent="0.2">
      <c r="A999" s="378"/>
      <c r="B999" s="378"/>
      <c r="C999" s="378"/>
      <c r="D999" s="380"/>
      <c r="E999" s="380"/>
      <c r="F999" s="378"/>
      <c r="G999" s="378"/>
      <c r="H999" s="378"/>
      <c r="I999" s="378"/>
      <c r="J999" s="378"/>
      <c r="K999" s="378"/>
      <c r="L999" s="378"/>
      <c r="M999" s="381"/>
      <c r="N999" s="381"/>
      <c r="O999" s="381"/>
      <c r="P999" s="381"/>
      <c r="Q999" s="381"/>
      <c r="R999" s="381"/>
      <c r="S999" s="381"/>
      <c r="T999" s="381"/>
      <c r="U999" s="381"/>
      <c r="V999" s="381"/>
      <c r="W999" s="381"/>
      <c r="X999" s="381"/>
      <c r="Y999" s="381"/>
      <c r="Z999" s="381"/>
      <c r="AA999" s="381"/>
      <c r="AB999" s="381"/>
      <c r="AC999" s="382"/>
      <c r="AD999" s="382"/>
    </row>
    <row r="1000" spans="1:30" ht="12.75" customHeight="1" x14ac:dyDescent="0.2">
      <c r="A1000" s="378"/>
      <c r="B1000" s="378"/>
      <c r="C1000" s="378"/>
      <c r="D1000" s="380"/>
      <c r="E1000" s="380"/>
      <c r="F1000" s="378"/>
      <c r="G1000" s="378"/>
      <c r="H1000" s="378"/>
      <c r="I1000" s="378"/>
      <c r="J1000" s="378"/>
      <c r="K1000" s="378"/>
      <c r="L1000" s="378"/>
      <c r="M1000" s="381"/>
      <c r="N1000" s="381"/>
      <c r="O1000" s="381"/>
      <c r="P1000" s="381"/>
      <c r="Q1000" s="381"/>
      <c r="R1000" s="381"/>
      <c r="S1000" s="381"/>
      <c r="T1000" s="381"/>
      <c r="U1000" s="381"/>
      <c r="V1000" s="381"/>
      <c r="W1000" s="381"/>
      <c r="X1000" s="381"/>
      <c r="Y1000" s="381"/>
      <c r="Z1000" s="381"/>
      <c r="AA1000" s="381"/>
      <c r="AB1000" s="381"/>
      <c r="AC1000" s="382"/>
      <c r="AD1000" s="382"/>
    </row>
  </sheetData>
  <mergeCells count="12">
    <mergeCell ref="A6:C6"/>
    <mergeCell ref="D6:AD6"/>
    <mergeCell ref="A7:L7"/>
    <mergeCell ref="M7:Y7"/>
    <mergeCell ref="Z7:AB7"/>
    <mergeCell ref="AC7:AD7"/>
    <mergeCell ref="A1:C4"/>
    <mergeCell ref="D1:AB4"/>
    <mergeCell ref="AC1:AD2"/>
    <mergeCell ref="AC3:AD4"/>
    <mergeCell ref="A5:C5"/>
    <mergeCell ref="D5:AD5"/>
  </mergeCells>
  <dataValidations count="18">
    <dataValidation type="list" allowBlank="1" showErrorMessage="1" sqref="F10:F12" xr:uid="{00000000-0002-0000-3800-000000000000}">
      <formula1>"Asignado,No asignado"</formula1>
    </dataValidation>
    <dataValidation type="list" allowBlank="1" showErrorMessage="1" sqref="G9 G13" xr:uid="{00000000-0002-0000-3800-000001000000}">
      <formula1>"Adecuado,Inadecuado,Seleccione"</formula1>
    </dataValidation>
    <dataValidation type="list" allowBlank="1" showErrorMessage="1" sqref="J10:J12" xr:uid="{00000000-0002-0000-3800-000002000000}">
      <formula1>"Confiable,No Confiable"</formula1>
    </dataValidation>
    <dataValidation type="list" allowBlank="1" showErrorMessage="1" sqref="L9 L13" xr:uid="{00000000-0002-0000-3800-000003000000}">
      <formula1>"Completa,Incompleta,No existe,Seleccione"</formula1>
    </dataValidation>
    <dataValidation type="list" allowBlank="1" showErrorMessage="1" sqref="L10:L12" xr:uid="{00000000-0002-0000-3800-000004000000}">
      <formula1>"Completa,Incompleta,No existe"</formula1>
    </dataValidation>
    <dataValidation type="list" allowBlank="1" showErrorMessage="1" sqref="H9 H13" xr:uid="{00000000-0002-0000-3800-000005000000}">
      <formula1>"Oportuna,Inoportuna,Seleccione"</formula1>
    </dataValidation>
    <dataValidation type="list" allowBlank="1" showErrorMessage="1" sqref="U9:V9 U13:V13" xr:uid="{00000000-0002-0000-3800-000006000000}">
      <formula1>"SI,NO,Seleccione"</formula1>
    </dataValidation>
    <dataValidation type="list" allowBlank="1" showErrorMessage="1" sqref="U10:V12" xr:uid="{00000000-0002-0000-3800-000007000000}">
      <formula1>"SI,NO"</formula1>
    </dataValidation>
    <dataValidation type="list" allowBlank="1" showErrorMessage="1" sqref="K10:K12" xr:uid="{00000000-0002-0000-3800-000008000000}">
      <formula1>"Se invesigan y resuelven oportunamente,No se investigan y resuelven oportunamente"</formula1>
    </dataValidation>
    <dataValidation type="list" allowBlank="1" showErrorMessage="1" sqref="I10:I12" xr:uid="{00000000-0002-0000-3800-000009000000}">
      <formula1>"Prevenir,Detectar,No es un control"</formula1>
    </dataValidation>
    <dataValidation type="list" allowBlank="1" showErrorMessage="1" sqref="Z9 Z13" xr:uid="{00000000-0002-0000-3800-00000A000000}">
      <formula1>"Siempre se ejecuta,Algunas veces se ejecuta,No se ejecuta,Seleccione"</formula1>
    </dataValidation>
    <dataValidation type="list" allowBlank="1" showErrorMessage="1" sqref="K9 K13" xr:uid="{00000000-0002-0000-3800-00000B000000}">
      <formula1>"Se investigan y resuelven oportunamente,No se investigan y resuelven oportunamente,Seleccione"</formula1>
    </dataValidation>
    <dataValidation type="list" allowBlank="1" showErrorMessage="1" sqref="H10:H12" xr:uid="{00000000-0002-0000-3800-00000C000000}">
      <formula1>"Oportuna,Inoportuna"</formula1>
    </dataValidation>
    <dataValidation type="list" allowBlank="1" showErrorMessage="1" sqref="F9 F13" xr:uid="{00000000-0002-0000-3800-00000D000000}">
      <formula1>"Asignado,No asignado,Seleccione"</formula1>
    </dataValidation>
    <dataValidation type="list" allowBlank="1" showErrorMessage="1" sqref="J9 J13" xr:uid="{00000000-0002-0000-3800-00000E000000}">
      <formula1>"Confiable,No Confiable,Seleccione"</formula1>
    </dataValidation>
    <dataValidation type="list" allowBlank="1" showErrorMessage="1" sqref="G10:G12" xr:uid="{00000000-0002-0000-3800-00000F000000}">
      <formula1>"Adecuado,Inadecuado"</formula1>
    </dataValidation>
    <dataValidation type="list" allowBlank="1" showErrorMessage="1" sqref="I9 I13" xr:uid="{00000000-0002-0000-3800-000010000000}">
      <formula1>"Prevenir,Detectar,No es un control,Seleccione"</formula1>
    </dataValidation>
    <dataValidation type="list" allowBlank="1" showErrorMessage="1" sqref="Z10:Z12" xr:uid="{00000000-0002-0000-3800-000011000000}">
      <formula1>"Siempre se ejecuta,Algunas veces se ejecuta,No se ejecuta"</formula1>
    </dataValidation>
  </dataValidations>
  <pageMargins left="0.11811023622047245" right="0.11811023622047245" top="1.1417322834645669" bottom="0.74803149606299213" header="0" footer="0"/>
  <pageSetup orientation="landscape" r:id="rId1"/>
  <headerFooter>
    <oddHeader>&amp;C Matriz de Riesgos</oddHeader>
  </headerFooter>
  <rowBreaks count="2" manualBreakCount="2">
    <brk id="10" man="1"/>
    <brk id="12" man="1"/>
  </rowBreaks>
  <colBreaks count="1" manualBreakCount="1">
    <brk id="12" man="1"/>
  </colBreaks>
  <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Z1000"/>
  <sheetViews>
    <sheetView workbookViewId="0">
      <selection sqref="A1:C2"/>
    </sheetView>
  </sheetViews>
  <sheetFormatPr baseColWidth="10" defaultColWidth="12.625" defaultRowHeight="15" customHeight="1" x14ac:dyDescent="0.2"/>
  <cols>
    <col min="1" max="1" width="3.625" style="531" customWidth="1"/>
    <col min="2" max="2" width="28.75" style="531" customWidth="1"/>
    <col min="3" max="3" width="48.375" style="531" customWidth="1"/>
    <col min="4" max="4" width="38.5" style="531" customWidth="1"/>
    <col min="5" max="5" width="32.875" style="531" customWidth="1"/>
    <col min="6" max="6" width="15.75" style="531" customWidth="1"/>
    <col min="7" max="7" width="23" style="531" customWidth="1"/>
    <col min="8" max="10" width="19.375" style="531" customWidth="1"/>
    <col min="11" max="11" width="18.25" style="531" customWidth="1"/>
    <col min="12" max="12" width="80.375" style="531" customWidth="1"/>
    <col min="13" max="13" width="27.25" style="531" customWidth="1"/>
    <col min="14" max="14" width="26.875" style="531" customWidth="1"/>
    <col min="15" max="15" width="24.375" style="531" customWidth="1"/>
    <col min="16" max="16" width="41.125" style="531" customWidth="1"/>
    <col min="17" max="22" width="25.75" style="531" customWidth="1"/>
    <col min="23" max="23" width="33.5" style="531" customWidth="1"/>
    <col min="24" max="24" width="45.625" style="531" customWidth="1"/>
    <col min="25" max="26" width="9.375" style="531" customWidth="1"/>
    <col min="27" max="16384" width="12.625" style="531"/>
  </cols>
  <sheetData>
    <row r="1" spans="1:26" ht="18" customHeight="1" x14ac:dyDescent="0.2">
      <c r="A1" s="1386"/>
      <c r="B1" s="1355"/>
      <c r="C1" s="1356"/>
      <c r="D1" s="1387" t="s">
        <v>314</v>
      </c>
      <c r="E1" s="1355"/>
      <c r="F1" s="1355"/>
      <c r="G1" s="1355"/>
      <c r="H1" s="1355"/>
      <c r="I1" s="1355"/>
      <c r="J1" s="1355"/>
      <c r="K1" s="1355"/>
      <c r="L1" s="1355"/>
      <c r="M1" s="1355"/>
      <c r="N1" s="1355"/>
      <c r="O1" s="1355"/>
      <c r="P1" s="1355"/>
      <c r="Q1" s="1355"/>
      <c r="R1" s="1355"/>
      <c r="S1" s="1355"/>
      <c r="T1" s="1355"/>
      <c r="U1" s="1355"/>
      <c r="V1" s="1356"/>
      <c r="W1" s="601" t="s">
        <v>315</v>
      </c>
      <c r="X1" s="602"/>
      <c r="Y1" s="603"/>
      <c r="Z1" s="603"/>
    </row>
    <row r="2" spans="1:26" ht="18" customHeight="1" thickBot="1" x14ac:dyDescent="0.25">
      <c r="A2" s="1358"/>
      <c r="B2" s="1338"/>
      <c r="C2" s="1341"/>
      <c r="D2" s="1358"/>
      <c r="E2" s="1338"/>
      <c r="F2" s="1338"/>
      <c r="G2" s="1338"/>
      <c r="H2" s="1338"/>
      <c r="I2" s="1338"/>
      <c r="J2" s="1338"/>
      <c r="K2" s="1338"/>
      <c r="L2" s="1338"/>
      <c r="M2" s="1338"/>
      <c r="N2" s="1338"/>
      <c r="O2" s="1338"/>
      <c r="P2" s="1338"/>
      <c r="Q2" s="1338"/>
      <c r="R2" s="1338"/>
      <c r="S2" s="1338"/>
      <c r="T2" s="1338"/>
      <c r="U2" s="1338"/>
      <c r="V2" s="1341"/>
      <c r="W2" s="601" t="s">
        <v>316</v>
      </c>
      <c r="X2" s="602"/>
      <c r="Y2" s="603"/>
      <c r="Z2" s="603"/>
    </row>
    <row r="3" spans="1:26" ht="18" customHeight="1" x14ac:dyDescent="0.25">
      <c r="A3" s="1388" t="s">
        <v>57</v>
      </c>
      <c r="B3" s="1338"/>
      <c r="C3" s="1338"/>
      <c r="D3" s="1338"/>
      <c r="E3" s="1338"/>
      <c r="F3" s="1338"/>
      <c r="G3" s="1389"/>
      <c r="H3" s="1390"/>
      <c r="I3" s="1338"/>
      <c r="J3" s="1338"/>
      <c r="K3" s="1338"/>
      <c r="L3" s="1518" t="s">
        <v>60</v>
      </c>
      <c r="M3" s="1363"/>
      <c r="N3" s="1363"/>
      <c r="O3" s="1363"/>
      <c r="P3" s="1364"/>
      <c r="Q3" s="1518" t="s">
        <v>61</v>
      </c>
      <c r="R3" s="1363"/>
      <c r="S3" s="1363"/>
      <c r="T3" s="1363"/>
      <c r="U3" s="1363"/>
      <c r="V3" s="1364"/>
      <c r="W3" s="680" t="s">
        <v>62</v>
      </c>
      <c r="X3" s="680" t="s">
        <v>63</v>
      </c>
      <c r="Y3" s="603"/>
      <c r="Z3" s="603"/>
    </row>
    <row r="4" spans="1:26" ht="18" customHeight="1" thickBot="1" x14ac:dyDescent="0.25">
      <c r="A4" s="681" t="s">
        <v>44</v>
      </c>
      <c r="B4" s="682" t="s">
        <v>64</v>
      </c>
      <c r="C4" s="682" t="s">
        <v>65</v>
      </c>
      <c r="D4" s="682" t="s">
        <v>317</v>
      </c>
      <c r="E4" s="682" t="s">
        <v>68</v>
      </c>
      <c r="F4" s="682" t="s">
        <v>69</v>
      </c>
      <c r="G4" s="683" t="s">
        <v>71</v>
      </c>
      <c r="H4" s="682" t="s">
        <v>81</v>
      </c>
      <c r="I4" s="682" t="s">
        <v>82</v>
      </c>
      <c r="J4" s="682" t="s">
        <v>83</v>
      </c>
      <c r="K4" s="684" t="s">
        <v>84</v>
      </c>
      <c r="L4" s="685" t="s">
        <v>85</v>
      </c>
      <c r="M4" s="339" t="s">
        <v>86</v>
      </c>
      <c r="N4" s="339" t="s">
        <v>87</v>
      </c>
      <c r="O4" s="339" t="s">
        <v>88</v>
      </c>
      <c r="P4" s="686" t="s">
        <v>89</v>
      </c>
      <c r="Q4" s="685" t="s">
        <v>90</v>
      </c>
      <c r="R4" s="339" t="s">
        <v>91</v>
      </c>
      <c r="S4" s="339" t="s">
        <v>92</v>
      </c>
      <c r="T4" s="339" t="s">
        <v>91</v>
      </c>
      <c r="U4" s="339" t="s">
        <v>93</v>
      </c>
      <c r="V4" s="340" t="s">
        <v>91</v>
      </c>
      <c r="W4" s="341" t="s">
        <v>94</v>
      </c>
      <c r="X4" s="341" t="s">
        <v>95</v>
      </c>
      <c r="Y4" s="603"/>
      <c r="Z4" s="603"/>
    </row>
    <row r="5" spans="1:26" ht="266.25" customHeight="1" x14ac:dyDescent="0.2">
      <c r="A5" s="687">
        <v>1</v>
      </c>
      <c r="B5" s="687" t="str">
        <f>+'[8]Identificación del Riesgo'!E9</f>
        <v>Incumplimiento de las actividades planificadas y requeridas por el proceso</v>
      </c>
      <c r="C5" s="687" t="str">
        <f>+'[8]Identificación del Riesgo'!H9</f>
        <v>No se tiene claridad  del alcance y objetivos del proceso, por lo que no se le da la importancia requerida.
Falta de mayor visibilidad de las actividades  de sensibilización en lo referente a cultura de servicio al ciudadano
Falta de Capacitación oportuna y asertiva a los funcionarios, en cuanto a temas relacionados con atención y participación ciudadana 
Personal insuficiente para atender los compromisos de Atención y participación ciudadano
Personal asignado en los eventos de contingencias sin los conocimientos requeridos
Falta compromiso por parte de los funcionarios</v>
      </c>
      <c r="D5" s="687" t="str">
        <f>+'[8]Identificación del Riesgo'!I9</f>
        <v>Incumplimiento de las metas y objetivos trazados
Perdida de imagen y credibilidad de la gestión de la  entidad
Reprocesos 
Ausencia del conocimiento de la Entidad
Sanciones disciplinarias
Hallazgos por parte de los organismos de control</v>
      </c>
      <c r="E5" s="688" t="str">
        <f>+'[8]Analisis Riesgo'!F7</f>
        <v>Improbable</v>
      </c>
      <c r="F5" s="688" t="str">
        <f>+'[8]Analisis Riesgo'!G7</f>
        <v>Moderado</v>
      </c>
      <c r="G5" s="689" t="str">
        <f>+'[8]Analisis Riesgo'!I7</f>
        <v>MODERADO</v>
      </c>
      <c r="H5" s="688" t="str">
        <f>+'[8]Analisis Riesgo'!U7</f>
        <v>Rara vez</v>
      </c>
      <c r="I5" s="688" t="str">
        <f>+'[8]Analisis Riesgo'!V7</f>
        <v>Menor</v>
      </c>
      <c r="J5" s="690" t="str">
        <f>+'[8]Analisis Riesgo'!W7</f>
        <v>BAJO</v>
      </c>
      <c r="K5" s="687" t="str">
        <f>+'[8]Analisis Riesgo'!X7</f>
        <v>Reducir el riesgo</v>
      </c>
      <c r="L5" s="343" t="s">
        <v>960</v>
      </c>
      <c r="M5" s="345" t="s">
        <v>961</v>
      </c>
      <c r="N5" s="691" t="s">
        <v>962</v>
      </c>
      <c r="O5" s="691" t="s">
        <v>963</v>
      </c>
      <c r="P5" s="342" t="s">
        <v>964</v>
      </c>
      <c r="Q5" s="692"/>
      <c r="R5" s="693"/>
      <c r="S5" s="693"/>
      <c r="T5" s="693"/>
      <c r="U5" s="693"/>
      <c r="V5" s="694"/>
      <c r="W5" s="695"/>
      <c r="X5" s="695"/>
      <c r="Y5" s="603"/>
      <c r="Z5" s="603"/>
    </row>
    <row r="6" spans="1:26" ht="218.25" customHeight="1" x14ac:dyDescent="0.2">
      <c r="A6" s="687">
        <v>2</v>
      </c>
      <c r="B6" s="687" t="str">
        <f>+'[8]Identificación del Riesgo'!E10</f>
        <v>Respuestas extemporaneas o no contestación de PQRS</v>
      </c>
      <c r="C6" s="687" t="str">
        <f>+'[8]Identificación del Riesgo'!H10</f>
        <v xml:space="preserve">Inadecuada trazabilidad de la gestión de los PQRS
Falta compromiso por parte de los funcionarios
Traslado o asignación errada de las PQRS
Concentración de la responsabilidad de respuesta de los PQRS en un servidor público
Masiva radicación de PQRS recurrentes 
</v>
      </c>
      <c r="D6" s="687" t="str">
        <f>+'[8]Identificación del Riesgo'!I10</f>
        <v>Perdida de imagen y credibilidad de la gestión de la  entidad
Sanciones disciplinarias
Hallazgos por parte de los organismos de control
Insatisfacción de las partes interesedas</v>
      </c>
      <c r="E6" s="688" t="str">
        <f>+'[8]Analisis Riesgo'!F8</f>
        <v>Casi Seguro</v>
      </c>
      <c r="F6" s="688" t="str">
        <f>+'[8]Analisis Riesgo'!G8</f>
        <v>Mayor</v>
      </c>
      <c r="G6" s="696" t="str">
        <f>+'[8]Analisis Riesgo'!I8</f>
        <v>EXTREMO</v>
      </c>
      <c r="H6" s="688" t="str">
        <f>+'[8]Analisis Riesgo'!U8</f>
        <v>Casi Seguro</v>
      </c>
      <c r="I6" s="688" t="str">
        <f>+'[8]Analisis Riesgo'!V8</f>
        <v>Mayor</v>
      </c>
      <c r="J6" s="696" t="str">
        <f>+'[8]Analisis Riesgo'!W8</f>
        <v>EXTREMO</v>
      </c>
      <c r="K6" s="687" t="str">
        <f>+'[8]Analisis Riesgo'!X8</f>
        <v>Reducir el riesgo</v>
      </c>
      <c r="L6" s="355" t="s">
        <v>965</v>
      </c>
      <c r="M6" s="345" t="s">
        <v>961</v>
      </c>
      <c r="N6" s="691" t="s">
        <v>966</v>
      </c>
      <c r="O6" s="691" t="s">
        <v>967</v>
      </c>
      <c r="P6" s="345" t="s">
        <v>968</v>
      </c>
      <c r="Q6" s="697"/>
      <c r="R6" s="357"/>
      <c r="S6" s="357"/>
      <c r="T6" s="357"/>
      <c r="U6" s="357"/>
      <c r="V6" s="358"/>
      <c r="W6" s="359"/>
      <c r="X6" s="359"/>
      <c r="Y6" s="603"/>
      <c r="Z6" s="603"/>
    </row>
    <row r="7" spans="1:26" ht="18" customHeight="1" x14ac:dyDescent="0.2">
      <c r="A7" s="687">
        <v>3</v>
      </c>
      <c r="B7" s="687" t="str">
        <f>+'[8]Identificación del Riesgo'!E11</f>
        <v>Eliminación de registros de las PQRS radicadas</v>
      </c>
      <c r="C7" s="687" t="str">
        <f>+'[8]Identificación del Riesgo'!H11</f>
        <v xml:space="preserve">Falta de seguimiento y control  a la contestación de las PQRS
Personal asignado en los eventos de contingencias sin los conocimientos requeridos
Fallas de las herramientas tecnologicas
</v>
      </c>
      <c r="D7" s="687" t="str">
        <f>+'[8]Identificación del Riesgo'!I11</f>
        <v>Perdida de imagen y credibilidad de la gestión de la  entidad
Sanciones disciplinarias
Hallazgos por parte de los organismos de control
Insatisfacción de las partes interesedas</v>
      </c>
      <c r="E7" s="688" t="str">
        <f>+'[8]Analisis Riesgo'!F9</f>
        <v>Rara vez</v>
      </c>
      <c r="F7" s="688" t="str">
        <f>+'[8]Analisis Riesgo'!G9</f>
        <v>Catastrófico</v>
      </c>
      <c r="G7" s="696" t="str">
        <f>+'[8]Analisis Riesgo'!I9</f>
        <v>EXTREMO</v>
      </c>
      <c r="H7" s="688" t="str">
        <f>+'[8]Analisis Riesgo'!U9</f>
        <v>Rara vez</v>
      </c>
      <c r="I7" s="688" t="str">
        <f>+'[8]Analisis Riesgo'!V9</f>
        <v>Catastrófico</v>
      </c>
      <c r="J7" s="696" t="str">
        <f>+'[8]Analisis Riesgo'!W9</f>
        <v>EXTREMO</v>
      </c>
      <c r="K7" s="687" t="str">
        <f>+'[8]Analisis Riesgo'!X9</f>
        <v>Reducir el riesgo</v>
      </c>
      <c r="L7" s="355" t="s">
        <v>969</v>
      </c>
      <c r="M7" s="345" t="s">
        <v>961</v>
      </c>
      <c r="N7" s="691" t="s">
        <v>970</v>
      </c>
      <c r="O7" s="691" t="s">
        <v>971</v>
      </c>
      <c r="P7" s="345" t="s">
        <v>972</v>
      </c>
      <c r="Q7" s="697"/>
      <c r="R7" s="357"/>
      <c r="S7" s="357"/>
      <c r="T7" s="357"/>
      <c r="U7" s="357"/>
      <c r="V7" s="358"/>
      <c r="W7" s="359"/>
      <c r="X7" s="359"/>
      <c r="Y7" s="603"/>
      <c r="Z7" s="603"/>
    </row>
    <row r="8" spans="1:26" ht="18" customHeight="1" x14ac:dyDescent="0.2">
      <c r="A8" s="687">
        <v>4</v>
      </c>
      <c r="B8" s="687" t="str">
        <f>+'[8]Identificación del Riesgo'!E12</f>
        <v>Respuestas incompletas o con información errada</v>
      </c>
      <c r="C8" s="687" t="str">
        <f>+'[8]Identificación del Riesgo'!H12</f>
        <v>Falta de conocimiento de los temas solicitados en las PQRS 
Falta compromiso por parte de los funcionarios
Falta de aplicación del procedimiento en lo que refiere a la revisión y aprobación de las respuestas de PQRS</v>
      </c>
      <c r="D8" s="687" t="str">
        <f>+'[8]Identificación del Riesgo'!I12</f>
        <v>Tutelas
Insatisfacción de las partes interesadas
Hallazgos por parte de los organismos de control
Sanciones disciplinarias</v>
      </c>
      <c r="E8" s="688" t="str">
        <f>+'[8]Analisis Riesgo'!F10</f>
        <v>Improbable</v>
      </c>
      <c r="F8" s="688" t="str">
        <f>+'[8]Analisis Riesgo'!G10</f>
        <v>Moderado</v>
      </c>
      <c r="G8" s="689" t="str">
        <f>+'[8]Analisis Riesgo'!I10</f>
        <v>MODERADO</v>
      </c>
      <c r="H8" s="688" t="str">
        <f>+'[8]Analisis Riesgo'!U10</f>
        <v>Rara vez</v>
      </c>
      <c r="I8" s="688" t="str">
        <f>+'[8]Analisis Riesgo'!V10</f>
        <v>Menor</v>
      </c>
      <c r="J8" s="690" t="str">
        <f>+'[8]Analisis Riesgo'!W10</f>
        <v>BAJO</v>
      </c>
      <c r="K8" s="687" t="str">
        <f>+'[8]Analisis Riesgo'!X10</f>
        <v>Reducir el riesgo</v>
      </c>
      <c r="L8" s="342" t="s">
        <v>973</v>
      </c>
      <c r="M8" s="345" t="s">
        <v>974</v>
      </c>
      <c r="N8" s="346" t="s">
        <v>975</v>
      </c>
      <c r="O8" s="346" t="s">
        <v>975</v>
      </c>
      <c r="P8" s="342" t="s">
        <v>976</v>
      </c>
      <c r="Q8" s="697"/>
      <c r="R8" s="357"/>
      <c r="S8" s="357"/>
      <c r="T8" s="357"/>
      <c r="U8" s="357"/>
      <c r="V8" s="358"/>
      <c r="W8" s="359"/>
      <c r="X8" s="359"/>
      <c r="Y8" s="603"/>
      <c r="Z8" s="603"/>
    </row>
    <row r="9" spans="1:26" ht="18" customHeight="1" x14ac:dyDescent="0.2">
      <c r="A9" s="687">
        <v>5</v>
      </c>
      <c r="B9" s="687" t="str">
        <f>+'[8]Identificación del Riesgo'!E13</f>
        <v>No presentación de informes;  presentación extemporanea o con información incompleta</v>
      </c>
      <c r="C9" s="687" t="str">
        <f>+'[8]Identificación del Riesgo'!H13</f>
        <v xml:space="preserve">Desconocimiento de la normatividad relacionada
Información desactualizada, insumos insuficientes 
Concentración de carga laboral en un servidor publico
</v>
      </c>
      <c r="D9" s="687" t="str">
        <f>+'[8]Identificación del Riesgo'!I13</f>
        <v>Tutelas
Insatisfacción de las partes interesadas
Hallazgos por parte de los organismos de control
Sanciones disciplinarias</v>
      </c>
      <c r="E9" s="688" t="str">
        <f>+'[8]Analisis Riesgo'!F11</f>
        <v>Improbable</v>
      </c>
      <c r="F9" s="688" t="str">
        <f>+'[8]Analisis Riesgo'!G11</f>
        <v>Moderado</v>
      </c>
      <c r="G9" s="689" t="str">
        <f>+'[8]Analisis Riesgo'!I11</f>
        <v>MODERADO</v>
      </c>
      <c r="H9" s="688" t="str">
        <f>+'[8]Analisis Riesgo'!U11</f>
        <v>Rara vez</v>
      </c>
      <c r="I9" s="688" t="str">
        <f>+'[8]Analisis Riesgo'!V11</f>
        <v>Menor</v>
      </c>
      <c r="J9" s="690" t="str">
        <f>+'[8]Analisis Riesgo'!W11</f>
        <v>BAJO</v>
      </c>
      <c r="K9" s="687" t="str">
        <f>+'[8]Analisis Riesgo'!X11</f>
        <v>Reducir el riesgo</v>
      </c>
      <c r="L9" s="342" t="s">
        <v>977</v>
      </c>
      <c r="M9" s="345" t="s">
        <v>978</v>
      </c>
      <c r="N9" s="691" t="s">
        <v>979</v>
      </c>
      <c r="O9" s="691" t="s">
        <v>980</v>
      </c>
      <c r="P9" s="342" t="s">
        <v>981</v>
      </c>
      <c r="Q9" s="697"/>
      <c r="R9" s="357"/>
      <c r="S9" s="357"/>
      <c r="T9" s="357"/>
      <c r="U9" s="357"/>
      <c r="V9" s="358"/>
      <c r="W9" s="359"/>
      <c r="X9" s="359"/>
      <c r="Y9" s="603"/>
      <c r="Z9" s="603"/>
    </row>
    <row r="10" spans="1:26" ht="18" customHeight="1" x14ac:dyDescent="0.2">
      <c r="A10" s="603"/>
      <c r="B10" s="603"/>
      <c r="C10" s="603"/>
      <c r="D10" s="603"/>
      <c r="E10" s="603"/>
      <c r="F10" s="603"/>
      <c r="G10" s="603"/>
      <c r="H10" s="603"/>
      <c r="I10" s="603"/>
      <c r="J10" s="603"/>
      <c r="K10" s="603"/>
      <c r="L10" s="603"/>
      <c r="M10" s="603"/>
      <c r="N10" s="603"/>
      <c r="O10" s="603"/>
      <c r="P10" s="603"/>
      <c r="Q10" s="603"/>
      <c r="R10" s="603"/>
      <c r="S10" s="603"/>
      <c r="T10" s="603"/>
      <c r="U10" s="603"/>
      <c r="V10" s="603"/>
      <c r="W10" s="603"/>
      <c r="X10" s="603"/>
      <c r="Y10" s="603"/>
      <c r="Z10" s="603"/>
    </row>
    <row r="11" spans="1:26" ht="18" customHeight="1" x14ac:dyDescent="0.2">
      <c r="A11" s="603"/>
      <c r="B11" s="603"/>
      <c r="C11" s="603"/>
      <c r="D11" s="603"/>
      <c r="E11" s="603"/>
      <c r="F11" s="603"/>
      <c r="G11" s="603"/>
      <c r="H11" s="603"/>
      <c r="I11" s="603"/>
      <c r="J11" s="603"/>
      <c r="K11" s="603"/>
      <c r="L11" s="603"/>
      <c r="M11" s="603"/>
      <c r="N11" s="603"/>
      <c r="O11" s="603"/>
      <c r="P11" s="603"/>
      <c r="Q11" s="603"/>
      <c r="R11" s="603"/>
      <c r="S11" s="603"/>
      <c r="T11" s="603"/>
      <c r="U11" s="603"/>
      <c r="V11" s="603"/>
      <c r="W11" s="603"/>
      <c r="X11" s="603"/>
      <c r="Y11" s="603"/>
      <c r="Z11" s="603"/>
    </row>
    <row r="12" spans="1:26" ht="18" customHeight="1" x14ac:dyDescent="0.2">
      <c r="A12" s="603"/>
      <c r="B12" s="603"/>
      <c r="C12" s="603"/>
      <c r="D12" s="603"/>
      <c r="E12" s="603"/>
      <c r="F12" s="603"/>
      <c r="G12" s="603"/>
      <c r="H12" s="603"/>
      <c r="I12" s="603"/>
      <c r="J12" s="603"/>
      <c r="K12" s="603"/>
      <c r="L12" s="603"/>
      <c r="M12" s="603"/>
      <c r="N12" s="603"/>
      <c r="O12" s="603"/>
      <c r="P12" s="603"/>
      <c r="Q12" s="603"/>
      <c r="R12" s="603"/>
      <c r="S12" s="603"/>
      <c r="T12" s="603"/>
      <c r="U12" s="603"/>
      <c r="V12" s="603"/>
      <c r="W12" s="603"/>
      <c r="X12" s="603"/>
      <c r="Y12" s="603"/>
      <c r="Z12" s="603"/>
    </row>
    <row r="13" spans="1:26" ht="18" customHeight="1" x14ac:dyDescent="0.2">
      <c r="A13" s="603"/>
      <c r="B13" s="603"/>
      <c r="C13" s="603"/>
      <c r="D13" s="603"/>
      <c r="E13" s="603"/>
      <c r="F13" s="603"/>
      <c r="G13" s="603"/>
      <c r="H13" s="603"/>
      <c r="I13" s="603"/>
      <c r="J13" s="603"/>
      <c r="K13" s="603"/>
      <c r="L13" s="603"/>
      <c r="M13" s="603"/>
      <c r="N13" s="603"/>
      <c r="O13" s="603"/>
      <c r="P13" s="603"/>
      <c r="Q13" s="603"/>
      <c r="R13" s="603"/>
      <c r="S13" s="603"/>
      <c r="T13" s="603"/>
      <c r="U13" s="603"/>
      <c r="V13" s="603"/>
      <c r="W13" s="603"/>
      <c r="X13" s="603"/>
      <c r="Y13" s="603"/>
      <c r="Z13" s="603"/>
    </row>
    <row r="14" spans="1:26" ht="18" customHeight="1" x14ac:dyDescent="0.2">
      <c r="A14" s="603"/>
      <c r="B14" s="603"/>
      <c r="C14" s="603"/>
      <c r="D14" s="603"/>
      <c r="E14" s="603"/>
      <c r="F14" s="603"/>
      <c r="G14" s="603"/>
      <c r="H14" s="603"/>
      <c r="I14" s="603"/>
      <c r="J14" s="603"/>
      <c r="K14" s="603"/>
      <c r="L14" s="603"/>
      <c r="M14" s="603"/>
      <c r="N14" s="603"/>
      <c r="O14" s="603"/>
      <c r="P14" s="603"/>
      <c r="Q14" s="603"/>
      <c r="R14" s="603"/>
      <c r="S14" s="603"/>
      <c r="T14" s="603"/>
      <c r="U14" s="603"/>
      <c r="V14" s="603"/>
      <c r="W14" s="603"/>
      <c r="X14" s="603"/>
      <c r="Y14" s="603"/>
      <c r="Z14" s="603"/>
    </row>
    <row r="15" spans="1:26" ht="18" customHeight="1" x14ac:dyDescent="0.2">
      <c r="A15" s="603"/>
      <c r="B15" s="603"/>
      <c r="C15" s="603"/>
      <c r="D15" s="603"/>
      <c r="E15" s="603"/>
      <c r="F15" s="603"/>
      <c r="G15" s="603"/>
      <c r="H15" s="603"/>
      <c r="I15" s="603"/>
      <c r="J15" s="603"/>
      <c r="K15" s="603"/>
      <c r="L15" s="603"/>
      <c r="M15" s="603"/>
      <c r="N15" s="603"/>
      <c r="O15" s="603"/>
      <c r="P15" s="603"/>
      <c r="Q15" s="603"/>
      <c r="R15" s="603"/>
      <c r="S15" s="603"/>
      <c r="T15" s="603"/>
      <c r="U15" s="603"/>
      <c r="V15" s="603"/>
      <c r="W15" s="603"/>
      <c r="X15" s="603"/>
      <c r="Y15" s="603"/>
      <c r="Z15" s="603"/>
    </row>
    <row r="16" spans="1:26" ht="18" customHeight="1" x14ac:dyDescent="0.2">
      <c r="A16" s="603"/>
      <c r="B16" s="603"/>
      <c r="C16" s="603"/>
      <c r="D16" s="603"/>
      <c r="E16" s="603"/>
      <c r="F16" s="603"/>
      <c r="G16" s="603"/>
      <c r="H16" s="603"/>
      <c r="I16" s="603"/>
      <c r="J16" s="603"/>
      <c r="K16" s="603"/>
      <c r="L16" s="603"/>
      <c r="M16" s="603"/>
      <c r="N16" s="603"/>
      <c r="O16" s="603"/>
      <c r="P16" s="603"/>
      <c r="Q16" s="603"/>
      <c r="R16" s="603"/>
      <c r="S16" s="603"/>
      <c r="T16" s="603"/>
      <c r="U16" s="603"/>
      <c r="V16" s="603"/>
      <c r="W16" s="603"/>
      <c r="X16" s="603"/>
      <c r="Y16" s="603"/>
      <c r="Z16" s="603"/>
    </row>
    <row r="17" spans="1:26" ht="18" customHeight="1" x14ac:dyDescent="0.2">
      <c r="A17" s="603"/>
      <c r="B17" s="603"/>
      <c r="C17" s="603"/>
      <c r="D17" s="603"/>
      <c r="E17" s="603"/>
      <c r="F17" s="603"/>
      <c r="G17" s="603"/>
      <c r="H17" s="603"/>
      <c r="I17" s="603"/>
      <c r="J17" s="603"/>
      <c r="K17" s="603"/>
      <c r="L17" s="603"/>
      <c r="M17" s="603"/>
      <c r="N17" s="603"/>
      <c r="O17" s="603"/>
      <c r="P17" s="603"/>
      <c r="Q17" s="603"/>
      <c r="R17" s="603"/>
      <c r="S17" s="603"/>
      <c r="T17" s="603"/>
      <c r="U17" s="603"/>
      <c r="V17" s="603"/>
      <c r="W17" s="603"/>
      <c r="X17" s="603"/>
      <c r="Y17" s="603"/>
      <c r="Z17" s="603"/>
    </row>
    <row r="18" spans="1:26" ht="18" customHeight="1" x14ac:dyDescent="0.2">
      <c r="A18" s="603"/>
      <c r="B18" s="603"/>
      <c r="C18" s="603"/>
      <c r="D18" s="603"/>
      <c r="E18" s="603"/>
      <c r="F18" s="603"/>
      <c r="G18" s="603"/>
      <c r="H18" s="603"/>
      <c r="I18" s="603"/>
      <c r="J18" s="603"/>
      <c r="K18" s="603"/>
      <c r="L18" s="603"/>
      <c r="M18" s="603"/>
      <c r="N18" s="603"/>
      <c r="O18" s="603"/>
      <c r="P18" s="603"/>
      <c r="Q18" s="603"/>
      <c r="R18" s="603"/>
      <c r="S18" s="603"/>
      <c r="T18" s="603"/>
      <c r="U18" s="603"/>
      <c r="V18" s="603"/>
      <c r="W18" s="603"/>
      <c r="X18" s="603"/>
      <c r="Y18" s="603"/>
      <c r="Z18" s="603"/>
    </row>
    <row r="19" spans="1:26" ht="18" customHeight="1" x14ac:dyDescent="0.2">
      <c r="A19" s="603"/>
      <c r="B19" s="603"/>
      <c r="C19" s="603"/>
      <c r="D19" s="603"/>
      <c r="E19" s="603"/>
      <c r="F19" s="603"/>
      <c r="G19" s="603"/>
      <c r="H19" s="603"/>
      <c r="I19" s="603"/>
      <c r="J19" s="603"/>
      <c r="K19" s="603"/>
      <c r="L19" s="603"/>
      <c r="M19" s="603"/>
      <c r="N19" s="603"/>
      <c r="O19" s="603"/>
      <c r="P19" s="603"/>
      <c r="Q19" s="603"/>
      <c r="R19" s="603"/>
      <c r="S19" s="603"/>
      <c r="T19" s="603"/>
      <c r="U19" s="603"/>
      <c r="V19" s="603"/>
      <c r="W19" s="603"/>
      <c r="X19" s="603"/>
      <c r="Y19" s="603"/>
      <c r="Z19" s="603"/>
    </row>
    <row r="20" spans="1:26" ht="18" customHeight="1" x14ac:dyDescent="0.2">
      <c r="A20" s="603"/>
      <c r="B20" s="603"/>
      <c r="C20" s="603"/>
      <c r="D20" s="603"/>
      <c r="E20" s="603"/>
      <c r="F20" s="603"/>
      <c r="G20" s="603"/>
      <c r="H20" s="603"/>
      <c r="I20" s="603"/>
      <c r="J20" s="603"/>
      <c r="K20" s="603"/>
      <c r="L20" s="603"/>
      <c r="M20" s="603"/>
      <c r="N20" s="603"/>
      <c r="O20" s="603"/>
      <c r="P20" s="603"/>
      <c r="Q20" s="603"/>
      <c r="R20" s="603"/>
      <c r="S20" s="603"/>
      <c r="T20" s="603"/>
      <c r="U20" s="603"/>
      <c r="V20" s="603"/>
      <c r="W20" s="603"/>
      <c r="X20" s="603"/>
      <c r="Y20" s="603"/>
      <c r="Z20" s="603"/>
    </row>
    <row r="21" spans="1:26" ht="18" customHeight="1" x14ac:dyDescent="0.2">
      <c r="A21" s="603"/>
      <c r="B21" s="603"/>
      <c r="C21" s="603"/>
      <c r="D21" s="603"/>
      <c r="E21" s="603"/>
      <c r="F21" s="603"/>
      <c r="G21" s="603"/>
      <c r="H21" s="603"/>
      <c r="I21" s="603"/>
      <c r="J21" s="603"/>
      <c r="K21" s="603"/>
      <c r="L21" s="603"/>
      <c r="M21" s="603"/>
      <c r="N21" s="603"/>
      <c r="O21" s="603"/>
      <c r="P21" s="603"/>
      <c r="Q21" s="603"/>
      <c r="R21" s="603"/>
      <c r="S21" s="603"/>
      <c r="T21" s="603"/>
      <c r="U21" s="603"/>
      <c r="V21" s="603"/>
      <c r="W21" s="603"/>
      <c r="X21" s="603"/>
      <c r="Y21" s="603"/>
      <c r="Z21" s="603"/>
    </row>
    <row r="22" spans="1:26" ht="18" customHeight="1" x14ac:dyDescent="0.2">
      <c r="A22" s="603"/>
      <c r="B22" s="603"/>
      <c r="C22" s="603"/>
      <c r="D22" s="603"/>
      <c r="E22" s="603"/>
      <c r="F22" s="603"/>
      <c r="G22" s="603"/>
      <c r="H22" s="603"/>
      <c r="I22" s="603"/>
      <c r="J22" s="603"/>
      <c r="K22" s="603"/>
      <c r="L22" s="603"/>
      <c r="M22" s="603"/>
      <c r="N22" s="603"/>
      <c r="O22" s="603"/>
      <c r="P22" s="603"/>
      <c r="Q22" s="603"/>
      <c r="R22" s="603"/>
      <c r="S22" s="603"/>
      <c r="T22" s="603"/>
      <c r="U22" s="603"/>
      <c r="V22" s="603"/>
      <c r="W22" s="603"/>
      <c r="X22" s="603"/>
      <c r="Y22" s="603"/>
      <c r="Z22" s="603"/>
    </row>
    <row r="23" spans="1:26" ht="18" customHeight="1" x14ac:dyDescent="0.2">
      <c r="A23" s="603"/>
      <c r="B23" s="603"/>
      <c r="C23" s="603"/>
      <c r="D23" s="603"/>
      <c r="E23" s="603"/>
      <c r="F23" s="603"/>
      <c r="G23" s="603"/>
      <c r="H23" s="603"/>
      <c r="I23" s="603"/>
      <c r="J23" s="603"/>
      <c r="K23" s="603"/>
      <c r="L23" s="603"/>
      <c r="M23" s="603"/>
      <c r="N23" s="603"/>
      <c r="O23" s="603"/>
      <c r="P23" s="603"/>
      <c r="Q23" s="603"/>
      <c r="R23" s="603"/>
      <c r="S23" s="603"/>
      <c r="T23" s="603"/>
      <c r="U23" s="603"/>
      <c r="V23" s="603"/>
      <c r="W23" s="603"/>
      <c r="X23" s="603"/>
      <c r="Y23" s="603"/>
      <c r="Z23" s="603"/>
    </row>
    <row r="24" spans="1:26" ht="18" customHeight="1" x14ac:dyDescent="0.2">
      <c r="A24" s="603"/>
      <c r="B24" s="603"/>
      <c r="C24" s="603"/>
      <c r="D24" s="603"/>
      <c r="E24" s="603"/>
      <c r="F24" s="603"/>
      <c r="G24" s="603"/>
      <c r="H24" s="603"/>
      <c r="I24" s="603"/>
      <c r="J24" s="603"/>
      <c r="K24" s="603"/>
      <c r="L24" s="603"/>
      <c r="M24" s="603"/>
      <c r="N24" s="603"/>
      <c r="O24" s="603"/>
      <c r="P24" s="603"/>
      <c r="Q24" s="603"/>
      <c r="R24" s="603"/>
      <c r="S24" s="603"/>
      <c r="T24" s="603"/>
      <c r="U24" s="603"/>
      <c r="V24" s="603"/>
      <c r="W24" s="603"/>
      <c r="X24" s="603"/>
      <c r="Y24" s="603"/>
      <c r="Z24" s="603"/>
    </row>
    <row r="25" spans="1:26" ht="18" customHeight="1" x14ac:dyDescent="0.2">
      <c r="A25" s="603"/>
      <c r="B25" s="603"/>
      <c r="C25" s="603"/>
      <c r="D25" s="603"/>
      <c r="E25" s="603"/>
      <c r="F25" s="603"/>
      <c r="G25" s="603"/>
      <c r="H25" s="603"/>
      <c r="I25" s="603"/>
      <c r="J25" s="603"/>
      <c r="K25" s="603"/>
      <c r="L25" s="603"/>
      <c r="M25" s="603"/>
      <c r="N25" s="603"/>
      <c r="O25" s="603"/>
      <c r="P25" s="603"/>
      <c r="Q25" s="603"/>
      <c r="R25" s="603"/>
      <c r="S25" s="603"/>
      <c r="T25" s="603"/>
      <c r="U25" s="603"/>
      <c r="V25" s="603"/>
      <c r="W25" s="603"/>
      <c r="X25" s="603"/>
      <c r="Y25" s="603"/>
      <c r="Z25" s="603"/>
    </row>
    <row r="26" spans="1:26" ht="18" customHeight="1" x14ac:dyDescent="0.2">
      <c r="A26" s="603"/>
      <c r="B26" s="603"/>
      <c r="C26" s="603"/>
      <c r="D26" s="603"/>
      <c r="E26" s="603"/>
      <c r="F26" s="603"/>
      <c r="G26" s="603"/>
      <c r="H26" s="603"/>
      <c r="I26" s="603"/>
      <c r="J26" s="603"/>
      <c r="K26" s="603"/>
      <c r="L26" s="603"/>
      <c r="M26" s="603"/>
      <c r="N26" s="603"/>
      <c r="O26" s="603"/>
      <c r="P26" s="603"/>
      <c r="Q26" s="603"/>
      <c r="R26" s="603"/>
      <c r="S26" s="603"/>
      <c r="T26" s="603"/>
      <c r="U26" s="603"/>
      <c r="V26" s="603"/>
      <c r="W26" s="603"/>
      <c r="X26" s="603"/>
      <c r="Y26" s="603"/>
      <c r="Z26" s="603"/>
    </row>
    <row r="27" spans="1:26" ht="18" customHeight="1" x14ac:dyDescent="0.2">
      <c r="A27" s="603"/>
      <c r="B27" s="603"/>
      <c r="C27" s="603"/>
      <c r="D27" s="603"/>
      <c r="E27" s="603"/>
      <c r="F27" s="603"/>
      <c r="G27" s="603"/>
      <c r="H27" s="603"/>
      <c r="I27" s="603"/>
      <c r="J27" s="603"/>
      <c r="K27" s="603"/>
      <c r="L27" s="603"/>
      <c r="M27" s="603"/>
      <c r="N27" s="603"/>
      <c r="O27" s="603"/>
      <c r="P27" s="603"/>
      <c r="Q27" s="603"/>
      <c r="R27" s="603"/>
      <c r="S27" s="603"/>
      <c r="T27" s="603"/>
      <c r="U27" s="603"/>
      <c r="V27" s="603"/>
      <c r="W27" s="603"/>
      <c r="X27" s="603"/>
      <c r="Y27" s="603"/>
      <c r="Z27" s="603"/>
    </row>
    <row r="28" spans="1:26" ht="18" customHeight="1" x14ac:dyDescent="0.2">
      <c r="A28" s="603"/>
      <c r="B28" s="603"/>
      <c r="C28" s="603"/>
      <c r="D28" s="603"/>
      <c r="E28" s="603"/>
      <c r="F28" s="603"/>
      <c r="G28" s="603"/>
      <c r="H28" s="603"/>
      <c r="I28" s="603"/>
      <c r="J28" s="603"/>
      <c r="K28" s="603"/>
      <c r="L28" s="603"/>
      <c r="M28" s="603"/>
      <c r="N28" s="603"/>
      <c r="O28" s="603"/>
      <c r="P28" s="603"/>
      <c r="Q28" s="603"/>
      <c r="R28" s="603"/>
      <c r="S28" s="603"/>
      <c r="T28" s="603"/>
      <c r="U28" s="603"/>
      <c r="V28" s="603"/>
      <c r="W28" s="603"/>
      <c r="X28" s="603"/>
      <c r="Y28" s="603"/>
      <c r="Z28" s="603"/>
    </row>
    <row r="29" spans="1:26" ht="18" customHeight="1" x14ac:dyDescent="0.2">
      <c r="A29" s="603"/>
      <c r="B29" s="603"/>
      <c r="C29" s="603"/>
      <c r="D29" s="603"/>
      <c r="E29" s="603"/>
      <c r="F29" s="603"/>
      <c r="G29" s="603"/>
      <c r="H29" s="603"/>
      <c r="I29" s="603"/>
      <c r="J29" s="603"/>
      <c r="K29" s="603"/>
      <c r="L29" s="603"/>
      <c r="M29" s="603"/>
      <c r="N29" s="603"/>
      <c r="O29" s="603"/>
      <c r="P29" s="603"/>
      <c r="Q29" s="603"/>
      <c r="R29" s="603"/>
      <c r="S29" s="603"/>
      <c r="T29" s="603"/>
      <c r="U29" s="603"/>
      <c r="V29" s="603"/>
      <c r="W29" s="603"/>
      <c r="X29" s="603"/>
      <c r="Y29" s="603"/>
      <c r="Z29" s="603"/>
    </row>
    <row r="30" spans="1:26" ht="18" customHeight="1" x14ac:dyDescent="0.2">
      <c r="A30" s="603"/>
      <c r="B30" s="603"/>
      <c r="C30" s="603"/>
      <c r="D30" s="603"/>
      <c r="E30" s="603"/>
      <c r="F30" s="603"/>
      <c r="G30" s="603"/>
      <c r="H30" s="603"/>
      <c r="I30" s="603"/>
      <c r="J30" s="603"/>
      <c r="K30" s="603"/>
      <c r="L30" s="603"/>
      <c r="M30" s="603"/>
      <c r="N30" s="603"/>
      <c r="O30" s="603"/>
      <c r="P30" s="603"/>
      <c r="Q30" s="603"/>
      <c r="R30" s="603"/>
      <c r="S30" s="603"/>
      <c r="T30" s="603"/>
      <c r="U30" s="603"/>
      <c r="V30" s="603"/>
      <c r="W30" s="603"/>
      <c r="X30" s="603"/>
      <c r="Y30" s="603"/>
      <c r="Z30" s="603"/>
    </row>
    <row r="31" spans="1:26" ht="18" customHeight="1" x14ac:dyDescent="0.2">
      <c r="A31" s="603"/>
      <c r="B31" s="603"/>
      <c r="C31" s="603"/>
      <c r="D31" s="603"/>
      <c r="E31" s="603"/>
      <c r="F31" s="603"/>
      <c r="G31" s="603"/>
      <c r="H31" s="603"/>
      <c r="I31" s="603"/>
      <c r="J31" s="603"/>
      <c r="K31" s="603"/>
      <c r="L31" s="603"/>
      <c r="M31" s="603"/>
      <c r="N31" s="603"/>
      <c r="O31" s="603"/>
      <c r="P31" s="603"/>
      <c r="Q31" s="603"/>
      <c r="R31" s="603"/>
      <c r="S31" s="603"/>
      <c r="T31" s="603"/>
      <c r="U31" s="603"/>
      <c r="V31" s="603"/>
      <c r="W31" s="603"/>
      <c r="X31" s="603"/>
      <c r="Y31" s="603"/>
      <c r="Z31" s="603"/>
    </row>
    <row r="32" spans="1:26" ht="18" customHeight="1" x14ac:dyDescent="0.2">
      <c r="A32" s="603"/>
      <c r="B32" s="603"/>
      <c r="C32" s="603"/>
      <c r="D32" s="603"/>
      <c r="E32" s="603"/>
      <c r="F32" s="603"/>
      <c r="G32" s="603"/>
      <c r="H32" s="603"/>
      <c r="I32" s="603"/>
      <c r="J32" s="603"/>
      <c r="K32" s="603"/>
      <c r="L32" s="603"/>
      <c r="M32" s="603"/>
      <c r="N32" s="603"/>
      <c r="O32" s="603"/>
      <c r="P32" s="603"/>
      <c r="Q32" s="603"/>
      <c r="R32" s="603"/>
      <c r="S32" s="603"/>
      <c r="T32" s="603"/>
      <c r="U32" s="603"/>
      <c r="V32" s="603"/>
      <c r="W32" s="603"/>
      <c r="X32" s="603"/>
      <c r="Y32" s="603"/>
      <c r="Z32" s="603"/>
    </row>
    <row r="33" spans="1:26" ht="18" customHeight="1" x14ac:dyDescent="0.2">
      <c r="A33" s="603"/>
      <c r="B33" s="603"/>
      <c r="C33" s="603"/>
      <c r="D33" s="603"/>
      <c r="E33" s="603"/>
      <c r="F33" s="603"/>
      <c r="G33" s="603"/>
      <c r="H33" s="603"/>
      <c r="I33" s="603"/>
      <c r="J33" s="603"/>
      <c r="K33" s="603"/>
      <c r="L33" s="603"/>
      <c r="M33" s="603"/>
      <c r="N33" s="603"/>
      <c r="O33" s="603"/>
      <c r="P33" s="603"/>
      <c r="Q33" s="603"/>
      <c r="R33" s="603"/>
      <c r="S33" s="603"/>
      <c r="T33" s="603"/>
      <c r="U33" s="603"/>
      <c r="V33" s="603"/>
      <c r="W33" s="603"/>
      <c r="X33" s="603"/>
      <c r="Y33" s="603"/>
      <c r="Z33" s="603"/>
    </row>
    <row r="34" spans="1:26" ht="18" customHeight="1" x14ac:dyDescent="0.2">
      <c r="A34" s="603"/>
      <c r="B34" s="603"/>
      <c r="C34" s="603"/>
      <c r="D34" s="603"/>
      <c r="E34" s="603"/>
      <c r="F34" s="603"/>
      <c r="G34" s="603"/>
      <c r="H34" s="603"/>
      <c r="I34" s="603"/>
      <c r="J34" s="603"/>
      <c r="K34" s="603"/>
      <c r="L34" s="603"/>
      <c r="M34" s="603"/>
      <c r="N34" s="603"/>
      <c r="O34" s="603"/>
      <c r="P34" s="603"/>
      <c r="Q34" s="603"/>
      <c r="R34" s="603"/>
      <c r="S34" s="603"/>
      <c r="T34" s="603"/>
      <c r="U34" s="603"/>
      <c r="V34" s="603"/>
      <c r="W34" s="603"/>
      <c r="X34" s="603"/>
      <c r="Y34" s="603"/>
      <c r="Z34" s="603"/>
    </row>
    <row r="35" spans="1:26" ht="18" customHeight="1" x14ac:dyDescent="0.2">
      <c r="A35" s="603"/>
      <c r="B35" s="603"/>
      <c r="C35" s="603"/>
      <c r="D35" s="603"/>
      <c r="E35" s="603"/>
      <c r="F35" s="603"/>
      <c r="G35" s="603"/>
      <c r="H35" s="603"/>
      <c r="I35" s="603"/>
      <c r="J35" s="603"/>
      <c r="K35" s="603"/>
      <c r="L35" s="603"/>
      <c r="M35" s="603"/>
      <c r="N35" s="603"/>
      <c r="O35" s="603"/>
      <c r="P35" s="603"/>
      <c r="Q35" s="603"/>
      <c r="R35" s="603"/>
      <c r="S35" s="603"/>
      <c r="T35" s="603"/>
      <c r="U35" s="603"/>
      <c r="V35" s="603"/>
      <c r="W35" s="603"/>
      <c r="X35" s="603"/>
      <c r="Y35" s="603"/>
      <c r="Z35" s="603"/>
    </row>
    <row r="36" spans="1:26" ht="18" customHeight="1" x14ac:dyDescent="0.2">
      <c r="A36" s="603"/>
      <c r="B36" s="603"/>
      <c r="C36" s="603"/>
      <c r="D36" s="603"/>
      <c r="E36" s="603"/>
      <c r="F36" s="603"/>
      <c r="G36" s="603"/>
      <c r="H36" s="603"/>
      <c r="I36" s="603"/>
      <c r="J36" s="603"/>
      <c r="K36" s="603"/>
      <c r="L36" s="603"/>
      <c r="M36" s="603"/>
      <c r="N36" s="603"/>
      <c r="O36" s="603"/>
      <c r="P36" s="603"/>
      <c r="Q36" s="603"/>
      <c r="R36" s="603"/>
      <c r="S36" s="603"/>
      <c r="T36" s="603"/>
      <c r="U36" s="603"/>
      <c r="V36" s="603"/>
      <c r="W36" s="603"/>
      <c r="X36" s="603"/>
      <c r="Y36" s="603"/>
      <c r="Z36" s="603"/>
    </row>
    <row r="37" spans="1:26" ht="18" customHeight="1" x14ac:dyDescent="0.2">
      <c r="A37" s="603"/>
      <c r="B37" s="603"/>
      <c r="C37" s="603"/>
      <c r="D37" s="603"/>
      <c r="E37" s="603"/>
      <c r="F37" s="603"/>
      <c r="G37" s="603"/>
      <c r="H37" s="603"/>
      <c r="I37" s="603"/>
      <c r="J37" s="603"/>
      <c r="K37" s="603"/>
      <c r="L37" s="603"/>
      <c r="M37" s="603"/>
      <c r="N37" s="603"/>
      <c r="O37" s="603"/>
      <c r="P37" s="603"/>
      <c r="Q37" s="603"/>
      <c r="R37" s="603"/>
      <c r="S37" s="603"/>
      <c r="T37" s="603"/>
      <c r="U37" s="603"/>
      <c r="V37" s="603"/>
      <c r="W37" s="603"/>
      <c r="X37" s="603"/>
      <c r="Y37" s="603"/>
      <c r="Z37" s="603"/>
    </row>
    <row r="38" spans="1:26" ht="18" customHeight="1" x14ac:dyDescent="0.2">
      <c r="A38" s="603"/>
      <c r="B38" s="603"/>
      <c r="C38" s="603"/>
      <c r="D38" s="603"/>
      <c r="E38" s="603"/>
      <c r="F38" s="603"/>
      <c r="G38" s="603"/>
      <c r="H38" s="603"/>
      <c r="I38" s="603"/>
      <c r="J38" s="603"/>
      <c r="K38" s="603"/>
      <c r="L38" s="603"/>
      <c r="M38" s="603"/>
      <c r="N38" s="603"/>
      <c r="O38" s="603"/>
      <c r="P38" s="603"/>
      <c r="Q38" s="603"/>
      <c r="R38" s="603"/>
      <c r="S38" s="603"/>
      <c r="T38" s="603"/>
      <c r="U38" s="603"/>
      <c r="V38" s="603"/>
      <c r="W38" s="603"/>
      <c r="X38" s="603"/>
      <c r="Y38" s="603"/>
      <c r="Z38" s="603"/>
    </row>
    <row r="39" spans="1:26" ht="18" customHeight="1" x14ac:dyDescent="0.2">
      <c r="A39" s="603"/>
      <c r="B39" s="603"/>
      <c r="C39" s="603"/>
      <c r="D39" s="603"/>
      <c r="E39" s="603"/>
      <c r="F39" s="603"/>
      <c r="G39" s="603"/>
      <c r="H39" s="603"/>
      <c r="I39" s="603"/>
      <c r="J39" s="603"/>
      <c r="K39" s="603"/>
      <c r="L39" s="603"/>
      <c r="M39" s="603"/>
      <c r="N39" s="603"/>
      <c r="O39" s="603"/>
      <c r="P39" s="603"/>
      <c r="Q39" s="603"/>
      <c r="R39" s="603"/>
      <c r="S39" s="603"/>
      <c r="T39" s="603"/>
      <c r="U39" s="603"/>
      <c r="V39" s="603"/>
      <c r="W39" s="603"/>
      <c r="X39" s="603"/>
      <c r="Y39" s="603"/>
      <c r="Z39" s="603"/>
    </row>
    <row r="40" spans="1:26" ht="18" customHeight="1" x14ac:dyDescent="0.2">
      <c r="A40" s="603"/>
      <c r="B40" s="603"/>
      <c r="C40" s="603"/>
      <c r="D40" s="603"/>
      <c r="E40" s="603"/>
      <c r="F40" s="603"/>
      <c r="G40" s="603"/>
      <c r="H40" s="603"/>
      <c r="I40" s="603"/>
      <c r="J40" s="603"/>
      <c r="K40" s="603"/>
      <c r="L40" s="603"/>
      <c r="M40" s="603"/>
      <c r="N40" s="603"/>
      <c r="O40" s="603"/>
      <c r="P40" s="603"/>
      <c r="Q40" s="603"/>
      <c r="R40" s="603"/>
      <c r="S40" s="603"/>
      <c r="T40" s="603"/>
      <c r="U40" s="603"/>
      <c r="V40" s="603"/>
      <c r="W40" s="603"/>
      <c r="X40" s="603"/>
      <c r="Y40" s="603"/>
      <c r="Z40" s="603"/>
    </row>
    <row r="41" spans="1:26" ht="18" customHeight="1" x14ac:dyDescent="0.2">
      <c r="A41" s="603"/>
      <c r="B41" s="603"/>
      <c r="C41" s="603"/>
      <c r="D41" s="603"/>
      <c r="E41" s="603"/>
      <c r="F41" s="603"/>
      <c r="G41" s="603"/>
      <c r="H41" s="603"/>
      <c r="I41" s="603"/>
      <c r="J41" s="603"/>
      <c r="K41" s="603"/>
      <c r="L41" s="603"/>
      <c r="M41" s="603"/>
      <c r="N41" s="603"/>
      <c r="O41" s="603"/>
      <c r="P41" s="603"/>
      <c r="Q41" s="603"/>
      <c r="R41" s="603"/>
      <c r="S41" s="603"/>
      <c r="T41" s="603"/>
      <c r="U41" s="603"/>
      <c r="V41" s="603"/>
      <c r="W41" s="603"/>
      <c r="X41" s="603"/>
      <c r="Y41" s="603"/>
      <c r="Z41" s="603"/>
    </row>
    <row r="42" spans="1:26" ht="18" customHeight="1" x14ac:dyDescent="0.2">
      <c r="A42" s="603"/>
      <c r="B42" s="603"/>
      <c r="C42" s="603"/>
      <c r="D42" s="603"/>
      <c r="E42" s="603"/>
      <c r="F42" s="603"/>
      <c r="G42" s="603"/>
      <c r="H42" s="603"/>
      <c r="I42" s="603"/>
      <c r="J42" s="603"/>
      <c r="K42" s="603"/>
      <c r="L42" s="603"/>
      <c r="M42" s="603"/>
      <c r="N42" s="603"/>
      <c r="O42" s="603"/>
      <c r="P42" s="603"/>
      <c r="Q42" s="603"/>
      <c r="R42" s="603"/>
      <c r="S42" s="603"/>
      <c r="T42" s="603"/>
      <c r="U42" s="603"/>
      <c r="V42" s="603"/>
      <c r="W42" s="603"/>
      <c r="X42" s="603"/>
      <c r="Y42" s="603"/>
      <c r="Z42" s="603"/>
    </row>
    <row r="43" spans="1:26" ht="18" customHeight="1" x14ac:dyDescent="0.2">
      <c r="A43" s="603"/>
      <c r="B43" s="603"/>
      <c r="C43" s="603"/>
      <c r="D43" s="603"/>
      <c r="E43" s="603"/>
      <c r="F43" s="603"/>
      <c r="G43" s="603"/>
      <c r="H43" s="603"/>
      <c r="I43" s="603"/>
      <c r="J43" s="603"/>
      <c r="K43" s="603"/>
      <c r="L43" s="603"/>
      <c r="M43" s="603"/>
      <c r="N43" s="603"/>
      <c r="O43" s="603"/>
      <c r="P43" s="603"/>
      <c r="Q43" s="603"/>
      <c r="R43" s="603"/>
      <c r="S43" s="603"/>
      <c r="T43" s="603"/>
      <c r="U43" s="603"/>
      <c r="V43" s="603"/>
      <c r="W43" s="603"/>
      <c r="X43" s="603"/>
      <c r="Y43" s="603"/>
      <c r="Z43" s="603"/>
    </row>
    <row r="44" spans="1:26" ht="18" customHeight="1" x14ac:dyDescent="0.2">
      <c r="A44" s="603"/>
      <c r="B44" s="603"/>
      <c r="C44" s="603"/>
      <c r="D44" s="603"/>
      <c r="E44" s="603"/>
      <c r="F44" s="603"/>
      <c r="G44" s="603"/>
      <c r="H44" s="603"/>
      <c r="I44" s="603"/>
      <c r="J44" s="603"/>
      <c r="K44" s="603"/>
      <c r="L44" s="603"/>
      <c r="M44" s="603"/>
      <c r="N44" s="603"/>
      <c r="O44" s="603"/>
      <c r="P44" s="603"/>
      <c r="Q44" s="603"/>
      <c r="R44" s="603"/>
      <c r="S44" s="603"/>
      <c r="T44" s="603"/>
      <c r="U44" s="603"/>
      <c r="V44" s="603"/>
      <c r="W44" s="603"/>
      <c r="X44" s="603"/>
      <c r="Y44" s="603"/>
      <c r="Z44" s="603"/>
    </row>
    <row r="45" spans="1:26" ht="18" customHeight="1" x14ac:dyDescent="0.2">
      <c r="A45" s="603"/>
      <c r="B45" s="603"/>
      <c r="C45" s="603"/>
      <c r="D45" s="603"/>
      <c r="E45" s="603"/>
      <c r="F45" s="603"/>
      <c r="G45" s="603"/>
      <c r="H45" s="603"/>
      <c r="I45" s="603"/>
      <c r="J45" s="603"/>
      <c r="K45" s="603"/>
      <c r="L45" s="603"/>
      <c r="M45" s="603"/>
      <c r="N45" s="603"/>
      <c r="O45" s="603"/>
      <c r="P45" s="603"/>
      <c r="Q45" s="603"/>
      <c r="R45" s="603"/>
      <c r="S45" s="603"/>
      <c r="T45" s="603"/>
      <c r="U45" s="603"/>
      <c r="V45" s="603"/>
      <c r="W45" s="603"/>
      <c r="X45" s="603"/>
      <c r="Y45" s="603"/>
      <c r="Z45" s="603"/>
    </row>
    <row r="46" spans="1:26" ht="18" customHeight="1" x14ac:dyDescent="0.2">
      <c r="A46" s="603"/>
      <c r="B46" s="603"/>
      <c r="C46" s="603"/>
      <c r="D46" s="603"/>
      <c r="E46" s="603"/>
      <c r="F46" s="603"/>
      <c r="G46" s="603"/>
      <c r="H46" s="603"/>
      <c r="I46" s="603"/>
      <c r="J46" s="603"/>
      <c r="K46" s="603"/>
      <c r="L46" s="603"/>
      <c r="M46" s="603"/>
      <c r="N46" s="603"/>
      <c r="O46" s="603"/>
      <c r="P46" s="603"/>
      <c r="Q46" s="603"/>
      <c r="R46" s="603"/>
      <c r="S46" s="603"/>
      <c r="T46" s="603"/>
      <c r="U46" s="603"/>
      <c r="V46" s="603"/>
      <c r="W46" s="603"/>
      <c r="X46" s="603"/>
      <c r="Y46" s="603"/>
      <c r="Z46" s="603"/>
    </row>
    <row r="47" spans="1:26" ht="18" customHeight="1" x14ac:dyDescent="0.2">
      <c r="A47" s="603"/>
      <c r="B47" s="603"/>
      <c r="C47" s="603"/>
      <c r="D47" s="603"/>
      <c r="E47" s="603"/>
      <c r="F47" s="603"/>
      <c r="G47" s="603"/>
      <c r="H47" s="603"/>
      <c r="I47" s="603"/>
      <c r="J47" s="603"/>
      <c r="K47" s="603"/>
      <c r="L47" s="603"/>
      <c r="M47" s="603"/>
      <c r="N47" s="603"/>
      <c r="O47" s="603"/>
      <c r="P47" s="603"/>
      <c r="Q47" s="603"/>
      <c r="R47" s="603"/>
      <c r="S47" s="603"/>
      <c r="T47" s="603"/>
      <c r="U47" s="603"/>
      <c r="V47" s="603"/>
      <c r="W47" s="603"/>
      <c r="X47" s="603"/>
      <c r="Y47" s="603"/>
      <c r="Z47" s="603"/>
    </row>
    <row r="48" spans="1:26" ht="18" customHeight="1" x14ac:dyDescent="0.2">
      <c r="A48" s="603"/>
      <c r="B48" s="603"/>
      <c r="C48" s="603"/>
      <c r="D48" s="603"/>
      <c r="E48" s="603"/>
      <c r="F48" s="603"/>
      <c r="G48" s="603"/>
      <c r="H48" s="603"/>
      <c r="I48" s="603"/>
      <c r="J48" s="603"/>
      <c r="K48" s="603"/>
      <c r="L48" s="603"/>
      <c r="M48" s="603"/>
      <c r="N48" s="603"/>
      <c r="O48" s="603"/>
      <c r="P48" s="603"/>
      <c r="Q48" s="603"/>
      <c r="R48" s="603"/>
      <c r="S48" s="603"/>
      <c r="T48" s="603"/>
      <c r="U48" s="603"/>
      <c r="V48" s="603"/>
      <c r="W48" s="603"/>
      <c r="X48" s="603"/>
      <c r="Y48" s="603"/>
      <c r="Z48" s="603"/>
    </row>
    <row r="49" spans="1:26" ht="18" customHeight="1" x14ac:dyDescent="0.2">
      <c r="A49" s="603"/>
      <c r="B49" s="603"/>
      <c r="C49" s="603"/>
      <c r="D49" s="603"/>
      <c r="E49" s="603"/>
      <c r="F49" s="603"/>
      <c r="G49" s="603"/>
      <c r="H49" s="603"/>
      <c r="I49" s="603"/>
      <c r="J49" s="603"/>
      <c r="K49" s="603"/>
      <c r="L49" s="603"/>
      <c r="M49" s="603"/>
      <c r="N49" s="603"/>
      <c r="O49" s="603"/>
      <c r="P49" s="603"/>
      <c r="Q49" s="603"/>
      <c r="R49" s="603"/>
      <c r="S49" s="603"/>
      <c r="T49" s="603"/>
      <c r="U49" s="603"/>
      <c r="V49" s="603"/>
      <c r="W49" s="603"/>
      <c r="X49" s="603"/>
      <c r="Y49" s="603"/>
      <c r="Z49" s="603"/>
    </row>
    <row r="50" spans="1:26" ht="18" customHeight="1" x14ac:dyDescent="0.2">
      <c r="A50" s="603"/>
      <c r="B50" s="603"/>
      <c r="C50" s="603"/>
      <c r="D50" s="603"/>
      <c r="E50" s="603"/>
      <c r="F50" s="603"/>
      <c r="G50" s="603"/>
      <c r="H50" s="603"/>
      <c r="I50" s="603"/>
      <c r="J50" s="603"/>
      <c r="K50" s="603"/>
      <c r="L50" s="603"/>
      <c r="M50" s="603"/>
      <c r="N50" s="603"/>
      <c r="O50" s="603"/>
      <c r="P50" s="603"/>
      <c r="Q50" s="603"/>
      <c r="R50" s="603"/>
      <c r="S50" s="603"/>
      <c r="T50" s="603"/>
      <c r="U50" s="603"/>
      <c r="V50" s="603"/>
      <c r="W50" s="603"/>
      <c r="X50" s="603"/>
      <c r="Y50" s="603"/>
      <c r="Z50" s="603"/>
    </row>
    <row r="51" spans="1:26" ht="18" customHeight="1" x14ac:dyDescent="0.2">
      <c r="A51" s="603"/>
      <c r="B51" s="603"/>
      <c r="C51" s="603"/>
      <c r="D51" s="603"/>
      <c r="E51" s="603"/>
      <c r="F51" s="603"/>
      <c r="G51" s="603"/>
      <c r="H51" s="603"/>
      <c r="I51" s="603"/>
      <c r="J51" s="603"/>
      <c r="K51" s="603"/>
      <c r="L51" s="603"/>
      <c r="M51" s="603"/>
      <c r="N51" s="603"/>
      <c r="O51" s="603"/>
      <c r="P51" s="603"/>
      <c r="Q51" s="603"/>
      <c r="R51" s="603"/>
      <c r="S51" s="603"/>
      <c r="T51" s="603"/>
      <c r="U51" s="603"/>
      <c r="V51" s="603"/>
      <c r="W51" s="603"/>
      <c r="X51" s="603"/>
      <c r="Y51" s="603"/>
      <c r="Z51" s="603"/>
    </row>
    <row r="52" spans="1:26" ht="18" customHeight="1" x14ac:dyDescent="0.2">
      <c r="A52" s="603"/>
      <c r="B52" s="603"/>
      <c r="C52" s="603"/>
      <c r="D52" s="603"/>
      <c r="E52" s="603"/>
      <c r="F52" s="603"/>
      <c r="G52" s="603"/>
      <c r="H52" s="603"/>
      <c r="I52" s="603"/>
      <c r="J52" s="603"/>
      <c r="K52" s="603"/>
      <c r="L52" s="603"/>
      <c r="M52" s="603"/>
      <c r="N52" s="603"/>
      <c r="O52" s="603"/>
      <c r="P52" s="603"/>
      <c r="Q52" s="603"/>
      <c r="R52" s="603"/>
      <c r="S52" s="603"/>
      <c r="T52" s="603"/>
      <c r="U52" s="603"/>
      <c r="V52" s="603"/>
      <c r="W52" s="603"/>
      <c r="X52" s="603"/>
      <c r="Y52" s="603"/>
      <c r="Z52" s="603"/>
    </row>
    <row r="53" spans="1:26" ht="18" customHeight="1" x14ac:dyDescent="0.2">
      <c r="A53" s="603"/>
      <c r="B53" s="603"/>
      <c r="C53" s="603"/>
      <c r="D53" s="603"/>
      <c r="E53" s="603"/>
      <c r="F53" s="603"/>
      <c r="G53" s="603"/>
      <c r="H53" s="603"/>
      <c r="I53" s="603"/>
      <c r="J53" s="603"/>
      <c r="K53" s="603"/>
      <c r="L53" s="603"/>
      <c r="M53" s="603"/>
      <c r="N53" s="603"/>
      <c r="O53" s="603"/>
      <c r="P53" s="603"/>
      <c r="Q53" s="603"/>
      <c r="R53" s="603"/>
      <c r="S53" s="603"/>
      <c r="T53" s="603"/>
      <c r="U53" s="603"/>
      <c r="V53" s="603"/>
      <c r="W53" s="603"/>
      <c r="X53" s="603"/>
      <c r="Y53" s="603"/>
      <c r="Z53" s="603"/>
    </row>
    <row r="54" spans="1:26" ht="18" customHeight="1" x14ac:dyDescent="0.2">
      <c r="A54" s="603"/>
      <c r="B54" s="603"/>
      <c r="C54" s="603"/>
      <c r="D54" s="603"/>
      <c r="E54" s="603"/>
      <c r="F54" s="603"/>
      <c r="G54" s="603"/>
      <c r="H54" s="603"/>
      <c r="I54" s="603"/>
      <c r="J54" s="603"/>
      <c r="K54" s="603"/>
      <c r="L54" s="603"/>
      <c r="M54" s="603"/>
      <c r="N54" s="603"/>
      <c r="O54" s="603"/>
      <c r="P54" s="603"/>
      <c r="Q54" s="603"/>
      <c r="R54" s="603"/>
      <c r="S54" s="603"/>
      <c r="T54" s="603"/>
      <c r="U54" s="603"/>
      <c r="V54" s="603"/>
      <c r="W54" s="603"/>
      <c r="X54" s="603"/>
      <c r="Y54" s="603"/>
      <c r="Z54" s="603"/>
    </row>
    <row r="55" spans="1:26" ht="18" customHeight="1" x14ac:dyDescent="0.2">
      <c r="A55" s="603"/>
      <c r="B55" s="603"/>
      <c r="C55" s="603"/>
      <c r="D55" s="603"/>
      <c r="E55" s="603"/>
      <c r="F55" s="603"/>
      <c r="G55" s="603"/>
      <c r="H55" s="603"/>
      <c r="I55" s="603"/>
      <c r="J55" s="603"/>
      <c r="K55" s="603"/>
      <c r="L55" s="603"/>
      <c r="M55" s="603"/>
      <c r="N55" s="603"/>
      <c r="O55" s="603"/>
      <c r="P55" s="603"/>
      <c r="Q55" s="603"/>
      <c r="R55" s="603"/>
      <c r="S55" s="603"/>
      <c r="T55" s="603"/>
      <c r="U55" s="603"/>
      <c r="V55" s="603"/>
      <c r="W55" s="603"/>
      <c r="X55" s="603"/>
      <c r="Y55" s="603"/>
      <c r="Z55" s="603"/>
    </row>
    <row r="56" spans="1:26" ht="18" customHeight="1" x14ac:dyDescent="0.2">
      <c r="A56" s="603"/>
      <c r="B56" s="603"/>
      <c r="C56" s="603"/>
      <c r="D56" s="603"/>
      <c r="E56" s="603"/>
      <c r="F56" s="603"/>
      <c r="G56" s="603"/>
      <c r="H56" s="603"/>
      <c r="I56" s="603"/>
      <c r="J56" s="603"/>
      <c r="K56" s="603"/>
      <c r="L56" s="603"/>
      <c r="M56" s="603"/>
      <c r="N56" s="603"/>
      <c r="O56" s="603"/>
      <c r="P56" s="603"/>
      <c r="Q56" s="603"/>
      <c r="R56" s="603"/>
      <c r="S56" s="603"/>
      <c r="T56" s="603"/>
      <c r="U56" s="603"/>
      <c r="V56" s="603"/>
      <c r="W56" s="603"/>
      <c r="X56" s="603"/>
      <c r="Y56" s="603"/>
      <c r="Z56" s="603"/>
    </row>
    <row r="57" spans="1:26" ht="18" customHeight="1" x14ac:dyDescent="0.2">
      <c r="A57" s="603"/>
      <c r="B57" s="603"/>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row>
    <row r="58" spans="1:26" ht="18" customHeight="1" x14ac:dyDescent="0.2">
      <c r="A58" s="603"/>
      <c r="B58" s="603"/>
      <c r="C58" s="603"/>
      <c r="D58" s="603"/>
      <c r="E58" s="603"/>
      <c r="F58" s="603"/>
      <c r="G58" s="603"/>
      <c r="H58" s="603"/>
      <c r="I58" s="603"/>
      <c r="J58" s="603"/>
      <c r="K58" s="603"/>
      <c r="L58" s="603"/>
      <c r="M58" s="603"/>
      <c r="N58" s="603"/>
      <c r="O58" s="603"/>
      <c r="P58" s="603"/>
      <c r="Q58" s="603"/>
      <c r="R58" s="603"/>
      <c r="S58" s="603"/>
      <c r="T58" s="603"/>
      <c r="U58" s="603"/>
      <c r="V58" s="603"/>
      <c r="W58" s="603"/>
      <c r="X58" s="603"/>
      <c r="Y58" s="603"/>
      <c r="Z58" s="603"/>
    </row>
    <row r="59" spans="1:26" ht="18" customHeight="1" x14ac:dyDescent="0.2">
      <c r="A59" s="603"/>
      <c r="B59" s="603"/>
      <c r="C59" s="603"/>
      <c r="D59" s="603"/>
      <c r="E59" s="603"/>
      <c r="F59" s="603"/>
      <c r="G59" s="603"/>
      <c r="H59" s="603"/>
      <c r="I59" s="603"/>
      <c r="J59" s="603"/>
      <c r="K59" s="603"/>
      <c r="L59" s="603"/>
      <c r="M59" s="603"/>
      <c r="N59" s="603"/>
      <c r="O59" s="603"/>
      <c r="P59" s="603"/>
      <c r="Q59" s="603"/>
      <c r="R59" s="603"/>
      <c r="S59" s="603"/>
      <c r="T59" s="603"/>
      <c r="U59" s="603"/>
      <c r="V59" s="603"/>
      <c r="W59" s="603"/>
      <c r="X59" s="603"/>
      <c r="Y59" s="603"/>
      <c r="Z59" s="603"/>
    </row>
    <row r="60" spans="1:26" ht="18" customHeight="1" x14ac:dyDescent="0.2">
      <c r="A60" s="603"/>
      <c r="B60" s="603"/>
      <c r="C60" s="603"/>
      <c r="D60" s="603"/>
      <c r="E60" s="603"/>
      <c r="F60" s="603"/>
      <c r="G60" s="603"/>
      <c r="H60" s="603"/>
      <c r="I60" s="603"/>
      <c r="J60" s="603"/>
      <c r="K60" s="603"/>
      <c r="L60" s="603"/>
      <c r="M60" s="603"/>
      <c r="N60" s="603"/>
      <c r="O60" s="603"/>
      <c r="P60" s="603"/>
      <c r="Q60" s="603"/>
      <c r="R60" s="603"/>
      <c r="S60" s="603"/>
      <c r="T60" s="603"/>
      <c r="U60" s="603"/>
      <c r="V60" s="603"/>
      <c r="W60" s="603"/>
      <c r="X60" s="603"/>
      <c r="Y60" s="603"/>
      <c r="Z60" s="603"/>
    </row>
    <row r="61" spans="1:26" ht="18" customHeight="1" x14ac:dyDescent="0.2">
      <c r="A61" s="603"/>
      <c r="B61" s="603"/>
      <c r="C61" s="603"/>
      <c r="D61" s="603"/>
      <c r="E61" s="603"/>
      <c r="F61" s="603"/>
      <c r="G61" s="603"/>
      <c r="H61" s="603"/>
      <c r="I61" s="603"/>
      <c r="J61" s="603"/>
      <c r="K61" s="603"/>
      <c r="L61" s="603"/>
      <c r="M61" s="603"/>
      <c r="N61" s="603"/>
      <c r="O61" s="603"/>
      <c r="P61" s="603"/>
      <c r="Q61" s="603"/>
      <c r="R61" s="603"/>
      <c r="S61" s="603"/>
      <c r="T61" s="603"/>
      <c r="U61" s="603"/>
      <c r="V61" s="603"/>
      <c r="W61" s="603"/>
      <c r="X61" s="603"/>
      <c r="Y61" s="603"/>
      <c r="Z61" s="603"/>
    </row>
    <row r="62" spans="1:26" ht="18" customHeight="1" x14ac:dyDescent="0.2">
      <c r="A62" s="603"/>
      <c r="B62" s="603"/>
      <c r="C62" s="603"/>
      <c r="D62" s="603"/>
      <c r="E62" s="603"/>
      <c r="F62" s="603"/>
      <c r="G62" s="603"/>
      <c r="H62" s="603"/>
      <c r="I62" s="603"/>
      <c r="J62" s="603"/>
      <c r="K62" s="603"/>
      <c r="L62" s="603"/>
      <c r="M62" s="603"/>
      <c r="N62" s="603"/>
      <c r="O62" s="603"/>
      <c r="P62" s="603"/>
      <c r="Q62" s="603"/>
      <c r="R62" s="603"/>
      <c r="S62" s="603"/>
      <c r="T62" s="603"/>
      <c r="U62" s="603"/>
      <c r="V62" s="603"/>
      <c r="W62" s="603"/>
      <c r="X62" s="603"/>
      <c r="Y62" s="603"/>
      <c r="Z62" s="603"/>
    </row>
    <row r="63" spans="1:26" ht="18" customHeight="1" x14ac:dyDescent="0.2">
      <c r="A63" s="603"/>
      <c r="B63" s="603"/>
      <c r="C63" s="603"/>
      <c r="D63" s="603"/>
      <c r="E63" s="603"/>
      <c r="F63" s="603"/>
      <c r="G63" s="603"/>
      <c r="H63" s="603"/>
      <c r="I63" s="603"/>
      <c r="J63" s="603"/>
      <c r="K63" s="603"/>
      <c r="L63" s="603"/>
      <c r="M63" s="603"/>
      <c r="N63" s="603"/>
      <c r="O63" s="603"/>
      <c r="P63" s="603"/>
      <c r="Q63" s="603"/>
      <c r="R63" s="603"/>
      <c r="S63" s="603"/>
      <c r="T63" s="603"/>
      <c r="U63" s="603"/>
      <c r="V63" s="603"/>
      <c r="W63" s="603"/>
      <c r="X63" s="603"/>
      <c r="Y63" s="603"/>
      <c r="Z63" s="603"/>
    </row>
    <row r="64" spans="1:26" ht="18" customHeight="1" x14ac:dyDescent="0.2">
      <c r="A64" s="603"/>
      <c r="B64" s="603"/>
      <c r="C64" s="603"/>
      <c r="D64" s="603"/>
      <c r="E64" s="603"/>
      <c r="F64" s="603"/>
      <c r="G64" s="603"/>
      <c r="H64" s="603"/>
      <c r="I64" s="603"/>
      <c r="J64" s="603"/>
      <c r="K64" s="603"/>
      <c r="L64" s="603"/>
      <c r="M64" s="603"/>
      <c r="N64" s="603"/>
      <c r="O64" s="603"/>
      <c r="P64" s="603"/>
      <c r="Q64" s="603"/>
      <c r="R64" s="603"/>
      <c r="S64" s="603"/>
      <c r="T64" s="603"/>
      <c r="U64" s="603"/>
      <c r="V64" s="603"/>
      <c r="W64" s="603"/>
      <c r="X64" s="603"/>
      <c r="Y64" s="603"/>
      <c r="Z64" s="603"/>
    </row>
    <row r="65" spans="1:26" ht="18" customHeight="1" x14ac:dyDescent="0.2">
      <c r="A65" s="603"/>
      <c r="B65" s="603"/>
      <c r="C65" s="603"/>
      <c r="D65" s="603"/>
      <c r="E65" s="603"/>
      <c r="F65" s="603"/>
      <c r="G65" s="603"/>
      <c r="H65" s="603"/>
      <c r="I65" s="603"/>
      <c r="J65" s="603"/>
      <c r="K65" s="603"/>
      <c r="L65" s="603"/>
      <c r="M65" s="603"/>
      <c r="N65" s="603"/>
      <c r="O65" s="603"/>
      <c r="P65" s="603"/>
      <c r="Q65" s="603"/>
      <c r="R65" s="603"/>
      <c r="S65" s="603"/>
      <c r="T65" s="603"/>
      <c r="U65" s="603"/>
      <c r="V65" s="603"/>
      <c r="W65" s="603"/>
      <c r="X65" s="603"/>
      <c r="Y65" s="603"/>
      <c r="Z65" s="603"/>
    </row>
    <row r="66" spans="1:26" ht="18" customHeight="1" x14ac:dyDescent="0.2">
      <c r="A66" s="603"/>
      <c r="B66" s="603"/>
      <c r="C66" s="603"/>
      <c r="D66" s="603"/>
      <c r="E66" s="603"/>
      <c r="F66" s="603"/>
      <c r="G66" s="603"/>
      <c r="H66" s="603"/>
      <c r="I66" s="603"/>
      <c r="J66" s="603"/>
      <c r="K66" s="603"/>
      <c r="L66" s="603"/>
      <c r="M66" s="603"/>
      <c r="N66" s="603"/>
      <c r="O66" s="603"/>
      <c r="P66" s="603"/>
      <c r="Q66" s="603"/>
      <c r="R66" s="603"/>
      <c r="S66" s="603"/>
      <c r="T66" s="603"/>
      <c r="U66" s="603"/>
      <c r="V66" s="603"/>
      <c r="W66" s="603"/>
      <c r="X66" s="603"/>
      <c r="Y66" s="603"/>
      <c r="Z66" s="603"/>
    </row>
    <row r="67" spans="1:26" ht="18" customHeight="1" x14ac:dyDescent="0.2">
      <c r="A67" s="603"/>
      <c r="B67" s="603"/>
      <c r="C67" s="603"/>
      <c r="D67" s="603"/>
      <c r="E67" s="603"/>
      <c r="F67" s="603"/>
      <c r="G67" s="603"/>
      <c r="H67" s="603"/>
      <c r="I67" s="603"/>
      <c r="J67" s="603"/>
      <c r="K67" s="603"/>
      <c r="L67" s="603"/>
      <c r="M67" s="603"/>
      <c r="N67" s="603"/>
      <c r="O67" s="603"/>
      <c r="P67" s="603"/>
      <c r="Q67" s="603"/>
      <c r="R67" s="603"/>
      <c r="S67" s="603"/>
      <c r="T67" s="603"/>
      <c r="U67" s="603"/>
      <c r="V67" s="603"/>
      <c r="W67" s="603"/>
      <c r="X67" s="603"/>
      <c r="Y67" s="603"/>
      <c r="Z67" s="603"/>
    </row>
    <row r="68" spans="1:26" ht="18" customHeight="1" x14ac:dyDescent="0.2">
      <c r="A68" s="603"/>
      <c r="B68" s="603"/>
      <c r="C68" s="603"/>
      <c r="D68" s="603"/>
      <c r="E68" s="603"/>
      <c r="F68" s="603"/>
      <c r="G68" s="603"/>
      <c r="H68" s="603"/>
      <c r="I68" s="603"/>
      <c r="J68" s="603"/>
      <c r="K68" s="603"/>
      <c r="L68" s="603"/>
      <c r="M68" s="603"/>
      <c r="N68" s="603"/>
      <c r="O68" s="603"/>
      <c r="P68" s="603"/>
      <c r="Q68" s="603"/>
      <c r="R68" s="603"/>
      <c r="S68" s="603"/>
      <c r="T68" s="603"/>
      <c r="U68" s="603"/>
      <c r="V68" s="603"/>
      <c r="W68" s="603"/>
      <c r="X68" s="603"/>
      <c r="Y68" s="603"/>
      <c r="Z68" s="603"/>
    </row>
    <row r="69" spans="1:26" ht="18" customHeight="1" x14ac:dyDescent="0.2">
      <c r="A69" s="603"/>
      <c r="B69" s="603"/>
      <c r="C69" s="603"/>
      <c r="D69" s="603"/>
      <c r="E69" s="603"/>
      <c r="F69" s="603"/>
      <c r="G69" s="603"/>
      <c r="H69" s="603"/>
      <c r="I69" s="603"/>
      <c r="J69" s="603"/>
      <c r="K69" s="603"/>
      <c r="L69" s="603"/>
      <c r="M69" s="603"/>
      <c r="N69" s="603"/>
      <c r="O69" s="603"/>
      <c r="P69" s="603"/>
      <c r="Q69" s="603"/>
      <c r="R69" s="603"/>
      <c r="S69" s="603"/>
      <c r="T69" s="603"/>
      <c r="U69" s="603"/>
      <c r="V69" s="603"/>
      <c r="W69" s="603"/>
      <c r="X69" s="603"/>
      <c r="Y69" s="603"/>
      <c r="Z69" s="603"/>
    </row>
    <row r="70" spans="1:26" ht="18" customHeight="1" x14ac:dyDescent="0.2">
      <c r="A70" s="603"/>
      <c r="B70" s="603"/>
      <c r="C70" s="603"/>
      <c r="D70" s="603"/>
      <c r="E70" s="603"/>
      <c r="F70" s="603"/>
      <c r="G70" s="603"/>
      <c r="H70" s="603"/>
      <c r="I70" s="603"/>
      <c r="J70" s="603"/>
      <c r="K70" s="603"/>
      <c r="L70" s="603"/>
      <c r="M70" s="603"/>
      <c r="N70" s="603"/>
      <c r="O70" s="603"/>
      <c r="P70" s="603"/>
      <c r="Q70" s="603"/>
      <c r="R70" s="603"/>
      <c r="S70" s="603"/>
      <c r="T70" s="603"/>
      <c r="U70" s="603"/>
      <c r="V70" s="603"/>
      <c r="W70" s="603"/>
      <c r="X70" s="603"/>
      <c r="Y70" s="603"/>
      <c r="Z70" s="603"/>
    </row>
    <row r="71" spans="1:26" ht="18" customHeight="1" x14ac:dyDescent="0.2">
      <c r="A71" s="603"/>
      <c r="B71" s="603"/>
      <c r="C71" s="603"/>
      <c r="D71" s="603"/>
      <c r="E71" s="603"/>
      <c r="F71" s="603"/>
      <c r="G71" s="603"/>
      <c r="H71" s="603"/>
      <c r="I71" s="603"/>
      <c r="J71" s="603"/>
      <c r="K71" s="603"/>
      <c r="L71" s="603"/>
      <c r="M71" s="603"/>
      <c r="N71" s="603"/>
      <c r="O71" s="603"/>
      <c r="P71" s="603"/>
      <c r="Q71" s="603"/>
      <c r="R71" s="603"/>
      <c r="S71" s="603"/>
      <c r="T71" s="603"/>
      <c r="U71" s="603"/>
      <c r="V71" s="603"/>
      <c r="W71" s="603"/>
      <c r="X71" s="603"/>
      <c r="Y71" s="603"/>
      <c r="Z71" s="603"/>
    </row>
    <row r="72" spans="1:26" ht="18" customHeight="1" x14ac:dyDescent="0.2">
      <c r="A72" s="603"/>
      <c r="B72" s="603"/>
      <c r="C72" s="603"/>
      <c r="D72" s="603"/>
      <c r="E72" s="603"/>
      <c r="F72" s="603"/>
      <c r="G72" s="603"/>
      <c r="H72" s="603"/>
      <c r="I72" s="603"/>
      <c r="J72" s="603"/>
      <c r="K72" s="603"/>
      <c r="L72" s="603"/>
      <c r="M72" s="603"/>
      <c r="N72" s="603"/>
      <c r="O72" s="603"/>
      <c r="P72" s="603"/>
      <c r="Q72" s="603"/>
      <c r="R72" s="603"/>
      <c r="S72" s="603"/>
      <c r="T72" s="603"/>
      <c r="U72" s="603"/>
      <c r="V72" s="603"/>
      <c r="W72" s="603"/>
      <c r="X72" s="603"/>
      <c r="Y72" s="603"/>
      <c r="Z72" s="603"/>
    </row>
    <row r="73" spans="1:26" ht="18" customHeight="1" x14ac:dyDescent="0.2">
      <c r="A73" s="603"/>
      <c r="B73" s="603"/>
      <c r="C73" s="603"/>
      <c r="D73" s="603"/>
      <c r="E73" s="603"/>
      <c r="F73" s="603"/>
      <c r="G73" s="603"/>
      <c r="H73" s="603"/>
      <c r="I73" s="603"/>
      <c r="J73" s="603"/>
      <c r="K73" s="603"/>
      <c r="L73" s="603"/>
      <c r="M73" s="603"/>
      <c r="N73" s="603"/>
      <c r="O73" s="603"/>
      <c r="P73" s="603"/>
      <c r="Q73" s="603"/>
      <c r="R73" s="603"/>
      <c r="S73" s="603"/>
      <c r="T73" s="603"/>
      <c r="U73" s="603"/>
      <c r="V73" s="603"/>
      <c r="W73" s="603"/>
      <c r="X73" s="603"/>
      <c r="Y73" s="603"/>
      <c r="Z73" s="603"/>
    </row>
    <row r="74" spans="1:26" ht="18" customHeight="1" x14ac:dyDescent="0.2">
      <c r="A74" s="603"/>
      <c r="B74" s="603"/>
      <c r="C74" s="603"/>
      <c r="D74" s="603"/>
      <c r="E74" s="603"/>
      <c r="F74" s="603"/>
      <c r="G74" s="603"/>
      <c r="H74" s="603"/>
      <c r="I74" s="603"/>
      <c r="J74" s="603"/>
      <c r="K74" s="603"/>
      <c r="L74" s="603"/>
      <c r="M74" s="603"/>
      <c r="N74" s="603"/>
      <c r="O74" s="603"/>
      <c r="P74" s="603"/>
      <c r="Q74" s="603"/>
      <c r="R74" s="603"/>
      <c r="S74" s="603"/>
      <c r="T74" s="603"/>
      <c r="U74" s="603"/>
      <c r="V74" s="603"/>
      <c r="W74" s="603"/>
      <c r="X74" s="603"/>
      <c r="Y74" s="603"/>
      <c r="Z74" s="603"/>
    </row>
    <row r="75" spans="1:26" ht="18" customHeight="1" x14ac:dyDescent="0.2">
      <c r="A75" s="603"/>
      <c r="B75" s="603"/>
      <c r="C75" s="603"/>
      <c r="D75" s="603"/>
      <c r="E75" s="603"/>
      <c r="F75" s="603"/>
      <c r="G75" s="603"/>
      <c r="H75" s="603"/>
      <c r="I75" s="603"/>
      <c r="J75" s="603"/>
      <c r="K75" s="603"/>
      <c r="L75" s="603"/>
      <c r="M75" s="603"/>
      <c r="N75" s="603"/>
      <c r="O75" s="603"/>
      <c r="P75" s="603"/>
      <c r="Q75" s="603"/>
      <c r="R75" s="603"/>
      <c r="S75" s="603"/>
      <c r="T75" s="603"/>
      <c r="U75" s="603"/>
      <c r="V75" s="603"/>
      <c r="W75" s="603"/>
      <c r="X75" s="603"/>
      <c r="Y75" s="603"/>
      <c r="Z75" s="603"/>
    </row>
    <row r="76" spans="1:26" ht="18" customHeight="1" x14ac:dyDescent="0.2">
      <c r="A76" s="603"/>
      <c r="B76" s="603"/>
      <c r="C76" s="603"/>
      <c r="D76" s="603"/>
      <c r="E76" s="603"/>
      <c r="F76" s="603"/>
      <c r="G76" s="603"/>
      <c r="H76" s="603"/>
      <c r="I76" s="603"/>
      <c r="J76" s="603"/>
      <c r="K76" s="603"/>
      <c r="L76" s="603"/>
      <c r="M76" s="603"/>
      <c r="N76" s="603"/>
      <c r="O76" s="603"/>
      <c r="P76" s="603"/>
      <c r="Q76" s="603"/>
      <c r="R76" s="603"/>
      <c r="S76" s="603"/>
      <c r="T76" s="603"/>
      <c r="U76" s="603"/>
      <c r="V76" s="603"/>
      <c r="W76" s="603"/>
      <c r="X76" s="603"/>
      <c r="Y76" s="603"/>
      <c r="Z76" s="603"/>
    </row>
    <row r="77" spans="1:26" ht="18" customHeight="1" x14ac:dyDescent="0.2">
      <c r="A77" s="603"/>
      <c r="B77" s="603"/>
      <c r="C77" s="603"/>
      <c r="D77" s="603"/>
      <c r="E77" s="603"/>
      <c r="F77" s="603"/>
      <c r="G77" s="603"/>
      <c r="H77" s="603"/>
      <c r="I77" s="603"/>
      <c r="J77" s="603"/>
      <c r="K77" s="603"/>
      <c r="L77" s="603"/>
      <c r="M77" s="603"/>
      <c r="N77" s="603"/>
      <c r="O77" s="603"/>
      <c r="P77" s="603"/>
      <c r="Q77" s="603"/>
      <c r="R77" s="603"/>
      <c r="S77" s="603"/>
      <c r="T77" s="603"/>
      <c r="U77" s="603"/>
      <c r="V77" s="603"/>
      <c r="W77" s="603"/>
      <c r="X77" s="603"/>
      <c r="Y77" s="603"/>
      <c r="Z77" s="603"/>
    </row>
    <row r="78" spans="1:26" ht="18" customHeight="1" x14ac:dyDescent="0.2">
      <c r="A78" s="603"/>
      <c r="B78" s="603"/>
      <c r="C78" s="603"/>
      <c r="D78" s="603"/>
      <c r="E78" s="603"/>
      <c r="F78" s="603"/>
      <c r="G78" s="603"/>
      <c r="H78" s="603"/>
      <c r="I78" s="603"/>
      <c r="J78" s="603"/>
      <c r="K78" s="603"/>
      <c r="L78" s="603"/>
      <c r="M78" s="603"/>
      <c r="N78" s="603"/>
      <c r="O78" s="603"/>
      <c r="P78" s="603"/>
      <c r="Q78" s="603"/>
      <c r="R78" s="603"/>
      <c r="S78" s="603"/>
      <c r="T78" s="603"/>
      <c r="U78" s="603"/>
      <c r="V78" s="603"/>
      <c r="W78" s="603"/>
      <c r="X78" s="603"/>
      <c r="Y78" s="603"/>
      <c r="Z78" s="603"/>
    </row>
    <row r="79" spans="1:26" ht="18" customHeight="1" x14ac:dyDescent="0.2">
      <c r="A79" s="603"/>
      <c r="B79" s="603"/>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row>
    <row r="80" spans="1:26" ht="18" customHeight="1" x14ac:dyDescent="0.2">
      <c r="A80" s="603"/>
      <c r="B80" s="603"/>
      <c r="C80" s="603"/>
      <c r="D80" s="603"/>
      <c r="E80" s="603"/>
      <c r="F80" s="603"/>
      <c r="G80" s="603"/>
      <c r="H80" s="603"/>
      <c r="I80" s="603"/>
      <c r="J80" s="603"/>
      <c r="K80" s="603"/>
      <c r="L80" s="603"/>
      <c r="M80" s="603"/>
      <c r="N80" s="603"/>
      <c r="O80" s="603"/>
      <c r="P80" s="603"/>
      <c r="Q80" s="603"/>
      <c r="R80" s="603"/>
      <c r="S80" s="603"/>
      <c r="T80" s="603"/>
      <c r="U80" s="603"/>
      <c r="V80" s="603"/>
      <c r="W80" s="603"/>
      <c r="X80" s="603"/>
      <c r="Y80" s="603"/>
      <c r="Z80" s="603"/>
    </row>
    <row r="81" spans="1:26" ht="18" customHeight="1" x14ac:dyDescent="0.2">
      <c r="A81" s="603"/>
      <c r="B81" s="603"/>
      <c r="C81" s="603"/>
      <c r="D81" s="603"/>
      <c r="E81" s="603"/>
      <c r="F81" s="603"/>
      <c r="G81" s="603"/>
      <c r="H81" s="603"/>
      <c r="I81" s="603"/>
      <c r="J81" s="603"/>
      <c r="K81" s="603"/>
      <c r="L81" s="603"/>
      <c r="M81" s="603"/>
      <c r="N81" s="603"/>
      <c r="O81" s="603"/>
      <c r="P81" s="603"/>
      <c r="Q81" s="603"/>
      <c r="R81" s="603"/>
      <c r="S81" s="603"/>
      <c r="T81" s="603"/>
      <c r="U81" s="603"/>
      <c r="V81" s="603"/>
      <c r="W81" s="603"/>
      <c r="X81" s="603"/>
      <c r="Y81" s="603"/>
      <c r="Z81" s="603"/>
    </row>
    <row r="82" spans="1:26" ht="18" customHeight="1" x14ac:dyDescent="0.2">
      <c r="A82" s="603"/>
      <c r="B82" s="603"/>
      <c r="C82" s="603"/>
      <c r="D82" s="603"/>
      <c r="E82" s="603"/>
      <c r="F82" s="603"/>
      <c r="G82" s="603"/>
      <c r="H82" s="603"/>
      <c r="I82" s="603"/>
      <c r="J82" s="603"/>
      <c r="K82" s="603"/>
      <c r="L82" s="603"/>
      <c r="M82" s="603"/>
      <c r="N82" s="603"/>
      <c r="O82" s="603"/>
      <c r="P82" s="603"/>
      <c r="Q82" s="603"/>
      <c r="R82" s="603"/>
      <c r="S82" s="603"/>
      <c r="T82" s="603"/>
      <c r="U82" s="603"/>
      <c r="V82" s="603"/>
      <c r="W82" s="603"/>
      <c r="X82" s="603"/>
      <c r="Y82" s="603"/>
      <c r="Z82" s="603"/>
    </row>
    <row r="83" spans="1:26" ht="18" customHeight="1" x14ac:dyDescent="0.2">
      <c r="A83" s="603"/>
      <c r="B83" s="603"/>
      <c r="C83" s="603"/>
      <c r="D83" s="603"/>
      <c r="E83" s="603"/>
      <c r="F83" s="603"/>
      <c r="G83" s="603"/>
      <c r="H83" s="603"/>
      <c r="I83" s="603"/>
      <c r="J83" s="603"/>
      <c r="K83" s="603"/>
      <c r="L83" s="603"/>
      <c r="M83" s="603"/>
      <c r="N83" s="603"/>
      <c r="O83" s="603"/>
      <c r="P83" s="603"/>
      <c r="Q83" s="603"/>
      <c r="R83" s="603"/>
      <c r="S83" s="603"/>
      <c r="T83" s="603"/>
      <c r="U83" s="603"/>
      <c r="V83" s="603"/>
      <c r="W83" s="603"/>
      <c r="X83" s="603"/>
      <c r="Y83" s="603"/>
      <c r="Z83" s="603"/>
    </row>
    <row r="84" spans="1:26" ht="18" customHeight="1" x14ac:dyDescent="0.2">
      <c r="A84" s="603"/>
      <c r="B84" s="603"/>
      <c r="C84" s="603"/>
      <c r="D84" s="603"/>
      <c r="E84" s="603"/>
      <c r="F84" s="603"/>
      <c r="G84" s="603"/>
      <c r="H84" s="603"/>
      <c r="I84" s="603"/>
      <c r="J84" s="603"/>
      <c r="K84" s="603"/>
      <c r="L84" s="603"/>
      <c r="M84" s="603"/>
      <c r="N84" s="603"/>
      <c r="O84" s="603"/>
      <c r="P84" s="603"/>
      <c r="Q84" s="603"/>
      <c r="R84" s="603"/>
      <c r="S84" s="603"/>
      <c r="T84" s="603"/>
      <c r="U84" s="603"/>
      <c r="V84" s="603"/>
      <c r="W84" s="603"/>
      <c r="X84" s="603"/>
      <c r="Y84" s="603"/>
      <c r="Z84" s="603"/>
    </row>
    <row r="85" spans="1:26" ht="18" customHeight="1" x14ac:dyDescent="0.2">
      <c r="A85" s="603"/>
      <c r="B85" s="603"/>
      <c r="C85" s="603"/>
      <c r="D85" s="603"/>
      <c r="E85" s="603"/>
      <c r="F85" s="603"/>
      <c r="G85" s="603"/>
      <c r="H85" s="603"/>
      <c r="I85" s="603"/>
      <c r="J85" s="603"/>
      <c r="K85" s="603"/>
      <c r="L85" s="603"/>
      <c r="M85" s="603"/>
      <c r="N85" s="603"/>
      <c r="O85" s="603"/>
      <c r="P85" s="603"/>
      <c r="Q85" s="603"/>
      <c r="R85" s="603"/>
      <c r="S85" s="603"/>
      <c r="T85" s="603"/>
      <c r="U85" s="603"/>
      <c r="V85" s="603"/>
      <c r="W85" s="603"/>
      <c r="X85" s="603"/>
      <c r="Y85" s="603"/>
      <c r="Z85" s="603"/>
    </row>
    <row r="86" spans="1:26" ht="18" customHeight="1" x14ac:dyDescent="0.2">
      <c r="A86" s="603"/>
      <c r="B86" s="603"/>
      <c r="C86" s="603"/>
      <c r="D86" s="603"/>
      <c r="E86" s="603"/>
      <c r="F86" s="603"/>
      <c r="G86" s="603"/>
      <c r="H86" s="603"/>
      <c r="I86" s="603"/>
      <c r="J86" s="603"/>
      <c r="K86" s="603"/>
      <c r="L86" s="603"/>
      <c r="M86" s="603"/>
      <c r="N86" s="603"/>
      <c r="O86" s="603"/>
      <c r="P86" s="603"/>
      <c r="Q86" s="603"/>
      <c r="R86" s="603"/>
      <c r="S86" s="603"/>
      <c r="T86" s="603"/>
      <c r="U86" s="603"/>
      <c r="V86" s="603"/>
      <c r="W86" s="603"/>
      <c r="X86" s="603"/>
      <c r="Y86" s="603"/>
      <c r="Z86" s="603"/>
    </row>
    <row r="87" spans="1:26" ht="18" customHeight="1" x14ac:dyDescent="0.2">
      <c r="A87" s="603"/>
      <c r="B87" s="603"/>
      <c r="C87" s="603"/>
      <c r="D87" s="603"/>
      <c r="E87" s="603"/>
      <c r="F87" s="603"/>
      <c r="G87" s="603"/>
      <c r="H87" s="603"/>
      <c r="I87" s="603"/>
      <c r="J87" s="603"/>
      <c r="K87" s="603"/>
      <c r="L87" s="603"/>
      <c r="M87" s="603"/>
      <c r="N87" s="603"/>
      <c r="O87" s="603"/>
      <c r="P87" s="603"/>
      <c r="Q87" s="603"/>
      <c r="R87" s="603"/>
      <c r="S87" s="603"/>
      <c r="T87" s="603"/>
      <c r="U87" s="603"/>
      <c r="V87" s="603"/>
      <c r="W87" s="603"/>
      <c r="X87" s="603"/>
      <c r="Y87" s="603"/>
      <c r="Z87" s="603"/>
    </row>
    <row r="88" spans="1:26" ht="18" customHeight="1" x14ac:dyDescent="0.2">
      <c r="A88" s="603"/>
      <c r="B88" s="603"/>
      <c r="C88" s="603"/>
      <c r="D88" s="603"/>
      <c r="E88" s="603"/>
      <c r="F88" s="603"/>
      <c r="G88" s="603"/>
      <c r="H88" s="603"/>
      <c r="I88" s="603"/>
      <c r="J88" s="603"/>
      <c r="K88" s="603"/>
      <c r="L88" s="603"/>
      <c r="M88" s="603"/>
      <c r="N88" s="603"/>
      <c r="O88" s="603"/>
      <c r="P88" s="603"/>
      <c r="Q88" s="603"/>
      <c r="R88" s="603"/>
      <c r="S88" s="603"/>
      <c r="T88" s="603"/>
      <c r="U88" s="603"/>
      <c r="V88" s="603"/>
      <c r="W88" s="603"/>
      <c r="X88" s="603"/>
      <c r="Y88" s="603"/>
      <c r="Z88" s="603"/>
    </row>
    <row r="89" spans="1:26" ht="18" customHeight="1" x14ac:dyDescent="0.2">
      <c r="A89" s="603"/>
      <c r="B89" s="603"/>
      <c r="C89" s="603"/>
      <c r="D89" s="603"/>
      <c r="E89" s="603"/>
      <c r="F89" s="603"/>
      <c r="G89" s="603"/>
      <c r="H89" s="603"/>
      <c r="I89" s="603"/>
      <c r="J89" s="603"/>
      <c r="K89" s="603"/>
      <c r="L89" s="603"/>
      <c r="M89" s="603"/>
      <c r="N89" s="603"/>
      <c r="O89" s="603"/>
      <c r="P89" s="603"/>
      <c r="Q89" s="603"/>
      <c r="R89" s="603"/>
      <c r="S89" s="603"/>
      <c r="T89" s="603"/>
      <c r="U89" s="603"/>
      <c r="V89" s="603"/>
      <c r="W89" s="603"/>
      <c r="X89" s="603"/>
      <c r="Y89" s="603"/>
      <c r="Z89" s="603"/>
    </row>
    <row r="90" spans="1:26" ht="18" customHeight="1" x14ac:dyDescent="0.2">
      <c r="A90" s="603"/>
      <c r="B90" s="603"/>
      <c r="C90" s="603"/>
      <c r="D90" s="603"/>
      <c r="E90" s="603"/>
      <c r="F90" s="603"/>
      <c r="G90" s="603"/>
      <c r="H90" s="603"/>
      <c r="I90" s="603"/>
      <c r="J90" s="603"/>
      <c r="K90" s="603"/>
      <c r="L90" s="603"/>
      <c r="M90" s="603"/>
      <c r="N90" s="603"/>
      <c r="O90" s="603"/>
      <c r="P90" s="603"/>
      <c r="Q90" s="603"/>
      <c r="R90" s="603"/>
      <c r="S90" s="603"/>
      <c r="T90" s="603"/>
      <c r="U90" s="603"/>
      <c r="V90" s="603"/>
      <c r="W90" s="603"/>
      <c r="X90" s="603"/>
      <c r="Y90" s="603"/>
      <c r="Z90" s="603"/>
    </row>
    <row r="91" spans="1:26" ht="18" customHeight="1" x14ac:dyDescent="0.2">
      <c r="A91" s="603"/>
      <c r="B91" s="603"/>
      <c r="C91" s="603"/>
      <c r="D91" s="603"/>
      <c r="E91" s="603"/>
      <c r="F91" s="603"/>
      <c r="G91" s="603"/>
      <c r="H91" s="603"/>
      <c r="I91" s="603"/>
      <c r="J91" s="603"/>
      <c r="K91" s="603"/>
      <c r="L91" s="603"/>
      <c r="M91" s="603"/>
      <c r="N91" s="603"/>
      <c r="O91" s="603"/>
      <c r="P91" s="603"/>
      <c r="Q91" s="603"/>
      <c r="R91" s="603"/>
      <c r="S91" s="603"/>
      <c r="T91" s="603"/>
      <c r="U91" s="603"/>
      <c r="V91" s="603"/>
      <c r="W91" s="603"/>
      <c r="X91" s="603"/>
      <c r="Y91" s="603"/>
      <c r="Z91" s="603"/>
    </row>
    <row r="92" spans="1:26" ht="18" customHeight="1" x14ac:dyDescent="0.2">
      <c r="A92" s="603"/>
      <c r="B92" s="603"/>
      <c r="C92" s="603"/>
      <c r="D92" s="603"/>
      <c r="E92" s="603"/>
      <c r="F92" s="603"/>
      <c r="G92" s="603"/>
      <c r="H92" s="603"/>
      <c r="I92" s="603"/>
      <c r="J92" s="603"/>
      <c r="K92" s="603"/>
      <c r="L92" s="603"/>
      <c r="M92" s="603"/>
      <c r="N92" s="603"/>
      <c r="O92" s="603"/>
      <c r="P92" s="603"/>
      <c r="Q92" s="603"/>
      <c r="R92" s="603"/>
      <c r="S92" s="603"/>
      <c r="T92" s="603"/>
      <c r="U92" s="603"/>
      <c r="V92" s="603"/>
      <c r="W92" s="603"/>
      <c r="X92" s="603"/>
      <c r="Y92" s="603"/>
      <c r="Z92" s="603"/>
    </row>
    <row r="93" spans="1:26" ht="18" customHeight="1" x14ac:dyDescent="0.2">
      <c r="A93" s="603"/>
      <c r="B93" s="603"/>
      <c r="C93" s="603"/>
      <c r="D93" s="603"/>
      <c r="E93" s="603"/>
      <c r="F93" s="603"/>
      <c r="G93" s="603"/>
      <c r="H93" s="603"/>
      <c r="I93" s="603"/>
      <c r="J93" s="603"/>
      <c r="K93" s="603"/>
      <c r="L93" s="603"/>
      <c r="M93" s="603"/>
      <c r="N93" s="603"/>
      <c r="O93" s="603"/>
      <c r="P93" s="603"/>
      <c r="Q93" s="603"/>
      <c r="R93" s="603"/>
      <c r="S93" s="603"/>
      <c r="T93" s="603"/>
      <c r="U93" s="603"/>
      <c r="V93" s="603"/>
      <c r="W93" s="603"/>
      <c r="X93" s="603"/>
      <c r="Y93" s="603"/>
      <c r="Z93" s="603"/>
    </row>
    <row r="94" spans="1:26" ht="18" customHeight="1" x14ac:dyDescent="0.2">
      <c r="A94" s="603"/>
      <c r="B94" s="603"/>
      <c r="C94" s="603"/>
      <c r="D94" s="603"/>
      <c r="E94" s="603"/>
      <c r="F94" s="603"/>
      <c r="G94" s="603"/>
      <c r="H94" s="603"/>
      <c r="I94" s="603"/>
      <c r="J94" s="603"/>
      <c r="K94" s="603"/>
      <c r="L94" s="603"/>
      <c r="M94" s="603"/>
      <c r="N94" s="603"/>
      <c r="O94" s="603"/>
      <c r="P94" s="603"/>
      <c r="Q94" s="603"/>
      <c r="R94" s="603"/>
      <c r="S94" s="603"/>
      <c r="T94" s="603"/>
      <c r="U94" s="603"/>
      <c r="V94" s="603"/>
      <c r="W94" s="603"/>
      <c r="X94" s="603"/>
      <c r="Y94" s="603"/>
      <c r="Z94" s="603"/>
    </row>
    <row r="95" spans="1:26" ht="18" customHeight="1" x14ac:dyDescent="0.2">
      <c r="A95" s="603"/>
      <c r="B95" s="603"/>
      <c r="C95" s="603"/>
      <c r="D95" s="603"/>
      <c r="E95" s="603"/>
      <c r="F95" s="603"/>
      <c r="G95" s="603"/>
      <c r="H95" s="603"/>
      <c r="I95" s="603"/>
      <c r="J95" s="603"/>
      <c r="K95" s="603"/>
      <c r="L95" s="603"/>
      <c r="M95" s="603"/>
      <c r="N95" s="603"/>
      <c r="O95" s="603"/>
      <c r="P95" s="603"/>
      <c r="Q95" s="603"/>
      <c r="R95" s="603"/>
      <c r="S95" s="603"/>
      <c r="T95" s="603"/>
      <c r="U95" s="603"/>
      <c r="V95" s="603"/>
      <c r="W95" s="603"/>
      <c r="X95" s="603"/>
      <c r="Y95" s="603"/>
      <c r="Z95" s="603"/>
    </row>
    <row r="96" spans="1:26" ht="18" customHeight="1" x14ac:dyDescent="0.2">
      <c r="A96" s="603"/>
      <c r="B96" s="603"/>
      <c r="C96" s="603"/>
      <c r="D96" s="603"/>
      <c r="E96" s="603"/>
      <c r="F96" s="603"/>
      <c r="G96" s="603"/>
      <c r="H96" s="603"/>
      <c r="I96" s="603"/>
      <c r="J96" s="603"/>
      <c r="K96" s="603"/>
      <c r="L96" s="603"/>
      <c r="M96" s="603"/>
      <c r="N96" s="603"/>
      <c r="O96" s="603"/>
      <c r="P96" s="603"/>
      <c r="Q96" s="603"/>
      <c r="R96" s="603"/>
      <c r="S96" s="603"/>
      <c r="T96" s="603"/>
      <c r="U96" s="603"/>
      <c r="V96" s="603"/>
      <c r="W96" s="603"/>
      <c r="X96" s="603"/>
      <c r="Y96" s="603"/>
      <c r="Z96" s="603"/>
    </row>
    <row r="97" spans="1:26" ht="18" customHeight="1" x14ac:dyDescent="0.2">
      <c r="A97" s="603"/>
      <c r="B97" s="603"/>
      <c r="C97" s="603"/>
      <c r="D97" s="603"/>
      <c r="E97" s="603"/>
      <c r="F97" s="603"/>
      <c r="G97" s="603"/>
      <c r="H97" s="603"/>
      <c r="I97" s="603"/>
      <c r="J97" s="603"/>
      <c r="K97" s="603"/>
      <c r="L97" s="603"/>
      <c r="M97" s="603"/>
      <c r="N97" s="603"/>
      <c r="O97" s="603"/>
      <c r="P97" s="603"/>
      <c r="Q97" s="603"/>
      <c r="R97" s="603"/>
      <c r="S97" s="603"/>
      <c r="T97" s="603"/>
      <c r="U97" s="603"/>
      <c r="V97" s="603"/>
      <c r="W97" s="603"/>
      <c r="X97" s="603"/>
      <c r="Y97" s="603"/>
      <c r="Z97" s="603"/>
    </row>
    <row r="98" spans="1:26" ht="18" customHeight="1" x14ac:dyDescent="0.2">
      <c r="A98" s="603"/>
      <c r="B98" s="603"/>
      <c r="C98" s="603"/>
      <c r="D98" s="603"/>
      <c r="E98" s="603"/>
      <c r="F98" s="603"/>
      <c r="G98" s="603"/>
      <c r="H98" s="603"/>
      <c r="I98" s="603"/>
      <c r="J98" s="603"/>
      <c r="K98" s="603"/>
      <c r="L98" s="603"/>
      <c r="M98" s="603"/>
      <c r="N98" s="603"/>
      <c r="O98" s="603"/>
      <c r="P98" s="603"/>
      <c r="Q98" s="603"/>
      <c r="R98" s="603"/>
      <c r="S98" s="603"/>
      <c r="T98" s="603"/>
      <c r="U98" s="603"/>
      <c r="V98" s="603"/>
      <c r="W98" s="603"/>
      <c r="X98" s="603"/>
      <c r="Y98" s="603"/>
      <c r="Z98" s="603"/>
    </row>
    <row r="99" spans="1:26" ht="18" customHeight="1" x14ac:dyDescent="0.2">
      <c r="A99" s="603"/>
      <c r="B99" s="603"/>
      <c r="C99" s="603"/>
      <c r="D99" s="603"/>
      <c r="E99" s="603"/>
      <c r="F99" s="603"/>
      <c r="G99" s="603"/>
      <c r="H99" s="603"/>
      <c r="I99" s="603"/>
      <c r="J99" s="603"/>
      <c r="K99" s="603"/>
      <c r="L99" s="603"/>
      <c r="M99" s="603"/>
      <c r="N99" s="603"/>
      <c r="O99" s="603"/>
      <c r="P99" s="603"/>
      <c r="Q99" s="603"/>
      <c r="R99" s="603"/>
      <c r="S99" s="603"/>
      <c r="T99" s="603"/>
      <c r="U99" s="603"/>
      <c r="V99" s="603"/>
      <c r="W99" s="603"/>
      <c r="X99" s="603"/>
      <c r="Y99" s="603"/>
      <c r="Z99" s="603"/>
    </row>
    <row r="100" spans="1:26" ht="18" customHeight="1" x14ac:dyDescent="0.2">
      <c r="A100" s="603"/>
      <c r="B100" s="603"/>
      <c r="C100" s="603"/>
      <c r="D100" s="603"/>
      <c r="E100" s="603"/>
      <c r="F100" s="603"/>
      <c r="G100" s="603"/>
      <c r="H100" s="603"/>
      <c r="I100" s="603"/>
      <c r="J100" s="603"/>
      <c r="K100" s="603"/>
      <c r="L100" s="603"/>
      <c r="M100" s="603"/>
      <c r="N100" s="603"/>
      <c r="O100" s="603"/>
      <c r="P100" s="603"/>
      <c r="Q100" s="603"/>
      <c r="R100" s="603"/>
      <c r="S100" s="603"/>
      <c r="T100" s="603"/>
      <c r="U100" s="603"/>
      <c r="V100" s="603"/>
      <c r="W100" s="603"/>
      <c r="X100" s="603"/>
      <c r="Y100" s="603"/>
      <c r="Z100" s="603"/>
    </row>
    <row r="101" spans="1:26" ht="18" customHeight="1" x14ac:dyDescent="0.2">
      <c r="A101" s="603"/>
      <c r="B101" s="603"/>
      <c r="C101" s="603"/>
      <c r="D101" s="603"/>
      <c r="E101" s="603"/>
      <c r="F101" s="603"/>
      <c r="G101" s="603"/>
      <c r="H101" s="603"/>
      <c r="I101" s="603"/>
      <c r="J101" s="603"/>
      <c r="K101" s="603"/>
      <c r="L101" s="603"/>
      <c r="M101" s="603"/>
      <c r="N101" s="603"/>
      <c r="O101" s="603"/>
      <c r="P101" s="603"/>
      <c r="Q101" s="603"/>
      <c r="R101" s="603"/>
      <c r="S101" s="603"/>
      <c r="T101" s="603"/>
      <c r="U101" s="603"/>
      <c r="V101" s="603"/>
      <c r="W101" s="603"/>
      <c r="X101" s="603"/>
      <c r="Y101" s="603"/>
      <c r="Z101" s="603"/>
    </row>
    <row r="102" spans="1:26" ht="18" customHeight="1" x14ac:dyDescent="0.2">
      <c r="A102" s="603"/>
      <c r="B102" s="603"/>
      <c r="C102" s="603"/>
      <c r="D102" s="603"/>
      <c r="E102" s="603"/>
      <c r="F102" s="603"/>
      <c r="G102" s="603"/>
      <c r="H102" s="603"/>
      <c r="I102" s="603"/>
      <c r="J102" s="603"/>
      <c r="K102" s="603"/>
      <c r="L102" s="603"/>
      <c r="M102" s="603"/>
      <c r="N102" s="603"/>
      <c r="O102" s="603"/>
      <c r="P102" s="603"/>
      <c r="Q102" s="603"/>
      <c r="R102" s="603"/>
      <c r="S102" s="603"/>
      <c r="T102" s="603"/>
      <c r="U102" s="603"/>
      <c r="V102" s="603"/>
      <c r="W102" s="603"/>
      <c r="X102" s="603"/>
      <c r="Y102" s="603"/>
      <c r="Z102" s="603"/>
    </row>
    <row r="103" spans="1:26" ht="18" customHeight="1" x14ac:dyDescent="0.2">
      <c r="A103" s="603"/>
      <c r="B103" s="603"/>
      <c r="C103" s="603"/>
      <c r="D103" s="603"/>
      <c r="E103" s="603"/>
      <c r="F103" s="603"/>
      <c r="G103" s="603"/>
      <c r="H103" s="603"/>
      <c r="I103" s="603"/>
      <c r="J103" s="603"/>
      <c r="K103" s="603"/>
      <c r="L103" s="603"/>
      <c r="M103" s="603"/>
      <c r="N103" s="603"/>
      <c r="O103" s="603"/>
      <c r="P103" s="603"/>
      <c r="Q103" s="603"/>
      <c r="R103" s="603"/>
      <c r="S103" s="603"/>
      <c r="T103" s="603"/>
      <c r="U103" s="603"/>
      <c r="V103" s="603"/>
      <c r="W103" s="603"/>
      <c r="X103" s="603"/>
      <c r="Y103" s="603"/>
      <c r="Z103" s="603"/>
    </row>
    <row r="104" spans="1:26" ht="18" customHeight="1" x14ac:dyDescent="0.2">
      <c r="A104" s="603"/>
      <c r="B104" s="603"/>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row>
    <row r="105" spans="1:26" ht="18" customHeight="1" x14ac:dyDescent="0.2">
      <c r="A105" s="603"/>
      <c r="B105" s="603"/>
      <c r="C105" s="603"/>
      <c r="D105" s="603"/>
      <c r="E105" s="603"/>
      <c r="F105" s="603"/>
      <c r="G105" s="603"/>
      <c r="H105" s="603"/>
      <c r="I105" s="603"/>
      <c r="J105" s="603"/>
      <c r="K105" s="603"/>
      <c r="L105" s="603"/>
      <c r="M105" s="603"/>
      <c r="N105" s="603"/>
      <c r="O105" s="603"/>
      <c r="P105" s="603"/>
      <c r="Q105" s="603"/>
      <c r="R105" s="603"/>
      <c r="S105" s="603"/>
      <c r="T105" s="603"/>
      <c r="U105" s="603"/>
      <c r="V105" s="603"/>
      <c r="W105" s="603"/>
      <c r="X105" s="603"/>
      <c r="Y105" s="603"/>
      <c r="Z105" s="603"/>
    </row>
    <row r="106" spans="1:26" ht="18" customHeight="1" x14ac:dyDescent="0.2">
      <c r="A106" s="603"/>
      <c r="B106" s="603"/>
      <c r="C106" s="603"/>
      <c r="D106" s="603"/>
      <c r="E106" s="603"/>
      <c r="F106" s="603"/>
      <c r="G106" s="603"/>
      <c r="H106" s="603"/>
      <c r="I106" s="603"/>
      <c r="J106" s="603"/>
      <c r="K106" s="603"/>
      <c r="L106" s="603"/>
      <c r="M106" s="603"/>
      <c r="N106" s="603"/>
      <c r="O106" s="603"/>
      <c r="P106" s="603"/>
      <c r="Q106" s="603"/>
      <c r="R106" s="603"/>
      <c r="S106" s="603"/>
      <c r="T106" s="603"/>
      <c r="U106" s="603"/>
      <c r="V106" s="603"/>
      <c r="W106" s="603"/>
      <c r="X106" s="603"/>
      <c r="Y106" s="603"/>
      <c r="Z106" s="603"/>
    </row>
    <row r="107" spans="1:26" ht="18" customHeight="1" x14ac:dyDescent="0.2">
      <c r="A107" s="603"/>
      <c r="B107" s="603"/>
      <c r="C107" s="603"/>
      <c r="D107" s="603"/>
      <c r="E107" s="603"/>
      <c r="F107" s="603"/>
      <c r="G107" s="603"/>
      <c r="H107" s="603"/>
      <c r="I107" s="603"/>
      <c r="J107" s="603"/>
      <c r="K107" s="603"/>
      <c r="L107" s="603"/>
      <c r="M107" s="603"/>
      <c r="N107" s="603"/>
      <c r="O107" s="603"/>
      <c r="P107" s="603"/>
      <c r="Q107" s="603"/>
      <c r="R107" s="603"/>
      <c r="S107" s="603"/>
      <c r="T107" s="603"/>
      <c r="U107" s="603"/>
      <c r="V107" s="603"/>
      <c r="W107" s="603"/>
      <c r="X107" s="603"/>
      <c r="Y107" s="603"/>
      <c r="Z107" s="603"/>
    </row>
    <row r="108" spans="1:26" ht="18" customHeight="1" x14ac:dyDescent="0.2">
      <c r="A108" s="603"/>
      <c r="B108" s="603"/>
      <c r="C108" s="603"/>
      <c r="D108" s="603"/>
      <c r="E108" s="603"/>
      <c r="F108" s="603"/>
      <c r="G108" s="603"/>
      <c r="H108" s="603"/>
      <c r="I108" s="603"/>
      <c r="J108" s="603"/>
      <c r="K108" s="603"/>
      <c r="L108" s="603"/>
      <c r="M108" s="603"/>
      <c r="N108" s="603"/>
      <c r="O108" s="603"/>
      <c r="P108" s="603"/>
      <c r="Q108" s="603"/>
      <c r="R108" s="603"/>
      <c r="S108" s="603"/>
      <c r="T108" s="603"/>
      <c r="U108" s="603"/>
      <c r="V108" s="603"/>
      <c r="W108" s="603"/>
      <c r="X108" s="603"/>
      <c r="Y108" s="603"/>
      <c r="Z108" s="603"/>
    </row>
    <row r="109" spans="1:26" ht="18" customHeight="1" x14ac:dyDescent="0.2">
      <c r="A109" s="603"/>
      <c r="B109" s="603"/>
      <c r="C109" s="603"/>
      <c r="D109" s="603"/>
      <c r="E109" s="603"/>
      <c r="F109" s="603"/>
      <c r="G109" s="603"/>
      <c r="H109" s="603"/>
      <c r="I109" s="603"/>
      <c r="J109" s="603"/>
      <c r="K109" s="603"/>
      <c r="L109" s="603"/>
      <c r="M109" s="603"/>
      <c r="N109" s="603"/>
      <c r="O109" s="603"/>
      <c r="P109" s="603"/>
      <c r="Q109" s="603"/>
      <c r="R109" s="603"/>
      <c r="S109" s="603"/>
      <c r="T109" s="603"/>
      <c r="U109" s="603"/>
      <c r="V109" s="603"/>
      <c r="W109" s="603"/>
      <c r="X109" s="603"/>
      <c r="Y109" s="603"/>
      <c r="Z109" s="603"/>
    </row>
    <row r="110" spans="1:26" ht="18" customHeight="1" x14ac:dyDescent="0.2">
      <c r="A110" s="603"/>
      <c r="B110" s="603"/>
      <c r="C110" s="603"/>
      <c r="D110" s="603"/>
      <c r="E110" s="603"/>
      <c r="F110" s="603"/>
      <c r="G110" s="603"/>
      <c r="H110" s="603"/>
      <c r="I110" s="603"/>
      <c r="J110" s="603"/>
      <c r="K110" s="603"/>
      <c r="L110" s="603"/>
      <c r="M110" s="603"/>
      <c r="N110" s="603"/>
      <c r="O110" s="603"/>
      <c r="P110" s="603"/>
      <c r="Q110" s="603"/>
      <c r="R110" s="603"/>
      <c r="S110" s="603"/>
      <c r="T110" s="603"/>
      <c r="U110" s="603"/>
      <c r="V110" s="603"/>
      <c r="W110" s="603"/>
      <c r="X110" s="603"/>
      <c r="Y110" s="603"/>
      <c r="Z110" s="603"/>
    </row>
    <row r="111" spans="1:26" ht="18" customHeight="1" x14ac:dyDescent="0.2">
      <c r="A111" s="603"/>
      <c r="B111" s="603"/>
      <c r="C111" s="603"/>
      <c r="D111" s="603"/>
      <c r="E111" s="603"/>
      <c r="F111" s="603"/>
      <c r="G111" s="603"/>
      <c r="H111" s="603"/>
      <c r="I111" s="603"/>
      <c r="J111" s="603"/>
      <c r="K111" s="603"/>
      <c r="L111" s="603"/>
      <c r="M111" s="603"/>
      <c r="N111" s="603"/>
      <c r="O111" s="603"/>
      <c r="P111" s="603"/>
      <c r="Q111" s="603"/>
      <c r="R111" s="603"/>
      <c r="S111" s="603"/>
      <c r="T111" s="603"/>
      <c r="U111" s="603"/>
      <c r="V111" s="603"/>
      <c r="W111" s="603"/>
      <c r="X111" s="603"/>
      <c r="Y111" s="603"/>
      <c r="Z111" s="603"/>
    </row>
    <row r="112" spans="1:26" ht="18" customHeight="1" x14ac:dyDescent="0.2">
      <c r="A112" s="603"/>
      <c r="B112" s="603"/>
      <c r="C112" s="603"/>
      <c r="D112" s="603"/>
      <c r="E112" s="603"/>
      <c r="F112" s="603"/>
      <c r="G112" s="603"/>
      <c r="H112" s="603"/>
      <c r="I112" s="603"/>
      <c r="J112" s="603"/>
      <c r="K112" s="603"/>
      <c r="L112" s="603"/>
      <c r="M112" s="603"/>
      <c r="N112" s="603"/>
      <c r="O112" s="603"/>
      <c r="P112" s="603"/>
      <c r="Q112" s="603"/>
      <c r="R112" s="603"/>
      <c r="S112" s="603"/>
      <c r="T112" s="603"/>
      <c r="U112" s="603"/>
      <c r="V112" s="603"/>
      <c r="W112" s="603"/>
      <c r="X112" s="603"/>
      <c r="Y112" s="603"/>
      <c r="Z112" s="603"/>
    </row>
    <row r="113" spans="1:26" ht="18" customHeight="1" x14ac:dyDescent="0.2">
      <c r="A113" s="603"/>
      <c r="B113" s="603"/>
      <c r="C113" s="603"/>
      <c r="D113" s="603"/>
      <c r="E113" s="603"/>
      <c r="F113" s="603"/>
      <c r="G113" s="603"/>
      <c r="H113" s="603"/>
      <c r="I113" s="603"/>
      <c r="J113" s="603"/>
      <c r="K113" s="603"/>
      <c r="L113" s="603"/>
      <c r="M113" s="603"/>
      <c r="N113" s="603"/>
      <c r="O113" s="603"/>
      <c r="P113" s="603"/>
      <c r="Q113" s="603"/>
      <c r="R113" s="603"/>
      <c r="S113" s="603"/>
      <c r="T113" s="603"/>
      <c r="U113" s="603"/>
      <c r="V113" s="603"/>
      <c r="W113" s="603"/>
      <c r="X113" s="603"/>
      <c r="Y113" s="603"/>
      <c r="Z113" s="603"/>
    </row>
    <row r="114" spans="1:26" ht="18" customHeight="1" x14ac:dyDescent="0.2">
      <c r="A114" s="603"/>
      <c r="B114" s="603"/>
      <c r="C114" s="603"/>
      <c r="D114" s="603"/>
      <c r="E114" s="603"/>
      <c r="F114" s="603"/>
      <c r="G114" s="603"/>
      <c r="H114" s="603"/>
      <c r="I114" s="603"/>
      <c r="J114" s="603"/>
      <c r="K114" s="603"/>
      <c r="L114" s="603"/>
      <c r="M114" s="603"/>
      <c r="N114" s="603"/>
      <c r="O114" s="603"/>
      <c r="P114" s="603"/>
      <c r="Q114" s="603"/>
      <c r="R114" s="603"/>
      <c r="S114" s="603"/>
      <c r="T114" s="603"/>
      <c r="U114" s="603"/>
      <c r="V114" s="603"/>
      <c r="W114" s="603"/>
      <c r="X114" s="603"/>
      <c r="Y114" s="603"/>
      <c r="Z114" s="603"/>
    </row>
    <row r="115" spans="1:26" ht="18" customHeight="1" x14ac:dyDescent="0.2">
      <c r="A115" s="603"/>
      <c r="B115" s="603"/>
      <c r="C115" s="603"/>
      <c r="D115" s="603"/>
      <c r="E115" s="603"/>
      <c r="F115" s="603"/>
      <c r="G115" s="603"/>
      <c r="H115" s="603"/>
      <c r="I115" s="603"/>
      <c r="J115" s="603"/>
      <c r="K115" s="603"/>
      <c r="L115" s="603"/>
      <c r="M115" s="603"/>
      <c r="N115" s="603"/>
      <c r="O115" s="603"/>
      <c r="P115" s="603"/>
      <c r="Q115" s="603"/>
      <c r="R115" s="603"/>
      <c r="S115" s="603"/>
      <c r="T115" s="603"/>
      <c r="U115" s="603"/>
      <c r="V115" s="603"/>
      <c r="W115" s="603"/>
      <c r="X115" s="603"/>
      <c r="Y115" s="603"/>
      <c r="Z115" s="603"/>
    </row>
    <row r="116" spans="1:26" ht="18" customHeight="1" x14ac:dyDescent="0.2">
      <c r="A116" s="603"/>
      <c r="B116" s="603"/>
      <c r="C116" s="603"/>
      <c r="D116" s="603"/>
      <c r="E116" s="603"/>
      <c r="F116" s="603"/>
      <c r="G116" s="603"/>
      <c r="H116" s="603"/>
      <c r="I116" s="603"/>
      <c r="J116" s="603"/>
      <c r="K116" s="603"/>
      <c r="L116" s="603"/>
      <c r="M116" s="603"/>
      <c r="N116" s="603"/>
      <c r="O116" s="603"/>
      <c r="P116" s="603"/>
      <c r="Q116" s="603"/>
      <c r="R116" s="603"/>
      <c r="S116" s="603"/>
      <c r="T116" s="603"/>
      <c r="U116" s="603"/>
      <c r="V116" s="603"/>
      <c r="W116" s="603"/>
      <c r="X116" s="603"/>
      <c r="Y116" s="603"/>
      <c r="Z116" s="603"/>
    </row>
    <row r="117" spans="1:26" ht="18" customHeight="1" x14ac:dyDescent="0.2">
      <c r="A117" s="603"/>
      <c r="B117" s="603"/>
      <c r="C117" s="603"/>
      <c r="D117" s="603"/>
      <c r="E117" s="603"/>
      <c r="F117" s="603"/>
      <c r="G117" s="603"/>
      <c r="H117" s="603"/>
      <c r="I117" s="603"/>
      <c r="J117" s="603"/>
      <c r="K117" s="603"/>
      <c r="L117" s="603"/>
      <c r="M117" s="603"/>
      <c r="N117" s="603"/>
      <c r="O117" s="603"/>
      <c r="P117" s="603"/>
      <c r="Q117" s="603"/>
      <c r="R117" s="603"/>
      <c r="S117" s="603"/>
      <c r="T117" s="603"/>
      <c r="U117" s="603"/>
      <c r="V117" s="603"/>
      <c r="W117" s="603"/>
      <c r="X117" s="603"/>
      <c r="Y117" s="603"/>
      <c r="Z117" s="603"/>
    </row>
    <row r="118" spans="1:26" ht="18" customHeight="1" x14ac:dyDescent="0.2">
      <c r="A118" s="603"/>
      <c r="B118" s="603"/>
      <c r="C118" s="603"/>
      <c r="D118" s="603"/>
      <c r="E118" s="603"/>
      <c r="F118" s="603"/>
      <c r="G118" s="603"/>
      <c r="H118" s="603"/>
      <c r="I118" s="603"/>
      <c r="J118" s="603"/>
      <c r="K118" s="603"/>
      <c r="L118" s="603"/>
      <c r="M118" s="603"/>
      <c r="N118" s="603"/>
      <c r="O118" s="603"/>
      <c r="P118" s="603"/>
      <c r="Q118" s="603"/>
      <c r="R118" s="603"/>
      <c r="S118" s="603"/>
      <c r="T118" s="603"/>
      <c r="U118" s="603"/>
      <c r="V118" s="603"/>
      <c r="W118" s="603"/>
      <c r="X118" s="603"/>
      <c r="Y118" s="603"/>
      <c r="Z118" s="603"/>
    </row>
    <row r="119" spans="1:26" ht="18" customHeight="1" x14ac:dyDescent="0.2">
      <c r="A119" s="603"/>
      <c r="B119" s="603"/>
      <c r="C119" s="603"/>
      <c r="D119" s="603"/>
      <c r="E119" s="603"/>
      <c r="F119" s="603"/>
      <c r="G119" s="603"/>
      <c r="H119" s="603"/>
      <c r="I119" s="603"/>
      <c r="J119" s="603"/>
      <c r="K119" s="603"/>
      <c r="L119" s="603"/>
      <c r="M119" s="603"/>
      <c r="N119" s="603"/>
      <c r="O119" s="603"/>
      <c r="P119" s="603"/>
      <c r="Q119" s="603"/>
      <c r="R119" s="603"/>
      <c r="S119" s="603"/>
      <c r="T119" s="603"/>
      <c r="U119" s="603"/>
      <c r="V119" s="603"/>
      <c r="W119" s="603"/>
      <c r="X119" s="603"/>
      <c r="Y119" s="603"/>
      <c r="Z119" s="603"/>
    </row>
    <row r="120" spans="1:26" ht="18" customHeight="1" x14ac:dyDescent="0.2">
      <c r="A120" s="603"/>
      <c r="B120" s="603"/>
      <c r="C120" s="603"/>
      <c r="D120" s="603"/>
      <c r="E120" s="603"/>
      <c r="F120" s="603"/>
      <c r="G120" s="603"/>
      <c r="H120" s="603"/>
      <c r="I120" s="603"/>
      <c r="J120" s="603"/>
      <c r="K120" s="603"/>
      <c r="L120" s="603"/>
      <c r="M120" s="603"/>
      <c r="N120" s="603"/>
      <c r="O120" s="603"/>
      <c r="P120" s="603"/>
      <c r="Q120" s="603"/>
      <c r="R120" s="603"/>
      <c r="S120" s="603"/>
      <c r="T120" s="603"/>
      <c r="U120" s="603"/>
      <c r="V120" s="603"/>
      <c r="W120" s="603"/>
      <c r="X120" s="603"/>
      <c r="Y120" s="603"/>
      <c r="Z120" s="603"/>
    </row>
    <row r="121" spans="1:26" ht="18" customHeight="1" x14ac:dyDescent="0.2">
      <c r="A121" s="603"/>
      <c r="B121" s="603"/>
      <c r="C121" s="603"/>
      <c r="D121" s="603"/>
      <c r="E121" s="603"/>
      <c r="F121" s="603"/>
      <c r="G121" s="603"/>
      <c r="H121" s="603"/>
      <c r="I121" s="603"/>
      <c r="J121" s="603"/>
      <c r="K121" s="603"/>
      <c r="L121" s="603"/>
      <c r="M121" s="603"/>
      <c r="N121" s="603"/>
      <c r="O121" s="603"/>
      <c r="P121" s="603"/>
      <c r="Q121" s="603"/>
      <c r="R121" s="603"/>
      <c r="S121" s="603"/>
      <c r="T121" s="603"/>
      <c r="U121" s="603"/>
      <c r="V121" s="603"/>
      <c r="W121" s="603"/>
      <c r="X121" s="603"/>
      <c r="Y121" s="603"/>
      <c r="Z121" s="603"/>
    </row>
    <row r="122" spans="1:26" ht="18" customHeight="1" x14ac:dyDescent="0.2">
      <c r="A122" s="603"/>
      <c r="B122" s="603"/>
      <c r="C122" s="603"/>
      <c r="D122" s="603"/>
      <c r="E122" s="603"/>
      <c r="F122" s="603"/>
      <c r="G122" s="603"/>
      <c r="H122" s="603"/>
      <c r="I122" s="603"/>
      <c r="J122" s="603"/>
      <c r="K122" s="603"/>
      <c r="L122" s="603"/>
      <c r="M122" s="603"/>
      <c r="N122" s="603"/>
      <c r="O122" s="603"/>
      <c r="P122" s="603"/>
      <c r="Q122" s="603"/>
      <c r="R122" s="603"/>
      <c r="S122" s="603"/>
      <c r="T122" s="603"/>
      <c r="U122" s="603"/>
      <c r="V122" s="603"/>
      <c r="W122" s="603"/>
      <c r="X122" s="603"/>
      <c r="Y122" s="603"/>
      <c r="Z122" s="603"/>
    </row>
    <row r="123" spans="1:26" ht="18" customHeight="1" x14ac:dyDescent="0.2">
      <c r="A123" s="603"/>
      <c r="B123" s="603"/>
      <c r="C123" s="603"/>
      <c r="D123" s="603"/>
      <c r="E123" s="603"/>
      <c r="F123" s="603"/>
      <c r="G123" s="603"/>
      <c r="H123" s="603"/>
      <c r="I123" s="603"/>
      <c r="J123" s="603"/>
      <c r="K123" s="603"/>
      <c r="L123" s="603"/>
      <c r="M123" s="603"/>
      <c r="N123" s="603"/>
      <c r="O123" s="603"/>
      <c r="P123" s="603"/>
      <c r="Q123" s="603"/>
      <c r="R123" s="603"/>
      <c r="S123" s="603"/>
      <c r="T123" s="603"/>
      <c r="U123" s="603"/>
      <c r="V123" s="603"/>
      <c r="W123" s="603"/>
      <c r="X123" s="603"/>
      <c r="Y123" s="603"/>
      <c r="Z123" s="603"/>
    </row>
    <row r="124" spans="1:26" ht="18" customHeight="1" x14ac:dyDescent="0.2">
      <c r="A124" s="603"/>
      <c r="B124" s="603"/>
      <c r="C124" s="603"/>
      <c r="D124" s="603"/>
      <c r="E124" s="603"/>
      <c r="F124" s="603"/>
      <c r="G124" s="603"/>
      <c r="H124" s="603"/>
      <c r="I124" s="603"/>
      <c r="J124" s="603"/>
      <c r="K124" s="603"/>
      <c r="L124" s="603"/>
      <c r="M124" s="603"/>
      <c r="N124" s="603"/>
      <c r="O124" s="603"/>
      <c r="P124" s="603"/>
      <c r="Q124" s="603"/>
      <c r="R124" s="603"/>
      <c r="S124" s="603"/>
      <c r="T124" s="603"/>
      <c r="U124" s="603"/>
      <c r="V124" s="603"/>
      <c r="W124" s="603"/>
      <c r="X124" s="603"/>
      <c r="Y124" s="603"/>
      <c r="Z124" s="603"/>
    </row>
    <row r="125" spans="1:26" ht="18" customHeight="1" x14ac:dyDescent="0.2">
      <c r="A125" s="603"/>
      <c r="B125" s="603"/>
      <c r="C125" s="603"/>
      <c r="D125" s="603"/>
      <c r="E125" s="603"/>
      <c r="F125" s="603"/>
      <c r="G125" s="603"/>
      <c r="H125" s="603"/>
      <c r="I125" s="603"/>
      <c r="J125" s="603"/>
      <c r="K125" s="603"/>
      <c r="L125" s="603"/>
      <c r="M125" s="603"/>
      <c r="N125" s="603"/>
      <c r="O125" s="603"/>
      <c r="P125" s="603"/>
      <c r="Q125" s="603"/>
      <c r="R125" s="603"/>
      <c r="S125" s="603"/>
      <c r="T125" s="603"/>
      <c r="U125" s="603"/>
      <c r="V125" s="603"/>
      <c r="W125" s="603"/>
      <c r="X125" s="603"/>
      <c r="Y125" s="603"/>
      <c r="Z125" s="603"/>
    </row>
    <row r="126" spans="1:26" ht="18" customHeight="1" x14ac:dyDescent="0.2">
      <c r="A126" s="603"/>
      <c r="B126" s="603"/>
      <c r="C126" s="603"/>
      <c r="D126" s="603"/>
      <c r="E126" s="603"/>
      <c r="F126" s="603"/>
      <c r="G126" s="603"/>
      <c r="H126" s="603"/>
      <c r="I126" s="603"/>
      <c r="J126" s="603"/>
      <c r="K126" s="603"/>
      <c r="L126" s="603"/>
      <c r="M126" s="603"/>
      <c r="N126" s="603"/>
      <c r="O126" s="603"/>
      <c r="P126" s="603"/>
      <c r="Q126" s="603"/>
      <c r="R126" s="603"/>
      <c r="S126" s="603"/>
      <c r="T126" s="603"/>
      <c r="U126" s="603"/>
      <c r="V126" s="603"/>
      <c r="W126" s="603"/>
      <c r="X126" s="603"/>
      <c r="Y126" s="603"/>
      <c r="Z126" s="603"/>
    </row>
    <row r="127" spans="1:26" ht="18" customHeight="1" x14ac:dyDescent="0.2">
      <c r="A127" s="603"/>
      <c r="B127" s="603"/>
      <c r="C127" s="603"/>
      <c r="D127" s="603"/>
      <c r="E127" s="603"/>
      <c r="F127" s="603"/>
      <c r="G127" s="603"/>
      <c r="H127" s="603"/>
      <c r="I127" s="603"/>
      <c r="J127" s="603"/>
      <c r="K127" s="603"/>
      <c r="L127" s="603"/>
      <c r="M127" s="603"/>
      <c r="N127" s="603"/>
      <c r="O127" s="603"/>
      <c r="P127" s="603"/>
      <c r="Q127" s="603"/>
      <c r="R127" s="603"/>
      <c r="S127" s="603"/>
      <c r="T127" s="603"/>
      <c r="U127" s="603"/>
      <c r="V127" s="603"/>
      <c r="W127" s="603"/>
      <c r="X127" s="603"/>
      <c r="Y127" s="603"/>
      <c r="Z127" s="603"/>
    </row>
    <row r="128" spans="1:26" ht="18" customHeight="1" x14ac:dyDescent="0.2">
      <c r="A128" s="603"/>
      <c r="B128" s="603"/>
      <c r="C128" s="603"/>
      <c r="D128" s="603"/>
      <c r="E128" s="603"/>
      <c r="F128" s="603"/>
      <c r="G128" s="603"/>
      <c r="H128" s="603"/>
      <c r="I128" s="603"/>
      <c r="J128" s="603"/>
      <c r="K128" s="603"/>
      <c r="L128" s="603"/>
      <c r="M128" s="603"/>
      <c r="N128" s="603"/>
      <c r="O128" s="603"/>
      <c r="P128" s="603"/>
      <c r="Q128" s="603"/>
      <c r="R128" s="603"/>
      <c r="S128" s="603"/>
      <c r="T128" s="603"/>
      <c r="U128" s="603"/>
      <c r="V128" s="603"/>
      <c r="W128" s="603"/>
      <c r="X128" s="603"/>
      <c r="Y128" s="603"/>
      <c r="Z128" s="603"/>
    </row>
    <row r="129" spans="1:26" ht="18" customHeight="1" x14ac:dyDescent="0.2">
      <c r="A129" s="603"/>
      <c r="B129" s="603"/>
      <c r="C129" s="603"/>
      <c r="D129" s="603"/>
      <c r="E129" s="603"/>
      <c r="F129" s="603"/>
      <c r="G129" s="603"/>
      <c r="H129" s="603"/>
      <c r="I129" s="603"/>
      <c r="J129" s="603"/>
      <c r="K129" s="603"/>
      <c r="L129" s="603"/>
      <c r="M129" s="603"/>
      <c r="N129" s="603"/>
      <c r="O129" s="603"/>
      <c r="P129" s="603"/>
      <c r="Q129" s="603"/>
      <c r="R129" s="603"/>
      <c r="S129" s="603"/>
      <c r="T129" s="603"/>
      <c r="U129" s="603"/>
      <c r="V129" s="603"/>
      <c r="W129" s="603"/>
      <c r="X129" s="603"/>
      <c r="Y129" s="603"/>
      <c r="Z129" s="603"/>
    </row>
    <row r="130" spans="1:26" ht="18" customHeight="1" x14ac:dyDescent="0.2">
      <c r="A130" s="603"/>
      <c r="B130" s="603"/>
      <c r="C130" s="603"/>
      <c r="D130" s="603"/>
      <c r="E130" s="603"/>
      <c r="F130" s="603"/>
      <c r="G130" s="603"/>
      <c r="H130" s="603"/>
      <c r="I130" s="603"/>
      <c r="J130" s="603"/>
      <c r="K130" s="603"/>
      <c r="L130" s="603"/>
      <c r="M130" s="603"/>
      <c r="N130" s="603"/>
      <c r="O130" s="603"/>
      <c r="P130" s="603"/>
      <c r="Q130" s="603"/>
      <c r="R130" s="603"/>
      <c r="S130" s="603"/>
      <c r="T130" s="603"/>
      <c r="U130" s="603"/>
      <c r="V130" s="603"/>
      <c r="W130" s="603"/>
      <c r="X130" s="603"/>
      <c r="Y130" s="603"/>
      <c r="Z130" s="603"/>
    </row>
    <row r="131" spans="1:26" ht="18" customHeight="1" x14ac:dyDescent="0.2">
      <c r="A131" s="603"/>
      <c r="B131" s="603"/>
      <c r="C131" s="603"/>
      <c r="D131" s="603"/>
      <c r="E131" s="603"/>
      <c r="F131" s="603"/>
      <c r="G131" s="603"/>
      <c r="H131" s="603"/>
      <c r="I131" s="603"/>
      <c r="J131" s="603"/>
      <c r="K131" s="603"/>
      <c r="L131" s="603"/>
      <c r="M131" s="603"/>
      <c r="N131" s="603"/>
      <c r="O131" s="603"/>
      <c r="P131" s="603"/>
      <c r="Q131" s="603"/>
      <c r="R131" s="603"/>
      <c r="S131" s="603"/>
      <c r="T131" s="603"/>
      <c r="U131" s="603"/>
      <c r="V131" s="603"/>
      <c r="W131" s="603"/>
      <c r="X131" s="603"/>
      <c r="Y131" s="603"/>
      <c r="Z131" s="603"/>
    </row>
    <row r="132" spans="1:26" ht="18" customHeight="1" x14ac:dyDescent="0.2">
      <c r="A132" s="603"/>
      <c r="B132" s="603"/>
      <c r="C132" s="603"/>
      <c r="D132" s="603"/>
      <c r="E132" s="603"/>
      <c r="F132" s="603"/>
      <c r="G132" s="603"/>
      <c r="H132" s="603"/>
      <c r="I132" s="603"/>
      <c r="J132" s="603"/>
      <c r="K132" s="603"/>
      <c r="L132" s="603"/>
      <c r="M132" s="603"/>
      <c r="N132" s="603"/>
      <c r="O132" s="603"/>
      <c r="P132" s="603"/>
      <c r="Q132" s="603"/>
      <c r="R132" s="603"/>
      <c r="S132" s="603"/>
      <c r="T132" s="603"/>
      <c r="U132" s="603"/>
      <c r="V132" s="603"/>
      <c r="W132" s="603"/>
      <c r="X132" s="603"/>
      <c r="Y132" s="603"/>
      <c r="Z132" s="603"/>
    </row>
    <row r="133" spans="1:26" ht="18" customHeight="1" x14ac:dyDescent="0.2">
      <c r="A133" s="603"/>
      <c r="B133" s="603"/>
      <c r="C133" s="603"/>
      <c r="D133" s="603"/>
      <c r="E133" s="603"/>
      <c r="F133" s="603"/>
      <c r="G133" s="603"/>
      <c r="H133" s="603"/>
      <c r="I133" s="603"/>
      <c r="J133" s="603"/>
      <c r="K133" s="603"/>
      <c r="L133" s="603"/>
      <c r="M133" s="603"/>
      <c r="N133" s="603"/>
      <c r="O133" s="603"/>
      <c r="P133" s="603"/>
      <c r="Q133" s="603"/>
      <c r="R133" s="603"/>
      <c r="S133" s="603"/>
      <c r="T133" s="603"/>
      <c r="U133" s="603"/>
      <c r="V133" s="603"/>
      <c r="W133" s="603"/>
      <c r="X133" s="603"/>
      <c r="Y133" s="603"/>
      <c r="Z133" s="603"/>
    </row>
    <row r="134" spans="1:26" ht="18" customHeight="1" x14ac:dyDescent="0.2">
      <c r="A134" s="603"/>
      <c r="B134" s="603"/>
      <c r="C134" s="603"/>
      <c r="D134" s="603"/>
      <c r="E134" s="603"/>
      <c r="F134" s="603"/>
      <c r="G134" s="603"/>
      <c r="H134" s="603"/>
      <c r="I134" s="603"/>
      <c r="J134" s="603"/>
      <c r="K134" s="603"/>
      <c r="L134" s="603"/>
      <c r="M134" s="603"/>
      <c r="N134" s="603"/>
      <c r="O134" s="603"/>
      <c r="P134" s="603"/>
      <c r="Q134" s="603"/>
      <c r="R134" s="603"/>
      <c r="S134" s="603"/>
      <c r="T134" s="603"/>
      <c r="U134" s="603"/>
      <c r="V134" s="603"/>
      <c r="W134" s="603"/>
      <c r="X134" s="603"/>
      <c r="Y134" s="603"/>
      <c r="Z134" s="603"/>
    </row>
    <row r="135" spans="1:26" ht="18" customHeight="1" x14ac:dyDescent="0.2">
      <c r="A135" s="603"/>
      <c r="B135" s="603"/>
      <c r="C135" s="603"/>
      <c r="D135" s="603"/>
      <c r="E135" s="603"/>
      <c r="F135" s="603"/>
      <c r="G135" s="603"/>
      <c r="H135" s="603"/>
      <c r="I135" s="603"/>
      <c r="J135" s="603"/>
      <c r="K135" s="603"/>
      <c r="L135" s="603"/>
      <c r="M135" s="603"/>
      <c r="N135" s="603"/>
      <c r="O135" s="603"/>
      <c r="P135" s="603"/>
      <c r="Q135" s="603"/>
      <c r="R135" s="603"/>
      <c r="S135" s="603"/>
      <c r="T135" s="603"/>
      <c r="U135" s="603"/>
      <c r="V135" s="603"/>
      <c r="W135" s="603"/>
      <c r="X135" s="603"/>
      <c r="Y135" s="603"/>
      <c r="Z135" s="603"/>
    </row>
    <row r="136" spans="1:26" ht="18" customHeight="1" x14ac:dyDescent="0.2">
      <c r="A136" s="603"/>
      <c r="B136" s="603"/>
      <c r="C136" s="603"/>
      <c r="D136" s="603"/>
      <c r="E136" s="603"/>
      <c r="F136" s="603"/>
      <c r="G136" s="603"/>
      <c r="H136" s="603"/>
      <c r="I136" s="603"/>
      <c r="J136" s="603"/>
      <c r="K136" s="603"/>
      <c r="L136" s="603"/>
      <c r="M136" s="603"/>
      <c r="N136" s="603"/>
      <c r="O136" s="603"/>
      <c r="P136" s="603"/>
      <c r="Q136" s="603"/>
      <c r="R136" s="603"/>
      <c r="S136" s="603"/>
      <c r="T136" s="603"/>
      <c r="U136" s="603"/>
      <c r="V136" s="603"/>
      <c r="W136" s="603"/>
      <c r="X136" s="603"/>
      <c r="Y136" s="603"/>
      <c r="Z136" s="603"/>
    </row>
    <row r="137" spans="1:26" ht="18" customHeight="1" x14ac:dyDescent="0.2">
      <c r="A137" s="603"/>
      <c r="B137" s="603"/>
      <c r="C137" s="603"/>
      <c r="D137" s="603"/>
      <c r="E137" s="603"/>
      <c r="F137" s="603"/>
      <c r="G137" s="603"/>
      <c r="H137" s="603"/>
      <c r="I137" s="603"/>
      <c r="J137" s="603"/>
      <c r="K137" s="603"/>
      <c r="L137" s="603"/>
      <c r="M137" s="603"/>
      <c r="N137" s="603"/>
      <c r="O137" s="603"/>
      <c r="P137" s="603"/>
      <c r="Q137" s="603"/>
      <c r="R137" s="603"/>
      <c r="S137" s="603"/>
      <c r="T137" s="603"/>
      <c r="U137" s="603"/>
      <c r="V137" s="603"/>
      <c r="W137" s="603"/>
      <c r="X137" s="603"/>
      <c r="Y137" s="603"/>
      <c r="Z137" s="603"/>
    </row>
    <row r="138" spans="1:26" ht="18" customHeight="1" x14ac:dyDescent="0.2">
      <c r="A138" s="603"/>
      <c r="B138" s="603"/>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row>
    <row r="139" spans="1:26" ht="18" customHeight="1" x14ac:dyDescent="0.2">
      <c r="A139" s="603"/>
      <c r="B139" s="603"/>
      <c r="C139" s="603"/>
      <c r="D139" s="603"/>
      <c r="E139" s="603"/>
      <c r="F139" s="603"/>
      <c r="G139" s="603"/>
      <c r="H139" s="603"/>
      <c r="I139" s="603"/>
      <c r="J139" s="603"/>
      <c r="K139" s="603"/>
      <c r="L139" s="603"/>
      <c r="M139" s="603"/>
      <c r="N139" s="603"/>
      <c r="O139" s="603"/>
      <c r="P139" s="603"/>
      <c r="Q139" s="603"/>
      <c r="R139" s="603"/>
      <c r="S139" s="603"/>
      <c r="T139" s="603"/>
      <c r="U139" s="603"/>
      <c r="V139" s="603"/>
      <c r="W139" s="603"/>
      <c r="X139" s="603"/>
      <c r="Y139" s="603"/>
      <c r="Z139" s="603"/>
    </row>
    <row r="140" spans="1:26" ht="18" customHeight="1" x14ac:dyDescent="0.2">
      <c r="A140" s="603"/>
      <c r="B140" s="603"/>
      <c r="C140" s="603"/>
      <c r="D140" s="603"/>
      <c r="E140" s="603"/>
      <c r="F140" s="603"/>
      <c r="G140" s="603"/>
      <c r="H140" s="603"/>
      <c r="I140" s="603"/>
      <c r="J140" s="603"/>
      <c r="K140" s="603"/>
      <c r="L140" s="603"/>
      <c r="M140" s="603"/>
      <c r="N140" s="603"/>
      <c r="O140" s="603"/>
      <c r="P140" s="603"/>
      <c r="Q140" s="603"/>
      <c r="R140" s="603"/>
      <c r="S140" s="603"/>
      <c r="T140" s="603"/>
      <c r="U140" s="603"/>
      <c r="V140" s="603"/>
      <c r="W140" s="603"/>
      <c r="X140" s="603"/>
      <c r="Y140" s="603"/>
      <c r="Z140" s="603"/>
    </row>
    <row r="141" spans="1:26" ht="18" customHeight="1" x14ac:dyDescent="0.2">
      <c r="A141" s="603"/>
      <c r="B141" s="603"/>
      <c r="C141" s="603"/>
      <c r="D141" s="603"/>
      <c r="E141" s="603"/>
      <c r="F141" s="603"/>
      <c r="G141" s="603"/>
      <c r="H141" s="603"/>
      <c r="I141" s="603"/>
      <c r="J141" s="603"/>
      <c r="K141" s="603"/>
      <c r="L141" s="603"/>
      <c r="M141" s="603"/>
      <c r="N141" s="603"/>
      <c r="O141" s="603"/>
      <c r="P141" s="603"/>
      <c r="Q141" s="603"/>
      <c r="R141" s="603"/>
      <c r="S141" s="603"/>
      <c r="T141" s="603"/>
      <c r="U141" s="603"/>
      <c r="V141" s="603"/>
      <c r="W141" s="603"/>
      <c r="X141" s="603"/>
      <c r="Y141" s="603"/>
      <c r="Z141" s="603"/>
    </row>
    <row r="142" spans="1:26" ht="18" customHeight="1" x14ac:dyDescent="0.2">
      <c r="A142" s="603"/>
      <c r="B142" s="603"/>
      <c r="C142" s="603"/>
      <c r="D142" s="603"/>
      <c r="E142" s="603"/>
      <c r="F142" s="603"/>
      <c r="G142" s="603"/>
      <c r="H142" s="603"/>
      <c r="I142" s="603"/>
      <c r="J142" s="603"/>
      <c r="K142" s="603"/>
      <c r="L142" s="603"/>
      <c r="M142" s="603"/>
      <c r="N142" s="603"/>
      <c r="O142" s="603"/>
      <c r="P142" s="603"/>
      <c r="Q142" s="603"/>
      <c r="R142" s="603"/>
      <c r="S142" s="603"/>
      <c r="T142" s="603"/>
      <c r="U142" s="603"/>
      <c r="V142" s="603"/>
      <c r="W142" s="603"/>
      <c r="X142" s="603"/>
      <c r="Y142" s="603"/>
      <c r="Z142" s="603"/>
    </row>
    <row r="143" spans="1:26" ht="18" customHeight="1" x14ac:dyDescent="0.2">
      <c r="A143" s="603"/>
      <c r="B143" s="603"/>
      <c r="C143" s="603"/>
      <c r="D143" s="603"/>
      <c r="E143" s="603"/>
      <c r="F143" s="603"/>
      <c r="G143" s="603"/>
      <c r="H143" s="603"/>
      <c r="I143" s="603"/>
      <c r="J143" s="603"/>
      <c r="K143" s="603"/>
      <c r="L143" s="603"/>
      <c r="M143" s="603"/>
      <c r="N143" s="603"/>
      <c r="O143" s="603"/>
      <c r="P143" s="603"/>
      <c r="Q143" s="603"/>
      <c r="R143" s="603"/>
      <c r="S143" s="603"/>
      <c r="T143" s="603"/>
      <c r="U143" s="603"/>
      <c r="V143" s="603"/>
      <c r="W143" s="603"/>
      <c r="X143" s="603"/>
      <c r="Y143" s="603"/>
      <c r="Z143" s="603"/>
    </row>
    <row r="144" spans="1:26" ht="18" customHeight="1" x14ac:dyDescent="0.2">
      <c r="A144" s="603"/>
      <c r="B144" s="603"/>
      <c r="C144" s="603"/>
      <c r="D144" s="603"/>
      <c r="E144" s="603"/>
      <c r="F144" s="603"/>
      <c r="G144" s="603"/>
      <c r="H144" s="603"/>
      <c r="I144" s="603"/>
      <c r="J144" s="603"/>
      <c r="K144" s="603"/>
      <c r="L144" s="603"/>
      <c r="M144" s="603"/>
      <c r="N144" s="603"/>
      <c r="O144" s="603"/>
      <c r="P144" s="603"/>
      <c r="Q144" s="603"/>
      <c r="R144" s="603"/>
      <c r="S144" s="603"/>
      <c r="T144" s="603"/>
      <c r="U144" s="603"/>
      <c r="V144" s="603"/>
      <c r="W144" s="603"/>
      <c r="X144" s="603"/>
      <c r="Y144" s="603"/>
      <c r="Z144" s="603"/>
    </row>
    <row r="145" spans="1:26" ht="18" customHeight="1" x14ac:dyDescent="0.2">
      <c r="A145" s="603"/>
      <c r="B145" s="603"/>
      <c r="C145" s="603"/>
      <c r="D145" s="603"/>
      <c r="E145" s="603"/>
      <c r="F145" s="603"/>
      <c r="G145" s="603"/>
      <c r="H145" s="603"/>
      <c r="I145" s="603"/>
      <c r="J145" s="603"/>
      <c r="K145" s="603"/>
      <c r="L145" s="603"/>
      <c r="M145" s="603"/>
      <c r="N145" s="603"/>
      <c r="O145" s="603"/>
      <c r="P145" s="603"/>
      <c r="Q145" s="603"/>
      <c r="R145" s="603"/>
      <c r="S145" s="603"/>
      <c r="T145" s="603"/>
      <c r="U145" s="603"/>
      <c r="V145" s="603"/>
      <c r="W145" s="603"/>
      <c r="X145" s="603"/>
      <c r="Y145" s="603"/>
      <c r="Z145" s="603"/>
    </row>
    <row r="146" spans="1:26" ht="18" customHeight="1" x14ac:dyDescent="0.2">
      <c r="A146" s="603"/>
      <c r="B146" s="603"/>
      <c r="C146" s="603"/>
      <c r="D146" s="603"/>
      <c r="E146" s="603"/>
      <c r="F146" s="603"/>
      <c r="G146" s="603"/>
      <c r="H146" s="603"/>
      <c r="I146" s="603"/>
      <c r="J146" s="603"/>
      <c r="K146" s="603"/>
      <c r="L146" s="603"/>
      <c r="M146" s="603"/>
      <c r="N146" s="603"/>
      <c r="O146" s="603"/>
      <c r="P146" s="603"/>
      <c r="Q146" s="603"/>
      <c r="R146" s="603"/>
      <c r="S146" s="603"/>
      <c r="T146" s="603"/>
      <c r="U146" s="603"/>
      <c r="V146" s="603"/>
      <c r="W146" s="603"/>
      <c r="X146" s="603"/>
      <c r="Y146" s="603"/>
      <c r="Z146" s="603"/>
    </row>
    <row r="147" spans="1:26" ht="18" customHeight="1" x14ac:dyDescent="0.2">
      <c r="A147" s="603"/>
      <c r="B147" s="603"/>
      <c r="C147" s="603"/>
      <c r="D147" s="603"/>
      <c r="E147" s="603"/>
      <c r="F147" s="603"/>
      <c r="G147" s="603"/>
      <c r="H147" s="603"/>
      <c r="I147" s="603"/>
      <c r="J147" s="603"/>
      <c r="K147" s="603"/>
      <c r="L147" s="603"/>
      <c r="M147" s="603"/>
      <c r="N147" s="603"/>
      <c r="O147" s="603"/>
      <c r="P147" s="603"/>
      <c r="Q147" s="603"/>
      <c r="R147" s="603"/>
      <c r="S147" s="603"/>
      <c r="T147" s="603"/>
      <c r="U147" s="603"/>
      <c r="V147" s="603"/>
      <c r="W147" s="603"/>
      <c r="X147" s="603"/>
      <c r="Y147" s="603"/>
      <c r="Z147" s="603"/>
    </row>
    <row r="148" spans="1:26" ht="18" customHeight="1" x14ac:dyDescent="0.2">
      <c r="A148" s="603"/>
      <c r="B148" s="603"/>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row>
    <row r="149" spans="1:26" ht="18" customHeight="1" x14ac:dyDescent="0.2">
      <c r="A149" s="603"/>
      <c r="B149" s="603"/>
      <c r="C149" s="603"/>
      <c r="D149" s="603"/>
      <c r="E149" s="603"/>
      <c r="F149" s="603"/>
      <c r="G149" s="603"/>
      <c r="H149" s="603"/>
      <c r="I149" s="603"/>
      <c r="J149" s="603"/>
      <c r="K149" s="603"/>
      <c r="L149" s="603"/>
      <c r="M149" s="603"/>
      <c r="N149" s="603"/>
      <c r="O149" s="603"/>
      <c r="P149" s="603"/>
      <c r="Q149" s="603"/>
      <c r="R149" s="603"/>
      <c r="S149" s="603"/>
      <c r="T149" s="603"/>
      <c r="U149" s="603"/>
      <c r="V149" s="603"/>
      <c r="W149" s="603"/>
      <c r="X149" s="603"/>
      <c r="Y149" s="603"/>
      <c r="Z149" s="603"/>
    </row>
    <row r="150" spans="1:26" ht="18" customHeight="1" x14ac:dyDescent="0.2">
      <c r="A150" s="603"/>
      <c r="B150" s="603"/>
      <c r="C150" s="603"/>
      <c r="D150" s="603"/>
      <c r="E150" s="603"/>
      <c r="F150" s="603"/>
      <c r="G150" s="603"/>
      <c r="H150" s="603"/>
      <c r="I150" s="603"/>
      <c r="J150" s="603"/>
      <c r="K150" s="603"/>
      <c r="L150" s="603"/>
      <c r="M150" s="603"/>
      <c r="N150" s="603"/>
      <c r="O150" s="603"/>
      <c r="P150" s="603"/>
      <c r="Q150" s="603"/>
      <c r="R150" s="603"/>
      <c r="S150" s="603"/>
      <c r="T150" s="603"/>
      <c r="U150" s="603"/>
      <c r="V150" s="603"/>
      <c r="W150" s="603"/>
      <c r="X150" s="603"/>
      <c r="Y150" s="603"/>
      <c r="Z150" s="603"/>
    </row>
    <row r="151" spans="1:26" ht="18" customHeight="1" x14ac:dyDescent="0.2">
      <c r="A151" s="603"/>
      <c r="B151" s="603"/>
      <c r="C151" s="603"/>
      <c r="D151" s="603"/>
      <c r="E151" s="603"/>
      <c r="F151" s="603"/>
      <c r="G151" s="603"/>
      <c r="H151" s="603"/>
      <c r="I151" s="603"/>
      <c r="J151" s="603"/>
      <c r="K151" s="603"/>
      <c r="L151" s="603"/>
      <c r="M151" s="603"/>
      <c r="N151" s="603"/>
      <c r="O151" s="603"/>
      <c r="P151" s="603"/>
      <c r="Q151" s="603"/>
      <c r="R151" s="603"/>
      <c r="S151" s="603"/>
      <c r="T151" s="603"/>
      <c r="U151" s="603"/>
      <c r="V151" s="603"/>
      <c r="W151" s="603"/>
      <c r="X151" s="603"/>
      <c r="Y151" s="603"/>
      <c r="Z151" s="603"/>
    </row>
    <row r="152" spans="1:26" ht="18" customHeight="1" x14ac:dyDescent="0.2">
      <c r="A152" s="603"/>
      <c r="B152" s="603"/>
      <c r="C152" s="603"/>
      <c r="D152" s="603"/>
      <c r="E152" s="603"/>
      <c r="F152" s="603"/>
      <c r="G152" s="603"/>
      <c r="H152" s="603"/>
      <c r="I152" s="603"/>
      <c r="J152" s="603"/>
      <c r="K152" s="603"/>
      <c r="L152" s="603"/>
      <c r="M152" s="603"/>
      <c r="N152" s="603"/>
      <c r="O152" s="603"/>
      <c r="P152" s="603"/>
      <c r="Q152" s="603"/>
      <c r="R152" s="603"/>
      <c r="S152" s="603"/>
      <c r="T152" s="603"/>
      <c r="U152" s="603"/>
      <c r="V152" s="603"/>
      <c r="W152" s="603"/>
      <c r="X152" s="603"/>
      <c r="Y152" s="603"/>
      <c r="Z152" s="603"/>
    </row>
    <row r="153" spans="1:26" ht="18" customHeight="1" x14ac:dyDescent="0.2">
      <c r="A153" s="603"/>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row>
    <row r="154" spans="1:26" ht="18" customHeight="1" x14ac:dyDescent="0.2">
      <c r="A154" s="603"/>
      <c r="B154" s="603"/>
      <c r="C154" s="603"/>
      <c r="D154" s="603"/>
      <c r="E154" s="603"/>
      <c r="F154" s="603"/>
      <c r="G154" s="603"/>
      <c r="H154" s="603"/>
      <c r="I154" s="603"/>
      <c r="J154" s="603"/>
      <c r="K154" s="603"/>
      <c r="L154" s="603"/>
      <c r="M154" s="603"/>
      <c r="N154" s="603"/>
      <c r="O154" s="603"/>
      <c r="P154" s="603"/>
      <c r="Q154" s="603"/>
      <c r="R154" s="603"/>
      <c r="S154" s="603"/>
      <c r="T154" s="603"/>
      <c r="U154" s="603"/>
      <c r="V154" s="603"/>
      <c r="W154" s="603"/>
      <c r="X154" s="603"/>
      <c r="Y154" s="603"/>
      <c r="Z154" s="603"/>
    </row>
    <row r="155" spans="1:26" ht="18" customHeight="1" x14ac:dyDescent="0.2">
      <c r="A155" s="603"/>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row>
    <row r="156" spans="1:26" ht="18" customHeight="1" x14ac:dyDescent="0.2">
      <c r="A156" s="603"/>
      <c r="B156" s="603"/>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row>
    <row r="157" spans="1:26" ht="18" customHeight="1" x14ac:dyDescent="0.2">
      <c r="A157" s="603"/>
      <c r="B157" s="603"/>
      <c r="C157" s="603"/>
      <c r="D157" s="603"/>
      <c r="E157" s="603"/>
      <c r="F157" s="603"/>
      <c r="G157" s="603"/>
      <c r="H157" s="603"/>
      <c r="I157" s="603"/>
      <c r="J157" s="603"/>
      <c r="K157" s="603"/>
      <c r="L157" s="603"/>
      <c r="M157" s="603"/>
      <c r="N157" s="603"/>
      <c r="O157" s="603"/>
      <c r="P157" s="603"/>
      <c r="Q157" s="603"/>
      <c r="R157" s="603"/>
      <c r="S157" s="603"/>
      <c r="T157" s="603"/>
      <c r="U157" s="603"/>
      <c r="V157" s="603"/>
      <c r="W157" s="603"/>
      <c r="X157" s="603"/>
      <c r="Y157" s="603"/>
      <c r="Z157" s="603"/>
    </row>
    <row r="158" spans="1:26" ht="18" customHeight="1" x14ac:dyDescent="0.2">
      <c r="A158" s="603"/>
      <c r="B158" s="603"/>
      <c r="C158" s="603"/>
      <c r="D158" s="603"/>
      <c r="E158" s="603"/>
      <c r="F158" s="603"/>
      <c r="G158" s="603"/>
      <c r="H158" s="603"/>
      <c r="I158" s="603"/>
      <c r="J158" s="603"/>
      <c r="K158" s="603"/>
      <c r="L158" s="603"/>
      <c r="M158" s="603"/>
      <c r="N158" s="603"/>
      <c r="O158" s="603"/>
      <c r="P158" s="603"/>
      <c r="Q158" s="603"/>
      <c r="R158" s="603"/>
      <c r="S158" s="603"/>
      <c r="T158" s="603"/>
      <c r="U158" s="603"/>
      <c r="V158" s="603"/>
      <c r="W158" s="603"/>
      <c r="X158" s="603"/>
      <c r="Y158" s="603"/>
      <c r="Z158" s="603"/>
    </row>
    <row r="159" spans="1:26" ht="18" customHeight="1" x14ac:dyDescent="0.2">
      <c r="A159" s="603"/>
      <c r="B159" s="603"/>
      <c r="C159" s="603"/>
      <c r="D159" s="603"/>
      <c r="E159" s="603"/>
      <c r="F159" s="603"/>
      <c r="G159" s="603"/>
      <c r="H159" s="603"/>
      <c r="I159" s="603"/>
      <c r="J159" s="603"/>
      <c r="K159" s="603"/>
      <c r="L159" s="603"/>
      <c r="M159" s="603"/>
      <c r="N159" s="603"/>
      <c r="O159" s="603"/>
      <c r="P159" s="603"/>
      <c r="Q159" s="603"/>
      <c r="R159" s="603"/>
      <c r="S159" s="603"/>
      <c r="T159" s="603"/>
      <c r="U159" s="603"/>
      <c r="V159" s="603"/>
      <c r="W159" s="603"/>
      <c r="X159" s="603"/>
      <c r="Y159" s="603"/>
      <c r="Z159" s="603"/>
    </row>
    <row r="160" spans="1:26" ht="18" customHeight="1" x14ac:dyDescent="0.2">
      <c r="A160" s="603"/>
      <c r="B160" s="603"/>
      <c r="C160" s="603"/>
      <c r="D160" s="603"/>
      <c r="E160" s="603"/>
      <c r="F160" s="603"/>
      <c r="G160" s="603"/>
      <c r="H160" s="603"/>
      <c r="I160" s="603"/>
      <c r="J160" s="603"/>
      <c r="K160" s="603"/>
      <c r="L160" s="603"/>
      <c r="M160" s="603"/>
      <c r="N160" s="603"/>
      <c r="O160" s="603"/>
      <c r="P160" s="603"/>
      <c r="Q160" s="603"/>
      <c r="R160" s="603"/>
      <c r="S160" s="603"/>
      <c r="T160" s="603"/>
      <c r="U160" s="603"/>
      <c r="V160" s="603"/>
      <c r="W160" s="603"/>
      <c r="X160" s="603"/>
      <c r="Y160" s="603"/>
      <c r="Z160" s="603"/>
    </row>
    <row r="161" spans="1:26" ht="18" customHeight="1" x14ac:dyDescent="0.2">
      <c r="A161" s="603"/>
      <c r="B161" s="603"/>
      <c r="C161" s="603"/>
      <c r="D161" s="603"/>
      <c r="E161" s="603"/>
      <c r="F161" s="603"/>
      <c r="G161" s="603"/>
      <c r="H161" s="603"/>
      <c r="I161" s="603"/>
      <c r="J161" s="603"/>
      <c r="K161" s="603"/>
      <c r="L161" s="603"/>
      <c r="M161" s="603"/>
      <c r="N161" s="603"/>
      <c r="O161" s="603"/>
      <c r="P161" s="603"/>
      <c r="Q161" s="603"/>
      <c r="R161" s="603"/>
      <c r="S161" s="603"/>
      <c r="T161" s="603"/>
      <c r="U161" s="603"/>
      <c r="V161" s="603"/>
      <c r="W161" s="603"/>
      <c r="X161" s="603"/>
      <c r="Y161" s="603"/>
      <c r="Z161" s="603"/>
    </row>
    <row r="162" spans="1:26" ht="18" customHeight="1" x14ac:dyDescent="0.2">
      <c r="A162" s="603"/>
      <c r="B162" s="603"/>
      <c r="C162" s="603"/>
      <c r="D162" s="603"/>
      <c r="E162" s="603"/>
      <c r="F162" s="603"/>
      <c r="G162" s="603"/>
      <c r="H162" s="603"/>
      <c r="I162" s="603"/>
      <c r="J162" s="603"/>
      <c r="K162" s="603"/>
      <c r="L162" s="603"/>
      <c r="M162" s="603"/>
      <c r="N162" s="603"/>
      <c r="O162" s="603"/>
      <c r="P162" s="603"/>
      <c r="Q162" s="603"/>
      <c r="R162" s="603"/>
      <c r="S162" s="603"/>
      <c r="T162" s="603"/>
      <c r="U162" s="603"/>
      <c r="V162" s="603"/>
      <c r="W162" s="603"/>
      <c r="X162" s="603"/>
      <c r="Y162" s="603"/>
      <c r="Z162" s="603"/>
    </row>
    <row r="163" spans="1:26" ht="18" customHeight="1" x14ac:dyDescent="0.2">
      <c r="A163" s="603"/>
      <c r="B163" s="603"/>
      <c r="C163" s="603"/>
      <c r="D163" s="603"/>
      <c r="E163" s="603"/>
      <c r="F163" s="603"/>
      <c r="G163" s="603"/>
      <c r="H163" s="603"/>
      <c r="I163" s="603"/>
      <c r="J163" s="603"/>
      <c r="K163" s="603"/>
      <c r="L163" s="603"/>
      <c r="M163" s="603"/>
      <c r="N163" s="603"/>
      <c r="O163" s="603"/>
      <c r="P163" s="603"/>
      <c r="Q163" s="603"/>
      <c r="R163" s="603"/>
      <c r="S163" s="603"/>
      <c r="T163" s="603"/>
      <c r="U163" s="603"/>
      <c r="V163" s="603"/>
      <c r="W163" s="603"/>
      <c r="X163" s="603"/>
      <c r="Y163" s="603"/>
      <c r="Z163" s="603"/>
    </row>
    <row r="164" spans="1:26" ht="18" customHeight="1" x14ac:dyDescent="0.2">
      <c r="A164" s="603"/>
      <c r="B164" s="603"/>
      <c r="C164" s="603"/>
      <c r="D164" s="603"/>
      <c r="E164" s="603"/>
      <c r="F164" s="603"/>
      <c r="G164" s="603"/>
      <c r="H164" s="603"/>
      <c r="I164" s="603"/>
      <c r="J164" s="603"/>
      <c r="K164" s="603"/>
      <c r="L164" s="603"/>
      <c r="M164" s="603"/>
      <c r="N164" s="603"/>
      <c r="O164" s="603"/>
      <c r="P164" s="603"/>
      <c r="Q164" s="603"/>
      <c r="R164" s="603"/>
      <c r="S164" s="603"/>
      <c r="T164" s="603"/>
      <c r="U164" s="603"/>
      <c r="V164" s="603"/>
      <c r="W164" s="603"/>
      <c r="X164" s="603"/>
      <c r="Y164" s="603"/>
      <c r="Z164" s="603"/>
    </row>
    <row r="165" spans="1:26" ht="18" customHeight="1" x14ac:dyDescent="0.2">
      <c r="A165" s="603"/>
      <c r="B165" s="603"/>
      <c r="C165" s="603"/>
      <c r="D165" s="603"/>
      <c r="E165" s="603"/>
      <c r="F165" s="603"/>
      <c r="G165" s="603"/>
      <c r="H165" s="603"/>
      <c r="I165" s="603"/>
      <c r="J165" s="603"/>
      <c r="K165" s="603"/>
      <c r="L165" s="603"/>
      <c r="M165" s="603"/>
      <c r="N165" s="603"/>
      <c r="O165" s="603"/>
      <c r="P165" s="603"/>
      <c r="Q165" s="603"/>
      <c r="R165" s="603"/>
      <c r="S165" s="603"/>
      <c r="T165" s="603"/>
      <c r="U165" s="603"/>
      <c r="V165" s="603"/>
      <c r="W165" s="603"/>
      <c r="X165" s="603"/>
      <c r="Y165" s="603"/>
      <c r="Z165" s="603"/>
    </row>
    <row r="166" spans="1:26" ht="18" customHeight="1" x14ac:dyDescent="0.2">
      <c r="A166" s="603"/>
      <c r="B166" s="603"/>
      <c r="C166" s="603"/>
      <c r="D166" s="603"/>
      <c r="E166" s="603"/>
      <c r="F166" s="603"/>
      <c r="G166" s="603"/>
      <c r="H166" s="603"/>
      <c r="I166" s="603"/>
      <c r="J166" s="603"/>
      <c r="K166" s="603"/>
      <c r="L166" s="603"/>
      <c r="M166" s="603"/>
      <c r="N166" s="603"/>
      <c r="O166" s="603"/>
      <c r="P166" s="603"/>
      <c r="Q166" s="603"/>
      <c r="R166" s="603"/>
      <c r="S166" s="603"/>
      <c r="T166" s="603"/>
      <c r="U166" s="603"/>
      <c r="V166" s="603"/>
      <c r="W166" s="603"/>
      <c r="X166" s="603"/>
      <c r="Y166" s="603"/>
      <c r="Z166" s="603"/>
    </row>
    <row r="167" spans="1:26" ht="18" customHeight="1" x14ac:dyDescent="0.2">
      <c r="A167" s="603"/>
      <c r="B167" s="603"/>
      <c r="C167" s="603"/>
      <c r="D167" s="603"/>
      <c r="E167" s="603"/>
      <c r="F167" s="603"/>
      <c r="G167" s="603"/>
      <c r="H167" s="603"/>
      <c r="I167" s="603"/>
      <c r="J167" s="603"/>
      <c r="K167" s="603"/>
      <c r="L167" s="603"/>
      <c r="M167" s="603"/>
      <c r="N167" s="603"/>
      <c r="O167" s="603"/>
      <c r="P167" s="603"/>
      <c r="Q167" s="603"/>
      <c r="R167" s="603"/>
      <c r="S167" s="603"/>
      <c r="T167" s="603"/>
      <c r="U167" s="603"/>
      <c r="V167" s="603"/>
      <c r="W167" s="603"/>
      <c r="X167" s="603"/>
      <c r="Y167" s="603"/>
      <c r="Z167" s="603"/>
    </row>
    <row r="168" spans="1:26" ht="18" customHeight="1" x14ac:dyDescent="0.2">
      <c r="A168" s="603"/>
      <c r="B168" s="603"/>
      <c r="C168" s="603"/>
      <c r="D168" s="603"/>
      <c r="E168" s="603"/>
      <c r="F168" s="603"/>
      <c r="G168" s="603"/>
      <c r="H168" s="603"/>
      <c r="I168" s="603"/>
      <c r="J168" s="603"/>
      <c r="K168" s="603"/>
      <c r="L168" s="603"/>
      <c r="M168" s="603"/>
      <c r="N168" s="603"/>
      <c r="O168" s="603"/>
      <c r="P168" s="603"/>
      <c r="Q168" s="603"/>
      <c r="R168" s="603"/>
      <c r="S168" s="603"/>
      <c r="T168" s="603"/>
      <c r="U168" s="603"/>
      <c r="V168" s="603"/>
      <c r="W168" s="603"/>
      <c r="X168" s="603"/>
      <c r="Y168" s="603"/>
      <c r="Z168" s="603"/>
    </row>
    <row r="169" spans="1:26" ht="18" customHeight="1" x14ac:dyDescent="0.2">
      <c r="A169" s="603"/>
      <c r="B169" s="603"/>
      <c r="C169" s="603"/>
      <c r="D169" s="603"/>
      <c r="E169" s="603"/>
      <c r="F169" s="603"/>
      <c r="G169" s="603"/>
      <c r="H169" s="603"/>
      <c r="I169" s="603"/>
      <c r="J169" s="603"/>
      <c r="K169" s="603"/>
      <c r="L169" s="603"/>
      <c r="M169" s="603"/>
      <c r="N169" s="603"/>
      <c r="O169" s="603"/>
      <c r="P169" s="603"/>
      <c r="Q169" s="603"/>
      <c r="R169" s="603"/>
      <c r="S169" s="603"/>
      <c r="T169" s="603"/>
      <c r="U169" s="603"/>
      <c r="V169" s="603"/>
      <c r="W169" s="603"/>
      <c r="X169" s="603"/>
      <c r="Y169" s="603"/>
      <c r="Z169" s="603"/>
    </row>
    <row r="170" spans="1:26" ht="18" customHeight="1" x14ac:dyDescent="0.2">
      <c r="A170" s="603"/>
      <c r="B170" s="603"/>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row>
    <row r="171" spans="1:26" ht="18" customHeight="1" x14ac:dyDescent="0.2">
      <c r="A171" s="603"/>
      <c r="B171" s="603"/>
      <c r="C171" s="603"/>
      <c r="D171" s="603"/>
      <c r="E171" s="603"/>
      <c r="F171" s="603"/>
      <c r="G171" s="603"/>
      <c r="H171" s="603"/>
      <c r="I171" s="603"/>
      <c r="J171" s="603"/>
      <c r="K171" s="603"/>
      <c r="L171" s="603"/>
      <c r="M171" s="603"/>
      <c r="N171" s="603"/>
      <c r="O171" s="603"/>
      <c r="P171" s="603"/>
      <c r="Q171" s="603"/>
      <c r="R171" s="603"/>
      <c r="S171" s="603"/>
      <c r="T171" s="603"/>
      <c r="U171" s="603"/>
      <c r="V171" s="603"/>
      <c r="W171" s="603"/>
      <c r="X171" s="603"/>
      <c r="Y171" s="603"/>
      <c r="Z171" s="603"/>
    </row>
    <row r="172" spans="1:26" ht="18" customHeight="1" x14ac:dyDescent="0.2">
      <c r="A172" s="603"/>
      <c r="B172" s="603"/>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row>
    <row r="173" spans="1:26" ht="18" customHeight="1" x14ac:dyDescent="0.2">
      <c r="A173" s="603"/>
      <c r="B173" s="603"/>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row>
    <row r="174" spans="1:26" ht="18" customHeight="1" x14ac:dyDescent="0.2">
      <c r="A174" s="603"/>
      <c r="B174" s="603"/>
      <c r="C174" s="603"/>
      <c r="D174" s="603"/>
      <c r="E174" s="603"/>
      <c r="F174" s="603"/>
      <c r="G174" s="603"/>
      <c r="H174" s="603"/>
      <c r="I174" s="603"/>
      <c r="J174" s="603"/>
      <c r="K174" s="603"/>
      <c r="L174" s="603"/>
      <c r="M174" s="603"/>
      <c r="N174" s="603"/>
      <c r="O174" s="603"/>
      <c r="P174" s="603"/>
      <c r="Q174" s="603"/>
      <c r="R174" s="603"/>
      <c r="S174" s="603"/>
      <c r="T174" s="603"/>
      <c r="U174" s="603"/>
      <c r="V174" s="603"/>
      <c r="W174" s="603"/>
      <c r="X174" s="603"/>
      <c r="Y174" s="603"/>
      <c r="Z174" s="603"/>
    </row>
    <row r="175" spans="1:26" ht="18" customHeight="1" x14ac:dyDescent="0.2">
      <c r="A175" s="603"/>
      <c r="B175" s="603"/>
      <c r="C175" s="603"/>
      <c r="D175" s="603"/>
      <c r="E175" s="603"/>
      <c r="F175" s="603"/>
      <c r="G175" s="603"/>
      <c r="H175" s="603"/>
      <c r="I175" s="603"/>
      <c r="J175" s="603"/>
      <c r="K175" s="603"/>
      <c r="L175" s="603"/>
      <c r="M175" s="603"/>
      <c r="N175" s="603"/>
      <c r="O175" s="603"/>
      <c r="P175" s="603"/>
      <c r="Q175" s="603"/>
      <c r="R175" s="603"/>
      <c r="S175" s="603"/>
      <c r="T175" s="603"/>
      <c r="U175" s="603"/>
      <c r="V175" s="603"/>
      <c r="W175" s="603"/>
      <c r="X175" s="603"/>
      <c r="Y175" s="603"/>
      <c r="Z175" s="603"/>
    </row>
    <row r="176" spans="1:26" ht="18" customHeight="1" x14ac:dyDescent="0.2">
      <c r="A176" s="603"/>
      <c r="B176" s="603"/>
      <c r="C176" s="603"/>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row>
    <row r="177" spans="1:26" ht="18" customHeight="1" x14ac:dyDescent="0.2">
      <c r="A177" s="603"/>
      <c r="B177" s="603"/>
      <c r="C177" s="603"/>
      <c r="D177" s="603"/>
      <c r="E177" s="603"/>
      <c r="F177" s="603"/>
      <c r="G177" s="603"/>
      <c r="H177" s="603"/>
      <c r="I177" s="603"/>
      <c r="J177" s="603"/>
      <c r="K177" s="603"/>
      <c r="L177" s="603"/>
      <c r="M177" s="603"/>
      <c r="N177" s="603"/>
      <c r="O177" s="603"/>
      <c r="P177" s="603"/>
      <c r="Q177" s="603"/>
      <c r="R177" s="603"/>
      <c r="S177" s="603"/>
      <c r="T177" s="603"/>
      <c r="U177" s="603"/>
      <c r="V177" s="603"/>
      <c r="W177" s="603"/>
      <c r="X177" s="603"/>
      <c r="Y177" s="603"/>
      <c r="Z177" s="603"/>
    </row>
    <row r="178" spans="1:26" ht="18" customHeight="1" x14ac:dyDescent="0.2">
      <c r="A178" s="603"/>
      <c r="B178" s="603"/>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row>
    <row r="179" spans="1:26" ht="18" customHeight="1" x14ac:dyDescent="0.2">
      <c r="A179" s="603"/>
      <c r="B179" s="603"/>
      <c r="C179" s="603"/>
      <c r="D179" s="603"/>
      <c r="E179" s="603"/>
      <c r="F179" s="603"/>
      <c r="G179" s="603"/>
      <c r="H179" s="603"/>
      <c r="I179" s="603"/>
      <c r="J179" s="603"/>
      <c r="K179" s="603"/>
      <c r="L179" s="603"/>
      <c r="M179" s="603"/>
      <c r="N179" s="603"/>
      <c r="O179" s="603"/>
      <c r="P179" s="603"/>
      <c r="Q179" s="603"/>
      <c r="R179" s="603"/>
      <c r="S179" s="603"/>
      <c r="T179" s="603"/>
      <c r="U179" s="603"/>
      <c r="V179" s="603"/>
      <c r="W179" s="603"/>
      <c r="X179" s="603"/>
      <c r="Y179" s="603"/>
      <c r="Z179" s="603"/>
    </row>
    <row r="180" spans="1:26" ht="18" customHeight="1" x14ac:dyDescent="0.2">
      <c r="A180" s="603"/>
      <c r="B180" s="603"/>
      <c r="C180" s="603"/>
      <c r="D180" s="603"/>
      <c r="E180" s="603"/>
      <c r="F180" s="603"/>
      <c r="G180" s="603"/>
      <c r="H180" s="603"/>
      <c r="I180" s="603"/>
      <c r="J180" s="603"/>
      <c r="K180" s="603"/>
      <c r="L180" s="603"/>
      <c r="M180" s="603"/>
      <c r="N180" s="603"/>
      <c r="O180" s="603"/>
      <c r="P180" s="603"/>
      <c r="Q180" s="603"/>
      <c r="R180" s="603"/>
      <c r="S180" s="603"/>
      <c r="T180" s="603"/>
      <c r="U180" s="603"/>
      <c r="V180" s="603"/>
      <c r="W180" s="603"/>
      <c r="X180" s="603"/>
      <c r="Y180" s="603"/>
      <c r="Z180" s="603"/>
    </row>
    <row r="181" spans="1:26" ht="18" customHeight="1" x14ac:dyDescent="0.2">
      <c r="A181" s="603"/>
      <c r="B181" s="603"/>
      <c r="C181" s="603"/>
      <c r="D181" s="603"/>
      <c r="E181" s="603"/>
      <c r="F181" s="603"/>
      <c r="G181" s="603"/>
      <c r="H181" s="603"/>
      <c r="I181" s="603"/>
      <c r="J181" s="603"/>
      <c r="K181" s="603"/>
      <c r="L181" s="603"/>
      <c r="M181" s="603"/>
      <c r="N181" s="603"/>
      <c r="O181" s="603"/>
      <c r="P181" s="603"/>
      <c r="Q181" s="603"/>
      <c r="R181" s="603"/>
      <c r="S181" s="603"/>
      <c r="T181" s="603"/>
      <c r="U181" s="603"/>
      <c r="V181" s="603"/>
      <c r="W181" s="603"/>
      <c r="X181" s="603"/>
      <c r="Y181" s="603"/>
      <c r="Z181" s="603"/>
    </row>
    <row r="182" spans="1:26" ht="18" customHeight="1" x14ac:dyDescent="0.2">
      <c r="A182" s="603"/>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row>
    <row r="183" spans="1:26" ht="18" customHeight="1" x14ac:dyDescent="0.2">
      <c r="A183" s="603"/>
      <c r="B183" s="603"/>
      <c r="C183" s="603"/>
      <c r="D183" s="603"/>
      <c r="E183" s="603"/>
      <c r="F183" s="603"/>
      <c r="G183" s="603"/>
      <c r="H183" s="603"/>
      <c r="I183" s="603"/>
      <c r="J183" s="603"/>
      <c r="K183" s="603"/>
      <c r="L183" s="603"/>
      <c r="M183" s="603"/>
      <c r="N183" s="603"/>
      <c r="O183" s="603"/>
      <c r="P183" s="603"/>
      <c r="Q183" s="603"/>
      <c r="R183" s="603"/>
      <c r="S183" s="603"/>
      <c r="T183" s="603"/>
      <c r="U183" s="603"/>
      <c r="V183" s="603"/>
      <c r="W183" s="603"/>
      <c r="X183" s="603"/>
      <c r="Y183" s="603"/>
      <c r="Z183" s="603"/>
    </row>
    <row r="184" spans="1:26" ht="18" customHeight="1" x14ac:dyDescent="0.2">
      <c r="A184" s="603"/>
      <c r="B184" s="603"/>
      <c r="C184" s="603"/>
      <c r="D184" s="603"/>
      <c r="E184" s="603"/>
      <c r="F184" s="603"/>
      <c r="G184" s="603"/>
      <c r="H184" s="603"/>
      <c r="I184" s="603"/>
      <c r="J184" s="603"/>
      <c r="K184" s="603"/>
      <c r="L184" s="603"/>
      <c r="M184" s="603"/>
      <c r="N184" s="603"/>
      <c r="O184" s="603"/>
      <c r="P184" s="603"/>
      <c r="Q184" s="603"/>
      <c r="R184" s="603"/>
      <c r="S184" s="603"/>
      <c r="T184" s="603"/>
      <c r="U184" s="603"/>
      <c r="V184" s="603"/>
      <c r="W184" s="603"/>
      <c r="X184" s="603"/>
      <c r="Y184" s="603"/>
      <c r="Z184" s="603"/>
    </row>
    <row r="185" spans="1:26" ht="18" customHeight="1" x14ac:dyDescent="0.2">
      <c r="A185" s="603"/>
      <c r="B185" s="603"/>
      <c r="C185" s="603"/>
      <c r="D185" s="603"/>
      <c r="E185" s="603"/>
      <c r="F185" s="603"/>
      <c r="G185" s="603"/>
      <c r="H185" s="603"/>
      <c r="I185" s="603"/>
      <c r="J185" s="603"/>
      <c r="K185" s="603"/>
      <c r="L185" s="603"/>
      <c r="M185" s="603"/>
      <c r="N185" s="603"/>
      <c r="O185" s="603"/>
      <c r="P185" s="603"/>
      <c r="Q185" s="603"/>
      <c r="R185" s="603"/>
      <c r="S185" s="603"/>
      <c r="T185" s="603"/>
      <c r="U185" s="603"/>
      <c r="V185" s="603"/>
      <c r="W185" s="603"/>
      <c r="X185" s="603"/>
      <c r="Y185" s="603"/>
      <c r="Z185" s="603"/>
    </row>
    <row r="186" spans="1:26" ht="18" customHeight="1" x14ac:dyDescent="0.2">
      <c r="A186" s="603"/>
      <c r="B186" s="603"/>
      <c r="C186" s="603"/>
      <c r="D186" s="603"/>
      <c r="E186" s="603"/>
      <c r="F186" s="603"/>
      <c r="G186" s="603"/>
      <c r="H186" s="603"/>
      <c r="I186" s="603"/>
      <c r="J186" s="603"/>
      <c r="K186" s="603"/>
      <c r="L186" s="603"/>
      <c r="M186" s="603"/>
      <c r="N186" s="603"/>
      <c r="O186" s="603"/>
      <c r="P186" s="603"/>
      <c r="Q186" s="603"/>
      <c r="R186" s="603"/>
      <c r="S186" s="603"/>
      <c r="T186" s="603"/>
      <c r="U186" s="603"/>
      <c r="V186" s="603"/>
      <c r="W186" s="603"/>
      <c r="X186" s="603"/>
      <c r="Y186" s="603"/>
      <c r="Z186" s="603"/>
    </row>
    <row r="187" spans="1:26" ht="18" customHeight="1" x14ac:dyDescent="0.2">
      <c r="A187" s="603"/>
      <c r="B187" s="603"/>
      <c r="C187" s="603"/>
      <c r="D187" s="603"/>
      <c r="E187" s="603"/>
      <c r="F187" s="603"/>
      <c r="G187" s="603"/>
      <c r="H187" s="603"/>
      <c r="I187" s="603"/>
      <c r="J187" s="603"/>
      <c r="K187" s="603"/>
      <c r="L187" s="603"/>
      <c r="M187" s="603"/>
      <c r="N187" s="603"/>
      <c r="O187" s="603"/>
      <c r="P187" s="603"/>
      <c r="Q187" s="603"/>
      <c r="R187" s="603"/>
      <c r="S187" s="603"/>
      <c r="T187" s="603"/>
      <c r="U187" s="603"/>
      <c r="V187" s="603"/>
      <c r="W187" s="603"/>
      <c r="X187" s="603"/>
      <c r="Y187" s="603"/>
      <c r="Z187" s="603"/>
    </row>
    <row r="188" spans="1:26" ht="18" customHeight="1" x14ac:dyDescent="0.2">
      <c r="A188" s="603"/>
      <c r="B188" s="603"/>
      <c r="C188" s="603"/>
      <c r="D188" s="603"/>
      <c r="E188" s="603"/>
      <c r="F188" s="603"/>
      <c r="G188" s="603"/>
      <c r="H188" s="603"/>
      <c r="I188" s="603"/>
      <c r="J188" s="603"/>
      <c r="K188" s="603"/>
      <c r="L188" s="603"/>
      <c r="M188" s="603"/>
      <c r="N188" s="603"/>
      <c r="O188" s="603"/>
      <c r="P188" s="603"/>
      <c r="Q188" s="603"/>
      <c r="R188" s="603"/>
      <c r="S188" s="603"/>
      <c r="T188" s="603"/>
      <c r="U188" s="603"/>
      <c r="V188" s="603"/>
      <c r="W188" s="603"/>
      <c r="X188" s="603"/>
      <c r="Y188" s="603"/>
      <c r="Z188" s="603"/>
    </row>
    <row r="189" spans="1:26" ht="18" customHeight="1" x14ac:dyDescent="0.2">
      <c r="A189" s="603"/>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row>
    <row r="190" spans="1:26" ht="18" customHeight="1" x14ac:dyDescent="0.2">
      <c r="A190" s="603"/>
      <c r="B190" s="603"/>
      <c r="C190" s="603"/>
      <c r="D190" s="603"/>
      <c r="E190" s="603"/>
      <c r="F190" s="603"/>
      <c r="G190" s="603"/>
      <c r="H190" s="603"/>
      <c r="I190" s="603"/>
      <c r="J190" s="603"/>
      <c r="K190" s="603"/>
      <c r="L190" s="603"/>
      <c r="M190" s="603"/>
      <c r="N190" s="603"/>
      <c r="O190" s="603"/>
      <c r="P190" s="603"/>
      <c r="Q190" s="603"/>
      <c r="R190" s="603"/>
      <c r="S190" s="603"/>
      <c r="T190" s="603"/>
      <c r="U190" s="603"/>
      <c r="V190" s="603"/>
      <c r="W190" s="603"/>
      <c r="X190" s="603"/>
      <c r="Y190" s="603"/>
      <c r="Z190" s="603"/>
    </row>
    <row r="191" spans="1:26" ht="18" customHeight="1" x14ac:dyDescent="0.2">
      <c r="A191" s="603"/>
      <c r="B191" s="603"/>
      <c r="C191" s="603"/>
      <c r="D191" s="603"/>
      <c r="E191" s="603"/>
      <c r="F191" s="603"/>
      <c r="G191" s="603"/>
      <c r="H191" s="603"/>
      <c r="I191" s="603"/>
      <c r="J191" s="603"/>
      <c r="K191" s="603"/>
      <c r="L191" s="603"/>
      <c r="M191" s="603"/>
      <c r="N191" s="603"/>
      <c r="O191" s="603"/>
      <c r="P191" s="603"/>
      <c r="Q191" s="603"/>
      <c r="R191" s="603"/>
      <c r="S191" s="603"/>
      <c r="T191" s="603"/>
      <c r="U191" s="603"/>
      <c r="V191" s="603"/>
      <c r="W191" s="603"/>
      <c r="X191" s="603"/>
      <c r="Y191" s="603"/>
      <c r="Z191" s="603"/>
    </row>
    <row r="192" spans="1:26" ht="18" customHeight="1" x14ac:dyDescent="0.2">
      <c r="A192" s="603"/>
      <c r="B192" s="603"/>
      <c r="C192" s="603"/>
      <c r="D192" s="603"/>
      <c r="E192" s="603"/>
      <c r="F192" s="603"/>
      <c r="G192" s="603"/>
      <c r="H192" s="603"/>
      <c r="I192" s="603"/>
      <c r="J192" s="603"/>
      <c r="K192" s="603"/>
      <c r="L192" s="603"/>
      <c r="M192" s="603"/>
      <c r="N192" s="603"/>
      <c r="O192" s="603"/>
      <c r="P192" s="603"/>
      <c r="Q192" s="603"/>
      <c r="R192" s="603"/>
      <c r="S192" s="603"/>
      <c r="T192" s="603"/>
      <c r="U192" s="603"/>
      <c r="V192" s="603"/>
      <c r="W192" s="603"/>
      <c r="X192" s="603"/>
      <c r="Y192" s="603"/>
      <c r="Z192" s="603"/>
    </row>
    <row r="193" spans="1:26" ht="18" customHeight="1" x14ac:dyDescent="0.2">
      <c r="A193" s="603"/>
      <c r="B193" s="603"/>
      <c r="C193" s="603"/>
      <c r="D193" s="603"/>
      <c r="E193" s="603"/>
      <c r="F193" s="603"/>
      <c r="G193" s="603"/>
      <c r="H193" s="603"/>
      <c r="I193" s="603"/>
      <c r="J193" s="603"/>
      <c r="K193" s="603"/>
      <c r="L193" s="603"/>
      <c r="M193" s="603"/>
      <c r="N193" s="603"/>
      <c r="O193" s="603"/>
      <c r="P193" s="603"/>
      <c r="Q193" s="603"/>
      <c r="R193" s="603"/>
      <c r="S193" s="603"/>
      <c r="T193" s="603"/>
      <c r="U193" s="603"/>
      <c r="V193" s="603"/>
      <c r="W193" s="603"/>
      <c r="X193" s="603"/>
      <c r="Y193" s="603"/>
      <c r="Z193" s="603"/>
    </row>
    <row r="194" spans="1:26" ht="18" customHeight="1" x14ac:dyDescent="0.2">
      <c r="A194" s="603"/>
      <c r="B194" s="603"/>
      <c r="C194" s="603"/>
      <c r="D194" s="603"/>
      <c r="E194" s="603"/>
      <c r="F194" s="603"/>
      <c r="G194" s="603"/>
      <c r="H194" s="603"/>
      <c r="I194" s="603"/>
      <c r="J194" s="603"/>
      <c r="K194" s="603"/>
      <c r="L194" s="603"/>
      <c r="M194" s="603"/>
      <c r="N194" s="603"/>
      <c r="O194" s="603"/>
      <c r="P194" s="603"/>
      <c r="Q194" s="603"/>
      <c r="R194" s="603"/>
      <c r="S194" s="603"/>
      <c r="T194" s="603"/>
      <c r="U194" s="603"/>
      <c r="V194" s="603"/>
      <c r="W194" s="603"/>
      <c r="X194" s="603"/>
      <c r="Y194" s="603"/>
      <c r="Z194" s="603"/>
    </row>
    <row r="195" spans="1:26" ht="18" customHeight="1" x14ac:dyDescent="0.2">
      <c r="A195" s="603"/>
      <c r="B195" s="603"/>
      <c r="C195" s="603"/>
      <c r="D195" s="603"/>
      <c r="E195" s="603"/>
      <c r="F195" s="603"/>
      <c r="G195" s="603"/>
      <c r="H195" s="603"/>
      <c r="I195" s="603"/>
      <c r="J195" s="603"/>
      <c r="K195" s="603"/>
      <c r="L195" s="603"/>
      <c r="M195" s="603"/>
      <c r="N195" s="603"/>
      <c r="O195" s="603"/>
      <c r="P195" s="603"/>
      <c r="Q195" s="603"/>
      <c r="R195" s="603"/>
      <c r="S195" s="603"/>
      <c r="T195" s="603"/>
      <c r="U195" s="603"/>
      <c r="V195" s="603"/>
      <c r="W195" s="603"/>
      <c r="X195" s="603"/>
      <c r="Y195" s="603"/>
      <c r="Z195" s="603"/>
    </row>
    <row r="196" spans="1:26" ht="18" customHeight="1" x14ac:dyDescent="0.2">
      <c r="A196" s="603"/>
      <c r="B196" s="603"/>
      <c r="C196" s="603"/>
      <c r="D196" s="603"/>
      <c r="E196" s="603"/>
      <c r="F196" s="603"/>
      <c r="G196" s="603"/>
      <c r="H196" s="603"/>
      <c r="I196" s="603"/>
      <c r="J196" s="603"/>
      <c r="K196" s="603"/>
      <c r="L196" s="603"/>
      <c r="M196" s="603"/>
      <c r="N196" s="603"/>
      <c r="O196" s="603"/>
      <c r="P196" s="603"/>
      <c r="Q196" s="603"/>
      <c r="R196" s="603"/>
      <c r="S196" s="603"/>
      <c r="T196" s="603"/>
      <c r="U196" s="603"/>
      <c r="V196" s="603"/>
      <c r="W196" s="603"/>
      <c r="X196" s="603"/>
      <c r="Y196" s="603"/>
      <c r="Z196" s="603"/>
    </row>
    <row r="197" spans="1:26" ht="18" customHeight="1" x14ac:dyDescent="0.2">
      <c r="A197" s="603"/>
      <c r="B197" s="603"/>
      <c r="C197" s="603"/>
      <c r="D197" s="603"/>
      <c r="E197" s="603"/>
      <c r="F197" s="603"/>
      <c r="G197" s="603"/>
      <c r="H197" s="603"/>
      <c r="I197" s="603"/>
      <c r="J197" s="603"/>
      <c r="K197" s="603"/>
      <c r="L197" s="603"/>
      <c r="M197" s="603"/>
      <c r="N197" s="603"/>
      <c r="O197" s="603"/>
      <c r="P197" s="603"/>
      <c r="Q197" s="603"/>
      <c r="R197" s="603"/>
      <c r="S197" s="603"/>
      <c r="T197" s="603"/>
      <c r="U197" s="603"/>
      <c r="V197" s="603"/>
      <c r="W197" s="603"/>
      <c r="X197" s="603"/>
      <c r="Y197" s="603"/>
      <c r="Z197" s="603"/>
    </row>
    <row r="198" spans="1:26" ht="18" customHeight="1" x14ac:dyDescent="0.2">
      <c r="A198" s="603"/>
      <c r="B198" s="603"/>
      <c r="C198" s="603"/>
      <c r="D198" s="603"/>
      <c r="E198" s="603"/>
      <c r="F198" s="603"/>
      <c r="G198" s="603"/>
      <c r="H198" s="603"/>
      <c r="I198" s="603"/>
      <c r="J198" s="603"/>
      <c r="K198" s="603"/>
      <c r="L198" s="603"/>
      <c r="M198" s="603"/>
      <c r="N198" s="603"/>
      <c r="O198" s="603"/>
      <c r="P198" s="603"/>
      <c r="Q198" s="603"/>
      <c r="R198" s="603"/>
      <c r="S198" s="603"/>
      <c r="T198" s="603"/>
      <c r="U198" s="603"/>
      <c r="V198" s="603"/>
      <c r="W198" s="603"/>
      <c r="X198" s="603"/>
      <c r="Y198" s="603"/>
      <c r="Z198" s="603"/>
    </row>
    <row r="199" spans="1:26" ht="18" customHeight="1" x14ac:dyDescent="0.2">
      <c r="A199" s="603"/>
      <c r="B199" s="603"/>
      <c r="C199" s="603"/>
      <c r="D199" s="603"/>
      <c r="E199" s="603"/>
      <c r="F199" s="603"/>
      <c r="G199" s="603"/>
      <c r="H199" s="603"/>
      <c r="I199" s="603"/>
      <c r="J199" s="603"/>
      <c r="K199" s="603"/>
      <c r="L199" s="603"/>
      <c r="M199" s="603"/>
      <c r="N199" s="603"/>
      <c r="O199" s="603"/>
      <c r="P199" s="603"/>
      <c r="Q199" s="603"/>
      <c r="R199" s="603"/>
      <c r="S199" s="603"/>
      <c r="T199" s="603"/>
      <c r="U199" s="603"/>
      <c r="V199" s="603"/>
      <c r="W199" s="603"/>
      <c r="X199" s="603"/>
      <c r="Y199" s="603"/>
      <c r="Z199" s="603"/>
    </row>
    <row r="200" spans="1:26" ht="18" customHeight="1" x14ac:dyDescent="0.2">
      <c r="A200" s="603"/>
      <c r="B200" s="603"/>
      <c r="C200" s="603"/>
      <c r="D200" s="603"/>
      <c r="E200" s="603"/>
      <c r="F200" s="603"/>
      <c r="G200" s="603"/>
      <c r="H200" s="603"/>
      <c r="I200" s="603"/>
      <c r="J200" s="603"/>
      <c r="K200" s="603"/>
      <c r="L200" s="603"/>
      <c r="M200" s="603"/>
      <c r="N200" s="603"/>
      <c r="O200" s="603"/>
      <c r="P200" s="603"/>
      <c r="Q200" s="603"/>
      <c r="R200" s="603"/>
      <c r="S200" s="603"/>
      <c r="T200" s="603"/>
      <c r="U200" s="603"/>
      <c r="V200" s="603"/>
      <c r="W200" s="603"/>
      <c r="X200" s="603"/>
      <c r="Y200" s="603"/>
      <c r="Z200" s="603"/>
    </row>
    <row r="201" spans="1:26" ht="18" customHeight="1" x14ac:dyDescent="0.2">
      <c r="A201" s="603"/>
      <c r="B201" s="603"/>
      <c r="C201" s="603"/>
      <c r="D201" s="603"/>
      <c r="E201" s="603"/>
      <c r="F201" s="603"/>
      <c r="G201" s="603"/>
      <c r="H201" s="603"/>
      <c r="I201" s="603"/>
      <c r="J201" s="603"/>
      <c r="K201" s="603"/>
      <c r="L201" s="603"/>
      <c r="M201" s="603"/>
      <c r="N201" s="603"/>
      <c r="O201" s="603"/>
      <c r="P201" s="603"/>
      <c r="Q201" s="603"/>
      <c r="R201" s="603"/>
      <c r="S201" s="603"/>
      <c r="T201" s="603"/>
      <c r="U201" s="603"/>
      <c r="V201" s="603"/>
      <c r="W201" s="603"/>
      <c r="X201" s="603"/>
      <c r="Y201" s="603"/>
      <c r="Z201" s="603"/>
    </row>
    <row r="202" spans="1:26" ht="18" customHeight="1" x14ac:dyDescent="0.2">
      <c r="A202" s="603"/>
      <c r="B202" s="603"/>
      <c r="C202" s="603"/>
      <c r="D202" s="603"/>
      <c r="E202" s="603"/>
      <c r="F202" s="603"/>
      <c r="G202" s="603"/>
      <c r="H202" s="603"/>
      <c r="I202" s="603"/>
      <c r="J202" s="603"/>
      <c r="K202" s="603"/>
      <c r="L202" s="603"/>
      <c r="M202" s="603"/>
      <c r="N202" s="603"/>
      <c r="O202" s="603"/>
      <c r="P202" s="603"/>
      <c r="Q202" s="603"/>
      <c r="R202" s="603"/>
      <c r="S202" s="603"/>
      <c r="T202" s="603"/>
      <c r="U202" s="603"/>
      <c r="V202" s="603"/>
      <c r="W202" s="603"/>
      <c r="X202" s="603"/>
      <c r="Y202" s="603"/>
      <c r="Z202" s="603"/>
    </row>
    <row r="203" spans="1:26" ht="18" customHeight="1" x14ac:dyDescent="0.2">
      <c r="A203" s="603"/>
      <c r="B203" s="603"/>
      <c r="C203" s="603"/>
      <c r="D203" s="603"/>
      <c r="E203" s="603"/>
      <c r="F203" s="603"/>
      <c r="G203" s="603"/>
      <c r="H203" s="603"/>
      <c r="I203" s="603"/>
      <c r="J203" s="603"/>
      <c r="K203" s="603"/>
      <c r="L203" s="603"/>
      <c r="M203" s="603"/>
      <c r="N203" s="603"/>
      <c r="O203" s="603"/>
      <c r="P203" s="603"/>
      <c r="Q203" s="603"/>
      <c r="R203" s="603"/>
      <c r="S203" s="603"/>
      <c r="T203" s="603"/>
      <c r="U203" s="603"/>
      <c r="V203" s="603"/>
      <c r="W203" s="603"/>
      <c r="X203" s="603"/>
      <c r="Y203" s="603"/>
      <c r="Z203" s="603"/>
    </row>
    <row r="204" spans="1:26" ht="18" customHeight="1" x14ac:dyDescent="0.2">
      <c r="A204" s="603"/>
      <c r="B204" s="603"/>
      <c r="C204" s="603"/>
      <c r="D204" s="603"/>
      <c r="E204" s="603"/>
      <c r="F204" s="603"/>
      <c r="G204" s="603"/>
      <c r="H204" s="603"/>
      <c r="I204" s="603"/>
      <c r="J204" s="603"/>
      <c r="K204" s="603"/>
      <c r="L204" s="603"/>
      <c r="M204" s="603"/>
      <c r="N204" s="603"/>
      <c r="O204" s="603"/>
      <c r="P204" s="603"/>
      <c r="Q204" s="603"/>
      <c r="R204" s="603"/>
      <c r="S204" s="603"/>
      <c r="T204" s="603"/>
      <c r="U204" s="603"/>
      <c r="V204" s="603"/>
      <c r="W204" s="603"/>
      <c r="X204" s="603"/>
      <c r="Y204" s="603"/>
      <c r="Z204" s="603"/>
    </row>
    <row r="205" spans="1:26" ht="18" customHeight="1" x14ac:dyDescent="0.2">
      <c r="A205" s="603"/>
      <c r="B205" s="603"/>
      <c r="C205" s="603"/>
      <c r="D205" s="603"/>
      <c r="E205" s="603"/>
      <c r="F205" s="603"/>
      <c r="G205" s="603"/>
      <c r="H205" s="603"/>
      <c r="I205" s="603"/>
      <c r="J205" s="603"/>
      <c r="K205" s="603"/>
      <c r="L205" s="603"/>
      <c r="M205" s="603"/>
      <c r="N205" s="603"/>
      <c r="O205" s="603"/>
      <c r="P205" s="603"/>
      <c r="Q205" s="603"/>
      <c r="R205" s="603"/>
      <c r="S205" s="603"/>
      <c r="T205" s="603"/>
      <c r="U205" s="603"/>
      <c r="V205" s="603"/>
      <c r="W205" s="603"/>
      <c r="X205" s="603"/>
      <c r="Y205" s="603"/>
      <c r="Z205" s="603"/>
    </row>
    <row r="206" spans="1:26" ht="18" customHeight="1" x14ac:dyDescent="0.2">
      <c r="A206" s="603"/>
      <c r="B206" s="603"/>
      <c r="C206" s="603"/>
      <c r="D206" s="603"/>
      <c r="E206" s="603"/>
      <c r="F206" s="603"/>
      <c r="G206" s="603"/>
      <c r="H206" s="603"/>
      <c r="I206" s="603"/>
      <c r="J206" s="603"/>
      <c r="K206" s="603"/>
      <c r="L206" s="603"/>
      <c r="M206" s="603"/>
      <c r="N206" s="603"/>
      <c r="O206" s="603"/>
      <c r="P206" s="603"/>
      <c r="Q206" s="603"/>
      <c r="R206" s="603"/>
      <c r="S206" s="603"/>
      <c r="T206" s="603"/>
      <c r="U206" s="603"/>
      <c r="V206" s="603"/>
      <c r="W206" s="603"/>
      <c r="X206" s="603"/>
      <c r="Y206" s="603"/>
      <c r="Z206" s="603"/>
    </row>
    <row r="207" spans="1:26" ht="18" customHeight="1" x14ac:dyDescent="0.2">
      <c r="A207" s="603"/>
      <c r="B207" s="603"/>
      <c r="C207" s="603"/>
      <c r="D207" s="603"/>
      <c r="E207" s="603"/>
      <c r="F207" s="603"/>
      <c r="G207" s="603"/>
      <c r="H207" s="603"/>
      <c r="I207" s="603"/>
      <c r="J207" s="603"/>
      <c r="K207" s="603"/>
      <c r="L207" s="603"/>
      <c r="M207" s="603"/>
      <c r="N207" s="603"/>
      <c r="O207" s="603"/>
      <c r="P207" s="603"/>
      <c r="Q207" s="603"/>
      <c r="R207" s="603"/>
      <c r="S207" s="603"/>
      <c r="T207" s="603"/>
      <c r="U207" s="603"/>
      <c r="V207" s="603"/>
      <c r="W207" s="603"/>
      <c r="X207" s="603"/>
      <c r="Y207" s="603"/>
      <c r="Z207" s="603"/>
    </row>
    <row r="208" spans="1:26" ht="18" customHeight="1" x14ac:dyDescent="0.2">
      <c r="A208" s="603"/>
      <c r="B208" s="603"/>
      <c r="C208" s="603"/>
      <c r="D208" s="603"/>
      <c r="E208" s="603"/>
      <c r="F208" s="603"/>
      <c r="G208" s="603"/>
      <c r="H208" s="603"/>
      <c r="I208" s="603"/>
      <c r="J208" s="603"/>
      <c r="K208" s="603"/>
      <c r="L208" s="603"/>
      <c r="M208" s="603"/>
      <c r="N208" s="603"/>
      <c r="O208" s="603"/>
      <c r="P208" s="603"/>
      <c r="Q208" s="603"/>
      <c r="R208" s="603"/>
      <c r="S208" s="603"/>
      <c r="T208" s="603"/>
      <c r="U208" s="603"/>
      <c r="V208" s="603"/>
      <c r="W208" s="603"/>
      <c r="X208" s="603"/>
      <c r="Y208" s="603"/>
      <c r="Z208" s="603"/>
    </row>
    <row r="209" spans="1:26" ht="18" customHeight="1" x14ac:dyDescent="0.2">
      <c r="A209" s="603"/>
      <c r="B209" s="603"/>
      <c r="C209" s="603"/>
      <c r="D209" s="603"/>
      <c r="E209" s="603"/>
      <c r="F209" s="603"/>
      <c r="G209" s="603"/>
      <c r="H209" s="603"/>
      <c r="I209" s="603"/>
      <c r="J209" s="603"/>
      <c r="K209" s="603"/>
      <c r="L209" s="603"/>
      <c r="M209" s="603"/>
      <c r="N209" s="603"/>
      <c r="O209" s="603"/>
      <c r="P209" s="603"/>
      <c r="Q209" s="603"/>
      <c r="R209" s="603"/>
      <c r="S209" s="603"/>
      <c r="T209" s="603"/>
      <c r="U209" s="603"/>
      <c r="V209" s="603"/>
      <c r="W209" s="603"/>
      <c r="X209" s="603"/>
      <c r="Y209" s="603"/>
      <c r="Z209" s="603"/>
    </row>
    <row r="210" spans="1:26" ht="18" customHeight="1" x14ac:dyDescent="0.2">
      <c r="A210" s="603"/>
      <c r="B210" s="603"/>
      <c r="C210" s="603"/>
      <c r="D210" s="603"/>
      <c r="E210" s="603"/>
      <c r="F210" s="603"/>
      <c r="G210" s="603"/>
      <c r="H210" s="603"/>
      <c r="I210" s="603"/>
      <c r="J210" s="603"/>
      <c r="K210" s="603"/>
      <c r="L210" s="603"/>
      <c r="M210" s="603"/>
      <c r="N210" s="603"/>
      <c r="O210" s="603"/>
      <c r="P210" s="603"/>
      <c r="Q210" s="603"/>
      <c r="R210" s="603"/>
      <c r="S210" s="603"/>
      <c r="T210" s="603"/>
      <c r="U210" s="603"/>
      <c r="V210" s="603"/>
      <c r="W210" s="603"/>
      <c r="X210" s="603"/>
      <c r="Y210" s="603"/>
      <c r="Z210" s="603"/>
    </row>
    <row r="211" spans="1:26" ht="18" customHeight="1" x14ac:dyDescent="0.2">
      <c r="A211" s="603"/>
      <c r="B211" s="603"/>
      <c r="C211" s="603"/>
      <c r="D211" s="603"/>
      <c r="E211" s="603"/>
      <c r="F211" s="603"/>
      <c r="G211" s="603"/>
      <c r="H211" s="603"/>
      <c r="I211" s="603"/>
      <c r="J211" s="603"/>
      <c r="K211" s="603"/>
      <c r="L211" s="603"/>
      <c r="M211" s="603"/>
      <c r="N211" s="603"/>
      <c r="O211" s="603"/>
      <c r="P211" s="603"/>
      <c r="Q211" s="603"/>
      <c r="R211" s="603"/>
      <c r="S211" s="603"/>
      <c r="T211" s="603"/>
      <c r="U211" s="603"/>
      <c r="V211" s="603"/>
      <c r="W211" s="603"/>
      <c r="X211" s="603"/>
      <c r="Y211" s="603"/>
      <c r="Z211" s="603"/>
    </row>
    <row r="212" spans="1:26" ht="18" customHeight="1" x14ac:dyDescent="0.2">
      <c r="A212" s="603"/>
      <c r="B212" s="603"/>
      <c r="C212" s="603"/>
      <c r="D212" s="603"/>
      <c r="E212" s="603"/>
      <c r="F212" s="603"/>
      <c r="G212" s="603"/>
      <c r="H212" s="603"/>
      <c r="I212" s="603"/>
      <c r="J212" s="603"/>
      <c r="K212" s="603"/>
      <c r="L212" s="603"/>
      <c r="M212" s="603"/>
      <c r="N212" s="603"/>
      <c r="O212" s="603"/>
      <c r="P212" s="603"/>
      <c r="Q212" s="603"/>
      <c r="R212" s="603"/>
      <c r="S212" s="603"/>
      <c r="T212" s="603"/>
      <c r="U212" s="603"/>
      <c r="V212" s="603"/>
      <c r="W212" s="603"/>
      <c r="X212" s="603"/>
      <c r="Y212" s="603"/>
      <c r="Z212" s="603"/>
    </row>
    <row r="213" spans="1:26" ht="18" customHeight="1" x14ac:dyDescent="0.2">
      <c r="A213" s="603"/>
      <c r="B213" s="603"/>
      <c r="C213" s="603"/>
      <c r="D213" s="603"/>
      <c r="E213" s="603"/>
      <c r="F213" s="603"/>
      <c r="G213" s="603"/>
      <c r="H213" s="603"/>
      <c r="I213" s="603"/>
      <c r="J213" s="603"/>
      <c r="K213" s="603"/>
      <c r="L213" s="603"/>
      <c r="M213" s="603"/>
      <c r="N213" s="603"/>
      <c r="O213" s="603"/>
      <c r="P213" s="603"/>
      <c r="Q213" s="603"/>
      <c r="R213" s="603"/>
      <c r="S213" s="603"/>
      <c r="T213" s="603"/>
      <c r="U213" s="603"/>
      <c r="V213" s="603"/>
      <c r="W213" s="603"/>
      <c r="X213" s="603"/>
      <c r="Y213" s="603"/>
      <c r="Z213" s="603"/>
    </row>
    <row r="214" spans="1:26" ht="18" customHeight="1" x14ac:dyDescent="0.2">
      <c r="A214" s="603"/>
      <c r="B214" s="603"/>
      <c r="C214" s="603"/>
      <c r="D214" s="603"/>
      <c r="E214" s="603"/>
      <c r="F214" s="603"/>
      <c r="G214" s="603"/>
      <c r="H214" s="603"/>
      <c r="I214" s="603"/>
      <c r="J214" s="603"/>
      <c r="K214" s="603"/>
      <c r="L214" s="603"/>
      <c r="M214" s="603"/>
      <c r="N214" s="603"/>
      <c r="O214" s="603"/>
      <c r="P214" s="603"/>
      <c r="Q214" s="603"/>
      <c r="R214" s="603"/>
      <c r="S214" s="603"/>
      <c r="T214" s="603"/>
      <c r="U214" s="603"/>
      <c r="V214" s="603"/>
      <c r="W214" s="603"/>
      <c r="X214" s="603"/>
      <c r="Y214" s="603"/>
      <c r="Z214" s="603"/>
    </row>
    <row r="215" spans="1:26" ht="18" customHeight="1" x14ac:dyDescent="0.2">
      <c r="A215" s="603"/>
      <c r="B215" s="603"/>
      <c r="C215" s="603"/>
      <c r="D215" s="603"/>
      <c r="E215" s="603"/>
      <c r="F215" s="603"/>
      <c r="G215" s="603"/>
      <c r="H215" s="603"/>
      <c r="I215" s="603"/>
      <c r="J215" s="603"/>
      <c r="K215" s="603"/>
      <c r="L215" s="603"/>
      <c r="M215" s="603"/>
      <c r="N215" s="603"/>
      <c r="O215" s="603"/>
      <c r="P215" s="603"/>
      <c r="Q215" s="603"/>
      <c r="R215" s="603"/>
      <c r="S215" s="603"/>
      <c r="T215" s="603"/>
      <c r="U215" s="603"/>
      <c r="V215" s="603"/>
      <c r="W215" s="603"/>
      <c r="X215" s="603"/>
      <c r="Y215" s="603"/>
      <c r="Z215" s="603"/>
    </row>
    <row r="216" spans="1:26" ht="18" customHeight="1" x14ac:dyDescent="0.2">
      <c r="A216" s="603"/>
      <c r="B216" s="603"/>
      <c r="C216" s="603"/>
      <c r="D216" s="603"/>
      <c r="E216" s="603"/>
      <c r="F216" s="603"/>
      <c r="G216" s="603"/>
      <c r="H216" s="603"/>
      <c r="I216" s="603"/>
      <c r="J216" s="603"/>
      <c r="K216" s="603"/>
      <c r="L216" s="603"/>
      <c r="M216" s="603"/>
      <c r="N216" s="603"/>
      <c r="O216" s="603"/>
      <c r="P216" s="603"/>
      <c r="Q216" s="603"/>
      <c r="R216" s="603"/>
      <c r="S216" s="603"/>
      <c r="T216" s="603"/>
      <c r="U216" s="603"/>
      <c r="V216" s="603"/>
      <c r="W216" s="603"/>
      <c r="X216" s="603"/>
      <c r="Y216" s="603"/>
      <c r="Z216" s="603"/>
    </row>
    <row r="217" spans="1:26" ht="18" customHeight="1" x14ac:dyDescent="0.2">
      <c r="A217" s="603"/>
      <c r="B217" s="603"/>
      <c r="C217" s="603"/>
      <c r="D217" s="603"/>
      <c r="E217" s="603"/>
      <c r="F217" s="603"/>
      <c r="G217" s="603"/>
      <c r="H217" s="603"/>
      <c r="I217" s="603"/>
      <c r="J217" s="603"/>
      <c r="K217" s="603"/>
      <c r="L217" s="603"/>
      <c r="M217" s="603"/>
      <c r="N217" s="603"/>
      <c r="O217" s="603"/>
      <c r="P217" s="603"/>
      <c r="Q217" s="603"/>
      <c r="R217" s="603"/>
      <c r="S217" s="603"/>
      <c r="T217" s="603"/>
      <c r="U217" s="603"/>
      <c r="V217" s="603"/>
      <c r="W217" s="603"/>
      <c r="X217" s="603"/>
      <c r="Y217" s="603"/>
      <c r="Z217" s="603"/>
    </row>
    <row r="218" spans="1:26" ht="18" customHeight="1" x14ac:dyDescent="0.2">
      <c r="A218" s="603"/>
      <c r="B218" s="603"/>
      <c r="C218" s="603"/>
      <c r="D218" s="603"/>
      <c r="E218" s="603"/>
      <c r="F218" s="603"/>
      <c r="G218" s="603"/>
      <c r="H218" s="603"/>
      <c r="I218" s="603"/>
      <c r="J218" s="603"/>
      <c r="K218" s="603"/>
      <c r="L218" s="603"/>
      <c r="M218" s="603"/>
      <c r="N218" s="603"/>
      <c r="O218" s="603"/>
      <c r="P218" s="603"/>
      <c r="Q218" s="603"/>
      <c r="R218" s="603"/>
      <c r="S218" s="603"/>
      <c r="T218" s="603"/>
      <c r="U218" s="603"/>
      <c r="V218" s="603"/>
      <c r="W218" s="603"/>
      <c r="X218" s="603"/>
      <c r="Y218" s="603"/>
      <c r="Z218" s="603"/>
    </row>
    <row r="219" spans="1:26" ht="18" customHeight="1" x14ac:dyDescent="0.2">
      <c r="A219" s="603"/>
      <c r="B219" s="603"/>
      <c r="C219" s="603"/>
      <c r="D219" s="603"/>
      <c r="E219" s="603"/>
      <c r="F219" s="603"/>
      <c r="G219" s="603"/>
      <c r="H219" s="603"/>
      <c r="I219" s="603"/>
      <c r="J219" s="603"/>
      <c r="K219" s="603"/>
      <c r="L219" s="603"/>
      <c r="M219" s="603"/>
      <c r="N219" s="603"/>
      <c r="O219" s="603"/>
      <c r="P219" s="603"/>
      <c r="Q219" s="603"/>
      <c r="R219" s="603"/>
      <c r="S219" s="603"/>
      <c r="T219" s="603"/>
      <c r="U219" s="603"/>
      <c r="V219" s="603"/>
      <c r="W219" s="603"/>
      <c r="X219" s="603"/>
      <c r="Y219" s="603"/>
      <c r="Z219" s="603"/>
    </row>
    <row r="220" spans="1:26" ht="18" customHeight="1" x14ac:dyDescent="0.2">
      <c r="A220" s="603"/>
      <c r="B220" s="603"/>
      <c r="C220" s="603"/>
      <c r="D220" s="603"/>
      <c r="E220" s="603"/>
      <c r="F220" s="603"/>
      <c r="G220" s="603"/>
      <c r="H220" s="603"/>
      <c r="I220" s="603"/>
      <c r="J220" s="603"/>
      <c r="K220" s="603"/>
      <c r="L220" s="603"/>
      <c r="M220" s="603"/>
      <c r="N220" s="603"/>
      <c r="O220" s="603"/>
      <c r="P220" s="603"/>
      <c r="Q220" s="603"/>
      <c r="R220" s="603"/>
      <c r="S220" s="603"/>
      <c r="T220" s="603"/>
      <c r="U220" s="603"/>
      <c r="V220" s="603"/>
      <c r="W220" s="603"/>
      <c r="X220" s="603"/>
      <c r="Y220" s="603"/>
      <c r="Z220" s="603"/>
    </row>
    <row r="221" spans="1:26" ht="18" customHeight="1" x14ac:dyDescent="0.2">
      <c r="A221" s="603"/>
      <c r="B221" s="603"/>
      <c r="C221" s="603"/>
      <c r="D221" s="603"/>
      <c r="E221" s="603"/>
      <c r="F221" s="603"/>
      <c r="G221" s="603"/>
      <c r="H221" s="603"/>
      <c r="I221" s="603"/>
      <c r="J221" s="603"/>
      <c r="K221" s="603"/>
      <c r="L221" s="603"/>
      <c r="M221" s="603"/>
      <c r="N221" s="603"/>
      <c r="O221" s="603"/>
      <c r="P221" s="603"/>
      <c r="Q221" s="603"/>
      <c r="R221" s="603"/>
      <c r="S221" s="603"/>
      <c r="T221" s="603"/>
      <c r="U221" s="603"/>
      <c r="V221" s="603"/>
      <c r="W221" s="603"/>
      <c r="X221" s="603"/>
      <c r="Y221" s="603"/>
      <c r="Z221" s="603"/>
    </row>
    <row r="222" spans="1:26" ht="18" customHeight="1" x14ac:dyDescent="0.2">
      <c r="A222" s="603"/>
      <c r="B222" s="603"/>
      <c r="C222" s="603"/>
      <c r="D222" s="603"/>
      <c r="E222" s="603"/>
      <c r="F222" s="603"/>
      <c r="G222" s="603"/>
      <c r="H222" s="603"/>
      <c r="I222" s="603"/>
      <c r="J222" s="603"/>
      <c r="K222" s="603"/>
      <c r="L222" s="603"/>
      <c r="M222" s="603"/>
      <c r="N222" s="603"/>
      <c r="O222" s="603"/>
      <c r="P222" s="603"/>
      <c r="Q222" s="603"/>
      <c r="R222" s="603"/>
      <c r="S222" s="603"/>
      <c r="T222" s="603"/>
      <c r="U222" s="603"/>
      <c r="V222" s="603"/>
      <c r="W222" s="603"/>
      <c r="X222" s="603"/>
      <c r="Y222" s="603"/>
      <c r="Z222" s="603"/>
    </row>
    <row r="223" spans="1:26" ht="18" customHeight="1" x14ac:dyDescent="0.2">
      <c r="A223" s="603"/>
      <c r="B223" s="603"/>
      <c r="C223" s="603"/>
      <c r="D223" s="603"/>
      <c r="E223" s="603"/>
      <c r="F223" s="603"/>
      <c r="G223" s="603"/>
      <c r="H223" s="603"/>
      <c r="I223" s="603"/>
      <c r="J223" s="603"/>
      <c r="K223" s="603"/>
      <c r="L223" s="603"/>
      <c r="M223" s="603"/>
      <c r="N223" s="603"/>
      <c r="O223" s="603"/>
      <c r="P223" s="603"/>
      <c r="Q223" s="603"/>
      <c r="R223" s="603"/>
      <c r="S223" s="603"/>
      <c r="T223" s="603"/>
      <c r="U223" s="603"/>
      <c r="V223" s="603"/>
      <c r="W223" s="603"/>
      <c r="X223" s="603"/>
      <c r="Y223" s="603"/>
      <c r="Z223" s="603"/>
    </row>
    <row r="224" spans="1:26" ht="18" customHeight="1" x14ac:dyDescent="0.2">
      <c r="A224" s="603"/>
      <c r="B224" s="603"/>
      <c r="C224" s="603"/>
      <c r="D224" s="603"/>
      <c r="E224" s="603"/>
      <c r="F224" s="603"/>
      <c r="G224" s="603"/>
      <c r="H224" s="603"/>
      <c r="I224" s="603"/>
      <c r="J224" s="603"/>
      <c r="K224" s="603"/>
      <c r="L224" s="603"/>
      <c r="M224" s="603"/>
      <c r="N224" s="603"/>
      <c r="O224" s="603"/>
      <c r="P224" s="603"/>
      <c r="Q224" s="603"/>
      <c r="R224" s="603"/>
      <c r="S224" s="603"/>
      <c r="T224" s="603"/>
      <c r="U224" s="603"/>
      <c r="V224" s="603"/>
      <c r="W224" s="603"/>
      <c r="X224" s="603"/>
      <c r="Y224" s="603"/>
      <c r="Z224" s="603"/>
    </row>
    <row r="225" spans="1:26" ht="18" customHeight="1" x14ac:dyDescent="0.2">
      <c r="A225" s="603"/>
      <c r="B225" s="603"/>
      <c r="C225" s="603"/>
      <c r="D225" s="603"/>
      <c r="E225" s="603"/>
      <c r="F225" s="603"/>
      <c r="G225" s="603"/>
      <c r="H225" s="603"/>
      <c r="I225" s="603"/>
      <c r="J225" s="603"/>
      <c r="K225" s="603"/>
      <c r="L225" s="603"/>
      <c r="M225" s="603"/>
      <c r="N225" s="603"/>
      <c r="O225" s="603"/>
      <c r="P225" s="603"/>
      <c r="Q225" s="603"/>
      <c r="R225" s="603"/>
      <c r="S225" s="603"/>
      <c r="T225" s="603"/>
      <c r="U225" s="603"/>
      <c r="V225" s="603"/>
      <c r="W225" s="603"/>
      <c r="X225" s="603"/>
      <c r="Y225" s="603"/>
      <c r="Z225" s="603"/>
    </row>
    <row r="226" spans="1:26" ht="18" customHeight="1" x14ac:dyDescent="0.2">
      <c r="A226" s="603"/>
      <c r="B226" s="603"/>
      <c r="C226" s="603"/>
      <c r="D226" s="603"/>
      <c r="E226" s="603"/>
      <c r="F226" s="603"/>
      <c r="G226" s="603"/>
      <c r="H226" s="603"/>
      <c r="I226" s="603"/>
      <c r="J226" s="603"/>
      <c r="K226" s="603"/>
      <c r="L226" s="603"/>
      <c r="M226" s="603"/>
      <c r="N226" s="603"/>
      <c r="O226" s="603"/>
      <c r="P226" s="603"/>
      <c r="Q226" s="603"/>
      <c r="R226" s="603"/>
      <c r="S226" s="603"/>
      <c r="T226" s="603"/>
      <c r="U226" s="603"/>
      <c r="V226" s="603"/>
      <c r="W226" s="603"/>
      <c r="X226" s="603"/>
      <c r="Y226" s="603"/>
      <c r="Z226" s="603"/>
    </row>
    <row r="227" spans="1:26" ht="18" customHeight="1" x14ac:dyDescent="0.2">
      <c r="A227" s="603"/>
      <c r="B227" s="603"/>
      <c r="C227" s="603"/>
      <c r="D227" s="603"/>
      <c r="E227" s="603"/>
      <c r="F227" s="603"/>
      <c r="G227" s="603"/>
      <c r="H227" s="603"/>
      <c r="I227" s="603"/>
      <c r="J227" s="603"/>
      <c r="K227" s="603"/>
      <c r="L227" s="603"/>
      <c r="M227" s="603"/>
      <c r="N227" s="603"/>
      <c r="O227" s="603"/>
      <c r="P227" s="603"/>
      <c r="Q227" s="603"/>
      <c r="R227" s="603"/>
      <c r="S227" s="603"/>
      <c r="T227" s="603"/>
      <c r="U227" s="603"/>
      <c r="V227" s="603"/>
      <c r="W227" s="603"/>
      <c r="X227" s="603"/>
      <c r="Y227" s="603"/>
      <c r="Z227" s="603"/>
    </row>
    <row r="228" spans="1:26" ht="18" customHeight="1" x14ac:dyDescent="0.2">
      <c r="A228" s="603"/>
      <c r="B228" s="603"/>
      <c r="C228" s="603"/>
      <c r="D228" s="603"/>
      <c r="E228" s="603"/>
      <c r="F228" s="603"/>
      <c r="G228" s="603"/>
      <c r="H228" s="603"/>
      <c r="I228" s="603"/>
      <c r="J228" s="603"/>
      <c r="K228" s="603"/>
      <c r="L228" s="603"/>
      <c r="M228" s="603"/>
      <c r="N228" s="603"/>
      <c r="O228" s="603"/>
      <c r="P228" s="603"/>
      <c r="Q228" s="603"/>
      <c r="R228" s="603"/>
      <c r="S228" s="603"/>
      <c r="T228" s="603"/>
      <c r="U228" s="603"/>
      <c r="V228" s="603"/>
      <c r="W228" s="603"/>
      <c r="X228" s="603"/>
      <c r="Y228" s="603"/>
      <c r="Z228" s="603"/>
    </row>
    <row r="229" spans="1:26" ht="18" customHeight="1" x14ac:dyDescent="0.2">
      <c r="A229" s="603"/>
      <c r="B229" s="603"/>
      <c r="C229" s="603"/>
      <c r="D229" s="603"/>
      <c r="E229" s="603"/>
      <c r="F229" s="603"/>
      <c r="G229" s="603"/>
      <c r="H229" s="603"/>
      <c r="I229" s="603"/>
      <c r="J229" s="603"/>
      <c r="K229" s="603"/>
      <c r="L229" s="603"/>
      <c r="M229" s="603"/>
      <c r="N229" s="603"/>
      <c r="O229" s="603"/>
      <c r="P229" s="603"/>
      <c r="Q229" s="603"/>
      <c r="R229" s="603"/>
      <c r="S229" s="603"/>
      <c r="T229" s="603"/>
      <c r="U229" s="603"/>
      <c r="V229" s="603"/>
      <c r="W229" s="603"/>
      <c r="X229" s="603"/>
      <c r="Y229" s="603"/>
      <c r="Z229" s="603"/>
    </row>
    <row r="230" spans="1:26" ht="18" customHeight="1" x14ac:dyDescent="0.2">
      <c r="A230" s="603"/>
      <c r="B230" s="603"/>
      <c r="C230" s="603"/>
      <c r="D230" s="603"/>
      <c r="E230" s="603"/>
      <c r="F230" s="603"/>
      <c r="G230" s="603"/>
      <c r="H230" s="603"/>
      <c r="I230" s="603"/>
      <c r="J230" s="603"/>
      <c r="K230" s="603"/>
      <c r="L230" s="603"/>
      <c r="M230" s="603"/>
      <c r="N230" s="603"/>
      <c r="O230" s="603"/>
      <c r="P230" s="603"/>
      <c r="Q230" s="603"/>
      <c r="R230" s="603"/>
      <c r="S230" s="603"/>
      <c r="T230" s="603"/>
      <c r="U230" s="603"/>
      <c r="V230" s="603"/>
      <c r="W230" s="603"/>
      <c r="X230" s="603"/>
      <c r="Y230" s="603"/>
      <c r="Z230" s="603"/>
    </row>
    <row r="231" spans="1:26" ht="18" customHeight="1" x14ac:dyDescent="0.2">
      <c r="A231" s="603"/>
      <c r="B231" s="603"/>
      <c r="C231" s="603"/>
      <c r="D231" s="603"/>
      <c r="E231" s="603"/>
      <c r="F231" s="603"/>
      <c r="G231" s="603"/>
      <c r="H231" s="603"/>
      <c r="I231" s="603"/>
      <c r="J231" s="603"/>
      <c r="K231" s="603"/>
      <c r="L231" s="603"/>
      <c r="M231" s="603"/>
      <c r="N231" s="603"/>
      <c r="O231" s="603"/>
      <c r="P231" s="603"/>
      <c r="Q231" s="603"/>
      <c r="R231" s="603"/>
      <c r="S231" s="603"/>
      <c r="T231" s="603"/>
      <c r="U231" s="603"/>
      <c r="V231" s="603"/>
      <c r="W231" s="603"/>
      <c r="X231" s="603"/>
      <c r="Y231" s="603"/>
      <c r="Z231" s="603"/>
    </row>
    <row r="232" spans="1:26" ht="18" customHeight="1" x14ac:dyDescent="0.2">
      <c r="A232" s="603"/>
      <c r="B232" s="603"/>
      <c r="C232" s="603"/>
      <c r="D232" s="603"/>
      <c r="E232" s="603"/>
      <c r="F232" s="603"/>
      <c r="G232" s="603"/>
      <c r="H232" s="603"/>
      <c r="I232" s="603"/>
      <c r="J232" s="603"/>
      <c r="K232" s="603"/>
      <c r="L232" s="603"/>
      <c r="M232" s="603"/>
      <c r="N232" s="603"/>
      <c r="O232" s="603"/>
      <c r="P232" s="603"/>
      <c r="Q232" s="603"/>
      <c r="R232" s="603"/>
      <c r="S232" s="603"/>
      <c r="T232" s="603"/>
      <c r="U232" s="603"/>
      <c r="V232" s="603"/>
      <c r="W232" s="603"/>
      <c r="X232" s="603"/>
      <c r="Y232" s="603"/>
      <c r="Z232" s="603"/>
    </row>
    <row r="233" spans="1:26" ht="18" customHeight="1" x14ac:dyDescent="0.2">
      <c r="A233" s="603"/>
      <c r="B233" s="603"/>
      <c r="C233" s="603"/>
      <c r="D233" s="603"/>
      <c r="E233" s="603"/>
      <c r="F233" s="603"/>
      <c r="G233" s="603"/>
      <c r="H233" s="603"/>
      <c r="I233" s="603"/>
      <c r="J233" s="603"/>
      <c r="K233" s="603"/>
      <c r="L233" s="603"/>
      <c r="M233" s="603"/>
      <c r="N233" s="603"/>
      <c r="O233" s="603"/>
      <c r="P233" s="603"/>
      <c r="Q233" s="603"/>
      <c r="R233" s="603"/>
      <c r="S233" s="603"/>
      <c r="T233" s="603"/>
      <c r="U233" s="603"/>
      <c r="V233" s="603"/>
      <c r="W233" s="603"/>
      <c r="X233" s="603"/>
      <c r="Y233" s="603"/>
      <c r="Z233" s="603"/>
    </row>
    <row r="234" spans="1:26" ht="18" customHeight="1" x14ac:dyDescent="0.2">
      <c r="A234" s="603"/>
      <c r="B234" s="603"/>
      <c r="C234" s="603"/>
      <c r="D234" s="603"/>
      <c r="E234" s="603"/>
      <c r="F234" s="603"/>
      <c r="G234" s="603"/>
      <c r="H234" s="603"/>
      <c r="I234" s="603"/>
      <c r="J234" s="603"/>
      <c r="K234" s="603"/>
      <c r="L234" s="603"/>
      <c r="M234" s="603"/>
      <c r="N234" s="603"/>
      <c r="O234" s="603"/>
      <c r="P234" s="603"/>
      <c r="Q234" s="603"/>
      <c r="R234" s="603"/>
      <c r="S234" s="603"/>
      <c r="T234" s="603"/>
      <c r="U234" s="603"/>
      <c r="V234" s="603"/>
      <c r="W234" s="603"/>
      <c r="X234" s="603"/>
      <c r="Y234" s="603"/>
      <c r="Z234" s="603"/>
    </row>
    <row r="235" spans="1:26" ht="18" customHeight="1" x14ac:dyDescent="0.2">
      <c r="A235" s="603"/>
      <c r="B235" s="603"/>
      <c r="C235" s="603"/>
      <c r="D235" s="603"/>
      <c r="E235" s="603"/>
      <c r="F235" s="603"/>
      <c r="G235" s="603"/>
      <c r="H235" s="603"/>
      <c r="I235" s="603"/>
      <c r="J235" s="603"/>
      <c r="K235" s="603"/>
      <c r="L235" s="603"/>
      <c r="M235" s="603"/>
      <c r="N235" s="603"/>
      <c r="O235" s="603"/>
      <c r="P235" s="603"/>
      <c r="Q235" s="603"/>
      <c r="R235" s="603"/>
      <c r="S235" s="603"/>
      <c r="T235" s="603"/>
      <c r="U235" s="603"/>
      <c r="V235" s="603"/>
      <c r="W235" s="603"/>
      <c r="X235" s="603"/>
      <c r="Y235" s="603"/>
      <c r="Z235" s="603"/>
    </row>
    <row r="236" spans="1:26" ht="18" customHeight="1" x14ac:dyDescent="0.2">
      <c r="A236" s="603"/>
      <c r="B236" s="603"/>
      <c r="C236" s="603"/>
      <c r="D236" s="603"/>
      <c r="E236" s="603"/>
      <c r="F236" s="603"/>
      <c r="G236" s="603"/>
      <c r="H236" s="603"/>
      <c r="I236" s="603"/>
      <c r="J236" s="603"/>
      <c r="K236" s="603"/>
      <c r="L236" s="603"/>
      <c r="M236" s="603"/>
      <c r="N236" s="603"/>
      <c r="O236" s="603"/>
      <c r="P236" s="603"/>
      <c r="Q236" s="603"/>
      <c r="R236" s="603"/>
      <c r="S236" s="603"/>
      <c r="T236" s="603"/>
      <c r="U236" s="603"/>
      <c r="V236" s="603"/>
      <c r="W236" s="603"/>
      <c r="X236" s="603"/>
      <c r="Y236" s="603"/>
      <c r="Z236" s="603"/>
    </row>
    <row r="237" spans="1:26" ht="18" customHeight="1" x14ac:dyDescent="0.2">
      <c r="A237" s="603"/>
      <c r="B237" s="603"/>
      <c r="C237" s="603"/>
      <c r="D237" s="603"/>
      <c r="E237" s="603"/>
      <c r="F237" s="603"/>
      <c r="G237" s="603"/>
      <c r="H237" s="603"/>
      <c r="I237" s="603"/>
      <c r="J237" s="603"/>
      <c r="K237" s="603"/>
      <c r="L237" s="603"/>
      <c r="M237" s="603"/>
      <c r="N237" s="603"/>
      <c r="O237" s="603"/>
      <c r="P237" s="603"/>
      <c r="Q237" s="603"/>
      <c r="R237" s="603"/>
      <c r="S237" s="603"/>
      <c r="T237" s="603"/>
      <c r="U237" s="603"/>
      <c r="V237" s="603"/>
      <c r="W237" s="603"/>
      <c r="X237" s="603"/>
      <c r="Y237" s="603"/>
      <c r="Z237" s="603"/>
    </row>
    <row r="238" spans="1:26" ht="18" customHeight="1" x14ac:dyDescent="0.2">
      <c r="A238" s="603"/>
      <c r="B238" s="603"/>
      <c r="C238" s="603"/>
      <c r="D238" s="603"/>
      <c r="E238" s="603"/>
      <c r="F238" s="603"/>
      <c r="G238" s="603"/>
      <c r="H238" s="603"/>
      <c r="I238" s="603"/>
      <c r="J238" s="603"/>
      <c r="K238" s="603"/>
      <c r="L238" s="603"/>
      <c r="M238" s="603"/>
      <c r="N238" s="603"/>
      <c r="O238" s="603"/>
      <c r="P238" s="603"/>
      <c r="Q238" s="603"/>
      <c r="R238" s="603"/>
      <c r="S238" s="603"/>
      <c r="T238" s="603"/>
      <c r="U238" s="603"/>
      <c r="V238" s="603"/>
      <c r="W238" s="603"/>
      <c r="X238" s="603"/>
      <c r="Y238" s="603"/>
      <c r="Z238" s="603"/>
    </row>
    <row r="239" spans="1:26" ht="18" customHeight="1" x14ac:dyDescent="0.2">
      <c r="A239" s="603"/>
      <c r="B239" s="603"/>
      <c r="C239" s="603"/>
      <c r="D239" s="603"/>
      <c r="E239" s="603"/>
      <c r="F239" s="603"/>
      <c r="G239" s="603"/>
      <c r="H239" s="603"/>
      <c r="I239" s="603"/>
      <c r="J239" s="603"/>
      <c r="K239" s="603"/>
      <c r="L239" s="603"/>
      <c r="M239" s="603"/>
      <c r="N239" s="603"/>
      <c r="O239" s="603"/>
      <c r="P239" s="603"/>
      <c r="Q239" s="603"/>
      <c r="R239" s="603"/>
      <c r="S239" s="603"/>
      <c r="T239" s="603"/>
      <c r="U239" s="603"/>
      <c r="V239" s="603"/>
      <c r="W239" s="603"/>
      <c r="X239" s="603"/>
      <c r="Y239" s="603"/>
      <c r="Z239" s="603"/>
    </row>
    <row r="240" spans="1:26" ht="18" customHeight="1" x14ac:dyDescent="0.2">
      <c r="A240" s="603"/>
      <c r="B240" s="603"/>
      <c r="C240" s="603"/>
      <c r="D240" s="603"/>
      <c r="E240" s="603"/>
      <c r="F240" s="603"/>
      <c r="G240" s="603"/>
      <c r="H240" s="603"/>
      <c r="I240" s="603"/>
      <c r="J240" s="603"/>
      <c r="K240" s="603"/>
      <c r="L240" s="603"/>
      <c r="M240" s="603"/>
      <c r="N240" s="603"/>
      <c r="O240" s="603"/>
      <c r="P240" s="603"/>
      <c r="Q240" s="603"/>
      <c r="R240" s="603"/>
      <c r="S240" s="603"/>
      <c r="T240" s="603"/>
      <c r="U240" s="603"/>
      <c r="V240" s="603"/>
      <c r="W240" s="603"/>
      <c r="X240" s="603"/>
      <c r="Y240" s="603"/>
      <c r="Z240" s="603"/>
    </row>
    <row r="241" spans="1:26" ht="18" customHeight="1" x14ac:dyDescent="0.2">
      <c r="A241" s="603"/>
      <c r="B241" s="603"/>
      <c r="C241" s="603"/>
      <c r="D241" s="603"/>
      <c r="E241" s="603"/>
      <c r="F241" s="603"/>
      <c r="G241" s="603"/>
      <c r="H241" s="603"/>
      <c r="I241" s="603"/>
      <c r="J241" s="603"/>
      <c r="K241" s="603"/>
      <c r="L241" s="603"/>
      <c r="M241" s="603"/>
      <c r="N241" s="603"/>
      <c r="O241" s="603"/>
      <c r="P241" s="603"/>
      <c r="Q241" s="603"/>
      <c r="R241" s="603"/>
      <c r="S241" s="603"/>
      <c r="T241" s="603"/>
      <c r="U241" s="603"/>
      <c r="V241" s="603"/>
      <c r="W241" s="603"/>
      <c r="X241" s="603"/>
      <c r="Y241" s="603"/>
      <c r="Z241" s="603"/>
    </row>
    <row r="242" spans="1:26" ht="18" customHeight="1" x14ac:dyDescent="0.2">
      <c r="A242" s="603"/>
      <c r="B242" s="603"/>
      <c r="C242" s="603"/>
      <c r="D242" s="603"/>
      <c r="E242" s="603"/>
      <c r="F242" s="603"/>
      <c r="G242" s="603"/>
      <c r="H242" s="603"/>
      <c r="I242" s="603"/>
      <c r="J242" s="603"/>
      <c r="K242" s="603"/>
      <c r="L242" s="603"/>
      <c r="M242" s="603"/>
      <c r="N242" s="603"/>
      <c r="O242" s="603"/>
      <c r="P242" s="603"/>
      <c r="Q242" s="603"/>
      <c r="R242" s="603"/>
      <c r="S242" s="603"/>
      <c r="T242" s="603"/>
      <c r="U242" s="603"/>
      <c r="V242" s="603"/>
      <c r="W242" s="603"/>
      <c r="X242" s="603"/>
      <c r="Y242" s="603"/>
      <c r="Z242" s="603"/>
    </row>
    <row r="243" spans="1:26" ht="18" customHeight="1" x14ac:dyDescent="0.2">
      <c r="A243" s="603"/>
      <c r="B243" s="603"/>
      <c r="C243" s="603"/>
      <c r="D243" s="603"/>
      <c r="E243" s="603"/>
      <c r="F243" s="603"/>
      <c r="G243" s="603"/>
      <c r="H243" s="603"/>
      <c r="I243" s="603"/>
      <c r="J243" s="603"/>
      <c r="K243" s="603"/>
      <c r="L243" s="603"/>
      <c r="M243" s="603"/>
      <c r="N243" s="603"/>
      <c r="O243" s="603"/>
      <c r="P243" s="603"/>
      <c r="Q243" s="603"/>
      <c r="R243" s="603"/>
      <c r="S243" s="603"/>
      <c r="T243" s="603"/>
      <c r="U243" s="603"/>
      <c r="V243" s="603"/>
      <c r="W243" s="603"/>
      <c r="X243" s="603"/>
      <c r="Y243" s="603"/>
      <c r="Z243" s="603"/>
    </row>
    <row r="244" spans="1:26" ht="18" customHeight="1" x14ac:dyDescent="0.2">
      <c r="A244" s="603"/>
      <c r="B244" s="603"/>
      <c r="C244" s="603"/>
      <c r="D244" s="603"/>
      <c r="E244" s="603"/>
      <c r="F244" s="603"/>
      <c r="G244" s="603"/>
      <c r="H244" s="603"/>
      <c r="I244" s="603"/>
      <c r="J244" s="603"/>
      <c r="K244" s="603"/>
      <c r="L244" s="603"/>
      <c r="M244" s="603"/>
      <c r="N244" s="603"/>
      <c r="O244" s="603"/>
      <c r="P244" s="603"/>
      <c r="Q244" s="603"/>
      <c r="R244" s="603"/>
      <c r="S244" s="603"/>
      <c r="T244" s="603"/>
      <c r="U244" s="603"/>
      <c r="V244" s="603"/>
      <c r="W244" s="603"/>
      <c r="X244" s="603"/>
      <c r="Y244" s="603"/>
      <c r="Z244" s="603"/>
    </row>
    <row r="245" spans="1:26" ht="18" customHeight="1" x14ac:dyDescent="0.2">
      <c r="A245" s="603"/>
      <c r="B245" s="603"/>
      <c r="C245" s="603"/>
      <c r="D245" s="603"/>
      <c r="E245" s="603"/>
      <c r="F245" s="603"/>
      <c r="G245" s="603"/>
      <c r="H245" s="603"/>
      <c r="I245" s="603"/>
      <c r="J245" s="603"/>
      <c r="K245" s="603"/>
      <c r="L245" s="603"/>
      <c r="M245" s="603"/>
      <c r="N245" s="603"/>
      <c r="O245" s="603"/>
      <c r="P245" s="603"/>
      <c r="Q245" s="603"/>
      <c r="R245" s="603"/>
      <c r="S245" s="603"/>
      <c r="T245" s="603"/>
      <c r="U245" s="603"/>
      <c r="V245" s="603"/>
      <c r="W245" s="603"/>
      <c r="X245" s="603"/>
      <c r="Y245" s="603"/>
      <c r="Z245" s="603"/>
    </row>
    <row r="246" spans="1:26" ht="18" customHeight="1" x14ac:dyDescent="0.2">
      <c r="A246" s="603"/>
      <c r="B246" s="603"/>
      <c r="C246" s="603"/>
      <c r="D246" s="603"/>
      <c r="E246" s="603"/>
      <c r="F246" s="603"/>
      <c r="G246" s="603"/>
      <c r="H246" s="603"/>
      <c r="I246" s="603"/>
      <c r="J246" s="603"/>
      <c r="K246" s="603"/>
      <c r="L246" s="603"/>
      <c r="M246" s="603"/>
      <c r="N246" s="603"/>
      <c r="O246" s="603"/>
      <c r="P246" s="603"/>
      <c r="Q246" s="603"/>
      <c r="R246" s="603"/>
      <c r="S246" s="603"/>
      <c r="T246" s="603"/>
      <c r="U246" s="603"/>
      <c r="V246" s="603"/>
      <c r="W246" s="603"/>
      <c r="X246" s="603"/>
      <c r="Y246" s="603"/>
      <c r="Z246" s="603"/>
    </row>
    <row r="247" spans="1:26" ht="18" customHeight="1" x14ac:dyDescent="0.2">
      <c r="A247" s="603"/>
      <c r="B247" s="603"/>
      <c r="C247" s="603"/>
      <c r="D247" s="603"/>
      <c r="E247" s="603"/>
      <c r="F247" s="603"/>
      <c r="G247" s="603"/>
      <c r="H247" s="603"/>
      <c r="I247" s="603"/>
      <c r="J247" s="603"/>
      <c r="K247" s="603"/>
      <c r="L247" s="603"/>
      <c r="M247" s="603"/>
      <c r="N247" s="603"/>
      <c r="O247" s="603"/>
      <c r="P247" s="603"/>
      <c r="Q247" s="603"/>
      <c r="R247" s="603"/>
      <c r="S247" s="603"/>
      <c r="T247" s="603"/>
      <c r="U247" s="603"/>
      <c r="V247" s="603"/>
      <c r="W247" s="603"/>
      <c r="X247" s="603"/>
      <c r="Y247" s="603"/>
      <c r="Z247" s="603"/>
    </row>
    <row r="248" spans="1:26" ht="18" customHeight="1" x14ac:dyDescent="0.2">
      <c r="A248" s="603"/>
      <c r="B248" s="603"/>
      <c r="C248" s="603"/>
      <c r="D248" s="603"/>
      <c r="E248" s="603"/>
      <c r="F248" s="603"/>
      <c r="G248" s="603"/>
      <c r="H248" s="603"/>
      <c r="I248" s="603"/>
      <c r="J248" s="603"/>
      <c r="K248" s="603"/>
      <c r="L248" s="603"/>
      <c r="M248" s="603"/>
      <c r="N248" s="603"/>
      <c r="O248" s="603"/>
      <c r="P248" s="603"/>
      <c r="Q248" s="603"/>
      <c r="R248" s="603"/>
      <c r="S248" s="603"/>
      <c r="T248" s="603"/>
      <c r="U248" s="603"/>
      <c r="V248" s="603"/>
      <c r="W248" s="603"/>
      <c r="X248" s="603"/>
      <c r="Y248" s="603"/>
      <c r="Z248" s="603"/>
    </row>
    <row r="249" spans="1:26" ht="18" customHeight="1" x14ac:dyDescent="0.2">
      <c r="A249" s="603"/>
      <c r="B249" s="603"/>
      <c r="C249" s="603"/>
      <c r="D249" s="603"/>
      <c r="E249" s="603"/>
      <c r="F249" s="603"/>
      <c r="G249" s="603"/>
      <c r="H249" s="603"/>
      <c r="I249" s="603"/>
      <c r="J249" s="603"/>
      <c r="K249" s="603"/>
      <c r="L249" s="603"/>
      <c r="M249" s="603"/>
      <c r="N249" s="603"/>
      <c r="O249" s="603"/>
      <c r="P249" s="603"/>
      <c r="Q249" s="603"/>
      <c r="R249" s="603"/>
      <c r="S249" s="603"/>
      <c r="T249" s="603"/>
      <c r="U249" s="603"/>
      <c r="V249" s="603"/>
      <c r="W249" s="603"/>
      <c r="X249" s="603"/>
      <c r="Y249" s="603"/>
      <c r="Z249" s="603"/>
    </row>
    <row r="250" spans="1:26" ht="18" customHeight="1" x14ac:dyDescent="0.2">
      <c r="A250" s="603"/>
      <c r="B250" s="603"/>
      <c r="C250" s="603"/>
      <c r="D250" s="603"/>
      <c r="E250" s="603"/>
      <c r="F250" s="603"/>
      <c r="G250" s="603"/>
      <c r="H250" s="603"/>
      <c r="I250" s="603"/>
      <c r="J250" s="603"/>
      <c r="K250" s="603"/>
      <c r="L250" s="603"/>
      <c r="M250" s="603"/>
      <c r="N250" s="603"/>
      <c r="O250" s="603"/>
      <c r="P250" s="603"/>
      <c r="Q250" s="603"/>
      <c r="R250" s="603"/>
      <c r="S250" s="603"/>
      <c r="T250" s="603"/>
      <c r="U250" s="603"/>
      <c r="V250" s="603"/>
      <c r="W250" s="603"/>
      <c r="X250" s="603"/>
      <c r="Y250" s="603"/>
      <c r="Z250" s="603"/>
    </row>
    <row r="251" spans="1:26" ht="18" customHeight="1" x14ac:dyDescent="0.2">
      <c r="A251" s="603"/>
      <c r="B251" s="603"/>
      <c r="C251" s="603"/>
      <c r="D251" s="603"/>
      <c r="E251" s="603"/>
      <c r="F251" s="603"/>
      <c r="G251" s="603"/>
      <c r="H251" s="603"/>
      <c r="I251" s="603"/>
      <c r="J251" s="603"/>
      <c r="K251" s="603"/>
      <c r="L251" s="603"/>
      <c r="M251" s="603"/>
      <c r="N251" s="603"/>
      <c r="O251" s="603"/>
      <c r="P251" s="603"/>
      <c r="Q251" s="603"/>
      <c r="R251" s="603"/>
      <c r="S251" s="603"/>
      <c r="T251" s="603"/>
      <c r="U251" s="603"/>
      <c r="V251" s="603"/>
      <c r="W251" s="603"/>
      <c r="X251" s="603"/>
      <c r="Y251" s="603"/>
      <c r="Z251" s="603"/>
    </row>
    <row r="252" spans="1:26" ht="18" customHeight="1" x14ac:dyDescent="0.2">
      <c r="A252" s="603"/>
      <c r="B252" s="603"/>
      <c r="C252" s="603"/>
      <c r="D252" s="603"/>
      <c r="E252" s="603"/>
      <c r="F252" s="603"/>
      <c r="G252" s="603"/>
      <c r="H252" s="603"/>
      <c r="I252" s="603"/>
      <c r="J252" s="603"/>
      <c r="K252" s="603"/>
      <c r="L252" s="603"/>
      <c r="M252" s="603"/>
      <c r="N252" s="603"/>
      <c r="O252" s="603"/>
      <c r="P252" s="603"/>
      <c r="Q252" s="603"/>
      <c r="R252" s="603"/>
      <c r="S252" s="603"/>
      <c r="T252" s="603"/>
      <c r="U252" s="603"/>
      <c r="V252" s="603"/>
      <c r="W252" s="603"/>
      <c r="X252" s="603"/>
      <c r="Y252" s="603"/>
      <c r="Z252" s="603"/>
    </row>
    <row r="253" spans="1:26" ht="18" customHeight="1" x14ac:dyDescent="0.2">
      <c r="A253" s="603"/>
      <c r="B253" s="603"/>
      <c r="C253" s="603"/>
      <c r="D253" s="603"/>
      <c r="E253" s="603"/>
      <c r="F253" s="603"/>
      <c r="G253" s="603"/>
      <c r="H253" s="603"/>
      <c r="I253" s="603"/>
      <c r="J253" s="603"/>
      <c r="K253" s="603"/>
      <c r="L253" s="603"/>
      <c r="M253" s="603"/>
      <c r="N253" s="603"/>
      <c r="O253" s="603"/>
      <c r="P253" s="603"/>
      <c r="Q253" s="603"/>
      <c r="R253" s="603"/>
      <c r="S253" s="603"/>
      <c r="T253" s="603"/>
      <c r="U253" s="603"/>
      <c r="V253" s="603"/>
      <c r="W253" s="603"/>
      <c r="X253" s="603"/>
      <c r="Y253" s="603"/>
      <c r="Z253" s="603"/>
    </row>
    <row r="254" spans="1:26" ht="18" customHeight="1" x14ac:dyDescent="0.2">
      <c r="A254" s="603"/>
      <c r="B254" s="603"/>
      <c r="C254" s="603"/>
      <c r="D254" s="603"/>
      <c r="E254" s="603"/>
      <c r="F254" s="603"/>
      <c r="G254" s="603"/>
      <c r="H254" s="603"/>
      <c r="I254" s="603"/>
      <c r="J254" s="603"/>
      <c r="K254" s="603"/>
      <c r="L254" s="603"/>
      <c r="M254" s="603"/>
      <c r="N254" s="603"/>
      <c r="O254" s="603"/>
      <c r="P254" s="603"/>
      <c r="Q254" s="603"/>
      <c r="R254" s="603"/>
      <c r="S254" s="603"/>
      <c r="T254" s="603"/>
      <c r="U254" s="603"/>
      <c r="V254" s="603"/>
      <c r="W254" s="603"/>
      <c r="X254" s="603"/>
      <c r="Y254" s="603"/>
      <c r="Z254" s="603"/>
    </row>
    <row r="255" spans="1:26" ht="18" customHeight="1" x14ac:dyDescent="0.2">
      <c r="A255" s="603"/>
      <c r="B255" s="603"/>
      <c r="C255" s="603"/>
      <c r="D255" s="603"/>
      <c r="E255" s="603"/>
      <c r="F255" s="603"/>
      <c r="G255" s="603"/>
      <c r="H255" s="603"/>
      <c r="I255" s="603"/>
      <c r="J255" s="603"/>
      <c r="K255" s="603"/>
      <c r="L255" s="603"/>
      <c r="M255" s="603"/>
      <c r="N255" s="603"/>
      <c r="O255" s="603"/>
      <c r="P255" s="603"/>
      <c r="Q255" s="603"/>
      <c r="R255" s="603"/>
      <c r="S255" s="603"/>
      <c r="T255" s="603"/>
      <c r="U255" s="603"/>
      <c r="V255" s="603"/>
      <c r="W255" s="603"/>
      <c r="X255" s="603"/>
      <c r="Y255" s="603"/>
      <c r="Z255" s="603"/>
    </row>
    <row r="256" spans="1:26" ht="18" customHeight="1" x14ac:dyDescent="0.2">
      <c r="A256" s="603"/>
      <c r="B256" s="603"/>
      <c r="C256" s="603"/>
      <c r="D256" s="603"/>
      <c r="E256" s="603"/>
      <c r="F256" s="603"/>
      <c r="G256" s="603"/>
      <c r="H256" s="603"/>
      <c r="I256" s="603"/>
      <c r="J256" s="603"/>
      <c r="K256" s="603"/>
      <c r="L256" s="603"/>
      <c r="M256" s="603"/>
      <c r="N256" s="603"/>
      <c r="O256" s="603"/>
      <c r="P256" s="603"/>
      <c r="Q256" s="603"/>
      <c r="R256" s="603"/>
      <c r="S256" s="603"/>
      <c r="T256" s="603"/>
      <c r="U256" s="603"/>
      <c r="V256" s="603"/>
      <c r="W256" s="603"/>
      <c r="X256" s="603"/>
      <c r="Y256" s="603"/>
      <c r="Z256" s="603"/>
    </row>
    <row r="257" spans="1:26" ht="18" customHeight="1" x14ac:dyDescent="0.2">
      <c r="A257" s="603"/>
      <c r="B257" s="603"/>
      <c r="C257" s="603"/>
      <c r="D257" s="603"/>
      <c r="E257" s="603"/>
      <c r="F257" s="603"/>
      <c r="G257" s="603"/>
      <c r="H257" s="603"/>
      <c r="I257" s="603"/>
      <c r="J257" s="603"/>
      <c r="K257" s="603"/>
      <c r="L257" s="603"/>
      <c r="M257" s="603"/>
      <c r="N257" s="603"/>
      <c r="O257" s="603"/>
      <c r="P257" s="603"/>
      <c r="Q257" s="603"/>
      <c r="R257" s="603"/>
      <c r="S257" s="603"/>
      <c r="T257" s="603"/>
      <c r="U257" s="603"/>
      <c r="V257" s="603"/>
      <c r="W257" s="603"/>
      <c r="X257" s="603"/>
      <c r="Y257" s="603"/>
      <c r="Z257" s="603"/>
    </row>
    <row r="258" spans="1:26" ht="18" customHeight="1" x14ac:dyDescent="0.2">
      <c r="A258" s="603"/>
      <c r="B258" s="603"/>
      <c r="C258" s="603"/>
      <c r="D258" s="603"/>
      <c r="E258" s="603"/>
      <c r="F258" s="603"/>
      <c r="G258" s="603"/>
      <c r="H258" s="603"/>
      <c r="I258" s="603"/>
      <c r="J258" s="603"/>
      <c r="K258" s="603"/>
      <c r="L258" s="603"/>
      <c r="M258" s="603"/>
      <c r="N258" s="603"/>
      <c r="O258" s="603"/>
      <c r="P258" s="603"/>
      <c r="Q258" s="603"/>
      <c r="R258" s="603"/>
      <c r="S258" s="603"/>
      <c r="T258" s="603"/>
      <c r="U258" s="603"/>
      <c r="V258" s="603"/>
      <c r="W258" s="603"/>
      <c r="X258" s="603"/>
      <c r="Y258" s="603"/>
      <c r="Z258" s="603"/>
    </row>
    <row r="259" spans="1:26" ht="18" customHeight="1" x14ac:dyDescent="0.2">
      <c r="A259" s="603"/>
      <c r="B259" s="603"/>
      <c r="C259" s="603"/>
      <c r="D259" s="603"/>
      <c r="E259" s="603"/>
      <c r="F259" s="603"/>
      <c r="G259" s="603"/>
      <c r="H259" s="603"/>
      <c r="I259" s="603"/>
      <c r="J259" s="603"/>
      <c r="K259" s="603"/>
      <c r="L259" s="603"/>
      <c r="M259" s="603"/>
      <c r="N259" s="603"/>
      <c r="O259" s="603"/>
      <c r="P259" s="603"/>
      <c r="Q259" s="603"/>
      <c r="R259" s="603"/>
      <c r="S259" s="603"/>
      <c r="T259" s="603"/>
      <c r="U259" s="603"/>
      <c r="V259" s="603"/>
      <c r="W259" s="603"/>
      <c r="X259" s="603"/>
      <c r="Y259" s="603"/>
      <c r="Z259" s="603"/>
    </row>
    <row r="260" spans="1:26" ht="18" customHeight="1" x14ac:dyDescent="0.2">
      <c r="A260" s="603"/>
      <c r="B260" s="603"/>
      <c r="C260" s="603"/>
      <c r="D260" s="603"/>
      <c r="E260" s="603"/>
      <c r="F260" s="603"/>
      <c r="G260" s="603"/>
      <c r="H260" s="603"/>
      <c r="I260" s="603"/>
      <c r="J260" s="603"/>
      <c r="K260" s="603"/>
      <c r="L260" s="603"/>
      <c r="M260" s="603"/>
      <c r="N260" s="603"/>
      <c r="O260" s="603"/>
      <c r="P260" s="603"/>
      <c r="Q260" s="603"/>
      <c r="R260" s="603"/>
      <c r="S260" s="603"/>
      <c r="T260" s="603"/>
      <c r="U260" s="603"/>
      <c r="V260" s="603"/>
      <c r="W260" s="603"/>
      <c r="X260" s="603"/>
      <c r="Y260" s="603"/>
      <c r="Z260" s="603"/>
    </row>
    <row r="261" spans="1:26" ht="18" customHeight="1" x14ac:dyDescent="0.2">
      <c r="A261" s="603"/>
      <c r="B261" s="603"/>
      <c r="C261" s="603"/>
      <c r="D261" s="603"/>
      <c r="E261" s="603"/>
      <c r="F261" s="603"/>
      <c r="G261" s="603"/>
      <c r="H261" s="603"/>
      <c r="I261" s="603"/>
      <c r="J261" s="603"/>
      <c r="K261" s="603"/>
      <c r="L261" s="603"/>
      <c r="M261" s="603"/>
      <c r="N261" s="603"/>
      <c r="O261" s="603"/>
      <c r="P261" s="603"/>
      <c r="Q261" s="603"/>
      <c r="R261" s="603"/>
      <c r="S261" s="603"/>
      <c r="T261" s="603"/>
      <c r="U261" s="603"/>
      <c r="V261" s="603"/>
      <c r="W261" s="603"/>
      <c r="X261" s="603"/>
      <c r="Y261" s="603"/>
      <c r="Z261" s="603"/>
    </row>
    <row r="262" spans="1:26" ht="18" customHeight="1" x14ac:dyDescent="0.2">
      <c r="A262" s="603"/>
      <c r="B262" s="603"/>
      <c r="C262" s="603"/>
      <c r="D262" s="603"/>
      <c r="E262" s="603"/>
      <c r="F262" s="603"/>
      <c r="G262" s="603"/>
      <c r="H262" s="603"/>
      <c r="I262" s="603"/>
      <c r="J262" s="603"/>
      <c r="K262" s="603"/>
      <c r="L262" s="603"/>
      <c r="M262" s="603"/>
      <c r="N262" s="603"/>
      <c r="O262" s="603"/>
      <c r="P262" s="603"/>
      <c r="Q262" s="603"/>
      <c r="R262" s="603"/>
      <c r="S262" s="603"/>
      <c r="T262" s="603"/>
      <c r="U262" s="603"/>
      <c r="V262" s="603"/>
      <c r="W262" s="603"/>
      <c r="X262" s="603"/>
      <c r="Y262" s="603"/>
      <c r="Z262" s="603"/>
    </row>
    <row r="263" spans="1:26" ht="18" customHeight="1" x14ac:dyDescent="0.2">
      <c r="A263" s="603"/>
      <c r="B263" s="603"/>
      <c r="C263" s="603"/>
      <c r="D263" s="603"/>
      <c r="E263" s="603"/>
      <c r="F263" s="603"/>
      <c r="G263" s="603"/>
      <c r="H263" s="603"/>
      <c r="I263" s="603"/>
      <c r="J263" s="603"/>
      <c r="K263" s="603"/>
      <c r="L263" s="603"/>
      <c r="M263" s="603"/>
      <c r="N263" s="603"/>
      <c r="O263" s="603"/>
      <c r="P263" s="603"/>
      <c r="Q263" s="603"/>
      <c r="R263" s="603"/>
      <c r="S263" s="603"/>
      <c r="T263" s="603"/>
      <c r="U263" s="603"/>
      <c r="V263" s="603"/>
      <c r="W263" s="603"/>
      <c r="X263" s="603"/>
      <c r="Y263" s="603"/>
      <c r="Z263" s="603"/>
    </row>
    <row r="264" spans="1:26" ht="18" customHeight="1" x14ac:dyDescent="0.2">
      <c r="A264" s="603"/>
      <c r="B264" s="603"/>
      <c r="C264" s="603"/>
      <c r="D264" s="603"/>
      <c r="E264" s="603"/>
      <c r="F264" s="603"/>
      <c r="G264" s="603"/>
      <c r="H264" s="603"/>
      <c r="I264" s="603"/>
      <c r="J264" s="603"/>
      <c r="K264" s="603"/>
      <c r="L264" s="603"/>
      <c r="M264" s="603"/>
      <c r="N264" s="603"/>
      <c r="O264" s="603"/>
      <c r="P264" s="603"/>
      <c r="Q264" s="603"/>
      <c r="R264" s="603"/>
      <c r="S264" s="603"/>
      <c r="T264" s="603"/>
      <c r="U264" s="603"/>
      <c r="V264" s="603"/>
      <c r="W264" s="603"/>
      <c r="X264" s="603"/>
      <c r="Y264" s="603"/>
      <c r="Z264" s="603"/>
    </row>
    <row r="265" spans="1:26" ht="18" customHeight="1" x14ac:dyDescent="0.2">
      <c r="A265" s="603"/>
      <c r="B265" s="603"/>
      <c r="C265" s="603"/>
      <c r="D265" s="603"/>
      <c r="E265" s="603"/>
      <c r="F265" s="603"/>
      <c r="G265" s="603"/>
      <c r="H265" s="603"/>
      <c r="I265" s="603"/>
      <c r="J265" s="603"/>
      <c r="K265" s="603"/>
      <c r="L265" s="603"/>
      <c r="M265" s="603"/>
      <c r="N265" s="603"/>
      <c r="O265" s="603"/>
      <c r="P265" s="603"/>
      <c r="Q265" s="603"/>
      <c r="R265" s="603"/>
      <c r="S265" s="603"/>
      <c r="T265" s="603"/>
      <c r="U265" s="603"/>
      <c r="V265" s="603"/>
      <c r="W265" s="603"/>
      <c r="X265" s="603"/>
      <c r="Y265" s="603"/>
      <c r="Z265" s="603"/>
    </row>
    <row r="266" spans="1:26" ht="18" customHeight="1" x14ac:dyDescent="0.2">
      <c r="A266" s="603"/>
      <c r="B266" s="603"/>
      <c r="C266" s="603"/>
      <c r="D266" s="603"/>
      <c r="E266" s="603"/>
      <c r="F266" s="603"/>
      <c r="G266" s="603"/>
      <c r="H266" s="603"/>
      <c r="I266" s="603"/>
      <c r="J266" s="603"/>
      <c r="K266" s="603"/>
      <c r="L266" s="603"/>
      <c r="M266" s="603"/>
      <c r="N266" s="603"/>
      <c r="O266" s="603"/>
      <c r="P266" s="603"/>
      <c r="Q266" s="603"/>
      <c r="R266" s="603"/>
      <c r="S266" s="603"/>
      <c r="T266" s="603"/>
      <c r="U266" s="603"/>
      <c r="V266" s="603"/>
      <c r="W266" s="603"/>
      <c r="X266" s="603"/>
      <c r="Y266" s="603"/>
      <c r="Z266" s="603"/>
    </row>
    <row r="267" spans="1:26" ht="18" customHeight="1" x14ac:dyDescent="0.2">
      <c r="A267" s="603"/>
      <c r="B267" s="603"/>
      <c r="C267" s="603"/>
      <c r="D267" s="603"/>
      <c r="E267" s="603"/>
      <c r="F267" s="603"/>
      <c r="G267" s="603"/>
      <c r="H267" s="603"/>
      <c r="I267" s="603"/>
      <c r="J267" s="603"/>
      <c r="K267" s="603"/>
      <c r="L267" s="603"/>
      <c r="M267" s="603"/>
      <c r="N267" s="603"/>
      <c r="O267" s="603"/>
      <c r="P267" s="603"/>
      <c r="Q267" s="603"/>
      <c r="R267" s="603"/>
      <c r="S267" s="603"/>
      <c r="T267" s="603"/>
      <c r="U267" s="603"/>
      <c r="V267" s="603"/>
      <c r="W267" s="603"/>
      <c r="X267" s="603"/>
      <c r="Y267" s="603"/>
      <c r="Z267" s="603"/>
    </row>
    <row r="268" spans="1:26" ht="18" customHeight="1" x14ac:dyDescent="0.2">
      <c r="A268" s="603"/>
      <c r="B268" s="603"/>
      <c r="C268" s="603"/>
      <c r="D268" s="603"/>
      <c r="E268" s="603"/>
      <c r="F268" s="603"/>
      <c r="G268" s="603"/>
      <c r="H268" s="603"/>
      <c r="I268" s="603"/>
      <c r="J268" s="603"/>
      <c r="K268" s="603"/>
      <c r="L268" s="603"/>
      <c r="M268" s="603"/>
      <c r="N268" s="603"/>
      <c r="O268" s="603"/>
      <c r="P268" s="603"/>
      <c r="Q268" s="603"/>
      <c r="R268" s="603"/>
      <c r="S268" s="603"/>
      <c r="T268" s="603"/>
      <c r="U268" s="603"/>
      <c r="V268" s="603"/>
      <c r="W268" s="603"/>
      <c r="X268" s="603"/>
      <c r="Y268" s="603"/>
      <c r="Z268" s="603"/>
    </row>
    <row r="269" spans="1:26" ht="18" customHeight="1" x14ac:dyDescent="0.2">
      <c r="A269" s="603"/>
      <c r="B269" s="603"/>
      <c r="C269" s="603"/>
      <c r="D269" s="603"/>
      <c r="E269" s="603"/>
      <c r="F269" s="603"/>
      <c r="G269" s="603"/>
      <c r="H269" s="603"/>
      <c r="I269" s="603"/>
      <c r="J269" s="603"/>
      <c r="K269" s="603"/>
      <c r="L269" s="603"/>
      <c r="M269" s="603"/>
      <c r="N269" s="603"/>
      <c r="O269" s="603"/>
      <c r="P269" s="603"/>
      <c r="Q269" s="603"/>
      <c r="R269" s="603"/>
      <c r="S269" s="603"/>
      <c r="T269" s="603"/>
      <c r="U269" s="603"/>
      <c r="V269" s="603"/>
      <c r="W269" s="603"/>
      <c r="X269" s="603"/>
      <c r="Y269" s="603"/>
      <c r="Z269" s="603"/>
    </row>
    <row r="270" spans="1:26" ht="18" customHeight="1" x14ac:dyDescent="0.2">
      <c r="A270" s="603"/>
      <c r="B270" s="603"/>
      <c r="C270" s="603"/>
      <c r="D270" s="603"/>
      <c r="E270" s="603"/>
      <c r="F270" s="603"/>
      <c r="G270" s="603"/>
      <c r="H270" s="603"/>
      <c r="I270" s="603"/>
      <c r="J270" s="603"/>
      <c r="K270" s="603"/>
      <c r="L270" s="603"/>
      <c r="M270" s="603"/>
      <c r="N270" s="603"/>
      <c r="O270" s="603"/>
      <c r="P270" s="603"/>
      <c r="Q270" s="603"/>
      <c r="R270" s="603"/>
      <c r="S270" s="603"/>
      <c r="T270" s="603"/>
      <c r="U270" s="603"/>
      <c r="V270" s="603"/>
      <c r="W270" s="603"/>
      <c r="X270" s="603"/>
      <c r="Y270" s="603"/>
      <c r="Z270" s="603"/>
    </row>
    <row r="271" spans="1:26" ht="18" customHeight="1" x14ac:dyDescent="0.2">
      <c r="A271" s="603"/>
      <c r="B271" s="603"/>
      <c r="C271" s="603"/>
      <c r="D271" s="603"/>
      <c r="E271" s="603"/>
      <c r="F271" s="603"/>
      <c r="G271" s="603"/>
      <c r="H271" s="603"/>
      <c r="I271" s="603"/>
      <c r="J271" s="603"/>
      <c r="K271" s="603"/>
      <c r="L271" s="603"/>
      <c r="M271" s="603"/>
      <c r="N271" s="603"/>
      <c r="O271" s="603"/>
      <c r="P271" s="603"/>
      <c r="Q271" s="603"/>
      <c r="R271" s="603"/>
      <c r="S271" s="603"/>
      <c r="T271" s="603"/>
      <c r="U271" s="603"/>
      <c r="V271" s="603"/>
      <c r="W271" s="603"/>
      <c r="X271" s="603"/>
      <c r="Y271" s="603"/>
      <c r="Z271" s="603"/>
    </row>
    <row r="272" spans="1:26" ht="18" customHeight="1" x14ac:dyDescent="0.2">
      <c r="A272" s="603"/>
      <c r="B272" s="603"/>
      <c r="C272" s="603"/>
      <c r="D272" s="603"/>
      <c r="E272" s="603"/>
      <c r="F272" s="603"/>
      <c r="G272" s="603"/>
      <c r="H272" s="603"/>
      <c r="I272" s="603"/>
      <c r="J272" s="603"/>
      <c r="K272" s="603"/>
      <c r="L272" s="603"/>
      <c r="M272" s="603"/>
      <c r="N272" s="603"/>
      <c r="O272" s="603"/>
      <c r="P272" s="603"/>
      <c r="Q272" s="603"/>
      <c r="R272" s="603"/>
      <c r="S272" s="603"/>
      <c r="T272" s="603"/>
      <c r="U272" s="603"/>
      <c r="V272" s="603"/>
      <c r="W272" s="603"/>
      <c r="X272" s="603"/>
      <c r="Y272" s="603"/>
      <c r="Z272" s="603"/>
    </row>
    <row r="273" spans="1:26" ht="18" customHeight="1" x14ac:dyDescent="0.2">
      <c r="A273" s="603"/>
      <c r="B273" s="603"/>
      <c r="C273" s="603"/>
      <c r="D273" s="603"/>
      <c r="E273" s="603"/>
      <c r="F273" s="603"/>
      <c r="G273" s="603"/>
      <c r="H273" s="603"/>
      <c r="I273" s="603"/>
      <c r="J273" s="603"/>
      <c r="K273" s="603"/>
      <c r="L273" s="603"/>
      <c r="M273" s="603"/>
      <c r="N273" s="603"/>
      <c r="O273" s="603"/>
      <c r="P273" s="603"/>
      <c r="Q273" s="603"/>
      <c r="R273" s="603"/>
      <c r="S273" s="603"/>
      <c r="T273" s="603"/>
      <c r="U273" s="603"/>
      <c r="V273" s="603"/>
      <c r="W273" s="603"/>
      <c r="X273" s="603"/>
      <c r="Y273" s="603"/>
      <c r="Z273" s="603"/>
    </row>
    <row r="274" spans="1:26" ht="18" customHeight="1" x14ac:dyDescent="0.2">
      <c r="A274" s="603"/>
      <c r="B274" s="603"/>
      <c r="C274" s="603"/>
      <c r="D274" s="603"/>
      <c r="E274" s="603"/>
      <c r="F274" s="603"/>
      <c r="G274" s="603"/>
      <c r="H274" s="603"/>
      <c r="I274" s="603"/>
      <c r="J274" s="603"/>
      <c r="K274" s="603"/>
      <c r="L274" s="603"/>
      <c r="M274" s="603"/>
      <c r="N274" s="603"/>
      <c r="O274" s="603"/>
      <c r="P274" s="603"/>
      <c r="Q274" s="603"/>
      <c r="R274" s="603"/>
      <c r="S274" s="603"/>
      <c r="T274" s="603"/>
      <c r="U274" s="603"/>
      <c r="V274" s="603"/>
      <c r="W274" s="603"/>
      <c r="X274" s="603"/>
      <c r="Y274" s="603"/>
      <c r="Z274" s="603"/>
    </row>
    <row r="275" spans="1:26" ht="18" customHeight="1" x14ac:dyDescent="0.2">
      <c r="A275" s="603"/>
      <c r="B275" s="603"/>
      <c r="C275" s="603"/>
      <c r="D275" s="603"/>
      <c r="E275" s="603"/>
      <c r="F275" s="603"/>
      <c r="G275" s="603"/>
      <c r="H275" s="603"/>
      <c r="I275" s="603"/>
      <c r="J275" s="603"/>
      <c r="K275" s="603"/>
      <c r="L275" s="603"/>
      <c r="M275" s="603"/>
      <c r="N275" s="603"/>
      <c r="O275" s="603"/>
      <c r="P275" s="603"/>
      <c r="Q275" s="603"/>
      <c r="R275" s="603"/>
      <c r="S275" s="603"/>
      <c r="T275" s="603"/>
      <c r="U275" s="603"/>
      <c r="V275" s="603"/>
      <c r="W275" s="603"/>
      <c r="X275" s="603"/>
      <c r="Y275" s="603"/>
      <c r="Z275" s="603"/>
    </row>
    <row r="276" spans="1:26" ht="18" customHeight="1" x14ac:dyDescent="0.2">
      <c r="A276" s="603"/>
      <c r="B276" s="603"/>
      <c r="C276" s="603"/>
      <c r="D276" s="603"/>
      <c r="E276" s="603"/>
      <c r="F276" s="603"/>
      <c r="G276" s="603"/>
      <c r="H276" s="603"/>
      <c r="I276" s="603"/>
      <c r="J276" s="603"/>
      <c r="K276" s="603"/>
      <c r="L276" s="603"/>
      <c r="M276" s="603"/>
      <c r="N276" s="603"/>
      <c r="O276" s="603"/>
      <c r="P276" s="603"/>
      <c r="Q276" s="603"/>
      <c r="R276" s="603"/>
      <c r="S276" s="603"/>
      <c r="T276" s="603"/>
      <c r="U276" s="603"/>
      <c r="V276" s="603"/>
      <c r="W276" s="603"/>
      <c r="X276" s="603"/>
      <c r="Y276" s="603"/>
      <c r="Z276" s="603"/>
    </row>
    <row r="277" spans="1:26" ht="18" customHeight="1" x14ac:dyDescent="0.2">
      <c r="A277" s="603"/>
      <c r="B277" s="603"/>
      <c r="C277" s="603"/>
      <c r="D277" s="603"/>
      <c r="E277" s="603"/>
      <c r="F277" s="603"/>
      <c r="G277" s="603"/>
      <c r="H277" s="603"/>
      <c r="I277" s="603"/>
      <c r="J277" s="603"/>
      <c r="K277" s="603"/>
      <c r="L277" s="603"/>
      <c r="M277" s="603"/>
      <c r="N277" s="603"/>
      <c r="O277" s="603"/>
      <c r="P277" s="603"/>
      <c r="Q277" s="603"/>
      <c r="R277" s="603"/>
      <c r="S277" s="603"/>
      <c r="T277" s="603"/>
      <c r="U277" s="603"/>
      <c r="V277" s="603"/>
      <c r="W277" s="603"/>
      <c r="X277" s="603"/>
      <c r="Y277" s="603"/>
      <c r="Z277" s="603"/>
    </row>
    <row r="278" spans="1:26" ht="18" customHeight="1" x14ac:dyDescent="0.2">
      <c r="A278" s="603"/>
      <c r="B278" s="603"/>
      <c r="C278" s="603"/>
      <c r="D278" s="603"/>
      <c r="E278" s="603"/>
      <c r="F278" s="603"/>
      <c r="G278" s="603"/>
      <c r="H278" s="603"/>
      <c r="I278" s="603"/>
      <c r="J278" s="603"/>
      <c r="K278" s="603"/>
      <c r="L278" s="603"/>
      <c r="M278" s="603"/>
      <c r="N278" s="603"/>
      <c r="O278" s="603"/>
      <c r="P278" s="603"/>
      <c r="Q278" s="603"/>
      <c r="R278" s="603"/>
      <c r="S278" s="603"/>
      <c r="T278" s="603"/>
      <c r="U278" s="603"/>
      <c r="V278" s="603"/>
      <c r="W278" s="603"/>
      <c r="X278" s="603"/>
      <c r="Y278" s="603"/>
      <c r="Z278" s="603"/>
    </row>
    <row r="279" spans="1:26" ht="18" customHeight="1" x14ac:dyDescent="0.2">
      <c r="A279" s="603"/>
      <c r="B279" s="603"/>
      <c r="C279" s="603"/>
      <c r="D279" s="603"/>
      <c r="E279" s="603"/>
      <c r="F279" s="603"/>
      <c r="G279" s="603"/>
      <c r="H279" s="603"/>
      <c r="I279" s="603"/>
      <c r="J279" s="603"/>
      <c r="K279" s="603"/>
      <c r="L279" s="603"/>
      <c r="M279" s="603"/>
      <c r="N279" s="603"/>
      <c r="O279" s="603"/>
      <c r="P279" s="603"/>
      <c r="Q279" s="603"/>
      <c r="R279" s="603"/>
      <c r="S279" s="603"/>
      <c r="T279" s="603"/>
      <c r="U279" s="603"/>
      <c r="V279" s="603"/>
      <c r="W279" s="603"/>
      <c r="X279" s="603"/>
      <c r="Y279" s="603"/>
      <c r="Z279" s="603"/>
    </row>
    <row r="280" spans="1:26" ht="18" customHeight="1" x14ac:dyDescent="0.2">
      <c r="A280" s="603"/>
      <c r="B280" s="603"/>
      <c r="C280" s="603"/>
      <c r="D280" s="603"/>
      <c r="E280" s="603"/>
      <c r="F280" s="603"/>
      <c r="G280" s="603"/>
      <c r="H280" s="603"/>
      <c r="I280" s="603"/>
      <c r="J280" s="603"/>
      <c r="K280" s="603"/>
      <c r="L280" s="603"/>
      <c r="M280" s="603"/>
      <c r="N280" s="603"/>
      <c r="O280" s="603"/>
      <c r="P280" s="603"/>
      <c r="Q280" s="603"/>
      <c r="R280" s="603"/>
      <c r="S280" s="603"/>
      <c r="T280" s="603"/>
      <c r="U280" s="603"/>
      <c r="V280" s="603"/>
      <c r="W280" s="603"/>
      <c r="X280" s="603"/>
      <c r="Y280" s="603"/>
      <c r="Z280" s="603"/>
    </row>
    <row r="281" spans="1:26" ht="18" customHeight="1" x14ac:dyDescent="0.2">
      <c r="A281" s="603"/>
      <c r="B281" s="603"/>
      <c r="C281" s="603"/>
      <c r="D281" s="603"/>
      <c r="E281" s="603"/>
      <c r="F281" s="603"/>
      <c r="G281" s="603"/>
      <c r="H281" s="603"/>
      <c r="I281" s="603"/>
      <c r="J281" s="603"/>
      <c r="K281" s="603"/>
      <c r="L281" s="603"/>
      <c r="M281" s="603"/>
      <c r="N281" s="603"/>
      <c r="O281" s="603"/>
      <c r="P281" s="603"/>
      <c r="Q281" s="603"/>
      <c r="R281" s="603"/>
      <c r="S281" s="603"/>
      <c r="T281" s="603"/>
      <c r="U281" s="603"/>
      <c r="V281" s="603"/>
      <c r="W281" s="603"/>
      <c r="X281" s="603"/>
      <c r="Y281" s="603"/>
      <c r="Z281" s="603"/>
    </row>
    <row r="282" spans="1:26" ht="18" customHeight="1" x14ac:dyDescent="0.2">
      <c r="A282" s="603"/>
      <c r="B282" s="603"/>
      <c r="C282" s="603"/>
      <c r="D282" s="603"/>
      <c r="E282" s="603"/>
      <c r="F282" s="603"/>
      <c r="G282" s="603"/>
      <c r="H282" s="603"/>
      <c r="I282" s="603"/>
      <c r="J282" s="603"/>
      <c r="K282" s="603"/>
      <c r="L282" s="603"/>
      <c r="M282" s="603"/>
      <c r="N282" s="603"/>
      <c r="O282" s="603"/>
      <c r="P282" s="603"/>
      <c r="Q282" s="603"/>
      <c r="R282" s="603"/>
      <c r="S282" s="603"/>
      <c r="T282" s="603"/>
      <c r="U282" s="603"/>
      <c r="V282" s="603"/>
      <c r="W282" s="603"/>
      <c r="X282" s="603"/>
      <c r="Y282" s="603"/>
      <c r="Z282" s="603"/>
    </row>
    <row r="283" spans="1:26" ht="18" customHeight="1" x14ac:dyDescent="0.2">
      <c r="A283" s="603"/>
      <c r="B283" s="603"/>
      <c r="C283" s="603"/>
      <c r="D283" s="603"/>
      <c r="E283" s="603"/>
      <c r="F283" s="603"/>
      <c r="G283" s="603"/>
      <c r="H283" s="603"/>
      <c r="I283" s="603"/>
      <c r="J283" s="603"/>
      <c r="K283" s="603"/>
      <c r="L283" s="603"/>
      <c r="M283" s="603"/>
      <c r="N283" s="603"/>
      <c r="O283" s="603"/>
      <c r="P283" s="603"/>
      <c r="Q283" s="603"/>
      <c r="R283" s="603"/>
      <c r="S283" s="603"/>
      <c r="T283" s="603"/>
      <c r="U283" s="603"/>
      <c r="V283" s="603"/>
      <c r="W283" s="603"/>
      <c r="X283" s="603"/>
      <c r="Y283" s="603"/>
      <c r="Z283" s="603"/>
    </row>
    <row r="284" spans="1:26" ht="18" customHeight="1" x14ac:dyDescent="0.2">
      <c r="A284" s="603"/>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row>
    <row r="285" spans="1:26" ht="18" customHeight="1" x14ac:dyDescent="0.2">
      <c r="A285" s="603"/>
      <c r="B285" s="603"/>
      <c r="C285" s="603"/>
      <c r="D285" s="603"/>
      <c r="E285" s="603"/>
      <c r="F285" s="603"/>
      <c r="G285" s="603"/>
      <c r="H285" s="603"/>
      <c r="I285" s="603"/>
      <c r="J285" s="603"/>
      <c r="K285" s="603"/>
      <c r="L285" s="603"/>
      <c r="M285" s="603"/>
      <c r="N285" s="603"/>
      <c r="O285" s="603"/>
      <c r="P285" s="603"/>
      <c r="Q285" s="603"/>
      <c r="R285" s="603"/>
      <c r="S285" s="603"/>
      <c r="T285" s="603"/>
      <c r="U285" s="603"/>
      <c r="V285" s="603"/>
      <c r="W285" s="603"/>
      <c r="X285" s="603"/>
      <c r="Y285" s="603"/>
      <c r="Z285" s="603"/>
    </row>
    <row r="286" spans="1:26" ht="18" customHeight="1" x14ac:dyDescent="0.2">
      <c r="A286" s="603"/>
      <c r="B286" s="603"/>
      <c r="C286" s="603"/>
      <c r="D286" s="603"/>
      <c r="E286" s="603"/>
      <c r="F286" s="603"/>
      <c r="G286" s="603"/>
      <c r="H286" s="603"/>
      <c r="I286" s="603"/>
      <c r="J286" s="603"/>
      <c r="K286" s="603"/>
      <c r="L286" s="603"/>
      <c r="M286" s="603"/>
      <c r="N286" s="603"/>
      <c r="O286" s="603"/>
      <c r="P286" s="603"/>
      <c r="Q286" s="603"/>
      <c r="R286" s="603"/>
      <c r="S286" s="603"/>
      <c r="T286" s="603"/>
      <c r="U286" s="603"/>
      <c r="V286" s="603"/>
      <c r="W286" s="603"/>
      <c r="X286" s="603"/>
      <c r="Y286" s="603"/>
      <c r="Z286" s="603"/>
    </row>
    <row r="287" spans="1:26" ht="18" customHeight="1" x14ac:dyDescent="0.2">
      <c r="A287" s="603"/>
      <c r="B287" s="603"/>
      <c r="C287" s="603"/>
      <c r="D287" s="603"/>
      <c r="E287" s="603"/>
      <c r="F287" s="603"/>
      <c r="G287" s="603"/>
      <c r="H287" s="603"/>
      <c r="I287" s="603"/>
      <c r="J287" s="603"/>
      <c r="K287" s="603"/>
      <c r="L287" s="603"/>
      <c r="M287" s="603"/>
      <c r="N287" s="603"/>
      <c r="O287" s="603"/>
      <c r="P287" s="603"/>
      <c r="Q287" s="603"/>
      <c r="R287" s="603"/>
      <c r="S287" s="603"/>
      <c r="T287" s="603"/>
      <c r="U287" s="603"/>
      <c r="V287" s="603"/>
      <c r="W287" s="603"/>
      <c r="X287" s="603"/>
      <c r="Y287" s="603"/>
      <c r="Z287" s="603"/>
    </row>
    <row r="288" spans="1:26" ht="18" customHeight="1" x14ac:dyDescent="0.2">
      <c r="A288" s="603"/>
      <c r="B288" s="603"/>
      <c r="C288" s="603"/>
      <c r="D288" s="603"/>
      <c r="E288" s="603"/>
      <c r="F288" s="603"/>
      <c r="G288" s="603"/>
      <c r="H288" s="603"/>
      <c r="I288" s="603"/>
      <c r="J288" s="603"/>
      <c r="K288" s="603"/>
      <c r="L288" s="603"/>
      <c r="M288" s="603"/>
      <c r="N288" s="603"/>
      <c r="O288" s="603"/>
      <c r="P288" s="603"/>
      <c r="Q288" s="603"/>
      <c r="R288" s="603"/>
      <c r="S288" s="603"/>
      <c r="T288" s="603"/>
      <c r="U288" s="603"/>
      <c r="V288" s="603"/>
      <c r="W288" s="603"/>
      <c r="X288" s="603"/>
      <c r="Y288" s="603"/>
      <c r="Z288" s="603"/>
    </row>
    <row r="289" spans="1:26" ht="18" customHeight="1" x14ac:dyDescent="0.2">
      <c r="A289" s="603"/>
      <c r="B289" s="603"/>
      <c r="C289" s="603"/>
      <c r="D289" s="603"/>
      <c r="E289" s="603"/>
      <c r="F289" s="603"/>
      <c r="G289" s="603"/>
      <c r="H289" s="603"/>
      <c r="I289" s="603"/>
      <c r="J289" s="603"/>
      <c r="K289" s="603"/>
      <c r="L289" s="603"/>
      <c r="M289" s="603"/>
      <c r="N289" s="603"/>
      <c r="O289" s="603"/>
      <c r="P289" s="603"/>
      <c r="Q289" s="603"/>
      <c r="R289" s="603"/>
      <c r="S289" s="603"/>
      <c r="T289" s="603"/>
      <c r="U289" s="603"/>
      <c r="V289" s="603"/>
      <c r="W289" s="603"/>
      <c r="X289" s="603"/>
      <c r="Y289" s="603"/>
      <c r="Z289" s="603"/>
    </row>
    <row r="290" spans="1:26" ht="18" customHeight="1" x14ac:dyDescent="0.2">
      <c r="A290" s="603"/>
      <c r="B290" s="603"/>
      <c r="C290" s="603"/>
      <c r="D290" s="603"/>
      <c r="E290" s="603"/>
      <c r="F290" s="603"/>
      <c r="G290" s="603"/>
      <c r="H290" s="603"/>
      <c r="I290" s="603"/>
      <c r="J290" s="603"/>
      <c r="K290" s="603"/>
      <c r="L290" s="603"/>
      <c r="M290" s="603"/>
      <c r="N290" s="603"/>
      <c r="O290" s="603"/>
      <c r="P290" s="603"/>
      <c r="Q290" s="603"/>
      <c r="R290" s="603"/>
      <c r="S290" s="603"/>
      <c r="T290" s="603"/>
      <c r="U290" s="603"/>
      <c r="V290" s="603"/>
      <c r="W290" s="603"/>
      <c r="X290" s="603"/>
      <c r="Y290" s="603"/>
      <c r="Z290" s="603"/>
    </row>
    <row r="291" spans="1:26" ht="18" customHeight="1" x14ac:dyDescent="0.2">
      <c r="A291" s="603"/>
      <c r="B291" s="603"/>
      <c r="C291" s="603"/>
      <c r="D291" s="603"/>
      <c r="E291" s="603"/>
      <c r="F291" s="603"/>
      <c r="G291" s="603"/>
      <c r="H291" s="603"/>
      <c r="I291" s="603"/>
      <c r="J291" s="603"/>
      <c r="K291" s="603"/>
      <c r="L291" s="603"/>
      <c r="M291" s="603"/>
      <c r="N291" s="603"/>
      <c r="O291" s="603"/>
      <c r="P291" s="603"/>
      <c r="Q291" s="603"/>
      <c r="R291" s="603"/>
      <c r="S291" s="603"/>
      <c r="T291" s="603"/>
      <c r="U291" s="603"/>
      <c r="V291" s="603"/>
      <c r="W291" s="603"/>
      <c r="X291" s="603"/>
      <c r="Y291" s="603"/>
      <c r="Z291" s="603"/>
    </row>
    <row r="292" spans="1:26" ht="18" customHeight="1" x14ac:dyDescent="0.2">
      <c r="A292" s="603"/>
      <c r="B292" s="603"/>
      <c r="C292" s="603"/>
      <c r="D292" s="603"/>
      <c r="E292" s="603"/>
      <c r="F292" s="603"/>
      <c r="G292" s="603"/>
      <c r="H292" s="603"/>
      <c r="I292" s="603"/>
      <c r="J292" s="603"/>
      <c r="K292" s="603"/>
      <c r="L292" s="603"/>
      <c r="M292" s="603"/>
      <c r="N292" s="603"/>
      <c r="O292" s="603"/>
      <c r="P292" s="603"/>
      <c r="Q292" s="603"/>
      <c r="R292" s="603"/>
      <c r="S292" s="603"/>
      <c r="T292" s="603"/>
      <c r="U292" s="603"/>
      <c r="V292" s="603"/>
      <c r="W292" s="603"/>
      <c r="X292" s="603"/>
      <c r="Y292" s="603"/>
      <c r="Z292" s="603"/>
    </row>
    <row r="293" spans="1:26" ht="18" customHeight="1" x14ac:dyDescent="0.2">
      <c r="A293" s="603"/>
      <c r="B293" s="603"/>
      <c r="C293" s="603"/>
      <c r="D293" s="603"/>
      <c r="E293" s="603"/>
      <c r="F293" s="603"/>
      <c r="G293" s="603"/>
      <c r="H293" s="603"/>
      <c r="I293" s="603"/>
      <c r="J293" s="603"/>
      <c r="K293" s="603"/>
      <c r="L293" s="603"/>
      <c r="M293" s="603"/>
      <c r="N293" s="603"/>
      <c r="O293" s="603"/>
      <c r="P293" s="603"/>
      <c r="Q293" s="603"/>
      <c r="R293" s="603"/>
      <c r="S293" s="603"/>
      <c r="T293" s="603"/>
      <c r="U293" s="603"/>
      <c r="V293" s="603"/>
      <c r="W293" s="603"/>
      <c r="X293" s="603"/>
      <c r="Y293" s="603"/>
      <c r="Z293" s="603"/>
    </row>
    <row r="294" spans="1:26" ht="18" customHeight="1" x14ac:dyDescent="0.2">
      <c r="A294" s="603"/>
      <c r="B294" s="603"/>
      <c r="C294" s="603"/>
      <c r="D294" s="603"/>
      <c r="E294" s="603"/>
      <c r="F294" s="603"/>
      <c r="G294" s="603"/>
      <c r="H294" s="603"/>
      <c r="I294" s="603"/>
      <c r="J294" s="603"/>
      <c r="K294" s="603"/>
      <c r="L294" s="603"/>
      <c r="M294" s="603"/>
      <c r="N294" s="603"/>
      <c r="O294" s="603"/>
      <c r="P294" s="603"/>
      <c r="Q294" s="603"/>
      <c r="R294" s="603"/>
      <c r="S294" s="603"/>
      <c r="T294" s="603"/>
      <c r="U294" s="603"/>
      <c r="V294" s="603"/>
      <c r="W294" s="603"/>
      <c r="X294" s="603"/>
      <c r="Y294" s="603"/>
      <c r="Z294" s="603"/>
    </row>
    <row r="295" spans="1:26" ht="18" customHeight="1" x14ac:dyDescent="0.2">
      <c r="A295" s="603"/>
      <c r="B295" s="603"/>
      <c r="C295" s="603"/>
      <c r="D295" s="603"/>
      <c r="E295" s="603"/>
      <c r="F295" s="603"/>
      <c r="G295" s="603"/>
      <c r="H295" s="603"/>
      <c r="I295" s="603"/>
      <c r="J295" s="603"/>
      <c r="K295" s="603"/>
      <c r="L295" s="603"/>
      <c r="M295" s="603"/>
      <c r="N295" s="603"/>
      <c r="O295" s="603"/>
      <c r="P295" s="603"/>
      <c r="Q295" s="603"/>
      <c r="R295" s="603"/>
      <c r="S295" s="603"/>
      <c r="T295" s="603"/>
      <c r="U295" s="603"/>
      <c r="V295" s="603"/>
      <c r="W295" s="603"/>
      <c r="X295" s="603"/>
      <c r="Y295" s="603"/>
      <c r="Z295" s="603"/>
    </row>
    <row r="296" spans="1:26" ht="18" customHeight="1" x14ac:dyDescent="0.2">
      <c r="A296" s="603"/>
      <c r="B296" s="603"/>
      <c r="C296" s="603"/>
      <c r="D296" s="603"/>
      <c r="E296" s="603"/>
      <c r="F296" s="603"/>
      <c r="G296" s="603"/>
      <c r="H296" s="603"/>
      <c r="I296" s="603"/>
      <c r="J296" s="603"/>
      <c r="K296" s="603"/>
      <c r="L296" s="603"/>
      <c r="M296" s="603"/>
      <c r="N296" s="603"/>
      <c r="O296" s="603"/>
      <c r="P296" s="603"/>
      <c r="Q296" s="603"/>
      <c r="R296" s="603"/>
      <c r="S296" s="603"/>
      <c r="T296" s="603"/>
      <c r="U296" s="603"/>
      <c r="V296" s="603"/>
      <c r="W296" s="603"/>
      <c r="X296" s="603"/>
      <c r="Y296" s="603"/>
      <c r="Z296" s="603"/>
    </row>
    <row r="297" spans="1:26" ht="18" customHeight="1" x14ac:dyDescent="0.2">
      <c r="A297" s="603"/>
      <c r="B297" s="603"/>
      <c r="C297" s="603"/>
      <c r="D297" s="603"/>
      <c r="E297" s="603"/>
      <c r="F297" s="603"/>
      <c r="G297" s="603"/>
      <c r="H297" s="603"/>
      <c r="I297" s="603"/>
      <c r="J297" s="603"/>
      <c r="K297" s="603"/>
      <c r="L297" s="603"/>
      <c r="M297" s="603"/>
      <c r="N297" s="603"/>
      <c r="O297" s="603"/>
      <c r="P297" s="603"/>
      <c r="Q297" s="603"/>
      <c r="R297" s="603"/>
      <c r="S297" s="603"/>
      <c r="T297" s="603"/>
      <c r="U297" s="603"/>
      <c r="V297" s="603"/>
      <c r="W297" s="603"/>
      <c r="X297" s="603"/>
      <c r="Y297" s="603"/>
      <c r="Z297" s="603"/>
    </row>
    <row r="298" spans="1:26" ht="18" customHeight="1" x14ac:dyDescent="0.2">
      <c r="A298" s="603"/>
      <c r="B298" s="603"/>
      <c r="C298" s="603"/>
      <c r="D298" s="603"/>
      <c r="E298" s="603"/>
      <c r="F298" s="603"/>
      <c r="G298" s="603"/>
      <c r="H298" s="603"/>
      <c r="I298" s="603"/>
      <c r="J298" s="603"/>
      <c r="K298" s="603"/>
      <c r="L298" s="603"/>
      <c r="M298" s="603"/>
      <c r="N298" s="603"/>
      <c r="O298" s="603"/>
      <c r="P298" s="603"/>
      <c r="Q298" s="603"/>
      <c r="R298" s="603"/>
      <c r="S298" s="603"/>
      <c r="T298" s="603"/>
      <c r="U298" s="603"/>
      <c r="V298" s="603"/>
      <c r="W298" s="603"/>
      <c r="X298" s="603"/>
      <c r="Y298" s="603"/>
      <c r="Z298" s="603"/>
    </row>
    <row r="299" spans="1:26" ht="18" customHeight="1" x14ac:dyDescent="0.2">
      <c r="A299" s="603"/>
      <c r="B299" s="603"/>
      <c r="C299" s="603"/>
      <c r="D299" s="603"/>
      <c r="E299" s="603"/>
      <c r="F299" s="603"/>
      <c r="G299" s="603"/>
      <c r="H299" s="603"/>
      <c r="I299" s="603"/>
      <c r="J299" s="603"/>
      <c r="K299" s="603"/>
      <c r="L299" s="603"/>
      <c r="M299" s="603"/>
      <c r="N299" s="603"/>
      <c r="O299" s="603"/>
      <c r="P299" s="603"/>
      <c r="Q299" s="603"/>
      <c r="R299" s="603"/>
      <c r="S299" s="603"/>
      <c r="T299" s="603"/>
      <c r="U299" s="603"/>
      <c r="V299" s="603"/>
      <c r="W299" s="603"/>
      <c r="X299" s="603"/>
      <c r="Y299" s="603"/>
      <c r="Z299" s="603"/>
    </row>
    <row r="300" spans="1:26" ht="18" customHeight="1" x14ac:dyDescent="0.2">
      <c r="A300" s="603"/>
      <c r="B300" s="603"/>
      <c r="C300" s="603"/>
      <c r="D300" s="603"/>
      <c r="E300" s="603"/>
      <c r="F300" s="603"/>
      <c r="G300" s="603"/>
      <c r="H300" s="603"/>
      <c r="I300" s="603"/>
      <c r="J300" s="603"/>
      <c r="K300" s="603"/>
      <c r="L300" s="603"/>
      <c r="M300" s="603"/>
      <c r="N300" s="603"/>
      <c r="O300" s="603"/>
      <c r="P300" s="603"/>
      <c r="Q300" s="603"/>
      <c r="R300" s="603"/>
      <c r="S300" s="603"/>
      <c r="T300" s="603"/>
      <c r="U300" s="603"/>
      <c r="V300" s="603"/>
      <c r="W300" s="603"/>
      <c r="X300" s="603"/>
      <c r="Y300" s="603"/>
      <c r="Z300" s="603"/>
    </row>
    <row r="301" spans="1:26" ht="18" customHeight="1" x14ac:dyDescent="0.2">
      <c r="A301" s="603"/>
      <c r="B301" s="603"/>
      <c r="C301" s="603"/>
      <c r="D301" s="603"/>
      <c r="E301" s="603"/>
      <c r="F301" s="603"/>
      <c r="G301" s="603"/>
      <c r="H301" s="603"/>
      <c r="I301" s="603"/>
      <c r="J301" s="603"/>
      <c r="K301" s="603"/>
      <c r="L301" s="603"/>
      <c r="M301" s="603"/>
      <c r="N301" s="603"/>
      <c r="O301" s="603"/>
      <c r="P301" s="603"/>
      <c r="Q301" s="603"/>
      <c r="R301" s="603"/>
      <c r="S301" s="603"/>
      <c r="T301" s="603"/>
      <c r="U301" s="603"/>
      <c r="V301" s="603"/>
      <c r="W301" s="603"/>
      <c r="X301" s="603"/>
      <c r="Y301" s="603"/>
      <c r="Z301" s="603"/>
    </row>
    <row r="302" spans="1:26" ht="18" customHeight="1" x14ac:dyDescent="0.2">
      <c r="A302" s="603"/>
      <c r="B302" s="603"/>
      <c r="C302" s="603"/>
      <c r="D302" s="603"/>
      <c r="E302" s="603"/>
      <c r="F302" s="603"/>
      <c r="G302" s="603"/>
      <c r="H302" s="603"/>
      <c r="I302" s="603"/>
      <c r="J302" s="603"/>
      <c r="K302" s="603"/>
      <c r="L302" s="603"/>
      <c r="M302" s="603"/>
      <c r="N302" s="603"/>
      <c r="O302" s="603"/>
      <c r="P302" s="603"/>
      <c r="Q302" s="603"/>
      <c r="R302" s="603"/>
      <c r="S302" s="603"/>
      <c r="T302" s="603"/>
      <c r="U302" s="603"/>
      <c r="V302" s="603"/>
      <c r="W302" s="603"/>
      <c r="X302" s="603"/>
      <c r="Y302" s="603"/>
      <c r="Z302" s="603"/>
    </row>
    <row r="303" spans="1:26" ht="18" customHeight="1" x14ac:dyDescent="0.2">
      <c r="A303" s="603"/>
      <c r="B303" s="603"/>
      <c r="C303" s="603"/>
      <c r="D303" s="603"/>
      <c r="E303" s="603"/>
      <c r="F303" s="603"/>
      <c r="G303" s="603"/>
      <c r="H303" s="603"/>
      <c r="I303" s="603"/>
      <c r="J303" s="603"/>
      <c r="K303" s="603"/>
      <c r="L303" s="603"/>
      <c r="M303" s="603"/>
      <c r="N303" s="603"/>
      <c r="O303" s="603"/>
      <c r="P303" s="603"/>
      <c r="Q303" s="603"/>
      <c r="R303" s="603"/>
      <c r="S303" s="603"/>
      <c r="T303" s="603"/>
      <c r="U303" s="603"/>
      <c r="V303" s="603"/>
      <c r="W303" s="603"/>
      <c r="X303" s="603"/>
      <c r="Y303" s="603"/>
      <c r="Z303" s="603"/>
    </row>
    <row r="304" spans="1:26" ht="18" customHeight="1" x14ac:dyDescent="0.2">
      <c r="A304" s="603"/>
      <c r="B304" s="603"/>
      <c r="C304" s="603"/>
      <c r="D304" s="603"/>
      <c r="E304" s="603"/>
      <c r="F304" s="603"/>
      <c r="G304" s="603"/>
      <c r="H304" s="603"/>
      <c r="I304" s="603"/>
      <c r="J304" s="603"/>
      <c r="K304" s="603"/>
      <c r="L304" s="603"/>
      <c r="M304" s="603"/>
      <c r="N304" s="603"/>
      <c r="O304" s="603"/>
      <c r="P304" s="603"/>
      <c r="Q304" s="603"/>
      <c r="R304" s="603"/>
      <c r="S304" s="603"/>
      <c r="T304" s="603"/>
      <c r="U304" s="603"/>
      <c r="V304" s="603"/>
      <c r="W304" s="603"/>
      <c r="X304" s="603"/>
      <c r="Y304" s="603"/>
      <c r="Z304" s="603"/>
    </row>
    <row r="305" spans="1:26" ht="18" customHeight="1" x14ac:dyDescent="0.2">
      <c r="A305" s="603"/>
      <c r="B305" s="603"/>
      <c r="C305" s="603"/>
      <c r="D305" s="603"/>
      <c r="E305" s="603"/>
      <c r="F305" s="603"/>
      <c r="G305" s="603"/>
      <c r="H305" s="603"/>
      <c r="I305" s="603"/>
      <c r="J305" s="603"/>
      <c r="K305" s="603"/>
      <c r="L305" s="603"/>
      <c r="M305" s="603"/>
      <c r="N305" s="603"/>
      <c r="O305" s="603"/>
      <c r="P305" s="603"/>
      <c r="Q305" s="603"/>
      <c r="R305" s="603"/>
      <c r="S305" s="603"/>
      <c r="T305" s="603"/>
      <c r="U305" s="603"/>
      <c r="V305" s="603"/>
      <c r="W305" s="603"/>
      <c r="X305" s="603"/>
      <c r="Y305" s="603"/>
      <c r="Z305" s="603"/>
    </row>
    <row r="306" spans="1:26" ht="18" customHeight="1" x14ac:dyDescent="0.2">
      <c r="A306" s="603"/>
      <c r="B306" s="603"/>
      <c r="C306" s="603"/>
      <c r="D306" s="603"/>
      <c r="E306" s="603"/>
      <c r="F306" s="603"/>
      <c r="G306" s="603"/>
      <c r="H306" s="603"/>
      <c r="I306" s="603"/>
      <c r="J306" s="603"/>
      <c r="K306" s="603"/>
      <c r="L306" s="603"/>
      <c r="M306" s="603"/>
      <c r="N306" s="603"/>
      <c r="O306" s="603"/>
      <c r="P306" s="603"/>
      <c r="Q306" s="603"/>
      <c r="R306" s="603"/>
      <c r="S306" s="603"/>
      <c r="T306" s="603"/>
      <c r="U306" s="603"/>
      <c r="V306" s="603"/>
      <c r="W306" s="603"/>
      <c r="X306" s="603"/>
      <c r="Y306" s="603"/>
      <c r="Z306" s="603"/>
    </row>
    <row r="307" spans="1:26" ht="18" customHeight="1" x14ac:dyDescent="0.2">
      <c r="A307" s="603"/>
      <c r="B307" s="603"/>
      <c r="C307" s="603"/>
      <c r="D307" s="603"/>
      <c r="E307" s="603"/>
      <c r="F307" s="603"/>
      <c r="G307" s="603"/>
      <c r="H307" s="603"/>
      <c r="I307" s="603"/>
      <c r="J307" s="603"/>
      <c r="K307" s="603"/>
      <c r="L307" s="603"/>
      <c r="M307" s="603"/>
      <c r="N307" s="603"/>
      <c r="O307" s="603"/>
      <c r="P307" s="603"/>
      <c r="Q307" s="603"/>
      <c r="R307" s="603"/>
      <c r="S307" s="603"/>
      <c r="T307" s="603"/>
      <c r="U307" s="603"/>
      <c r="V307" s="603"/>
      <c r="W307" s="603"/>
      <c r="X307" s="603"/>
      <c r="Y307" s="603"/>
      <c r="Z307" s="603"/>
    </row>
    <row r="308" spans="1:26" ht="18" customHeight="1" x14ac:dyDescent="0.2">
      <c r="A308" s="603"/>
      <c r="B308" s="603"/>
      <c r="C308" s="603"/>
      <c r="D308" s="603"/>
      <c r="E308" s="603"/>
      <c r="F308" s="603"/>
      <c r="G308" s="603"/>
      <c r="H308" s="603"/>
      <c r="I308" s="603"/>
      <c r="J308" s="603"/>
      <c r="K308" s="603"/>
      <c r="L308" s="603"/>
      <c r="M308" s="603"/>
      <c r="N308" s="603"/>
      <c r="O308" s="603"/>
      <c r="P308" s="603"/>
      <c r="Q308" s="603"/>
      <c r="R308" s="603"/>
      <c r="S308" s="603"/>
      <c r="T308" s="603"/>
      <c r="U308" s="603"/>
      <c r="V308" s="603"/>
      <c r="W308" s="603"/>
      <c r="X308" s="603"/>
      <c r="Y308" s="603"/>
      <c r="Z308" s="603"/>
    </row>
    <row r="309" spans="1:26" ht="18" customHeight="1" x14ac:dyDescent="0.2">
      <c r="A309" s="603"/>
      <c r="B309" s="603"/>
      <c r="C309" s="603"/>
      <c r="D309" s="603"/>
      <c r="E309" s="603"/>
      <c r="F309" s="603"/>
      <c r="G309" s="603"/>
      <c r="H309" s="603"/>
      <c r="I309" s="603"/>
      <c r="J309" s="603"/>
      <c r="K309" s="603"/>
      <c r="L309" s="603"/>
      <c r="M309" s="603"/>
      <c r="N309" s="603"/>
      <c r="O309" s="603"/>
      <c r="P309" s="603"/>
      <c r="Q309" s="603"/>
      <c r="R309" s="603"/>
      <c r="S309" s="603"/>
      <c r="T309" s="603"/>
      <c r="U309" s="603"/>
      <c r="V309" s="603"/>
      <c r="W309" s="603"/>
      <c r="X309" s="603"/>
      <c r="Y309" s="603"/>
      <c r="Z309" s="603"/>
    </row>
    <row r="310" spans="1:26" ht="18" customHeight="1" x14ac:dyDescent="0.2">
      <c r="A310" s="603"/>
      <c r="B310" s="603"/>
      <c r="C310" s="603"/>
      <c r="D310" s="603"/>
      <c r="E310" s="603"/>
      <c r="F310" s="603"/>
      <c r="G310" s="603"/>
      <c r="H310" s="603"/>
      <c r="I310" s="603"/>
      <c r="J310" s="603"/>
      <c r="K310" s="603"/>
      <c r="L310" s="603"/>
      <c r="M310" s="603"/>
      <c r="N310" s="603"/>
      <c r="O310" s="603"/>
      <c r="P310" s="603"/>
      <c r="Q310" s="603"/>
      <c r="R310" s="603"/>
      <c r="S310" s="603"/>
      <c r="T310" s="603"/>
      <c r="U310" s="603"/>
      <c r="V310" s="603"/>
      <c r="W310" s="603"/>
      <c r="X310" s="603"/>
      <c r="Y310" s="603"/>
      <c r="Z310" s="603"/>
    </row>
    <row r="311" spans="1:26" ht="18" customHeight="1" x14ac:dyDescent="0.2">
      <c r="A311" s="603"/>
      <c r="B311" s="603"/>
      <c r="C311" s="603"/>
      <c r="D311" s="603"/>
      <c r="E311" s="603"/>
      <c r="F311" s="603"/>
      <c r="G311" s="603"/>
      <c r="H311" s="603"/>
      <c r="I311" s="603"/>
      <c r="J311" s="603"/>
      <c r="K311" s="603"/>
      <c r="L311" s="603"/>
      <c r="M311" s="603"/>
      <c r="N311" s="603"/>
      <c r="O311" s="603"/>
      <c r="P311" s="603"/>
      <c r="Q311" s="603"/>
      <c r="R311" s="603"/>
      <c r="S311" s="603"/>
      <c r="T311" s="603"/>
      <c r="U311" s="603"/>
      <c r="V311" s="603"/>
      <c r="W311" s="603"/>
      <c r="X311" s="603"/>
      <c r="Y311" s="603"/>
      <c r="Z311" s="603"/>
    </row>
    <row r="312" spans="1:26" ht="18" customHeight="1" x14ac:dyDescent="0.2">
      <c r="A312" s="603"/>
      <c r="B312" s="603"/>
      <c r="C312" s="603"/>
      <c r="D312" s="603"/>
      <c r="E312" s="603"/>
      <c r="F312" s="603"/>
      <c r="G312" s="603"/>
      <c r="H312" s="603"/>
      <c r="I312" s="603"/>
      <c r="J312" s="603"/>
      <c r="K312" s="603"/>
      <c r="L312" s="603"/>
      <c r="M312" s="603"/>
      <c r="N312" s="603"/>
      <c r="O312" s="603"/>
      <c r="P312" s="603"/>
      <c r="Q312" s="603"/>
      <c r="R312" s="603"/>
      <c r="S312" s="603"/>
      <c r="T312" s="603"/>
      <c r="U312" s="603"/>
      <c r="V312" s="603"/>
      <c r="W312" s="603"/>
      <c r="X312" s="603"/>
      <c r="Y312" s="603"/>
      <c r="Z312" s="603"/>
    </row>
    <row r="313" spans="1:26" ht="18" customHeight="1" x14ac:dyDescent="0.2">
      <c r="A313" s="603"/>
      <c r="B313" s="603"/>
      <c r="C313" s="603"/>
      <c r="D313" s="603"/>
      <c r="E313" s="603"/>
      <c r="F313" s="603"/>
      <c r="G313" s="603"/>
      <c r="H313" s="603"/>
      <c r="I313" s="603"/>
      <c r="J313" s="603"/>
      <c r="K313" s="603"/>
      <c r="L313" s="603"/>
      <c r="M313" s="603"/>
      <c r="N313" s="603"/>
      <c r="O313" s="603"/>
      <c r="P313" s="603"/>
      <c r="Q313" s="603"/>
      <c r="R313" s="603"/>
      <c r="S313" s="603"/>
      <c r="T313" s="603"/>
      <c r="U313" s="603"/>
      <c r="V313" s="603"/>
      <c r="W313" s="603"/>
      <c r="X313" s="603"/>
      <c r="Y313" s="603"/>
      <c r="Z313" s="603"/>
    </row>
    <row r="314" spans="1:26" ht="18" customHeight="1" x14ac:dyDescent="0.2">
      <c r="A314" s="603"/>
      <c r="B314" s="603"/>
      <c r="C314" s="603"/>
      <c r="D314" s="603"/>
      <c r="E314" s="603"/>
      <c r="F314" s="603"/>
      <c r="G314" s="603"/>
      <c r="H314" s="603"/>
      <c r="I314" s="603"/>
      <c r="J314" s="603"/>
      <c r="K314" s="603"/>
      <c r="L314" s="603"/>
      <c r="M314" s="603"/>
      <c r="N314" s="603"/>
      <c r="O314" s="603"/>
      <c r="P314" s="603"/>
      <c r="Q314" s="603"/>
      <c r="R314" s="603"/>
      <c r="S314" s="603"/>
      <c r="T314" s="603"/>
      <c r="U314" s="603"/>
      <c r="V314" s="603"/>
      <c r="W314" s="603"/>
      <c r="X314" s="603"/>
      <c r="Y314" s="603"/>
      <c r="Z314" s="603"/>
    </row>
    <row r="315" spans="1:26" ht="18" customHeight="1" x14ac:dyDescent="0.2">
      <c r="A315" s="603"/>
      <c r="B315" s="603"/>
      <c r="C315" s="603"/>
      <c r="D315" s="603"/>
      <c r="E315" s="603"/>
      <c r="F315" s="603"/>
      <c r="G315" s="603"/>
      <c r="H315" s="603"/>
      <c r="I315" s="603"/>
      <c r="J315" s="603"/>
      <c r="K315" s="603"/>
      <c r="L315" s="603"/>
      <c r="M315" s="603"/>
      <c r="N315" s="603"/>
      <c r="O315" s="603"/>
      <c r="P315" s="603"/>
      <c r="Q315" s="603"/>
      <c r="R315" s="603"/>
      <c r="S315" s="603"/>
      <c r="T315" s="603"/>
      <c r="U315" s="603"/>
      <c r="V315" s="603"/>
      <c r="W315" s="603"/>
      <c r="X315" s="603"/>
      <c r="Y315" s="603"/>
      <c r="Z315" s="603"/>
    </row>
    <row r="316" spans="1:26" ht="18" customHeight="1" x14ac:dyDescent="0.2">
      <c r="A316" s="603"/>
      <c r="B316" s="603"/>
      <c r="C316" s="603"/>
      <c r="D316" s="603"/>
      <c r="E316" s="603"/>
      <c r="F316" s="603"/>
      <c r="G316" s="603"/>
      <c r="H316" s="603"/>
      <c r="I316" s="603"/>
      <c r="J316" s="603"/>
      <c r="K316" s="603"/>
      <c r="L316" s="603"/>
      <c r="M316" s="603"/>
      <c r="N316" s="603"/>
      <c r="O316" s="603"/>
      <c r="P316" s="603"/>
      <c r="Q316" s="603"/>
      <c r="R316" s="603"/>
      <c r="S316" s="603"/>
      <c r="T316" s="603"/>
      <c r="U316" s="603"/>
      <c r="V316" s="603"/>
      <c r="W316" s="603"/>
      <c r="X316" s="603"/>
      <c r="Y316" s="603"/>
      <c r="Z316" s="603"/>
    </row>
    <row r="317" spans="1:26" ht="18" customHeight="1" x14ac:dyDescent="0.2">
      <c r="A317" s="603"/>
      <c r="B317" s="603"/>
      <c r="C317" s="603"/>
      <c r="D317" s="603"/>
      <c r="E317" s="603"/>
      <c r="F317" s="603"/>
      <c r="G317" s="603"/>
      <c r="H317" s="603"/>
      <c r="I317" s="603"/>
      <c r="J317" s="603"/>
      <c r="K317" s="603"/>
      <c r="L317" s="603"/>
      <c r="M317" s="603"/>
      <c r="N317" s="603"/>
      <c r="O317" s="603"/>
      <c r="P317" s="603"/>
      <c r="Q317" s="603"/>
      <c r="R317" s="603"/>
      <c r="S317" s="603"/>
      <c r="T317" s="603"/>
      <c r="U317" s="603"/>
      <c r="V317" s="603"/>
      <c r="W317" s="603"/>
      <c r="X317" s="603"/>
      <c r="Y317" s="603"/>
      <c r="Z317" s="603"/>
    </row>
    <row r="318" spans="1:26" ht="18" customHeight="1" x14ac:dyDescent="0.2">
      <c r="A318" s="603"/>
      <c r="B318" s="603"/>
      <c r="C318" s="603"/>
      <c r="D318" s="603"/>
      <c r="E318" s="603"/>
      <c r="F318" s="603"/>
      <c r="G318" s="603"/>
      <c r="H318" s="603"/>
      <c r="I318" s="603"/>
      <c r="J318" s="603"/>
      <c r="K318" s="603"/>
      <c r="L318" s="603"/>
      <c r="M318" s="603"/>
      <c r="N318" s="603"/>
      <c r="O318" s="603"/>
      <c r="P318" s="603"/>
      <c r="Q318" s="603"/>
      <c r="R318" s="603"/>
      <c r="S318" s="603"/>
      <c r="T318" s="603"/>
      <c r="U318" s="603"/>
      <c r="V318" s="603"/>
      <c r="W318" s="603"/>
      <c r="X318" s="603"/>
      <c r="Y318" s="603"/>
      <c r="Z318" s="603"/>
    </row>
    <row r="319" spans="1:26" ht="18" customHeight="1" x14ac:dyDescent="0.2">
      <c r="A319" s="603"/>
      <c r="B319" s="603"/>
      <c r="C319" s="603"/>
      <c r="D319" s="603"/>
      <c r="E319" s="603"/>
      <c r="F319" s="603"/>
      <c r="G319" s="603"/>
      <c r="H319" s="603"/>
      <c r="I319" s="603"/>
      <c r="J319" s="603"/>
      <c r="K319" s="603"/>
      <c r="L319" s="603"/>
      <c r="M319" s="603"/>
      <c r="N319" s="603"/>
      <c r="O319" s="603"/>
      <c r="P319" s="603"/>
      <c r="Q319" s="603"/>
      <c r="R319" s="603"/>
      <c r="S319" s="603"/>
      <c r="T319" s="603"/>
      <c r="U319" s="603"/>
      <c r="V319" s="603"/>
      <c r="W319" s="603"/>
      <c r="X319" s="603"/>
      <c r="Y319" s="603"/>
      <c r="Z319" s="603"/>
    </row>
    <row r="320" spans="1:26" ht="18" customHeight="1" x14ac:dyDescent="0.2">
      <c r="A320" s="603"/>
      <c r="B320" s="603"/>
      <c r="C320" s="603"/>
      <c r="D320" s="603"/>
      <c r="E320" s="603"/>
      <c r="F320" s="603"/>
      <c r="G320" s="603"/>
      <c r="H320" s="603"/>
      <c r="I320" s="603"/>
      <c r="J320" s="603"/>
      <c r="K320" s="603"/>
      <c r="L320" s="603"/>
      <c r="M320" s="603"/>
      <c r="N320" s="603"/>
      <c r="O320" s="603"/>
      <c r="P320" s="603"/>
      <c r="Q320" s="603"/>
      <c r="R320" s="603"/>
      <c r="S320" s="603"/>
      <c r="T320" s="603"/>
      <c r="U320" s="603"/>
      <c r="V320" s="603"/>
      <c r="W320" s="603"/>
      <c r="X320" s="603"/>
      <c r="Y320" s="603"/>
      <c r="Z320" s="603"/>
    </row>
    <row r="321" spans="1:26" ht="18" customHeight="1" x14ac:dyDescent="0.2">
      <c r="A321" s="603"/>
      <c r="B321" s="603"/>
      <c r="C321" s="603"/>
      <c r="D321" s="603"/>
      <c r="E321" s="603"/>
      <c r="F321" s="603"/>
      <c r="G321" s="603"/>
      <c r="H321" s="603"/>
      <c r="I321" s="603"/>
      <c r="J321" s="603"/>
      <c r="K321" s="603"/>
      <c r="L321" s="603"/>
      <c r="M321" s="603"/>
      <c r="N321" s="603"/>
      <c r="O321" s="603"/>
      <c r="P321" s="603"/>
      <c r="Q321" s="603"/>
      <c r="R321" s="603"/>
      <c r="S321" s="603"/>
      <c r="T321" s="603"/>
      <c r="U321" s="603"/>
      <c r="V321" s="603"/>
      <c r="W321" s="603"/>
      <c r="X321" s="603"/>
      <c r="Y321" s="603"/>
      <c r="Z321" s="603"/>
    </row>
    <row r="322" spans="1:26" ht="18" customHeight="1" x14ac:dyDescent="0.2">
      <c r="A322" s="603"/>
      <c r="B322" s="603"/>
      <c r="C322" s="603"/>
      <c r="D322" s="603"/>
      <c r="E322" s="603"/>
      <c r="F322" s="603"/>
      <c r="G322" s="603"/>
      <c r="H322" s="603"/>
      <c r="I322" s="603"/>
      <c r="J322" s="603"/>
      <c r="K322" s="603"/>
      <c r="L322" s="603"/>
      <c r="M322" s="603"/>
      <c r="N322" s="603"/>
      <c r="O322" s="603"/>
      <c r="P322" s="603"/>
      <c r="Q322" s="603"/>
      <c r="R322" s="603"/>
      <c r="S322" s="603"/>
      <c r="T322" s="603"/>
      <c r="U322" s="603"/>
      <c r="V322" s="603"/>
      <c r="W322" s="603"/>
      <c r="X322" s="603"/>
      <c r="Y322" s="603"/>
      <c r="Z322" s="603"/>
    </row>
    <row r="323" spans="1:26" ht="18" customHeight="1" x14ac:dyDescent="0.2">
      <c r="A323" s="603"/>
      <c r="B323" s="603"/>
      <c r="C323" s="603"/>
      <c r="D323" s="603"/>
      <c r="E323" s="603"/>
      <c r="F323" s="603"/>
      <c r="G323" s="603"/>
      <c r="H323" s="603"/>
      <c r="I323" s="603"/>
      <c r="J323" s="603"/>
      <c r="K323" s="603"/>
      <c r="L323" s="603"/>
      <c r="M323" s="603"/>
      <c r="N323" s="603"/>
      <c r="O323" s="603"/>
      <c r="P323" s="603"/>
      <c r="Q323" s="603"/>
      <c r="R323" s="603"/>
      <c r="S323" s="603"/>
      <c r="T323" s="603"/>
      <c r="U323" s="603"/>
      <c r="V323" s="603"/>
      <c r="W323" s="603"/>
      <c r="X323" s="603"/>
      <c r="Y323" s="603"/>
      <c r="Z323" s="603"/>
    </row>
    <row r="324" spans="1:26" ht="18" customHeight="1" x14ac:dyDescent="0.2">
      <c r="A324" s="603"/>
      <c r="B324" s="603"/>
      <c r="C324" s="603"/>
      <c r="D324" s="603"/>
      <c r="E324" s="603"/>
      <c r="F324" s="603"/>
      <c r="G324" s="603"/>
      <c r="H324" s="603"/>
      <c r="I324" s="603"/>
      <c r="J324" s="603"/>
      <c r="K324" s="603"/>
      <c r="L324" s="603"/>
      <c r="M324" s="603"/>
      <c r="N324" s="603"/>
      <c r="O324" s="603"/>
      <c r="P324" s="603"/>
      <c r="Q324" s="603"/>
      <c r="R324" s="603"/>
      <c r="S324" s="603"/>
      <c r="T324" s="603"/>
      <c r="U324" s="603"/>
      <c r="V324" s="603"/>
      <c r="W324" s="603"/>
      <c r="X324" s="603"/>
      <c r="Y324" s="603"/>
      <c r="Z324" s="603"/>
    </row>
    <row r="325" spans="1:26" ht="18" customHeight="1" x14ac:dyDescent="0.2">
      <c r="A325" s="603"/>
      <c r="B325" s="603"/>
      <c r="C325" s="603"/>
      <c r="D325" s="603"/>
      <c r="E325" s="603"/>
      <c r="F325" s="603"/>
      <c r="G325" s="603"/>
      <c r="H325" s="603"/>
      <c r="I325" s="603"/>
      <c r="J325" s="603"/>
      <c r="K325" s="603"/>
      <c r="L325" s="603"/>
      <c r="M325" s="603"/>
      <c r="N325" s="603"/>
      <c r="O325" s="603"/>
      <c r="P325" s="603"/>
      <c r="Q325" s="603"/>
      <c r="R325" s="603"/>
      <c r="S325" s="603"/>
      <c r="T325" s="603"/>
      <c r="U325" s="603"/>
      <c r="V325" s="603"/>
      <c r="W325" s="603"/>
      <c r="X325" s="603"/>
      <c r="Y325" s="603"/>
      <c r="Z325" s="603"/>
    </row>
    <row r="326" spans="1:26" ht="18" customHeight="1" x14ac:dyDescent="0.2">
      <c r="A326" s="603"/>
      <c r="B326" s="603"/>
      <c r="C326" s="603"/>
      <c r="D326" s="603"/>
      <c r="E326" s="603"/>
      <c r="F326" s="603"/>
      <c r="G326" s="603"/>
      <c r="H326" s="603"/>
      <c r="I326" s="603"/>
      <c r="J326" s="603"/>
      <c r="K326" s="603"/>
      <c r="L326" s="603"/>
      <c r="M326" s="603"/>
      <c r="N326" s="603"/>
      <c r="O326" s="603"/>
      <c r="P326" s="603"/>
      <c r="Q326" s="603"/>
      <c r="R326" s="603"/>
      <c r="S326" s="603"/>
      <c r="T326" s="603"/>
      <c r="U326" s="603"/>
      <c r="V326" s="603"/>
      <c r="W326" s="603"/>
      <c r="X326" s="603"/>
      <c r="Y326" s="603"/>
      <c r="Z326" s="603"/>
    </row>
    <row r="327" spans="1:26" ht="18" customHeight="1" x14ac:dyDescent="0.2">
      <c r="A327" s="603"/>
      <c r="B327" s="603"/>
      <c r="C327" s="603"/>
      <c r="D327" s="603"/>
      <c r="E327" s="603"/>
      <c r="F327" s="603"/>
      <c r="G327" s="603"/>
      <c r="H327" s="603"/>
      <c r="I327" s="603"/>
      <c r="J327" s="603"/>
      <c r="K327" s="603"/>
      <c r="L327" s="603"/>
      <c r="M327" s="603"/>
      <c r="N327" s="603"/>
      <c r="O327" s="603"/>
      <c r="P327" s="603"/>
      <c r="Q327" s="603"/>
      <c r="R327" s="603"/>
      <c r="S327" s="603"/>
      <c r="T327" s="603"/>
      <c r="U327" s="603"/>
      <c r="V327" s="603"/>
      <c r="W327" s="603"/>
      <c r="X327" s="603"/>
      <c r="Y327" s="603"/>
      <c r="Z327" s="603"/>
    </row>
    <row r="328" spans="1:26" ht="18" customHeight="1" x14ac:dyDescent="0.2">
      <c r="A328" s="603"/>
      <c r="B328" s="603"/>
      <c r="C328" s="603"/>
      <c r="D328" s="603"/>
      <c r="E328" s="603"/>
      <c r="F328" s="603"/>
      <c r="G328" s="603"/>
      <c r="H328" s="603"/>
      <c r="I328" s="603"/>
      <c r="J328" s="603"/>
      <c r="K328" s="603"/>
      <c r="L328" s="603"/>
      <c r="M328" s="603"/>
      <c r="N328" s="603"/>
      <c r="O328" s="603"/>
      <c r="P328" s="603"/>
      <c r="Q328" s="603"/>
      <c r="R328" s="603"/>
      <c r="S328" s="603"/>
      <c r="T328" s="603"/>
      <c r="U328" s="603"/>
      <c r="V328" s="603"/>
      <c r="W328" s="603"/>
      <c r="X328" s="603"/>
      <c r="Y328" s="603"/>
      <c r="Z328" s="603"/>
    </row>
    <row r="329" spans="1:26" ht="18" customHeight="1" x14ac:dyDescent="0.2">
      <c r="A329" s="603"/>
      <c r="B329" s="603"/>
      <c r="C329" s="603"/>
      <c r="D329" s="603"/>
      <c r="E329" s="603"/>
      <c r="F329" s="603"/>
      <c r="G329" s="603"/>
      <c r="H329" s="603"/>
      <c r="I329" s="603"/>
      <c r="J329" s="603"/>
      <c r="K329" s="603"/>
      <c r="L329" s="603"/>
      <c r="M329" s="603"/>
      <c r="N329" s="603"/>
      <c r="O329" s="603"/>
      <c r="P329" s="603"/>
      <c r="Q329" s="603"/>
      <c r="R329" s="603"/>
      <c r="S329" s="603"/>
      <c r="T329" s="603"/>
      <c r="U329" s="603"/>
      <c r="V329" s="603"/>
      <c r="W329" s="603"/>
      <c r="X329" s="603"/>
      <c r="Y329" s="603"/>
      <c r="Z329" s="603"/>
    </row>
    <row r="330" spans="1:26" ht="18" customHeight="1" x14ac:dyDescent="0.2">
      <c r="A330" s="603"/>
      <c r="B330" s="603"/>
      <c r="C330" s="603"/>
      <c r="D330" s="603"/>
      <c r="E330" s="603"/>
      <c r="F330" s="603"/>
      <c r="G330" s="603"/>
      <c r="H330" s="603"/>
      <c r="I330" s="603"/>
      <c r="J330" s="603"/>
      <c r="K330" s="603"/>
      <c r="L330" s="603"/>
      <c r="M330" s="603"/>
      <c r="N330" s="603"/>
      <c r="O330" s="603"/>
      <c r="P330" s="603"/>
      <c r="Q330" s="603"/>
      <c r="R330" s="603"/>
      <c r="S330" s="603"/>
      <c r="T330" s="603"/>
      <c r="U330" s="603"/>
      <c r="V330" s="603"/>
      <c r="W330" s="603"/>
      <c r="X330" s="603"/>
      <c r="Y330" s="603"/>
      <c r="Z330" s="603"/>
    </row>
    <row r="331" spans="1:26" ht="18" customHeight="1" x14ac:dyDescent="0.2">
      <c r="A331" s="603"/>
      <c r="B331" s="603"/>
      <c r="C331" s="603"/>
      <c r="D331" s="603"/>
      <c r="E331" s="603"/>
      <c r="F331" s="603"/>
      <c r="G331" s="603"/>
      <c r="H331" s="603"/>
      <c r="I331" s="603"/>
      <c r="J331" s="603"/>
      <c r="K331" s="603"/>
      <c r="L331" s="603"/>
      <c r="M331" s="603"/>
      <c r="N331" s="603"/>
      <c r="O331" s="603"/>
      <c r="P331" s="603"/>
      <c r="Q331" s="603"/>
      <c r="R331" s="603"/>
      <c r="S331" s="603"/>
      <c r="T331" s="603"/>
      <c r="U331" s="603"/>
      <c r="V331" s="603"/>
      <c r="W331" s="603"/>
      <c r="X331" s="603"/>
      <c r="Y331" s="603"/>
      <c r="Z331" s="603"/>
    </row>
    <row r="332" spans="1:26" ht="18" customHeight="1" x14ac:dyDescent="0.2">
      <c r="A332" s="603"/>
      <c r="B332" s="603"/>
      <c r="C332" s="603"/>
      <c r="D332" s="603"/>
      <c r="E332" s="603"/>
      <c r="F332" s="603"/>
      <c r="G332" s="603"/>
      <c r="H332" s="603"/>
      <c r="I332" s="603"/>
      <c r="J332" s="603"/>
      <c r="K332" s="603"/>
      <c r="L332" s="603"/>
      <c r="M332" s="603"/>
      <c r="N332" s="603"/>
      <c r="O332" s="603"/>
      <c r="P332" s="603"/>
      <c r="Q332" s="603"/>
      <c r="R332" s="603"/>
      <c r="S332" s="603"/>
      <c r="T332" s="603"/>
      <c r="U332" s="603"/>
      <c r="V332" s="603"/>
      <c r="W332" s="603"/>
      <c r="X332" s="603"/>
      <c r="Y332" s="603"/>
      <c r="Z332" s="603"/>
    </row>
    <row r="333" spans="1:26" ht="18" customHeight="1" x14ac:dyDescent="0.2">
      <c r="A333" s="603"/>
      <c r="B333" s="603"/>
      <c r="C333" s="603"/>
      <c r="D333" s="603"/>
      <c r="E333" s="603"/>
      <c r="F333" s="603"/>
      <c r="G333" s="603"/>
      <c r="H333" s="603"/>
      <c r="I333" s="603"/>
      <c r="J333" s="603"/>
      <c r="K333" s="603"/>
      <c r="L333" s="603"/>
      <c r="M333" s="603"/>
      <c r="N333" s="603"/>
      <c r="O333" s="603"/>
      <c r="P333" s="603"/>
      <c r="Q333" s="603"/>
      <c r="R333" s="603"/>
      <c r="S333" s="603"/>
      <c r="T333" s="603"/>
      <c r="U333" s="603"/>
      <c r="V333" s="603"/>
      <c r="W333" s="603"/>
      <c r="X333" s="603"/>
      <c r="Y333" s="603"/>
      <c r="Z333" s="603"/>
    </row>
    <row r="334" spans="1:26" ht="18" customHeight="1" x14ac:dyDescent="0.2">
      <c r="A334" s="603"/>
      <c r="B334" s="603"/>
      <c r="C334" s="603"/>
      <c r="D334" s="603"/>
      <c r="E334" s="603"/>
      <c r="F334" s="603"/>
      <c r="G334" s="603"/>
      <c r="H334" s="603"/>
      <c r="I334" s="603"/>
      <c r="J334" s="603"/>
      <c r="K334" s="603"/>
      <c r="L334" s="603"/>
      <c r="M334" s="603"/>
      <c r="N334" s="603"/>
      <c r="O334" s="603"/>
      <c r="P334" s="603"/>
      <c r="Q334" s="603"/>
      <c r="R334" s="603"/>
      <c r="S334" s="603"/>
      <c r="T334" s="603"/>
      <c r="U334" s="603"/>
      <c r="V334" s="603"/>
      <c r="W334" s="603"/>
      <c r="X334" s="603"/>
      <c r="Y334" s="603"/>
      <c r="Z334" s="603"/>
    </row>
    <row r="335" spans="1:26" ht="18" customHeight="1" x14ac:dyDescent="0.2">
      <c r="A335" s="603"/>
      <c r="B335" s="603"/>
      <c r="C335" s="603"/>
      <c r="D335" s="603"/>
      <c r="E335" s="603"/>
      <c r="F335" s="603"/>
      <c r="G335" s="603"/>
      <c r="H335" s="603"/>
      <c r="I335" s="603"/>
      <c r="J335" s="603"/>
      <c r="K335" s="603"/>
      <c r="L335" s="603"/>
      <c r="M335" s="603"/>
      <c r="N335" s="603"/>
      <c r="O335" s="603"/>
      <c r="P335" s="603"/>
      <c r="Q335" s="603"/>
      <c r="R335" s="603"/>
      <c r="S335" s="603"/>
      <c r="T335" s="603"/>
      <c r="U335" s="603"/>
      <c r="V335" s="603"/>
      <c r="W335" s="603"/>
      <c r="X335" s="603"/>
      <c r="Y335" s="603"/>
      <c r="Z335" s="603"/>
    </row>
    <row r="336" spans="1:26" ht="18" customHeight="1" x14ac:dyDescent="0.2">
      <c r="A336" s="603"/>
      <c r="B336" s="603"/>
      <c r="C336" s="603"/>
      <c r="D336" s="603"/>
      <c r="E336" s="603"/>
      <c r="F336" s="603"/>
      <c r="G336" s="603"/>
      <c r="H336" s="603"/>
      <c r="I336" s="603"/>
      <c r="J336" s="603"/>
      <c r="K336" s="603"/>
      <c r="L336" s="603"/>
      <c r="M336" s="603"/>
      <c r="N336" s="603"/>
      <c r="O336" s="603"/>
      <c r="P336" s="603"/>
      <c r="Q336" s="603"/>
      <c r="R336" s="603"/>
      <c r="S336" s="603"/>
      <c r="T336" s="603"/>
      <c r="U336" s="603"/>
      <c r="V336" s="603"/>
      <c r="W336" s="603"/>
      <c r="X336" s="603"/>
      <c r="Y336" s="603"/>
      <c r="Z336" s="603"/>
    </row>
    <row r="337" spans="1:26" ht="18" customHeight="1" x14ac:dyDescent="0.2">
      <c r="A337" s="603"/>
      <c r="B337" s="603"/>
      <c r="C337" s="603"/>
      <c r="D337" s="603"/>
      <c r="E337" s="603"/>
      <c r="F337" s="603"/>
      <c r="G337" s="603"/>
      <c r="H337" s="603"/>
      <c r="I337" s="603"/>
      <c r="J337" s="603"/>
      <c r="K337" s="603"/>
      <c r="L337" s="603"/>
      <c r="M337" s="603"/>
      <c r="N337" s="603"/>
      <c r="O337" s="603"/>
      <c r="P337" s="603"/>
      <c r="Q337" s="603"/>
      <c r="R337" s="603"/>
      <c r="S337" s="603"/>
      <c r="T337" s="603"/>
      <c r="U337" s="603"/>
      <c r="V337" s="603"/>
      <c r="W337" s="603"/>
      <c r="X337" s="603"/>
      <c r="Y337" s="603"/>
      <c r="Z337" s="603"/>
    </row>
    <row r="338" spans="1:26" ht="18" customHeight="1" x14ac:dyDescent="0.2">
      <c r="A338" s="603"/>
      <c r="B338" s="603"/>
      <c r="C338" s="603"/>
      <c r="D338" s="603"/>
      <c r="E338" s="603"/>
      <c r="F338" s="603"/>
      <c r="G338" s="603"/>
      <c r="H338" s="603"/>
      <c r="I338" s="603"/>
      <c r="J338" s="603"/>
      <c r="K338" s="603"/>
      <c r="L338" s="603"/>
      <c r="M338" s="603"/>
      <c r="N338" s="603"/>
      <c r="O338" s="603"/>
      <c r="P338" s="603"/>
      <c r="Q338" s="603"/>
      <c r="R338" s="603"/>
      <c r="S338" s="603"/>
      <c r="T338" s="603"/>
      <c r="U338" s="603"/>
      <c r="V338" s="603"/>
      <c r="W338" s="603"/>
      <c r="X338" s="603"/>
      <c r="Y338" s="603"/>
      <c r="Z338" s="603"/>
    </row>
    <row r="339" spans="1:26" ht="18" customHeight="1" x14ac:dyDescent="0.2">
      <c r="A339" s="603"/>
      <c r="B339" s="603"/>
      <c r="C339" s="603"/>
      <c r="D339" s="603"/>
      <c r="E339" s="603"/>
      <c r="F339" s="603"/>
      <c r="G339" s="603"/>
      <c r="H339" s="603"/>
      <c r="I339" s="603"/>
      <c r="J339" s="603"/>
      <c r="K339" s="603"/>
      <c r="L339" s="603"/>
      <c r="M339" s="603"/>
      <c r="N339" s="603"/>
      <c r="O339" s="603"/>
      <c r="P339" s="603"/>
      <c r="Q339" s="603"/>
      <c r="R339" s="603"/>
      <c r="S339" s="603"/>
      <c r="T339" s="603"/>
      <c r="U339" s="603"/>
      <c r="V339" s="603"/>
      <c r="W339" s="603"/>
      <c r="X339" s="603"/>
      <c r="Y339" s="603"/>
      <c r="Z339" s="603"/>
    </row>
    <row r="340" spans="1:26" ht="18" customHeight="1" x14ac:dyDescent="0.2">
      <c r="A340" s="603"/>
      <c r="B340" s="603"/>
      <c r="C340" s="603"/>
      <c r="D340" s="603"/>
      <c r="E340" s="603"/>
      <c r="F340" s="603"/>
      <c r="G340" s="603"/>
      <c r="H340" s="603"/>
      <c r="I340" s="603"/>
      <c r="J340" s="603"/>
      <c r="K340" s="603"/>
      <c r="L340" s="603"/>
      <c r="M340" s="603"/>
      <c r="N340" s="603"/>
      <c r="O340" s="603"/>
      <c r="P340" s="603"/>
      <c r="Q340" s="603"/>
      <c r="R340" s="603"/>
      <c r="S340" s="603"/>
      <c r="T340" s="603"/>
      <c r="U340" s="603"/>
      <c r="V340" s="603"/>
      <c r="W340" s="603"/>
      <c r="X340" s="603"/>
      <c r="Y340" s="603"/>
      <c r="Z340" s="603"/>
    </row>
    <row r="341" spans="1:26" ht="18" customHeight="1" x14ac:dyDescent="0.2">
      <c r="A341" s="603"/>
      <c r="B341" s="603"/>
      <c r="C341" s="603"/>
      <c r="D341" s="603"/>
      <c r="E341" s="603"/>
      <c r="F341" s="603"/>
      <c r="G341" s="603"/>
      <c r="H341" s="603"/>
      <c r="I341" s="603"/>
      <c r="J341" s="603"/>
      <c r="K341" s="603"/>
      <c r="L341" s="603"/>
      <c r="M341" s="603"/>
      <c r="N341" s="603"/>
      <c r="O341" s="603"/>
      <c r="P341" s="603"/>
      <c r="Q341" s="603"/>
      <c r="R341" s="603"/>
      <c r="S341" s="603"/>
      <c r="T341" s="603"/>
      <c r="U341" s="603"/>
      <c r="V341" s="603"/>
      <c r="W341" s="603"/>
      <c r="X341" s="603"/>
      <c r="Y341" s="603"/>
      <c r="Z341" s="603"/>
    </row>
    <row r="342" spans="1:26" ht="18" customHeight="1" x14ac:dyDescent="0.2">
      <c r="A342" s="603"/>
      <c r="B342" s="603"/>
      <c r="C342" s="603"/>
      <c r="D342" s="603"/>
      <c r="E342" s="603"/>
      <c r="F342" s="603"/>
      <c r="G342" s="603"/>
      <c r="H342" s="603"/>
      <c r="I342" s="603"/>
      <c r="J342" s="603"/>
      <c r="K342" s="603"/>
      <c r="L342" s="603"/>
      <c r="M342" s="603"/>
      <c r="N342" s="603"/>
      <c r="O342" s="603"/>
      <c r="P342" s="603"/>
      <c r="Q342" s="603"/>
      <c r="R342" s="603"/>
      <c r="S342" s="603"/>
      <c r="T342" s="603"/>
      <c r="U342" s="603"/>
      <c r="V342" s="603"/>
      <c r="W342" s="603"/>
      <c r="X342" s="603"/>
      <c r="Y342" s="603"/>
      <c r="Z342" s="603"/>
    </row>
    <row r="343" spans="1:26" ht="18" customHeight="1" x14ac:dyDescent="0.2">
      <c r="A343" s="603"/>
      <c r="B343" s="603"/>
      <c r="C343" s="603"/>
      <c r="D343" s="603"/>
      <c r="E343" s="603"/>
      <c r="F343" s="603"/>
      <c r="G343" s="603"/>
      <c r="H343" s="603"/>
      <c r="I343" s="603"/>
      <c r="J343" s="603"/>
      <c r="K343" s="603"/>
      <c r="L343" s="603"/>
      <c r="M343" s="603"/>
      <c r="N343" s="603"/>
      <c r="O343" s="603"/>
      <c r="P343" s="603"/>
      <c r="Q343" s="603"/>
      <c r="R343" s="603"/>
      <c r="S343" s="603"/>
      <c r="T343" s="603"/>
      <c r="U343" s="603"/>
      <c r="V343" s="603"/>
      <c r="W343" s="603"/>
      <c r="X343" s="603"/>
      <c r="Y343" s="603"/>
      <c r="Z343" s="603"/>
    </row>
    <row r="344" spans="1:26" ht="18" customHeight="1" x14ac:dyDescent="0.2">
      <c r="A344" s="603"/>
      <c r="B344" s="603"/>
      <c r="C344" s="603"/>
      <c r="D344" s="603"/>
      <c r="E344" s="603"/>
      <c r="F344" s="603"/>
      <c r="G344" s="603"/>
      <c r="H344" s="603"/>
      <c r="I344" s="603"/>
      <c r="J344" s="603"/>
      <c r="K344" s="603"/>
      <c r="L344" s="603"/>
      <c r="M344" s="603"/>
      <c r="N344" s="603"/>
      <c r="O344" s="603"/>
      <c r="P344" s="603"/>
      <c r="Q344" s="603"/>
      <c r="R344" s="603"/>
      <c r="S344" s="603"/>
      <c r="T344" s="603"/>
      <c r="U344" s="603"/>
      <c r="V344" s="603"/>
      <c r="W344" s="603"/>
      <c r="X344" s="603"/>
      <c r="Y344" s="603"/>
      <c r="Z344" s="603"/>
    </row>
    <row r="345" spans="1:26" ht="18" customHeight="1" x14ac:dyDescent="0.2">
      <c r="A345" s="603"/>
      <c r="B345" s="603"/>
      <c r="C345" s="603"/>
      <c r="D345" s="603"/>
      <c r="E345" s="603"/>
      <c r="F345" s="603"/>
      <c r="G345" s="603"/>
      <c r="H345" s="603"/>
      <c r="I345" s="603"/>
      <c r="J345" s="603"/>
      <c r="K345" s="603"/>
      <c r="L345" s="603"/>
      <c r="M345" s="603"/>
      <c r="N345" s="603"/>
      <c r="O345" s="603"/>
      <c r="P345" s="603"/>
      <c r="Q345" s="603"/>
      <c r="R345" s="603"/>
      <c r="S345" s="603"/>
      <c r="T345" s="603"/>
      <c r="U345" s="603"/>
      <c r="V345" s="603"/>
      <c r="W345" s="603"/>
      <c r="X345" s="603"/>
      <c r="Y345" s="603"/>
      <c r="Z345" s="603"/>
    </row>
    <row r="346" spans="1:26" ht="18" customHeight="1" x14ac:dyDescent="0.2">
      <c r="A346" s="603"/>
      <c r="B346" s="603"/>
      <c r="C346" s="603"/>
      <c r="D346" s="603"/>
      <c r="E346" s="603"/>
      <c r="F346" s="603"/>
      <c r="G346" s="603"/>
      <c r="H346" s="603"/>
      <c r="I346" s="603"/>
      <c r="J346" s="603"/>
      <c r="K346" s="603"/>
      <c r="L346" s="603"/>
      <c r="M346" s="603"/>
      <c r="N346" s="603"/>
      <c r="O346" s="603"/>
      <c r="P346" s="603"/>
      <c r="Q346" s="603"/>
      <c r="R346" s="603"/>
      <c r="S346" s="603"/>
      <c r="T346" s="603"/>
      <c r="U346" s="603"/>
      <c r="V346" s="603"/>
      <c r="W346" s="603"/>
      <c r="X346" s="603"/>
      <c r="Y346" s="603"/>
      <c r="Z346" s="603"/>
    </row>
    <row r="347" spans="1:26" ht="18" customHeight="1" x14ac:dyDescent="0.2">
      <c r="A347" s="603"/>
      <c r="B347" s="603"/>
      <c r="C347" s="603"/>
      <c r="D347" s="603"/>
      <c r="E347" s="603"/>
      <c r="F347" s="603"/>
      <c r="G347" s="603"/>
      <c r="H347" s="603"/>
      <c r="I347" s="603"/>
      <c r="J347" s="603"/>
      <c r="K347" s="603"/>
      <c r="L347" s="603"/>
      <c r="M347" s="603"/>
      <c r="N347" s="603"/>
      <c r="O347" s="603"/>
      <c r="P347" s="603"/>
      <c r="Q347" s="603"/>
      <c r="R347" s="603"/>
      <c r="S347" s="603"/>
      <c r="T347" s="603"/>
      <c r="U347" s="603"/>
      <c r="V347" s="603"/>
      <c r="W347" s="603"/>
      <c r="X347" s="603"/>
      <c r="Y347" s="603"/>
      <c r="Z347" s="603"/>
    </row>
    <row r="348" spans="1:26" ht="18" customHeight="1" x14ac:dyDescent="0.2">
      <c r="A348" s="603"/>
      <c r="B348" s="603"/>
      <c r="C348" s="603"/>
      <c r="D348" s="603"/>
      <c r="E348" s="603"/>
      <c r="F348" s="603"/>
      <c r="G348" s="603"/>
      <c r="H348" s="603"/>
      <c r="I348" s="603"/>
      <c r="J348" s="603"/>
      <c r="K348" s="603"/>
      <c r="L348" s="603"/>
      <c r="M348" s="603"/>
      <c r="N348" s="603"/>
      <c r="O348" s="603"/>
      <c r="P348" s="603"/>
      <c r="Q348" s="603"/>
      <c r="R348" s="603"/>
      <c r="S348" s="603"/>
      <c r="T348" s="603"/>
      <c r="U348" s="603"/>
      <c r="V348" s="603"/>
      <c r="W348" s="603"/>
      <c r="X348" s="603"/>
      <c r="Y348" s="603"/>
      <c r="Z348" s="603"/>
    </row>
    <row r="349" spans="1:26" ht="18" customHeight="1" x14ac:dyDescent="0.2">
      <c r="A349" s="603"/>
      <c r="B349" s="603"/>
      <c r="C349" s="603"/>
      <c r="D349" s="603"/>
      <c r="E349" s="603"/>
      <c r="F349" s="603"/>
      <c r="G349" s="603"/>
      <c r="H349" s="603"/>
      <c r="I349" s="603"/>
      <c r="J349" s="603"/>
      <c r="K349" s="603"/>
      <c r="L349" s="603"/>
      <c r="M349" s="603"/>
      <c r="N349" s="603"/>
      <c r="O349" s="603"/>
      <c r="P349" s="603"/>
      <c r="Q349" s="603"/>
      <c r="R349" s="603"/>
      <c r="S349" s="603"/>
      <c r="T349" s="603"/>
      <c r="U349" s="603"/>
      <c r="V349" s="603"/>
      <c r="W349" s="603"/>
      <c r="X349" s="603"/>
      <c r="Y349" s="603"/>
      <c r="Z349" s="603"/>
    </row>
    <row r="350" spans="1:26" ht="18" customHeight="1" x14ac:dyDescent="0.2">
      <c r="A350" s="603"/>
      <c r="B350" s="603"/>
      <c r="C350" s="603"/>
      <c r="D350" s="603"/>
      <c r="E350" s="603"/>
      <c r="F350" s="603"/>
      <c r="G350" s="603"/>
      <c r="H350" s="603"/>
      <c r="I350" s="603"/>
      <c r="J350" s="603"/>
      <c r="K350" s="603"/>
      <c r="L350" s="603"/>
      <c r="M350" s="603"/>
      <c r="N350" s="603"/>
      <c r="O350" s="603"/>
      <c r="P350" s="603"/>
      <c r="Q350" s="603"/>
      <c r="R350" s="603"/>
      <c r="S350" s="603"/>
      <c r="T350" s="603"/>
      <c r="U350" s="603"/>
      <c r="V350" s="603"/>
      <c r="W350" s="603"/>
      <c r="X350" s="603"/>
      <c r="Y350" s="603"/>
      <c r="Z350" s="603"/>
    </row>
    <row r="351" spans="1:26" ht="18" customHeight="1" x14ac:dyDescent="0.2">
      <c r="A351" s="603"/>
      <c r="B351" s="603"/>
      <c r="C351" s="603"/>
      <c r="D351" s="603"/>
      <c r="E351" s="603"/>
      <c r="F351" s="603"/>
      <c r="G351" s="603"/>
      <c r="H351" s="603"/>
      <c r="I351" s="603"/>
      <c r="J351" s="603"/>
      <c r="K351" s="603"/>
      <c r="L351" s="603"/>
      <c r="M351" s="603"/>
      <c r="N351" s="603"/>
      <c r="O351" s="603"/>
      <c r="P351" s="603"/>
      <c r="Q351" s="603"/>
      <c r="R351" s="603"/>
      <c r="S351" s="603"/>
      <c r="T351" s="603"/>
      <c r="U351" s="603"/>
      <c r="V351" s="603"/>
      <c r="W351" s="603"/>
      <c r="X351" s="603"/>
      <c r="Y351" s="603"/>
      <c r="Z351" s="603"/>
    </row>
    <row r="352" spans="1:26" ht="18" customHeight="1" x14ac:dyDescent="0.2">
      <c r="A352" s="603"/>
      <c r="B352" s="603"/>
      <c r="C352" s="603"/>
      <c r="D352" s="603"/>
      <c r="E352" s="603"/>
      <c r="F352" s="603"/>
      <c r="G352" s="603"/>
      <c r="H352" s="603"/>
      <c r="I352" s="603"/>
      <c r="J352" s="603"/>
      <c r="K352" s="603"/>
      <c r="L352" s="603"/>
      <c r="M352" s="603"/>
      <c r="N352" s="603"/>
      <c r="O352" s="603"/>
      <c r="P352" s="603"/>
      <c r="Q352" s="603"/>
      <c r="R352" s="603"/>
      <c r="S352" s="603"/>
      <c r="T352" s="603"/>
      <c r="U352" s="603"/>
      <c r="V352" s="603"/>
      <c r="W352" s="603"/>
      <c r="X352" s="603"/>
      <c r="Y352" s="603"/>
      <c r="Z352" s="603"/>
    </row>
    <row r="353" spans="1:26" ht="18" customHeight="1" x14ac:dyDescent="0.2">
      <c r="A353" s="603"/>
      <c r="B353" s="603"/>
      <c r="C353" s="603"/>
      <c r="D353" s="603"/>
      <c r="E353" s="603"/>
      <c r="F353" s="603"/>
      <c r="G353" s="603"/>
      <c r="H353" s="603"/>
      <c r="I353" s="603"/>
      <c r="J353" s="603"/>
      <c r="K353" s="603"/>
      <c r="L353" s="603"/>
      <c r="M353" s="603"/>
      <c r="N353" s="603"/>
      <c r="O353" s="603"/>
      <c r="P353" s="603"/>
      <c r="Q353" s="603"/>
      <c r="R353" s="603"/>
      <c r="S353" s="603"/>
      <c r="T353" s="603"/>
      <c r="U353" s="603"/>
      <c r="V353" s="603"/>
      <c r="W353" s="603"/>
      <c r="X353" s="603"/>
      <c r="Y353" s="603"/>
      <c r="Z353" s="603"/>
    </row>
    <row r="354" spans="1:26" ht="18" customHeight="1" x14ac:dyDescent="0.2">
      <c r="A354" s="603"/>
      <c r="B354" s="603"/>
      <c r="C354" s="603"/>
      <c r="D354" s="603"/>
      <c r="E354" s="603"/>
      <c r="F354" s="603"/>
      <c r="G354" s="603"/>
      <c r="H354" s="603"/>
      <c r="I354" s="603"/>
      <c r="J354" s="603"/>
      <c r="K354" s="603"/>
      <c r="L354" s="603"/>
      <c r="M354" s="603"/>
      <c r="N354" s="603"/>
      <c r="O354" s="603"/>
      <c r="P354" s="603"/>
      <c r="Q354" s="603"/>
      <c r="R354" s="603"/>
      <c r="S354" s="603"/>
      <c r="T354" s="603"/>
      <c r="U354" s="603"/>
      <c r="V354" s="603"/>
      <c r="W354" s="603"/>
      <c r="X354" s="603"/>
      <c r="Y354" s="603"/>
      <c r="Z354" s="603"/>
    </row>
    <row r="355" spans="1:26" ht="18" customHeight="1" x14ac:dyDescent="0.2">
      <c r="A355" s="603"/>
      <c r="B355" s="603"/>
      <c r="C355" s="603"/>
      <c r="D355" s="603"/>
      <c r="E355" s="603"/>
      <c r="F355" s="603"/>
      <c r="G355" s="603"/>
      <c r="H355" s="603"/>
      <c r="I355" s="603"/>
      <c r="J355" s="603"/>
      <c r="K355" s="603"/>
      <c r="L355" s="603"/>
      <c r="M355" s="603"/>
      <c r="N355" s="603"/>
      <c r="O355" s="603"/>
      <c r="P355" s="603"/>
      <c r="Q355" s="603"/>
      <c r="R355" s="603"/>
      <c r="S355" s="603"/>
      <c r="T355" s="603"/>
      <c r="U355" s="603"/>
      <c r="V355" s="603"/>
      <c r="W355" s="603"/>
      <c r="X355" s="603"/>
      <c r="Y355" s="603"/>
      <c r="Z355" s="603"/>
    </row>
    <row r="356" spans="1:26" ht="18" customHeight="1" x14ac:dyDescent="0.2">
      <c r="A356" s="603"/>
      <c r="B356" s="603"/>
      <c r="C356" s="603"/>
      <c r="D356" s="603"/>
      <c r="E356" s="603"/>
      <c r="F356" s="603"/>
      <c r="G356" s="603"/>
      <c r="H356" s="603"/>
      <c r="I356" s="603"/>
      <c r="J356" s="603"/>
      <c r="K356" s="603"/>
      <c r="L356" s="603"/>
      <c r="M356" s="603"/>
      <c r="N356" s="603"/>
      <c r="O356" s="603"/>
      <c r="P356" s="603"/>
      <c r="Q356" s="603"/>
      <c r="R356" s="603"/>
      <c r="S356" s="603"/>
      <c r="T356" s="603"/>
      <c r="U356" s="603"/>
      <c r="V356" s="603"/>
      <c r="W356" s="603"/>
      <c r="X356" s="603"/>
      <c r="Y356" s="603"/>
      <c r="Z356" s="603"/>
    </row>
    <row r="357" spans="1:26" ht="18" customHeight="1" x14ac:dyDescent="0.2">
      <c r="A357" s="603"/>
      <c r="B357" s="603"/>
      <c r="C357" s="603"/>
      <c r="D357" s="603"/>
      <c r="E357" s="603"/>
      <c r="F357" s="603"/>
      <c r="G357" s="603"/>
      <c r="H357" s="603"/>
      <c r="I357" s="603"/>
      <c r="J357" s="603"/>
      <c r="K357" s="603"/>
      <c r="L357" s="603"/>
      <c r="M357" s="603"/>
      <c r="N357" s="603"/>
      <c r="O357" s="603"/>
      <c r="P357" s="603"/>
      <c r="Q357" s="603"/>
      <c r="R357" s="603"/>
      <c r="S357" s="603"/>
      <c r="T357" s="603"/>
      <c r="U357" s="603"/>
      <c r="V357" s="603"/>
      <c r="W357" s="603"/>
      <c r="X357" s="603"/>
      <c r="Y357" s="603"/>
      <c r="Z357" s="603"/>
    </row>
    <row r="358" spans="1:26" ht="18" customHeight="1" x14ac:dyDescent="0.2">
      <c r="A358" s="603"/>
      <c r="B358" s="603"/>
      <c r="C358" s="603"/>
      <c r="D358" s="603"/>
      <c r="E358" s="603"/>
      <c r="F358" s="603"/>
      <c r="G358" s="603"/>
      <c r="H358" s="603"/>
      <c r="I358" s="603"/>
      <c r="J358" s="603"/>
      <c r="K358" s="603"/>
      <c r="L358" s="603"/>
      <c r="M358" s="603"/>
      <c r="N358" s="603"/>
      <c r="O358" s="603"/>
      <c r="P358" s="603"/>
      <c r="Q358" s="603"/>
      <c r="R358" s="603"/>
      <c r="S358" s="603"/>
      <c r="T358" s="603"/>
      <c r="U358" s="603"/>
      <c r="V358" s="603"/>
      <c r="W358" s="603"/>
      <c r="X358" s="603"/>
      <c r="Y358" s="603"/>
      <c r="Z358" s="603"/>
    </row>
    <row r="359" spans="1:26" ht="18" customHeight="1" x14ac:dyDescent="0.2">
      <c r="A359" s="603"/>
      <c r="B359" s="603"/>
      <c r="C359" s="603"/>
      <c r="D359" s="603"/>
      <c r="E359" s="603"/>
      <c r="F359" s="603"/>
      <c r="G359" s="603"/>
      <c r="H359" s="603"/>
      <c r="I359" s="603"/>
      <c r="J359" s="603"/>
      <c r="K359" s="603"/>
      <c r="L359" s="603"/>
      <c r="M359" s="603"/>
      <c r="N359" s="603"/>
      <c r="O359" s="603"/>
      <c r="P359" s="603"/>
      <c r="Q359" s="603"/>
      <c r="R359" s="603"/>
      <c r="S359" s="603"/>
      <c r="T359" s="603"/>
      <c r="U359" s="603"/>
      <c r="V359" s="603"/>
      <c r="W359" s="603"/>
      <c r="X359" s="603"/>
      <c r="Y359" s="603"/>
      <c r="Z359" s="603"/>
    </row>
    <row r="360" spans="1:26" ht="18" customHeight="1" x14ac:dyDescent="0.2">
      <c r="A360" s="603"/>
      <c r="B360" s="603"/>
      <c r="C360" s="603"/>
      <c r="D360" s="603"/>
      <c r="E360" s="603"/>
      <c r="F360" s="603"/>
      <c r="G360" s="603"/>
      <c r="H360" s="603"/>
      <c r="I360" s="603"/>
      <c r="J360" s="603"/>
      <c r="K360" s="603"/>
      <c r="L360" s="603"/>
      <c r="M360" s="603"/>
      <c r="N360" s="603"/>
      <c r="O360" s="603"/>
      <c r="P360" s="603"/>
      <c r="Q360" s="603"/>
      <c r="R360" s="603"/>
      <c r="S360" s="603"/>
      <c r="T360" s="603"/>
      <c r="U360" s="603"/>
      <c r="V360" s="603"/>
      <c r="W360" s="603"/>
      <c r="X360" s="603"/>
      <c r="Y360" s="603"/>
      <c r="Z360" s="603"/>
    </row>
    <row r="361" spans="1:26" ht="18" customHeight="1" x14ac:dyDescent="0.2">
      <c r="A361" s="603"/>
      <c r="B361" s="603"/>
      <c r="C361" s="603"/>
      <c r="D361" s="603"/>
      <c r="E361" s="603"/>
      <c r="F361" s="603"/>
      <c r="G361" s="603"/>
      <c r="H361" s="603"/>
      <c r="I361" s="603"/>
      <c r="J361" s="603"/>
      <c r="K361" s="603"/>
      <c r="L361" s="603"/>
      <c r="M361" s="603"/>
      <c r="N361" s="603"/>
      <c r="O361" s="603"/>
      <c r="P361" s="603"/>
      <c r="Q361" s="603"/>
      <c r="R361" s="603"/>
      <c r="S361" s="603"/>
      <c r="T361" s="603"/>
      <c r="U361" s="603"/>
      <c r="V361" s="603"/>
      <c r="W361" s="603"/>
      <c r="X361" s="603"/>
      <c r="Y361" s="603"/>
      <c r="Z361" s="603"/>
    </row>
    <row r="362" spans="1:26" ht="18" customHeight="1" x14ac:dyDescent="0.2">
      <c r="A362" s="603"/>
      <c r="B362" s="603"/>
      <c r="C362" s="603"/>
      <c r="D362" s="603"/>
      <c r="E362" s="603"/>
      <c r="F362" s="603"/>
      <c r="G362" s="603"/>
      <c r="H362" s="603"/>
      <c r="I362" s="603"/>
      <c r="J362" s="603"/>
      <c r="K362" s="603"/>
      <c r="L362" s="603"/>
      <c r="M362" s="603"/>
      <c r="N362" s="603"/>
      <c r="O362" s="603"/>
      <c r="P362" s="603"/>
      <c r="Q362" s="603"/>
      <c r="R362" s="603"/>
      <c r="S362" s="603"/>
      <c r="T362" s="603"/>
      <c r="U362" s="603"/>
      <c r="V362" s="603"/>
      <c r="W362" s="603"/>
      <c r="X362" s="603"/>
      <c r="Y362" s="603"/>
      <c r="Z362" s="603"/>
    </row>
    <row r="363" spans="1:26" ht="18" customHeight="1" x14ac:dyDescent="0.2">
      <c r="A363" s="603"/>
      <c r="B363" s="603"/>
      <c r="C363" s="603"/>
      <c r="D363" s="603"/>
      <c r="E363" s="603"/>
      <c r="F363" s="603"/>
      <c r="G363" s="603"/>
      <c r="H363" s="603"/>
      <c r="I363" s="603"/>
      <c r="J363" s="603"/>
      <c r="K363" s="603"/>
      <c r="L363" s="603"/>
      <c r="M363" s="603"/>
      <c r="N363" s="603"/>
      <c r="O363" s="603"/>
      <c r="P363" s="603"/>
      <c r="Q363" s="603"/>
      <c r="R363" s="603"/>
      <c r="S363" s="603"/>
      <c r="T363" s="603"/>
      <c r="U363" s="603"/>
      <c r="V363" s="603"/>
      <c r="W363" s="603"/>
      <c r="X363" s="603"/>
      <c r="Y363" s="603"/>
      <c r="Z363" s="603"/>
    </row>
    <row r="364" spans="1:26" ht="18" customHeight="1" x14ac:dyDescent="0.2">
      <c r="A364" s="603"/>
      <c r="B364" s="603"/>
      <c r="C364" s="603"/>
      <c r="D364" s="603"/>
      <c r="E364" s="603"/>
      <c r="F364" s="603"/>
      <c r="G364" s="603"/>
      <c r="H364" s="603"/>
      <c r="I364" s="603"/>
      <c r="J364" s="603"/>
      <c r="K364" s="603"/>
      <c r="L364" s="603"/>
      <c r="M364" s="603"/>
      <c r="N364" s="603"/>
      <c r="O364" s="603"/>
      <c r="P364" s="603"/>
      <c r="Q364" s="603"/>
      <c r="R364" s="603"/>
      <c r="S364" s="603"/>
      <c r="T364" s="603"/>
      <c r="U364" s="603"/>
      <c r="V364" s="603"/>
      <c r="W364" s="603"/>
      <c r="X364" s="603"/>
      <c r="Y364" s="603"/>
      <c r="Z364" s="603"/>
    </row>
    <row r="365" spans="1:26" ht="18" customHeight="1" x14ac:dyDescent="0.2">
      <c r="A365" s="603"/>
      <c r="B365" s="603"/>
      <c r="C365" s="603"/>
      <c r="D365" s="603"/>
      <c r="E365" s="603"/>
      <c r="F365" s="603"/>
      <c r="G365" s="603"/>
      <c r="H365" s="603"/>
      <c r="I365" s="603"/>
      <c r="J365" s="603"/>
      <c r="K365" s="603"/>
      <c r="L365" s="603"/>
      <c r="M365" s="603"/>
      <c r="N365" s="603"/>
      <c r="O365" s="603"/>
      <c r="P365" s="603"/>
      <c r="Q365" s="603"/>
      <c r="R365" s="603"/>
      <c r="S365" s="603"/>
      <c r="T365" s="603"/>
      <c r="U365" s="603"/>
      <c r="V365" s="603"/>
      <c r="W365" s="603"/>
      <c r="X365" s="603"/>
      <c r="Y365" s="603"/>
      <c r="Z365" s="603"/>
    </row>
    <row r="366" spans="1:26" ht="18" customHeight="1" x14ac:dyDescent="0.2">
      <c r="A366" s="603"/>
      <c r="B366" s="603"/>
      <c r="C366" s="603"/>
      <c r="D366" s="603"/>
      <c r="E366" s="603"/>
      <c r="F366" s="603"/>
      <c r="G366" s="603"/>
      <c r="H366" s="603"/>
      <c r="I366" s="603"/>
      <c r="J366" s="603"/>
      <c r="K366" s="603"/>
      <c r="L366" s="603"/>
      <c r="M366" s="603"/>
      <c r="N366" s="603"/>
      <c r="O366" s="603"/>
      <c r="P366" s="603"/>
      <c r="Q366" s="603"/>
      <c r="R366" s="603"/>
      <c r="S366" s="603"/>
      <c r="T366" s="603"/>
      <c r="U366" s="603"/>
      <c r="V366" s="603"/>
      <c r="W366" s="603"/>
      <c r="X366" s="603"/>
      <c r="Y366" s="603"/>
      <c r="Z366" s="603"/>
    </row>
    <row r="367" spans="1:26" ht="18" customHeight="1" x14ac:dyDescent="0.2">
      <c r="A367" s="603"/>
      <c r="B367" s="603"/>
      <c r="C367" s="603"/>
      <c r="D367" s="603"/>
      <c r="E367" s="603"/>
      <c r="F367" s="603"/>
      <c r="G367" s="603"/>
      <c r="H367" s="603"/>
      <c r="I367" s="603"/>
      <c r="J367" s="603"/>
      <c r="K367" s="603"/>
      <c r="L367" s="603"/>
      <c r="M367" s="603"/>
      <c r="N367" s="603"/>
      <c r="O367" s="603"/>
      <c r="P367" s="603"/>
      <c r="Q367" s="603"/>
      <c r="R367" s="603"/>
      <c r="S367" s="603"/>
      <c r="T367" s="603"/>
      <c r="U367" s="603"/>
      <c r="V367" s="603"/>
      <c r="W367" s="603"/>
      <c r="X367" s="603"/>
      <c r="Y367" s="603"/>
      <c r="Z367" s="603"/>
    </row>
    <row r="368" spans="1:26" ht="18" customHeight="1" x14ac:dyDescent="0.2">
      <c r="A368" s="603"/>
      <c r="B368" s="603"/>
      <c r="C368" s="603"/>
      <c r="D368" s="603"/>
      <c r="E368" s="603"/>
      <c r="F368" s="603"/>
      <c r="G368" s="603"/>
      <c r="H368" s="603"/>
      <c r="I368" s="603"/>
      <c r="J368" s="603"/>
      <c r="K368" s="603"/>
      <c r="L368" s="603"/>
      <c r="M368" s="603"/>
      <c r="N368" s="603"/>
      <c r="O368" s="603"/>
      <c r="P368" s="603"/>
      <c r="Q368" s="603"/>
      <c r="R368" s="603"/>
      <c r="S368" s="603"/>
      <c r="T368" s="603"/>
      <c r="U368" s="603"/>
      <c r="V368" s="603"/>
      <c r="W368" s="603"/>
      <c r="X368" s="603"/>
      <c r="Y368" s="603"/>
      <c r="Z368" s="603"/>
    </row>
    <row r="369" spans="1:26" ht="18" customHeight="1" x14ac:dyDescent="0.2">
      <c r="A369" s="603"/>
      <c r="B369" s="603"/>
      <c r="C369" s="603"/>
      <c r="D369" s="603"/>
      <c r="E369" s="603"/>
      <c r="F369" s="603"/>
      <c r="G369" s="603"/>
      <c r="H369" s="603"/>
      <c r="I369" s="603"/>
      <c r="J369" s="603"/>
      <c r="K369" s="603"/>
      <c r="L369" s="603"/>
      <c r="M369" s="603"/>
      <c r="N369" s="603"/>
      <c r="O369" s="603"/>
      <c r="P369" s="603"/>
      <c r="Q369" s="603"/>
      <c r="R369" s="603"/>
      <c r="S369" s="603"/>
      <c r="T369" s="603"/>
      <c r="U369" s="603"/>
      <c r="V369" s="603"/>
      <c r="W369" s="603"/>
      <c r="X369" s="603"/>
      <c r="Y369" s="603"/>
      <c r="Z369" s="603"/>
    </row>
    <row r="370" spans="1:26" ht="18" customHeight="1" x14ac:dyDescent="0.2">
      <c r="A370" s="603"/>
      <c r="B370" s="603"/>
      <c r="C370" s="603"/>
      <c r="D370" s="603"/>
      <c r="E370" s="603"/>
      <c r="F370" s="603"/>
      <c r="G370" s="603"/>
      <c r="H370" s="603"/>
      <c r="I370" s="603"/>
      <c r="J370" s="603"/>
      <c r="K370" s="603"/>
      <c r="L370" s="603"/>
      <c r="M370" s="603"/>
      <c r="N370" s="603"/>
      <c r="O370" s="603"/>
      <c r="P370" s="603"/>
      <c r="Q370" s="603"/>
      <c r="R370" s="603"/>
      <c r="S370" s="603"/>
      <c r="T370" s="603"/>
      <c r="U370" s="603"/>
      <c r="V370" s="603"/>
      <c r="W370" s="603"/>
      <c r="X370" s="603"/>
      <c r="Y370" s="603"/>
      <c r="Z370" s="603"/>
    </row>
    <row r="371" spans="1:26" ht="18" customHeight="1" x14ac:dyDescent="0.2">
      <c r="A371" s="603"/>
      <c r="B371" s="603"/>
      <c r="C371" s="603"/>
      <c r="D371" s="603"/>
      <c r="E371" s="603"/>
      <c r="F371" s="603"/>
      <c r="G371" s="603"/>
      <c r="H371" s="603"/>
      <c r="I371" s="603"/>
      <c r="J371" s="603"/>
      <c r="K371" s="603"/>
      <c r="L371" s="603"/>
      <c r="M371" s="603"/>
      <c r="N371" s="603"/>
      <c r="O371" s="603"/>
      <c r="P371" s="603"/>
      <c r="Q371" s="603"/>
      <c r="R371" s="603"/>
      <c r="S371" s="603"/>
      <c r="T371" s="603"/>
      <c r="U371" s="603"/>
      <c r="V371" s="603"/>
      <c r="W371" s="603"/>
      <c r="X371" s="603"/>
      <c r="Y371" s="603"/>
      <c r="Z371" s="603"/>
    </row>
    <row r="372" spans="1:26" ht="18" customHeight="1" x14ac:dyDescent="0.2">
      <c r="A372" s="603"/>
      <c r="B372" s="603"/>
      <c r="C372" s="603"/>
      <c r="D372" s="603"/>
      <c r="E372" s="603"/>
      <c r="F372" s="603"/>
      <c r="G372" s="603"/>
      <c r="H372" s="603"/>
      <c r="I372" s="603"/>
      <c r="J372" s="603"/>
      <c r="K372" s="603"/>
      <c r="L372" s="603"/>
      <c r="M372" s="603"/>
      <c r="N372" s="603"/>
      <c r="O372" s="603"/>
      <c r="P372" s="603"/>
      <c r="Q372" s="603"/>
      <c r="R372" s="603"/>
      <c r="S372" s="603"/>
      <c r="T372" s="603"/>
      <c r="U372" s="603"/>
      <c r="V372" s="603"/>
      <c r="W372" s="603"/>
      <c r="X372" s="603"/>
      <c r="Y372" s="603"/>
      <c r="Z372" s="603"/>
    </row>
    <row r="373" spans="1:26" ht="18" customHeight="1" x14ac:dyDescent="0.2">
      <c r="A373" s="603"/>
      <c r="B373" s="603"/>
      <c r="C373" s="603"/>
      <c r="D373" s="603"/>
      <c r="E373" s="603"/>
      <c r="F373" s="603"/>
      <c r="G373" s="603"/>
      <c r="H373" s="603"/>
      <c r="I373" s="603"/>
      <c r="J373" s="603"/>
      <c r="K373" s="603"/>
      <c r="L373" s="603"/>
      <c r="M373" s="603"/>
      <c r="N373" s="603"/>
      <c r="O373" s="603"/>
      <c r="P373" s="603"/>
      <c r="Q373" s="603"/>
      <c r="R373" s="603"/>
      <c r="S373" s="603"/>
      <c r="T373" s="603"/>
      <c r="U373" s="603"/>
      <c r="V373" s="603"/>
      <c r="W373" s="603"/>
      <c r="X373" s="603"/>
      <c r="Y373" s="603"/>
      <c r="Z373" s="603"/>
    </row>
    <row r="374" spans="1:26" ht="18" customHeight="1" x14ac:dyDescent="0.2">
      <c r="A374" s="603"/>
      <c r="B374" s="603"/>
      <c r="C374" s="603"/>
      <c r="D374" s="603"/>
      <c r="E374" s="603"/>
      <c r="F374" s="603"/>
      <c r="G374" s="603"/>
      <c r="H374" s="603"/>
      <c r="I374" s="603"/>
      <c r="J374" s="603"/>
      <c r="K374" s="603"/>
      <c r="L374" s="603"/>
      <c r="M374" s="603"/>
      <c r="N374" s="603"/>
      <c r="O374" s="603"/>
      <c r="P374" s="603"/>
      <c r="Q374" s="603"/>
      <c r="R374" s="603"/>
      <c r="S374" s="603"/>
      <c r="T374" s="603"/>
      <c r="U374" s="603"/>
      <c r="V374" s="603"/>
      <c r="W374" s="603"/>
      <c r="X374" s="603"/>
      <c r="Y374" s="603"/>
      <c r="Z374" s="603"/>
    </row>
    <row r="375" spans="1:26" ht="18" customHeight="1" x14ac:dyDescent="0.2">
      <c r="A375" s="603"/>
      <c r="B375" s="603"/>
      <c r="C375" s="603"/>
      <c r="D375" s="603"/>
      <c r="E375" s="603"/>
      <c r="F375" s="603"/>
      <c r="G375" s="603"/>
      <c r="H375" s="603"/>
      <c r="I375" s="603"/>
      <c r="J375" s="603"/>
      <c r="K375" s="603"/>
      <c r="L375" s="603"/>
      <c r="M375" s="603"/>
      <c r="N375" s="603"/>
      <c r="O375" s="603"/>
      <c r="P375" s="603"/>
      <c r="Q375" s="603"/>
      <c r="R375" s="603"/>
      <c r="S375" s="603"/>
      <c r="T375" s="603"/>
      <c r="U375" s="603"/>
      <c r="V375" s="603"/>
      <c r="W375" s="603"/>
      <c r="X375" s="603"/>
      <c r="Y375" s="603"/>
      <c r="Z375" s="603"/>
    </row>
    <row r="376" spans="1:26" ht="18" customHeight="1" x14ac:dyDescent="0.2">
      <c r="A376" s="603"/>
      <c r="B376" s="603"/>
      <c r="C376" s="603"/>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row>
    <row r="377" spans="1:26" ht="18" customHeight="1" x14ac:dyDescent="0.2">
      <c r="A377" s="603"/>
      <c r="B377" s="603"/>
      <c r="C377" s="603"/>
      <c r="D377" s="603"/>
      <c r="E377" s="603"/>
      <c r="F377" s="603"/>
      <c r="G377" s="603"/>
      <c r="H377" s="603"/>
      <c r="I377" s="603"/>
      <c r="J377" s="603"/>
      <c r="K377" s="603"/>
      <c r="L377" s="603"/>
      <c r="M377" s="603"/>
      <c r="N377" s="603"/>
      <c r="O377" s="603"/>
      <c r="P377" s="603"/>
      <c r="Q377" s="603"/>
      <c r="R377" s="603"/>
      <c r="S377" s="603"/>
      <c r="T377" s="603"/>
      <c r="U377" s="603"/>
      <c r="V377" s="603"/>
      <c r="W377" s="603"/>
      <c r="X377" s="603"/>
      <c r="Y377" s="603"/>
      <c r="Z377" s="603"/>
    </row>
    <row r="378" spans="1:26" ht="18" customHeight="1" x14ac:dyDescent="0.2">
      <c r="A378" s="603"/>
      <c r="B378" s="603"/>
      <c r="C378" s="603"/>
      <c r="D378" s="603"/>
      <c r="E378" s="603"/>
      <c r="F378" s="603"/>
      <c r="G378" s="603"/>
      <c r="H378" s="603"/>
      <c r="I378" s="603"/>
      <c r="J378" s="603"/>
      <c r="K378" s="603"/>
      <c r="L378" s="603"/>
      <c r="M378" s="603"/>
      <c r="N378" s="603"/>
      <c r="O378" s="603"/>
      <c r="P378" s="603"/>
      <c r="Q378" s="603"/>
      <c r="R378" s="603"/>
      <c r="S378" s="603"/>
      <c r="T378" s="603"/>
      <c r="U378" s="603"/>
      <c r="V378" s="603"/>
      <c r="W378" s="603"/>
      <c r="X378" s="603"/>
      <c r="Y378" s="603"/>
      <c r="Z378" s="603"/>
    </row>
    <row r="379" spans="1:26" ht="18" customHeight="1" x14ac:dyDescent="0.2">
      <c r="A379" s="603"/>
      <c r="B379" s="603"/>
      <c r="C379" s="603"/>
      <c r="D379" s="603"/>
      <c r="E379" s="603"/>
      <c r="F379" s="603"/>
      <c r="G379" s="603"/>
      <c r="H379" s="603"/>
      <c r="I379" s="603"/>
      <c r="J379" s="603"/>
      <c r="K379" s="603"/>
      <c r="L379" s="603"/>
      <c r="M379" s="603"/>
      <c r="N379" s="603"/>
      <c r="O379" s="603"/>
      <c r="P379" s="603"/>
      <c r="Q379" s="603"/>
      <c r="R379" s="603"/>
      <c r="S379" s="603"/>
      <c r="T379" s="603"/>
      <c r="U379" s="603"/>
      <c r="V379" s="603"/>
      <c r="W379" s="603"/>
      <c r="X379" s="603"/>
      <c r="Y379" s="603"/>
      <c r="Z379" s="603"/>
    </row>
    <row r="380" spans="1:26" ht="18" customHeight="1" x14ac:dyDescent="0.2">
      <c r="A380" s="603"/>
      <c r="B380" s="603"/>
      <c r="C380" s="603"/>
      <c r="D380" s="603"/>
      <c r="E380" s="603"/>
      <c r="F380" s="603"/>
      <c r="G380" s="603"/>
      <c r="H380" s="603"/>
      <c r="I380" s="603"/>
      <c r="J380" s="603"/>
      <c r="K380" s="603"/>
      <c r="L380" s="603"/>
      <c r="M380" s="603"/>
      <c r="N380" s="603"/>
      <c r="O380" s="603"/>
      <c r="P380" s="603"/>
      <c r="Q380" s="603"/>
      <c r="R380" s="603"/>
      <c r="S380" s="603"/>
      <c r="T380" s="603"/>
      <c r="U380" s="603"/>
      <c r="V380" s="603"/>
      <c r="W380" s="603"/>
      <c r="X380" s="603"/>
      <c r="Y380" s="603"/>
      <c r="Z380" s="603"/>
    </row>
    <row r="381" spans="1:26" ht="18" customHeight="1" x14ac:dyDescent="0.2">
      <c r="A381" s="603"/>
      <c r="B381" s="603"/>
      <c r="C381" s="603"/>
      <c r="D381" s="603"/>
      <c r="E381" s="603"/>
      <c r="F381" s="603"/>
      <c r="G381" s="603"/>
      <c r="H381" s="603"/>
      <c r="I381" s="603"/>
      <c r="J381" s="603"/>
      <c r="K381" s="603"/>
      <c r="L381" s="603"/>
      <c r="M381" s="603"/>
      <c r="N381" s="603"/>
      <c r="O381" s="603"/>
      <c r="P381" s="603"/>
      <c r="Q381" s="603"/>
      <c r="R381" s="603"/>
      <c r="S381" s="603"/>
      <c r="T381" s="603"/>
      <c r="U381" s="603"/>
      <c r="V381" s="603"/>
      <c r="W381" s="603"/>
      <c r="X381" s="603"/>
      <c r="Y381" s="603"/>
      <c r="Z381" s="603"/>
    </row>
    <row r="382" spans="1:26" ht="18" customHeight="1" x14ac:dyDescent="0.2">
      <c r="A382" s="603"/>
      <c r="B382" s="603"/>
      <c r="C382" s="603"/>
      <c r="D382" s="603"/>
      <c r="E382" s="603"/>
      <c r="F382" s="603"/>
      <c r="G382" s="603"/>
      <c r="H382" s="603"/>
      <c r="I382" s="603"/>
      <c r="J382" s="603"/>
      <c r="K382" s="603"/>
      <c r="L382" s="603"/>
      <c r="M382" s="603"/>
      <c r="N382" s="603"/>
      <c r="O382" s="603"/>
      <c r="P382" s="603"/>
      <c r="Q382" s="603"/>
      <c r="R382" s="603"/>
      <c r="S382" s="603"/>
      <c r="T382" s="603"/>
      <c r="U382" s="603"/>
      <c r="V382" s="603"/>
      <c r="W382" s="603"/>
      <c r="X382" s="603"/>
      <c r="Y382" s="603"/>
      <c r="Z382" s="603"/>
    </row>
    <row r="383" spans="1:26" ht="18" customHeight="1" x14ac:dyDescent="0.2">
      <c r="A383" s="603"/>
      <c r="B383" s="603"/>
      <c r="C383" s="603"/>
      <c r="D383" s="603"/>
      <c r="E383" s="603"/>
      <c r="F383" s="603"/>
      <c r="G383" s="603"/>
      <c r="H383" s="603"/>
      <c r="I383" s="603"/>
      <c r="J383" s="603"/>
      <c r="K383" s="603"/>
      <c r="L383" s="603"/>
      <c r="M383" s="603"/>
      <c r="N383" s="603"/>
      <c r="O383" s="603"/>
      <c r="P383" s="603"/>
      <c r="Q383" s="603"/>
      <c r="R383" s="603"/>
      <c r="S383" s="603"/>
      <c r="T383" s="603"/>
      <c r="U383" s="603"/>
      <c r="V383" s="603"/>
      <c r="W383" s="603"/>
      <c r="X383" s="603"/>
      <c r="Y383" s="603"/>
      <c r="Z383" s="603"/>
    </row>
    <row r="384" spans="1:26" ht="18" customHeight="1" x14ac:dyDescent="0.2">
      <c r="A384" s="603"/>
      <c r="B384" s="603"/>
      <c r="C384" s="603"/>
      <c r="D384" s="603"/>
      <c r="E384" s="603"/>
      <c r="F384" s="603"/>
      <c r="G384" s="603"/>
      <c r="H384" s="603"/>
      <c r="I384" s="603"/>
      <c r="J384" s="603"/>
      <c r="K384" s="603"/>
      <c r="L384" s="603"/>
      <c r="M384" s="603"/>
      <c r="N384" s="603"/>
      <c r="O384" s="603"/>
      <c r="P384" s="603"/>
      <c r="Q384" s="603"/>
      <c r="R384" s="603"/>
      <c r="S384" s="603"/>
      <c r="T384" s="603"/>
      <c r="U384" s="603"/>
      <c r="V384" s="603"/>
      <c r="W384" s="603"/>
      <c r="X384" s="603"/>
      <c r="Y384" s="603"/>
      <c r="Z384" s="603"/>
    </row>
    <row r="385" spans="1:26" ht="18" customHeight="1" x14ac:dyDescent="0.2">
      <c r="A385" s="603"/>
      <c r="B385" s="603"/>
      <c r="C385" s="603"/>
      <c r="D385" s="603"/>
      <c r="E385" s="603"/>
      <c r="F385" s="603"/>
      <c r="G385" s="603"/>
      <c r="H385" s="603"/>
      <c r="I385" s="603"/>
      <c r="J385" s="603"/>
      <c r="K385" s="603"/>
      <c r="L385" s="603"/>
      <c r="M385" s="603"/>
      <c r="N385" s="603"/>
      <c r="O385" s="603"/>
      <c r="P385" s="603"/>
      <c r="Q385" s="603"/>
      <c r="R385" s="603"/>
      <c r="S385" s="603"/>
      <c r="T385" s="603"/>
      <c r="U385" s="603"/>
      <c r="V385" s="603"/>
      <c r="W385" s="603"/>
      <c r="X385" s="603"/>
      <c r="Y385" s="603"/>
      <c r="Z385" s="603"/>
    </row>
    <row r="386" spans="1:26" ht="18" customHeight="1" x14ac:dyDescent="0.2">
      <c r="A386" s="603"/>
      <c r="B386" s="603"/>
      <c r="C386" s="603"/>
      <c r="D386" s="603"/>
      <c r="E386" s="603"/>
      <c r="F386" s="603"/>
      <c r="G386" s="603"/>
      <c r="H386" s="603"/>
      <c r="I386" s="603"/>
      <c r="J386" s="603"/>
      <c r="K386" s="603"/>
      <c r="L386" s="603"/>
      <c r="M386" s="603"/>
      <c r="N386" s="603"/>
      <c r="O386" s="603"/>
      <c r="P386" s="603"/>
      <c r="Q386" s="603"/>
      <c r="R386" s="603"/>
      <c r="S386" s="603"/>
      <c r="T386" s="603"/>
      <c r="U386" s="603"/>
      <c r="V386" s="603"/>
      <c r="W386" s="603"/>
      <c r="X386" s="603"/>
      <c r="Y386" s="603"/>
      <c r="Z386" s="603"/>
    </row>
    <row r="387" spans="1:26" ht="18" customHeight="1" x14ac:dyDescent="0.2">
      <c r="A387" s="603"/>
      <c r="B387" s="603"/>
      <c r="C387" s="603"/>
      <c r="D387" s="603"/>
      <c r="E387" s="603"/>
      <c r="F387" s="603"/>
      <c r="G387" s="603"/>
      <c r="H387" s="603"/>
      <c r="I387" s="603"/>
      <c r="J387" s="603"/>
      <c r="K387" s="603"/>
      <c r="L387" s="603"/>
      <c r="M387" s="603"/>
      <c r="N387" s="603"/>
      <c r="O387" s="603"/>
      <c r="P387" s="603"/>
      <c r="Q387" s="603"/>
      <c r="R387" s="603"/>
      <c r="S387" s="603"/>
      <c r="T387" s="603"/>
      <c r="U387" s="603"/>
      <c r="V387" s="603"/>
      <c r="W387" s="603"/>
      <c r="X387" s="603"/>
      <c r="Y387" s="603"/>
      <c r="Z387" s="603"/>
    </row>
    <row r="388" spans="1:26" ht="18" customHeight="1" x14ac:dyDescent="0.2">
      <c r="A388" s="603"/>
      <c r="B388" s="603"/>
      <c r="C388" s="603"/>
      <c r="D388" s="603"/>
      <c r="E388" s="603"/>
      <c r="F388" s="603"/>
      <c r="G388" s="603"/>
      <c r="H388" s="603"/>
      <c r="I388" s="603"/>
      <c r="J388" s="603"/>
      <c r="K388" s="603"/>
      <c r="L388" s="603"/>
      <c r="M388" s="603"/>
      <c r="N388" s="603"/>
      <c r="O388" s="603"/>
      <c r="P388" s="603"/>
      <c r="Q388" s="603"/>
      <c r="R388" s="603"/>
      <c r="S388" s="603"/>
      <c r="T388" s="603"/>
      <c r="U388" s="603"/>
      <c r="V388" s="603"/>
      <c r="W388" s="603"/>
      <c r="X388" s="603"/>
      <c r="Y388" s="603"/>
      <c r="Z388" s="603"/>
    </row>
    <row r="389" spans="1:26" ht="18" customHeight="1" x14ac:dyDescent="0.2">
      <c r="A389" s="603"/>
      <c r="B389" s="603"/>
      <c r="C389" s="603"/>
      <c r="D389" s="603"/>
      <c r="E389" s="603"/>
      <c r="F389" s="603"/>
      <c r="G389" s="603"/>
      <c r="H389" s="603"/>
      <c r="I389" s="603"/>
      <c r="J389" s="603"/>
      <c r="K389" s="603"/>
      <c r="L389" s="603"/>
      <c r="M389" s="603"/>
      <c r="N389" s="603"/>
      <c r="O389" s="603"/>
      <c r="P389" s="603"/>
      <c r="Q389" s="603"/>
      <c r="R389" s="603"/>
      <c r="S389" s="603"/>
      <c r="T389" s="603"/>
      <c r="U389" s="603"/>
      <c r="V389" s="603"/>
      <c r="W389" s="603"/>
      <c r="X389" s="603"/>
      <c r="Y389" s="603"/>
      <c r="Z389" s="603"/>
    </row>
    <row r="390" spans="1:26" ht="18" customHeight="1" x14ac:dyDescent="0.2">
      <c r="A390" s="603"/>
      <c r="B390" s="603"/>
      <c r="C390" s="603"/>
      <c r="D390" s="603"/>
      <c r="E390" s="603"/>
      <c r="F390" s="603"/>
      <c r="G390" s="603"/>
      <c r="H390" s="603"/>
      <c r="I390" s="603"/>
      <c r="J390" s="603"/>
      <c r="K390" s="603"/>
      <c r="L390" s="603"/>
      <c r="M390" s="603"/>
      <c r="N390" s="603"/>
      <c r="O390" s="603"/>
      <c r="P390" s="603"/>
      <c r="Q390" s="603"/>
      <c r="R390" s="603"/>
      <c r="S390" s="603"/>
      <c r="T390" s="603"/>
      <c r="U390" s="603"/>
      <c r="V390" s="603"/>
      <c r="W390" s="603"/>
      <c r="X390" s="603"/>
      <c r="Y390" s="603"/>
      <c r="Z390" s="603"/>
    </row>
    <row r="391" spans="1:26" ht="18" customHeight="1" x14ac:dyDescent="0.2">
      <c r="A391" s="603"/>
      <c r="B391" s="603"/>
      <c r="C391" s="603"/>
      <c r="D391" s="603"/>
      <c r="E391" s="603"/>
      <c r="F391" s="603"/>
      <c r="G391" s="603"/>
      <c r="H391" s="603"/>
      <c r="I391" s="603"/>
      <c r="J391" s="603"/>
      <c r="K391" s="603"/>
      <c r="L391" s="603"/>
      <c r="M391" s="603"/>
      <c r="N391" s="603"/>
      <c r="O391" s="603"/>
      <c r="P391" s="603"/>
      <c r="Q391" s="603"/>
      <c r="R391" s="603"/>
      <c r="S391" s="603"/>
      <c r="T391" s="603"/>
      <c r="U391" s="603"/>
      <c r="V391" s="603"/>
      <c r="W391" s="603"/>
      <c r="X391" s="603"/>
      <c r="Y391" s="603"/>
      <c r="Z391" s="603"/>
    </row>
    <row r="392" spans="1:26" ht="18" customHeight="1" x14ac:dyDescent="0.2">
      <c r="A392" s="603"/>
      <c r="B392" s="603"/>
      <c r="C392" s="603"/>
      <c r="D392" s="603"/>
      <c r="E392" s="603"/>
      <c r="F392" s="603"/>
      <c r="G392" s="603"/>
      <c r="H392" s="603"/>
      <c r="I392" s="603"/>
      <c r="J392" s="603"/>
      <c r="K392" s="603"/>
      <c r="L392" s="603"/>
      <c r="M392" s="603"/>
      <c r="N392" s="603"/>
      <c r="O392" s="603"/>
      <c r="P392" s="603"/>
      <c r="Q392" s="603"/>
      <c r="R392" s="603"/>
      <c r="S392" s="603"/>
      <c r="T392" s="603"/>
      <c r="U392" s="603"/>
      <c r="V392" s="603"/>
      <c r="W392" s="603"/>
      <c r="X392" s="603"/>
      <c r="Y392" s="603"/>
      <c r="Z392" s="603"/>
    </row>
    <row r="393" spans="1:26" ht="18" customHeight="1" x14ac:dyDescent="0.2">
      <c r="A393" s="603"/>
      <c r="B393" s="603"/>
      <c r="C393" s="603"/>
      <c r="D393" s="603"/>
      <c r="E393" s="603"/>
      <c r="F393" s="603"/>
      <c r="G393" s="603"/>
      <c r="H393" s="603"/>
      <c r="I393" s="603"/>
      <c r="J393" s="603"/>
      <c r="K393" s="603"/>
      <c r="L393" s="603"/>
      <c r="M393" s="603"/>
      <c r="N393" s="603"/>
      <c r="O393" s="603"/>
      <c r="P393" s="603"/>
      <c r="Q393" s="603"/>
      <c r="R393" s="603"/>
      <c r="S393" s="603"/>
      <c r="T393" s="603"/>
      <c r="U393" s="603"/>
      <c r="V393" s="603"/>
      <c r="W393" s="603"/>
      <c r="X393" s="603"/>
      <c r="Y393" s="603"/>
      <c r="Z393" s="603"/>
    </row>
    <row r="394" spans="1:26" ht="18" customHeight="1" x14ac:dyDescent="0.2">
      <c r="A394" s="603"/>
      <c r="B394" s="603"/>
      <c r="C394" s="603"/>
      <c r="D394" s="603"/>
      <c r="E394" s="603"/>
      <c r="F394" s="603"/>
      <c r="G394" s="603"/>
      <c r="H394" s="603"/>
      <c r="I394" s="603"/>
      <c r="J394" s="603"/>
      <c r="K394" s="603"/>
      <c r="L394" s="603"/>
      <c r="M394" s="603"/>
      <c r="N394" s="603"/>
      <c r="O394" s="603"/>
      <c r="P394" s="603"/>
      <c r="Q394" s="603"/>
      <c r="R394" s="603"/>
      <c r="S394" s="603"/>
      <c r="T394" s="603"/>
      <c r="U394" s="603"/>
      <c r="V394" s="603"/>
      <c r="W394" s="603"/>
      <c r="X394" s="603"/>
      <c r="Y394" s="603"/>
      <c r="Z394" s="603"/>
    </row>
    <row r="395" spans="1:26" ht="18" customHeight="1" x14ac:dyDescent="0.2">
      <c r="A395" s="603"/>
      <c r="B395" s="603"/>
      <c r="C395" s="603"/>
      <c r="D395" s="603"/>
      <c r="E395" s="603"/>
      <c r="F395" s="603"/>
      <c r="G395" s="603"/>
      <c r="H395" s="603"/>
      <c r="I395" s="603"/>
      <c r="J395" s="603"/>
      <c r="K395" s="603"/>
      <c r="L395" s="603"/>
      <c r="M395" s="603"/>
      <c r="N395" s="603"/>
      <c r="O395" s="603"/>
      <c r="P395" s="603"/>
      <c r="Q395" s="603"/>
      <c r="R395" s="603"/>
      <c r="S395" s="603"/>
      <c r="T395" s="603"/>
      <c r="U395" s="603"/>
      <c r="V395" s="603"/>
      <c r="W395" s="603"/>
      <c r="X395" s="603"/>
      <c r="Y395" s="603"/>
      <c r="Z395" s="603"/>
    </row>
    <row r="396" spans="1:26" ht="18" customHeight="1" x14ac:dyDescent="0.2">
      <c r="A396" s="603"/>
      <c r="B396" s="603"/>
      <c r="C396" s="603"/>
      <c r="D396" s="603"/>
      <c r="E396" s="603"/>
      <c r="F396" s="603"/>
      <c r="G396" s="603"/>
      <c r="H396" s="603"/>
      <c r="I396" s="603"/>
      <c r="J396" s="603"/>
      <c r="K396" s="603"/>
      <c r="L396" s="603"/>
      <c r="M396" s="603"/>
      <c r="N396" s="603"/>
      <c r="O396" s="603"/>
      <c r="P396" s="603"/>
      <c r="Q396" s="603"/>
      <c r="R396" s="603"/>
      <c r="S396" s="603"/>
      <c r="T396" s="603"/>
      <c r="U396" s="603"/>
      <c r="V396" s="603"/>
      <c r="W396" s="603"/>
      <c r="X396" s="603"/>
      <c r="Y396" s="603"/>
      <c r="Z396" s="603"/>
    </row>
    <row r="397" spans="1:26" ht="18" customHeight="1" x14ac:dyDescent="0.2">
      <c r="A397" s="603"/>
      <c r="B397" s="603"/>
      <c r="C397" s="603"/>
      <c r="D397" s="603"/>
      <c r="E397" s="603"/>
      <c r="F397" s="603"/>
      <c r="G397" s="603"/>
      <c r="H397" s="603"/>
      <c r="I397" s="603"/>
      <c r="J397" s="603"/>
      <c r="K397" s="603"/>
      <c r="L397" s="603"/>
      <c r="M397" s="603"/>
      <c r="N397" s="603"/>
      <c r="O397" s="603"/>
      <c r="P397" s="603"/>
      <c r="Q397" s="603"/>
      <c r="R397" s="603"/>
      <c r="S397" s="603"/>
      <c r="T397" s="603"/>
      <c r="U397" s="603"/>
      <c r="V397" s="603"/>
      <c r="W397" s="603"/>
      <c r="X397" s="603"/>
      <c r="Y397" s="603"/>
      <c r="Z397" s="603"/>
    </row>
    <row r="398" spans="1:26" ht="18" customHeight="1" x14ac:dyDescent="0.2">
      <c r="A398" s="603"/>
      <c r="B398" s="603"/>
      <c r="C398" s="603"/>
      <c r="D398" s="603"/>
      <c r="E398" s="603"/>
      <c r="F398" s="603"/>
      <c r="G398" s="603"/>
      <c r="H398" s="603"/>
      <c r="I398" s="603"/>
      <c r="J398" s="603"/>
      <c r="K398" s="603"/>
      <c r="L398" s="603"/>
      <c r="M398" s="603"/>
      <c r="N398" s="603"/>
      <c r="O398" s="603"/>
      <c r="P398" s="603"/>
      <c r="Q398" s="603"/>
      <c r="R398" s="603"/>
      <c r="S398" s="603"/>
      <c r="T398" s="603"/>
      <c r="U398" s="603"/>
      <c r="V398" s="603"/>
      <c r="W398" s="603"/>
      <c r="X398" s="603"/>
      <c r="Y398" s="603"/>
      <c r="Z398" s="603"/>
    </row>
    <row r="399" spans="1:26" ht="18" customHeight="1" x14ac:dyDescent="0.2">
      <c r="A399" s="603"/>
      <c r="B399" s="603"/>
      <c r="C399" s="603"/>
      <c r="D399" s="603"/>
      <c r="E399" s="603"/>
      <c r="F399" s="603"/>
      <c r="G399" s="603"/>
      <c r="H399" s="603"/>
      <c r="I399" s="603"/>
      <c r="J399" s="603"/>
      <c r="K399" s="603"/>
      <c r="L399" s="603"/>
      <c r="M399" s="603"/>
      <c r="N399" s="603"/>
      <c r="O399" s="603"/>
      <c r="P399" s="603"/>
      <c r="Q399" s="603"/>
      <c r="R399" s="603"/>
      <c r="S399" s="603"/>
      <c r="T399" s="603"/>
      <c r="U399" s="603"/>
      <c r="V399" s="603"/>
      <c r="W399" s="603"/>
      <c r="X399" s="603"/>
      <c r="Y399" s="603"/>
      <c r="Z399" s="603"/>
    </row>
    <row r="400" spans="1:26" ht="18" customHeight="1" x14ac:dyDescent="0.2">
      <c r="A400" s="603"/>
      <c r="B400" s="603"/>
      <c r="C400" s="603"/>
      <c r="D400" s="603"/>
      <c r="E400" s="603"/>
      <c r="F400" s="603"/>
      <c r="G400" s="603"/>
      <c r="H400" s="603"/>
      <c r="I400" s="603"/>
      <c r="J400" s="603"/>
      <c r="K400" s="603"/>
      <c r="L400" s="603"/>
      <c r="M400" s="603"/>
      <c r="N400" s="603"/>
      <c r="O400" s="603"/>
      <c r="P400" s="603"/>
      <c r="Q400" s="603"/>
      <c r="R400" s="603"/>
      <c r="S400" s="603"/>
      <c r="T400" s="603"/>
      <c r="U400" s="603"/>
      <c r="V400" s="603"/>
      <c r="W400" s="603"/>
      <c r="X400" s="603"/>
      <c r="Y400" s="603"/>
      <c r="Z400" s="603"/>
    </row>
    <row r="401" spans="1:26" ht="18" customHeight="1" x14ac:dyDescent="0.2">
      <c r="A401" s="603"/>
      <c r="B401" s="603"/>
      <c r="C401" s="603"/>
      <c r="D401" s="603"/>
      <c r="E401" s="603"/>
      <c r="F401" s="603"/>
      <c r="G401" s="603"/>
      <c r="H401" s="603"/>
      <c r="I401" s="603"/>
      <c r="J401" s="603"/>
      <c r="K401" s="603"/>
      <c r="L401" s="603"/>
      <c r="M401" s="603"/>
      <c r="N401" s="603"/>
      <c r="O401" s="603"/>
      <c r="P401" s="603"/>
      <c r="Q401" s="603"/>
      <c r="R401" s="603"/>
      <c r="S401" s="603"/>
      <c r="T401" s="603"/>
      <c r="U401" s="603"/>
      <c r="V401" s="603"/>
      <c r="W401" s="603"/>
      <c r="X401" s="603"/>
      <c r="Y401" s="603"/>
      <c r="Z401" s="603"/>
    </row>
    <row r="402" spans="1:26" ht="18" customHeight="1" x14ac:dyDescent="0.2">
      <c r="A402" s="603"/>
      <c r="B402" s="603"/>
      <c r="C402" s="603"/>
      <c r="D402" s="603"/>
      <c r="E402" s="603"/>
      <c r="F402" s="603"/>
      <c r="G402" s="603"/>
      <c r="H402" s="603"/>
      <c r="I402" s="603"/>
      <c r="J402" s="603"/>
      <c r="K402" s="603"/>
      <c r="L402" s="603"/>
      <c r="M402" s="603"/>
      <c r="N402" s="603"/>
      <c r="O402" s="603"/>
      <c r="P402" s="603"/>
      <c r="Q402" s="603"/>
      <c r="R402" s="603"/>
      <c r="S402" s="603"/>
      <c r="T402" s="603"/>
      <c r="U402" s="603"/>
      <c r="V402" s="603"/>
      <c r="W402" s="603"/>
      <c r="X402" s="603"/>
      <c r="Y402" s="603"/>
      <c r="Z402" s="603"/>
    </row>
    <row r="403" spans="1:26" ht="18" customHeight="1" x14ac:dyDescent="0.2">
      <c r="A403" s="603"/>
      <c r="B403" s="603"/>
      <c r="C403" s="603"/>
      <c r="D403" s="603"/>
      <c r="E403" s="603"/>
      <c r="F403" s="603"/>
      <c r="G403" s="603"/>
      <c r="H403" s="603"/>
      <c r="I403" s="603"/>
      <c r="J403" s="603"/>
      <c r="K403" s="603"/>
      <c r="L403" s="603"/>
      <c r="M403" s="603"/>
      <c r="N403" s="603"/>
      <c r="O403" s="603"/>
      <c r="P403" s="603"/>
      <c r="Q403" s="603"/>
      <c r="R403" s="603"/>
      <c r="S403" s="603"/>
      <c r="T403" s="603"/>
      <c r="U403" s="603"/>
      <c r="V403" s="603"/>
      <c r="W403" s="603"/>
      <c r="X403" s="603"/>
      <c r="Y403" s="603"/>
      <c r="Z403" s="603"/>
    </row>
    <row r="404" spans="1:26" ht="18" customHeight="1" x14ac:dyDescent="0.2">
      <c r="A404" s="603"/>
      <c r="B404" s="603"/>
      <c r="C404" s="603"/>
      <c r="D404" s="603"/>
      <c r="E404" s="603"/>
      <c r="F404" s="603"/>
      <c r="G404" s="603"/>
      <c r="H404" s="603"/>
      <c r="I404" s="603"/>
      <c r="J404" s="603"/>
      <c r="K404" s="603"/>
      <c r="L404" s="603"/>
      <c r="M404" s="603"/>
      <c r="N404" s="603"/>
      <c r="O404" s="603"/>
      <c r="P404" s="603"/>
      <c r="Q404" s="603"/>
      <c r="R404" s="603"/>
      <c r="S404" s="603"/>
      <c r="T404" s="603"/>
      <c r="U404" s="603"/>
      <c r="V404" s="603"/>
      <c r="W404" s="603"/>
      <c r="X404" s="603"/>
      <c r="Y404" s="603"/>
      <c r="Z404" s="603"/>
    </row>
    <row r="405" spans="1:26" ht="18" customHeight="1" x14ac:dyDescent="0.2">
      <c r="A405" s="603"/>
      <c r="B405" s="603"/>
      <c r="C405" s="603"/>
      <c r="D405" s="603"/>
      <c r="E405" s="603"/>
      <c r="F405" s="603"/>
      <c r="G405" s="603"/>
      <c r="H405" s="603"/>
      <c r="I405" s="603"/>
      <c r="J405" s="603"/>
      <c r="K405" s="603"/>
      <c r="L405" s="603"/>
      <c r="M405" s="603"/>
      <c r="N405" s="603"/>
      <c r="O405" s="603"/>
      <c r="P405" s="603"/>
      <c r="Q405" s="603"/>
      <c r="R405" s="603"/>
      <c r="S405" s="603"/>
      <c r="T405" s="603"/>
      <c r="U405" s="603"/>
      <c r="V405" s="603"/>
      <c r="W405" s="603"/>
      <c r="X405" s="603"/>
      <c r="Y405" s="603"/>
      <c r="Z405" s="603"/>
    </row>
    <row r="406" spans="1:26" ht="18" customHeight="1" x14ac:dyDescent="0.2">
      <c r="A406" s="603"/>
      <c r="B406" s="603"/>
      <c r="C406" s="603"/>
      <c r="D406" s="603"/>
      <c r="E406" s="603"/>
      <c r="F406" s="603"/>
      <c r="G406" s="603"/>
      <c r="H406" s="603"/>
      <c r="I406" s="603"/>
      <c r="J406" s="603"/>
      <c r="K406" s="603"/>
      <c r="L406" s="603"/>
      <c r="M406" s="603"/>
      <c r="N406" s="603"/>
      <c r="O406" s="603"/>
      <c r="P406" s="603"/>
      <c r="Q406" s="603"/>
      <c r="R406" s="603"/>
      <c r="S406" s="603"/>
      <c r="T406" s="603"/>
      <c r="U406" s="603"/>
      <c r="V406" s="603"/>
      <c r="W406" s="603"/>
      <c r="X406" s="603"/>
      <c r="Y406" s="603"/>
      <c r="Z406" s="603"/>
    </row>
    <row r="407" spans="1:26" ht="18" customHeight="1" x14ac:dyDescent="0.2">
      <c r="A407" s="603"/>
      <c r="B407" s="603"/>
      <c r="C407" s="603"/>
      <c r="D407" s="603"/>
      <c r="E407" s="603"/>
      <c r="F407" s="603"/>
      <c r="G407" s="603"/>
      <c r="H407" s="603"/>
      <c r="I407" s="603"/>
      <c r="J407" s="603"/>
      <c r="K407" s="603"/>
      <c r="L407" s="603"/>
      <c r="M407" s="603"/>
      <c r="N407" s="603"/>
      <c r="O407" s="603"/>
      <c r="P407" s="603"/>
      <c r="Q407" s="603"/>
      <c r="R407" s="603"/>
      <c r="S407" s="603"/>
      <c r="T407" s="603"/>
      <c r="U407" s="603"/>
      <c r="V407" s="603"/>
      <c r="W407" s="603"/>
      <c r="X407" s="603"/>
      <c r="Y407" s="603"/>
      <c r="Z407" s="603"/>
    </row>
    <row r="408" spans="1:26" ht="18" customHeight="1" x14ac:dyDescent="0.2">
      <c r="A408" s="603"/>
      <c r="B408" s="603"/>
      <c r="C408" s="603"/>
      <c r="D408" s="603"/>
      <c r="E408" s="603"/>
      <c r="F408" s="603"/>
      <c r="G408" s="603"/>
      <c r="H408" s="603"/>
      <c r="I408" s="603"/>
      <c r="J408" s="603"/>
      <c r="K408" s="603"/>
      <c r="L408" s="603"/>
      <c r="M408" s="603"/>
      <c r="N408" s="603"/>
      <c r="O408" s="603"/>
      <c r="P408" s="603"/>
      <c r="Q408" s="603"/>
      <c r="R408" s="603"/>
      <c r="S408" s="603"/>
      <c r="T408" s="603"/>
      <c r="U408" s="603"/>
      <c r="V408" s="603"/>
      <c r="W408" s="603"/>
      <c r="X408" s="603"/>
      <c r="Y408" s="603"/>
      <c r="Z408" s="603"/>
    </row>
    <row r="409" spans="1:26" ht="18" customHeight="1" x14ac:dyDescent="0.2">
      <c r="A409" s="603"/>
      <c r="B409" s="603"/>
      <c r="C409" s="603"/>
      <c r="D409" s="603"/>
      <c r="E409" s="603"/>
      <c r="F409" s="603"/>
      <c r="G409" s="603"/>
      <c r="H409" s="603"/>
      <c r="I409" s="603"/>
      <c r="J409" s="603"/>
      <c r="K409" s="603"/>
      <c r="L409" s="603"/>
      <c r="M409" s="603"/>
      <c r="N409" s="603"/>
      <c r="O409" s="603"/>
      <c r="P409" s="603"/>
      <c r="Q409" s="603"/>
      <c r="R409" s="603"/>
      <c r="S409" s="603"/>
      <c r="T409" s="603"/>
      <c r="U409" s="603"/>
      <c r="V409" s="603"/>
      <c r="W409" s="603"/>
      <c r="X409" s="603"/>
      <c r="Y409" s="603"/>
      <c r="Z409" s="603"/>
    </row>
    <row r="410" spans="1:26" ht="18" customHeight="1" x14ac:dyDescent="0.2">
      <c r="A410" s="603"/>
      <c r="B410" s="603"/>
      <c r="C410" s="603"/>
      <c r="D410" s="603"/>
      <c r="E410" s="603"/>
      <c r="F410" s="603"/>
      <c r="G410" s="603"/>
      <c r="H410" s="603"/>
      <c r="I410" s="603"/>
      <c r="J410" s="603"/>
      <c r="K410" s="603"/>
      <c r="L410" s="603"/>
      <c r="M410" s="603"/>
      <c r="N410" s="603"/>
      <c r="O410" s="603"/>
      <c r="P410" s="603"/>
      <c r="Q410" s="603"/>
      <c r="R410" s="603"/>
      <c r="S410" s="603"/>
      <c r="T410" s="603"/>
      <c r="U410" s="603"/>
      <c r="V410" s="603"/>
      <c r="W410" s="603"/>
      <c r="X410" s="603"/>
      <c r="Y410" s="603"/>
      <c r="Z410" s="603"/>
    </row>
    <row r="411" spans="1:26" ht="18" customHeight="1" x14ac:dyDescent="0.2">
      <c r="A411" s="603"/>
      <c r="B411" s="603"/>
      <c r="C411" s="603"/>
      <c r="D411" s="603"/>
      <c r="E411" s="603"/>
      <c r="F411" s="603"/>
      <c r="G411" s="603"/>
      <c r="H411" s="603"/>
      <c r="I411" s="603"/>
      <c r="J411" s="603"/>
      <c r="K411" s="603"/>
      <c r="L411" s="603"/>
      <c r="M411" s="603"/>
      <c r="N411" s="603"/>
      <c r="O411" s="603"/>
      <c r="P411" s="603"/>
      <c r="Q411" s="603"/>
      <c r="R411" s="603"/>
      <c r="S411" s="603"/>
      <c r="T411" s="603"/>
      <c r="U411" s="603"/>
      <c r="V411" s="603"/>
      <c r="W411" s="603"/>
      <c r="X411" s="603"/>
      <c r="Y411" s="603"/>
      <c r="Z411" s="603"/>
    </row>
    <row r="412" spans="1:26" ht="18" customHeight="1" x14ac:dyDescent="0.2">
      <c r="A412" s="603"/>
      <c r="B412" s="603"/>
      <c r="C412" s="603"/>
      <c r="D412" s="603"/>
      <c r="E412" s="603"/>
      <c r="F412" s="603"/>
      <c r="G412" s="603"/>
      <c r="H412" s="603"/>
      <c r="I412" s="603"/>
      <c r="J412" s="603"/>
      <c r="K412" s="603"/>
      <c r="L412" s="603"/>
      <c r="M412" s="603"/>
      <c r="N412" s="603"/>
      <c r="O412" s="603"/>
      <c r="P412" s="603"/>
      <c r="Q412" s="603"/>
      <c r="R412" s="603"/>
      <c r="S412" s="603"/>
      <c r="T412" s="603"/>
      <c r="U412" s="603"/>
      <c r="V412" s="603"/>
      <c r="W412" s="603"/>
      <c r="X412" s="603"/>
      <c r="Y412" s="603"/>
      <c r="Z412" s="603"/>
    </row>
    <row r="413" spans="1:26" ht="18" customHeight="1" x14ac:dyDescent="0.2">
      <c r="A413" s="603"/>
      <c r="B413" s="603"/>
      <c r="C413" s="603"/>
      <c r="D413" s="603"/>
      <c r="E413" s="603"/>
      <c r="F413" s="603"/>
      <c r="G413" s="603"/>
      <c r="H413" s="603"/>
      <c r="I413" s="603"/>
      <c r="J413" s="603"/>
      <c r="K413" s="603"/>
      <c r="L413" s="603"/>
      <c r="M413" s="603"/>
      <c r="N413" s="603"/>
      <c r="O413" s="603"/>
      <c r="P413" s="603"/>
      <c r="Q413" s="603"/>
      <c r="R413" s="603"/>
      <c r="S413" s="603"/>
      <c r="T413" s="603"/>
      <c r="U413" s="603"/>
      <c r="V413" s="603"/>
      <c r="W413" s="603"/>
      <c r="X413" s="603"/>
      <c r="Y413" s="603"/>
      <c r="Z413" s="603"/>
    </row>
    <row r="414" spans="1:26" ht="18" customHeight="1" x14ac:dyDescent="0.2">
      <c r="A414" s="603"/>
      <c r="B414" s="603"/>
      <c r="C414" s="603"/>
      <c r="D414" s="603"/>
      <c r="E414" s="603"/>
      <c r="F414" s="603"/>
      <c r="G414" s="603"/>
      <c r="H414" s="603"/>
      <c r="I414" s="603"/>
      <c r="J414" s="603"/>
      <c r="K414" s="603"/>
      <c r="L414" s="603"/>
      <c r="M414" s="603"/>
      <c r="N414" s="603"/>
      <c r="O414" s="603"/>
      <c r="P414" s="603"/>
      <c r="Q414" s="603"/>
      <c r="R414" s="603"/>
      <c r="S414" s="603"/>
      <c r="T414" s="603"/>
      <c r="U414" s="603"/>
      <c r="V414" s="603"/>
      <c r="W414" s="603"/>
      <c r="X414" s="603"/>
      <c r="Y414" s="603"/>
      <c r="Z414" s="603"/>
    </row>
    <row r="415" spans="1:26" ht="18" customHeight="1" x14ac:dyDescent="0.2">
      <c r="A415" s="603"/>
      <c r="B415" s="603"/>
      <c r="C415" s="603"/>
      <c r="D415" s="603"/>
      <c r="E415" s="603"/>
      <c r="F415" s="603"/>
      <c r="G415" s="603"/>
      <c r="H415" s="603"/>
      <c r="I415" s="603"/>
      <c r="J415" s="603"/>
      <c r="K415" s="603"/>
      <c r="L415" s="603"/>
      <c r="M415" s="603"/>
      <c r="N415" s="603"/>
      <c r="O415" s="603"/>
      <c r="P415" s="603"/>
      <c r="Q415" s="603"/>
      <c r="R415" s="603"/>
      <c r="S415" s="603"/>
      <c r="T415" s="603"/>
      <c r="U415" s="603"/>
      <c r="V415" s="603"/>
      <c r="W415" s="603"/>
      <c r="X415" s="603"/>
      <c r="Y415" s="603"/>
      <c r="Z415" s="603"/>
    </row>
    <row r="416" spans="1:26" ht="18" customHeight="1" x14ac:dyDescent="0.2">
      <c r="A416" s="603"/>
      <c r="B416" s="603"/>
      <c r="C416" s="603"/>
      <c r="D416" s="603"/>
      <c r="E416" s="603"/>
      <c r="F416" s="603"/>
      <c r="G416" s="603"/>
      <c r="H416" s="603"/>
      <c r="I416" s="603"/>
      <c r="J416" s="603"/>
      <c r="K416" s="603"/>
      <c r="L416" s="603"/>
      <c r="M416" s="603"/>
      <c r="N416" s="603"/>
      <c r="O416" s="603"/>
      <c r="P416" s="603"/>
      <c r="Q416" s="603"/>
      <c r="R416" s="603"/>
      <c r="S416" s="603"/>
      <c r="T416" s="603"/>
      <c r="U416" s="603"/>
      <c r="V416" s="603"/>
      <c r="W416" s="603"/>
      <c r="X416" s="603"/>
      <c r="Y416" s="603"/>
      <c r="Z416" s="603"/>
    </row>
    <row r="417" spans="1:26" ht="18" customHeight="1" x14ac:dyDescent="0.2">
      <c r="A417" s="603"/>
      <c r="B417" s="603"/>
      <c r="C417" s="603"/>
      <c r="D417" s="603"/>
      <c r="E417" s="603"/>
      <c r="F417" s="603"/>
      <c r="G417" s="603"/>
      <c r="H417" s="603"/>
      <c r="I417" s="603"/>
      <c r="J417" s="603"/>
      <c r="K417" s="603"/>
      <c r="L417" s="603"/>
      <c r="M417" s="603"/>
      <c r="N417" s="603"/>
      <c r="O417" s="603"/>
      <c r="P417" s="603"/>
      <c r="Q417" s="603"/>
      <c r="R417" s="603"/>
      <c r="S417" s="603"/>
      <c r="T417" s="603"/>
      <c r="U417" s="603"/>
      <c r="V417" s="603"/>
      <c r="W417" s="603"/>
      <c r="X417" s="603"/>
      <c r="Y417" s="603"/>
      <c r="Z417" s="603"/>
    </row>
    <row r="418" spans="1:26" ht="18" customHeight="1" x14ac:dyDescent="0.2">
      <c r="A418" s="603"/>
      <c r="B418" s="603"/>
      <c r="C418" s="603"/>
      <c r="D418" s="603"/>
      <c r="E418" s="603"/>
      <c r="F418" s="603"/>
      <c r="G418" s="603"/>
      <c r="H418" s="603"/>
      <c r="I418" s="603"/>
      <c r="J418" s="603"/>
      <c r="K418" s="603"/>
      <c r="L418" s="603"/>
      <c r="M418" s="603"/>
      <c r="N418" s="603"/>
      <c r="O418" s="603"/>
      <c r="P418" s="603"/>
      <c r="Q418" s="603"/>
      <c r="R418" s="603"/>
      <c r="S418" s="603"/>
      <c r="T418" s="603"/>
      <c r="U418" s="603"/>
      <c r="V418" s="603"/>
      <c r="W418" s="603"/>
      <c r="X418" s="603"/>
      <c r="Y418" s="603"/>
      <c r="Z418" s="603"/>
    </row>
    <row r="419" spans="1:26" ht="18" customHeight="1" x14ac:dyDescent="0.2">
      <c r="A419" s="603"/>
      <c r="B419" s="603"/>
      <c r="C419" s="603"/>
      <c r="D419" s="603"/>
      <c r="E419" s="603"/>
      <c r="F419" s="603"/>
      <c r="G419" s="603"/>
      <c r="H419" s="603"/>
      <c r="I419" s="603"/>
      <c r="J419" s="603"/>
      <c r="K419" s="603"/>
      <c r="L419" s="603"/>
      <c r="M419" s="603"/>
      <c r="N419" s="603"/>
      <c r="O419" s="603"/>
      <c r="P419" s="603"/>
      <c r="Q419" s="603"/>
      <c r="R419" s="603"/>
      <c r="S419" s="603"/>
      <c r="T419" s="603"/>
      <c r="U419" s="603"/>
      <c r="V419" s="603"/>
      <c r="W419" s="603"/>
      <c r="X419" s="603"/>
      <c r="Y419" s="603"/>
      <c r="Z419" s="603"/>
    </row>
    <row r="420" spans="1:26" ht="18" customHeight="1" x14ac:dyDescent="0.2">
      <c r="A420" s="603"/>
      <c r="B420" s="603"/>
      <c r="C420" s="603"/>
      <c r="D420" s="603"/>
      <c r="E420" s="603"/>
      <c r="F420" s="603"/>
      <c r="G420" s="603"/>
      <c r="H420" s="603"/>
      <c r="I420" s="603"/>
      <c r="J420" s="603"/>
      <c r="K420" s="603"/>
      <c r="L420" s="603"/>
      <c r="M420" s="603"/>
      <c r="N420" s="603"/>
      <c r="O420" s="603"/>
      <c r="P420" s="603"/>
      <c r="Q420" s="603"/>
      <c r="R420" s="603"/>
      <c r="S420" s="603"/>
      <c r="T420" s="603"/>
      <c r="U420" s="603"/>
      <c r="V420" s="603"/>
      <c r="W420" s="603"/>
      <c r="X420" s="603"/>
      <c r="Y420" s="603"/>
      <c r="Z420" s="603"/>
    </row>
    <row r="421" spans="1:26" ht="18" customHeight="1" x14ac:dyDescent="0.2">
      <c r="A421" s="603"/>
      <c r="B421" s="603"/>
      <c r="C421" s="603"/>
      <c r="D421" s="603"/>
      <c r="E421" s="603"/>
      <c r="F421" s="603"/>
      <c r="G421" s="603"/>
      <c r="H421" s="603"/>
      <c r="I421" s="603"/>
      <c r="J421" s="603"/>
      <c r="K421" s="603"/>
      <c r="L421" s="603"/>
      <c r="M421" s="603"/>
      <c r="N421" s="603"/>
      <c r="O421" s="603"/>
      <c r="P421" s="603"/>
      <c r="Q421" s="603"/>
      <c r="R421" s="603"/>
      <c r="S421" s="603"/>
      <c r="T421" s="603"/>
      <c r="U421" s="603"/>
      <c r="V421" s="603"/>
      <c r="W421" s="603"/>
      <c r="X421" s="603"/>
      <c r="Y421" s="603"/>
      <c r="Z421" s="603"/>
    </row>
    <row r="422" spans="1:26" ht="18" customHeight="1" x14ac:dyDescent="0.2">
      <c r="A422" s="603"/>
      <c r="B422" s="603"/>
      <c r="C422" s="603"/>
      <c r="D422" s="603"/>
      <c r="E422" s="603"/>
      <c r="F422" s="603"/>
      <c r="G422" s="603"/>
      <c r="H422" s="603"/>
      <c r="I422" s="603"/>
      <c r="J422" s="603"/>
      <c r="K422" s="603"/>
      <c r="L422" s="603"/>
      <c r="M422" s="603"/>
      <c r="N422" s="603"/>
      <c r="O422" s="603"/>
      <c r="P422" s="603"/>
      <c r="Q422" s="603"/>
      <c r="R422" s="603"/>
      <c r="S422" s="603"/>
      <c r="T422" s="603"/>
      <c r="U422" s="603"/>
      <c r="V422" s="603"/>
      <c r="W422" s="603"/>
      <c r="X422" s="603"/>
      <c r="Y422" s="603"/>
      <c r="Z422" s="603"/>
    </row>
    <row r="423" spans="1:26" ht="18" customHeight="1" x14ac:dyDescent="0.2">
      <c r="A423" s="603"/>
      <c r="B423" s="603"/>
      <c r="C423" s="603"/>
      <c r="D423" s="603"/>
      <c r="E423" s="603"/>
      <c r="F423" s="603"/>
      <c r="G423" s="603"/>
      <c r="H423" s="603"/>
      <c r="I423" s="603"/>
      <c r="J423" s="603"/>
      <c r="K423" s="603"/>
      <c r="L423" s="603"/>
      <c r="M423" s="603"/>
      <c r="N423" s="603"/>
      <c r="O423" s="603"/>
      <c r="P423" s="603"/>
      <c r="Q423" s="603"/>
      <c r="R423" s="603"/>
      <c r="S423" s="603"/>
      <c r="T423" s="603"/>
      <c r="U423" s="603"/>
      <c r="V423" s="603"/>
      <c r="W423" s="603"/>
      <c r="X423" s="603"/>
      <c r="Y423" s="603"/>
      <c r="Z423" s="603"/>
    </row>
    <row r="424" spans="1:26" ht="18" customHeight="1" x14ac:dyDescent="0.2">
      <c r="A424" s="603"/>
      <c r="B424" s="603"/>
      <c r="C424" s="603"/>
      <c r="D424" s="603"/>
      <c r="E424" s="603"/>
      <c r="F424" s="603"/>
      <c r="G424" s="603"/>
      <c r="H424" s="603"/>
      <c r="I424" s="603"/>
      <c r="J424" s="603"/>
      <c r="K424" s="603"/>
      <c r="L424" s="603"/>
      <c r="M424" s="603"/>
      <c r="N424" s="603"/>
      <c r="O424" s="603"/>
      <c r="P424" s="603"/>
      <c r="Q424" s="603"/>
      <c r="R424" s="603"/>
      <c r="S424" s="603"/>
      <c r="T424" s="603"/>
      <c r="U424" s="603"/>
      <c r="V424" s="603"/>
      <c r="W424" s="603"/>
      <c r="X424" s="603"/>
      <c r="Y424" s="603"/>
      <c r="Z424" s="603"/>
    </row>
    <row r="425" spans="1:26" ht="18" customHeight="1" x14ac:dyDescent="0.2">
      <c r="A425" s="603"/>
      <c r="B425" s="603"/>
      <c r="C425" s="603"/>
      <c r="D425" s="603"/>
      <c r="E425" s="603"/>
      <c r="F425" s="603"/>
      <c r="G425" s="603"/>
      <c r="H425" s="603"/>
      <c r="I425" s="603"/>
      <c r="J425" s="603"/>
      <c r="K425" s="603"/>
      <c r="L425" s="603"/>
      <c r="M425" s="603"/>
      <c r="N425" s="603"/>
      <c r="O425" s="603"/>
      <c r="P425" s="603"/>
      <c r="Q425" s="603"/>
      <c r="R425" s="603"/>
      <c r="S425" s="603"/>
      <c r="T425" s="603"/>
      <c r="U425" s="603"/>
      <c r="V425" s="603"/>
      <c r="W425" s="603"/>
      <c r="X425" s="603"/>
      <c r="Y425" s="603"/>
      <c r="Z425" s="603"/>
    </row>
    <row r="426" spans="1:26" ht="18" customHeight="1" x14ac:dyDescent="0.2">
      <c r="A426" s="603"/>
      <c r="B426" s="603"/>
      <c r="C426" s="603"/>
      <c r="D426" s="603"/>
      <c r="E426" s="603"/>
      <c r="F426" s="603"/>
      <c r="G426" s="603"/>
      <c r="H426" s="603"/>
      <c r="I426" s="603"/>
      <c r="J426" s="603"/>
      <c r="K426" s="603"/>
      <c r="L426" s="603"/>
      <c r="M426" s="603"/>
      <c r="N426" s="603"/>
      <c r="O426" s="603"/>
      <c r="P426" s="603"/>
      <c r="Q426" s="603"/>
      <c r="R426" s="603"/>
      <c r="S426" s="603"/>
      <c r="T426" s="603"/>
      <c r="U426" s="603"/>
      <c r="V426" s="603"/>
      <c r="W426" s="603"/>
      <c r="X426" s="603"/>
      <c r="Y426" s="603"/>
      <c r="Z426" s="603"/>
    </row>
    <row r="427" spans="1:26" ht="18" customHeight="1" x14ac:dyDescent="0.2">
      <c r="A427" s="603"/>
      <c r="B427" s="603"/>
      <c r="C427" s="603"/>
      <c r="D427" s="603"/>
      <c r="E427" s="603"/>
      <c r="F427" s="603"/>
      <c r="G427" s="603"/>
      <c r="H427" s="603"/>
      <c r="I427" s="603"/>
      <c r="J427" s="603"/>
      <c r="K427" s="603"/>
      <c r="L427" s="603"/>
      <c r="M427" s="603"/>
      <c r="N427" s="603"/>
      <c r="O427" s="603"/>
      <c r="P427" s="603"/>
      <c r="Q427" s="603"/>
      <c r="R427" s="603"/>
      <c r="S427" s="603"/>
      <c r="T427" s="603"/>
      <c r="U427" s="603"/>
      <c r="V427" s="603"/>
      <c r="W427" s="603"/>
      <c r="X427" s="603"/>
      <c r="Y427" s="603"/>
      <c r="Z427" s="603"/>
    </row>
    <row r="428" spans="1:26" ht="18" customHeight="1" x14ac:dyDescent="0.2">
      <c r="A428" s="603"/>
      <c r="B428" s="603"/>
      <c r="C428" s="603"/>
      <c r="D428" s="603"/>
      <c r="E428" s="603"/>
      <c r="F428" s="603"/>
      <c r="G428" s="603"/>
      <c r="H428" s="603"/>
      <c r="I428" s="603"/>
      <c r="J428" s="603"/>
      <c r="K428" s="603"/>
      <c r="L428" s="603"/>
      <c r="M428" s="603"/>
      <c r="N428" s="603"/>
      <c r="O428" s="603"/>
      <c r="P428" s="603"/>
      <c r="Q428" s="603"/>
      <c r="R428" s="603"/>
      <c r="S428" s="603"/>
      <c r="T428" s="603"/>
      <c r="U428" s="603"/>
      <c r="V428" s="603"/>
      <c r="W428" s="603"/>
      <c r="X428" s="603"/>
      <c r="Y428" s="603"/>
      <c r="Z428" s="603"/>
    </row>
    <row r="429" spans="1:26" ht="18" customHeight="1" x14ac:dyDescent="0.2">
      <c r="A429" s="603"/>
      <c r="B429" s="603"/>
      <c r="C429" s="603"/>
      <c r="D429" s="603"/>
      <c r="E429" s="603"/>
      <c r="F429" s="603"/>
      <c r="G429" s="603"/>
      <c r="H429" s="603"/>
      <c r="I429" s="603"/>
      <c r="J429" s="603"/>
      <c r="K429" s="603"/>
      <c r="L429" s="603"/>
      <c r="M429" s="603"/>
      <c r="N429" s="603"/>
      <c r="O429" s="603"/>
      <c r="P429" s="603"/>
      <c r="Q429" s="603"/>
      <c r="R429" s="603"/>
      <c r="S429" s="603"/>
      <c r="T429" s="603"/>
      <c r="U429" s="603"/>
      <c r="V429" s="603"/>
      <c r="W429" s="603"/>
      <c r="X429" s="603"/>
      <c r="Y429" s="603"/>
      <c r="Z429" s="603"/>
    </row>
    <row r="430" spans="1:26" ht="18" customHeight="1" x14ac:dyDescent="0.2">
      <c r="A430" s="603"/>
      <c r="B430" s="603"/>
      <c r="C430" s="603"/>
      <c r="D430" s="603"/>
      <c r="E430" s="603"/>
      <c r="F430" s="603"/>
      <c r="G430" s="603"/>
      <c r="H430" s="603"/>
      <c r="I430" s="603"/>
      <c r="J430" s="603"/>
      <c r="K430" s="603"/>
      <c r="L430" s="603"/>
      <c r="M430" s="603"/>
      <c r="N430" s="603"/>
      <c r="O430" s="603"/>
      <c r="P430" s="603"/>
      <c r="Q430" s="603"/>
      <c r="R430" s="603"/>
      <c r="S430" s="603"/>
      <c r="T430" s="603"/>
      <c r="U430" s="603"/>
      <c r="V430" s="603"/>
      <c r="W430" s="603"/>
      <c r="X430" s="603"/>
      <c r="Y430" s="603"/>
      <c r="Z430" s="603"/>
    </row>
    <row r="431" spans="1:26" ht="18" customHeight="1" x14ac:dyDescent="0.2">
      <c r="A431" s="603"/>
      <c r="B431" s="603"/>
      <c r="C431" s="603"/>
      <c r="D431" s="603"/>
      <c r="E431" s="603"/>
      <c r="F431" s="603"/>
      <c r="G431" s="603"/>
      <c r="H431" s="603"/>
      <c r="I431" s="603"/>
      <c r="J431" s="603"/>
      <c r="K431" s="603"/>
      <c r="L431" s="603"/>
      <c r="M431" s="603"/>
      <c r="N431" s="603"/>
      <c r="O431" s="603"/>
      <c r="P431" s="603"/>
      <c r="Q431" s="603"/>
      <c r="R431" s="603"/>
      <c r="S431" s="603"/>
      <c r="T431" s="603"/>
      <c r="U431" s="603"/>
      <c r="V431" s="603"/>
      <c r="W431" s="603"/>
      <c r="X431" s="603"/>
      <c r="Y431" s="603"/>
      <c r="Z431" s="603"/>
    </row>
    <row r="432" spans="1:26" ht="18" customHeight="1" x14ac:dyDescent="0.2">
      <c r="A432" s="603"/>
      <c r="B432" s="603"/>
      <c r="C432" s="603"/>
      <c r="D432" s="603"/>
      <c r="E432" s="603"/>
      <c r="F432" s="603"/>
      <c r="G432" s="603"/>
      <c r="H432" s="603"/>
      <c r="I432" s="603"/>
      <c r="J432" s="603"/>
      <c r="K432" s="603"/>
      <c r="L432" s="603"/>
      <c r="M432" s="603"/>
      <c r="N432" s="603"/>
      <c r="O432" s="603"/>
      <c r="P432" s="603"/>
      <c r="Q432" s="603"/>
      <c r="R432" s="603"/>
      <c r="S432" s="603"/>
      <c r="T432" s="603"/>
      <c r="U432" s="603"/>
      <c r="V432" s="603"/>
      <c r="W432" s="603"/>
      <c r="X432" s="603"/>
      <c r="Y432" s="603"/>
      <c r="Z432" s="603"/>
    </row>
    <row r="433" spans="1:26" ht="18" customHeight="1" x14ac:dyDescent="0.2">
      <c r="A433" s="603"/>
      <c r="B433" s="603"/>
      <c r="C433" s="603"/>
      <c r="D433" s="603"/>
      <c r="E433" s="603"/>
      <c r="F433" s="603"/>
      <c r="G433" s="603"/>
      <c r="H433" s="603"/>
      <c r="I433" s="603"/>
      <c r="J433" s="603"/>
      <c r="K433" s="603"/>
      <c r="L433" s="603"/>
      <c r="M433" s="603"/>
      <c r="N433" s="603"/>
      <c r="O433" s="603"/>
      <c r="P433" s="603"/>
      <c r="Q433" s="603"/>
      <c r="R433" s="603"/>
      <c r="S433" s="603"/>
      <c r="T433" s="603"/>
      <c r="U433" s="603"/>
      <c r="V433" s="603"/>
      <c r="W433" s="603"/>
      <c r="X433" s="603"/>
      <c r="Y433" s="603"/>
      <c r="Z433" s="603"/>
    </row>
    <row r="434" spans="1:26" ht="18" customHeight="1" x14ac:dyDescent="0.2">
      <c r="A434" s="603"/>
      <c r="B434" s="603"/>
      <c r="C434" s="603"/>
      <c r="D434" s="603"/>
      <c r="E434" s="603"/>
      <c r="F434" s="603"/>
      <c r="G434" s="603"/>
      <c r="H434" s="603"/>
      <c r="I434" s="603"/>
      <c r="J434" s="603"/>
      <c r="K434" s="603"/>
      <c r="L434" s="603"/>
      <c r="M434" s="603"/>
      <c r="N434" s="603"/>
      <c r="O434" s="603"/>
      <c r="P434" s="603"/>
      <c r="Q434" s="603"/>
      <c r="R434" s="603"/>
      <c r="S434" s="603"/>
      <c r="T434" s="603"/>
      <c r="U434" s="603"/>
      <c r="V434" s="603"/>
      <c r="W434" s="603"/>
      <c r="X434" s="603"/>
      <c r="Y434" s="603"/>
      <c r="Z434" s="603"/>
    </row>
    <row r="435" spans="1:26" ht="18" customHeight="1" x14ac:dyDescent="0.2">
      <c r="A435" s="603"/>
      <c r="B435" s="603"/>
      <c r="C435" s="603"/>
      <c r="D435" s="603"/>
      <c r="E435" s="603"/>
      <c r="F435" s="603"/>
      <c r="G435" s="603"/>
      <c r="H435" s="603"/>
      <c r="I435" s="603"/>
      <c r="J435" s="603"/>
      <c r="K435" s="603"/>
      <c r="L435" s="603"/>
      <c r="M435" s="603"/>
      <c r="N435" s="603"/>
      <c r="O435" s="603"/>
      <c r="P435" s="603"/>
      <c r="Q435" s="603"/>
      <c r="R435" s="603"/>
      <c r="S435" s="603"/>
      <c r="T435" s="603"/>
      <c r="U435" s="603"/>
      <c r="V435" s="603"/>
      <c r="W435" s="603"/>
      <c r="X435" s="603"/>
      <c r="Y435" s="603"/>
      <c r="Z435" s="603"/>
    </row>
    <row r="436" spans="1:26" ht="18" customHeight="1" x14ac:dyDescent="0.2">
      <c r="A436" s="603"/>
      <c r="B436" s="603"/>
      <c r="C436" s="603"/>
      <c r="D436" s="603"/>
      <c r="E436" s="603"/>
      <c r="F436" s="603"/>
      <c r="G436" s="603"/>
      <c r="H436" s="603"/>
      <c r="I436" s="603"/>
      <c r="J436" s="603"/>
      <c r="K436" s="603"/>
      <c r="L436" s="603"/>
      <c r="M436" s="603"/>
      <c r="N436" s="603"/>
      <c r="O436" s="603"/>
      <c r="P436" s="603"/>
      <c r="Q436" s="603"/>
      <c r="R436" s="603"/>
      <c r="S436" s="603"/>
      <c r="T436" s="603"/>
      <c r="U436" s="603"/>
      <c r="V436" s="603"/>
      <c r="W436" s="603"/>
      <c r="X436" s="603"/>
      <c r="Y436" s="603"/>
      <c r="Z436" s="603"/>
    </row>
    <row r="437" spans="1:26" ht="18" customHeight="1" x14ac:dyDescent="0.2">
      <c r="A437" s="603"/>
      <c r="B437" s="603"/>
      <c r="C437" s="603"/>
      <c r="D437" s="603"/>
      <c r="E437" s="603"/>
      <c r="F437" s="603"/>
      <c r="G437" s="603"/>
      <c r="H437" s="603"/>
      <c r="I437" s="603"/>
      <c r="J437" s="603"/>
      <c r="K437" s="603"/>
      <c r="L437" s="603"/>
      <c r="M437" s="603"/>
      <c r="N437" s="603"/>
      <c r="O437" s="603"/>
      <c r="P437" s="603"/>
      <c r="Q437" s="603"/>
      <c r="R437" s="603"/>
      <c r="S437" s="603"/>
      <c r="T437" s="603"/>
      <c r="U437" s="603"/>
      <c r="V437" s="603"/>
      <c r="W437" s="603"/>
      <c r="X437" s="603"/>
      <c r="Y437" s="603"/>
      <c r="Z437" s="603"/>
    </row>
    <row r="438" spans="1:26" ht="18" customHeight="1" x14ac:dyDescent="0.2">
      <c r="A438" s="603"/>
      <c r="B438" s="603"/>
      <c r="C438" s="603"/>
      <c r="D438" s="603"/>
      <c r="E438" s="603"/>
      <c r="F438" s="603"/>
      <c r="G438" s="603"/>
      <c r="H438" s="603"/>
      <c r="I438" s="603"/>
      <c r="J438" s="603"/>
      <c r="K438" s="603"/>
      <c r="L438" s="603"/>
      <c r="M438" s="603"/>
      <c r="N438" s="603"/>
      <c r="O438" s="603"/>
      <c r="P438" s="603"/>
      <c r="Q438" s="603"/>
      <c r="R438" s="603"/>
      <c r="S438" s="603"/>
      <c r="T438" s="603"/>
      <c r="U438" s="603"/>
      <c r="V438" s="603"/>
      <c r="W438" s="603"/>
      <c r="X438" s="603"/>
      <c r="Y438" s="603"/>
      <c r="Z438" s="603"/>
    </row>
    <row r="439" spans="1:26" ht="18" customHeight="1" x14ac:dyDescent="0.2">
      <c r="A439" s="603"/>
      <c r="B439" s="603"/>
      <c r="C439" s="603"/>
      <c r="D439" s="603"/>
      <c r="E439" s="603"/>
      <c r="F439" s="603"/>
      <c r="G439" s="603"/>
      <c r="H439" s="603"/>
      <c r="I439" s="603"/>
      <c r="J439" s="603"/>
      <c r="K439" s="603"/>
      <c r="L439" s="603"/>
      <c r="M439" s="603"/>
      <c r="N439" s="603"/>
      <c r="O439" s="603"/>
      <c r="P439" s="603"/>
      <c r="Q439" s="603"/>
      <c r="R439" s="603"/>
      <c r="S439" s="603"/>
      <c r="T439" s="603"/>
      <c r="U439" s="603"/>
      <c r="V439" s="603"/>
      <c r="W439" s="603"/>
      <c r="X439" s="603"/>
      <c r="Y439" s="603"/>
      <c r="Z439" s="603"/>
    </row>
    <row r="440" spans="1:26" ht="18" customHeight="1" x14ac:dyDescent="0.2">
      <c r="A440" s="603"/>
      <c r="B440" s="603"/>
      <c r="C440" s="603"/>
      <c r="D440" s="603"/>
      <c r="E440" s="603"/>
      <c r="F440" s="603"/>
      <c r="G440" s="603"/>
      <c r="H440" s="603"/>
      <c r="I440" s="603"/>
      <c r="J440" s="603"/>
      <c r="K440" s="603"/>
      <c r="L440" s="603"/>
      <c r="M440" s="603"/>
      <c r="N440" s="603"/>
      <c r="O440" s="603"/>
      <c r="P440" s="603"/>
      <c r="Q440" s="603"/>
      <c r="R440" s="603"/>
      <c r="S440" s="603"/>
      <c r="T440" s="603"/>
      <c r="U440" s="603"/>
      <c r="V440" s="603"/>
      <c r="W440" s="603"/>
      <c r="X440" s="603"/>
      <c r="Y440" s="603"/>
      <c r="Z440" s="603"/>
    </row>
    <row r="441" spans="1:26" ht="18" customHeight="1" x14ac:dyDescent="0.2">
      <c r="A441" s="603"/>
      <c r="B441" s="603"/>
      <c r="C441" s="603"/>
      <c r="D441" s="603"/>
      <c r="E441" s="603"/>
      <c r="F441" s="603"/>
      <c r="G441" s="603"/>
      <c r="H441" s="603"/>
      <c r="I441" s="603"/>
      <c r="J441" s="603"/>
      <c r="K441" s="603"/>
      <c r="L441" s="603"/>
      <c r="M441" s="603"/>
      <c r="N441" s="603"/>
      <c r="O441" s="603"/>
      <c r="P441" s="603"/>
      <c r="Q441" s="603"/>
      <c r="R441" s="603"/>
      <c r="S441" s="603"/>
      <c r="T441" s="603"/>
      <c r="U441" s="603"/>
      <c r="V441" s="603"/>
      <c r="W441" s="603"/>
      <c r="X441" s="603"/>
      <c r="Y441" s="603"/>
      <c r="Z441" s="603"/>
    </row>
    <row r="442" spans="1:26" ht="18" customHeight="1" x14ac:dyDescent="0.2">
      <c r="A442" s="603"/>
      <c r="B442" s="603"/>
      <c r="C442" s="603"/>
      <c r="D442" s="603"/>
      <c r="E442" s="603"/>
      <c r="F442" s="603"/>
      <c r="G442" s="603"/>
      <c r="H442" s="603"/>
      <c r="I442" s="603"/>
      <c r="J442" s="603"/>
      <c r="K442" s="603"/>
      <c r="L442" s="603"/>
      <c r="M442" s="603"/>
      <c r="N442" s="603"/>
      <c r="O442" s="603"/>
      <c r="P442" s="603"/>
      <c r="Q442" s="603"/>
      <c r="R442" s="603"/>
      <c r="S442" s="603"/>
      <c r="T442" s="603"/>
      <c r="U442" s="603"/>
      <c r="V442" s="603"/>
      <c r="W442" s="603"/>
      <c r="X442" s="603"/>
      <c r="Y442" s="603"/>
      <c r="Z442" s="603"/>
    </row>
    <row r="443" spans="1:26" ht="18" customHeight="1" x14ac:dyDescent="0.2">
      <c r="A443" s="603"/>
      <c r="B443" s="603"/>
      <c r="C443" s="603"/>
      <c r="D443" s="603"/>
      <c r="E443" s="603"/>
      <c r="F443" s="603"/>
      <c r="G443" s="603"/>
      <c r="H443" s="603"/>
      <c r="I443" s="603"/>
      <c r="J443" s="603"/>
      <c r="K443" s="603"/>
      <c r="L443" s="603"/>
      <c r="M443" s="603"/>
      <c r="N443" s="603"/>
      <c r="O443" s="603"/>
      <c r="P443" s="603"/>
      <c r="Q443" s="603"/>
      <c r="R443" s="603"/>
      <c r="S443" s="603"/>
      <c r="T443" s="603"/>
      <c r="U443" s="603"/>
      <c r="V443" s="603"/>
      <c r="W443" s="603"/>
      <c r="X443" s="603"/>
      <c r="Y443" s="603"/>
      <c r="Z443" s="603"/>
    </row>
    <row r="444" spans="1:26" ht="18" customHeight="1" x14ac:dyDescent="0.2">
      <c r="A444" s="603"/>
      <c r="B444" s="603"/>
      <c r="C444" s="603"/>
      <c r="D444" s="603"/>
      <c r="E444" s="603"/>
      <c r="F444" s="603"/>
      <c r="G444" s="603"/>
      <c r="H444" s="603"/>
      <c r="I444" s="603"/>
      <c r="J444" s="603"/>
      <c r="K444" s="603"/>
      <c r="L444" s="603"/>
      <c r="M444" s="603"/>
      <c r="N444" s="603"/>
      <c r="O444" s="603"/>
      <c r="P444" s="603"/>
      <c r="Q444" s="603"/>
      <c r="R444" s="603"/>
      <c r="S444" s="603"/>
      <c r="T444" s="603"/>
      <c r="U444" s="603"/>
      <c r="V444" s="603"/>
      <c r="W444" s="603"/>
      <c r="X444" s="603"/>
      <c r="Y444" s="603"/>
      <c r="Z444" s="603"/>
    </row>
    <row r="445" spans="1:26" ht="18" customHeight="1" x14ac:dyDescent="0.2">
      <c r="A445" s="603"/>
      <c r="B445" s="603"/>
      <c r="C445" s="603"/>
      <c r="D445" s="603"/>
      <c r="E445" s="603"/>
      <c r="F445" s="603"/>
      <c r="G445" s="603"/>
      <c r="H445" s="603"/>
      <c r="I445" s="603"/>
      <c r="J445" s="603"/>
      <c r="K445" s="603"/>
      <c r="L445" s="603"/>
      <c r="M445" s="603"/>
      <c r="N445" s="603"/>
      <c r="O445" s="603"/>
      <c r="P445" s="603"/>
      <c r="Q445" s="603"/>
      <c r="R445" s="603"/>
      <c r="S445" s="603"/>
      <c r="T445" s="603"/>
      <c r="U445" s="603"/>
      <c r="V445" s="603"/>
      <c r="W445" s="603"/>
      <c r="X445" s="603"/>
      <c r="Y445" s="603"/>
      <c r="Z445" s="603"/>
    </row>
    <row r="446" spans="1:26" ht="18" customHeight="1" x14ac:dyDescent="0.2">
      <c r="A446" s="603"/>
      <c r="B446" s="603"/>
      <c r="C446" s="603"/>
      <c r="D446" s="603"/>
      <c r="E446" s="603"/>
      <c r="F446" s="603"/>
      <c r="G446" s="603"/>
      <c r="H446" s="603"/>
      <c r="I446" s="603"/>
      <c r="J446" s="603"/>
      <c r="K446" s="603"/>
      <c r="L446" s="603"/>
      <c r="M446" s="603"/>
      <c r="N446" s="603"/>
      <c r="O446" s="603"/>
      <c r="P446" s="603"/>
      <c r="Q446" s="603"/>
      <c r="R446" s="603"/>
      <c r="S446" s="603"/>
      <c r="T446" s="603"/>
      <c r="U446" s="603"/>
      <c r="V446" s="603"/>
      <c r="W446" s="603"/>
      <c r="X446" s="603"/>
      <c r="Y446" s="603"/>
      <c r="Z446" s="603"/>
    </row>
    <row r="447" spans="1:26" ht="18" customHeight="1" x14ac:dyDescent="0.2">
      <c r="A447" s="603"/>
      <c r="B447" s="603"/>
      <c r="C447" s="603"/>
      <c r="D447" s="603"/>
      <c r="E447" s="603"/>
      <c r="F447" s="603"/>
      <c r="G447" s="603"/>
      <c r="H447" s="603"/>
      <c r="I447" s="603"/>
      <c r="J447" s="603"/>
      <c r="K447" s="603"/>
      <c r="L447" s="603"/>
      <c r="M447" s="603"/>
      <c r="N447" s="603"/>
      <c r="O447" s="603"/>
      <c r="P447" s="603"/>
      <c r="Q447" s="603"/>
      <c r="R447" s="603"/>
      <c r="S447" s="603"/>
      <c r="T447" s="603"/>
      <c r="U447" s="603"/>
      <c r="V447" s="603"/>
      <c r="W447" s="603"/>
      <c r="X447" s="603"/>
      <c r="Y447" s="603"/>
      <c r="Z447" s="603"/>
    </row>
    <row r="448" spans="1:26" ht="18" customHeight="1" x14ac:dyDescent="0.2">
      <c r="A448" s="603"/>
      <c r="B448" s="603"/>
      <c r="C448" s="603"/>
      <c r="D448" s="603"/>
      <c r="E448" s="603"/>
      <c r="F448" s="603"/>
      <c r="G448" s="603"/>
      <c r="H448" s="603"/>
      <c r="I448" s="603"/>
      <c r="J448" s="603"/>
      <c r="K448" s="603"/>
      <c r="L448" s="603"/>
      <c r="M448" s="603"/>
      <c r="N448" s="603"/>
      <c r="O448" s="603"/>
      <c r="P448" s="603"/>
      <c r="Q448" s="603"/>
      <c r="R448" s="603"/>
      <c r="S448" s="603"/>
      <c r="T448" s="603"/>
      <c r="U448" s="603"/>
      <c r="V448" s="603"/>
      <c r="W448" s="603"/>
      <c r="X448" s="603"/>
      <c r="Y448" s="603"/>
      <c r="Z448" s="603"/>
    </row>
    <row r="449" spans="1:26" ht="18" customHeight="1" x14ac:dyDescent="0.2">
      <c r="A449" s="603"/>
      <c r="B449" s="603"/>
      <c r="C449" s="603"/>
      <c r="D449" s="603"/>
      <c r="E449" s="603"/>
      <c r="F449" s="603"/>
      <c r="G449" s="603"/>
      <c r="H449" s="603"/>
      <c r="I449" s="603"/>
      <c r="J449" s="603"/>
      <c r="K449" s="603"/>
      <c r="L449" s="603"/>
      <c r="M449" s="603"/>
      <c r="N449" s="603"/>
      <c r="O449" s="603"/>
      <c r="P449" s="603"/>
      <c r="Q449" s="603"/>
      <c r="R449" s="603"/>
      <c r="S449" s="603"/>
      <c r="T449" s="603"/>
      <c r="U449" s="603"/>
      <c r="V449" s="603"/>
      <c r="W449" s="603"/>
      <c r="X449" s="603"/>
      <c r="Y449" s="603"/>
      <c r="Z449" s="603"/>
    </row>
    <row r="450" spans="1:26" ht="18" customHeight="1" x14ac:dyDescent="0.2">
      <c r="A450" s="603"/>
      <c r="B450" s="603"/>
      <c r="C450" s="603"/>
      <c r="D450" s="603"/>
      <c r="E450" s="603"/>
      <c r="F450" s="603"/>
      <c r="G450" s="603"/>
      <c r="H450" s="603"/>
      <c r="I450" s="603"/>
      <c r="J450" s="603"/>
      <c r="K450" s="603"/>
      <c r="L450" s="603"/>
      <c r="M450" s="603"/>
      <c r="N450" s="603"/>
      <c r="O450" s="603"/>
      <c r="P450" s="603"/>
      <c r="Q450" s="603"/>
      <c r="R450" s="603"/>
      <c r="S450" s="603"/>
      <c r="T450" s="603"/>
      <c r="U450" s="603"/>
      <c r="V450" s="603"/>
      <c r="W450" s="603"/>
      <c r="X450" s="603"/>
      <c r="Y450" s="603"/>
      <c r="Z450" s="603"/>
    </row>
    <row r="451" spans="1:26" ht="18" customHeight="1" x14ac:dyDescent="0.2">
      <c r="A451" s="603"/>
      <c r="B451" s="603"/>
      <c r="C451" s="603"/>
      <c r="D451" s="603"/>
      <c r="E451" s="603"/>
      <c r="F451" s="603"/>
      <c r="G451" s="603"/>
      <c r="H451" s="603"/>
      <c r="I451" s="603"/>
      <c r="J451" s="603"/>
      <c r="K451" s="603"/>
      <c r="L451" s="603"/>
      <c r="M451" s="603"/>
      <c r="N451" s="603"/>
      <c r="O451" s="603"/>
      <c r="P451" s="603"/>
      <c r="Q451" s="603"/>
      <c r="R451" s="603"/>
      <c r="S451" s="603"/>
      <c r="T451" s="603"/>
      <c r="U451" s="603"/>
      <c r="V451" s="603"/>
      <c r="W451" s="603"/>
      <c r="X451" s="603"/>
      <c r="Y451" s="603"/>
      <c r="Z451" s="603"/>
    </row>
    <row r="452" spans="1:26" ht="18" customHeight="1" x14ac:dyDescent="0.2">
      <c r="A452" s="603"/>
      <c r="B452" s="603"/>
      <c r="C452" s="603"/>
      <c r="D452" s="603"/>
      <c r="E452" s="603"/>
      <c r="F452" s="603"/>
      <c r="G452" s="603"/>
      <c r="H452" s="603"/>
      <c r="I452" s="603"/>
      <c r="J452" s="603"/>
      <c r="K452" s="603"/>
      <c r="L452" s="603"/>
      <c r="M452" s="603"/>
      <c r="N452" s="603"/>
      <c r="O452" s="603"/>
      <c r="P452" s="603"/>
      <c r="Q452" s="603"/>
      <c r="R452" s="603"/>
      <c r="S452" s="603"/>
      <c r="T452" s="603"/>
      <c r="U452" s="603"/>
      <c r="V452" s="603"/>
      <c r="W452" s="603"/>
      <c r="X452" s="603"/>
      <c r="Y452" s="603"/>
      <c r="Z452" s="603"/>
    </row>
    <row r="453" spans="1:26" ht="18" customHeight="1" x14ac:dyDescent="0.2">
      <c r="A453" s="603"/>
      <c r="B453" s="603"/>
      <c r="C453" s="603"/>
      <c r="D453" s="603"/>
      <c r="E453" s="603"/>
      <c r="F453" s="603"/>
      <c r="G453" s="603"/>
      <c r="H453" s="603"/>
      <c r="I453" s="603"/>
      <c r="J453" s="603"/>
      <c r="K453" s="603"/>
      <c r="L453" s="603"/>
      <c r="M453" s="603"/>
      <c r="N453" s="603"/>
      <c r="O453" s="603"/>
      <c r="P453" s="603"/>
      <c r="Q453" s="603"/>
      <c r="R453" s="603"/>
      <c r="S453" s="603"/>
      <c r="T453" s="603"/>
      <c r="U453" s="603"/>
      <c r="V453" s="603"/>
      <c r="W453" s="603"/>
      <c r="X453" s="603"/>
      <c r="Y453" s="603"/>
      <c r="Z453" s="603"/>
    </row>
    <row r="454" spans="1:26" ht="18" customHeight="1" x14ac:dyDescent="0.2">
      <c r="A454" s="603"/>
      <c r="B454" s="603"/>
      <c r="C454" s="603"/>
      <c r="D454" s="603"/>
      <c r="E454" s="603"/>
      <c r="F454" s="603"/>
      <c r="G454" s="603"/>
      <c r="H454" s="603"/>
      <c r="I454" s="603"/>
      <c r="J454" s="603"/>
      <c r="K454" s="603"/>
      <c r="L454" s="603"/>
      <c r="M454" s="603"/>
      <c r="N454" s="603"/>
      <c r="O454" s="603"/>
      <c r="P454" s="603"/>
      <c r="Q454" s="603"/>
      <c r="R454" s="603"/>
      <c r="S454" s="603"/>
      <c r="T454" s="603"/>
      <c r="U454" s="603"/>
      <c r="V454" s="603"/>
      <c r="W454" s="603"/>
      <c r="X454" s="603"/>
      <c r="Y454" s="603"/>
      <c r="Z454" s="603"/>
    </row>
    <row r="455" spans="1:26" ht="18" customHeight="1" x14ac:dyDescent="0.2">
      <c r="A455" s="603"/>
      <c r="B455" s="603"/>
      <c r="C455" s="603"/>
      <c r="D455" s="603"/>
      <c r="E455" s="603"/>
      <c r="F455" s="603"/>
      <c r="G455" s="603"/>
      <c r="H455" s="603"/>
      <c r="I455" s="603"/>
      <c r="J455" s="603"/>
      <c r="K455" s="603"/>
      <c r="L455" s="603"/>
      <c r="M455" s="603"/>
      <c r="N455" s="603"/>
      <c r="O455" s="603"/>
      <c r="P455" s="603"/>
      <c r="Q455" s="603"/>
      <c r="R455" s="603"/>
      <c r="S455" s="603"/>
      <c r="T455" s="603"/>
      <c r="U455" s="603"/>
      <c r="V455" s="603"/>
      <c r="W455" s="603"/>
      <c r="X455" s="603"/>
      <c r="Y455" s="603"/>
      <c r="Z455" s="603"/>
    </row>
    <row r="456" spans="1:26" ht="18" customHeight="1" x14ac:dyDescent="0.2">
      <c r="A456" s="603"/>
      <c r="B456" s="603"/>
      <c r="C456" s="603"/>
      <c r="D456" s="603"/>
      <c r="E456" s="603"/>
      <c r="F456" s="603"/>
      <c r="G456" s="603"/>
      <c r="H456" s="603"/>
      <c r="I456" s="603"/>
      <c r="J456" s="603"/>
      <c r="K456" s="603"/>
      <c r="L456" s="603"/>
      <c r="M456" s="603"/>
      <c r="N456" s="603"/>
      <c r="O456" s="603"/>
      <c r="P456" s="603"/>
      <c r="Q456" s="603"/>
      <c r="R456" s="603"/>
      <c r="S456" s="603"/>
      <c r="T456" s="603"/>
      <c r="U456" s="603"/>
      <c r="V456" s="603"/>
      <c r="W456" s="603"/>
      <c r="X456" s="603"/>
      <c r="Y456" s="603"/>
      <c r="Z456" s="603"/>
    </row>
    <row r="457" spans="1:26" ht="18" customHeight="1" x14ac:dyDescent="0.2">
      <c r="A457" s="603"/>
      <c r="B457" s="603"/>
      <c r="C457" s="603"/>
      <c r="D457" s="603"/>
      <c r="E457" s="603"/>
      <c r="F457" s="603"/>
      <c r="G457" s="603"/>
      <c r="H457" s="603"/>
      <c r="I457" s="603"/>
      <c r="J457" s="603"/>
      <c r="K457" s="603"/>
      <c r="L457" s="603"/>
      <c r="M457" s="603"/>
      <c r="N457" s="603"/>
      <c r="O457" s="603"/>
      <c r="P457" s="603"/>
      <c r="Q457" s="603"/>
      <c r="R457" s="603"/>
      <c r="S457" s="603"/>
      <c r="T457" s="603"/>
      <c r="U457" s="603"/>
      <c r="V457" s="603"/>
      <c r="W457" s="603"/>
      <c r="X457" s="603"/>
      <c r="Y457" s="603"/>
      <c r="Z457" s="603"/>
    </row>
    <row r="458" spans="1:26" ht="18" customHeight="1" x14ac:dyDescent="0.2">
      <c r="A458" s="603"/>
      <c r="B458" s="603"/>
      <c r="C458" s="603"/>
      <c r="D458" s="603"/>
      <c r="E458" s="603"/>
      <c r="F458" s="603"/>
      <c r="G458" s="603"/>
      <c r="H458" s="603"/>
      <c r="I458" s="603"/>
      <c r="J458" s="603"/>
      <c r="K458" s="603"/>
      <c r="L458" s="603"/>
      <c r="M458" s="603"/>
      <c r="N458" s="603"/>
      <c r="O458" s="603"/>
      <c r="P458" s="603"/>
      <c r="Q458" s="603"/>
      <c r="R458" s="603"/>
      <c r="S458" s="603"/>
      <c r="T458" s="603"/>
      <c r="U458" s="603"/>
      <c r="V458" s="603"/>
      <c r="W458" s="603"/>
      <c r="X458" s="603"/>
      <c r="Y458" s="603"/>
      <c r="Z458" s="603"/>
    </row>
    <row r="459" spans="1:26" ht="18" customHeight="1" x14ac:dyDescent="0.2">
      <c r="A459" s="603"/>
      <c r="B459" s="603"/>
      <c r="C459" s="603"/>
      <c r="D459" s="603"/>
      <c r="E459" s="603"/>
      <c r="F459" s="603"/>
      <c r="G459" s="603"/>
      <c r="H459" s="603"/>
      <c r="I459" s="603"/>
      <c r="J459" s="603"/>
      <c r="K459" s="603"/>
      <c r="L459" s="603"/>
      <c r="M459" s="603"/>
      <c r="N459" s="603"/>
      <c r="O459" s="603"/>
      <c r="P459" s="603"/>
      <c r="Q459" s="603"/>
      <c r="R459" s="603"/>
      <c r="S459" s="603"/>
      <c r="T459" s="603"/>
      <c r="U459" s="603"/>
      <c r="V459" s="603"/>
      <c r="W459" s="603"/>
      <c r="X459" s="603"/>
      <c r="Y459" s="603"/>
      <c r="Z459" s="603"/>
    </row>
    <row r="460" spans="1:26" ht="18" customHeight="1" x14ac:dyDescent="0.2">
      <c r="A460" s="603"/>
      <c r="B460" s="603"/>
      <c r="C460" s="603"/>
      <c r="D460" s="603"/>
      <c r="E460" s="603"/>
      <c r="F460" s="603"/>
      <c r="G460" s="603"/>
      <c r="H460" s="603"/>
      <c r="I460" s="603"/>
      <c r="J460" s="603"/>
      <c r="K460" s="603"/>
      <c r="L460" s="603"/>
      <c r="M460" s="603"/>
      <c r="N460" s="603"/>
      <c r="O460" s="603"/>
      <c r="P460" s="603"/>
      <c r="Q460" s="603"/>
      <c r="R460" s="603"/>
      <c r="S460" s="603"/>
      <c r="T460" s="603"/>
      <c r="U460" s="603"/>
      <c r="V460" s="603"/>
      <c r="W460" s="603"/>
      <c r="X460" s="603"/>
      <c r="Y460" s="603"/>
      <c r="Z460" s="603"/>
    </row>
    <row r="461" spans="1:26" ht="18" customHeight="1" x14ac:dyDescent="0.2">
      <c r="A461" s="603"/>
      <c r="B461" s="603"/>
      <c r="C461" s="603"/>
      <c r="D461" s="603"/>
      <c r="E461" s="603"/>
      <c r="F461" s="603"/>
      <c r="G461" s="603"/>
      <c r="H461" s="603"/>
      <c r="I461" s="603"/>
      <c r="J461" s="603"/>
      <c r="K461" s="603"/>
      <c r="L461" s="603"/>
      <c r="M461" s="603"/>
      <c r="N461" s="603"/>
      <c r="O461" s="603"/>
      <c r="P461" s="603"/>
      <c r="Q461" s="603"/>
      <c r="R461" s="603"/>
      <c r="S461" s="603"/>
      <c r="T461" s="603"/>
      <c r="U461" s="603"/>
      <c r="V461" s="603"/>
      <c r="W461" s="603"/>
      <c r="X461" s="603"/>
      <c r="Y461" s="603"/>
      <c r="Z461" s="603"/>
    </row>
    <row r="462" spans="1:26" ht="18" customHeight="1" x14ac:dyDescent="0.2">
      <c r="A462" s="603"/>
      <c r="B462" s="603"/>
      <c r="C462" s="603"/>
      <c r="D462" s="603"/>
      <c r="E462" s="603"/>
      <c r="F462" s="603"/>
      <c r="G462" s="603"/>
      <c r="H462" s="603"/>
      <c r="I462" s="603"/>
      <c r="J462" s="603"/>
      <c r="K462" s="603"/>
      <c r="L462" s="603"/>
      <c r="M462" s="603"/>
      <c r="N462" s="603"/>
      <c r="O462" s="603"/>
      <c r="P462" s="603"/>
      <c r="Q462" s="603"/>
      <c r="R462" s="603"/>
      <c r="S462" s="603"/>
      <c r="T462" s="603"/>
      <c r="U462" s="603"/>
      <c r="V462" s="603"/>
      <c r="W462" s="603"/>
      <c r="X462" s="603"/>
      <c r="Y462" s="603"/>
      <c r="Z462" s="603"/>
    </row>
    <row r="463" spans="1:26" ht="18" customHeight="1" x14ac:dyDescent="0.2">
      <c r="A463" s="603"/>
      <c r="B463" s="603"/>
      <c r="C463" s="603"/>
      <c r="D463" s="603"/>
      <c r="E463" s="603"/>
      <c r="F463" s="603"/>
      <c r="G463" s="603"/>
      <c r="H463" s="603"/>
      <c r="I463" s="603"/>
      <c r="J463" s="603"/>
      <c r="K463" s="603"/>
      <c r="L463" s="603"/>
      <c r="M463" s="603"/>
      <c r="N463" s="603"/>
      <c r="O463" s="603"/>
      <c r="P463" s="603"/>
      <c r="Q463" s="603"/>
      <c r="R463" s="603"/>
      <c r="S463" s="603"/>
      <c r="T463" s="603"/>
      <c r="U463" s="603"/>
      <c r="V463" s="603"/>
      <c r="W463" s="603"/>
      <c r="X463" s="603"/>
      <c r="Y463" s="603"/>
      <c r="Z463" s="603"/>
    </row>
    <row r="464" spans="1:26" ht="18" customHeight="1" x14ac:dyDescent="0.2">
      <c r="A464" s="603"/>
      <c r="B464" s="603"/>
      <c r="C464" s="603"/>
      <c r="D464" s="603"/>
      <c r="E464" s="603"/>
      <c r="F464" s="603"/>
      <c r="G464" s="603"/>
      <c r="H464" s="603"/>
      <c r="I464" s="603"/>
      <c r="J464" s="603"/>
      <c r="K464" s="603"/>
      <c r="L464" s="603"/>
      <c r="M464" s="603"/>
      <c r="N464" s="603"/>
      <c r="O464" s="603"/>
      <c r="P464" s="603"/>
      <c r="Q464" s="603"/>
      <c r="R464" s="603"/>
      <c r="S464" s="603"/>
      <c r="T464" s="603"/>
      <c r="U464" s="603"/>
      <c r="V464" s="603"/>
      <c r="W464" s="603"/>
      <c r="X464" s="603"/>
      <c r="Y464" s="603"/>
      <c r="Z464" s="603"/>
    </row>
    <row r="465" spans="1:26" ht="18" customHeight="1" x14ac:dyDescent="0.2">
      <c r="A465" s="603"/>
      <c r="B465" s="603"/>
      <c r="C465" s="603"/>
      <c r="D465" s="603"/>
      <c r="E465" s="603"/>
      <c r="F465" s="603"/>
      <c r="G465" s="603"/>
      <c r="H465" s="603"/>
      <c r="I465" s="603"/>
      <c r="J465" s="603"/>
      <c r="K465" s="603"/>
      <c r="L465" s="603"/>
      <c r="M465" s="603"/>
      <c r="N465" s="603"/>
      <c r="O465" s="603"/>
      <c r="P465" s="603"/>
      <c r="Q465" s="603"/>
      <c r="R465" s="603"/>
      <c r="S465" s="603"/>
      <c r="T465" s="603"/>
      <c r="U465" s="603"/>
      <c r="V465" s="603"/>
      <c r="W465" s="603"/>
      <c r="X465" s="603"/>
      <c r="Y465" s="603"/>
      <c r="Z465" s="603"/>
    </row>
    <row r="466" spans="1:26" ht="18" customHeight="1" x14ac:dyDescent="0.2">
      <c r="A466" s="603"/>
      <c r="B466" s="603"/>
      <c r="C466" s="603"/>
      <c r="D466" s="603"/>
      <c r="E466" s="603"/>
      <c r="F466" s="603"/>
      <c r="G466" s="603"/>
      <c r="H466" s="603"/>
      <c r="I466" s="603"/>
      <c r="J466" s="603"/>
      <c r="K466" s="603"/>
      <c r="L466" s="603"/>
      <c r="M466" s="603"/>
      <c r="N466" s="603"/>
      <c r="O466" s="603"/>
      <c r="P466" s="603"/>
      <c r="Q466" s="603"/>
      <c r="R466" s="603"/>
      <c r="S466" s="603"/>
      <c r="T466" s="603"/>
      <c r="U466" s="603"/>
      <c r="V466" s="603"/>
      <c r="W466" s="603"/>
      <c r="X466" s="603"/>
      <c r="Y466" s="603"/>
      <c r="Z466" s="603"/>
    </row>
    <row r="467" spans="1:26" ht="18" customHeight="1" x14ac:dyDescent="0.2">
      <c r="A467" s="603"/>
      <c r="B467" s="603"/>
      <c r="C467" s="603"/>
      <c r="D467" s="603"/>
      <c r="E467" s="603"/>
      <c r="F467" s="603"/>
      <c r="G467" s="603"/>
      <c r="H467" s="603"/>
      <c r="I467" s="603"/>
      <c r="J467" s="603"/>
      <c r="K467" s="603"/>
      <c r="L467" s="603"/>
      <c r="M467" s="603"/>
      <c r="N467" s="603"/>
      <c r="O467" s="603"/>
      <c r="P467" s="603"/>
      <c r="Q467" s="603"/>
      <c r="R467" s="603"/>
      <c r="S467" s="603"/>
      <c r="T467" s="603"/>
      <c r="U467" s="603"/>
      <c r="V467" s="603"/>
      <c r="W467" s="603"/>
      <c r="X467" s="603"/>
      <c r="Y467" s="603"/>
      <c r="Z467" s="603"/>
    </row>
    <row r="468" spans="1:26" ht="18" customHeight="1" x14ac:dyDescent="0.2">
      <c r="A468" s="603"/>
      <c r="B468" s="603"/>
      <c r="C468" s="603"/>
      <c r="D468" s="603"/>
      <c r="E468" s="603"/>
      <c r="F468" s="603"/>
      <c r="G468" s="603"/>
      <c r="H468" s="603"/>
      <c r="I468" s="603"/>
      <c r="J468" s="603"/>
      <c r="K468" s="603"/>
      <c r="L468" s="603"/>
      <c r="M468" s="603"/>
      <c r="N468" s="603"/>
      <c r="O468" s="603"/>
      <c r="P468" s="603"/>
      <c r="Q468" s="603"/>
      <c r="R468" s="603"/>
      <c r="S468" s="603"/>
      <c r="T468" s="603"/>
      <c r="U468" s="603"/>
      <c r="V468" s="603"/>
      <c r="W468" s="603"/>
      <c r="X468" s="603"/>
      <c r="Y468" s="603"/>
      <c r="Z468" s="603"/>
    </row>
    <row r="469" spans="1:26" ht="18" customHeight="1" x14ac:dyDescent="0.2">
      <c r="A469" s="603"/>
      <c r="B469" s="603"/>
      <c r="C469" s="603"/>
      <c r="D469" s="603"/>
      <c r="E469" s="603"/>
      <c r="F469" s="603"/>
      <c r="G469" s="603"/>
      <c r="H469" s="603"/>
      <c r="I469" s="603"/>
      <c r="J469" s="603"/>
      <c r="K469" s="603"/>
      <c r="L469" s="603"/>
      <c r="M469" s="603"/>
      <c r="N469" s="603"/>
      <c r="O469" s="603"/>
      <c r="P469" s="603"/>
      <c r="Q469" s="603"/>
      <c r="R469" s="603"/>
      <c r="S469" s="603"/>
      <c r="T469" s="603"/>
      <c r="U469" s="603"/>
      <c r="V469" s="603"/>
      <c r="W469" s="603"/>
      <c r="X469" s="603"/>
      <c r="Y469" s="603"/>
      <c r="Z469" s="603"/>
    </row>
    <row r="470" spans="1:26" ht="18" customHeight="1" x14ac:dyDescent="0.2">
      <c r="A470" s="603"/>
      <c r="B470" s="603"/>
      <c r="C470" s="603"/>
      <c r="D470" s="603"/>
      <c r="E470" s="603"/>
      <c r="F470" s="603"/>
      <c r="G470" s="603"/>
      <c r="H470" s="603"/>
      <c r="I470" s="603"/>
      <c r="J470" s="603"/>
      <c r="K470" s="603"/>
      <c r="L470" s="603"/>
      <c r="M470" s="603"/>
      <c r="N470" s="603"/>
      <c r="O470" s="603"/>
      <c r="P470" s="603"/>
      <c r="Q470" s="603"/>
      <c r="R470" s="603"/>
      <c r="S470" s="603"/>
      <c r="T470" s="603"/>
      <c r="U470" s="603"/>
      <c r="V470" s="603"/>
      <c r="W470" s="603"/>
      <c r="X470" s="603"/>
      <c r="Y470" s="603"/>
      <c r="Z470" s="603"/>
    </row>
    <row r="471" spans="1:26" ht="18" customHeight="1" x14ac:dyDescent="0.2">
      <c r="A471" s="603"/>
      <c r="B471" s="603"/>
      <c r="C471" s="603"/>
      <c r="D471" s="603"/>
      <c r="E471" s="603"/>
      <c r="F471" s="603"/>
      <c r="G471" s="603"/>
      <c r="H471" s="603"/>
      <c r="I471" s="603"/>
      <c r="J471" s="603"/>
      <c r="K471" s="603"/>
      <c r="L471" s="603"/>
      <c r="M471" s="603"/>
      <c r="N471" s="603"/>
      <c r="O471" s="603"/>
      <c r="P471" s="603"/>
      <c r="Q471" s="603"/>
      <c r="R471" s="603"/>
      <c r="S471" s="603"/>
      <c r="T471" s="603"/>
      <c r="U471" s="603"/>
      <c r="V471" s="603"/>
      <c r="W471" s="603"/>
      <c r="X471" s="603"/>
      <c r="Y471" s="603"/>
      <c r="Z471" s="603"/>
    </row>
    <row r="472" spans="1:26" ht="18" customHeight="1" x14ac:dyDescent="0.2">
      <c r="A472" s="603"/>
      <c r="B472" s="603"/>
      <c r="C472" s="603"/>
      <c r="D472" s="603"/>
      <c r="E472" s="603"/>
      <c r="F472" s="603"/>
      <c r="G472" s="603"/>
      <c r="H472" s="603"/>
      <c r="I472" s="603"/>
      <c r="J472" s="603"/>
      <c r="K472" s="603"/>
      <c r="L472" s="603"/>
      <c r="M472" s="603"/>
      <c r="N472" s="603"/>
      <c r="O472" s="603"/>
      <c r="P472" s="603"/>
      <c r="Q472" s="603"/>
      <c r="R472" s="603"/>
      <c r="S472" s="603"/>
      <c r="T472" s="603"/>
      <c r="U472" s="603"/>
      <c r="V472" s="603"/>
      <c r="W472" s="603"/>
      <c r="X472" s="603"/>
      <c r="Y472" s="603"/>
      <c r="Z472" s="603"/>
    </row>
    <row r="473" spans="1:26" ht="18" customHeight="1" x14ac:dyDescent="0.2">
      <c r="A473" s="603"/>
      <c r="B473" s="603"/>
      <c r="C473" s="603"/>
      <c r="D473" s="603"/>
      <c r="E473" s="603"/>
      <c r="F473" s="603"/>
      <c r="G473" s="603"/>
      <c r="H473" s="603"/>
      <c r="I473" s="603"/>
      <c r="J473" s="603"/>
      <c r="K473" s="603"/>
      <c r="L473" s="603"/>
      <c r="M473" s="603"/>
      <c r="N473" s="603"/>
      <c r="O473" s="603"/>
      <c r="P473" s="603"/>
      <c r="Q473" s="603"/>
      <c r="R473" s="603"/>
      <c r="S473" s="603"/>
      <c r="T473" s="603"/>
      <c r="U473" s="603"/>
      <c r="V473" s="603"/>
      <c r="W473" s="603"/>
      <c r="X473" s="603"/>
      <c r="Y473" s="603"/>
      <c r="Z473" s="603"/>
    </row>
    <row r="474" spans="1:26" ht="18" customHeight="1" x14ac:dyDescent="0.2">
      <c r="A474" s="603"/>
      <c r="B474" s="603"/>
      <c r="C474" s="603"/>
      <c r="D474" s="603"/>
      <c r="E474" s="603"/>
      <c r="F474" s="603"/>
      <c r="G474" s="603"/>
      <c r="H474" s="603"/>
      <c r="I474" s="603"/>
      <c r="J474" s="603"/>
      <c r="K474" s="603"/>
      <c r="L474" s="603"/>
      <c r="M474" s="603"/>
      <c r="N474" s="603"/>
      <c r="O474" s="603"/>
      <c r="P474" s="603"/>
      <c r="Q474" s="603"/>
      <c r="R474" s="603"/>
      <c r="S474" s="603"/>
      <c r="T474" s="603"/>
      <c r="U474" s="603"/>
      <c r="V474" s="603"/>
      <c r="W474" s="603"/>
      <c r="X474" s="603"/>
      <c r="Y474" s="603"/>
      <c r="Z474" s="603"/>
    </row>
    <row r="475" spans="1:26" ht="18" customHeight="1" x14ac:dyDescent="0.2">
      <c r="A475" s="603"/>
      <c r="B475" s="603"/>
      <c r="C475" s="603"/>
      <c r="D475" s="603"/>
      <c r="E475" s="603"/>
      <c r="F475" s="603"/>
      <c r="G475" s="603"/>
      <c r="H475" s="603"/>
      <c r="I475" s="603"/>
      <c r="J475" s="603"/>
      <c r="K475" s="603"/>
      <c r="L475" s="603"/>
      <c r="M475" s="603"/>
      <c r="N475" s="603"/>
      <c r="O475" s="603"/>
      <c r="P475" s="603"/>
      <c r="Q475" s="603"/>
      <c r="R475" s="603"/>
      <c r="S475" s="603"/>
      <c r="T475" s="603"/>
      <c r="U475" s="603"/>
      <c r="V475" s="603"/>
      <c r="W475" s="603"/>
      <c r="X475" s="603"/>
      <c r="Y475" s="603"/>
      <c r="Z475" s="603"/>
    </row>
    <row r="476" spans="1:26" ht="18" customHeight="1" x14ac:dyDescent="0.2">
      <c r="A476" s="603"/>
      <c r="B476" s="603"/>
      <c r="C476" s="603"/>
      <c r="D476" s="603"/>
      <c r="E476" s="603"/>
      <c r="F476" s="603"/>
      <c r="G476" s="603"/>
      <c r="H476" s="603"/>
      <c r="I476" s="603"/>
      <c r="J476" s="603"/>
      <c r="K476" s="603"/>
      <c r="L476" s="603"/>
      <c r="M476" s="603"/>
      <c r="N476" s="603"/>
      <c r="O476" s="603"/>
      <c r="P476" s="603"/>
      <c r="Q476" s="603"/>
      <c r="R476" s="603"/>
      <c r="S476" s="603"/>
      <c r="T476" s="603"/>
      <c r="U476" s="603"/>
      <c r="V476" s="603"/>
      <c r="W476" s="603"/>
      <c r="X476" s="603"/>
      <c r="Y476" s="603"/>
      <c r="Z476" s="603"/>
    </row>
    <row r="477" spans="1:26" ht="18" customHeight="1" x14ac:dyDescent="0.2">
      <c r="A477" s="603"/>
      <c r="B477" s="603"/>
      <c r="C477" s="603"/>
      <c r="D477" s="603"/>
      <c r="E477" s="603"/>
      <c r="F477" s="603"/>
      <c r="G477" s="603"/>
      <c r="H477" s="603"/>
      <c r="I477" s="603"/>
      <c r="J477" s="603"/>
      <c r="K477" s="603"/>
      <c r="L477" s="603"/>
      <c r="M477" s="603"/>
      <c r="N477" s="603"/>
      <c r="O477" s="603"/>
      <c r="P477" s="603"/>
      <c r="Q477" s="603"/>
      <c r="R477" s="603"/>
      <c r="S477" s="603"/>
      <c r="T477" s="603"/>
      <c r="U477" s="603"/>
      <c r="V477" s="603"/>
      <c r="W477" s="603"/>
      <c r="X477" s="603"/>
      <c r="Y477" s="603"/>
      <c r="Z477" s="603"/>
    </row>
    <row r="478" spans="1:26" ht="18" customHeight="1" x14ac:dyDescent="0.2">
      <c r="A478" s="603"/>
      <c r="B478" s="603"/>
      <c r="C478" s="603"/>
      <c r="D478" s="603"/>
      <c r="E478" s="603"/>
      <c r="F478" s="603"/>
      <c r="G478" s="603"/>
      <c r="H478" s="603"/>
      <c r="I478" s="603"/>
      <c r="J478" s="603"/>
      <c r="K478" s="603"/>
      <c r="L478" s="603"/>
      <c r="M478" s="603"/>
      <c r="N478" s="603"/>
      <c r="O478" s="603"/>
      <c r="P478" s="603"/>
      <c r="Q478" s="603"/>
      <c r="R478" s="603"/>
      <c r="S478" s="603"/>
      <c r="T478" s="603"/>
      <c r="U478" s="603"/>
      <c r="V478" s="603"/>
      <c r="W478" s="603"/>
      <c r="X478" s="603"/>
      <c r="Y478" s="603"/>
      <c r="Z478" s="603"/>
    </row>
    <row r="479" spans="1:26" ht="18" customHeight="1" x14ac:dyDescent="0.2">
      <c r="A479" s="603"/>
      <c r="B479" s="603"/>
      <c r="C479" s="603"/>
      <c r="D479" s="603"/>
      <c r="E479" s="603"/>
      <c r="F479" s="603"/>
      <c r="G479" s="603"/>
      <c r="H479" s="603"/>
      <c r="I479" s="603"/>
      <c r="J479" s="603"/>
      <c r="K479" s="603"/>
      <c r="L479" s="603"/>
      <c r="M479" s="603"/>
      <c r="N479" s="603"/>
      <c r="O479" s="603"/>
      <c r="P479" s="603"/>
      <c r="Q479" s="603"/>
      <c r="R479" s="603"/>
      <c r="S479" s="603"/>
      <c r="T479" s="603"/>
      <c r="U479" s="603"/>
      <c r="V479" s="603"/>
      <c r="W479" s="603"/>
      <c r="X479" s="603"/>
      <c r="Y479" s="603"/>
      <c r="Z479" s="603"/>
    </row>
    <row r="480" spans="1:26" ht="18" customHeight="1" x14ac:dyDescent="0.2">
      <c r="A480" s="603"/>
      <c r="B480" s="603"/>
      <c r="C480" s="603"/>
      <c r="D480" s="603"/>
      <c r="E480" s="603"/>
      <c r="F480" s="603"/>
      <c r="G480" s="603"/>
      <c r="H480" s="603"/>
      <c r="I480" s="603"/>
      <c r="J480" s="603"/>
      <c r="K480" s="603"/>
      <c r="L480" s="603"/>
      <c r="M480" s="603"/>
      <c r="N480" s="603"/>
      <c r="O480" s="603"/>
      <c r="P480" s="603"/>
      <c r="Q480" s="603"/>
      <c r="R480" s="603"/>
      <c r="S480" s="603"/>
      <c r="T480" s="603"/>
      <c r="U480" s="603"/>
      <c r="V480" s="603"/>
      <c r="W480" s="603"/>
      <c r="X480" s="603"/>
      <c r="Y480" s="603"/>
      <c r="Z480" s="603"/>
    </row>
    <row r="481" spans="1:26" ht="18" customHeight="1" x14ac:dyDescent="0.2">
      <c r="A481" s="603"/>
      <c r="B481" s="603"/>
      <c r="C481" s="603"/>
      <c r="D481" s="603"/>
      <c r="E481" s="603"/>
      <c r="F481" s="603"/>
      <c r="G481" s="603"/>
      <c r="H481" s="603"/>
      <c r="I481" s="603"/>
      <c r="J481" s="603"/>
      <c r="K481" s="603"/>
      <c r="L481" s="603"/>
      <c r="M481" s="603"/>
      <c r="N481" s="603"/>
      <c r="O481" s="603"/>
      <c r="P481" s="603"/>
      <c r="Q481" s="603"/>
      <c r="R481" s="603"/>
      <c r="S481" s="603"/>
      <c r="T481" s="603"/>
      <c r="U481" s="603"/>
      <c r="V481" s="603"/>
      <c r="W481" s="603"/>
      <c r="X481" s="603"/>
      <c r="Y481" s="603"/>
      <c r="Z481" s="603"/>
    </row>
    <row r="482" spans="1:26" ht="18" customHeight="1" x14ac:dyDescent="0.2">
      <c r="A482" s="603"/>
      <c r="B482" s="603"/>
      <c r="C482" s="603"/>
      <c r="D482" s="603"/>
      <c r="E482" s="603"/>
      <c r="F482" s="603"/>
      <c r="G482" s="603"/>
      <c r="H482" s="603"/>
      <c r="I482" s="603"/>
      <c r="J482" s="603"/>
      <c r="K482" s="603"/>
      <c r="L482" s="603"/>
      <c r="M482" s="603"/>
      <c r="N482" s="603"/>
      <c r="O482" s="603"/>
      <c r="P482" s="603"/>
      <c r="Q482" s="603"/>
      <c r="R482" s="603"/>
      <c r="S482" s="603"/>
      <c r="T482" s="603"/>
      <c r="U482" s="603"/>
      <c r="V482" s="603"/>
      <c r="W482" s="603"/>
      <c r="X482" s="603"/>
      <c r="Y482" s="603"/>
      <c r="Z482" s="603"/>
    </row>
    <row r="483" spans="1:26" ht="18" customHeight="1" x14ac:dyDescent="0.2">
      <c r="A483" s="603"/>
      <c r="B483" s="603"/>
      <c r="C483" s="603"/>
      <c r="D483" s="603"/>
      <c r="E483" s="603"/>
      <c r="F483" s="603"/>
      <c r="G483" s="603"/>
      <c r="H483" s="603"/>
      <c r="I483" s="603"/>
      <c r="J483" s="603"/>
      <c r="K483" s="603"/>
      <c r="L483" s="603"/>
      <c r="M483" s="603"/>
      <c r="N483" s="603"/>
      <c r="O483" s="603"/>
      <c r="P483" s="603"/>
      <c r="Q483" s="603"/>
      <c r="R483" s="603"/>
      <c r="S483" s="603"/>
      <c r="T483" s="603"/>
      <c r="U483" s="603"/>
      <c r="V483" s="603"/>
      <c r="W483" s="603"/>
      <c r="X483" s="603"/>
      <c r="Y483" s="603"/>
      <c r="Z483" s="603"/>
    </row>
    <row r="484" spans="1:26" ht="18" customHeight="1" x14ac:dyDescent="0.2">
      <c r="A484" s="603"/>
      <c r="B484" s="603"/>
      <c r="C484" s="603"/>
      <c r="D484" s="603"/>
      <c r="E484" s="603"/>
      <c r="F484" s="603"/>
      <c r="G484" s="603"/>
      <c r="H484" s="603"/>
      <c r="I484" s="603"/>
      <c r="J484" s="603"/>
      <c r="K484" s="603"/>
      <c r="L484" s="603"/>
      <c r="M484" s="603"/>
      <c r="N484" s="603"/>
      <c r="O484" s="603"/>
      <c r="P484" s="603"/>
      <c r="Q484" s="603"/>
      <c r="R484" s="603"/>
      <c r="S484" s="603"/>
      <c r="T484" s="603"/>
      <c r="U484" s="603"/>
      <c r="V484" s="603"/>
      <c r="W484" s="603"/>
      <c r="X484" s="603"/>
      <c r="Y484" s="603"/>
      <c r="Z484" s="603"/>
    </row>
    <row r="485" spans="1:26" ht="18" customHeight="1" x14ac:dyDescent="0.2">
      <c r="A485" s="603"/>
      <c r="B485" s="603"/>
      <c r="C485" s="603"/>
      <c r="D485" s="603"/>
      <c r="E485" s="603"/>
      <c r="F485" s="603"/>
      <c r="G485" s="603"/>
      <c r="H485" s="603"/>
      <c r="I485" s="603"/>
      <c r="J485" s="603"/>
      <c r="K485" s="603"/>
      <c r="L485" s="603"/>
      <c r="M485" s="603"/>
      <c r="N485" s="603"/>
      <c r="O485" s="603"/>
      <c r="P485" s="603"/>
      <c r="Q485" s="603"/>
      <c r="R485" s="603"/>
      <c r="S485" s="603"/>
      <c r="T485" s="603"/>
      <c r="U485" s="603"/>
      <c r="V485" s="603"/>
      <c r="W485" s="603"/>
      <c r="X485" s="603"/>
      <c r="Y485" s="603"/>
      <c r="Z485" s="603"/>
    </row>
    <row r="486" spans="1:26" ht="18" customHeight="1" x14ac:dyDescent="0.2">
      <c r="A486" s="603"/>
      <c r="B486" s="603"/>
      <c r="C486" s="603"/>
      <c r="D486" s="603"/>
      <c r="E486" s="603"/>
      <c r="F486" s="603"/>
      <c r="G486" s="603"/>
      <c r="H486" s="603"/>
      <c r="I486" s="603"/>
      <c r="J486" s="603"/>
      <c r="K486" s="603"/>
      <c r="L486" s="603"/>
      <c r="M486" s="603"/>
      <c r="N486" s="603"/>
      <c r="O486" s="603"/>
      <c r="P486" s="603"/>
      <c r="Q486" s="603"/>
      <c r="R486" s="603"/>
      <c r="S486" s="603"/>
      <c r="T486" s="603"/>
      <c r="U486" s="603"/>
      <c r="V486" s="603"/>
      <c r="W486" s="603"/>
      <c r="X486" s="603"/>
      <c r="Y486" s="603"/>
      <c r="Z486" s="603"/>
    </row>
    <row r="487" spans="1:26" ht="18" customHeight="1" x14ac:dyDescent="0.2">
      <c r="A487" s="603"/>
      <c r="B487" s="603"/>
      <c r="C487" s="603"/>
      <c r="D487" s="603"/>
      <c r="E487" s="603"/>
      <c r="F487" s="603"/>
      <c r="G487" s="603"/>
      <c r="H487" s="603"/>
      <c r="I487" s="603"/>
      <c r="J487" s="603"/>
      <c r="K487" s="603"/>
      <c r="L487" s="603"/>
      <c r="M487" s="603"/>
      <c r="N487" s="603"/>
      <c r="O487" s="603"/>
      <c r="P487" s="603"/>
      <c r="Q487" s="603"/>
      <c r="R487" s="603"/>
      <c r="S487" s="603"/>
      <c r="T487" s="603"/>
      <c r="U487" s="603"/>
      <c r="V487" s="603"/>
      <c r="W487" s="603"/>
      <c r="X487" s="603"/>
      <c r="Y487" s="603"/>
      <c r="Z487" s="603"/>
    </row>
    <row r="488" spans="1:26" ht="18" customHeight="1" x14ac:dyDescent="0.2">
      <c r="A488" s="603"/>
      <c r="B488" s="603"/>
      <c r="C488" s="603"/>
      <c r="D488" s="603"/>
      <c r="E488" s="603"/>
      <c r="F488" s="603"/>
      <c r="G488" s="603"/>
      <c r="H488" s="603"/>
      <c r="I488" s="603"/>
      <c r="J488" s="603"/>
      <c r="K488" s="603"/>
      <c r="L488" s="603"/>
      <c r="M488" s="603"/>
      <c r="N488" s="603"/>
      <c r="O488" s="603"/>
      <c r="P488" s="603"/>
      <c r="Q488" s="603"/>
      <c r="R488" s="603"/>
      <c r="S488" s="603"/>
      <c r="T488" s="603"/>
      <c r="U488" s="603"/>
      <c r="V488" s="603"/>
      <c r="W488" s="603"/>
      <c r="X488" s="603"/>
      <c r="Y488" s="603"/>
      <c r="Z488" s="603"/>
    </row>
    <row r="489" spans="1:26" ht="18" customHeight="1" x14ac:dyDescent="0.2">
      <c r="A489" s="603"/>
      <c r="B489" s="603"/>
      <c r="C489" s="603"/>
      <c r="D489" s="603"/>
      <c r="E489" s="603"/>
      <c r="F489" s="603"/>
      <c r="G489" s="603"/>
      <c r="H489" s="603"/>
      <c r="I489" s="603"/>
      <c r="J489" s="603"/>
      <c r="K489" s="603"/>
      <c r="L489" s="603"/>
      <c r="M489" s="603"/>
      <c r="N489" s="603"/>
      <c r="O489" s="603"/>
      <c r="P489" s="603"/>
      <c r="Q489" s="603"/>
      <c r="R489" s="603"/>
      <c r="S489" s="603"/>
      <c r="T489" s="603"/>
      <c r="U489" s="603"/>
      <c r="V489" s="603"/>
      <c r="W489" s="603"/>
      <c r="X489" s="603"/>
      <c r="Y489" s="603"/>
      <c r="Z489" s="603"/>
    </row>
    <row r="490" spans="1:26" ht="18" customHeight="1" x14ac:dyDescent="0.2">
      <c r="A490" s="603"/>
      <c r="B490" s="603"/>
      <c r="C490" s="603"/>
      <c r="D490" s="603"/>
      <c r="E490" s="603"/>
      <c r="F490" s="603"/>
      <c r="G490" s="603"/>
      <c r="H490" s="603"/>
      <c r="I490" s="603"/>
      <c r="J490" s="603"/>
      <c r="K490" s="603"/>
      <c r="L490" s="603"/>
      <c r="M490" s="603"/>
      <c r="N490" s="603"/>
      <c r="O490" s="603"/>
      <c r="P490" s="603"/>
      <c r="Q490" s="603"/>
      <c r="R490" s="603"/>
      <c r="S490" s="603"/>
      <c r="T490" s="603"/>
      <c r="U490" s="603"/>
      <c r="V490" s="603"/>
      <c r="W490" s="603"/>
      <c r="X490" s="603"/>
      <c r="Y490" s="603"/>
      <c r="Z490" s="603"/>
    </row>
    <row r="491" spans="1:26" ht="18" customHeight="1" x14ac:dyDescent="0.2">
      <c r="A491" s="603"/>
      <c r="B491" s="603"/>
      <c r="C491" s="603"/>
      <c r="D491" s="603"/>
      <c r="E491" s="603"/>
      <c r="F491" s="603"/>
      <c r="G491" s="603"/>
      <c r="H491" s="603"/>
      <c r="I491" s="603"/>
      <c r="J491" s="603"/>
      <c r="K491" s="603"/>
      <c r="L491" s="603"/>
      <c r="M491" s="603"/>
      <c r="N491" s="603"/>
      <c r="O491" s="603"/>
      <c r="P491" s="603"/>
      <c r="Q491" s="603"/>
      <c r="R491" s="603"/>
      <c r="S491" s="603"/>
      <c r="T491" s="603"/>
      <c r="U491" s="603"/>
      <c r="V491" s="603"/>
      <c r="W491" s="603"/>
      <c r="X491" s="603"/>
      <c r="Y491" s="603"/>
      <c r="Z491" s="603"/>
    </row>
    <row r="492" spans="1:26" ht="18" customHeight="1" x14ac:dyDescent="0.2">
      <c r="A492" s="603"/>
      <c r="B492" s="603"/>
      <c r="C492" s="603"/>
      <c r="D492" s="603"/>
      <c r="E492" s="603"/>
      <c r="F492" s="603"/>
      <c r="G492" s="603"/>
      <c r="H492" s="603"/>
      <c r="I492" s="603"/>
      <c r="J492" s="603"/>
      <c r="K492" s="603"/>
      <c r="L492" s="603"/>
      <c r="M492" s="603"/>
      <c r="N492" s="603"/>
      <c r="O492" s="603"/>
      <c r="P492" s="603"/>
      <c r="Q492" s="603"/>
      <c r="R492" s="603"/>
      <c r="S492" s="603"/>
      <c r="T492" s="603"/>
      <c r="U492" s="603"/>
      <c r="V492" s="603"/>
      <c r="W492" s="603"/>
      <c r="X492" s="603"/>
      <c r="Y492" s="603"/>
      <c r="Z492" s="603"/>
    </row>
    <row r="493" spans="1:26" ht="18" customHeight="1" x14ac:dyDescent="0.2">
      <c r="A493" s="603"/>
      <c r="B493" s="603"/>
      <c r="C493" s="603"/>
      <c r="D493" s="603"/>
      <c r="E493" s="603"/>
      <c r="F493" s="603"/>
      <c r="G493" s="603"/>
      <c r="H493" s="603"/>
      <c r="I493" s="603"/>
      <c r="J493" s="603"/>
      <c r="K493" s="603"/>
      <c r="L493" s="603"/>
      <c r="M493" s="603"/>
      <c r="N493" s="603"/>
      <c r="O493" s="603"/>
      <c r="P493" s="603"/>
      <c r="Q493" s="603"/>
      <c r="R493" s="603"/>
      <c r="S493" s="603"/>
      <c r="T493" s="603"/>
      <c r="U493" s="603"/>
      <c r="V493" s="603"/>
      <c r="W493" s="603"/>
      <c r="X493" s="603"/>
      <c r="Y493" s="603"/>
      <c r="Z493" s="603"/>
    </row>
    <row r="494" spans="1:26" ht="18" customHeight="1" x14ac:dyDescent="0.2">
      <c r="A494" s="603"/>
      <c r="B494" s="603"/>
      <c r="C494" s="603"/>
      <c r="D494" s="603"/>
      <c r="E494" s="603"/>
      <c r="F494" s="603"/>
      <c r="G494" s="603"/>
      <c r="H494" s="603"/>
      <c r="I494" s="603"/>
      <c r="J494" s="603"/>
      <c r="K494" s="603"/>
      <c r="L494" s="603"/>
      <c r="M494" s="603"/>
      <c r="N494" s="603"/>
      <c r="O494" s="603"/>
      <c r="P494" s="603"/>
      <c r="Q494" s="603"/>
      <c r="R494" s="603"/>
      <c r="S494" s="603"/>
      <c r="T494" s="603"/>
      <c r="U494" s="603"/>
      <c r="V494" s="603"/>
      <c r="W494" s="603"/>
      <c r="X494" s="603"/>
      <c r="Y494" s="603"/>
      <c r="Z494" s="603"/>
    </row>
    <row r="495" spans="1:26" ht="18" customHeight="1" x14ac:dyDescent="0.2">
      <c r="A495" s="603"/>
      <c r="B495" s="603"/>
      <c r="C495" s="603"/>
      <c r="D495" s="603"/>
      <c r="E495" s="603"/>
      <c r="F495" s="603"/>
      <c r="G495" s="603"/>
      <c r="H495" s="603"/>
      <c r="I495" s="603"/>
      <c r="J495" s="603"/>
      <c r="K495" s="603"/>
      <c r="L495" s="603"/>
      <c r="M495" s="603"/>
      <c r="N495" s="603"/>
      <c r="O495" s="603"/>
      <c r="P495" s="603"/>
      <c r="Q495" s="603"/>
      <c r="R495" s="603"/>
      <c r="S495" s="603"/>
      <c r="T495" s="603"/>
      <c r="U495" s="603"/>
      <c r="V495" s="603"/>
      <c r="W495" s="603"/>
      <c r="X495" s="603"/>
      <c r="Y495" s="603"/>
      <c r="Z495" s="603"/>
    </row>
    <row r="496" spans="1:26" ht="18" customHeight="1" x14ac:dyDescent="0.2">
      <c r="A496" s="603"/>
      <c r="B496" s="603"/>
      <c r="C496" s="603"/>
      <c r="D496" s="603"/>
      <c r="E496" s="603"/>
      <c r="F496" s="603"/>
      <c r="G496" s="603"/>
      <c r="H496" s="603"/>
      <c r="I496" s="603"/>
      <c r="J496" s="603"/>
      <c r="K496" s="603"/>
      <c r="L496" s="603"/>
      <c r="M496" s="603"/>
      <c r="N496" s="603"/>
      <c r="O496" s="603"/>
      <c r="P496" s="603"/>
      <c r="Q496" s="603"/>
      <c r="R496" s="603"/>
      <c r="S496" s="603"/>
      <c r="T496" s="603"/>
      <c r="U496" s="603"/>
      <c r="V496" s="603"/>
      <c r="W496" s="603"/>
      <c r="X496" s="603"/>
      <c r="Y496" s="603"/>
      <c r="Z496" s="603"/>
    </row>
    <row r="497" spans="1:26" ht="18" customHeight="1" x14ac:dyDescent="0.2">
      <c r="A497" s="603"/>
      <c r="B497" s="603"/>
      <c r="C497" s="603"/>
      <c r="D497" s="603"/>
      <c r="E497" s="603"/>
      <c r="F497" s="603"/>
      <c r="G497" s="603"/>
      <c r="H497" s="603"/>
      <c r="I497" s="603"/>
      <c r="J497" s="603"/>
      <c r="K497" s="603"/>
      <c r="L497" s="603"/>
      <c r="M497" s="603"/>
      <c r="N497" s="603"/>
      <c r="O497" s="603"/>
      <c r="P497" s="603"/>
      <c r="Q497" s="603"/>
      <c r="R497" s="603"/>
      <c r="S497" s="603"/>
      <c r="T497" s="603"/>
      <c r="U497" s="603"/>
      <c r="V497" s="603"/>
      <c r="W497" s="603"/>
      <c r="X497" s="603"/>
      <c r="Y497" s="603"/>
      <c r="Z497" s="603"/>
    </row>
    <row r="498" spans="1:26" ht="18" customHeight="1" x14ac:dyDescent="0.2">
      <c r="A498" s="603"/>
      <c r="B498" s="603"/>
      <c r="C498" s="603"/>
      <c r="D498" s="603"/>
      <c r="E498" s="603"/>
      <c r="F498" s="603"/>
      <c r="G498" s="603"/>
      <c r="H498" s="603"/>
      <c r="I498" s="603"/>
      <c r="J498" s="603"/>
      <c r="K498" s="603"/>
      <c r="L498" s="603"/>
      <c r="M498" s="603"/>
      <c r="N498" s="603"/>
      <c r="O498" s="603"/>
      <c r="P498" s="603"/>
      <c r="Q498" s="603"/>
      <c r="R498" s="603"/>
      <c r="S498" s="603"/>
      <c r="T498" s="603"/>
      <c r="U498" s="603"/>
      <c r="V498" s="603"/>
      <c r="W498" s="603"/>
      <c r="X498" s="603"/>
      <c r="Y498" s="603"/>
      <c r="Z498" s="603"/>
    </row>
    <row r="499" spans="1:26" ht="18" customHeight="1" x14ac:dyDescent="0.2">
      <c r="A499" s="603"/>
      <c r="B499" s="603"/>
      <c r="C499" s="603"/>
      <c r="D499" s="603"/>
      <c r="E499" s="603"/>
      <c r="F499" s="603"/>
      <c r="G499" s="603"/>
      <c r="H499" s="603"/>
      <c r="I499" s="603"/>
      <c r="J499" s="603"/>
      <c r="K499" s="603"/>
      <c r="L499" s="603"/>
      <c r="M499" s="603"/>
      <c r="N499" s="603"/>
      <c r="O499" s="603"/>
      <c r="P499" s="603"/>
      <c r="Q499" s="603"/>
      <c r="R499" s="603"/>
      <c r="S499" s="603"/>
      <c r="T499" s="603"/>
      <c r="U499" s="603"/>
      <c r="V499" s="603"/>
      <c r="W499" s="603"/>
      <c r="X499" s="603"/>
      <c r="Y499" s="603"/>
      <c r="Z499" s="603"/>
    </row>
    <row r="500" spans="1:26" ht="18" customHeight="1" x14ac:dyDescent="0.2">
      <c r="A500" s="603"/>
      <c r="B500" s="603"/>
      <c r="C500" s="603"/>
      <c r="D500" s="603"/>
      <c r="E500" s="603"/>
      <c r="F500" s="603"/>
      <c r="G500" s="603"/>
      <c r="H500" s="603"/>
      <c r="I500" s="603"/>
      <c r="J500" s="603"/>
      <c r="K500" s="603"/>
      <c r="L500" s="603"/>
      <c r="M500" s="603"/>
      <c r="N500" s="603"/>
      <c r="O500" s="603"/>
      <c r="P500" s="603"/>
      <c r="Q500" s="603"/>
      <c r="R500" s="603"/>
      <c r="S500" s="603"/>
      <c r="T500" s="603"/>
      <c r="U500" s="603"/>
      <c r="V500" s="603"/>
      <c r="W500" s="603"/>
      <c r="X500" s="603"/>
      <c r="Y500" s="603"/>
      <c r="Z500" s="603"/>
    </row>
    <row r="501" spans="1:26" ht="18" customHeight="1" x14ac:dyDescent="0.2">
      <c r="A501" s="603"/>
      <c r="B501" s="603"/>
      <c r="C501" s="603"/>
      <c r="D501" s="603"/>
      <c r="E501" s="603"/>
      <c r="F501" s="603"/>
      <c r="G501" s="603"/>
      <c r="H501" s="603"/>
      <c r="I501" s="603"/>
      <c r="J501" s="603"/>
      <c r="K501" s="603"/>
      <c r="L501" s="603"/>
      <c r="M501" s="603"/>
      <c r="N501" s="603"/>
      <c r="O501" s="603"/>
      <c r="P501" s="603"/>
      <c r="Q501" s="603"/>
      <c r="R501" s="603"/>
      <c r="S501" s="603"/>
      <c r="T501" s="603"/>
      <c r="U501" s="603"/>
      <c r="V501" s="603"/>
      <c r="W501" s="603"/>
      <c r="X501" s="603"/>
      <c r="Y501" s="603"/>
      <c r="Z501" s="603"/>
    </row>
    <row r="502" spans="1:26" ht="18" customHeight="1" x14ac:dyDescent="0.2">
      <c r="A502" s="603"/>
      <c r="B502" s="603"/>
      <c r="C502" s="603"/>
      <c r="D502" s="603"/>
      <c r="E502" s="603"/>
      <c r="F502" s="603"/>
      <c r="G502" s="603"/>
      <c r="H502" s="603"/>
      <c r="I502" s="603"/>
      <c r="J502" s="603"/>
      <c r="K502" s="603"/>
      <c r="L502" s="603"/>
      <c r="M502" s="603"/>
      <c r="N502" s="603"/>
      <c r="O502" s="603"/>
      <c r="P502" s="603"/>
      <c r="Q502" s="603"/>
      <c r="R502" s="603"/>
      <c r="S502" s="603"/>
      <c r="T502" s="603"/>
      <c r="U502" s="603"/>
      <c r="V502" s="603"/>
      <c r="W502" s="603"/>
      <c r="X502" s="603"/>
      <c r="Y502" s="603"/>
      <c r="Z502" s="603"/>
    </row>
    <row r="503" spans="1:26" ht="18" customHeight="1" x14ac:dyDescent="0.2">
      <c r="A503" s="603"/>
      <c r="B503" s="603"/>
      <c r="C503" s="603"/>
      <c r="D503" s="603"/>
      <c r="E503" s="603"/>
      <c r="F503" s="603"/>
      <c r="G503" s="603"/>
      <c r="H503" s="603"/>
      <c r="I503" s="603"/>
      <c r="J503" s="603"/>
      <c r="K503" s="603"/>
      <c r="L503" s="603"/>
      <c r="M503" s="603"/>
      <c r="N503" s="603"/>
      <c r="O503" s="603"/>
      <c r="P503" s="603"/>
      <c r="Q503" s="603"/>
      <c r="R503" s="603"/>
      <c r="S503" s="603"/>
      <c r="T503" s="603"/>
      <c r="U503" s="603"/>
      <c r="V503" s="603"/>
      <c r="W503" s="603"/>
      <c r="X503" s="603"/>
      <c r="Y503" s="603"/>
      <c r="Z503" s="603"/>
    </row>
    <row r="504" spans="1:26" ht="18" customHeight="1" x14ac:dyDescent="0.2">
      <c r="A504" s="603"/>
      <c r="B504" s="603"/>
      <c r="C504" s="603"/>
      <c r="D504" s="603"/>
      <c r="E504" s="603"/>
      <c r="F504" s="603"/>
      <c r="G504" s="603"/>
      <c r="H504" s="603"/>
      <c r="I504" s="603"/>
      <c r="J504" s="603"/>
      <c r="K504" s="603"/>
      <c r="L504" s="603"/>
      <c r="M504" s="603"/>
      <c r="N504" s="603"/>
      <c r="O504" s="603"/>
      <c r="P504" s="603"/>
      <c r="Q504" s="603"/>
      <c r="R504" s="603"/>
      <c r="S504" s="603"/>
      <c r="T504" s="603"/>
      <c r="U504" s="603"/>
      <c r="V504" s="603"/>
      <c r="W504" s="603"/>
      <c r="X504" s="603"/>
      <c r="Y504" s="603"/>
      <c r="Z504" s="603"/>
    </row>
    <row r="505" spans="1:26" ht="18" customHeight="1" x14ac:dyDescent="0.2">
      <c r="A505" s="603"/>
      <c r="B505" s="603"/>
      <c r="C505" s="603"/>
      <c r="D505" s="603"/>
      <c r="E505" s="603"/>
      <c r="F505" s="603"/>
      <c r="G505" s="603"/>
      <c r="H505" s="603"/>
      <c r="I505" s="603"/>
      <c r="J505" s="603"/>
      <c r="K505" s="603"/>
      <c r="L505" s="603"/>
      <c r="M505" s="603"/>
      <c r="N505" s="603"/>
      <c r="O505" s="603"/>
      <c r="P505" s="603"/>
      <c r="Q505" s="603"/>
      <c r="R505" s="603"/>
      <c r="S505" s="603"/>
      <c r="T505" s="603"/>
      <c r="U505" s="603"/>
      <c r="V505" s="603"/>
      <c r="W505" s="603"/>
      <c r="X505" s="603"/>
      <c r="Y505" s="603"/>
      <c r="Z505" s="603"/>
    </row>
    <row r="506" spans="1:26" ht="18" customHeight="1" x14ac:dyDescent="0.2">
      <c r="A506" s="603"/>
      <c r="B506" s="603"/>
      <c r="C506" s="603"/>
      <c r="D506" s="603"/>
      <c r="E506" s="603"/>
      <c r="F506" s="603"/>
      <c r="G506" s="603"/>
      <c r="H506" s="603"/>
      <c r="I506" s="603"/>
      <c r="J506" s="603"/>
      <c r="K506" s="603"/>
      <c r="L506" s="603"/>
      <c r="M506" s="603"/>
      <c r="N506" s="603"/>
      <c r="O506" s="603"/>
      <c r="P506" s="603"/>
      <c r="Q506" s="603"/>
      <c r="R506" s="603"/>
      <c r="S506" s="603"/>
      <c r="T506" s="603"/>
      <c r="U506" s="603"/>
      <c r="V506" s="603"/>
      <c r="W506" s="603"/>
      <c r="X506" s="603"/>
      <c r="Y506" s="603"/>
      <c r="Z506" s="603"/>
    </row>
    <row r="507" spans="1:26" ht="18" customHeight="1" x14ac:dyDescent="0.2">
      <c r="A507" s="603"/>
      <c r="B507" s="603"/>
      <c r="C507" s="603"/>
      <c r="D507" s="603"/>
      <c r="E507" s="603"/>
      <c r="F507" s="603"/>
      <c r="G507" s="603"/>
      <c r="H507" s="603"/>
      <c r="I507" s="603"/>
      <c r="J507" s="603"/>
      <c r="K507" s="603"/>
      <c r="L507" s="603"/>
      <c r="M507" s="603"/>
      <c r="N507" s="603"/>
      <c r="O507" s="603"/>
      <c r="P507" s="603"/>
      <c r="Q507" s="603"/>
      <c r="R507" s="603"/>
      <c r="S507" s="603"/>
      <c r="T507" s="603"/>
      <c r="U507" s="603"/>
      <c r="V507" s="603"/>
      <c r="W507" s="603"/>
      <c r="X507" s="603"/>
      <c r="Y507" s="603"/>
      <c r="Z507" s="603"/>
    </row>
    <row r="508" spans="1:26" ht="18" customHeight="1" x14ac:dyDescent="0.2">
      <c r="A508" s="603"/>
      <c r="B508" s="603"/>
      <c r="C508" s="603"/>
      <c r="D508" s="603"/>
      <c r="E508" s="603"/>
      <c r="F508" s="603"/>
      <c r="G508" s="603"/>
      <c r="H508" s="603"/>
      <c r="I508" s="603"/>
      <c r="J508" s="603"/>
      <c r="K508" s="603"/>
      <c r="L508" s="603"/>
      <c r="M508" s="603"/>
      <c r="N508" s="603"/>
      <c r="O508" s="603"/>
      <c r="P508" s="603"/>
      <c r="Q508" s="603"/>
      <c r="R508" s="603"/>
      <c r="S508" s="603"/>
      <c r="T508" s="603"/>
      <c r="U508" s="603"/>
      <c r="V508" s="603"/>
      <c r="W508" s="603"/>
      <c r="X508" s="603"/>
      <c r="Y508" s="603"/>
      <c r="Z508" s="603"/>
    </row>
    <row r="509" spans="1:26" ht="18" customHeight="1" x14ac:dyDescent="0.2">
      <c r="A509" s="603"/>
      <c r="B509" s="603"/>
      <c r="C509" s="603"/>
      <c r="D509" s="603"/>
      <c r="E509" s="603"/>
      <c r="F509" s="603"/>
      <c r="G509" s="603"/>
      <c r="H509" s="603"/>
      <c r="I509" s="603"/>
      <c r="J509" s="603"/>
      <c r="K509" s="603"/>
      <c r="L509" s="603"/>
      <c r="M509" s="603"/>
      <c r="N509" s="603"/>
      <c r="O509" s="603"/>
      <c r="P509" s="603"/>
      <c r="Q509" s="603"/>
      <c r="R509" s="603"/>
      <c r="S509" s="603"/>
      <c r="T509" s="603"/>
      <c r="U509" s="603"/>
      <c r="V509" s="603"/>
      <c r="W509" s="603"/>
      <c r="X509" s="603"/>
      <c r="Y509" s="603"/>
      <c r="Z509" s="603"/>
    </row>
    <row r="510" spans="1:26" ht="18" customHeight="1" x14ac:dyDescent="0.2">
      <c r="A510" s="603"/>
      <c r="B510" s="603"/>
      <c r="C510" s="603"/>
      <c r="D510" s="603"/>
      <c r="E510" s="603"/>
      <c r="F510" s="603"/>
      <c r="G510" s="603"/>
      <c r="H510" s="603"/>
      <c r="I510" s="603"/>
      <c r="J510" s="603"/>
      <c r="K510" s="603"/>
      <c r="L510" s="603"/>
      <c r="M510" s="603"/>
      <c r="N510" s="603"/>
      <c r="O510" s="603"/>
      <c r="P510" s="603"/>
      <c r="Q510" s="603"/>
      <c r="R510" s="603"/>
      <c r="S510" s="603"/>
      <c r="T510" s="603"/>
      <c r="U510" s="603"/>
      <c r="V510" s="603"/>
      <c r="W510" s="603"/>
      <c r="X510" s="603"/>
      <c r="Y510" s="603"/>
      <c r="Z510" s="603"/>
    </row>
    <row r="511" spans="1:26" ht="18" customHeight="1" x14ac:dyDescent="0.2">
      <c r="A511" s="603"/>
      <c r="B511" s="603"/>
      <c r="C511" s="603"/>
      <c r="D511" s="603"/>
      <c r="E511" s="603"/>
      <c r="F511" s="603"/>
      <c r="G511" s="603"/>
      <c r="H511" s="603"/>
      <c r="I511" s="603"/>
      <c r="J511" s="603"/>
      <c r="K511" s="603"/>
      <c r="L511" s="603"/>
      <c r="M511" s="603"/>
      <c r="N511" s="603"/>
      <c r="O511" s="603"/>
      <c r="P511" s="603"/>
      <c r="Q511" s="603"/>
      <c r="R511" s="603"/>
      <c r="S511" s="603"/>
      <c r="T511" s="603"/>
      <c r="U511" s="603"/>
      <c r="V511" s="603"/>
      <c r="W511" s="603"/>
      <c r="X511" s="603"/>
      <c r="Y511" s="603"/>
      <c r="Z511" s="603"/>
    </row>
    <row r="512" spans="1:26" ht="18" customHeight="1" x14ac:dyDescent="0.2">
      <c r="A512" s="603"/>
      <c r="B512" s="603"/>
      <c r="C512" s="603"/>
      <c r="D512" s="603"/>
      <c r="E512" s="603"/>
      <c r="F512" s="603"/>
      <c r="G512" s="603"/>
      <c r="H512" s="603"/>
      <c r="I512" s="603"/>
      <c r="J512" s="603"/>
      <c r="K512" s="603"/>
      <c r="L512" s="603"/>
      <c r="M512" s="603"/>
      <c r="N512" s="603"/>
      <c r="O512" s="603"/>
      <c r="P512" s="603"/>
      <c r="Q512" s="603"/>
      <c r="R512" s="603"/>
      <c r="S512" s="603"/>
      <c r="T512" s="603"/>
      <c r="U512" s="603"/>
      <c r="V512" s="603"/>
      <c r="W512" s="603"/>
      <c r="X512" s="603"/>
      <c r="Y512" s="603"/>
      <c r="Z512" s="603"/>
    </row>
    <row r="513" spans="1:26" ht="18" customHeight="1" x14ac:dyDescent="0.2">
      <c r="A513" s="603"/>
      <c r="B513" s="603"/>
      <c r="C513" s="603"/>
      <c r="D513" s="603"/>
      <c r="E513" s="603"/>
      <c r="F513" s="603"/>
      <c r="G513" s="603"/>
      <c r="H513" s="603"/>
      <c r="I513" s="603"/>
      <c r="J513" s="603"/>
      <c r="K513" s="603"/>
      <c r="L513" s="603"/>
      <c r="M513" s="603"/>
      <c r="N513" s="603"/>
      <c r="O513" s="603"/>
      <c r="P513" s="603"/>
      <c r="Q513" s="603"/>
      <c r="R513" s="603"/>
      <c r="S513" s="603"/>
      <c r="T513" s="603"/>
      <c r="U513" s="603"/>
      <c r="V513" s="603"/>
      <c r="W513" s="603"/>
      <c r="X513" s="603"/>
      <c r="Y513" s="603"/>
      <c r="Z513" s="603"/>
    </row>
    <row r="514" spans="1:26" ht="18" customHeight="1" x14ac:dyDescent="0.2">
      <c r="A514" s="603"/>
      <c r="B514" s="603"/>
      <c r="C514" s="603"/>
      <c r="D514" s="603"/>
      <c r="E514" s="603"/>
      <c r="F514" s="603"/>
      <c r="G514" s="603"/>
      <c r="H514" s="603"/>
      <c r="I514" s="603"/>
      <c r="J514" s="603"/>
      <c r="K514" s="603"/>
      <c r="L514" s="603"/>
      <c r="M514" s="603"/>
      <c r="N514" s="603"/>
      <c r="O514" s="603"/>
      <c r="P514" s="603"/>
      <c r="Q514" s="603"/>
      <c r="R514" s="603"/>
      <c r="S514" s="603"/>
      <c r="T514" s="603"/>
      <c r="U514" s="603"/>
      <c r="V514" s="603"/>
      <c r="W514" s="603"/>
      <c r="X514" s="603"/>
      <c r="Y514" s="603"/>
      <c r="Z514" s="603"/>
    </row>
    <row r="515" spans="1:26" ht="18" customHeight="1" x14ac:dyDescent="0.2">
      <c r="A515" s="603"/>
      <c r="B515" s="603"/>
      <c r="C515" s="603"/>
      <c r="D515" s="603"/>
      <c r="E515" s="603"/>
      <c r="F515" s="603"/>
      <c r="G515" s="603"/>
      <c r="H515" s="603"/>
      <c r="I515" s="603"/>
      <c r="J515" s="603"/>
      <c r="K515" s="603"/>
      <c r="L515" s="603"/>
      <c r="M515" s="603"/>
      <c r="N515" s="603"/>
      <c r="O515" s="603"/>
      <c r="P515" s="603"/>
      <c r="Q515" s="603"/>
      <c r="R515" s="603"/>
      <c r="S515" s="603"/>
      <c r="T515" s="603"/>
      <c r="U515" s="603"/>
      <c r="V515" s="603"/>
      <c r="W515" s="603"/>
      <c r="X515" s="603"/>
      <c r="Y515" s="603"/>
      <c r="Z515" s="603"/>
    </row>
    <row r="516" spans="1:26" ht="18" customHeight="1" x14ac:dyDescent="0.2">
      <c r="A516" s="603"/>
      <c r="B516" s="603"/>
      <c r="C516" s="603"/>
      <c r="D516" s="603"/>
      <c r="E516" s="603"/>
      <c r="F516" s="603"/>
      <c r="G516" s="603"/>
      <c r="H516" s="603"/>
      <c r="I516" s="603"/>
      <c r="J516" s="603"/>
      <c r="K516" s="603"/>
      <c r="L516" s="603"/>
      <c r="M516" s="603"/>
      <c r="N516" s="603"/>
      <c r="O516" s="603"/>
      <c r="P516" s="603"/>
      <c r="Q516" s="603"/>
      <c r="R516" s="603"/>
      <c r="S516" s="603"/>
      <c r="T516" s="603"/>
      <c r="U516" s="603"/>
      <c r="V516" s="603"/>
      <c r="W516" s="603"/>
      <c r="X516" s="603"/>
      <c r="Y516" s="603"/>
      <c r="Z516" s="603"/>
    </row>
    <row r="517" spans="1:26" ht="18" customHeight="1" x14ac:dyDescent="0.2">
      <c r="A517" s="603"/>
      <c r="B517" s="603"/>
      <c r="C517" s="603"/>
      <c r="D517" s="603"/>
      <c r="E517" s="603"/>
      <c r="F517" s="603"/>
      <c r="G517" s="603"/>
      <c r="H517" s="603"/>
      <c r="I517" s="603"/>
      <c r="J517" s="603"/>
      <c r="K517" s="603"/>
      <c r="L517" s="603"/>
      <c r="M517" s="603"/>
      <c r="N517" s="603"/>
      <c r="O517" s="603"/>
      <c r="P517" s="603"/>
      <c r="Q517" s="603"/>
      <c r="R517" s="603"/>
      <c r="S517" s="603"/>
      <c r="T517" s="603"/>
      <c r="U517" s="603"/>
      <c r="V517" s="603"/>
      <c r="W517" s="603"/>
      <c r="X517" s="603"/>
      <c r="Y517" s="603"/>
      <c r="Z517" s="603"/>
    </row>
    <row r="518" spans="1:26" ht="18" customHeight="1" x14ac:dyDescent="0.2">
      <c r="A518" s="603"/>
      <c r="B518" s="603"/>
      <c r="C518" s="603"/>
      <c r="D518" s="603"/>
      <c r="E518" s="603"/>
      <c r="F518" s="603"/>
      <c r="G518" s="603"/>
      <c r="H518" s="603"/>
      <c r="I518" s="603"/>
      <c r="J518" s="603"/>
      <c r="K518" s="603"/>
      <c r="L518" s="603"/>
      <c r="M518" s="603"/>
      <c r="N518" s="603"/>
      <c r="O518" s="603"/>
      <c r="P518" s="603"/>
      <c r="Q518" s="603"/>
      <c r="R518" s="603"/>
      <c r="S518" s="603"/>
      <c r="T518" s="603"/>
      <c r="U518" s="603"/>
      <c r="V518" s="603"/>
      <c r="W518" s="603"/>
      <c r="X518" s="603"/>
      <c r="Y518" s="603"/>
      <c r="Z518" s="603"/>
    </row>
    <row r="519" spans="1:26" ht="18" customHeight="1" x14ac:dyDescent="0.2">
      <c r="A519" s="603"/>
      <c r="B519" s="603"/>
      <c r="C519" s="603"/>
      <c r="D519" s="603"/>
      <c r="E519" s="603"/>
      <c r="F519" s="603"/>
      <c r="G519" s="603"/>
      <c r="H519" s="603"/>
      <c r="I519" s="603"/>
      <c r="J519" s="603"/>
      <c r="K519" s="603"/>
      <c r="L519" s="603"/>
      <c r="M519" s="603"/>
      <c r="N519" s="603"/>
      <c r="O519" s="603"/>
      <c r="P519" s="603"/>
      <c r="Q519" s="603"/>
      <c r="R519" s="603"/>
      <c r="S519" s="603"/>
      <c r="T519" s="603"/>
      <c r="U519" s="603"/>
      <c r="V519" s="603"/>
      <c r="W519" s="603"/>
      <c r="X519" s="603"/>
      <c r="Y519" s="603"/>
      <c r="Z519" s="603"/>
    </row>
    <row r="520" spans="1:26" ht="18" customHeight="1" x14ac:dyDescent="0.2">
      <c r="A520" s="603"/>
      <c r="B520" s="603"/>
      <c r="C520" s="603"/>
      <c r="D520" s="603"/>
      <c r="E520" s="603"/>
      <c r="F520" s="603"/>
      <c r="G520" s="603"/>
      <c r="H520" s="603"/>
      <c r="I520" s="603"/>
      <c r="J520" s="603"/>
      <c r="K520" s="603"/>
      <c r="L520" s="603"/>
      <c r="M520" s="603"/>
      <c r="N520" s="603"/>
      <c r="O520" s="603"/>
      <c r="P520" s="603"/>
      <c r="Q520" s="603"/>
      <c r="R520" s="603"/>
      <c r="S520" s="603"/>
      <c r="T520" s="603"/>
      <c r="U520" s="603"/>
      <c r="V520" s="603"/>
      <c r="W520" s="603"/>
      <c r="X520" s="603"/>
      <c r="Y520" s="603"/>
      <c r="Z520" s="603"/>
    </row>
    <row r="521" spans="1:26" ht="18" customHeight="1" x14ac:dyDescent="0.2">
      <c r="A521" s="603"/>
      <c r="B521" s="603"/>
      <c r="C521" s="603"/>
      <c r="D521" s="603"/>
      <c r="E521" s="603"/>
      <c r="F521" s="603"/>
      <c r="G521" s="603"/>
      <c r="H521" s="603"/>
      <c r="I521" s="603"/>
      <c r="J521" s="603"/>
      <c r="K521" s="603"/>
      <c r="L521" s="603"/>
      <c r="M521" s="603"/>
      <c r="N521" s="603"/>
      <c r="O521" s="603"/>
      <c r="P521" s="603"/>
      <c r="Q521" s="603"/>
      <c r="R521" s="603"/>
      <c r="S521" s="603"/>
      <c r="T521" s="603"/>
      <c r="U521" s="603"/>
      <c r="V521" s="603"/>
      <c r="W521" s="603"/>
      <c r="X521" s="603"/>
      <c r="Y521" s="603"/>
      <c r="Z521" s="603"/>
    </row>
    <row r="522" spans="1:26" ht="18" customHeight="1" x14ac:dyDescent="0.2">
      <c r="A522" s="603"/>
      <c r="B522" s="603"/>
      <c r="C522" s="603"/>
      <c r="D522" s="603"/>
      <c r="E522" s="603"/>
      <c r="F522" s="603"/>
      <c r="G522" s="603"/>
      <c r="H522" s="603"/>
      <c r="I522" s="603"/>
      <c r="J522" s="603"/>
      <c r="K522" s="603"/>
      <c r="L522" s="603"/>
      <c r="M522" s="603"/>
      <c r="N522" s="603"/>
      <c r="O522" s="603"/>
      <c r="P522" s="603"/>
      <c r="Q522" s="603"/>
      <c r="R522" s="603"/>
      <c r="S522" s="603"/>
      <c r="T522" s="603"/>
      <c r="U522" s="603"/>
      <c r="V522" s="603"/>
      <c r="W522" s="603"/>
      <c r="X522" s="603"/>
      <c r="Y522" s="603"/>
      <c r="Z522" s="603"/>
    </row>
    <row r="523" spans="1:26" ht="18" customHeight="1" x14ac:dyDescent="0.2">
      <c r="A523" s="603"/>
      <c r="B523" s="603"/>
      <c r="C523" s="603"/>
      <c r="D523" s="603"/>
      <c r="E523" s="603"/>
      <c r="F523" s="603"/>
      <c r="G523" s="603"/>
      <c r="H523" s="603"/>
      <c r="I523" s="603"/>
      <c r="J523" s="603"/>
      <c r="K523" s="603"/>
      <c r="L523" s="603"/>
      <c r="M523" s="603"/>
      <c r="N523" s="603"/>
      <c r="O523" s="603"/>
      <c r="P523" s="603"/>
      <c r="Q523" s="603"/>
      <c r="R523" s="603"/>
      <c r="S523" s="603"/>
      <c r="T523" s="603"/>
      <c r="U523" s="603"/>
      <c r="V523" s="603"/>
      <c r="W523" s="603"/>
      <c r="X523" s="603"/>
      <c r="Y523" s="603"/>
      <c r="Z523" s="603"/>
    </row>
    <row r="524" spans="1:26" ht="18" customHeight="1" x14ac:dyDescent="0.2">
      <c r="A524" s="603"/>
      <c r="B524" s="603"/>
      <c r="C524" s="603"/>
      <c r="D524" s="603"/>
      <c r="E524" s="603"/>
      <c r="F524" s="603"/>
      <c r="G524" s="603"/>
      <c r="H524" s="603"/>
      <c r="I524" s="603"/>
      <c r="J524" s="603"/>
      <c r="K524" s="603"/>
      <c r="L524" s="603"/>
      <c r="M524" s="603"/>
      <c r="N524" s="603"/>
      <c r="O524" s="603"/>
      <c r="P524" s="603"/>
      <c r="Q524" s="603"/>
      <c r="R524" s="603"/>
      <c r="S524" s="603"/>
      <c r="T524" s="603"/>
      <c r="U524" s="603"/>
      <c r="V524" s="603"/>
      <c r="W524" s="603"/>
      <c r="X524" s="603"/>
      <c r="Y524" s="603"/>
      <c r="Z524" s="603"/>
    </row>
    <row r="525" spans="1:26" ht="18" customHeight="1" x14ac:dyDescent="0.2">
      <c r="A525" s="603"/>
      <c r="B525" s="603"/>
      <c r="C525" s="603"/>
      <c r="D525" s="603"/>
      <c r="E525" s="603"/>
      <c r="F525" s="603"/>
      <c r="G525" s="603"/>
      <c r="H525" s="603"/>
      <c r="I525" s="603"/>
      <c r="J525" s="603"/>
      <c r="K525" s="603"/>
      <c r="L525" s="603"/>
      <c r="M525" s="603"/>
      <c r="N525" s="603"/>
      <c r="O525" s="603"/>
      <c r="P525" s="603"/>
      <c r="Q525" s="603"/>
      <c r="R525" s="603"/>
      <c r="S525" s="603"/>
      <c r="T525" s="603"/>
      <c r="U525" s="603"/>
      <c r="V525" s="603"/>
      <c r="W525" s="603"/>
      <c r="X525" s="603"/>
      <c r="Y525" s="603"/>
      <c r="Z525" s="603"/>
    </row>
    <row r="526" spans="1:26" ht="18" customHeight="1" x14ac:dyDescent="0.2">
      <c r="A526" s="603"/>
      <c r="B526" s="603"/>
      <c r="C526" s="603"/>
      <c r="D526" s="603"/>
      <c r="E526" s="603"/>
      <c r="F526" s="603"/>
      <c r="G526" s="603"/>
      <c r="H526" s="603"/>
      <c r="I526" s="603"/>
      <c r="J526" s="603"/>
      <c r="K526" s="603"/>
      <c r="L526" s="603"/>
      <c r="M526" s="603"/>
      <c r="N526" s="603"/>
      <c r="O526" s="603"/>
      <c r="P526" s="603"/>
      <c r="Q526" s="603"/>
      <c r="R526" s="603"/>
      <c r="S526" s="603"/>
      <c r="T526" s="603"/>
      <c r="U526" s="603"/>
      <c r="V526" s="603"/>
      <c r="W526" s="603"/>
      <c r="X526" s="603"/>
      <c r="Y526" s="603"/>
      <c r="Z526" s="603"/>
    </row>
    <row r="527" spans="1:26" ht="18" customHeight="1" x14ac:dyDescent="0.2">
      <c r="A527" s="603"/>
      <c r="B527" s="603"/>
      <c r="C527" s="603"/>
      <c r="D527" s="603"/>
      <c r="E527" s="603"/>
      <c r="F527" s="603"/>
      <c r="G527" s="603"/>
      <c r="H527" s="603"/>
      <c r="I527" s="603"/>
      <c r="J527" s="603"/>
      <c r="K527" s="603"/>
      <c r="L527" s="603"/>
      <c r="M527" s="603"/>
      <c r="N527" s="603"/>
      <c r="O527" s="603"/>
      <c r="P527" s="603"/>
      <c r="Q527" s="603"/>
      <c r="R527" s="603"/>
      <c r="S527" s="603"/>
      <c r="T527" s="603"/>
      <c r="U527" s="603"/>
      <c r="V527" s="603"/>
      <c r="W527" s="603"/>
      <c r="X527" s="603"/>
      <c r="Y527" s="603"/>
      <c r="Z527" s="603"/>
    </row>
    <row r="528" spans="1:26" ht="18" customHeight="1" x14ac:dyDescent="0.2">
      <c r="A528" s="603"/>
      <c r="B528" s="603"/>
      <c r="C528" s="603"/>
      <c r="D528" s="603"/>
      <c r="E528" s="603"/>
      <c r="F528" s="603"/>
      <c r="G528" s="603"/>
      <c r="H528" s="603"/>
      <c r="I528" s="603"/>
      <c r="J528" s="603"/>
      <c r="K528" s="603"/>
      <c r="L528" s="603"/>
      <c r="M528" s="603"/>
      <c r="N528" s="603"/>
      <c r="O528" s="603"/>
      <c r="P528" s="603"/>
      <c r="Q528" s="603"/>
      <c r="R528" s="603"/>
      <c r="S528" s="603"/>
      <c r="T528" s="603"/>
      <c r="U528" s="603"/>
      <c r="V528" s="603"/>
      <c r="W528" s="603"/>
      <c r="X528" s="603"/>
      <c r="Y528" s="603"/>
      <c r="Z528" s="603"/>
    </row>
    <row r="529" spans="1:26" ht="18" customHeight="1" x14ac:dyDescent="0.2">
      <c r="A529" s="603"/>
      <c r="B529" s="603"/>
      <c r="C529" s="603"/>
      <c r="D529" s="603"/>
      <c r="E529" s="603"/>
      <c r="F529" s="603"/>
      <c r="G529" s="603"/>
      <c r="H529" s="603"/>
      <c r="I529" s="603"/>
      <c r="J529" s="603"/>
      <c r="K529" s="603"/>
      <c r="L529" s="603"/>
      <c r="M529" s="603"/>
      <c r="N529" s="603"/>
      <c r="O529" s="603"/>
      <c r="P529" s="603"/>
      <c r="Q529" s="603"/>
      <c r="R529" s="603"/>
      <c r="S529" s="603"/>
      <c r="T529" s="603"/>
      <c r="U529" s="603"/>
      <c r="V529" s="603"/>
      <c r="W529" s="603"/>
      <c r="X529" s="603"/>
      <c r="Y529" s="603"/>
      <c r="Z529" s="603"/>
    </row>
    <row r="530" spans="1:26" ht="18" customHeight="1" x14ac:dyDescent="0.2">
      <c r="A530" s="603"/>
      <c r="B530" s="603"/>
      <c r="C530" s="603"/>
      <c r="D530" s="603"/>
      <c r="E530" s="603"/>
      <c r="F530" s="603"/>
      <c r="G530" s="603"/>
      <c r="H530" s="603"/>
      <c r="I530" s="603"/>
      <c r="J530" s="603"/>
      <c r="K530" s="603"/>
      <c r="L530" s="603"/>
      <c r="M530" s="603"/>
      <c r="N530" s="603"/>
      <c r="O530" s="603"/>
      <c r="P530" s="603"/>
      <c r="Q530" s="603"/>
      <c r="R530" s="603"/>
      <c r="S530" s="603"/>
      <c r="T530" s="603"/>
      <c r="U530" s="603"/>
      <c r="V530" s="603"/>
      <c r="W530" s="603"/>
      <c r="X530" s="603"/>
      <c r="Y530" s="603"/>
      <c r="Z530" s="603"/>
    </row>
    <row r="531" spans="1:26" ht="18" customHeight="1" x14ac:dyDescent="0.2">
      <c r="A531" s="603"/>
      <c r="B531" s="603"/>
      <c r="C531" s="603"/>
      <c r="D531" s="603"/>
      <c r="E531" s="603"/>
      <c r="F531" s="603"/>
      <c r="G531" s="603"/>
      <c r="H531" s="603"/>
      <c r="I531" s="603"/>
      <c r="J531" s="603"/>
      <c r="K531" s="603"/>
      <c r="L531" s="603"/>
      <c r="M531" s="603"/>
      <c r="N531" s="603"/>
      <c r="O531" s="603"/>
      <c r="P531" s="603"/>
      <c r="Q531" s="603"/>
      <c r="R531" s="603"/>
      <c r="S531" s="603"/>
      <c r="T531" s="603"/>
      <c r="U531" s="603"/>
      <c r="V531" s="603"/>
      <c r="W531" s="603"/>
      <c r="X531" s="603"/>
      <c r="Y531" s="603"/>
      <c r="Z531" s="603"/>
    </row>
    <row r="532" spans="1:26" ht="18" customHeight="1" x14ac:dyDescent="0.2">
      <c r="A532" s="603"/>
      <c r="B532" s="603"/>
      <c r="C532" s="603"/>
      <c r="D532" s="603"/>
      <c r="E532" s="603"/>
      <c r="F532" s="603"/>
      <c r="G532" s="603"/>
      <c r="H532" s="603"/>
      <c r="I532" s="603"/>
      <c r="J532" s="603"/>
      <c r="K532" s="603"/>
      <c r="L532" s="603"/>
      <c r="M532" s="603"/>
      <c r="N532" s="603"/>
      <c r="O532" s="603"/>
      <c r="P532" s="603"/>
      <c r="Q532" s="603"/>
      <c r="R532" s="603"/>
      <c r="S532" s="603"/>
      <c r="T532" s="603"/>
      <c r="U532" s="603"/>
      <c r="V532" s="603"/>
      <c r="W532" s="603"/>
      <c r="X532" s="603"/>
      <c r="Y532" s="603"/>
      <c r="Z532" s="603"/>
    </row>
    <row r="533" spans="1:26" ht="18" customHeight="1" x14ac:dyDescent="0.2">
      <c r="A533" s="603"/>
      <c r="B533" s="603"/>
      <c r="C533" s="603"/>
      <c r="D533" s="603"/>
      <c r="E533" s="603"/>
      <c r="F533" s="603"/>
      <c r="G533" s="603"/>
      <c r="H533" s="603"/>
      <c r="I533" s="603"/>
      <c r="J533" s="603"/>
      <c r="K533" s="603"/>
      <c r="L533" s="603"/>
      <c r="M533" s="603"/>
      <c r="N533" s="603"/>
      <c r="O533" s="603"/>
      <c r="P533" s="603"/>
      <c r="Q533" s="603"/>
      <c r="R533" s="603"/>
      <c r="S533" s="603"/>
      <c r="T533" s="603"/>
      <c r="U533" s="603"/>
      <c r="V533" s="603"/>
      <c r="W533" s="603"/>
      <c r="X533" s="603"/>
      <c r="Y533" s="603"/>
      <c r="Z533" s="603"/>
    </row>
    <row r="534" spans="1:26" ht="18" customHeight="1" x14ac:dyDescent="0.2">
      <c r="A534" s="603"/>
      <c r="B534" s="603"/>
      <c r="C534" s="603"/>
      <c r="D534" s="603"/>
      <c r="E534" s="603"/>
      <c r="F534" s="603"/>
      <c r="G534" s="603"/>
      <c r="H534" s="603"/>
      <c r="I534" s="603"/>
      <c r="J534" s="603"/>
      <c r="K534" s="603"/>
      <c r="L534" s="603"/>
      <c r="M534" s="603"/>
      <c r="N534" s="603"/>
      <c r="O534" s="603"/>
      <c r="P534" s="603"/>
      <c r="Q534" s="603"/>
      <c r="R534" s="603"/>
      <c r="S534" s="603"/>
      <c r="T534" s="603"/>
      <c r="U534" s="603"/>
      <c r="V534" s="603"/>
      <c r="W534" s="603"/>
      <c r="X534" s="603"/>
      <c r="Y534" s="603"/>
      <c r="Z534" s="603"/>
    </row>
    <row r="535" spans="1:26" ht="18" customHeight="1" x14ac:dyDescent="0.2">
      <c r="A535" s="603"/>
      <c r="B535" s="603"/>
      <c r="C535" s="603"/>
      <c r="D535" s="603"/>
      <c r="E535" s="603"/>
      <c r="F535" s="603"/>
      <c r="G535" s="603"/>
      <c r="H535" s="603"/>
      <c r="I535" s="603"/>
      <c r="J535" s="603"/>
      <c r="K535" s="603"/>
      <c r="L535" s="603"/>
      <c r="M535" s="603"/>
      <c r="N535" s="603"/>
      <c r="O535" s="603"/>
      <c r="P535" s="603"/>
      <c r="Q535" s="603"/>
      <c r="R535" s="603"/>
      <c r="S535" s="603"/>
      <c r="T535" s="603"/>
      <c r="U535" s="603"/>
      <c r="V535" s="603"/>
      <c r="W535" s="603"/>
      <c r="X535" s="603"/>
      <c r="Y535" s="603"/>
      <c r="Z535" s="603"/>
    </row>
    <row r="536" spans="1:26" ht="18" customHeight="1" x14ac:dyDescent="0.2">
      <c r="A536" s="603"/>
      <c r="B536" s="603"/>
      <c r="C536" s="603"/>
      <c r="D536" s="603"/>
      <c r="E536" s="603"/>
      <c r="F536" s="603"/>
      <c r="G536" s="603"/>
      <c r="H536" s="603"/>
      <c r="I536" s="603"/>
      <c r="J536" s="603"/>
      <c r="K536" s="603"/>
      <c r="L536" s="603"/>
      <c r="M536" s="603"/>
      <c r="N536" s="603"/>
      <c r="O536" s="603"/>
      <c r="P536" s="603"/>
      <c r="Q536" s="603"/>
      <c r="R536" s="603"/>
      <c r="S536" s="603"/>
      <c r="T536" s="603"/>
      <c r="U536" s="603"/>
      <c r="V536" s="603"/>
      <c r="W536" s="603"/>
      <c r="X536" s="603"/>
      <c r="Y536" s="603"/>
      <c r="Z536" s="603"/>
    </row>
    <row r="537" spans="1:26" ht="18" customHeight="1" x14ac:dyDescent="0.2">
      <c r="A537" s="603"/>
      <c r="B537" s="603"/>
      <c r="C537" s="603"/>
      <c r="D537" s="603"/>
      <c r="E537" s="603"/>
      <c r="F537" s="603"/>
      <c r="G537" s="603"/>
      <c r="H537" s="603"/>
      <c r="I537" s="603"/>
      <c r="J537" s="603"/>
      <c r="K537" s="603"/>
      <c r="L537" s="603"/>
      <c r="M537" s="603"/>
      <c r="N537" s="603"/>
      <c r="O537" s="603"/>
      <c r="P537" s="603"/>
      <c r="Q537" s="603"/>
      <c r="R537" s="603"/>
      <c r="S537" s="603"/>
      <c r="T537" s="603"/>
      <c r="U537" s="603"/>
      <c r="V537" s="603"/>
      <c r="W537" s="603"/>
      <c r="X537" s="603"/>
      <c r="Y537" s="603"/>
      <c r="Z537" s="603"/>
    </row>
    <row r="538" spans="1:26" ht="18" customHeight="1" x14ac:dyDescent="0.2">
      <c r="A538" s="603"/>
      <c r="B538" s="603"/>
      <c r="C538" s="603"/>
      <c r="D538" s="603"/>
      <c r="E538" s="603"/>
      <c r="F538" s="603"/>
      <c r="G538" s="603"/>
      <c r="H538" s="603"/>
      <c r="I538" s="603"/>
      <c r="J538" s="603"/>
      <c r="K538" s="603"/>
      <c r="L538" s="603"/>
      <c r="M538" s="603"/>
      <c r="N538" s="603"/>
      <c r="O538" s="603"/>
      <c r="P538" s="603"/>
      <c r="Q538" s="603"/>
      <c r="R538" s="603"/>
      <c r="S538" s="603"/>
      <c r="T538" s="603"/>
      <c r="U538" s="603"/>
      <c r="V538" s="603"/>
      <c r="W538" s="603"/>
      <c r="X538" s="603"/>
      <c r="Y538" s="603"/>
      <c r="Z538" s="603"/>
    </row>
    <row r="539" spans="1:26" ht="18" customHeight="1" x14ac:dyDescent="0.2">
      <c r="A539" s="603"/>
      <c r="B539" s="603"/>
      <c r="C539" s="603"/>
      <c r="D539" s="603"/>
      <c r="E539" s="603"/>
      <c r="F539" s="603"/>
      <c r="G539" s="603"/>
      <c r="H539" s="603"/>
      <c r="I539" s="603"/>
      <c r="J539" s="603"/>
      <c r="K539" s="603"/>
      <c r="L539" s="603"/>
      <c r="M539" s="603"/>
      <c r="N539" s="603"/>
      <c r="O539" s="603"/>
      <c r="P539" s="603"/>
      <c r="Q539" s="603"/>
      <c r="R539" s="603"/>
      <c r="S539" s="603"/>
      <c r="T539" s="603"/>
      <c r="U539" s="603"/>
      <c r="V539" s="603"/>
      <c r="W539" s="603"/>
      <c r="X539" s="603"/>
      <c r="Y539" s="603"/>
      <c r="Z539" s="603"/>
    </row>
    <row r="540" spans="1:26" ht="18" customHeight="1" x14ac:dyDescent="0.2">
      <c r="A540" s="603"/>
      <c r="B540" s="603"/>
      <c r="C540" s="603"/>
      <c r="D540" s="603"/>
      <c r="E540" s="603"/>
      <c r="F540" s="603"/>
      <c r="G540" s="603"/>
      <c r="H540" s="603"/>
      <c r="I540" s="603"/>
      <c r="J540" s="603"/>
      <c r="K540" s="603"/>
      <c r="L540" s="603"/>
      <c r="M540" s="603"/>
      <c r="N540" s="603"/>
      <c r="O540" s="603"/>
      <c r="P540" s="603"/>
      <c r="Q540" s="603"/>
      <c r="R540" s="603"/>
      <c r="S540" s="603"/>
      <c r="T540" s="603"/>
      <c r="U540" s="603"/>
      <c r="V540" s="603"/>
      <c r="W540" s="603"/>
      <c r="X540" s="603"/>
      <c r="Y540" s="603"/>
      <c r="Z540" s="603"/>
    </row>
    <row r="541" spans="1:26" ht="18" customHeight="1" x14ac:dyDescent="0.2">
      <c r="A541" s="603"/>
      <c r="B541" s="603"/>
      <c r="C541" s="603"/>
      <c r="D541" s="603"/>
      <c r="E541" s="603"/>
      <c r="F541" s="603"/>
      <c r="G541" s="603"/>
      <c r="H541" s="603"/>
      <c r="I541" s="603"/>
      <c r="J541" s="603"/>
      <c r="K541" s="603"/>
      <c r="L541" s="603"/>
      <c r="M541" s="603"/>
      <c r="N541" s="603"/>
      <c r="O541" s="603"/>
      <c r="P541" s="603"/>
      <c r="Q541" s="603"/>
      <c r="R541" s="603"/>
      <c r="S541" s="603"/>
      <c r="T541" s="603"/>
      <c r="U541" s="603"/>
      <c r="V541" s="603"/>
      <c r="W541" s="603"/>
      <c r="X541" s="603"/>
      <c r="Y541" s="603"/>
      <c r="Z541" s="603"/>
    </row>
    <row r="542" spans="1:26" ht="18" customHeight="1" x14ac:dyDescent="0.2">
      <c r="A542" s="603"/>
      <c r="B542" s="603"/>
      <c r="C542" s="603"/>
      <c r="D542" s="603"/>
      <c r="E542" s="603"/>
      <c r="F542" s="603"/>
      <c r="G542" s="603"/>
      <c r="H542" s="603"/>
      <c r="I542" s="603"/>
      <c r="J542" s="603"/>
      <c r="K542" s="603"/>
      <c r="L542" s="603"/>
      <c r="M542" s="603"/>
      <c r="N542" s="603"/>
      <c r="O542" s="603"/>
      <c r="P542" s="603"/>
      <c r="Q542" s="603"/>
      <c r="R542" s="603"/>
      <c r="S542" s="603"/>
      <c r="T542" s="603"/>
      <c r="U542" s="603"/>
      <c r="V542" s="603"/>
      <c r="W542" s="603"/>
      <c r="X542" s="603"/>
      <c r="Y542" s="603"/>
      <c r="Z542" s="603"/>
    </row>
    <row r="543" spans="1:26" ht="18" customHeight="1" x14ac:dyDescent="0.2">
      <c r="A543" s="603"/>
      <c r="B543" s="603"/>
      <c r="C543" s="603"/>
      <c r="D543" s="603"/>
      <c r="E543" s="603"/>
      <c r="F543" s="603"/>
      <c r="G543" s="603"/>
      <c r="H543" s="603"/>
      <c r="I543" s="603"/>
      <c r="J543" s="603"/>
      <c r="K543" s="603"/>
      <c r="L543" s="603"/>
      <c r="M543" s="603"/>
      <c r="N543" s="603"/>
      <c r="O543" s="603"/>
      <c r="P543" s="603"/>
      <c r="Q543" s="603"/>
      <c r="R543" s="603"/>
      <c r="S543" s="603"/>
      <c r="T543" s="603"/>
      <c r="U543" s="603"/>
      <c r="V543" s="603"/>
      <c r="W543" s="603"/>
      <c r="X543" s="603"/>
      <c r="Y543" s="603"/>
      <c r="Z543" s="603"/>
    </row>
    <row r="544" spans="1:26" ht="18" customHeight="1" x14ac:dyDescent="0.2">
      <c r="A544" s="603"/>
      <c r="B544" s="603"/>
      <c r="C544" s="603"/>
      <c r="D544" s="603"/>
      <c r="E544" s="603"/>
      <c r="F544" s="603"/>
      <c r="G544" s="603"/>
      <c r="H544" s="603"/>
      <c r="I544" s="603"/>
      <c r="J544" s="603"/>
      <c r="K544" s="603"/>
      <c r="L544" s="603"/>
      <c r="M544" s="603"/>
      <c r="N544" s="603"/>
      <c r="O544" s="603"/>
      <c r="P544" s="603"/>
      <c r="Q544" s="603"/>
      <c r="R544" s="603"/>
      <c r="S544" s="603"/>
      <c r="T544" s="603"/>
      <c r="U544" s="603"/>
      <c r="V544" s="603"/>
      <c r="W544" s="603"/>
      <c r="X544" s="603"/>
      <c r="Y544" s="603"/>
      <c r="Z544" s="603"/>
    </row>
    <row r="545" spans="1:26" ht="18" customHeight="1" x14ac:dyDescent="0.2">
      <c r="A545" s="603"/>
      <c r="B545" s="603"/>
      <c r="C545" s="603"/>
      <c r="D545" s="603"/>
      <c r="E545" s="603"/>
      <c r="F545" s="603"/>
      <c r="G545" s="603"/>
      <c r="H545" s="603"/>
      <c r="I545" s="603"/>
      <c r="J545" s="603"/>
      <c r="K545" s="603"/>
      <c r="L545" s="603"/>
      <c r="M545" s="603"/>
      <c r="N545" s="603"/>
      <c r="O545" s="603"/>
      <c r="P545" s="603"/>
      <c r="Q545" s="603"/>
      <c r="R545" s="603"/>
      <c r="S545" s="603"/>
      <c r="T545" s="603"/>
      <c r="U545" s="603"/>
      <c r="V545" s="603"/>
      <c r="W545" s="603"/>
      <c r="X545" s="603"/>
      <c r="Y545" s="603"/>
      <c r="Z545" s="603"/>
    </row>
    <row r="546" spans="1:26" ht="18" customHeight="1" x14ac:dyDescent="0.2">
      <c r="A546" s="603"/>
      <c r="B546" s="603"/>
      <c r="C546" s="603"/>
      <c r="D546" s="603"/>
      <c r="E546" s="603"/>
      <c r="F546" s="603"/>
      <c r="G546" s="603"/>
      <c r="H546" s="603"/>
      <c r="I546" s="603"/>
      <c r="J546" s="603"/>
      <c r="K546" s="603"/>
      <c r="L546" s="603"/>
      <c r="M546" s="603"/>
      <c r="N546" s="603"/>
      <c r="O546" s="603"/>
      <c r="P546" s="603"/>
      <c r="Q546" s="603"/>
      <c r="R546" s="603"/>
      <c r="S546" s="603"/>
      <c r="T546" s="603"/>
      <c r="U546" s="603"/>
      <c r="V546" s="603"/>
      <c r="W546" s="603"/>
      <c r="X546" s="603"/>
      <c r="Y546" s="603"/>
      <c r="Z546" s="603"/>
    </row>
    <row r="547" spans="1:26" ht="18" customHeight="1" x14ac:dyDescent="0.2">
      <c r="A547" s="603"/>
      <c r="B547" s="603"/>
      <c r="C547" s="603"/>
      <c r="D547" s="603"/>
      <c r="E547" s="603"/>
      <c r="F547" s="603"/>
      <c r="G547" s="603"/>
      <c r="H547" s="603"/>
      <c r="I547" s="603"/>
      <c r="J547" s="603"/>
      <c r="K547" s="603"/>
      <c r="L547" s="603"/>
      <c r="M547" s="603"/>
      <c r="N547" s="603"/>
      <c r="O547" s="603"/>
      <c r="P547" s="603"/>
      <c r="Q547" s="603"/>
      <c r="R547" s="603"/>
      <c r="S547" s="603"/>
      <c r="T547" s="603"/>
      <c r="U547" s="603"/>
      <c r="V547" s="603"/>
      <c r="W547" s="603"/>
      <c r="X547" s="603"/>
      <c r="Y547" s="603"/>
      <c r="Z547" s="603"/>
    </row>
    <row r="548" spans="1:26" ht="18" customHeight="1" x14ac:dyDescent="0.2">
      <c r="A548" s="603"/>
      <c r="B548" s="603"/>
      <c r="C548" s="603"/>
      <c r="D548" s="603"/>
      <c r="E548" s="603"/>
      <c r="F548" s="603"/>
      <c r="G548" s="603"/>
      <c r="H548" s="603"/>
      <c r="I548" s="603"/>
      <c r="J548" s="603"/>
      <c r="K548" s="603"/>
      <c r="L548" s="603"/>
      <c r="M548" s="603"/>
      <c r="N548" s="603"/>
      <c r="O548" s="603"/>
      <c r="P548" s="603"/>
      <c r="Q548" s="603"/>
      <c r="R548" s="603"/>
      <c r="S548" s="603"/>
      <c r="T548" s="603"/>
      <c r="U548" s="603"/>
      <c r="V548" s="603"/>
      <c r="W548" s="603"/>
      <c r="X548" s="603"/>
      <c r="Y548" s="603"/>
      <c r="Z548" s="603"/>
    </row>
    <row r="549" spans="1:26" ht="18" customHeight="1" x14ac:dyDescent="0.2">
      <c r="A549" s="603"/>
      <c r="B549" s="603"/>
      <c r="C549" s="603"/>
      <c r="D549" s="603"/>
      <c r="E549" s="603"/>
      <c r="F549" s="603"/>
      <c r="G549" s="603"/>
      <c r="H549" s="603"/>
      <c r="I549" s="603"/>
      <c r="J549" s="603"/>
      <c r="K549" s="603"/>
      <c r="L549" s="603"/>
      <c r="M549" s="603"/>
      <c r="N549" s="603"/>
      <c r="O549" s="603"/>
      <c r="P549" s="603"/>
      <c r="Q549" s="603"/>
      <c r="R549" s="603"/>
      <c r="S549" s="603"/>
      <c r="T549" s="603"/>
      <c r="U549" s="603"/>
      <c r="V549" s="603"/>
      <c r="W549" s="603"/>
      <c r="X549" s="603"/>
      <c r="Y549" s="603"/>
      <c r="Z549" s="603"/>
    </row>
    <row r="550" spans="1:26" ht="18" customHeight="1" x14ac:dyDescent="0.2">
      <c r="A550" s="603"/>
      <c r="B550" s="603"/>
      <c r="C550" s="603"/>
      <c r="D550" s="603"/>
      <c r="E550" s="603"/>
      <c r="F550" s="603"/>
      <c r="G550" s="603"/>
      <c r="H550" s="603"/>
      <c r="I550" s="603"/>
      <c r="J550" s="603"/>
      <c r="K550" s="603"/>
      <c r="L550" s="603"/>
      <c r="M550" s="603"/>
      <c r="N550" s="603"/>
      <c r="O550" s="603"/>
      <c r="P550" s="603"/>
      <c r="Q550" s="603"/>
      <c r="R550" s="603"/>
      <c r="S550" s="603"/>
      <c r="T550" s="603"/>
      <c r="U550" s="603"/>
      <c r="V550" s="603"/>
      <c r="W550" s="603"/>
      <c r="X550" s="603"/>
      <c r="Y550" s="603"/>
      <c r="Z550" s="603"/>
    </row>
    <row r="551" spans="1:26" ht="18" customHeight="1" x14ac:dyDescent="0.2">
      <c r="A551" s="603"/>
      <c r="B551" s="603"/>
      <c r="C551" s="603"/>
      <c r="D551" s="603"/>
      <c r="E551" s="603"/>
      <c r="F551" s="603"/>
      <c r="G551" s="603"/>
      <c r="H551" s="603"/>
      <c r="I551" s="603"/>
      <c r="J551" s="603"/>
      <c r="K551" s="603"/>
      <c r="L551" s="603"/>
      <c r="M551" s="603"/>
      <c r="N551" s="603"/>
      <c r="O551" s="603"/>
      <c r="P551" s="603"/>
      <c r="Q551" s="603"/>
      <c r="R551" s="603"/>
      <c r="S551" s="603"/>
      <c r="T551" s="603"/>
      <c r="U551" s="603"/>
      <c r="V551" s="603"/>
      <c r="W551" s="603"/>
      <c r="X551" s="603"/>
      <c r="Y551" s="603"/>
      <c r="Z551" s="603"/>
    </row>
    <row r="552" spans="1:26" ht="18" customHeight="1" x14ac:dyDescent="0.2">
      <c r="A552" s="603"/>
      <c r="B552" s="603"/>
      <c r="C552" s="603"/>
      <c r="D552" s="603"/>
      <c r="E552" s="603"/>
      <c r="F552" s="603"/>
      <c r="G552" s="603"/>
      <c r="H552" s="603"/>
      <c r="I552" s="603"/>
      <c r="J552" s="603"/>
      <c r="K552" s="603"/>
      <c r="L552" s="603"/>
      <c r="M552" s="603"/>
      <c r="N552" s="603"/>
      <c r="O552" s="603"/>
      <c r="P552" s="603"/>
      <c r="Q552" s="603"/>
      <c r="R552" s="603"/>
      <c r="S552" s="603"/>
      <c r="T552" s="603"/>
      <c r="U552" s="603"/>
      <c r="V552" s="603"/>
      <c r="W552" s="603"/>
      <c r="X552" s="603"/>
      <c r="Y552" s="603"/>
      <c r="Z552" s="603"/>
    </row>
    <row r="553" spans="1:26" ht="18" customHeight="1" x14ac:dyDescent="0.2">
      <c r="A553" s="603"/>
      <c r="B553" s="603"/>
      <c r="C553" s="603"/>
      <c r="D553" s="603"/>
      <c r="E553" s="603"/>
      <c r="F553" s="603"/>
      <c r="G553" s="603"/>
      <c r="H553" s="603"/>
      <c r="I553" s="603"/>
      <c r="J553" s="603"/>
      <c r="K553" s="603"/>
      <c r="L553" s="603"/>
      <c r="M553" s="603"/>
      <c r="N553" s="603"/>
      <c r="O553" s="603"/>
      <c r="P553" s="603"/>
      <c r="Q553" s="603"/>
      <c r="R553" s="603"/>
      <c r="S553" s="603"/>
      <c r="T553" s="603"/>
      <c r="U553" s="603"/>
      <c r="V553" s="603"/>
      <c r="W553" s="603"/>
      <c r="X553" s="603"/>
      <c r="Y553" s="603"/>
      <c r="Z553" s="603"/>
    </row>
    <row r="554" spans="1:26" ht="18" customHeight="1" x14ac:dyDescent="0.2">
      <c r="A554" s="603"/>
      <c r="B554" s="603"/>
      <c r="C554" s="603"/>
      <c r="D554" s="603"/>
      <c r="E554" s="603"/>
      <c r="F554" s="603"/>
      <c r="G554" s="603"/>
      <c r="H554" s="603"/>
      <c r="I554" s="603"/>
      <c r="J554" s="603"/>
      <c r="K554" s="603"/>
      <c r="L554" s="603"/>
      <c r="M554" s="603"/>
      <c r="N554" s="603"/>
      <c r="O554" s="603"/>
      <c r="P554" s="603"/>
      <c r="Q554" s="603"/>
      <c r="R554" s="603"/>
      <c r="S554" s="603"/>
      <c r="T554" s="603"/>
      <c r="U554" s="603"/>
      <c r="V554" s="603"/>
      <c r="W554" s="603"/>
      <c r="X554" s="603"/>
      <c r="Y554" s="603"/>
      <c r="Z554" s="603"/>
    </row>
    <row r="555" spans="1:26" ht="18" customHeight="1" x14ac:dyDescent="0.2">
      <c r="A555" s="603"/>
      <c r="B555" s="603"/>
      <c r="C555" s="603"/>
      <c r="D555" s="603"/>
      <c r="E555" s="603"/>
      <c r="F555" s="603"/>
      <c r="G555" s="603"/>
      <c r="H555" s="603"/>
      <c r="I555" s="603"/>
      <c r="J555" s="603"/>
      <c r="K555" s="603"/>
      <c r="L555" s="603"/>
      <c r="M555" s="603"/>
      <c r="N555" s="603"/>
      <c r="O555" s="603"/>
      <c r="P555" s="603"/>
      <c r="Q555" s="603"/>
      <c r="R555" s="603"/>
      <c r="S555" s="603"/>
      <c r="T555" s="603"/>
      <c r="U555" s="603"/>
      <c r="V555" s="603"/>
      <c r="W555" s="603"/>
      <c r="X555" s="603"/>
      <c r="Y555" s="603"/>
      <c r="Z555" s="603"/>
    </row>
    <row r="556" spans="1:26" ht="18" customHeight="1" x14ac:dyDescent="0.2">
      <c r="A556" s="603"/>
      <c r="B556" s="603"/>
      <c r="C556" s="603"/>
      <c r="D556" s="603"/>
      <c r="E556" s="603"/>
      <c r="F556" s="603"/>
      <c r="G556" s="603"/>
      <c r="H556" s="603"/>
      <c r="I556" s="603"/>
      <c r="J556" s="603"/>
      <c r="K556" s="603"/>
      <c r="L556" s="603"/>
      <c r="M556" s="603"/>
      <c r="N556" s="603"/>
      <c r="O556" s="603"/>
      <c r="P556" s="603"/>
      <c r="Q556" s="603"/>
      <c r="R556" s="603"/>
      <c r="S556" s="603"/>
      <c r="T556" s="603"/>
      <c r="U556" s="603"/>
      <c r="V556" s="603"/>
      <c r="W556" s="603"/>
      <c r="X556" s="603"/>
      <c r="Y556" s="603"/>
      <c r="Z556" s="603"/>
    </row>
    <row r="557" spans="1:26" ht="18" customHeight="1" x14ac:dyDescent="0.2">
      <c r="A557" s="603"/>
      <c r="B557" s="603"/>
      <c r="C557" s="603"/>
      <c r="D557" s="603"/>
      <c r="E557" s="603"/>
      <c r="F557" s="603"/>
      <c r="G557" s="603"/>
      <c r="H557" s="603"/>
      <c r="I557" s="603"/>
      <c r="J557" s="603"/>
      <c r="K557" s="603"/>
      <c r="L557" s="603"/>
      <c r="M557" s="603"/>
      <c r="N557" s="603"/>
      <c r="O557" s="603"/>
      <c r="P557" s="603"/>
      <c r="Q557" s="603"/>
      <c r="R557" s="603"/>
      <c r="S557" s="603"/>
      <c r="T557" s="603"/>
      <c r="U557" s="603"/>
      <c r="V557" s="603"/>
      <c r="W557" s="603"/>
      <c r="X557" s="603"/>
      <c r="Y557" s="603"/>
      <c r="Z557" s="603"/>
    </row>
    <row r="558" spans="1:26" ht="18" customHeight="1" x14ac:dyDescent="0.2">
      <c r="A558" s="603"/>
      <c r="B558" s="603"/>
      <c r="C558" s="603"/>
      <c r="D558" s="603"/>
      <c r="E558" s="603"/>
      <c r="F558" s="603"/>
      <c r="G558" s="603"/>
      <c r="H558" s="603"/>
      <c r="I558" s="603"/>
      <c r="J558" s="603"/>
      <c r="K558" s="603"/>
      <c r="L558" s="603"/>
      <c r="M558" s="603"/>
      <c r="N558" s="603"/>
      <c r="O558" s="603"/>
      <c r="P558" s="603"/>
      <c r="Q558" s="603"/>
      <c r="R558" s="603"/>
      <c r="S558" s="603"/>
      <c r="T558" s="603"/>
      <c r="U558" s="603"/>
      <c r="V558" s="603"/>
      <c r="W558" s="603"/>
      <c r="X558" s="603"/>
      <c r="Y558" s="603"/>
      <c r="Z558" s="603"/>
    </row>
    <row r="559" spans="1:26" ht="18" customHeight="1" x14ac:dyDescent="0.2">
      <c r="A559" s="603"/>
      <c r="B559" s="603"/>
      <c r="C559" s="603"/>
      <c r="D559" s="603"/>
      <c r="E559" s="603"/>
      <c r="F559" s="603"/>
      <c r="G559" s="603"/>
      <c r="H559" s="603"/>
      <c r="I559" s="603"/>
      <c r="J559" s="603"/>
      <c r="K559" s="603"/>
      <c r="L559" s="603"/>
      <c r="M559" s="603"/>
      <c r="N559" s="603"/>
      <c r="O559" s="603"/>
      <c r="P559" s="603"/>
      <c r="Q559" s="603"/>
      <c r="R559" s="603"/>
      <c r="S559" s="603"/>
      <c r="T559" s="603"/>
      <c r="U559" s="603"/>
      <c r="V559" s="603"/>
      <c r="W559" s="603"/>
      <c r="X559" s="603"/>
      <c r="Y559" s="603"/>
      <c r="Z559" s="603"/>
    </row>
    <row r="560" spans="1:26" ht="18" customHeight="1" x14ac:dyDescent="0.2">
      <c r="A560" s="603"/>
      <c r="B560" s="603"/>
      <c r="C560" s="603"/>
      <c r="D560" s="603"/>
      <c r="E560" s="603"/>
      <c r="F560" s="603"/>
      <c r="G560" s="603"/>
      <c r="H560" s="603"/>
      <c r="I560" s="603"/>
      <c r="J560" s="603"/>
      <c r="K560" s="603"/>
      <c r="L560" s="603"/>
      <c r="M560" s="603"/>
      <c r="N560" s="603"/>
      <c r="O560" s="603"/>
      <c r="P560" s="603"/>
      <c r="Q560" s="603"/>
      <c r="R560" s="603"/>
      <c r="S560" s="603"/>
      <c r="T560" s="603"/>
      <c r="U560" s="603"/>
      <c r="V560" s="603"/>
      <c r="W560" s="603"/>
      <c r="X560" s="603"/>
      <c r="Y560" s="603"/>
      <c r="Z560" s="603"/>
    </row>
    <row r="561" spans="1:26" ht="18" customHeight="1" x14ac:dyDescent="0.2">
      <c r="A561" s="603"/>
      <c r="B561" s="603"/>
      <c r="C561" s="603"/>
      <c r="D561" s="603"/>
      <c r="E561" s="603"/>
      <c r="F561" s="603"/>
      <c r="G561" s="603"/>
      <c r="H561" s="603"/>
      <c r="I561" s="603"/>
      <c r="J561" s="603"/>
      <c r="K561" s="603"/>
      <c r="L561" s="603"/>
      <c r="M561" s="603"/>
      <c r="N561" s="603"/>
      <c r="O561" s="603"/>
      <c r="P561" s="603"/>
      <c r="Q561" s="603"/>
      <c r="R561" s="603"/>
      <c r="S561" s="603"/>
      <c r="T561" s="603"/>
      <c r="U561" s="603"/>
      <c r="V561" s="603"/>
      <c r="W561" s="603"/>
      <c r="X561" s="603"/>
      <c r="Y561" s="603"/>
      <c r="Z561" s="603"/>
    </row>
    <row r="562" spans="1:26" ht="18" customHeight="1" x14ac:dyDescent="0.2">
      <c r="A562" s="603"/>
      <c r="B562" s="603"/>
      <c r="C562" s="603"/>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row>
    <row r="563" spans="1:26" ht="18" customHeight="1" x14ac:dyDescent="0.2">
      <c r="A563" s="603"/>
      <c r="B563" s="603"/>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row>
    <row r="564" spans="1:26" ht="18" customHeight="1" x14ac:dyDescent="0.2">
      <c r="A564" s="603"/>
      <c r="B564" s="603"/>
      <c r="C564" s="603"/>
      <c r="D564" s="603"/>
      <c r="E564" s="603"/>
      <c r="F564" s="603"/>
      <c r="G564" s="603"/>
      <c r="H564" s="603"/>
      <c r="I564" s="603"/>
      <c r="J564" s="603"/>
      <c r="K564" s="603"/>
      <c r="L564" s="603"/>
      <c r="M564" s="603"/>
      <c r="N564" s="603"/>
      <c r="O564" s="603"/>
      <c r="P564" s="603"/>
      <c r="Q564" s="603"/>
      <c r="R564" s="603"/>
      <c r="S564" s="603"/>
      <c r="T564" s="603"/>
      <c r="U564" s="603"/>
      <c r="V564" s="603"/>
      <c r="W564" s="603"/>
      <c r="X564" s="603"/>
      <c r="Y564" s="603"/>
      <c r="Z564" s="603"/>
    </row>
    <row r="565" spans="1:26" ht="18" customHeight="1" x14ac:dyDescent="0.2">
      <c r="A565" s="603"/>
      <c r="B565" s="603"/>
      <c r="C565" s="603"/>
      <c r="D565" s="603"/>
      <c r="E565" s="603"/>
      <c r="F565" s="603"/>
      <c r="G565" s="603"/>
      <c r="H565" s="603"/>
      <c r="I565" s="603"/>
      <c r="J565" s="603"/>
      <c r="K565" s="603"/>
      <c r="L565" s="603"/>
      <c r="M565" s="603"/>
      <c r="N565" s="603"/>
      <c r="O565" s="603"/>
      <c r="P565" s="603"/>
      <c r="Q565" s="603"/>
      <c r="R565" s="603"/>
      <c r="S565" s="603"/>
      <c r="T565" s="603"/>
      <c r="U565" s="603"/>
      <c r="V565" s="603"/>
      <c r="W565" s="603"/>
      <c r="X565" s="603"/>
      <c r="Y565" s="603"/>
      <c r="Z565" s="603"/>
    </row>
    <row r="566" spans="1:26" ht="18" customHeight="1" x14ac:dyDescent="0.2">
      <c r="A566" s="603"/>
      <c r="B566" s="603"/>
      <c r="C566" s="603"/>
      <c r="D566" s="603"/>
      <c r="E566" s="603"/>
      <c r="F566" s="603"/>
      <c r="G566" s="603"/>
      <c r="H566" s="603"/>
      <c r="I566" s="603"/>
      <c r="J566" s="603"/>
      <c r="K566" s="603"/>
      <c r="L566" s="603"/>
      <c r="M566" s="603"/>
      <c r="N566" s="603"/>
      <c r="O566" s="603"/>
      <c r="P566" s="603"/>
      <c r="Q566" s="603"/>
      <c r="R566" s="603"/>
      <c r="S566" s="603"/>
      <c r="T566" s="603"/>
      <c r="U566" s="603"/>
      <c r="V566" s="603"/>
      <c r="W566" s="603"/>
      <c r="X566" s="603"/>
      <c r="Y566" s="603"/>
      <c r="Z566" s="603"/>
    </row>
    <row r="567" spans="1:26" ht="18" customHeight="1" x14ac:dyDescent="0.2">
      <c r="A567" s="603"/>
      <c r="B567" s="603"/>
      <c r="C567" s="603"/>
      <c r="D567" s="603"/>
      <c r="E567" s="603"/>
      <c r="F567" s="603"/>
      <c r="G567" s="603"/>
      <c r="H567" s="603"/>
      <c r="I567" s="603"/>
      <c r="J567" s="603"/>
      <c r="K567" s="603"/>
      <c r="L567" s="603"/>
      <c r="M567" s="603"/>
      <c r="N567" s="603"/>
      <c r="O567" s="603"/>
      <c r="P567" s="603"/>
      <c r="Q567" s="603"/>
      <c r="R567" s="603"/>
      <c r="S567" s="603"/>
      <c r="T567" s="603"/>
      <c r="U567" s="603"/>
      <c r="V567" s="603"/>
      <c r="W567" s="603"/>
      <c r="X567" s="603"/>
      <c r="Y567" s="603"/>
      <c r="Z567" s="603"/>
    </row>
    <row r="568" spans="1:26" ht="18" customHeight="1" x14ac:dyDescent="0.2">
      <c r="A568" s="603"/>
      <c r="B568" s="603"/>
      <c r="C568" s="603"/>
      <c r="D568" s="603"/>
      <c r="E568" s="603"/>
      <c r="F568" s="603"/>
      <c r="G568" s="603"/>
      <c r="H568" s="603"/>
      <c r="I568" s="603"/>
      <c r="J568" s="603"/>
      <c r="K568" s="603"/>
      <c r="L568" s="603"/>
      <c r="M568" s="603"/>
      <c r="N568" s="603"/>
      <c r="O568" s="603"/>
      <c r="P568" s="603"/>
      <c r="Q568" s="603"/>
      <c r="R568" s="603"/>
      <c r="S568" s="603"/>
      <c r="T568" s="603"/>
      <c r="U568" s="603"/>
      <c r="V568" s="603"/>
      <c r="W568" s="603"/>
      <c r="X568" s="603"/>
      <c r="Y568" s="603"/>
      <c r="Z568" s="603"/>
    </row>
    <row r="569" spans="1:26" ht="18" customHeight="1" x14ac:dyDescent="0.2">
      <c r="A569" s="603"/>
      <c r="B569" s="603"/>
      <c r="C569" s="603"/>
      <c r="D569" s="603"/>
      <c r="E569" s="603"/>
      <c r="F569" s="603"/>
      <c r="G569" s="603"/>
      <c r="H569" s="603"/>
      <c r="I569" s="603"/>
      <c r="J569" s="603"/>
      <c r="K569" s="603"/>
      <c r="L569" s="603"/>
      <c r="M569" s="603"/>
      <c r="N569" s="603"/>
      <c r="O569" s="603"/>
      <c r="P569" s="603"/>
      <c r="Q569" s="603"/>
      <c r="R569" s="603"/>
      <c r="S569" s="603"/>
      <c r="T569" s="603"/>
      <c r="U569" s="603"/>
      <c r="V569" s="603"/>
      <c r="W569" s="603"/>
      <c r="X569" s="603"/>
      <c r="Y569" s="603"/>
      <c r="Z569" s="603"/>
    </row>
    <row r="570" spans="1:26" ht="18" customHeight="1" x14ac:dyDescent="0.2">
      <c r="A570" s="603"/>
      <c r="B570" s="603"/>
      <c r="C570" s="603"/>
      <c r="D570" s="603"/>
      <c r="E570" s="603"/>
      <c r="F570" s="603"/>
      <c r="G570" s="603"/>
      <c r="H570" s="603"/>
      <c r="I570" s="603"/>
      <c r="J570" s="603"/>
      <c r="K570" s="603"/>
      <c r="L570" s="603"/>
      <c r="M570" s="603"/>
      <c r="N570" s="603"/>
      <c r="O570" s="603"/>
      <c r="P570" s="603"/>
      <c r="Q570" s="603"/>
      <c r="R570" s="603"/>
      <c r="S570" s="603"/>
      <c r="T570" s="603"/>
      <c r="U570" s="603"/>
      <c r="V570" s="603"/>
      <c r="W570" s="603"/>
      <c r="X570" s="603"/>
      <c r="Y570" s="603"/>
      <c r="Z570" s="603"/>
    </row>
    <row r="571" spans="1:26" ht="18" customHeight="1" x14ac:dyDescent="0.2">
      <c r="A571" s="603"/>
      <c r="B571" s="603"/>
      <c r="C571" s="603"/>
      <c r="D571" s="603"/>
      <c r="E571" s="603"/>
      <c r="F571" s="603"/>
      <c r="G571" s="603"/>
      <c r="H571" s="603"/>
      <c r="I571" s="603"/>
      <c r="J571" s="603"/>
      <c r="K571" s="603"/>
      <c r="L571" s="603"/>
      <c r="M571" s="603"/>
      <c r="N571" s="603"/>
      <c r="O571" s="603"/>
      <c r="P571" s="603"/>
      <c r="Q571" s="603"/>
      <c r="R571" s="603"/>
      <c r="S571" s="603"/>
      <c r="T571" s="603"/>
      <c r="U571" s="603"/>
      <c r="V571" s="603"/>
      <c r="W571" s="603"/>
      <c r="X571" s="603"/>
      <c r="Y571" s="603"/>
      <c r="Z571" s="603"/>
    </row>
    <row r="572" spans="1:26" ht="18" customHeight="1" x14ac:dyDescent="0.2">
      <c r="A572" s="603"/>
      <c r="B572" s="603"/>
      <c r="C572" s="603"/>
      <c r="D572" s="603"/>
      <c r="E572" s="603"/>
      <c r="F572" s="603"/>
      <c r="G572" s="603"/>
      <c r="H572" s="603"/>
      <c r="I572" s="603"/>
      <c r="J572" s="603"/>
      <c r="K572" s="603"/>
      <c r="L572" s="603"/>
      <c r="M572" s="603"/>
      <c r="N572" s="603"/>
      <c r="O572" s="603"/>
      <c r="P572" s="603"/>
      <c r="Q572" s="603"/>
      <c r="R572" s="603"/>
      <c r="S572" s="603"/>
      <c r="T572" s="603"/>
      <c r="U572" s="603"/>
      <c r="V572" s="603"/>
      <c r="W572" s="603"/>
      <c r="X572" s="603"/>
      <c r="Y572" s="603"/>
      <c r="Z572" s="603"/>
    </row>
    <row r="573" spans="1:26" ht="18" customHeight="1" x14ac:dyDescent="0.2">
      <c r="A573" s="603"/>
      <c r="B573" s="603"/>
      <c r="C573" s="603"/>
      <c r="D573" s="603"/>
      <c r="E573" s="603"/>
      <c r="F573" s="603"/>
      <c r="G573" s="603"/>
      <c r="H573" s="603"/>
      <c r="I573" s="603"/>
      <c r="J573" s="603"/>
      <c r="K573" s="603"/>
      <c r="L573" s="603"/>
      <c r="M573" s="603"/>
      <c r="N573" s="603"/>
      <c r="O573" s="603"/>
      <c r="P573" s="603"/>
      <c r="Q573" s="603"/>
      <c r="R573" s="603"/>
      <c r="S573" s="603"/>
      <c r="T573" s="603"/>
      <c r="U573" s="603"/>
      <c r="V573" s="603"/>
      <c r="W573" s="603"/>
      <c r="X573" s="603"/>
      <c r="Y573" s="603"/>
      <c r="Z573" s="603"/>
    </row>
    <row r="574" spans="1:26" ht="18" customHeight="1" x14ac:dyDescent="0.2">
      <c r="A574" s="603"/>
      <c r="B574" s="603"/>
      <c r="C574" s="603"/>
      <c r="D574" s="603"/>
      <c r="E574" s="603"/>
      <c r="F574" s="603"/>
      <c r="G574" s="603"/>
      <c r="H574" s="603"/>
      <c r="I574" s="603"/>
      <c r="J574" s="603"/>
      <c r="K574" s="603"/>
      <c r="L574" s="603"/>
      <c r="M574" s="603"/>
      <c r="N574" s="603"/>
      <c r="O574" s="603"/>
      <c r="P574" s="603"/>
      <c r="Q574" s="603"/>
      <c r="R574" s="603"/>
      <c r="S574" s="603"/>
      <c r="T574" s="603"/>
      <c r="U574" s="603"/>
      <c r="V574" s="603"/>
      <c r="W574" s="603"/>
      <c r="X574" s="603"/>
      <c r="Y574" s="603"/>
      <c r="Z574" s="603"/>
    </row>
    <row r="575" spans="1:26" ht="18" customHeight="1" x14ac:dyDescent="0.2">
      <c r="A575" s="603"/>
      <c r="B575" s="603"/>
      <c r="C575" s="603"/>
      <c r="D575" s="603"/>
      <c r="E575" s="603"/>
      <c r="F575" s="603"/>
      <c r="G575" s="603"/>
      <c r="H575" s="603"/>
      <c r="I575" s="603"/>
      <c r="J575" s="603"/>
      <c r="K575" s="603"/>
      <c r="L575" s="603"/>
      <c r="M575" s="603"/>
      <c r="N575" s="603"/>
      <c r="O575" s="603"/>
      <c r="P575" s="603"/>
      <c r="Q575" s="603"/>
      <c r="R575" s="603"/>
      <c r="S575" s="603"/>
      <c r="T575" s="603"/>
      <c r="U575" s="603"/>
      <c r="V575" s="603"/>
      <c r="W575" s="603"/>
      <c r="X575" s="603"/>
      <c r="Y575" s="603"/>
      <c r="Z575" s="603"/>
    </row>
    <row r="576" spans="1:26" ht="18" customHeight="1" x14ac:dyDescent="0.2">
      <c r="A576" s="603"/>
      <c r="B576" s="603"/>
      <c r="C576" s="603"/>
      <c r="D576" s="603"/>
      <c r="E576" s="603"/>
      <c r="F576" s="603"/>
      <c r="G576" s="603"/>
      <c r="H576" s="603"/>
      <c r="I576" s="603"/>
      <c r="J576" s="603"/>
      <c r="K576" s="603"/>
      <c r="L576" s="603"/>
      <c r="M576" s="603"/>
      <c r="N576" s="603"/>
      <c r="O576" s="603"/>
      <c r="P576" s="603"/>
      <c r="Q576" s="603"/>
      <c r="R576" s="603"/>
      <c r="S576" s="603"/>
      <c r="T576" s="603"/>
      <c r="U576" s="603"/>
      <c r="V576" s="603"/>
      <c r="W576" s="603"/>
      <c r="X576" s="603"/>
      <c r="Y576" s="603"/>
      <c r="Z576" s="603"/>
    </row>
    <row r="577" spans="1:26" ht="18" customHeight="1" x14ac:dyDescent="0.2">
      <c r="A577" s="603"/>
      <c r="B577" s="603"/>
      <c r="C577" s="603"/>
      <c r="D577" s="603"/>
      <c r="E577" s="603"/>
      <c r="F577" s="603"/>
      <c r="G577" s="603"/>
      <c r="H577" s="603"/>
      <c r="I577" s="603"/>
      <c r="J577" s="603"/>
      <c r="K577" s="603"/>
      <c r="L577" s="603"/>
      <c r="M577" s="603"/>
      <c r="N577" s="603"/>
      <c r="O577" s="603"/>
      <c r="P577" s="603"/>
      <c r="Q577" s="603"/>
      <c r="R577" s="603"/>
      <c r="S577" s="603"/>
      <c r="T577" s="603"/>
      <c r="U577" s="603"/>
      <c r="V577" s="603"/>
      <c r="W577" s="603"/>
      <c r="X577" s="603"/>
      <c r="Y577" s="603"/>
      <c r="Z577" s="603"/>
    </row>
    <row r="578" spans="1:26" ht="18" customHeight="1" x14ac:dyDescent="0.2">
      <c r="A578" s="603"/>
      <c r="B578" s="603"/>
      <c r="C578" s="603"/>
      <c r="D578" s="603"/>
      <c r="E578" s="603"/>
      <c r="F578" s="603"/>
      <c r="G578" s="603"/>
      <c r="H578" s="603"/>
      <c r="I578" s="603"/>
      <c r="J578" s="603"/>
      <c r="K578" s="603"/>
      <c r="L578" s="603"/>
      <c r="M578" s="603"/>
      <c r="N578" s="603"/>
      <c r="O578" s="603"/>
      <c r="P578" s="603"/>
      <c r="Q578" s="603"/>
      <c r="R578" s="603"/>
      <c r="S578" s="603"/>
      <c r="T578" s="603"/>
      <c r="U578" s="603"/>
      <c r="V578" s="603"/>
      <c r="W578" s="603"/>
      <c r="X578" s="603"/>
      <c r="Y578" s="603"/>
      <c r="Z578" s="603"/>
    </row>
    <row r="579" spans="1:26" ht="18" customHeight="1" x14ac:dyDescent="0.2">
      <c r="A579" s="603"/>
      <c r="B579" s="603"/>
      <c r="C579" s="603"/>
      <c r="D579" s="603"/>
      <c r="E579" s="603"/>
      <c r="F579" s="603"/>
      <c r="G579" s="603"/>
      <c r="H579" s="603"/>
      <c r="I579" s="603"/>
      <c r="J579" s="603"/>
      <c r="K579" s="603"/>
      <c r="L579" s="603"/>
      <c r="M579" s="603"/>
      <c r="N579" s="603"/>
      <c r="O579" s="603"/>
      <c r="P579" s="603"/>
      <c r="Q579" s="603"/>
      <c r="R579" s="603"/>
      <c r="S579" s="603"/>
      <c r="T579" s="603"/>
      <c r="U579" s="603"/>
      <c r="V579" s="603"/>
      <c r="W579" s="603"/>
      <c r="X579" s="603"/>
      <c r="Y579" s="603"/>
      <c r="Z579" s="603"/>
    </row>
    <row r="580" spans="1:26" ht="18" customHeight="1" x14ac:dyDescent="0.2">
      <c r="A580" s="603"/>
      <c r="B580" s="603"/>
      <c r="C580" s="603"/>
      <c r="D580" s="603"/>
      <c r="E580" s="603"/>
      <c r="F580" s="603"/>
      <c r="G580" s="603"/>
      <c r="H580" s="603"/>
      <c r="I580" s="603"/>
      <c r="J580" s="603"/>
      <c r="K580" s="603"/>
      <c r="L580" s="603"/>
      <c r="M580" s="603"/>
      <c r="N580" s="603"/>
      <c r="O580" s="603"/>
      <c r="P580" s="603"/>
      <c r="Q580" s="603"/>
      <c r="R580" s="603"/>
      <c r="S580" s="603"/>
      <c r="T580" s="603"/>
      <c r="U580" s="603"/>
      <c r="V580" s="603"/>
      <c r="W580" s="603"/>
      <c r="X580" s="603"/>
      <c r="Y580" s="603"/>
      <c r="Z580" s="603"/>
    </row>
    <row r="581" spans="1:26" ht="18" customHeight="1" x14ac:dyDescent="0.2">
      <c r="A581" s="603"/>
      <c r="B581" s="603"/>
      <c r="C581" s="603"/>
      <c r="D581" s="603"/>
      <c r="E581" s="603"/>
      <c r="F581" s="603"/>
      <c r="G581" s="603"/>
      <c r="H581" s="603"/>
      <c r="I581" s="603"/>
      <c r="J581" s="603"/>
      <c r="K581" s="603"/>
      <c r="L581" s="603"/>
      <c r="M581" s="603"/>
      <c r="N581" s="603"/>
      <c r="O581" s="603"/>
      <c r="P581" s="603"/>
      <c r="Q581" s="603"/>
      <c r="R581" s="603"/>
      <c r="S581" s="603"/>
      <c r="T581" s="603"/>
      <c r="U581" s="603"/>
      <c r="V581" s="603"/>
      <c r="W581" s="603"/>
      <c r="X581" s="603"/>
      <c r="Y581" s="603"/>
      <c r="Z581" s="603"/>
    </row>
    <row r="582" spans="1:26" ht="18" customHeight="1" x14ac:dyDescent="0.2">
      <c r="A582" s="603"/>
      <c r="B582" s="603"/>
      <c r="C582" s="603"/>
      <c r="D582" s="603"/>
      <c r="E582" s="603"/>
      <c r="F582" s="603"/>
      <c r="G582" s="603"/>
      <c r="H582" s="603"/>
      <c r="I582" s="603"/>
      <c r="J582" s="603"/>
      <c r="K582" s="603"/>
      <c r="L582" s="603"/>
      <c r="M582" s="603"/>
      <c r="N582" s="603"/>
      <c r="O582" s="603"/>
      <c r="P582" s="603"/>
      <c r="Q582" s="603"/>
      <c r="R582" s="603"/>
      <c r="S582" s="603"/>
      <c r="T582" s="603"/>
      <c r="U582" s="603"/>
      <c r="V582" s="603"/>
      <c r="W582" s="603"/>
      <c r="X582" s="603"/>
      <c r="Y582" s="603"/>
      <c r="Z582" s="603"/>
    </row>
    <row r="583" spans="1:26" ht="18" customHeight="1" x14ac:dyDescent="0.2">
      <c r="A583" s="603"/>
      <c r="B583" s="603"/>
      <c r="C583" s="603"/>
      <c r="D583" s="603"/>
      <c r="E583" s="603"/>
      <c r="F583" s="603"/>
      <c r="G583" s="603"/>
      <c r="H583" s="603"/>
      <c r="I583" s="603"/>
      <c r="J583" s="603"/>
      <c r="K583" s="603"/>
      <c r="L583" s="603"/>
      <c r="M583" s="603"/>
      <c r="N583" s="603"/>
      <c r="O583" s="603"/>
      <c r="P583" s="603"/>
      <c r="Q583" s="603"/>
      <c r="R583" s="603"/>
      <c r="S583" s="603"/>
      <c r="T583" s="603"/>
      <c r="U583" s="603"/>
      <c r="V583" s="603"/>
      <c r="W583" s="603"/>
      <c r="X583" s="603"/>
      <c r="Y583" s="603"/>
      <c r="Z583" s="603"/>
    </row>
    <row r="584" spans="1:26" ht="18" customHeight="1" x14ac:dyDescent="0.2">
      <c r="A584" s="603"/>
      <c r="B584" s="603"/>
      <c r="C584" s="603"/>
      <c r="D584" s="603"/>
      <c r="E584" s="603"/>
      <c r="F584" s="603"/>
      <c r="G584" s="603"/>
      <c r="H584" s="603"/>
      <c r="I584" s="603"/>
      <c r="J584" s="603"/>
      <c r="K584" s="603"/>
      <c r="L584" s="603"/>
      <c r="M584" s="603"/>
      <c r="N584" s="603"/>
      <c r="O584" s="603"/>
      <c r="P584" s="603"/>
      <c r="Q584" s="603"/>
      <c r="R584" s="603"/>
      <c r="S584" s="603"/>
      <c r="T584" s="603"/>
      <c r="U584" s="603"/>
      <c r="V584" s="603"/>
      <c r="W584" s="603"/>
      <c r="X584" s="603"/>
      <c r="Y584" s="603"/>
      <c r="Z584" s="603"/>
    </row>
    <row r="585" spans="1:26" ht="18" customHeight="1" x14ac:dyDescent="0.2">
      <c r="A585" s="603"/>
      <c r="B585" s="603"/>
      <c r="C585" s="603"/>
      <c r="D585" s="603"/>
      <c r="E585" s="603"/>
      <c r="F585" s="603"/>
      <c r="G585" s="603"/>
      <c r="H585" s="603"/>
      <c r="I585" s="603"/>
      <c r="J585" s="603"/>
      <c r="K585" s="603"/>
      <c r="L585" s="603"/>
      <c r="M585" s="603"/>
      <c r="N585" s="603"/>
      <c r="O585" s="603"/>
      <c r="P585" s="603"/>
      <c r="Q585" s="603"/>
      <c r="R585" s="603"/>
      <c r="S585" s="603"/>
      <c r="T585" s="603"/>
      <c r="U585" s="603"/>
      <c r="V585" s="603"/>
      <c r="W585" s="603"/>
      <c r="X585" s="603"/>
      <c r="Y585" s="603"/>
      <c r="Z585" s="603"/>
    </row>
    <row r="586" spans="1:26" ht="18" customHeight="1" x14ac:dyDescent="0.2">
      <c r="A586" s="603"/>
      <c r="B586" s="603"/>
      <c r="C586" s="603"/>
      <c r="D586" s="603"/>
      <c r="E586" s="603"/>
      <c r="F586" s="603"/>
      <c r="G586" s="603"/>
      <c r="H586" s="603"/>
      <c r="I586" s="603"/>
      <c r="J586" s="603"/>
      <c r="K586" s="603"/>
      <c r="L586" s="603"/>
      <c r="M586" s="603"/>
      <c r="N586" s="603"/>
      <c r="O586" s="603"/>
      <c r="P586" s="603"/>
      <c r="Q586" s="603"/>
      <c r="R586" s="603"/>
      <c r="S586" s="603"/>
      <c r="T586" s="603"/>
      <c r="U586" s="603"/>
      <c r="V586" s="603"/>
      <c r="W586" s="603"/>
      <c r="X586" s="603"/>
      <c r="Y586" s="603"/>
      <c r="Z586" s="603"/>
    </row>
    <row r="587" spans="1:26" ht="18" customHeight="1" x14ac:dyDescent="0.2">
      <c r="A587" s="603"/>
      <c r="B587" s="603"/>
      <c r="C587" s="603"/>
      <c r="D587" s="603"/>
      <c r="E587" s="603"/>
      <c r="F587" s="603"/>
      <c r="G587" s="603"/>
      <c r="H587" s="603"/>
      <c r="I587" s="603"/>
      <c r="J587" s="603"/>
      <c r="K587" s="603"/>
      <c r="L587" s="603"/>
      <c r="M587" s="603"/>
      <c r="N587" s="603"/>
      <c r="O587" s="603"/>
      <c r="P587" s="603"/>
      <c r="Q587" s="603"/>
      <c r="R587" s="603"/>
      <c r="S587" s="603"/>
      <c r="T587" s="603"/>
      <c r="U587" s="603"/>
      <c r="V587" s="603"/>
      <c r="W587" s="603"/>
      <c r="X587" s="603"/>
      <c r="Y587" s="603"/>
      <c r="Z587" s="603"/>
    </row>
    <row r="588" spans="1:26" ht="18" customHeight="1" x14ac:dyDescent="0.2">
      <c r="A588" s="603"/>
      <c r="B588" s="603"/>
      <c r="C588" s="603"/>
      <c r="D588" s="603"/>
      <c r="E588" s="603"/>
      <c r="F588" s="603"/>
      <c r="G588" s="603"/>
      <c r="H588" s="603"/>
      <c r="I588" s="603"/>
      <c r="J588" s="603"/>
      <c r="K588" s="603"/>
      <c r="L588" s="603"/>
      <c r="M588" s="603"/>
      <c r="N588" s="603"/>
      <c r="O588" s="603"/>
      <c r="P588" s="603"/>
      <c r="Q588" s="603"/>
      <c r="R588" s="603"/>
      <c r="S588" s="603"/>
      <c r="T588" s="603"/>
      <c r="U588" s="603"/>
      <c r="V588" s="603"/>
      <c r="W588" s="603"/>
      <c r="X588" s="603"/>
      <c r="Y588" s="603"/>
      <c r="Z588" s="603"/>
    </row>
    <row r="589" spans="1:26" ht="18" customHeight="1" x14ac:dyDescent="0.2">
      <c r="A589" s="603"/>
      <c r="B589" s="603"/>
      <c r="C589" s="603"/>
      <c r="D589" s="603"/>
      <c r="E589" s="603"/>
      <c r="F589" s="603"/>
      <c r="G589" s="603"/>
      <c r="H589" s="603"/>
      <c r="I589" s="603"/>
      <c r="J589" s="603"/>
      <c r="K589" s="603"/>
      <c r="L589" s="603"/>
      <c r="M589" s="603"/>
      <c r="N589" s="603"/>
      <c r="O589" s="603"/>
      <c r="P589" s="603"/>
      <c r="Q589" s="603"/>
      <c r="R589" s="603"/>
      <c r="S589" s="603"/>
      <c r="T589" s="603"/>
      <c r="U589" s="603"/>
      <c r="V589" s="603"/>
      <c r="W589" s="603"/>
      <c r="X589" s="603"/>
      <c r="Y589" s="603"/>
      <c r="Z589" s="603"/>
    </row>
    <row r="590" spans="1:26" ht="18" customHeight="1" x14ac:dyDescent="0.2">
      <c r="A590" s="603"/>
      <c r="B590" s="603"/>
      <c r="C590" s="603"/>
      <c r="D590" s="603"/>
      <c r="E590" s="603"/>
      <c r="F590" s="603"/>
      <c r="G590" s="603"/>
      <c r="H590" s="603"/>
      <c r="I590" s="603"/>
      <c r="J590" s="603"/>
      <c r="K590" s="603"/>
      <c r="L590" s="603"/>
      <c r="M590" s="603"/>
      <c r="N590" s="603"/>
      <c r="O590" s="603"/>
      <c r="P590" s="603"/>
      <c r="Q590" s="603"/>
      <c r="R590" s="603"/>
      <c r="S590" s="603"/>
      <c r="T590" s="603"/>
      <c r="U590" s="603"/>
      <c r="V590" s="603"/>
      <c r="W590" s="603"/>
      <c r="X590" s="603"/>
      <c r="Y590" s="603"/>
      <c r="Z590" s="603"/>
    </row>
    <row r="591" spans="1:26" ht="18" customHeight="1" x14ac:dyDescent="0.2">
      <c r="A591" s="603"/>
      <c r="B591" s="603"/>
      <c r="C591" s="603"/>
      <c r="D591" s="603"/>
      <c r="E591" s="603"/>
      <c r="F591" s="603"/>
      <c r="G591" s="603"/>
      <c r="H591" s="603"/>
      <c r="I591" s="603"/>
      <c r="J591" s="603"/>
      <c r="K591" s="603"/>
      <c r="L591" s="603"/>
      <c r="M591" s="603"/>
      <c r="N591" s="603"/>
      <c r="O591" s="603"/>
      <c r="P591" s="603"/>
      <c r="Q591" s="603"/>
      <c r="R591" s="603"/>
      <c r="S591" s="603"/>
      <c r="T591" s="603"/>
      <c r="U591" s="603"/>
      <c r="V591" s="603"/>
      <c r="W591" s="603"/>
      <c r="X591" s="603"/>
      <c r="Y591" s="603"/>
      <c r="Z591" s="603"/>
    </row>
    <row r="592" spans="1:26" ht="18" customHeight="1" x14ac:dyDescent="0.2">
      <c r="A592" s="603"/>
      <c r="B592" s="603"/>
      <c r="C592" s="603"/>
      <c r="D592" s="603"/>
      <c r="E592" s="603"/>
      <c r="F592" s="603"/>
      <c r="G592" s="603"/>
      <c r="H592" s="603"/>
      <c r="I592" s="603"/>
      <c r="J592" s="603"/>
      <c r="K592" s="603"/>
      <c r="L592" s="603"/>
      <c r="M592" s="603"/>
      <c r="N592" s="603"/>
      <c r="O592" s="603"/>
      <c r="P592" s="603"/>
      <c r="Q592" s="603"/>
      <c r="R592" s="603"/>
      <c r="S592" s="603"/>
      <c r="T592" s="603"/>
      <c r="U592" s="603"/>
      <c r="V592" s="603"/>
      <c r="W592" s="603"/>
      <c r="X592" s="603"/>
      <c r="Y592" s="603"/>
      <c r="Z592" s="603"/>
    </row>
    <row r="593" spans="1:26" ht="18" customHeight="1" x14ac:dyDescent="0.2">
      <c r="A593" s="603"/>
      <c r="B593" s="603"/>
      <c r="C593" s="603"/>
      <c r="D593" s="603"/>
      <c r="E593" s="603"/>
      <c r="F593" s="603"/>
      <c r="G593" s="603"/>
      <c r="H593" s="603"/>
      <c r="I593" s="603"/>
      <c r="J593" s="603"/>
      <c r="K593" s="603"/>
      <c r="L593" s="603"/>
      <c r="M593" s="603"/>
      <c r="N593" s="603"/>
      <c r="O593" s="603"/>
      <c r="P593" s="603"/>
      <c r="Q593" s="603"/>
      <c r="R593" s="603"/>
      <c r="S593" s="603"/>
      <c r="T593" s="603"/>
      <c r="U593" s="603"/>
      <c r="V593" s="603"/>
      <c r="W593" s="603"/>
      <c r="X593" s="603"/>
      <c r="Y593" s="603"/>
      <c r="Z593" s="603"/>
    </row>
    <row r="594" spans="1:26" ht="18" customHeight="1" x14ac:dyDescent="0.2">
      <c r="A594" s="603"/>
      <c r="B594" s="603"/>
      <c r="C594" s="603"/>
      <c r="D594" s="603"/>
      <c r="E594" s="603"/>
      <c r="F594" s="603"/>
      <c r="G594" s="603"/>
      <c r="H594" s="603"/>
      <c r="I594" s="603"/>
      <c r="J594" s="603"/>
      <c r="K594" s="603"/>
      <c r="L594" s="603"/>
      <c r="M594" s="603"/>
      <c r="N594" s="603"/>
      <c r="O594" s="603"/>
      <c r="P594" s="603"/>
      <c r="Q594" s="603"/>
      <c r="R594" s="603"/>
      <c r="S594" s="603"/>
      <c r="T594" s="603"/>
      <c r="U594" s="603"/>
      <c r="V594" s="603"/>
      <c r="W594" s="603"/>
      <c r="X594" s="603"/>
      <c r="Y594" s="603"/>
      <c r="Z594" s="603"/>
    </row>
    <row r="595" spans="1:26" ht="18" customHeight="1" x14ac:dyDescent="0.2">
      <c r="A595" s="603"/>
      <c r="B595" s="603"/>
      <c r="C595" s="603"/>
      <c r="D595" s="603"/>
      <c r="E595" s="603"/>
      <c r="F595" s="603"/>
      <c r="G595" s="603"/>
      <c r="H595" s="603"/>
      <c r="I595" s="603"/>
      <c r="J595" s="603"/>
      <c r="K595" s="603"/>
      <c r="L595" s="603"/>
      <c r="M595" s="603"/>
      <c r="N595" s="603"/>
      <c r="O595" s="603"/>
      <c r="P595" s="603"/>
      <c r="Q595" s="603"/>
      <c r="R595" s="603"/>
      <c r="S595" s="603"/>
      <c r="T595" s="603"/>
      <c r="U595" s="603"/>
      <c r="V595" s="603"/>
      <c r="W595" s="603"/>
      <c r="X595" s="603"/>
      <c r="Y595" s="603"/>
      <c r="Z595" s="603"/>
    </row>
    <row r="596" spans="1:26" ht="18" customHeight="1" x14ac:dyDescent="0.2">
      <c r="A596" s="603"/>
      <c r="B596" s="603"/>
      <c r="C596" s="603"/>
      <c r="D596" s="603"/>
      <c r="E596" s="603"/>
      <c r="F596" s="603"/>
      <c r="G596" s="603"/>
      <c r="H596" s="603"/>
      <c r="I596" s="603"/>
      <c r="J596" s="603"/>
      <c r="K596" s="603"/>
      <c r="L596" s="603"/>
      <c r="M596" s="603"/>
      <c r="N596" s="603"/>
      <c r="O596" s="603"/>
      <c r="P596" s="603"/>
      <c r="Q596" s="603"/>
      <c r="R596" s="603"/>
      <c r="S596" s="603"/>
      <c r="T596" s="603"/>
      <c r="U596" s="603"/>
      <c r="V596" s="603"/>
      <c r="W596" s="603"/>
      <c r="X596" s="603"/>
      <c r="Y596" s="603"/>
      <c r="Z596" s="603"/>
    </row>
    <row r="597" spans="1:26" ht="18" customHeight="1" x14ac:dyDescent="0.2">
      <c r="A597" s="603"/>
      <c r="B597" s="603"/>
      <c r="C597" s="603"/>
      <c r="D597" s="603"/>
      <c r="E597" s="603"/>
      <c r="F597" s="603"/>
      <c r="G597" s="603"/>
      <c r="H597" s="603"/>
      <c r="I597" s="603"/>
      <c r="J597" s="603"/>
      <c r="K597" s="603"/>
      <c r="L597" s="603"/>
      <c r="M597" s="603"/>
      <c r="N597" s="603"/>
      <c r="O597" s="603"/>
      <c r="P597" s="603"/>
      <c r="Q597" s="603"/>
      <c r="R597" s="603"/>
      <c r="S597" s="603"/>
      <c r="T597" s="603"/>
      <c r="U597" s="603"/>
      <c r="V597" s="603"/>
      <c r="W597" s="603"/>
      <c r="X597" s="603"/>
      <c r="Y597" s="603"/>
      <c r="Z597" s="603"/>
    </row>
    <row r="598" spans="1:26" ht="18" customHeight="1" x14ac:dyDescent="0.2">
      <c r="A598" s="603"/>
      <c r="B598" s="603"/>
      <c r="C598" s="603"/>
      <c r="D598" s="603"/>
      <c r="E598" s="603"/>
      <c r="F598" s="603"/>
      <c r="G598" s="603"/>
      <c r="H598" s="603"/>
      <c r="I598" s="603"/>
      <c r="J598" s="603"/>
      <c r="K598" s="603"/>
      <c r="L598" s="603"/>
      <c r="M598" s="603"/>
      <c r="N598" s="603"/>
      <c r="O598" s="603"/>
      <c r="P598" s="603"/>
      <c r="Q598" s="603"/>
      <c r="R598" s="603"/>
      <c r="S598" s="603"/>
      <c r="T598" s="603"/>
      <c r="U598" s="603"/>
      <c r="V598" s="603"/>
      <c r="W598" s="603"/>
      <c r="X598" s="603"/>
      <c r="Y598" s="603"/>
      <c r="Z598" s="603"/>
    </row>
    <row r="599" spans="1:26" ht="18" customHeight="1" x14ac:dyDescent="0.2">
      <c r="A599" s="603"/>
      <c r="B599" s="603"/>
      <c r="C599" s="603"/>
      <c r="D599" s="603"/>
      <c r="E599" s="603"/>
      <c r="F599" s="603"/>
      <c r="G599" s="603"/>
      <c r="H599" s="603"/>
      <c r="I599" s="603"/>
      <c r="J599" s="603"/>
      <c r="K599" s="603"/>
      <c r="L599" s="603"/>
      <c r="M599" s="603"/>
      <c r="N599" s="603"/>
      <c r="O599" s="603"/>
      <c r="P599" s="603"/>
      <c r="Q599" s="603"/>
      <c r="R599" s="603"/>
      <c r="S599" s="603"/>
      <c r="T599" s="603"/>
      <c r="U599" s="603"/>
      <c r="V599" s="603"/>
      <c r="W599" s="603"/>
      <c r="X599" s="603"/>
      <c r="Y599" s="603"/>
      <c r="Z599" s="603"/>
    </row>
    <row r="600" spans="1:26" ht="18" customHeight="1" x14ac:dyDescent="0.2">
      <c r="A600" s="603"/>
      <c r="B600" s="603"/>
      <c r="C600" s="603"/>
      <c r="D600" s="603"/>
      <c r="E600" s="603"/>
      <c r="F600" s="603"/>
      <c r="G600" s="603"/>
      <c r="H600" s="603"/>
      <c r="I600" s="603"/>
      <c r="J600" s="603"/>
      <c r="K600" s="603"/>
      <c r="L600" s="603"/>
      <c r="M600" s="603"/>
      <c r="N600" s="603"/>
      <c r="O600" s="603"/>
      <c r="P600" s="603"/>
      <c r="Q600" s="603"/>
      <c r="R600" s="603"/>
      <c r="S600" s="603"/>
      <c r="T600" s="603"/>
      <c r="U600" s="603"/>
      <c r="V600" s="603"/>
      <c r="W600" s="603"/>
      <c r="X600" s="603"/>
      <c r="Y600" s="603"/>
      <c r="Z600" s="603"/>
    </row>
    <row r="601" spans="1:26" ht="18" customHeight="1" x14ac:dyDescent="0.2">
      <c r="A601" s="603"/>
      <c r="B601" s="603"/>
      <c r="C601" s="603"/>
      <c r="D601" s="603"/>
      <c r="E601" s="603"/>
      <c r="F601" s="603"/>
      <c r="G601" s="603"/>
      <c r="H601" s="603"/>
      <c r="I601" s="603"/>
      <c r="J601" s="603"/>
      <c r="K601" s="603"/>
      <c r="L601" s="603"/>
      <c r="M601" s="603"/>
      <c r="N601" s="603"/>
      <c r="O601" s="603"/>
      <c r="P601" s="603"/>
      <c r="Q601" s="603"/>
      <c r="R601" s="603"/>
      <c r="S601" s="603"/>
      <c r="T601" s="603"/>
      <c r="U601" s="603"/>
      <c r="V601" s="603"/>
      <c r="W601" s="603"/>
      <c r="X601" s="603"/>
      <c r="Y601" s="603"/>
      <c r="Z601" s="603"/>
    </row>
    <row r="602" spans="1:26" ht="18" customHeight="1" x14ac:dyDescent="0.2">
      <c r="A602" s="603"/>
      <c r="B602" s="603"/>
      <c r="C602" s="603"/>
      <c r="D602" s="603"/>
      <c r="E602" s="603"/>
      <c r="F602" s="603"/>
      <c r="G602" s="603"/>
      <c r="H602" s="603"/>
      <c r="I602" s="603"/>
      <c r="J602" s="603"/>
      <c r="K602" s="603"/>
      <c r="L602" s="603"/>
      <c r="M602" s="603"/>
      <c r="N602" s="603"/>
      <c r="O602" s="603"/>
      <c r="P602" s="603"/>
      <c r="Q602" s="603"/>
      <c r="R602" s="603"/>
      <c r="S602" s="603"/>
      <c r="T602" s="603"/>
      <c r="U602" s="603"/>
      <c r="V602" s="603"/>
      <c r="W602" s="603"/>
      <c r="X602" s="603"/>
      <c r="Y602" s="603"/>
      <c r="Z602" s="603"/>
    </row>
    <row r="603" spans="1:26" ht="18" customHeight="1" x14ac:dyDescent="0.2">
      <c r="A603" s="603"/>
      <c r="B603" s="603"/>
      <c r="C603" s="603"/>
      <c r="D603" s="603"/>
      <c r="E603" s="603"/>
      <c r="F603" s="603"/>
      <c r="G603" s="603"/>
      <c r="H603" s="603"/>
      <c r="I603" s="603"/>
      <c r="J603" s="603"/>
      <c r="K603" s="603"/>
      <c r="L603" s="603"/>
      <c r="M603" s="603"/>
      <c r="N603" s="603"/>
      <c r="O603" s="603"/>
      <c r="P603" s="603"/>
      <c r="Q603" s="603"/>
      <c r="R603" s="603"/>
      <c r="S603" s="603"/>
      <c r="T603" s="603"/>
      <c r="U603" s="603"/>
      <c r="V603" s="603"/>
      <c r="W603" s="603"/>
      <c r="X603" s="603"/>
      <c r="Y603" s="603"/>
      <c r="Z603" s="603"/>
    </row>
    <row r="604" spans="1:26" ht="18" customHeight="1" x14ac:dyDescent="0.2">
      <c r="A604" s="603"/>
      <c r="B604" s="603"/>
      <c r="C604" s="603"/>
      <c r="D604" s="603"/>
      <c r="E604" s="603"/>
      <c r="F604" s="603"/>
      <c r="G604" s="603"/>
      <c r="H604" s="603"/>
      <c r="I604" s="603"/>
      <c r="J604" s="603"/>
      <c r="K604" s="603"/>
      <c r="L604" s="603"/>
      <c r="M604" s="603"/>
      <c r="N604" s="603"/>
      <c r="O604" s="603"/>
      <c r="P604" s="603"/>
      <c r="Q604" s="603"/>
      <c r="R604" s="603"/>
      <c r="S604" s="603"/>
      <c r="T604" s="603"/>
      <c r="U604" s="603"/>
      <c r="V604" s="603"/>
      <c r="W604" s="603"/>
      <c r="X604" s="603"/>
      <c r="Y604" s="603"/>
      <c r="Z604" s="603"/>
    </row>
    <row r="605" spans="1:26" ht="18" customHeight="1" x14ac:dyDescent="0.2">
      <c r="A605" s="603"/>
      <c r="B605" s="603"/>
      <c r="C605" s="603"/>
      <c r="D605" s="603"/>
      <c r="E605" s="603"/>
      <c r="F605" s="603"/>
      <c r="G605" s="603"/>
      <c r="H605" s="603"/>
      <c r="I605" s="603"/>
      <c r="J605" s="603"/>
      <c r="K605" s="603"/>
      <c r="L605" s="603"/>
      <c r="M605" s="603"/>
      <c r="N605" s="603"/>
      <c r="O605" s="603"/>
      <c r="P605" s="603"/>
      <c r="Q605" s="603"/>
      <c r="R605" s="603"/>
      <c r="S605" s="603"/>
      <c r="T605" s="603"/>
      <c r="U605" s="603"/>
      <c r="V605" s="603"/>
      <c r="W605" s="603"/>
      <c r="X605" s="603"/>
      <c r="Y605" s="603"/>
      <c r="Z605" s="603"/>
    </row>
    <row r="606" spans="1:26" ht="18" customHeight="1" x14ac:dyDescent="0.2">
      <c r="A606" s="603"/>
      <c r="B606" s="603"/>
      <c r="C606" s="603"/>
      <c r="D606" s="603"/>
      <c r="E606" s="603"/>
      <c r="F606" s="603"/>
      <c r="G606" s="603"/>
      <c r="H606" s="603"/>
      <c r="I606" s="603"/>
      <c r="J606" s="603"/>
      <c r="K606" s="603"/>
      <c r="L606" s="603"/>
      <c r="M606" s="603"/>
      <c r="N606" s="603"/>
      <c r="O606" s="603"/>
      <c r="P606" s="603"/>
      <c r="Q606" s="603"/>
      <c r="R606" s="603"/>
      <c r="S606" s="603"/>
      <c r="T606" s="603"/>
      <c r="U606" s="603"/>
      <c r="V606" s="603"/>
      <c r="W606" s="603"/>
      <c r="X606" s="603"/>
      <c r="Y606" s="603"/>
      <c r="Z606" s="603"/>
    </row>
    <row r="607" spans="1:26" ht="18" customHeight="1" x14ac:dyDescent="0.2">
      <c r="A607" s="603"/>
      <c r="B607" s="603"/>
      <c r="C607" s="603"/>
      <c r="D607" s="603"/>
      <c r="E607" s="603"/>
      <c r="F607" s="603"/>
      <c r="G607" s="603"/>
      <c r="H607" s="603"/>
      <c r="I607" s="603"/>
      <c r="J607" s="603"/>
      <c r="K607" s="603"/>
      <c r="L607" s="603"/>
      <c r="M607" s="603"/>
      <c r="N607" s="603"/>
      <c r="O607" s="603"/>
      <c r="P607" s="603"/>
      <c r="Q607" s="603"/>
      <c r="R607" s="603"/>
      <c r="S607" s="603"/>
      <c r="T607" s="603"/>
      <c r="U607" s="603"/>
      <c r="V607" s="603"/>
      <c r="W607" s="603"/>
      <c r="X607" s="603"/>
      <c r="Y607" s="603"/>
      <c r="Z607" s="603"/>
    </row>
    <row r="608" spans="1:26" ht="18" customHeight="1" x14ac:dyDescent="0.2">
      <c r="A608" s="603"/>
      <c r="B608" s="603"/>
      <c r="C608" s="603"/>
      <c r="D608" s="603"/>
      <c r="E608" s="603"/>
      <c r="F608" s="603"/>
      <c r="G608" s="603"/>
      <c r="H608" s="603"/>
      <c r="I608" s="603"/>
      <c r="J608" s="603"/>
      <c r="K608" s="603"/>
      <c r="L608" s="603"/>
      <c r="M608" s="603"/>
      <c r="N608" s="603"/>
      <c r="O608" s="603"/>
      <c r="P608" s="603"/>
      <c r="Q608" s="603"/>
      <c r="R608" s="603"/>
      <c r="S608" s="603"/>
      <c r="T608" s="603"/>
      <c r="U608" s="603"/>
      <c r="V608" s="603"/>
      <c r="W608" s="603"/>
      <c r="X608" s="603"/>
      <c r="Y608" s="603"/>
      <c r="Z608" s="603"/>
    </row>
    <row r="609" spans="1:26" ht="18" customHeight="1" x14ac:dyDescent="0.2">
      <c r="A609" s="603"/>
      <c r="B609" s="603"/>
      <c r="C609" s="603"/>
      <c r="D609" s="603"/>
      <c r="E609" s="603"/>
      <c r="F609" s="603"/>
      <c r="G609" s="603"/>
      <c r="H609" s="603"/>
      <c r="I609" s="603"/>
      <c r="J609" s="603"/>
      <c r="K609" s="603"/>
      <c r="L609" s="603"/>
      <c r="M609" s="603"/>
      <c r="N609" s="603"/>
      <c r="O609" s="603"/>
      <c r="P609" s="603"/>
      <c r="Q609" s="603"/>
      <c r="R609" s="603"/>
      <c r="S609" s="603"/>
      <c r="T609" s="603"/>
      <c r="U609" s="603"/>
      <c r="V609" s="603"/>
      <c r="W609" s="603"/>
      <c r="X609" s="603"/>
      <c r="Y609" s="603"/>
      <c r="Z609" s="603"/>
    </row>
    <row r="610" spans="1:26" ht="18" customHeight="1" x14ac:dyDescent="0.2">
      <c r="A610" s="603"/>
      <c r="B610" s="603"/>
      <c r="C610" s="603"/>
      <c r="D610" s="603"/>
      <c r="E610" s="603"/>
      <c r="F610" s="603"/>
      <c r="G610" s="603"/>
      <c r="H610" s="603"/>
      <c r="I610" s="603"/>
      <c r="J610" s="603"/>
      <c r="K610" s="603"/>
      <c r="L610" s="603"/>
      <c r="M610" s="603"/>
      <c r="N610" s="603"/>
      <c r="O610" s="603"/>
      <c r="P610" s="603"/>
      <c r="Q610" s="603"/>
      <c r="R610" s="603"/>
      <c r="S610" s="603"/>
      <c r="T610" s="603"/>
      <c r="U610" s="603"/>
      <c r="V610" s="603"/>
      <c r="W610" s="603"/>
      <c r="X610" s="603"/>
      <c r="Y610" s="603"/>
      <c r="Z610" s="603"/>
    </row>
    <row r="611" spans="1:26" ht="18" customHeight="1" x14ac:dyDescent="0.2">
      <c r="A611" s="603"/>
      <c r="B611" s="603"/>
      <c r="C611" s="603"/>
      <c r="D611" s="603"/>
      <c r="E611" s="603"/>
      <c r="F611" s="603"/>
      <c r="G611" s="603"/>
      <c r="H611" s="603"/>
      <c r="I611" s="603"/>
      <c r="J611" s="603"/>
      <c r="K611" s="603"/>
      <c r="L611" s="603"/>
      <c r="M611" s="603"/>
      <c r="N611" s="603"/>
      <c r="O611" s="603"/>
      <c r="P611" s="603"/>
      <c r="Q611" s="603"/>
      <c r="R611" s="603"/>
      <c r="S611" s="603"/>
      <c r="T611" s="603"/>
      <c r="U611" s="603"/>
      <c r="V611" s="603"/>
      <c r="W611" s="603"/>
      <c r="X611" s="603"/>
      <c r="Y611" s="603"/>
      <c r="Z611" s="603"/>
    </row>
    <row r="612" spans="1:26" ht="18" customHeight="1" x14ac:dyDescent="0.2">
      <c r="A612" s="603"/>
      <c r="B612" s="603"/>
      <c r="C612" s="603"/>
      <c r="D612" s="603"/>
      <c r="E612" s="603"/>
      <c r="F612" s="603"/>
      <c r="G612" s="603"/>
      <c r="H612" s="603"/>
      <c r="I612" s="603"/>
      <c r="J612" s="603"/>
      <c r="K612" s="603"/>
      <c r="L612" s="603"/>
      <c r="M612" s="603"/>
      <c r="N612" s="603"/>
      <c r="O612" s="603"/>
      <c r="P612" s="603"/>
      <c r="Q612" s="603"/>
      <c r="R612" s="603"/>
      <c r="S612" s="603"/>
      <c r="T612" s="603"/>
      <c r="U612" s="603"/>
      <c r="V612" s="603"/>
      <c r="W612" s="603"/>
      <c r="X612" s="603"/>
      <c r="Y612" s="603"/>
      <c r="Z612" s="603"/>
    </row>
    <row r="613" spans="1:26" ht="18" customHeight="1" x14ac:dyDescent="0.2">
      <c r="A613" s="603"/>
      <c r="B613" s="603"/>
      <c r="C613" s="603"/>
      <c r="D613" s="603"/>
      <c r="E613" s="603"/>
      <c r="F613" s="603"/>
      <c r="G613" s="603"/>
      <c r="H613" s="603"/>
      <c r="I613" s="603"/>
      <c r="J613" s="603"/>
      <c r="K613" s="603"/>
      <c r="L613" s="603"/>
      <c r="M613" s="603"/>
      <c r="N613" s="603"/>
      <c r="O613" s="603"/>
      <c r="P613" s="603"/>
      <c r="Q613" s="603"/>
      <c r="R613" s="603"/>
      <c r="S613" s="603"/>
      <c r="T613" s="603"/>
      <c r="U613" s="603"/>
      <c r="V613" s="603"/>
      <c r="W613" s="603"/>
      <c r="X613" s="603"/>
      <c r="Y613" s="603"/>
      <c r="Z613" s="603"/>
    </row>
    <row r="614" spans="1:26" ht="18" customHeight="1" x14ac:dyDescent="0.2">
      <c r="A614" s="603"/>
      <c r="B614" s="603"/>
      <c r="C614" s="603"/>
      <c r="D614" s="603"/>
      <c r="E614" s="603"/>
      <c r="F614" s="603"/>
      <c r="G614" s="603"/>
      <c r="H614" s="603"/>
      <c r="I614" s="603"/>
      <c r="J614" s="603"/>
      <c r="K614" s="603"/>
      <c r="L614" s="603"/>
      <c r="M614" s="603"/>
      <c r="N614" s="603"/>
      <c r="O614" s="603"/>
      <c r="P614" s="603"/>
      <c r="Q614" s="603"/>
      <c r="R614" s="603"/>
      <c r="S614" s="603"/>
      <c r="T614" s="603"/>
      <c r="U614" s="603"/>
      <c r="V614" s="603"/>
      <c r="W614" s="603"/>
      <c r="X614" s="603"/>
      <c r="Y614" s="603"/>
      <c r="Z614" s="603"/>
    </row>
    <row r="615" spans="1:26" ht="18" customHeight="1" x14ac:dyDescent="0.2">
      <c r="A615" s="603"/>
      <c r="B615" s="603"/>
      <c r="C615" s="603"/>
      <c r="D615" s="603"/>
      <c r="E615" s="603"/>
      <c r="F615" s="603"/>
      <c r="G615" s="603"/>
      <c r="H615" s="603"/>
      <c r="I615" s="603"/>
      <c r="J615" s="603"/>
      <c r="K615" s="603"/>
      <c r="L615" s="603"/>
      <c r="M615" s="603"/>
      <c r="N615" s="603"/>
      <c r="O615" s="603"/>
      <c r="P615" s="603"/>
      <c r="Q615" s="603"/>
      <c r="R615" s="603"/>
      <c r="S615" s="603"/>
      <c r="T615" s="603"/>
      <c r="U615" s="603"/>
      <c r="V615" s="603"/>
      <c r="W615" s="603"/>
      <c r="X615" s="603"/>
      <c r="Y615" s="603"/>
      <c r="Z615" s="603"/>
    </row>
    <row r="616" spans="1:26" ht="18" customHeight="1" x14ac:dyDescent="0.2">
      <c r="A616" s="603"/>
      <c r="B616" s="603"/>
      <c r="C616" s="603"/>
      <c r="D616" s="603"/>
      <c r="E616" s="603"/>
      <c r="F616" s="603"/>
      <c r="G616" s="603"/>
      <c r="H616" s="603"/>
      <c r="I616" s="603"/>
      <c r="J616" s="603"/>
      <c r="K616" s="603"/>
      <c r="L616" s="603"/>
      <c r="M616" s="603"/>
      <c r="N616" s="603"/>
      <c r="O616" s="603"/>
      <c r="P616" s="603"/>
      <c r="Q616" s="603"/>
      <c r="R616" s="603"/>
      <c r="S616" s="603"/>
      <c r="T616" s="603"/>
      <c r="U616" s="603"/>
      <c r="V616" s="603"/>
      <c r="W616" s="603"/>
      <c r="X616" s="603"/>
      <c r="Y616" s="603"/>
      <c r="Z616" s="603"/>
    </row>
    <row r="617" spans="1:26" ht="18" customHeight="1" x14ac:dyDescent="0.2">
      <c r="A617" s="603"/>
      <c r="B617" s="603"/>
      <c r="C617" s="603"/>
      <c r="D617" s="603"/>
      <c r="E617" s="603"/>
      <c r="F617" s="603"/>
      <c r="G617" s="603"/>
      <c r="H617" s="603"/>
      <c r="I617" s="603"/>
      <c r="J617" s="603"/>
      <c r="K617" s="603"/>
      <c r="L617" s="603"/>
      <c r="M617" s="603"/>
      <c r="N617" s="603"/>
      <c r="O617" s="603"/>
      <c r="P617" s="603"/>
      <c r="Q617" s="603"/>
      <c r="R617" s="603"/>
      <c r="S617" s="603"/>
      <c r="T617" s="603"/>
      <c r="U617" s="603"/>
      <c r="V617" s="603"/>
      <c r="W617" s="603"/>
      <c r="X617" s="603"/>
      <c r="Y617" s="603"/>
      <c r="Z617" s="603"/>
    </row>
    <row r="618" spans="1:26" ht="18" customHeight="1" x14ac:dyDescent="0.2">
      <c r="A618" s="603"/>
      <c r="B618" s="603"/>
      <c r="C618" s="603"/>
      <c r="D618" s="603"/>
      <c r="E618" s="603"/>
      <c r="F618" s="603"/>
      <c r="G618" s="603"/>
      <c r="H618" s="603"/>
      <c r="I618" s="603"/>
      <c r="J618" s="603"/>
      <c r="K618" s="603"/>
      <c r="L618" s="603"/>
      <c r="M618" s="603"/>
      <c r="N618" s="603"/>
      <c r="O618" s="603"/>
      <c r="P618" s="603"/>
      <c r="Q618" s="603"/>
      <c r="R618" s="603"/>
      <c r="S618" s="603"/>
      <c r="T618" s="603"/>
      <c r="U618" s="603"/>
      <c r="V618" s="603"/>
      <c r="W618" s="603"/>
      <c r="X618" s="603"/>
      <c r="Y618" s="603"/>
      <c r="Z618" s="603"/>
    </row>
    <row r="619" spans="1:26" ht="18" customHeight="1" x14ac:dyDescent="0.2">
      <c r="A619" s="603"/>
      <c r="B619" s="603"/>
      <c r="C619" s="603"/>
      <c r="D619" s="603"/>
      <c r="E619" s="603"/>
      <c r="F619" s="603"/>
      <c r="G619" s="603"/>
      <c r="H619" s="603"/>
      <c r="I619" s="603"/>
      <c r="J619" s="603"/>
      <c r="K619" s="603"/>
      <c r="L619" s="603"/>
      <c r="M619" s="603"/>
      <c r="N619" s="603"/>
      <c r="O619" s="603"/>
      <c r="P619" s="603"/>
      <c r="Q619" s="603"/>
      <c r="R619" s="603"/>
      <c r="S619" s="603"/>
      <c r="T619" s="603"/>
      <c r="U619" s="603"/>
      <c r="V619" s="603"/>
      <c r="W619" s="603"/>
      <c r="X619" s="603"/>
      <c r="Y619" s="603"/>
      <c r="Z619" s="603"/>
    </row>
    <row r="620" spans="1:26" ht="18" customHeight="1" x14ac:dyDescent="0.2">
      <c r="A620" s="603"/>
      <c r="B620" s="603"/>
      <c r="C620" s="603"/>
      <c r="D620" s="603"/>
      <c r="E620" s="603"/>
      <c r="F620" s="603"/>
      <c r="G620" s="603"/>
      <c r="H620" s="603"/>
      <c r="I620" s="603"/>
      <c r="J620" s="603"/>
      <c r="K620" s="603"/>
      <c r="L620" s="603"/>
      <c r="M620" s="603"/>
      <c r="N620" s="603"/>
      <c r="O620" s="603"/>
      <c r="P620" s="603"/>
      <c r="Q620" s="603"/>
      <c r="R620" s="603"/>
      <c r="S620" s="603"/>
      <c r="T620" s="603"/>
      <c r="U620" s="603"/>
      <c r="V620" s="603"/>
      <c r="W620" s="603"/>
      <c r="X620" s="603"/>
      <c r="Y620" s="603"/>
      <c r="Z620" s="603"/>
    </row>
    <row r="621" spans="1:26" ht="18" customHeight="1" x14ac:dyDescent="0.2">
      <c r="A621" s="603"/>
      <c r="B621" s="603"/>
      <c r="C621" s="603"/>
      <c r="D621" s="603"/>
      <c r="E621" s="603"/>
      <c r="F621" s="603"/>
      <c r="G621" s="603"/>
      <c r="H621" s="603"/>
      <c r="I621" s="603"/>
      <c r="J621" s="603"/>
      <c r="K621" s="603"/>
      <c r="L621" s="603"/>
      <c r="M621" s="603"/>
      <c r="N621" s="603"/>
      <c r="O621" s="603"/>
      <c r="P621" s="603"/>
      <c r="Q621" s="603"/>
      <c r="R621" s="603"/>
      <c r="S621" s="603"/>
      <c r="T621" s="603"/>
      <c r="U621" s="603"/>
      <c r="V621" s="603"/>
      <c r="W621" s="603"/>
      <c r="X621" s="603"/>
      <c r="Y621" s="603"/>
      <c r="Z621" s="603"/>
    </row>
    <row r="622" spans="1:26" ht="18" customHeight="1" x14ac:dyDescent="0.2">
      <c r="A622" s="603"/>
      <c r="B622" s="603"/>
      <c r="C622" s="603"/>
      <c r="D622" s="603"/>
      <c r="E622" s="603"/>
      <c r="F622" s="603"/>
      <c r="G622" s="603"/>
      <c r="H622" s="603"/>
      <c r="I622" s="603"/>
      <c r="J622" s="603"/>
      <c r="K622" s="603"/>
      <c r="L622" s="603"/>
      <c r="M622" s="603"/>
      <c r="N622" s="603"/>
      <c r="O622" s="603"/>
      <c r="P622" s="603"/>
      <c r="Q622" s="603"/>
      <c r="R622" s="603"/>
      <c r="S622" s="603"/>
      <c r="T622" s="603"/>
      <c r="U622" s="603"/>
      <c r="V622" s="603"/>
      <c r="W622" s="603"/>
      <c r="X622" s="603"/>
      <c r="Y622" s="603"/>
      <c r="Z622" s="603"/>
    </row>
    <row r="623" spans="1:26" ht="18" customHeight="1" x14ac:dyDescent="0.2">
      <c r="A623" s="603"/>
      <c r="B623" s="603"/>
      <c r="C623" s="603"/>
      <c r="D623" s="603"/>
      <c r="E623" s="603"/>
      <c r="F623" s="603"/>
      <c r="G623" s="603"/>
      <c r="H623" s="603"/>
      <c r="I623" s="603"/>
      <c r="J623" s="603"/>
      <c r="K623" s="603"/>
      <c r="L623" s="603"/>
      <c r="M623" s="603"/>
      <c r="N623" s="603"/>
      <c r="O623" s="603"/>
      <c r="P623" s="603"/>
      <c r="Q623" s="603"/>
      <c r="R623" s="603"/>
      <c r="S623" s="603"/>
      <c r="T623" s="603"/>
      <c r="U623" s="603"/>
      <c r="V623" s="603"/>
      <c r="W623" s="603"/>
      <c r="X623" s="603"/>
      <c r="Y623" s="603"/>
      <c r="Z623" s="603"/>
    </row>
    <row r="624" spans="1:26" ht="18" customHeight="1" x14ac:dyDescent="0.2">
      <c r="A624" s="603"/>
      <c r="B624" s="603"/>
      <c r="C624" s="603"/>
      <c r="D624" s="603"/>
      <c r="E624" s="603"/>
      <c r="F624" s="603"/>
      <c r="G624" s="603"/>
      <c r="H624" s="603"/>
      <c r="I624" s="603"/>
      <c r="J624" s="603"/>
      <c r="K624" s="603"/>
      <c r="L624" s="603"/>
      <c r="M624" s="603"/>
      <c r="N624" s="603"/>
      <c r="O624" s="603"/>
      <c r="P624" s="603"/>
      <c r="Q624" s="603"/>
      <c r="R624" s="603"/>
      <c r="S624" s="603"/>
      <c r="T624" s="603"/>
      <c r="U624" s="603"/>
      <c r="V624" s="603"/>
      <c r="W624" s="603"/>
      <c r="X624" s="603"/>
      <c r="Y624" s="603"/>
      <c r="Z624" s="603"/>
    </row>
    <row r="625" spans="1:26" ht="18" customHeight="1" x14ac:dyDescent="0.2">
      <c r="A625" s="603"/>
      <c r="B625" s="603"/>
      <c r="C625" s="603"/>
      <c r="D625" s="603"/>
      <c r="E625" s="603"/>
      <c r="F625" s="603"/>
      <c r="G625" s="603"/>
      <c r="H625" s="603"/>
      <c r="I625" s="603"/>
      <c r="J625" s="603"/>
      <c r="K625" s="603"/>
      <c r="L625" s="603"/>
      <c r="M625" s="603"/>
      <c r="N625" s="603"/>
      <c r="O625" s="603"/>
      <c r="P625" s="603"/>
      <c r="Q625" s="603"/>
      <c r="R625" s="603"/>
      <c r="S625" s="603"/>
      <c r="T625" s="603"/>
      <c r="U625" s="603"/>
      <c r="V625" s="603"/>
      <c r="W625" s="603"/>
      <c r="X625" s="603"/>
      <c r="Y625" s="603"/>
      <c r="Z625" s="603"/>
    </row>
    <row r="626" spans="1:26" ht="18" customHeight="1" x14ac:dyDescent="0.2">
      <c r="A626" s="603"/>
      <c r="B626" s="603"/>
      <c r="C626" s="603"/>
      <c r="D626" s="603"/>
      <c r="E626" s="603"/>
      <c r="F626" s="603"/>
      <c r="G626" s="603"/>
      <c r="H626" s="603"/>
      <c r="I626" s="603"/>
      <c r="J626" s="603"/>
      <c r="K626" s="603"/>
      <c r="L626" s="603"/>
      <c r="M626" s="603"/>
      <c r="N626" s="603"/>
      <c r="O626" s="603"/>
      <c r="P626" s="603"/>
      <c r="Q626" s="603"/>
      <c r="R626" s="603"/>
      <c r="S626" s="603"/>
      <c r="T626" s="603"/>
      <c r="U626" s="603"/>
      <c r="V626" s="603"/>
      <c r="W626" s="603"/>
      <c r="X626" s="603"/>
      <c r="Y626" s="603"/>
      <c r="Z626" s="603"/>
    </row>
    <row r="627" spans="1:26" ht="18" customHeight="1" x14ac:dyDescent="0.2">
      <c r="A627" s="603"/>
      <c r="B627" s="603"/>
      <c r="C627" s="603"/>
      <c r="D627" s="603"/>
      <c r="E627" s="603"/>
      <c r="F627" s="603"/>
      <c r="G627" s="603"/>
      <c r="H627" s="603"/>
      <c r="I627" s="603"/>
      <c r="J627" s="603"/>
      <c r="K627" s="603"/>
      <c r="L627" s="603"/>
      <c r="M627" s="603"/>
      <c r="N627" s="603"/>
      <c r="O627" s="603"/>
      <c r="P627" s="603"/>
      <c r="Q627" s="603"/>
      <c r="R627" s="603"/>
      <c r="S627" s="603"/>
      <c r="T627" s="603"/>
      <c r="U627" s="603"/>
      <c r="V627" s="603"/>
      <c r="W627" s="603"/>
      <c r="X627" s="603"/>
      <c r="Y627" s="603"/>
      <c r="Z627" s="603"/>
    </row>
    <row r="628" spans="1:26" ht="18" customHeight="1" x14ac:dyDescent="0.2">
      <c r="A628" s="603"/>
      <c r="B628" s="603"/>
      <c r="C628" s="603"/>
      <c r="D628" s="603"/>
      <c r="E628" s="603"/>
      <c r="F628" s="603"/>
      <c r="G628" s="603"/>
      <c r="H628" s="603"/>
      <c r="I628" s="603"/>
      <c r="J628" s="603"/>
      <c r="K628" s="603"/>
      <c r="L628" s="603"/>
      <c r="M628" s="603"/>
      <c r="N628" s="603"/>
      <c r="O628" s="603"/>
      <c r="P628" s="603"/>
      <c r="Q628" s="603"/>
      <c r="R628" s="603"/>
      <c r="S628" s="603"/>
      <c r="T628" s="603"/>
      <c r="U628" s="603"/>
      <c r="V628" s="603"/>
      <c r="W628" s="603"/>
      <c r="X628" s="603"/>
      <c r="Y628" s="603"/>
      <c r="Z628" s="603"/>
    </row>
    <row r="629" spans="1:26" ht="18" customHeight="1" x14ac:dyDescent="0.2">
      <c r="A629" s="603"/>
      <c r="B629" s="603"/>
      <c r="C629" s="603"/>
      <c r="D629" s="603"/>
      <c r="E629" s="603"/>
      <c r="F629" s="603"/>
      <c r="G629" s="603"/>
      <c r="H629" s="603"/>
      <c r="I629" s="603"/>
      <c r="J629" s="603"/>
      <c r="K629" s="603"/>
      <c r="L629" s="603"/>
      <c r="M629" s="603"/>
      <c r="N629" s="603"/>
      <c r="O629" s="603"/>
      <c r="P629" s="603"/>
      <c r="Q629" s="603"/>
      <c r="R629" s="603"/>
      <c r="S629" s="603"/>
      <c r="T629" s="603"/>
      <c r="U629" s="603"/>
      <c r="V629" s="603"/>
      <c r="W629" s="603"/>
      <c r="X629" s="603"/>
      <c r="Y629" s="603"/>
      <c r="Z629" s="603"/>
    </row>
    <row r="630" spans="1:26" ht="18" customHeight="1" x14ac:dyDescent="0.2">
      <c r="A630" s="603"/>
      <c r="B630" s="603"/>
      <c r="C630" s="603"/>
      <c r="D630" s="603"/>
      <c r="E630" s="603"/>
      <c r="F630" s="603"/>
      <c r="G630" s="603"/>
      <c r="H630" s="603"/>
      <c r="I630" s="603"/>
      <c r="J630" s="603"/>
      <c r="K630" s="603"/>
      <c r="L630" s="603"/>
      <c r="M630" s="603"/>
      <c r="N630" s="603"/>
      <c r="O630" s="603"/>
      <c r="P630" s="603"/>
      <c r="Q630" s="603"/>
      <c r="R630" s="603"/>
      <c r="S630" s="603"/>
      <c r="T630" s="603"/>
      <c r="U630" s="603"/>
      <c r="V630" s="603"/>
      <c r="W630" s="603"/>
      <c r="X630" s="603"/>
      <c r="Y630" s="603"/>
      <c r="Z630" s="603"/>
    </row>
    <row r="631" spans="1:26" ht="18" customHeight="1" x14ac:dyDescent="0.2">
      <c r="A631" s="603"/>
      <c r="B631" s="603"/>
      <c r="C631" s="603"/>
      <c r="D631" s="603"/>
      <c r="E631" s="603"/>
      <c r="F631" s="603"/>
      <c r="G631" s="603"/>
      <c r="H631" s="603"/>
      <c r="I631" s="603"/>
      <c r="J631" s="603"/>
      <c r="K631" s="603"/>
      <c r="L631" s="603"/>
      <c r="M631" s="603"/>
      <c r="N631" s="603"/>
      <c r="O631" s="603"/>
      <c r="P631" s="603"/>
      <c r="Q631" s="603"/>
      <c r="R631" s="603"/>
      <c r="S631" s="603"/>
      <c r="T631" s="603"/>
      <c r="U631" s="603"/>
      <c r="V631" s="603"/>
      <c r="W631" s="603"/>
      <c r="X631" s="603"/>
      <c r="Y631" s="603"/>
      <c r="Z631" s="603"/>
    </row>
    <row r="632" spans="1:26" ht="18" customHeight="1" x14ac:dyDescent="0.2">
      <c r="A632" s="603"/>
      <c r="B632" s="603"/>
      <c r="C632" s="603"/>
      <c r="D632" s="603"/>
      <c r="E632" s="603"/>
      <c r="F632" s="603"/>
      <c r="G632" s="603"/>
      <c r="H632" s="603"/>
      <c r="I632" s="603"/>
      <c r="J632" s="603"/>
      <c r="K632" s="603"/>
      <c r="L632" s="603"/>
      <c r="M632" s="603"/>
      <c r="N632" s="603"/>
      <c r="O632" s="603"/>
      <c r="P632" s="603"/>
      <c r="Q632" s="603"/>
      <c r="R632" s="603"/>
      <c r="S632" s="603"/>
      <c r="T632" s="603"/>
      <c r="U632" s="603"/>
      <c r="V632" s="603"/>
      <c r="W632" s="603"/>
      <c r="X632" s="603"/>
      <c r="Y632" s="603"/>
      <c r="Z632" s="603"/>
    </row>
    <row r="633" spans="1:26" ht="18" customHeight="1" x14ac:dyDescent="0.2">
      <c r="A633" s="603"/>
      <c r="B633" s="603"/>
      <c r="C633" s="603"/>
      <c r="D633" s="603"/>
      <c r="E633" s="603"/>
      <c r="F633" s="603"/>
      <c r="G633" s="603"/>
      <c r="H633" s="603"/>
      <c r="I633" s="603"/>
      <c r="J633" s="603"/>
      <c r="K633" s="603"/>
      <c r="L633" s="603"/>
      <c r="M633" s="603"/>
      <c r="N633" s="603"/>
      <c r="O633" s="603"/>
      <c r="P633" s="603"/>
      <c r="Q633" s="603"/>
      <c r="R633" s="603"/>
      <c r="S633" s="603"/>
      <c r="T633" s="603"/>
      <c r="U633" s="603"/>
      <c r="V633" s="603"/>
      <c r="W633" s="603"/>
      <c r="X633" s="603"/>
      <c r="Y633" s="603"/>
      <c r="Z633" s="603"/>
    </row>
    <row r="634" spans="1:26" ht="18" customHeight="1" x14ac:dyDescent="0.2">
      <c r="A634" s="603"/>
      <c r="B634" s="603"/>
      <c r="C634" s="603"/>
      <c r="D634" s="603"/>
      <c r="E634" s="603"/>
      <c r="F634" s="603"/>
      <c r="G634" s="603"/>
      <c r="H634" s="603"/>
      <c r="I634" s="603"/>
      <c r="J634" s="603"/>
      <c r="K634" s="603"/>
      <c r="L634" s="603"/>
      <c r="M634" s="603"/>
      <c r="N634" s="603"/>
      <c r="O634" s="603"/>
      <c r="P634" s="603"/>
      <c r="Q634" s="603"/>
      <c r="R634" s="603"/>
      <c r="S634" s="603"/>
      <c r="T634" s="603"/>
      <c r="U634" s="603"/>
      <c r="V634" s="603"/>
      <c r="W634" s="603"/>
      <c r="X634" s="603"/>
      <c r="Y634" s="603"/>
      <c r="Z634" s="603"/>
    </row>
    <row r="635" spans="1:26" ht="18" customHeight="1" x14ac:dyDescent="0.2">
      <c r="A635" s="603"/>
      <c r="B635" s="603"/>
      <c r="C635" s="603"/>
      <c r="D635" s="603"/>
      <c r="E635" s="603"/>
      <c r="F635" s="603"/>
      <c r="G635" s="603"/>
      <c r="H635" s="603"/>
      <c r="I635" s="603"/>
      <c r="J635" s="603"/>
      <c r="K635" s="603"/>
      <c r="L635" s="603"/>
      <c r="M635" s="603"/>
      <c r="N635" s="603"/>
      <c r="O635" s="603"/>
      <c r="P635" s="603"/>
      <c r="Q635" s="603"/>
      <c r="R635" s="603"/>
      <c r="S635" s="603"/>
      <c r="T635" s="603"/>
      <c r="U635" s="603"/>
      <c r="V635" s="603"/>
      <c r="W635" s="603"/>
      <c r="X635" s="603"/>
      <c r="Y635" s="603"/>
      <c r="Z635" s="603"/>
    </row>
    <row r="636" spans="1:26" ht="18" customHeight="1" x14ac:dyDescent="0.2">
      <c r="A636" s="603"/>
      <c r="B636" s="603"/>
      <c r="C636" s="603"/>
      <c r="D636" s="603"/>
      <c r="E636" s="603"/>
      <c r="F636" s="603"/>
      <c r="G636" s="603"/>
      <c r="H636" s="603"/>
      <c r="I636" s="603"/>
      <c r="J636" s="603"/>
      <c r="K636" s="603"/>
      <c r="L636" s="603"/>
      <c r="M636" s="603"/>
      <c r="N636" s="603"/>
      <c r="O636" s="603"/>
      <c r="P636" s="603"/>
      <c r="Q636" s="603"/>
      <c r="R636" s="603"/>
      <c r="S636" s="603"/>
      <c r="T636" s="603"/>
      <c r="U636" s="603"/>
      <c r="V636" s="603"/>
      <c r="W636" s="603"/>
      <c r="X636" s="603"/>
      <c r="Y636" s="603"/>
      <c r="Z636" s="603"/>
    </row>
    <row r="637" spans="1:26" ht="18" customHeight="1" x14ac:dyDescent="0.2">
      <c r="A637" s="603"/>
      <c r="B637" s="603"/>
      <c r="C637" s="603"/>
      <c r="D637" s="603"/>
      <c r="E637" s="603"/>
      <c r="F637" s="603"/>
      <c r="G637" s="603"/>
      <c r="H637" s="603"/>
      <c r="I637" s="603"/>
      <c r="J637" s="603"/>
      <c r="K637" s="603"/>
      <c r="L637" s="603"/>
      <c r="M637" s="603"/>
      <c r="N637" s="603"/>
      <c r="O637" s="603"/>
      <c r="P637" s="603"/>
      <c r="Q637" s="603"/>
      <c r="R637" s="603"/>
      <c r="S637" s="603"/>
      <c r="T637" s="603"/>
      <c r="U637" s="603"/>
      <c r="V637" s="603"/>
      <c r="W637" s="603"/>
      <c r="X637" s="603"/>
      <c r="Y637" s="603"/>
      <c r="Z637" s="603"/>
    </row>
    <row r="638" spans="1:26" ht="18" customHeight="1" x14ac:dyDescent="0.2">
      <c r="A638" s="603"/>
      <c r="B638" s="603"/>
      <c r="C638" s="603"/>
      <c r="D638" s="603"/>
      <c r="E638" s="603"/>
      <c r="F638" s="603"/>
      <c r="G638" s="603"/>
      <c r="H638" s="603"/>
      <c r="I638" s="603"/>
      <c r="J638" s="603"/>
      <c r="K638" s="603"/>
      <c r="L638" s="603"/>
      <c r="M638" s="603"/>
      <c r="N638" s="603"/>
      <c r="O638" s="603"/>
      <c r="P638" s="603"/>
      <c r="Q638" s="603"/>
      <c r="R638" s="603"/>
      <c r="S638" s="603"/>
      <c r="T638" s="603"/>
      <c r="U638" s="603"/>
      <c r="V638" s="603"/>
      <c r="W638" s="603"/>
      <c r="X638" s="603"/>
      <c r="Y638" s="603"/>
      <c r="Z638" s="603"/>
    </row>
    <row r="639" spans="1:26" ht="18" customHeight="1" x14ac:dyDescent="0.2">
      <c r="A639" s="603"/>
      <c r="B639" s="603"/>
      <c r="C639" s="603"/>
      <c r="D639" s="603"/>
      <c r="E639" s="603"/>
      <c r="F639" s="603"/>
      <c r="G639" s="603"/>
      <c r="H639" s="603"/>
      <c r="I639" s="603"/>
      <c r="J639" s="603"/>
      <c r="K639" s="603"/>
      <c r="L639" s="603"/>
      <c r="M639" s="603"/>
      <c r="N639" s="603"/>
      <c r="O639" s="603"/>
      <c r="P639" s="603"/>
      <c r="Q639" s="603"/>
      <c r="R639" s="603"/>
      <c r="S639" s="603"/>
      <c r="T639" s="603"/>
      <c r="U639" s="603"/>
      <c r="V639" s="603"/>
      <c r="W639" s="603"/>
      <c r="X639" s="603"/>
      <c r="Y639" s="603"/>
      <c r="Z639" s="603"/>
    </row>
    <row r="640" spans="1:26" ht="18" customHeight="1" x14ac:dyDescent="0.2">
      <c r="A640" s="603"/>
      <c r="B640" s="603"/>
      <c r="C640" s="603"/>
      <c r="D640" s="603"/>
      <c r="E640" s="603"/>
      <c r="F640" s="603"/>
      <c r="G640" s="603"/>
      <c r="H640" s="603"/>
      <c r="I640" s="603"/>
      <c r="J640" s="603"/>
      <c r="K640" s="603"/>
      <c r="L640" s="603"/>
      <c r="M640" s="603"/>
      <c r="N640" s="603"/>
      <c r="O640" s="603"/>
      <c r="P640" s="603"/>
      <c r="Q640" s="603"/>
      <c r="R640" s="603"/>
      <c r="S640" s="603"/>
      <c r="T640" s="603"/>
      <c r="U640" s="603"/>
      <c r="V640" s="603"/>
      <c r="W640" s="603"/>
      <c r="X640" s="603"/>
      <c r="Y640" s="603"/>
      <c r="Z640" s="603"/>
    </row>
    <row r="641" spans="1:26" ht="18" customHeight="1" x14ac:dyDescent="0.2">
      <c r="A641" s="603"/>
      <c r="B641" s="603"/>
      <c r="C641" s="603"/>
      <c r="D641" s="603"/>
      <c r="E641" s="603"/>
      <c r="F641" s="603"/>
      <c r="G641" s="603"/>
      <c r="H641" s="603"/>
      <c r="I641" s="603"/>
      <c r="J641" s="603"/>
      <c r="K641" s="603"/>
      <c r="L641" s="603"/>
      <c r="M641" s="603"/>
      <c r="N641" s="603"/>
      <c r="O641" s="603"/>
      <c r="P641" s="603"/>
      <c r="Q641" s="603"/>
      <c r="R641" s="603"/>
      <c r="S641" s="603"/>
      <c r="T641" s="603"/>
      <c r="U641" s="603"/>
      <c r="V641" s="603"/>
      <c r="W641" s="603"/>
      <c r="X641" s="603"/>
      <c r="Y641" s="603"/>
      <c r="Z641" s="603"/>
    </row>
    <row r="642" spans="1:26" ht="18" customHeight="1" x14ac:dyDescent="0.2">
      <c r="A642" s="603"/>
      <c r="B642" s="603"/>
      <c r="C642" s="603"/>
      <c r="D642" s="603"/>
      <c r="E642" s="603"/>
      <c r="F642" s="603"/>
      <c r="G642" s="603"/>
      <c r="H642" s="603"/>
      <c r="I642" s="603"/>
      <c r="J642" s="603"/>
      <c r="K642" s="603"/>
      <c r="L642" s="603"/>
      <c r="M642" s="603"/>
      <c r="N642" s="603"/>
      <c r="O642" s="603"/>
      <c r="P642" s="603"/>
      <c r="Q642" s="603"/>
      <c r="R642" s="603"/>
      <c r="S642" s="603"/>
      <c r="T642" s="603"/>
      <c r="U642" s="603"/>
      <c r="V642" s="603"/>
      <c r="W642" s="603"/>
      <c r="X642" s="603"/>
      <c r="Y642" s="603"/>
      <c r="Z642" s="603"/>
    </row>
    <row r="643" spans="1:26" ht="18" customHeight="1" x14ac:dyDescent="0.2">
      <c r="A643" s="603"/>
      <c r="B643" s="603"/>
      <c r="C643" s="603"/>
      <c r="D643" s="603"/>
      <c r="E643" s="603"/>
      <c r="F643" s="603"/>
      <c r="G643" s="603"/>
      <c r="H643" s="603"/>
      <c r="I643" s="603"/>
      <c r="J643" s="603"/>
      <c r="K643" s="603"/>
      <c r="L643" s="603"/>
      <c r="M643" s="603"/>
      <c r="N643" s="603"/>
      <c r="O643" s="603"/>
      <c r="P643" s="603"/>
      <c r="Q643" s="603"/>
      <c r="R643" s="603"/>
      <c r="S643" s="603"/>
      <c r="T643" s="603"/>
      <c r="U643" s="603"/>
      <c r="V643" s="603"/>
      <c r="W643" s="603"/>
      <c r="X643" s="603"/>
      <c r="Y643" s="603"/>
      <c r="Z643" s="603"/>
    </row>
    <row r="644" spans="1:26" ht="18" customHeight="1" x14ac:dyDescent="0.2">
      <c r="A644" s="603"/>
      <c r="B644" s="603"/>
      <c r="C644" s="603"/>
      <c r="D644" s="603"/>
      <c r="E644" s="603"/>
      <c r="F644" s="603"/>
      <c r="G644" s="603"/>
      <c r="H644" s="603"/>
      <c r="I644" s="603"/>
      <c r="J644" s="603"/>
      <c r="K644" s="603"/>
      <c r="L644" s="603"/>
      <c r="M644" s="603"/>
      <c r="N644" s="603"/>
      <c r="O644" s="603"/>
      <c r="P644" s="603"/>
      <c r="Q644" s="603"/>
      <c r="R644" s="603"/>
      <c r="S644" s="603"/>
      <c r="T644" s="603"/>
      <c r="U644" s="603"/>
      <c r="V644" s="603"/>
      <c r="W644" s="603"/>
      <c r="X644" s="603"/>
      <c r="Y644" s="603"/>
      <c r="Z644" s="603"/>
    </row>
    <row r="645" spans="1:26" ht="18" customHeight="1" x14ac:dyDescent="0.2">
      <c r="A645" s="603"/>
      <c r="B645" s="603"/>
      <c r="C645" s="603"/>
      <c r="D645" s="603"/>
      <c r="E645" s="603"/>
      <c r="F645" s="603"/>
      <c r="G645" s="603"/>
      <c r="H645" s="603"/>
      <c r="I645" s="603"/>
      <c r="J645" s="603"/>
      <c r="K645" s="603"/>
      <c r="L645" s="603"/>
      <c r="M645" s="603"/>
      <c r="N645" s="603"/>
      <c r="O645" s="603"/>
      <c r="P645" s="603"/>
      <c r="Q645" s="603"/>
      <c r="R645" s="603"/>
      <c r="S645" s="603"/>
      <c r="T645" s="603"/>
      <c r="U645" s="603"/>
      <c r="V645" s="603"/>
      <c r="W645" s="603"/>
      <c r="X645" s="603"/>
      <c r="Y645" s="603"/>
      <c r="Z645" s="603"/>
    </row>
    <row r="646" spans="1:26" ht="18" customHeight="1" x14ac:dyDescent="0.2">
      <c r="A646" s="603"/>
      <c r="B646" s="603"/>
      <c r="C646" s="603"/>
      <c r="D646" s="603"/>
      <c r="E646" s="603"/>
      <c r="F646" s="603"/>
      <c r="G646" s="603"/>
      <c r="H646" s="603"/>
      <c r="I646" s="603"/>
      <c r="J646" s="603"/>
      <c r="K646" s="603"/>
      <c r="L646" s="603"/>
      <c r="M646" s="603"/>
      <c r="N646" s="603"/>
      <c r="O646" s="603"/>
      <c r="P646" s="603"/>
      <c r="Q646" s="603"/>
      <c r="R646" s="603"/>
      <c r="S646" s="603"/>
      <c r="T646" s="603"/>
      <c r="U646" s="603"/>
      <c r="V646" s="603"/>
      <c r="W646" s="603"/>
      <c r="X646" s="603"/>
      <c r="Y646" s="603"/>
      <c r="Z646" s="603"/>
    </row>
    <row r="647" spans="1:26" ht="18" customHeight="1" x14ac:dyDescent="0.2">
      <c r="A647" s="603"/>
      <c r="B647" s="603"/>
      <c r="C647" s="603"/>
      <c r="D647" s="603"/>
      <c r="E647" s="603"/>
      <c r="F647" s="603"/>
      <c r="G647" s="603"/>
      <c r="H647" s="603"/>
      <c r="I647" s="603"/>
      <c r="J647" s="603"/>
      <c r="K647" s="603"/>
      <c r="L647" s="603"/>
      <c r="M647" s="603"/>
      <c r="N647" s="603"/>
      <c r="O647" s="603"/>
      <c r="P647" s="603"/>
      <c r="Q647" s="603"/>
      <c r="R647" s="603"/>
      <c r="S647" s="603"/>
      <c r="T647" s="603"/>
      <c r="U647" s="603"/>
      <c r="V647" s="603"/>
      <c r="W647" s="603"/>
      <c r="X647" s="603"/>
      <c r="Y647" s="603"/>
      <c r="Z647" s="603"/>
    </row>
    <row r="648" spans="1:26" ht="18" customHeight="1" x14ac:dyDescent="0.2">
      <c r="A648" s="603"/>
      <c r="B648" s="603"/>
      <c r="C648" s="603"/>
      <c r="D648" s="603"/>
      <c r="E648" s="603"/>
      <c r="F648" s="603"/>
      <c r="G648" s="603"/>
      <c r="H648" s="603"/>
      <c r="I648" s="603"/>
      <c r="J648" s="603"/>
      <c r="K648" s="603"/>
      <c r="L648" s="603"/>
      <c r="M648" s="603"/>
      <c r="N648" s="603"/>
      <c r="O648" s="603"/>
      <c r="P648" s="603"/>
      <c r="Q648" s="603"/>
      <c r="R648" s="603"/>
      <c r="S648" s="603"/>
      <c r="T648" s="603"/>
      <c r="U648" s="603"/>
      <c r="V648" s="603"/>
      <c r="W648" s="603"/>
      <c r="X648" s="603"/>
      <c r="Y648" s="603"/>
      <c r="Z648" s="603"/>
    </row>
    <row r="649" spans="1:26" ht="18" customHeight="1" x14ac:dyDescent="0.2">
      <c r="A649" s="603"/>
      <c r="B649" s="603"/>
      <c r="C649" s="603"/>
      <c r="D649" s="603"/>
      <c r="E649" s="603"/>
      <c r="F649" s="603"/>
      <c r="G649" s="603"/>
      <c r="H649" s="603"/>
      <c r="I649" s="603"/>
      <c r="J649" s="603"/>
      <c r="K649" s="603"/>
      <c r="L649" s="603"/>
      <c r="M649" s="603"/>
      <c r="N649" s="603"/>
      <c r="O649" s="603"/>
      <c r="P649" s="603"/>
      <c r="Q649" s="603"/>
      <c r="R649" s="603"/>
      <c r="S649" s="603"/>
      <c r="T649" s="603"/>
      <c r="U649" s="603"/>
      <c r="V649" s="603"/>
      <c r="W649" s="603"/>
      <c r="X649" s="603"/>
      <c r="Y649" s="603"/>
      <c r="Z649" s="603"/>
    </row>
    <row r="650" spans="1:26" ht="18" customHeight="1" x14ac:dyDescent="0.2">
      <c r="A650" s="603"/>
      <c r="B650" s="603"/>
      <c r="C650" s="603"/>
      <c r="D650" s="603"/>
      <c r="E650" s="603"/>
      <c r="F650" s="603"/>
      <c r="G650" s="603"/>
      <c r="H650" s="603"/>
      <c r="I650" s="603"/>
      <c r="J650" s="603"/>
      <c r="K650" s="603"/>
      <c r="L650" s="603"/>
      <c r="M650" s="603"/>
      <c r="N650" s="603"/>
      <c r="O650" s="603"/>
      <c r="P650" s="603"/>
      <c r="Q650" s="603"/>
      <c r="R650" s="603"/>
      <c r="S650" s="603"/>
      <c r="T650" s="603"/>
      <c r="U650" s="603"/>
      <c r="V650" s="603"/>
      <c r="W650" s="603"/>
      <c r="X650" s="603"/>
      <c r="Y650" s="603"/>
      <c r="Z650" s="603"/>
    </row>
    <row r="651" spans="1:26" ht="18" customHeight="1" x14ac:dyDescent="0.2">
      <c r="A651" s="603"/>
      <c r="B651" s="603"/>
      <c r="C651" s="603"/>
      <c r="D651" s="603"/>
      <c r="E651" s="603"/>
      <c r="F651" s="603"/>
      <c r="G651" s="603"/>
      <c r="H651" s="603"/>
      <c r="I651" s="603"/>
      <c r="J651" s="603"/>
      <c r="K651" s="603"/>
      <c r="L651" s="603"/>
      <c r="M651" s="603"/>
      <c r="N651" s="603"/>
      <c r="O651" s="603"/>
      <c r="P651" s="603"/>
      <c r="Q651" s="603"/>
      <c r="R651" s="603"/>
      <c r="S651" s="603"/>
      <c r="T651" s="603"/>
      <c r="U651" s="603"/>
      <c r="V651" s="603"/>
      <c r="W651" s="603"/>
      <c r="X651" s="603"/>
      <c r="Y651" s="603"/>
      <c r="Z651" s="603"/>
    </row>
    <row r="652" spans="1:26" ht="18" customHeight="1" x14ac:dyDescent="0.2">
      <c r="A652" s="603"/>
      <c r="B652" s="603"/>
      <c r="C652" s="603"/>
      <c r="D652" s="603"/>
      <c r="E652" s="603"/>
      <c r="F652" s="603"/>
      <c r="G652" s="603"/>
      <c r="H652" s="603"/>
      <c r="I652" s="603"/>
      <c r="J652" s="603"/>
      <c r="K652" s="603"/>
      <c r="L652" s="603"/>
      <c r="M652" s="603"/>
      <c r="N652" s="603"/>
      <c r="O652" s="603"/>
      <c r="P652" s="603"/>
      <c r="Q652" s="603"/>
      <c r="R652" s="603"/>
      <c r="S652" s="603"/>
      <c r="T652" s="603"/>
      <c r="U652" s="603"/>
      <c r="V652" s="603"/>
      <c r="W652" s="603"/>
      <c r="X652" s="603"/>
      <c r="Y652" s="603"/>
      <c r="Z652" s="603"/>
    </row>
    <row r="653" spans="1:26" ht="18" customHeight="1" x14ac:dyDescent="0.2">
      <c r="A653" s="603"/>
      <c r="B653" s="603"/>
      <c r="C653" s="603"/>
      <c r="D653" s="603"/>
      <c r="E653" s="603"/>
      <c r="F653" s="603"/>
      <c r="G653" s="603"/>
      <c r="H653" s="603"/>
      <c r="I653" s="603"/>
      <c r="J653" s="603"/>
      <c r="K653" s="603"/>
      <c r="L653" s="603"/>
      <c r="M653" s="603"/>
      <c r="N653" s="603"/>
      <c r="O653" s="603"/>
      <c r="P653" s="603"/>
      <c r="Q653" s="603"/>
      <c r="R653" s="603"/>
      <c r="S653" s="603"/>
      <c r="T653" s="603"/>
      <c r="U653" s="603"/>
      <c r="V653" s="603"/>
      <c r="W653" s="603"/>
      <c r="X653" s="603"/>
      <c r="Y653" s="603"/>
      <c r="Z653" s="603"/>
    </row>
    <row r="654" spans="1:26" ht="18" customHeight="1" x14ac:dyDescent="0.2">
      <c r="A654" s="603"/>
      <c r="B654" s="603"/>
      <c r="C654" s="603"/>
      <c r="D654" s="603"/>
      <c r="E654" s="603"/>
      <c r="F654" s="603"/>
      <c r="G654" s="603"/>
      <c r="H654" s="603"/>
      <c r="I654" s="603"/>
      <c r="J654" s="603"/>
      <c r="K654" s="603"/>
      <c r="L654" s="603"/>
      <c r="M654" s="603"/>
      <c r="N654" s="603"/>
      <c r="O654" s="603"/>
      <c r="P654" s="603"/>
      <c r="Q654" s="603"/>
      <c r="R654" s="603"/>
      <c r="S654" s="603"/>
      <c r="T654" s="603"/>
      <c r="U654" s="603"/>
      <c r="V654" s="603"/>
      <c r="W654" s="603"/>
      <c r="X654" s="603"/>
      <c r="Y654" s="603"/>
      <c r="Z654" s="603"/>
    </row>
    <row r="655" spans="1:26" ht="18" customHeight="1" x14ac:dyDescent="0.2">
      <c r="A655" s="603"/>
      <c r="B655" s="603"/>
      <c r="C655" s="603"/>
      <c r="D655" s="603"/>
      <c r="E655" s="603"/>
      <c r="F655" s="603"/>
      <c r="G655" s="603"/>
      <c r="H655" s="603"/>
      <c r="I655" s="603"/>
      <c r="J655" s="603"/>
      <c r="K655" s="603"/>
      <c r="L655" s="603"/>
      <c r="M655" s="603"/>
      <c r="N655" s="603"/>
      <c r="O655" s="603"/>
      <c r="P655" s="603"/>
      <c r="Q655" s="603"/>
      <c r="R655" s="603"/>
      <c r="S655" s="603"/>
      <c r="T655" s="603"/>
      <c r="U655" s="603"/>
      <c r="V655" s="603"/>
      <c r="W655" s="603"/>
      <c r="X655" s="603"/>
      <c r="Y655" s="603"/>
      <c r="Z655" s="603"/>
    </row>
    <row r="656" spans="1:26" ht="18" customHeight="1" x14ac:dyDescent="0.2">
      <c r="A656" s="603"/>
      <c r="B656" s="603"/>
      <c r="C656" s="603"/>
      <c r="D656" s="603"/>
      <c r="E656" s="603"/>
      <c r="F656" s="603"/>
      <c r="G656" s="603"/>
      <c r="H656" s="603"/>
      <c r="I656" s="603"/>
      <c r="J656" s="603"/>
      <c r="K656" s="603"/>
      <c r="L656" s="603"/>
      <c r="M656" s="603"/>
      <c r="N656" s="603"/>
      <c r="O656" s="603"/>
      <c r="P656" s="603"/>
      <c r="Q656" s="603"/>
      <c r="R656" s="603"/>
      <c r="S656" s="603"/>
      <c r="T656" s="603"/>
      <c r="U656" s="603"/>
      <c r="V656" s="603"/>
      <c r="W656" s="603"/>
      <c r="X656" s="603"/>
      <c r="Y656" s="603"/>
      <c r="Z656" s="603"/>
    </row>
    <row r="657" spans="1:26" ht="18" customHeight="1" x14ac:dyDescent="0.2">
      <c r="A657" s="603"/>
      <c r="B657" s="603"/>
      <c r="C657" s="603"/>
      <c r="D657" s="603"/>
      <c r="E657" s="603"/>
      <c r="F657" s="603"/>
      <c r="G657" s="603"/>
      <c r="H657" s="603"/>
      <c r="I657" s="603"/>
      <c r="J657" s="603"/>
      <c r="K657" s="603"/>
      <c r="L657" s="603"/>
      <c r="M657" s="603"/>
      <c r="N657" s="603"/>
      <c r="O657" s="603"/>
      <c r="P657" s="603"/>
      <c r="Q657" s="603"/>
      <c r="R657" s="603"/>
      <c r="S657" s="603"/>
      <c r="T657" s="603"/>
      <c r="U657" s="603"/>
      <c r="V657" s="603"/>
      <c r="W657" s="603"/>
      <c r="X657" s="603"/>
      <c r="Y657" s="603"/>
      <c r="Z657" s="603"/>
    </row>
    <row r="658" spans="1:26" ht="18" customHeight="1" x14ac:dyDescent="0.2">
      <c r="A658" s="603"/>
      <c r="B658" s="603"/>
      <c r="C658" s="603"/>
      <c r="D658" s="603"/>
      <c r="E658" s="603"/>
      <c r="F658" s="603"/>
      <c r="G658" s="603"/>
      <c r="H658" s="603"/>
      <c r="I658" s="603"/>
      <c r="J658" s="603"/>
      <c r="K658" s="603"/>
      <c r="L658" s="603"/>
      <c r="M658" s="603"/>
      <c r="N658" s="603"/>
      <c r="O658" s="603"/>
      <c r="P658" s="603"/>
      <c r="Q658" s="603"/>
      <c r="R658" s="603"/>
      <c r="S658" s="603"/>
      <c r="T658" s="603"/>
      <c r="U658" s="603"/>
      <c r="V658" s="603"/>
      <c r="W658" s="603"/>
      <c r="X658" s="603"/>
      <c r="Y658" s="603"/>
      <c r="Z658" s="603"/>
    </row>
    <row r="659" spans="1:26" ht="18" customHeight="1" x14ac:dyDescent="0.2">
      <c r="A659" s="603"/>
      <c r="B659" s="603"/>
      <c r="C659" s="603"/>
      <c r="D659" s="603"/>
      <c r="E659" s="603"/>
      <c r="F659" s="603"/>
      <c r="G659" s="603"/>
      <c r="H659" s="603"/>
      <c r="I659" s="603"/>
      <c r="J659" s="603"/>
      <c r="K659" s="603"/>
      <c r="L659" s="603"/>
      <c r="M659" s="603"/>
      <c r="N659" s="603"/>
      <c r="O659" s="603"/>
      <c r="P659" s="603"/>
      <c r="Q659" s="603"/>
      <c r="R659" s="603"/>
      <c r="S659" s="603"/>
      <c r="T659" s="603"/>
      <c r="U659" s="603"/>
      <c r="V659" s="603"/>
      <c r="W659" s="603"/>
      <c r="X659" s="603"/>
      <c r="Y659" s="603"/>
      <c r="Z659" s="603"/>
    </row>
    <row r="660" spans="1:26" ht="18" customHeight="1" x14ac:dyDescent="0.2">
      <c r="A660" s="603"/>
      <c r="B660" s="603"/>
      <c r="C660" s="603"/>
      <c r="D660" s="603"/>
      <c r="E660" s="603"/>
      <c r="F660" s="603"/>
      <c r="G660" s="603"/>
      <c r="H660" s="603"/>
      <c r="I660" s="603"/>
      <c r="J660" s="603"/>
      <c r="K660" s="603"/>
      <c r="L660" s="603"/>
      <c r="M660" s="603"/>
      <c r="N660" s="603"/>
      <c r="O660" s="603"/>
      <c r="P660" s="603"/>
      <c r="Q660" s="603"/>
      <c r="R660" s="603"/>
      <c r="S660" s="603"/>
      <c r="T660" s="603"/>
      <c r="U660" s="603"/>
      <c r="V660" s="603"/>
      <c r="W660" s="603"/>
      <c r="X660" s="603"/>
      <c r="Y660" s="603"/>
      <c r="Z660" s="603"/>
    </row>
    <row r="661" spans="1:26" ht="18" customHeight="1" x14ac:dyDescent="0.2">
      <c r="A661" s="603"/>
      <c r="B661" s="603"/>
      <c r="C661" s="603"/>
      <c r="D661" s="603"/>
      <c r="E661" s="603"/>
      <c r="F661" s="603"/>
      <c r="G661" s="603"/>
      <c r="H661" s="603"/>
      <c r="I661" s="603"/>
      <c r="J661" s="603"/>
      <c r="K661" s="603"/>
      <c r="L661" s="603"/>
      <c r="M661" s="603"/>
      <c r="N661" s="603"/>
      <c r="O661" s="603"/>
      <c r="P661" s="603"/>
      <c r="Q661" s="603"/>
      <c r="R661" s="603"/>
      <c r="S661" s="603"/>
      <c r="T661" s="603"/>
      <c r="U661" s="603"/>
      <c r="V661" s="603"/>
      <c r="W661" s="603"/>
      <c r="X661" s="603"/>
      <c r="Y661" s="603"/>
      <c r="Z661" s="603"/>
    </row>
    <row r="662" spans="1:26" ht="18" customHeight="1" x14ac:dyDescent="0.2">
      <c r="A662" s="603"/>
      <c r="B662" s="603"/>
      <c r="C662" s="603"/>
      <c r="D662" s="603"/>
      <c r="E662" s="603"/>
      <c r="F662" s="603"/>
      <c r="G662" s="603"/>
      <c r="H662" s="603"/>
      <c r="I662" s="603"/>
      <c r="J662" s="603"/>
      <c r="K662" s="603"/>
      <c r="L662" s="603"/>
      <c r="M662" s="603"/>
      <c r="N662" s="603"/>
      <c r="O662" s="603"/>
      <c r="P662" s="603"/>
      <c r="Q662" s="603"/>
      <c r="R662" s="603"/>
      <c r="S662" s="603"/>
      <c r="T662" s="603"/>
      <c r="U662" s="603"/>
      <c r="V662" s="603"/>
      <c r="W662" s="603"/>
      <c r="X662" s="603"/>
      <c r="Y662" s="603"/>
      <c r="Z662" s="603"/>
    </row>
    <row r="663" spans="1:26" ht="18" customHeight="1" x14ac:dyDescent="0.2">
      <c r="A663" s="603"/>
      <c r="B663" s="603"/>
      <c r="C663" s="603"/>
      <c r="D663" s="603"/>
      <c r="E663" s="603"/>
      <c r="F663" s="603"/>
      <c r="G663" s="603"/>
      <c r="H663" s="603"/>
      <c r="I663" s="603"/>
      <c r="J663" s="603"/>
      <c r="K663" s="603"/>
      <c r="L663" s="603"/>
      <c r="M663" s="603"/>
      <c r="N663" s="603"/>
      <c r="O663" s="603"/>
      <c r="P663" s="603"/>
      <c r="Q663" s="603"/>
      <c r="R663" s="603"/>
      <c r="S663" s="603"/>
      <c r="T663" s="603"/>
      <c r="U663" s="603"/>
      <c r="V663" s="603"/>
      <c r="W663" s="603"/>
      <c r="X663" s="603"/>
      <c r="Y663" s="603"/>
      <c r="Z663" s="603"/>
    </row>
    <row r="664" spans="1:26" ht="18" customHeight="1" x14ac:dyDescent="0.2">
      <c r="A664" s="603"/>
      <c r="B664" s="603"/>
      <c r="C664" s="603"/>
      <c r="D664" s="603"/>
      <c r="E664" s="603"/>
      <c r="F664" s="603"/>
      <c r="G664" s="603"/>
      <c r="H664" s="603"/>
      <c r="I664" s="603"/>
      <c r="J664" s="603"/>
      <c r="K664" s="603"/>
      <c r="L664" s="603"/>
      <c r="M664" s="603"/>
      <c r="N664" s="603"/>
      <c r="O664" s="603"/>
      <c r="P664" s="603"/>
      <c r="Q664" s="603"/>
      <c r="R664" s="603"/>
      <c r="S664" s="603"/>
      <c r="T664" s="603"/>
      <c r="U664" s="603"/>
      <c r="V664" s="603"/>
      <c r="W664" s="603"/>
      <c r="X664" s="603"/>
      <c r="Y664" s="603"/>
      <c r="Z664" s="603"/>
    </row>
    <row r="665" spans="1:26" ht="18" customHeight="1" x14ac:dyDescent="0.2">
      <c r="A665" s="603"/>
      <c r="B665" s="603"/>
      <c r="C665" s="603"/>
      <c r="D665" s="603"/>
      <c r="E665" s="603"/>
      <c r="F665" s="603"/>
      <c r="G665" s="603"/>
      <c r="H665" s="603"/>
      <c r="I665" s="603"/>
      <c r="J665" s="603"/>
      <c r="K665" s="603"/>
      <c r="L665" s="603"/>
      <c r="M665" s="603"/>
      <c r="N665" s="603"/>
      <c r="O665" s="603"/>
      <c r="P665" s="603"/>
      <c r="Q665" s="603"/>
      <c r="R665" s="603"/>
      <c r="S665" s="603"/>
      <c r="T665" s="603"/>
      <c r="U665" s="603"/>
      <c r="V665" s="603"/>
      <c r="W665" s="603"/>
      <c r="X665" s="603"/>
      <c r="Y665" s="603"/>
      <c r="Z665" s="603"/>
    </row>
    <row r="666" spans="1:26" ht="18" customHeight="1" x14ac:dyDescent="0.2">
      <c r="A666" s="603"/>
      <c r="B666" s="603"/>
      <c r="C666" s="603"/>
      <c r="D666" s="603"/>
      <c r="E666" s="603"/>
      <c r="F666" s="603"/>
      <c r="G666" s="603"/>
      <c r="H666" s="603"/>
      <c r="I666" s="603"/>
      <c r="J666" s="603"/>
      <c r="K666" s="603"/>
      <c r="L666" s="603"/>
      <c r="M666" s="603"/>
      <c r="N666" s="603"/>
      <c r="O666" s="603"/>
      <c r="P666" s="603"/>
      <c r="Q666" s="603"/>
      <c r="R666" s="603"/>
      <c r="S666" s="603"/>
      <c r="T666" s="603"/>
      <c r="U666" s="603"/>
      <c r="V666" s="603"/>
      <c r="W666" s="603"/>
      <c r="X666" s="603"/>
      <c r="Y666" s="603"/>
      <c r="Z666" s="603"/>
    </row>
    <row r="667" spans="1:26" ht="18" customHeight="1" x14ac:dyDescent="0.2">
      <c r="A667" s="603"/>
      <c r="B667" s="603"/>
      <c r="C667" s="603"/>
      <c r="D667" s="603"/>
      <c r="E667" s="603"/>
      <c r="F667" s="603"/>
      <c r="G667" s="603"/>
      <c r="H667" s="603"/>
      <c r="I667" s="603"/>
      <c r="J667" s="603"/>
      <c r="K667" s="603"/>
      <c r="L667" s="603"/>
      <c r="M667" s="603"/>
      <c r="N667" s="603"/>
      <c r="O667" s="603"/>
      <c r="P667" s="603"/>
      <c r="Q667" s="603"/>
      <c r="R667" s="603"/>
      <c r="S667" s="603"/>
      <c r="T667" s="603"/>
      <c r="U667" s="603"/>
      <c r="V667" s="603"/>
      <c r="W667" s="603"/>
      <c r="X667" s="603"/>
      <c r="Y667" s="603"/>
      <c r="Z667" s="603"/>
    </row>
    <row r="668" spans="1:26" ht="18" customHeight="1" x14ac:dyDescent="0.2">
      <c r="A668" s="603"/>
      <c r="B668" s="603"/>
      <c r="C668" s="603"/>
      <c r="D668" s="603"/>
      <c r="E668" s="603"/>
      <c r="F668" s="603"/>
      <c r="G668" s="603"/>
      <c r="H668" s="603"/>
      <c r="I668" s="603"/>
      <c r="J668" s="603"/>
      <c r="K668" s="603"/>
      <c r="L668" s="603"/>
      <c r="M668" s="603"/>
      <c r="N668" s="603"/>
      <c r="O668" s="603"/>
      <c r="P668" s="603"/>
      <c r="Q668" s="603"/>
      <c r="R668" s="603"/>
      <c r="S668" s="603"/>
      <c r="T668" s="603"/>
      <c r="U668" s="603"/>
      <c r="V668" s="603"/>
      <c r="W668" s="603"/>
      <c r="X668" s="603"/>
      <c r="Y668" s="603"/>
      <c r="Z668" s="603"/>
    </row>
    <row r="669" spans="1:26" ht="18" customHeight="1" x14ac:dyDescent="0.2">
      <c r="A669" s="603"/>
      <c r="B669" s="603"/>
      <c r="C669" s="603"/>
      <c r="D669" s="603"/>
      <c r="E669" s="603"/>
      <c r="F669" s="603"/>
      <c r="G669" s="603"/>
      <c r="H669" s="603"/>
      <c r="I669" s="603"/>
      <c r="J669" s="603"/>
      <c r="K669" s="603"/>
      <c r="L669" s="603"/>
      <c r="M669" s="603"/>
      <c r="N669" s="603"/>
      <c r="O669" s="603"/>
      <c r="P669" s="603"/>
      <c r="Q669" s="603"/>
      <c r="R669" s="603"/>
      <c r="S669" s="603"/>
      <c r="T669" s="603"/>
      <c r="U669" s="603"/>
      <c r="V669" s="603"/>
      <c r="W669" s="603"/>
      <c r="X669" s="603"/>
      <c r="Y669" s="603"/>
      <c r="Z669" s="603"/>
    </row>
    <row r="670" spans="1:26" ht="18" customHeight="1" x14ac:dyDescent="0.2">
      <c r="A670" s="603"/>
      <c r="B670" s="603"/>
      <c r="C670" s="603"/>
      <c r="D670" s="603"/>
      <c r="E670" s="603"/>
      <c r="F670" s="603"/>
      <c r="G670" s="603"/>
      <c r="H670" s="603"/>
      <c r="I670" s="603"/>
      <c r="J670" s="603"/>
      <c r="K670" s="603"/>
      <c r="L670" s="603"/>
      <c r="M670" s="603"/>
      <c r="N670" s="603"/>
      <c r="O670" s="603"/>
      <c r="P670" s="603"/>
      <c r="Q670" s="603"/>
      <c r="R670" s="603"/>
      <c r="S670" s="603"/>
      <c r="T670" s="603"/>
      <c r="U670" s="603"/>
      <c r="V670" s="603"/>
      <c r="W670" s="603"/>
      <c r="X670" s="603"/>
      <c r="Y670" s="603"/>
      <c r="Z670" s="603"/>
    </row>
    <row r="671" spans="1:26" ht="18" customHeight="1" x14ac:dyDescent="0.2">
      <c r="A671" s="603"/>
      <c r="B671" s="603"/>
      <c r="C671" s="603"/>
      <c r="D671" s="603"/>
      <c r="E671" s="603"/>
      <c r="F671" s="603"/>
      <c r="G671" s="603"/>
      <c r="H671" s="603"/>
      <c r="I671" s="603"/>
      <c r="J671" s="603"/>
      <c r="K671" s="603"/>
      <c r="L671" s="603"/>
      <c r="M671" s="603"/>
      <c r="N671" s="603"/>
      <c r="O671" s="603"/>
      <c r="P671" s="603"/>
      <c r="Q671" s="603"/>
      <c r="R671" s="603"/>
      <c r="S671" s="603"/>
      <c r="T671" s="603"/>
      <c r="U671" s="603"/>
      <c r="V671" s="603"/>
      <c r="W671" s="603"/>
      <c r="X671" s="603"/>
      <c r="Y671" s="603"/>
      <c r="Z671" s="603"/>
    </row>
    <row r="672" spans="1:26" ht="18" customHeight="1" x14ac:dyDescent="0.2">
      <c r="A672" s="603"/>
      <c r="B672" s="603"/>
      <c r="C672" s="603"/>
      <c r="D672" s="603"/>
      <c r="E672" s="603"/>
      <c r="F672" s="603"/>
      <c r="G672" s="603"/>
      <c r="H672" s="603"/>
      <c r="I672" s="603"/>
      <c r="J672" s="603"/>
      <c r="K672" s="603"/>
      <c r="L672" s="603"/>
      <c r="M672" s="603"/>
      <c r="N672" s="603"/>
      <c r="O672" s="603"/>
      <c r="P672" s="603"/>
      <c r="Q672" s="603"/>
      <c r="R672" s="603"/>
      <c r="S672" s="603"/>
      <c r="T672" s="603"/>
      <c r="U672" s="603"/>
      <c r="V672" s="603"/>
      <c r="W672" s="603"/>
      <c r="X672" s="603"/>
      <c r="Y672" s="603"/>
      <c r="Z672" s="603"/>
    </row>
    <row r="673" spans="1:26" ht="18" customHeight="1" x14ac:dyDescent="0.2">
      <c r="A673" s="603"/>
      <c r="B673" s="603"/>
      <c r="C673" s="603"/>
      <c r="D673" s="603"/>
      <c r="E673" s="603"/>
      <c r="F673" s="603"/>
      <c r="G673" s="603"/>
      <c r="H673" s="603"/>
      <c r="I673" s="603"/>
      <c r="J673" s="603"/>
      <c r="K673" s="603"/>
      <c r="L673" s="603"/>
      <c r="M673" s="603"/>
      <c r="N673" s="603"/>
      <c r="O673" s="603"/>
      <c r="P673" s="603"/>
      <c r="Q673" s="603"/>
      <c r="R673" s="603"/>
      <c r="S673" s="603"/>
      <c r="T673" s="603"/>
      <c r="U673" s="603"/>
      <c r="V673" s="603"/>
      <c r="W673" s="603"/>
      <c r="X673" s="603"/>
      <c r="Y673" s="603"/>
      <c r="Z673" s="603"/>
    </row>
    <row r="674" spans="1:26" ht="18" customHeight="1" x14ac:dyDescent="0.2">
      <c r="A674" s="603"/>
      <c r="B674" s="603"/>
      <c r="C674" s="603"/>
      <c r="D674" s="603"/>
      <c r="E674" s="603"/>
      <c r="F674" s="603"/>
      <c r="G674" s="603"/>
      <c r="H674" s="603"/>
      <c r="I674" s="603"/>
      <c r="J674" s="603"/>
      <c r="K674" s="603"/>
      <c r="L674" s="603"/>
      <c r="M674" s="603"/>
      <c r="N674" s="603"/>
      <c r="O674" s="603"/>
      <c r="P674" s="603"/>
      <c r="Q674" s="603"/>
      <c r="R674" s="603"/>
      <c r="S674" s="603"/>
      <c r="T674" s="603"/>
      <c r="U674" s="603"/>
      <c r="V674" s="603"/>
      <c r="W674" s="603"/>
      <c r="X674" s="603"/>
      <c r="Y674" s="603"/>
      <c r="Z674" s="603"/>
    </row>
    <row r="675" spans="1:26" ht="18" customHeight="1" x14ac:dyDescent="0.2">
      <c r="A675" s="603"/>
      <c r="B675" s="603"/>
      <c r="C675" s="603"/>
      <c r="D675" s="603"/>
      <c r="E675" s="603"/>
      <c r="F675" s="603"/>
      <c r="G675" s="603"/>
      <c r="H675" s="603"/>
      <c r="I675" s="603"/>
      <c r="J675" s="603"/>
      <c r="K675" s="603"/>
      <c r="L675" s="603"/>
      <c r="M675" s="603"/>
      <c r="N675" s="603"/>
      <c r="O675" s="603"/>
      <c r="P675" s="603"/>
      <c r="Q675" s="603"/>
      <c r="R675" s="603"/>
      <c r="S675" s="603"/>
      <c r="T675" s="603"/>
      <c r="U675" s="603"/>
      <c r="V675" s="603"/>
      <c r="W675" s="603"/>
      <c r="X675" s="603"/>
      <c r="Y675" s="603"/>
      <c r="Z675" s="603"/>
    </row>
    <row r="676" spans="1:26" ht="18" customHeight="1" x14ac:dyDescent="0.2">
      <c r="A676" s="603"/>
      <c r="B676" s="603"/>
      <c r="C676" s="603"/>
      <c r="D676" s="603"/>
      <c r="E676" s="603"/>
      <c r="F676" s="603"/>
      <c r="G676" s="603"/>
      <c r="H676" s="603"/>
      <c r="I676" s="603"/>
      <c r="J676" s="603"/>
      <c r="K676" s="603"/>
      <c r="L676" s="603"/>
      <c r="M676" s="603"/>
      <c r="N676" s="603"/>
      <c r="O676" s="603"/>
      <c r="P676" s="603"/>
      <c r="Q676" s="603"/>
      <c r="R676" s="603"/>
      <c r="S676" s="603"/>
      <c r="T676" s="603"/>
      <c r="U676" s="603"/>
      <c r="V676" s="603"/>
      <c r="W676" s="603"/>
      <c r="X676" s="603"/>
      <c r="Y676" s="603"/>
      <c r="Z676" s="603"/>
    </row>
    <row r="677" spans="1:26" ht="18" customHeight="1" x14ac:dyDescent="0.2">
      <c r="A677" s="603"/>
      <c r="B677" s="603"/>
      <c r="C677" s="603"/>
      <c r="D677" s="603"/>
      <c r="E677" s="603"/>
      <c r="F677" s="603"/>
      <c r="G677" s="603"/>
      <c r="H677" s="603"/>
      <c r="I677" s="603"/>
      <c r="J677" s="603"/>
      <c r="K677" s="603"/>
      <c r="L677" s="603"/>
      <c r="M677" s="603"/>
      <c r="N677" s="603"/>
      <c r="O677" s="603"/>
      <c r="P677" s="603"/>
      <c r="Q677" s="603"/>
      <c r="R677" s="603"/>
      <c r="S677" s="603"/>
      <c r="T677" s="603"/>
      <c r="U677" s="603"/>
      <c r="V677" s="603"/>
      <c r="W677" s="603"/>
      <c r="X677" s="603"/>
      <c r="Y677" s="603"/>
      <c r="Z677" s="603"/>
    </row>
    <row r="678" spans="1:26" ht="18" customHeight="1" x14ac:dyDescent="0.2">
      <c r="A678" s="603"/>
      <c r="B678" s="603"/>
      <c r="C678" s="603"/>
      <c r="D678" s="603"/>
      <c r="E678" s="603"/>
      <c r="F678" s="603"/>
      <c r="G678" s="603"/>
      <c r="H678" s="603"/>
      <c r="I678" s="603"/>
      <c r="J678" s="603"/>
      <c r="K678" s="603"/>
      <c r="L678" s="603"/>
      <c r="M678" s="603"/>
      <c r="N678" s="603"/>
      <c r="O678" s="603"/>
      <c r="P678" s="603"/>
      <c r="Q678" s="603"/>
      <c r="R678" s="603"/>
      <c r="S678" s="603"/>
      <c r="T678" s="603"/>
      <c r="U678" s="603"/>
      <c r="V678" s="603"/>
      <c r="W678" s="603"/>
      <c r="X678" s="603"/>
      <c r="Y678" s="603"/>
      <c r="Z678" s="603"/>
    </row>
    <row r="679" spans="1:26" ht="18" customHeight="1" x14ac:dyDescent="0.2">
      <c r="A679" s="603"/>
      <c r="B679" s="603"/>
      <c r="C679" s="603"/>
      <c r="D679" s="603"/>
      <c r="E679" s="603"/>
      <c r="F679" s="603"/>
      <c r="G679" s="603"/>
      <c r="H679" s="603"/>
      <c r="I679" s="603"/>
      <c r="J679" s="603"/>
      <c r="K679" s="603"/>
      <c r="L679" s="603"/>
      <c r="M679" s="603"/>
      <c r="N679" s="603"/>
      <c r="O679" s="603"/>
      <c r="P679" s="603"/>
      <c r="Q679" s="603"/>
      <c r="R679" s="603"/>
      <c r="S679" s="603"/>
      <c r="T679" s="603"/>
      <c r="U679" s="603"/>
      <c r="V679" s="603"/>
      <c r="W679" s="603"/>
      <c r="X679" s="603"/>
      <c r="Y679" s="603"/>
      <c r="Z679" s="603"/>
    </row>
    <row r="680" spans="1:26" ht="18" customHeight="1" x14ac:dyDescent="0.2">
      <c r="A680" s="603"/>
      <c r="B680" s="603"/>
      <c r="C680" s="603"/>
      <c r="D680" s="603"/>
      <c r="E680" s="603"/>
      <c r="F680" s="603"/>
      <c r="G680" s="603"/>
      <c r="H680" s="603"/>
      <c r="I680" s="603"/>
      <c r="J680" s="603"/>
      <c r="K680" s="603"/>
      <c r="L680" s="603"/>
      <c r="M680" s="603"/>
      <c r="N680" s="603"/>
      <c r="O680" s="603"/>
      <c r="P680" s="603"/>
      <c r="Q680" s="603"/>
      <c r="R680" s="603"/>
      <c r="S680" s="603"/>
      <c r="T680" s="603"/>
      <c r="U680" s="603"/>
      <c r="V680" s="603"/>
      <c r="W680" s="603"/>
      <c r="X680" s="603"/>
      <c r="Y680" s="603"/>
      <c r="Z680" s="603"/>
    </row>
    <row r="681" spans="1:26" ht="18" customHeight="1" x14ac:dyDescent="0.2">
      <c r="A681" s="603"/>
      <c r="B681" s="603"/>
      <c r="C681" s="603"/>
      <c r="D681" s="603"/>
      <c r="E681" s="603"/>
      <c r="F681" s="603"/>
      <c r="G681" s="603"/>
      <c r="H681" s="603"/>
      <c r="I681" s="603"/>
      <c r="J681" s="603"/>
      <c r="K681" s="603"/>
      <c r="L681" s="603"/>
      <c r="M681" s="603"/>
      <c r="N681" s="603"/>
      <c r="O681" s="603"/>
      <c r="P681" s="603"/>
      <c r="Q681" s="603"/>
      <c r="R681" s="603"/>
      <c r="S681" s="603"/>
      <c r="T681" s="603"/>
      <c r="U681" s="603"/>
      <c r="V681" s="603"/>
      <c r="W681" s="603"/>
      <c r="X681" s="603"/>
      <c r="Y681" s="603"/>
      <c r="Z681" s="603"/>
    </row>
    <row r="682" spans="1:26" ht="18" customHeight="1" x14ac:dyDescent="0.2">
      <c r="A682" s="603"/>
      <c r="B682" s="603"/>
      <c r="C682" s="603"/>
      <c r="D682" s="603"/>
      <c r="E682" s="603"/>
      <c r="F682" s="603"/>
      <c r="G682" s="603"/>
      <c r="H682" s="603"/>
      <c r="I682" s="603"/>
      <c r="J682" s="603"/>
      <c r="K682" s="603"/>
      <c r="L682" s="603"/>
      <c r="M682" s="603"/>
      <c r="N682" s="603"/>
      <c r="O682" s="603"/>
      <c r="P682" s="603"/>
      <c r="Q682" s="603"/>
      <c r="R682" s="603"/>
      <c r="S682" s="603"/>
      <c r="T682" s="603"/>
      <c r="U682" s="603"/>
      <c r="V682" s="603"/>
      <c r="W682" s="603"/>
      <c r="X682" s="603"/>
      <c r="Y682" s="603"/>
      <c r="Z682" s="603"/>
    </row>
    <row r="683" spans="1:26" ht="18" customHeight="1" x14ac:dyDescent="0.2">
      <c r="A683" s="603"/>
      <c r="B683" s="603"/>
      <c r="C683" s="603"/>
      <c r="D683" s="603"/>
      <c r="E683" s="603"/>
      <c r="F683" s="603"/>
      <c r="G683" s="603"/>
      <c r="H683" s="603"/>
      <c r="I683" s="603"/>
      <c r="J683" s="603"/>
      <c r="K683" s="603"/>
      <c r="L683" s="603"/>
      <c r="M683" s="603"/>
      <c r="N683" s="603"/>
      <c r="O683" s="603"/>
      <c r="P683" s="603"/>
      <c r="Q683" s="603"/>
      <c r="R683" s="603"/>
      <c r="S683" s="603"/>
      <c r="T683" s="603"/>
      <c r="U683" s="603"/>
      <c r="V683" s="603"/>
      <c r="W683" s="603"/>
      <c r="X683" s="603"/>
      <c r="Y683" s="603"/>
      <c r="Z683" s="603"/>
    </row>
    <row r="684" spans="1:26" ht="18" customHeight="1" x14ac:dyDescent="0.2">
      <c r="A684" s="603"/>
      <c r="B684" s="603"/>
      <c r="C684" s="603"/>
      <c r="D684" s="603"/>
      <c r="E684" s="603"/>
      <c r="F684" s="603"/>
      <c r="G684" s="603"/>
      <c r="H684" s="603"/>
      <c r="I684" s="603"/>
      <c r="J684" s="603"/>
      <c r="K684" s="603"/>
      <c r="L684" s="603"/>
      <c r="M684" s="603"/>
      <c r="N684" s="603"/>
      <c r="O684" s="603"/>
      <c r="P684" s="603"/>
      <c r="Q684" s="603"/>
      <c r="R684" s="603"/>
      <c r="S684" s="603"/>
      <c r="T684" s="603"/>
      <c r="U684" s="603"/>
      <c r="V684" s="603"/>
      <c r="W684" s="603"/>
      <c r="X684" s="603"/>
      <c r="Y684" s="603"/>
      <c r="Z684" s="603"/>
    </row>
    <row r="685" spans="1:26" ht="18" customHeight="1" x14ac:dyDescent="0.2">
      <c r="A685" s="603"/>
      <c r="B685" s="603"/>
      <c r="C685" s="603"/>
      <c r="D685" s="603"/>
      <c r="E685" s="603"/>
      <c r="F685" s="603"/>
      <c r="G685" s="603"/>
      <c r="H685" s="603"/>
      <c r="I685" s="603"/>
      <c r="J685" s="603"/>
      <c r="K685" s="603"/>
      <c r="L685" s="603"/>
      <c r="M685" s="603"/>
      <c r="N685" s="603"/>
      <c r="O685" s="603"/>
      <c r="P685" s="603"/>
      <c r="Q685" s="603"/>
      <c r="R685" s="603"/>
      <c r="S685" s="603"/>
      <c r="T685" s="603"/>
      <c r="U685" s="603"/>
      <c r="V685" s="603"/>
      <c r="W685" s="603"/>
      <c r="X685" s="603"/>
      <c r="Y685" s="603"/>
      <c r="Z685" s="603"/>
    </row>
    <row r="686" spans="1:26" ht="18" customHeight="1" x14ac:dyDescent="0.2">
      <c r="A686" s="603"/>
      <c r="B686" s="603"/>
      <c r="C686" s="603"/>
      <c r="D686" s="603"/>
      <c r="E686" s="603"/>
      <c r="F686" s="603"/>
      <c r="G686" s="603"/>
      <c r="H686" s="603"/>
      <c r="I686" s="603"/>
      <c r="J686" s="603"/>
      <c r="K686" s="603"/>
      <c r="L686" s="603"/>
      <c r="M686" s="603"/>
      <c r="N686" s="603"/>
      <c r="O686" s="603"/>
      <c r="P686" s="603"/>
      <c r="Q686" s="603"/>
      <c r="R686" s="603"/>
      <c r="S686" s="603"/>
      <c r="T686" s="603"/>
      <c r="U686" s="603"/>
      <c r="V686" s="603"/>
      <c r="W686" s="603"/>
      <c r="X686" s="603"/>
      <c r="Y686" s="603"/>
      <c r="Z686" s="603"/>
    </row>
    <row r="687" spans="1:26" ht="18" customHeight="1" x14ac:dyDescent="0.2">
      <c r="A687" s="603"/>
      <c r="B687" s="603"/>
      <c r="C687" s="603"/>
      <c r="D687" s="603"/>
      <c r="E687" s="603"/>
      <c r="F687" s="603"/>
      <c r="G687" s="603"/>
      <c r="H687" s="603"/>
      <c r="I687" s="603"/>
      <c r="J687" s="603"/>
      <c r="K687" s="603"/>
      <c r="L687" s="603"/>
      <c r="M687" s="603"/>
      <c r="N687" s="603"/>
      <c r="O687" s="603"/>
      <c r="P687" s="603"/>
      <c r="Q687" s="603"/>
      <c r="R687" s="603"/>
      <c r="S687" s="603"/>
      <c r="T687" s="603"/>
      <c r="U687" s="603"/>
      <c r="V687" s="603"/>
      <c r="W687" s="603"/>
      <c r="X687" s="603"/>
      <c r="Y687" s="603"/>
      <c r="Z687" s="603"/>
    </row>
    <row r="688" spans="1:26" ht="18" customHeight="1" x14ac:dyDescent="0.2">
      <c r="A688" s="603"/>
      <c r="B688" s="603"/>
      <c r="C688" s="603"/>
      <c r="D688" s="603"/>
      <c r="E688" s="603"/>
      <c r="F688" s="603"/>
      <c r="G688" s="603"/>
      <c r="H688" s="603"/>
      <c r="I688" s="603"/>
      <c r="J688" s="603"/>
      <c r="K688" s="603"/>
      <c r="L688" s="603"/>
      <c r="M688" s="603"/>
      <c r="N688" s="603"/>
      <c r="O688" s="603"/>
      <c r="P688" s="603"/>
      <c r="Q688" s="603"/>
      <c r="R688" s="603"/>
      <c r="S688" s="603"/>
      <c r="T688" s="603"/>
      <c r="U688" s="603"/>
      <c r="V688" s="603"/>
      <c r="W688" s="603"/>
      <c r="X688" s="603"/>
      <c r="Y688" s="603"/>
      <c r="Z688" s="603"/>
    </row>
    <row r="689" spans="1:26" ht="18" customHeight="1" x14ac:dyDescent="0.2">
      <c r="A689" s="603"/>
      <c r="B689" s="603"/>
      <c r="C689" s="603"/>
      <c r="D689" s="603"/>
      <c r="E689" s="603"/>
      <c r="F689" s="603"/>
      <c r="G689" s="603"/>
      <c r="H689" s="603"/>
      <c r="I689" s="603"/>
      <c r="J689" s="603"/>
      <c r="K689" s="603"/>
      <c r="L689" s="603"/>
      <c r="M689" s="603"/>
      <c r="N689" s="603"/>
      <c r="O689" s="603"/>
      <c r="P689" s="603"/>
      <c r="Q689" s="603"/>
      <c r="R689" s="603"/>
      <c r="S689" s="603"/>
      <c r="T689" s="603"/>
      <c r="U689" s="603"/>
      <c r="V689" s="603"/>
      <c r="W689" s="603"/>
      <c r="X689" s="603"/>
      <c r="Y689" s="603"/>
      <c r="Z689" s="603"/>
    </row>
    <row r="690" spans="1:26" ht="18" customHeight="1" x14ac:dyDescent="0.2">
      <c r="A690" s="603"/>
      <c r="B690" s="603"/>
      <c r="C690" s="603"/>
      <c r="D690" s="603"/>
      <c r="E690" s="603"/>
      <c r="F690" s="603"/>
      <c r="G690" s="603"/>
      <c r="H690" s="603"/>
      <c r="I690" s="603"/>
      <c r="J690" s="603"/>
      <c r="K690" s="603"/>
      <c r="L690" s="603"/>
      <c r="M690" s="603"/>
      <c r="N690" s="603"/>
      <c r="O690" s="603"/>
      <c r="P690" s="603"/>
      <c r="Q690" s="603"/>
      <c r="R690" s="603"/>
      <c r="S690" s="603"/>
      <c r="T690" s="603"/>
      <c r="U690" s="603"/>
      <c r="V690" s="603"/>
      <c r="W690" s="603"/>
      <c r="X690" s="603"/>
      <c r="Y690" s="603"/>
      <c r="Z690" s="603"/>
    </row>
    <row r="691" spans="1:26" ht="18" customHeight="1" x14ac:dyDescent="0.2">
      <c r="A691" s="603"/>
      <c r="B691" s="603"/>
      <c r="C691" s="603"/>
      <c r="D691" s="603"/>
      <c r="E691" s="603"/>
      <c r="F691" s="603"/>
      <c r="G691" s="603"/>
      <c r="H691" s="603"/>
      <c r="I691" s="603"/>
      <c r="J691" s="603"/>
      <c r="K691" s="603"/>
      <c r="L691" s="603"/>
      <c r="M691" s="603"/>
      <c r="N691" s="603"/>
      <c r="O691" s="603"/>
      <c r="P691" s="603"/>
      <c r="Q691" s="603"/>
      <c r="R691" s="603"/>
      <c r="S691" s="603"/>
      <c r="T691" s="603"/>
      <c r="U691" s="603"/>
      <c r="V691" s="603"/>
      <c r="W691" s="603"/>
      <c r="X691" s="603"/>
      <c r="Y691" s="603"/>
      <c r="Z691" s="603"/>
    </row>
    <row r="692" spans="1:26" ht="18" customHeight="1" x14ac:dyDescent="0.2">
      <c r="A692" s="603"/>
      <c r="B692" s="603"/>
      <c r="C692" s="603"/>
      <c r="D692" s="603"/>
      <c r="E692" s="603"/>
      <c r="F692" s="603"/>
      <c r="G692" s="603"/>
      <c r="H692" s="603"/>
      <c r="I692" s="603"/>
      <c r="J692" s="603"/>
      <c r="K692" s="603"/>
      <c r="L692" s="603"/>
      <c r="M692" s="603"/>
      <c r="N692" s="603"/>
      <c r="O692" s="603"/>
      <c r="P692" s="603"/>
      <c r="Q692" s="603"/>
      <c r="R692" s="603"/>
      <c r="S692" s="603"/>
      <c r="T692" s="603"/>
      <c r="U692" s="603"/>
      <c r="V692" s="603"/>
      <c r="W692" s="603"/>
      <c r="X692" s="603"/>
      <c r="Y692" s="603"/>
      <c r="Z692" s="603"/>
    </row>
    <row r="693" spans="1:26" ht="18" customHeight="1" x14ac:dyDescent="0.2">
      <c r="A693" s="603"/>
      <c r="B693" s="603"/>
      <c r="C693" s="603"/>
      <c r="D693" s="603"/>
      <c r="E693" s="603"/>
      <c r="F693" s="603"/>
      <c r="G693" s="603"/>
      <c r="H693" s="603"/>
      <c r="I693" s="603"/>
      <c r="J693" s="603"/>
      <c r="K693" s="603"/>
      <c r="L693" s="603"/>
      <c r="M693" s="603"/>
      <c r="N693" s="603"/>
      <c r="O693" s="603"/>
      <c r="P693" s="603"/>
      <c r="Q693" s="603"/>
      <c r="R693" s="603"/>
      <c r="S693" s="603"/>
      <c r="T693" s="603"/>
      <c r="U693" s="603"/>
      <c r="V693" s="603"/>
      <c r="W693" s="603"/>
      <c r="X693" s="603"/>
      <c r="Y693" s="603"/>
      <c r="Z693" s="603"/>
    </row>
    <row r="694" spans="1:26" ht="18" customHeight="1" x14ac:dyDescent="0.2">
      <c r="A694" s="603"/>
      <c r="B694" s="603"/>
      <c r="C694" s="603"/>
      <c r="D694" s="603"/>
      <c r="E694" s="603"/>
      <c r="F694" s="603"/>
      <c r="G694" s="603"/>
      <c r="H694" s="603"/>
      <c r="I694" s="603"/>
      <c r="J694" s="603"/>
      <c r="K694" s="603"/>
      <c r="L694" s="603"/>
      <c r="M694" s="603"/>
      <c r="N694" s="603"/>
      <c r="O694" s="603"/>
      <c r="P694" s="603"/>
      <c r="Q694" s="603"/>
      <c r="R694" s="603"/>
      <c r="S694" s="603"/>
      <c r="T694" s="603"/>
      <c r="U694" s="603"/>
      <c r="V694" s="603"/>
      <c r="W694" s="603"/>
      <c r="X694" s="603"/>
      <c r="Y694" s="603"/>
      <c r="Z694" s="603"/>
    </row>
    <row r="695" spans="1:26" ht="18" customHeight="1" x14ac:dyDescent="0.2">
      <c r="A695" s="603"/>
      <c r="B695" s="603"/>
      <c r="C695" s="603"/>
      <c r="D695" s="603"/>
      <c r="E695" s="603"/>
      <c r="F695" s="603"/>
      <c r="G695" s="603"/>
      <c r="H695" s="603"/>
      <c r="I695" s="603"/>
      <c r="J695" s="603"/>
      <c r="K695" s="603"/>
      <c r="L695" s="603"/>
      <c r="M695" s="603"/>
      <c r="N695" s="603"/>
      <c r="O695" s="603"/>
      <c r="P695" s="603"/>
      <c r="Q695" s="603"/>
      <c r="R695" s="603"/>
      <c r="S695" s="603"/>
      <c r="T695" s="603"/>
      <c r="U695" s="603"/>
      <c r="V695" s="603"/>
      <c r="W695" s="603"/>
      <c r="X695" s="603"/>
      <c r="Y695" s="603"/>
      <c r="Z695" s="603"/>
    </row>
    <row r="696" spans="1:26" ht="18" customHeight="1" x14ac:dyDescent="0.2">
      <c r="A696" s="603"/>
      <c r="B696" s="603"/>
      <c r="C696" s="603"/>
      <c r="D696" s="603"/>
      <c r="E696" s="603"/>
      <c r="F696" s="603"/>
      <c r="G696" s="603"/>
      <c r="H696" s="603"/>
      <c r="I696" s="603"/>
      <c r="J696" s="603"/>
      <c r="K696" s="603"/>
      <c r="L696" s="603"/>
      <c r="M696" s="603"/>
      <c r="N696" s="603"/>
      <c r="O696" s="603"/>
      <c r="P696" s="603"/>
      <c r="Q696" s="603"/>
      <c r="R696" s="603"/>
      <c r="S696" s="603"/>
      <c r="T696" s="603"/>
      <c r="U696" s="603"/>
      <c r="V696" s="603"/>
      <c r="W696" s="603"/>
      <c r="X696" s="603"/>
      <c r="Y696" s="603"/>
      <c r="Z696" s="603"/>
    </row>
    <row r="697" spans="1:26" ht="18" customHeight="1" x14ac:dyDescent="0.2">
      <c r="A697" s="603"/>
      <c r="B697" s="603"/>
      <c r="C697" s="603"/>
      <c r="D697" s="603"/>
      <c r="E697" s="603"/>
      <c r="F697" s="603"/>
      <c r="G697" s="603"/>
      <c r="H697" s="603"/>
      <c r="I697" s="603"/>
      <c r="J697" s="603"/>
      <c r="K697" s="603"/>
      <c r="L697" s="603"/>
      <c r="M697" s="603"/>
      <c r="N697" s="603"/>
      <c r="O697" s="603"/>
      <c r="P697" s="603"/>
      <c r="Q697" s="603"/>
      <c r="R697" s="603"/>
      <c r="S697" s="603"/>
      <c r="T697" s="603"/>
      <c r="U697" s="603"/>
      <c r="V697" s="603"/>
      <c r="W697" s="603"/>
      <c r="X697" s="603"/>
      <c r="Y697" s="603"/>
      <c r="Z697" s="603"/>
    </row>
    <row r="698" spans="1:26" ht="18" customHeight="1" x14ac:dyDescent="0.2">
      <c r="A698" s="603"/>
      <c r="B698" s="603"/>
      <c r="C698" s="603"/>
      <c r="D698" s="603"/>
      <c r="E698" s="603"/>
      <c r="F698" s="603"/>
      <c r="G698" s="603"/>
      <c r="H698" s="603"/>
      <c r="I698" s="603"/>
      <c r="J698" s="603"/>
      <c r="K698" s="603"/>
      <c r="L698" s="603"/>
      <c r="M698" s="603"/>
      <c r="N698" s="603"/>
      <c r="O698" s="603"/>
      <c r="P698" s="603"/>
      <c r="Q698" s="603"/>
      <c r="R698" s="603"/>
      <c r="S698" s="603"/>
      <c r="T698" s="603"/>
      <c r="U698" s="603"/>
      <c r="V698" s="603"/>
      <c r="W698" s="603"/>
      <c r="X698" s="603"/>
      <c r="Y698" s="603"/>
      <c r="Z698" s="603"/>
    </row>
    <row r="699" spans="1:26" ht="18" customHeight="1" x14ac:dyDescent="0.2">
      <c r="A699" s="603"/>
      <c r="B699" s="603"/>
      <c r="C699" s="603"/>
      <c r="D699" s="603"/>
      <c r="E699" s="603"/>
      <c r="F699" s="603"/>
      <c r="G699" s="603"/>
      <c r="H699" s="603"/>
      <c r="I699" s="603"/>
      <c r="J699" s="603"/>
      <c r="K699" s="603"/>
      <c r="L699" s="603"/>
      <c r="M699" s="603"/>
      <c r="N699" s="603"/>
      <c r="O699" s="603"/>
      <c r="P699" s="603"/>
      <c r="Q699" s="603"/>
      <c r="R699" s="603"/>
      <c r="S699" s="603"/>
      <c r="T699" s="603"/>
      <c r="U699" s="603"/>
      <c r="V699" s="603"/>
      <c r="W699" s="603"/>
      <c r="X699" s="603"/>
      <c r="Y699" s="603"/>
      <c r="Z699" s="603"/>
    </row>
    <row r="700" spans="1:26" ht="18" customHeight="1" x14ac:dyDescent="0.2">
      <c r="A700" s="603"/>
      <c r="B700" s="603"/>
      <c r="C700" s="603"/>
      <c r="D700" s="603"/>
      <c r="E700" s="603"/>
      <c r="F700" s="603"/>
      <c r="G700" s="603"/>
      <c r="H700" s="603"/>
      <c r="I700" s="603"/>
      <c r="J700" s="603"/>
      <c r="K700" s="603"/>
      <c r="L700" s="603"/>
      <c r="M700" s="603"/>
      <c r="N700" s="603"/>
      <c r="O700" s="603"/>
      <c r="P700" s="603"/>
      <c r="Q700" s="603"/>
      <c r="R700" s="603"/>
      <c r="S700" s="603"/>
      <c r="T700" s="603"/>
      <c r="U700" s="603"/>
      <c r="V700" s="603"/>
      <c r="W700" s="603"/>
      <c r="X700" s="603"/>
      <c r="Y700" s="603"/>
      <c r="Z700" s="603"/>
    </row>
    <row r="701" spans="1:26" ht="18" customHeight="1" x14ac:dyDescent="0.2">
      <c r="A701" s="603"/>
      <c r="B701" s="603"/>
      <c r="C701" s="603"/>
      <c r="D701" s="603"/>
      <c r="E701" s="603"/>
      <c r="F701" s="603"/>
      <c r="G701" s="603"/>
      <c r="H701" s="603"/>
      <c r="I701" s="603"/>
      <c r="J701" s="603"/>
      <c r="K701" s="603"/>
      <c r="L701" s="603"/>
      <c r="M701" s="603"/>
      <c r="N701" s="603"/>
      <c r="O701" s="603"/>
      <c r="P701" s="603"/>
      <c r="Q701" s="603"/>
      <c r="R701" s="603"/>
      <c r="S701" s="603"/>
      <c r="T701" s="603"/>
      <c r="U701" s="603"/>
      <c r="V701" s="603"/>
      <c r="W701" s="603"/>
      <c r="X701" s="603"/>
      <c r="Y701" s="603"/>
      <c r="Z701" s="603"/>
    </row>
    <row r="702" spans="1:26" ht="18" customHeight="1" x14ac:dyDescent="0.2">
      <c r="A702" s="603"/>
      <c r="B702" s="603"/>
      <c r="C702" s="603"/>
      <c r="D702" s="603"/>
      <c r="E702" s="603"/>
      <c r="F702" s="603"/>
      <c r="G702" s="603"/>
      <c r="H702" s="603"/>
      <c r="I702" s="603"/>
      <c r="J702" s="603"/>
      <c r="K702" s="603"/>
      <c r="L702" s="603"/>
      <c r="M702" s="603"/>
      <c r="N702" s="603"/>
      <c r="O702" s="603"/>
      <c r="P702" s="603"/>
      <c r="Q702" s="603"/>
      <c r="R702" s="603"/>
      <c r="S702" s="603"/>
      <c r="T702" s="603"/>
      <c r="U702" s="603"/>
      <c r="V702" s="603"/>
      <c r="W702" s="603"/>
      <c r="X702" s="603"/>
      <c r="Y702" s="603"/>
      <c r="Z702" s="603"/>
    </row>
    <row r="703" spans="1:26" ht="18" customHeight="1" x14ac:dyDescent="0.2">
      <c r="A703" s="603"/>
      <c r="B703" s="603"/>
      <c r="C703" s="603"/>
      <c r="D703" s="603"/>
      <c r="E703" s="603"/>
      <c r="F703" s="603"/>
      <c r="G703" s="603"/>
      <c r="H703" s="603"/>
      <c r="I703" s="603"/>
      <c r="J703" s="603"/>
      <c r="K703" s="603"/>
      <c r="L703" s="603"/>
      <c r="M703" s="603"/>
      <c r="N703" s="603"/>
      <c r="O703" s="603"/>
      <c r="P703" s="603"/>
      <c r="Q703" s="603"/>
      <c r="R703" s="603"/>
      <c r="S703" s="603"/>
      <c r="T703" s="603"/>
      <c r="U703" s="603"/>
      <c r="V703" s="603"/>
      <c r="W703" s="603"/>
      <c r="X703" s="603"/>
      <c r="Y703" s="603"/>
      <c r="Z703" s="603"/>
    </row>
    <row r="704" spans="1:26" ht="18" customHeight="1" x14ac:dyDescent="0.2">
      <c r="A704" s="603"/>
      <c r="B704" s="603"/>
      <c r="C704" s="603"/>
      <c r="D704" s="603"/>
      <c r="E704" s="603"/>
      <c r="F704" s="603"/>
      <c r="G704" s="603"/>
      <c r="H704" s="603"/>
      <c r="I704" s="603"/>
      <c r="J704" s="603"/>
      <c r="K704" s="603"/>
      <c r="L704" s="603"/>
      <c r="M704" s="603"/>
      <c r="N704" s="603"/>
      <c r="O704" s="603"/>
      <c r="P704" s="603"/>
      <c r="Q704" s="603"/>
      <c r="R704" s="603"/>
      <c r="S704" s="603"/>
      <c r="T704" s="603"/>
      <c r="U704" s="603"/>
      <c r="V704" s="603"/>
      <c r="W704" s="603"/>
      <c r="X704" s="603"/>
      <c r="Y704" s="603"/>
      <c r="Z704" s="603"/>
    </row>
    <row r="705" spans="1:26" ht="18" customHeight="1" x14ac:dyDescent="0.2">
      <c r="A705" s="603"/>
      <c r="B705" s="603"/>
      <c r="C705" s="603"/>
      <c r="D705" s="603"/>
      <c r="E705" s="603"/>
      <c r="F705" s="603"/>
      <c r="G705" s="603"/>
      <c r="H705" s="603"/>
      <c r="I705" s="603"/>
      <c r="J705" s="603"/>
      <c r="K705" s="603"/>
      <c r="L705" s="603"/>
      <c r="M705" s="603"/>
      <c r="N705" s="603"/>
      <c r="O705" s="603"/>
      <c r="P705" s="603"/>
      <c r="Q705" s="603"/>
      <c r="R705" s="603"/>
      <c r="S705" s="603"/>
      <c r="T705" s="603"/>
      <c r="U705" s="603"/>
      <c r="V705" s="603"/>
      <c r="W705" s="603"/>
      <c r="X705" s="603"/>
      <c r="Y705" s="603"/>
      <c r="Z705" s="603"/>
    </row>
    <row r="706" spans="1:26" ht="18" customHeight="1" x14ac:dyDescent="0.2">
      <c r="A706" s="603"/>
      <c r="B706" s="603"/>
      <c r="C706" s="603"/>
      <c r="D706" s="603"/>
      <c r="E706" s="603"/>
      <c r="F706" s="603"/>
      <c r="G706" s="603"/>
      <c r="H706" s="603"/>
      <c r="I706" s="603"/>
      <c r="J706" s="603"/>
      <c r="K706" s="603"/>
      <c r="L706" s="603"/>
      <c r="M706" s="603"/>
      <c r="N706" s="603"/>
      <c r="O706" s="603"/>
      <c r="P706" s="603"/>
      <c r="Q706" s="603"/>
      <c r="R706" s="603"/>
      <c r="S706" s="603"/>
      <c r="T706" s="603"/>
      <c r="U706" s="603"/>
      <c r="V706" s="603"/>
      <c r="W706" s="603"/>
      <c r="X706" s="603"/>
      <c r="Y706" s="603"/>
      <c r="Z706" s="603"/>
    </row>
    <row r="707" spans="1:26" ht="18" customHeight="1" x14ac:dyDescent="0.2">
      <c r="A707" s="603"/>
      <c r="B707" s="603"/>
      <c r="C707" s="603"/>
      <c r="D707" s="603"/>
      <c r="E707" s="603"/>
      <c r="F707" s="603"/>
      <c r="G707" s="603"/>
      <c r="H707" s="603"/>
      <c r="I707" s="603"/>
      <c r="J707" s="603"/>
      <c r="K707" s="603"/>
      <c r="L707" s="603"/>
      <c r="M707" s="603"/>
      <c r="N707" s="603"/>
      <c r="O707" s="603"/>
      <c r="P707" s="603"/>
      <c r="Q707" s="603"/>
      <c r="R707" s="603"/>
      <c r="S707" s="603"/>
      <c r="T707" s="603"/>
      <c r="U707" s="603"/>
      <c r="V707" s="603"/>
      <c r="W707" s="603"/>
      <c r="X707" s="603"/>
      <c r="Y707" s="603"/>
      <c r="Z707" s="603"/>
    </row>
    <row r="708" spans="1:26" ht="18" customHeight="1" x14ac:dyDescent="0.2">
      <c r="A708" s="603"/>
      <c r="B708" s="603"/>
      <c r="C708" s="603"/>
      <c r="D708" s="603"/>
      <c r="E708" s="603"/>
      <c r="F708" s="603"/>
      <c r="G708" s="603"/>
      <c r="H708" s="603"/>
      <c r="I708" s="603"/>
      <c r="J708" s="603"/>
      <c r="K708" s="603"/>
      <c r="L708" s="603"/>
      <c r="M708" s="603"/>
      <c r="N708" s="603"/>
      <c r="O708" s="603"/>
      <c r="P708" s="603"/>
      <c r="Q708" s="603"/>
      <c r="R708" s="603"/>
      <c r="S708" s="603"/>
      <c r="T708" s="603"/>
      <c r="U708" s="603"/>
      <c r="V708" s="603"/>
      <c r="W708" s="603"/>
      <c r="X708" s="603"/>
      <c r="Y708" s="603"/>
      <c r="Z708" s="603"/>
    </row>
    <row r="709" spans="1:26" ht="18" customHeight="1" x14ac:dyDescent="0.2">
      <c r="A709" s="603"/>
      <c r="B709" s="603"/>
      <c r="C709" s="603"/>
      <c r="D709" s="603"/>
      <c r="E709" s="603"/>
      <c r="F709" s="603"/>
      <c r="G709" s="603"/>
      <c r="H709" s="603"/>
      <c r="I709" s="603"/>
      <c r="J709" s="603"/>
      <c r="K709" s="603"/>
      <c r="L709" s="603"/>
      <c r="M709" s="603"/>
      <c r="N709" s="603"/>
      <c r="O709" s="603"/>
      <c r="P709" s="603"/>
      <c r="Q709" s="603"/>
      <c r="R709" s="603"/>
      <c r="S709" s="603"/>
      <c r="T709" s="603"/>
      <c r="U709" s="603"/>
      <c r="V709" s="603"/>
      <c r="W709" s="603"/>
      <c r="X709" s="603"/>
      <c r="Y709" s="603"/>
      <c r="Z709" s="603"/>
    </row>
    <row r="710" spans="1:26" ht="18" customHeight="1" x14ac:dyDescent="0.2">
      <c r="A710" s="603"/>
      <c r="B710" s="603"/>
      <c r="C710" s="603"/>
      <c r="D710" s="603"/>
      <c r="E710" s="603"/>
      <c r="F710" s="603"/>
      <c r="G710" s="603"/>
      <c r="H710" s="603"/>
      <c r="I710" s="603"/>
      <c r="J710" s="603"/>
      <c r="K710" s="603"/>
      <c r="L710" s="603"/>
      <c r="M710" s="603"/>
      <c r="N710" s="603"/>
      <c r="O710" s="603"/>
      <c r="P710" s="603"/>
      <c r="Q710" s="603"/>
      <c r="R710" s="603"/>
      <c r="S710" s="603"/>
      <c r="T710" s="603"/>
      <c r="U710" s="603"/>
      <c r="V710" s="603"/>
      <c r="W710" s="603"/>
      <c r="X710" s="603"/>
      <c r="Y710" s="603"/>
      <c r="Z710" s="603"/>
    </row>
    <row r="711" spans="1:26" ht="18" customHeight="1" x14ac:dyDescent="0.2">
      <c r="A711" s="603"/>
      <c r="B711" s="603"/>
      <c r="C711" s="603"/>
      <c r="D711" s="603"/>
      <c r="E711" s="603"/>
      <c r="F711" s="603"/>
      <c r="G711" s="603"/>
      <c r="H711" s="603"/>
      <c r="I711" s="603"/>
      <c r="J711" s="603"/>
      <c r="K711" s="603"/>
      <c r="L711" s="603"/>
      <c r="M711" s="603"/>
      <c r="N711" s="603"/>
      <c r="O711" s="603"/>
      <c r="P711" s="603"/>
      <c r="Q711" s="603"/>
      <c r="R711" s="603"/>
      <c r="S711" s="603"/>
      <c r="T711" s="603"/>
      <c r="U711" s="603"/>
      <c r="V711" s="603"/>
      <c r="W711" s="603"/>
      <c r="X711" s="603"/>
      <c r="Y711" s="603"/>
      <c r="Z711" s="603"/>
    </row>
    <row r="712" spans="1:26" ht="18" customHeight="1" x14ac:dyDescent="0.2">
      <c r="A712" s="603"/>
      <c r="B712" s="603"/>
      <c r="C712" s="603"/>
      <c r="D712" s="603"/>
      <c r="E712" s="603"/>
      <c r="F712" s="603"/>
      <c r="G712" s="603"/>
      <c r="H712" s="603"/>
      <c r="I712" s="603"/>
      <c r="J712" s="603"/>
      <c r="K712" s="603"/>
      <c r="L712" s="603"/>
      <c r="M712" s="603"/>
      <c r="N712" s="603"/>
      <c r="O712" s="603"/>
      <c r="P712" s="603"/>
      <c r="Q712" s="603"/>
      <c r="R712" s="603"/>
      <c r="S712" s="603"/>
      <c r="T712" s="603"/>
      <c r="U712" s="603"/>
      <c r="V712" s="603"/>
      <c r="W712" s="603"/>
      <c r="X712" s="603"/>
      <c r="Y712" s="603"/>
      <c r="Z712" s="603"/>
    </row>
    <row r="713" spans="1:26" ht="18" customHeight="1" x14ac:dyDescent="0.2">
      <c r="A713" s="603"/>
      <c r="B713" s="603"/>
      <c r="C713" s="603"/>
      <c r="D713" s="603"/>
      <c r="E713" s="603"/>
      <c r="F713" s="603"/>
      <c r="G713" s="603"/>
      <c r="H713" s="603"/>
      <c r="I713" s="603"/>
      <c r="J713" s="603"/>
      <c r="K713" s="603"/>
      <c r="L713" s="603"/>
      <c r="M713" s="603"/>
      <c r="N713" s="603"/>
      <c r="O713" s="603"/>
      <c r="P713" s="603"/>
      <c r="Q713" s="603"/>
      <c r="R713" s="603"/>
      <c r="S713" s="603"/>
      <c r="T713" s="603"/>
      <c r="U713" s="603"/>
      <c r="V713" s="603"/>
      <c r="W713" s="603"/>
      <c r="X713" s="603"/>
      <c r="Y713" s="603"/>
      <c r="Z713" s="603"/>
    </row>
    <row r="714" spans="1:26" ht="18" customHeight="1" x14ac:dyDescent="0.2">
      <c r="A714" s="603"/>
      <c r="B714" s="603"/>
      <c r="C714" s="603"/>
      <c r="D714" s="603"/>
      <c r="E714" s="603"/>
      <c r="F714" s="603"/>
      <c r="G714" s="603"/>
      <c r="H714" s="603"/>
      <c r="I714" s="603"/>
      <c r="J714" s="603"/>
      <c r="K714" s="603"/>
      <c r="L714" s="603"/>
      <c r="M714" s="603"/>
      <c r="N714" s="603"/>
      <c r="O714" s="603"/>
      <c r="P714" s="603"/>
      <c r="Q714" s="603"/>
      <c r="R714" s="603"/>
      <c r="S714" s="603"/>
      <c r="T714" s="603"/>
      <c r="U714" s="603"/>
      <c r="V714" s="603"/>
      <c r="W714" s="603"/>
      <c r="X714" s="603"/>
      <c r="Y714" s="603"/>
      <c r="Z714" s="603"/>
    </row>
    <row r="715" spans="1:26" ht="18" customHeight="1" x14ac:dyDescent="0.2">
      <c r="A715" s="603"/>
      <c r="B715" s="603"/>
      <c r="C715" s="603"/>
      <c r="D715" s="603"/>
      <c r="E715" s="603"/>
      <c r="F715" s="603"/>
      <c r="G715" s="603"/>
      <c r="H715" s="603"/>
      <c r="I715" s="603"/>
      <c r="J715" s="603"/>
      <c r="K715" s="603"/>
      <c r="L715" s="603"/>
      <c r="M715" s="603"/>
      <c r="N715" s="603"/>
      <c r="O715" s="603"/>
      <c r="P715" s="603"/>
      <c r="Q715" s="603"/>
      <c r="R715" s="603"/>
      <c r="S715" s="603"/>
      <c r="T715" s="603"/>
      <c r="U715" s="603"/>
      <c r="V715" s="603"/>
      <c r="W715" s="603"/>
      <c r="X715" s="603"/>
      <c r="Y715" s="603"/>
      <c r="Z715" s="603"/>
    </row>
    <row r="716" spans="1:26" ht="18" customHeight="1" x14ac:dyDescent="0.2">
      <c r="A716" s="603"/>
      <c r="B716" s="603"/>
      <c r="C716" s="603"/>
      <c r="D716" s="603"/>
      <c r="E716" s="603"/>
      <c r="F716" s="603"/>
      <c r="G716" s="603"/>
      <c r="H716" s="603"/>
      <c r="I716" s="603"/>
      <c r="J716" s="603"/>
      <c r="K716" s="603"/>
      <c r="L716" s="603"/>
      <c r="M716" s="603"/>
      <c r="N716" s="603"/>
      <c r="O716" s="603"/>
      <c r="P716" s="603"/>
      <c r="Q716" s="603"/>
      <c r="R716" s="603"/>
      <c r="S716" s="603"/>
      <c r="T716" s="603"/>
      <c r="U716" s="603"/>
      <c r="V716" s="603"/>
      <c r="W716" s="603"/>
      <c r="X716" s="603"/>
      <c r="Y716" s="603"/>
      <c r="Z716" s="603"/>
    </row>
    <row r="717" spans="1:26" ht="18" customHeight="1" x14ac:dyDescent="0.2">
      <c r="A717" s="603"/>
      <c r="B717" s="603"/>
      <c r="C717" s="603"/>
      <c r="D717" s="603"/>
      <c r="E717" s="603"/>
      <c r="F717" s="603"/>
      <c r="G717" s="603"/>
      <c r="H717" s="603"/>
      <c r="I717" s="603"/>
      <c r="J717" s="603"/>
      <c r="K717" s="603"/>
      <c r="L717" s="603"/>
      <c r="M717" s="603"/>
      <c r="N717" s="603"/>
      <c r="O717" s="603"/>
      <c r="P717" s="603"/>
      <c r="Q717" s="603"/>
      <c r="R717" s="603"/>
      <c r="S717" s="603"/>
      <c r="T717" s="603"/>
      <c r="U717" s="603"/>
      <c r="V717" s="603"/>
      <c r="W717" s="603"/>
      <c r="X717" s="603"/>
      <c r="Y717" s="603"/>
      <c r="Z717" s="603"/>
    </row>
    <row r="718" spans="1:26" ht="18" customHeight="1" x14ac:dyDescent="0.2">
      <c r="A718" s="603"/>
      <c r="B718" s="603"/>
      <c r="C718" s="603"/>
      <c r="D718" s="603"/>
      <c r="E718" s="603"/>
      <c r="F718" s="603"/>
      <c r="G718" s="603"/>
      <c r="H718" s="603"/>
      <c r="I718" s="603"/>
      <c r="J718" s="603"/>
      <c r="K718" s="603"/>
      <c r="L718" s="603"/>
      <c r="M718" s="603"/>
      <c r="N718" s="603"/>
      <c r="O718" s="603"/>
      <c r="P718" s="603"/>
      <c r="Q718" s="603"/>
      <c r="R718" s="603"/>
      <c r="S718" s="603"/>
      <c r="T718" s="603"/>
      <c r="U718" s="603"/>
      <c r="V718" s="603"/>
      <c r="W718" s="603"/>
      <c r="X718" s="603"/>
      <c r="Y718" s="603"/>
      <c r="Z718" s="603"/>
    </row>
    <row r="719" spans="1:26" ht="18" customHeight="1" x14ac:dyDescent="0.2">
      <c r="A719" s="603"/>
      <c r="B719" s="603"/>
      <c r="C719" s="603"/>
      <c r="D719" s="603"/>
      <c r="E719" s="603"/>
      <c r="F719" s="603"/>
      <c r="G719" s="603"/>
      <c r="H719" s="603"/>
      <c r="I719" s="603"/>
      <c r="J719" s="603"/>
      <c r="K719" s="603"/>
      <c r="L719" s="603"/>
      <c r="M719" s="603"/>
      <c r="N719" s="603"/>
      <c r="O719" s="603"/>
      <c r="P719" s="603"/>
      <c r="Q719" s="603"/>
      <c r="R719" s="603"/>
      <c r="S719" s="603"/>
      <c r="T719" s="603"/>
      <c r="U719" s="603"/>
      <c r="V719" s="603"/>
      <c r="W719" s="603"/>
      <c r="X719" s="603"/>
      <c r="Y719" s="603"/>
      <c r="Z719" s="603"/>
    </row>
    <row r="720" spans="1:26" ht="18" customHeight="1" x14ac:dyDescent="0.2">
      <c r="A720" s="603"/>
      <c r="B720" s="603"/>
      <c r="C720" s="603"/>
      <c r="D720" s="603"/>
      <c r="E720" s="603"/>
      <c r="F720" s="603"/>
      <c r="G720" s="603"/>
      <c r="H720" s="603"/>
      <c r="I720" s="603"/>
      <c r="J720" s="603"/>
      <c r="K720" s="603"/>
      <c r="L720" s="603"/>
      <c r="M720" s="603"/>
      <c r="N720" s="603"/>
      <c r="O720" s="603"/>
      <c r="P720" s="603"/>
      <c r="Q720" s="603"/>
      <c r="R720" s="603"/>
      <c r="S720" s="603"/>
      <c r="T720" s="603"/>
      <c r="U720" s="603"/>
      <c r="V720" s="603"/>
      <c r="W720" s="603"/>
      <c r="X720" s="603"/>
      <c r="Y720" s="603"/>
      <c r="Z720" s="603"/>
    </row>
    <row r="721" spans="1:26" ht="18" customHeight="1" x14ac:dyDescent="0.2">
      <c r="A721" s="603"/>
      <c r="B721" s="603"/>
      <c r="C721" s="603"/>
      <c r="D721" s="603"/>
      <c r="E721" s="603"/>
      <c r="F721" s="603"/>
      <c r="G721" s="603"/>
      <c r="H721" s="603"/>
      <c r="I721" s="603"/>
      <c r="J721" s="603"/>
      <c r="K721" s="603"/>
      <c r="L721" s="603"/>
      <c r="M721" s="603"/>
      <c r="N721" s="603"/>
      <c r="O721" s="603"/>
      <c r="P721" s="603"/>
      <c r="Q721" s="603"/>
      <c r="R721" s="603"/>
      <c r="S721" s="603"/>
      <c r="T721" s="603"/>
      <c r="U721" s="603"/>
      <c r="V721" s="603"/>
      <c r="W721" s="603"/>
      <c r="X721" s="603"/>
      <c r="Y721" s="603"/>
      <c r="Z721" s="603"/>
    </row>
    <row r="722" spans="1:26" ht="18" customHeight="1" x14ac:dyDescent="0.2">
      <c r="A722" s="603"/>
      <c r="B722" s="603"/>
      <c r="C722" s="603"/>
      <c r="D722" s="603"/>
      <c r="E722" s="603"/>
      <c r="F722" s="603"/>
      <c r="G722" s="603"/>
      <c r="H722" s="603"/>
      <c r="I722" s="603"/>
      <c r="J722" s="603"/>
      <c r="K722" s="603"/>
      <c r="L722" s="603"/>
      <c r="M722" s="603"/>
      <c r="N722" s="603"/>
      <c r="O722" s="603"/>
      <c r="P722" s="603"/>
      <c r="Q722" s="603"/>
      <c r="R722" s="603"/>
      <c r="S722" s="603"/>
      <c r="T722" s="603"/>
      <c r="U722" s="603"/>
      <c r="V722" s="603"/>
      <c r="W722" s="603"/>
      <c r="X722" s="603"/>
      <c r="Y722" s="603"/>
      <c r="Z722" s="603"/>
    </row>
    <row r="723" spans="1:26" ht="18" customHeight="1" x14ac:dyDescent="0.2">
      <c r="A723" s="603"/>
      <c r="B723" s="603"/>
      <c r="C723" s="603"/>
      <c r="D723" s="603"/>
      <c r="E723" s="603"/>
      <c r="F723" s="603"/>
      <c r="G723" s="603"/>
      <c r="H723" s="603"/>
      <c r="I723" s="603"/>
      <c r="J723" s="603"/>
      <c r="K723" s="603"/>
      <c r="L723" s="603"/>
      <c r="M723" s="603"/>
      <c r="N723" s="603"/>
      <c r="O723" s="603"/>
      <c r="P723" s="603"/>
      <c r="Q723" s="603"/>
      <c r="R723" s="603"/>
      <c r="S723" s="603"/>
      <c r="T723" s="603"/>
      <c r="U723" s="603"/>
      <c r="V723" s="603"/>
      <c r="W723" s="603"/>
      <c r="X723" s="603"/>
      <c r="Y723" s="603"/>
      <c r="Z723" s="603"/>
    </row>
    <row r="724" spans="1:26" ht="18" customHeight="1" x14ac:dyDescent="0.2">
      <c r="A724" s="603"/>
      <c r="B724" s="603"/>
      <c r="C724" s="603"/>
      <c r="D724" s="603"/>
      <c r="E724" s="603"/>
      <c r="F724" s="603"/>
      <c r="G724" s="603"/>
      <c r="H724" s="603"/>
      <c r="I724" s="603"/>
      <c r="J724" s="603"/>
      <c r="K724" s="603"/>
      <c r="L724" s="603"/>
      <c r="M724" s="603"/>
      <c r="N724" s="603"/>
      <c r="O724" s="603"/>
      <c r="P724" s="603"/>
      <c r="Q724" s="603"/>
      <c r="R724" s="603"/>
      <c r="S724" s="603"/>
      <c r="T724" s="603"/>
      <c r="U724" s="603"/>
      <c r="V724" s="603"/>
      <c r="W724" s="603"/>
      <c r="X724" s="603"/>
      <c r="Y724" s="603"/>
      <c r="Z724" s="603"/>
    </row>
    <row r="725" spans="1:26" ht="18" customHeight="1" x14ac:dyDescent="0.2">
      <c r="A725" s="603"/>
      <c r="B725" s="603"/>
      <c r="C725" s="603"/>
      <c r="D725" s="603"/>
      <c r="E725" s="603"/>
      <c r="F725" s="603"/>
      <c r="G725" s="603"/>
      <c r="H725" s="603"/>
      <c r="I725" s="603"/>
      <c r="J725" s="603"/>
      <c r="K725" s="603"/>
      <c r="L725" s="603"/>
      <c r="M725" s="603"/>
      <c r="N725" s="603"/>
      <c r="O725" s="603"/>
      <c r="P725" s="603"/>
      <c r="Q725" s="603"/>
      <c r="R725" s="603"/>
      <c r="S725" s="603"/>
      <c r="T725" s="603"/>
      <c r="U725" s="603"/>
      <c r="V725" s="603"/>
      <c r="W725" s="603"/>
      <c r="X725" s="603"/>
      <c r="Y725" s="603"/>
      <c r="Z725" s="603"/>
    </row>
    <row r="726" spans="1:26" ht="18" customHeight="1" x14ac:dyDescent="0.2">
      <c r="A726" s="603"/>
      <c r="B726" s="603"/>
      <c r="C726" s="603"/>
      <c r="D726" s="603"/>
      <c r="E726" s="603"/>
      <c r="F726" s="603"/>
      <c r="G726" s="603"/>
      <c r="H726" s="603"/>
      <c r="I726" s="603"/>
      <c r="J726" s="603"/>
      <c r="K726" s="603"/>
      <c r="L726" s="603"/>
      <c r="M726" s="603"/>
      <c r="N726" s="603"/>
      <c r="O726" s="603"/>
      <c r="P726" s="603"/>
      <c r="Q726" s="603"/>
      <c r="R726" s="603"/>
      <c r="S726" s="603"/>
      <c r="T726" s="603"/>
      <c r="U726" s="603"/>
      <c r="V726" s="603"/>
      <c r="W726" s="603"/>
      <c r="X726" s="603"/>
      <c r="Y726" s="603"/>
      <c r="Z726" s="603"/>
    </row>
    <row r="727" spans="1:26" ht="18" customHeight="1" x14ac:dyDescent="0.2">
      <c r="A727" s="603"/>
      <c r="B727" s="603"/>
      <c r="C727" s="603"/>
      <c r="D727" s="603"/>
      <c r="E727" s="603"/>
      <c r="F727" s="603"/>
      <c r="G727" s="603"/>
      <c r="H727" s="603"/>
      <c r="I727" s="603"/>
      <c r="J727" s="603"/>
      <c r="K727" s="603"/>
      <c r="L727" s="603"/>
      <c r="M727" s="603"/>
      <c r="N727" s="603"/>
      <c r="O727" s="603"/>
      <c r="P727" s="603"/>
      <c r="Q727" s="603"/>
      <c r="R727" s="603"/>
      <c r="S727" s="603"/>
      <c r="T727" s="603"/>
      <c r="U727" s="603"/>
      <c r="V727" s="603"/>
      <c r="W727" s="603"/>
      <c r="X727" s="603"/>
      <c r="Y727" s="603"/>
      <c r="Z727" s="603"/>
    </row>
    <row r="728" spans="1:26" ht="18" customHeight="1" x14ac:dyDescent="0.2">
      <c r="A728" s="603"/>
      <c r="B728" s="603"/>
      <c r="C728" s="603"/>
      <c r="D728" s="603"/>
      <c r="E728" s="603"/>
      <c r="F728" s="603"/>
      <c r="G728" s="603"/>
      <c r="H728" s="603"/>
      <c r="I728" s="603"/>
      <c r="J728" s="603"/>
      <c r="K728" s="603"/>
      <c r="L728" s="603"/>
      <c r="M728" s="603"/>
      <c r="N728" s="603"/>
      <c r="O728" s="603"/>
      <c r="P728" s="603"/>
      <c r="Q728" s="603"/>
      <c r="R728" s="603"/>
      <c r="S728" s="603"/>
      <c r="T728" s="603"/>
      <c r="U728" s="603"/>
      <c r="V728" s="603"/>
      <c r="W728" s="603"/>
      <c r="X728" s="603"/>
      <c r="Y728" s="603"/>
      <c r="Z728" s="603"/>
    </row>
    <row r="729" spans="1:26" ht="18" customHeight="1" x14ac:dyDescent="0.2">
      <c r="A729" s="603"/>
      <c r="B729" s="603"/>
      <c r="C729" s="603"/>
      <c r="D729" s="603"/>
      <c r="E729" s="603"/>
      <c r="F729" s="603"/>
      <c r="G729" s="603"/>
      <c r="H729" s="603"/>
      <c r="I729" s="603"/>
      <c r="J729" s="603"/>
      <c r="K729" s="603"/>
      <c r="L729" s="603"/>
      <c r="M729" s="603"/>
      <c r="N729" s="603"/>
      <c r="O729" s="603"/>
      <c r="P729" s="603"/>
      <c r="Q729" s="603"/>
      <c r="R729" s="603"/>
      <c r="S729" s="603"/>
      <c r="T729" s="603"/>
      <c r="U729" s="603"/>
      <c r="V729" s="603"/>
      <c r="W729" s="603"/>
      <c r="X729" s="603"/>
      <c r="Y729" s="603"/>
      <c r="Z729" s="603"/>
    </row>
    <row r="730" spans="1:26" ht="18" customHeight="1" x14ac:dyDescent="0.2">
      <c r="A730" s="603"/>
      <c r="B730" s="603"/>
      <c r="C730" s="603"/>
      <c r="D730" s="603"/>
      <c r="E730" s="603"/>
      <c r="F730" s="603"/>
      <c r="G730" s="603"/>
      <c r="H730" s="603"/>
      <c r="I730" s="603"/>
      <c r="J730" s="603"/>
      <c r="K730" s="603"/>
      <c r="L730" s="603"/>
      <c r="M730" s="603"/>
      <c r="N730" s="603"/>
      <c r="O730" s="603"/>
      <c r="P730" s="603"/>
      <c r="Q730" s="603"/>
      <c r="R730" s="603"/>
      <c r="S730" s="603"/>
      <c r="T730" s="603"/>
      <c r="U730" s="603"/>
      <c r="V730" s="603"/>
      <c r="W730" s="603"/>
      <c r="X730" s="603"/>
      <c r="Y730" s="603"/>
      <c r="Z730" s="603"/>
    </row>
    <row r="731" spans="1:26" ht="18" customHeight="1" x14ac:dyDescent="0.2">
      <c r="A731" s="603"/>
      <c r="B731" s="603"/>
      <c r="C731" s="603"/>
      <c r="D731" s="603"/>
      <c r="E731" s="603"/>
      <c r="F731" s="603"/>
      <c r="G731" s="603"/>
      <c r="H731" s="603"/>
      <c r="I731" s="603"/>
      <c r="J731" s="603"/>
      <c r="K731" s="603"/>
      <c r="L731" s="603"/>
      <c r="M731" s="603"/>
      <c r="N731" s="603"/>
      <c r="O731" s="603"/>
      <c r="P731" s="603"/>
      <c r="Q731" s="603"/>
      <c r="R731" s="603"/>
      <c r="S731" s="603"/>
      <c r="T731" s="603"/>
      <c r="U731" s="603"/>
      <c r="V731" s="603"/>
      <c r="W731" s="603"/>
      <c r="X731" s="603"/>
      <c r="Y731" s="603"/>
      <c r="Z731" s="603"/>
    </row>
    <row r="732" spans="1:26" ht="18" customHeight="1" x14ac:dyDescent="0.2">
      <c r="A732" s="603"/>
      <c r="B732" s="603"/>
      <c r="C732" s="603"/>
      <c r="D732" s="603"/>
      <c r="E732" s="603"/>
      <c r="F732" s="603"/>
      <c r="G732" s="603"/>
      <c r="H732" s="603"/>
      <c r="I732" s="603"/>
      <c r="J732" s="603"/>
      <c r="K732" s="603"/>
      <c r="L732" s="603"/>
      <c r="M732" s="603"/>
      <c r="N732" s="603"/>
      <c r="O732" s="603"/>
      <c r="P732" s="603"/>
      <c r="Q732" s="603"/>
      <c r="R732" s="603"/>
      <c r="S732" s="603"/>
      <c r="T732" s="603"/>
      <c r="U732" s="603"/>
      <c r="V732" s="603"/>
      <c r="W732" s="603"/>
      <c r="X732" s="603"/>
      <c r="Y732" s="603"/>
      <c r="Z732" s="603"/>
    </row>
    <row r="733" spans="1:26" ht="18" customHeight="1" x14ac:dyDescent="0.2">
      <c r="A733" s="603"/>
      <c r="B733" s="603"/>
      <c r="C733" s="603"/>
      <c r="D733" s="603"/>
      <c r="E733" s="603"/>
      <c r="F733" s="603"/>
      <c r="G733" s="603"/>
      <c r="H733" s="603"/>
      <c r="I733" s="603"/>
      <c r="J733" s="603"/>
      <c r="K733" s="603"/>
      <c r="L733" s="603"/>
      <c r="M733" s="603"/>
      <c r="N733" s="603"/>
      <c r="O733" s="603"/>
      <c r="P733" s="603"/>
      <c r="Q733" s="603"/>
      <c r="R733" s="603"/>
      <c r="S733" s="603"/>
      <c r="T733" s="603"/>
      <c r="U733" s="603"/>
      <c r="V733" s="603"/>
      <c r="W733" s="603"/>
      <c r="X733" s="603"/>
      <c r="Y733" s="603"/>
      <c r="Z733" s="603"/>
    </row>
    <row r="734" spans="1:26" ht="18" customHeight="1" x14ac:dyDescent="0.2">
      <c r="A734" s="603"/>
      <c r="B734" s="603"/>
      <c r="C734" s="603"/>
      <c r="D734" s="603"/>
      <c r="E734" s="603"/>
      <c r="F734" s="603"/>
      <c r="G734" s="603"/>
      <c r="H734" s="603"/>
      <c r="I734" s="603"/>
      <c r="J734" s="603"/>
      <c r="K734" s="603"/>
      <c r="L734" s="603"/>
      <c r="M734" s="603"/>
      <c r="N734" s="603"/>
      <c r="O734" s="603"/>
      <c r="P734" s="603"/>
      <c r="Q734" s="603"/>
      <c r="R734" s="603"/>
      <c r="S734" s="603"/>
      <c r="T734" s="603"/>
      <c r="U734" s="603"/>
      <c r="V734" s="603"/>
      <c r="W734" s="603"/>
      <c r="X734" s="603"/>
      <c r="Y734" s="603"/>
      <c r="Z734" s="603"/>
    </row>
    <row r="735" spans="1:26" ht="18" customHeight="1" x14ac:dyDescent="0.2">
      <c r="A735" s="603"/>
      <c r="B735" s="603"/>
      <c r="C735" s="603"/>
      <c r="D735" s="603"/>
      <c r="E735" s="603"/>
      <c r="F735" s="603"/>
      <c r="G735" s="603"/>
      <c r="H735" s="603"/>
      <c r="I735" s="603"/>
      <c r="J735" s="603"/>
      <c r="K735" s="603"/>
      <c r="L735" s="603"/>
      <c r="M735" s="603"/>
      <c r="N735" s="603"/>
      <c r="O735" s="603"/>
      <c r="P735" s="603"/>
      <c r="Q735" s="603"/>
      <c r="R735" s="603"/>
      <c r="S735" s="603"/>
      <c r="T735" s="603"/>
      <c r="U735" s="603"/>
      <c r="V735" s="603"/>
      <c r="W735" s="603"/>
      <c r="X735" s="603"/>
      <c r="Y735" s="603"/>
      <c r="Z735" s="603"/>
    </row>
    <row r="736" spans="1:26" ht="18" customHeight="1" x14ac:dyDescent="0.2">
      <c r="A736" s="603"/>
      <c r="B736" s="603"/>
      <c r="C736" s="603"/>
      <c r="D736" s="603"/>
      <c r="E736" s="603"/>
      <c r="F736" s="603"/>
      <c r="G736" s="603"/>
      <c r="H736" s="603"/>
      <c r="I736" s="603"/>
      <c r="J736" s="603"/>
      <c r="K736" s="603"/>
      <c r="L736" s="603"/>
      <c r="M736" s="603"/>
      <c r="N736" s="603"/>
      <c r="O736" s="603"/>
      <c r="P736" s="603"/>
      <c r="Q736" s="603"/>
      <c r="R736" s="603"/>
      <c r="S736" s="603"/>
      <c r="T736" s="603"/>
      <c r="U736" s="603"/>
      <c r="V736" s="603"/>
      <c r="W736" s="603"/>
      <c r="X736" s="603"/>
      <c r="Y736" s="603"/>
      <c r="Z736" s="603"/>
    </row>
    <row r="737" spans="1:26" ht="18" customHeight="1" x14ac:dyDescent="0.2">
      <c r="A737" s="603"/>
      <c r="B737" s="603"/>
      <c r="C737" s="603"/>
      <c r="D737" s="603"/>
      <c r="E737" s="603"/>
      <c r="F737" s="603"/>
      <c r="G737" s="603"/>
      <c r="H737" s="603"/>
      <c r="I737" s="603"/>
      <c r="J737" s="603"/>
      <c r="K737" s="603"/>
      <c r="L737" s="603"/>
      <c r="M737" s="603"/>
      <c r="N737" s="603"/>
      <c r="O737" s="603"/>
      <c r="P737" s="603"/>
      <c r="Q737" s="603"/>
      <c r="R737" s="603"/>
      <c r="S737" s="603"/>
      <c r="T737" s="603"/>
      <c r="U737" s="603"/>
      <c r="V737" s="603"/>
      <c r="W737" s="603"/>
      <c r="X737" s="603"/>
      <c r="Y737" s="603"/>
      <c r="Z737" s="603"/>
    </row>
    <row r="738" spans="1:26" ht="18" customHeight="1" x14ac:dyDescent="0.2">
      <c r="A738" s="603"/>
      <c r="B738" s="603"/>
      <c r="C738" s="603"/>
      <c r="D738" s="603"/>
      <c r="E738" s="603"/>
      <c r="F738" s="603"/>
      <c r="G738" s="603"/>
      <c r="H738" s="603"/>
      <c r="I738" s="603"/>
      <c r="J738" s="603"/>
      <c r="K738" s="603"/>
      <c r="L738" s="603"/>
      <c r="M738" s="603"/>
      <c r="N738" s="603"/>
      <c r="O738" s="603"/>
      <c r="P738" s="603"/>
      <c r="Q738" s="603"/>
      <c r="R738" s="603"/>
      <c r="S738" s="603"/>
      <c r="T738" s="603"/>
      <c r="U738" s="603"/>
      <c r="V738" s="603"/>
      <c r="W738" s="603"/>
      <c r="X738" s="603"/>
      <c r="Y738" s="603"/>
      <c r="Z738" s="603"/>
    </row>
    <row r="739" spans="1:26" ht="18" customHeight="1" x14ac:dyDescent="0.2">
      <c r="A739" s="603"/>
      <c r="B739" s="603"/>
      <c r="C739" s="603"/>
      <c r="D739" s="603"/>
      <c r="E739" s="603"/>
      <c r="F739" s="603"/>
      <c r="G739" s="603"/>
      <c r="H739" s="603"/>
      <c r="I739" s="603"/>
      <c r="J739" s="603"/>
      <c r="K739" s="603"/>
      <c r="L739" s="603"/>
      <c r="M739" s="603"/>
      <c r="N739" s="603"/>
      <c r="O739" s="603"/>
      <c r="P739" s="603"/>
      <c r="Q739" s="603"/>
      <c r="R739" s="603"/>
      <c r="S739" s="603"/>
      <c r="T739" s="603"/>
      <c r="U739" s="603"/>
      <c r="V739" s="603"/>
      <c r="W739" s="603"/>
      <c r="X739" s="603"/>
      <c r="Y739" s="603"/>
      <c r="Z739" s="603"/>
    </row>
    <row r="740" spans="1:26" ht="18" customHeight="1" x14ac:dyDescent="0.2">
      <c r="A740" s="603"/>
      <c r="B740" s="603"/>
      <c r="C740" s="603"/>
      <c r="D740" s="603"/>
      <c r="E740" s="603"/>
      <c r="F740" s="603"/>
      <c r="G740" s="603"/>
      <c r="H740" s="603"/>
      <c r="I740" s="603"/>
      <c r="J740" s="603"/>
      <c r="K740" s="603"/>
      <c r="L740" s="603"/>
      <c r="M740" s="603"/>
      <c r="N740" s="603"/>
      <c r="O740" s="603"/>
      <c r="P740" s="603"/>
      <c r="Q740" s="603"/>
      <c r="R740" s="603"/>
      <c r="S740" s="603"/>
      <c r="T740" s="603"/>
      <c r="U740" s="603"/>
      <c r="V740" s="603"/>
      <c r="W740" s="603"/>
      <c r="X740" s="603"/>
      <c r="Y740" s="603"/>
      <c r="Z740" s="603"/>
    </row>
    <row r="741" spans="1:26" ht="18" customHeight="1" x14ac:dyDescent="0.2">
      <c r="A741" s="603"/>
      <c r="B741" s="603"/>
      <c r="C741" s="603"/>
      <c r="D741" s="603"/>
      <c r="E741" s="603"/>
      <c r="F741" s="603"/>
      <c r="G741" s="603"/>
      <c r="H741" s="603"/>
      <c r="I741" s="603"/>
      <c r="J741" s="603"/>
      <c r="K741" s="603"/>
      <c r="L741" s="603"/>
      <c r="M741" s="603"/>
      <c r="N741" s="603"/>
      <c r="O741" s="603"/>
      <c r="P741" s="603"/>
      <c r="Q741" s="603"/>
      <c r="R741" s="603"/>
      <c r="S741" s="603"/>
      <c r="T741" s="603"/>
      <c r="U741" s="603"/>
      <c r="V741" s="603"/>
      <c r="W741" s="603"/>
      <c r="X741" s="603"/>
      <c r="Y741" s="603"/>
      <c r="Z741" s="603"/>
    </row>
    <row r="742" spans="1:26" ht="18" customHeight="1" x14ac:dyDescent="0.2">
      <c r="A742" s="603"/>
      <c r="B742" s="603"/>
      <c r="C742" s="603"/>
      <c r="D742" s="603"/>
      <c r="E742" s="603"/>
      <c r="F742" s="603"/>
      <c r="G742" s="603"/>
      <c r="H742" s="603"/>
      <c r="I742" s="603"/>
      <c r="J742" s="603"/>
      <c r="K742" s="603"/>
      <c r="L742" s="603"/>
      <c r="M742" s="603"/>
      <c r="N742" s="603"/>
      <c r="O742" s="603"/>
      <c r="P742" s="603"/>
      <c r="Q742" s="603"/>
      <c r="R742" s="603"/>
      <c r="S742" s="603"/>
      <c r="T742" s="603"/>
      <c r="U742" s="603"/>
      <c r="V742" s="603"/>
      <c r="W742" s="603"/>
      <c r="X742" s="603"/>
      <c r="Y742" s="603"/>
      <c r="Z742" s="603"/>
    </row>
    <row r="743" spans="1:26" ht="18" customHeight="1" x14ac:dyDescent="0.2">
      <c r="A743" s="603"/>
      <c r="B743" s="603"/>
      <c r="C743" s="603"/>
      <c r="D743" s="603"/>
      <c r="E743" s="603"/>
      <c r="F743" s="603"/>
      <c r="G743" s="603"/>
      <c r="H743" s="603"/>
      <c r="I743" s="603"/>
      <c r="J743" s="603"/>
      <c r="K743" s="603"/>
      <c r="L743" s="603"/>
      <c r="M743" s="603"/>
      <c r="N743" s="603"/>
      <c r="O743" s="603"/>
      <c r="P743" s="603"/>
      <c r="Q743" s="603"/>
      <c r="R743" s="603"/>
      <c r="S743" s="603"/>
      <c r="T743" s="603"/>
      <c r="U743" s="603"/>
      <c r="V743" s="603"/>
      <c r="W743" s="603"/>
      <c r="X743" s="603"/>
      <c r="Y743" s="603"/>
      <c r="Z743" s="603"/>
    </row>
    <row r="744" spans="1:26" ht="18" customHeight="1" x14ac:dyDescent="0.2">
      <c r="A744" s="603"/>
      <c r="B744" s="603"/>
      <c r="C744" s="603"/>
      <c r="D744" s="603"/>
      <c r="E744" s="603"/>
      <c r="F744" s="603"/>
      <c r="G744" s="603"/>
      <c r="H744" s="603"/>
      <c r="I744" s="603"/>
      <c r="J744" s="603"/>
      <c r="K744" s="603"/>
      <c r="L744" s="603"/>
      <c r="M744" s="603"/>
      <c r="N744" s="603"/>
      <c r="O744" s="603"/>
      <c r="P744" s="603"/>
      <c r="Q744" s="603"/>
      <c r="R744" s="603"/>
      <c r="S744" s="603"/>
      <c r="T744" s="603"/>
      <c r="U744" s="603"/>
      <c r="V744" s="603"/>
      <c r="W744" s="603"/>
      <c r="X744" s="603"/>
      <c r="Y744" s="603"/>
      <c r="Z744" s="603"/>
    </row>
    <row r="745" spans="1:26" ht="18" customHeight="1" x14ac:dyDescent="0.2">
      <c r="A745" s="603"/>
      <c r="B745" s="603"/>
      <c r="C745" s="603"/>
      <c r="D745" s="603"/>
      <c r="E745" s="603"/>
      <c r="F745" s="603"/>
      <c r="G745" s="603"/>
      <c r="H745" s="603"/>
      <c r="I745" s="603"/>
      <c r="J745" s="603"/>
      <c r="K745" s="603"/>
      <c r="L745" s="603"/>
      <c r="M745" s="603"/>
      <c r="N745" s="603"/>
      <c r="O745" s="603"/>
      <c r="P745" s="603"/>
      <c r="Q745" s="603"/>
      <c r="R745" s="603"/>
      <c r="S745" s="603"/>
      <c r="T745" s="603"/>
      <c r="U745" s="603"/>
      <c r="V745" s="603"/>
      <c r="W745" s="603"/>
      <c r="X745" s="603"/>
      <c r="Y745" s="603"/>
      <c r="Z745" s="603"/>
    </row>
    <row r="746" spans="1:26" ht="18" customHeight="1" x14ac:dyDescent="0.2">
      <c r="A746" s="603"/>
      <c r="B746" s="603"/>
      <c r="C746" s="603"/>
      <c r="D746" s="603"/>
      <c r="E746" s="603"/>
      <c r="F746" s="603"/>
      <c r="G746" s="603"/>
      <c r="H746" s="603"/>
      <c r="I746" s="603"/>
      <c r="J746" s="603"/>
      <c r="K746" s="603"/>
      <c r="L746" s="603"/>
      <c r="M746" s="603"/>
      <c r="N746" s="603"/>
      <c r="O746" s="603"/>
      <c r="P746" s="603"/>
      <c r="Q746" s="603"/>
      <c r="R746" s="603"/>
      <c r="S746" s="603"/>
      <c r="T746" s="603"/>
      <c r="U746" s="603"/>
      <c r="V746" s="603"/>
      <c r="W746" s="603"/>
      <c r="X746" s="603"/>
      <c r="Y746" s="603"/>
      <c r="Z746" s="603"/>
    </row>
    <row r="747" spans="1:26" ht="18" customHeight="1" x14ac:dyDescent="0.2">
      <c r="A747" s="603"/>
      <c r="B747" s="603"/>
      <c r="C747" s="603"/>
      <c r="D747" s="603"/>
      <c r="E747" s="603"/>
      <c r="F747" s="603"/>
      <c r="G747" s="603"/>
      <c r="H747" s="603"/>
      <c r="I747" s="603"/>
      <c r="J747" s="603"/>
      <c r="K747" s="603"/>
      <c r="L747" s="603"/>
      <c r="M747" s="603"/>
      <c r="N747" s="603"/>
      <c r="O747" s="603"/>
      <c r="P747" s="603"/>
      <c r="Q747" s="603"/>
      <c r="R747" s="603"/>
      <c r="S747" s="603"/>
      <c r="T747" s="603"/>
      <c r="U747" s="603"/>
      <c r="V747" s="603"/>
      <c r="W747" s="603"/>
      <c r="X747" s="603"/>
      <c r="Y747" s="603"/>
      <c r="Z747" s="603"/>
    </row>
    <row r="748" spans="1:26" ht="18" customHeight="1" x14ac:dyDescent="0.2">
      <c r="A748" s="603"/>
      <c r="B748" s="603"/>
      <c r="C748" s="603"/>
      <c r="D748" s="603"/>
      <c r="E748" s="603"/>
      <c r="F748" s="603"/>
      <c r="G748" s="603"/>
      <c r="H748" s="603"/>
      <c r="I748" s="603"/>
      <c r="J748" s="603"/>
      <c r="K748" s="603"/>
      <c r="L748" s="603"/>
      <c r="M748" s="603"/>
      <c r="N748" s="603"/>
      <c r="O748" s="603"/>
      <c r="P748" s="603"/>
      <c r="Q748" s="603"/>
      <c r="R748" s="603"/>
      <c r="S748" s="603"/>
      <c r="T748" s="603"/>
      <c r="U748" s="603"/>
      <c r="V748" s="603"/>
      <c r="W748" s="603"/>
      <c r="X748" s="603"/>
      <c r="Y748" s="603"/>
      <c r="Z748" s="603"/>
    </row>
    <row r="749" spans="1:26" ht="18" customHeight="1" x14ac:dyDescent="0.2">
      <c r="A749" s="603"/>
      <c r="B749" s="603"/>
      <c r="C749" s="603"/>
      <c r="D749" s="603"/>
      <c r="E749" s="603"/>
      <c r="F749" s="603"/>
      <c r="G749" s="603"/>
      <c r="H749" s="603"/>
      <c r="I749" s="603"/>
      <c r="J749" s="603"/>
      <c r="K749" s="603"/>
      <c r="L749" s="603"/>
      <c r="M749" s="603"/>
      <c r="N749" s="603"/>
      <c r="O749" s="603"/>
      <c r="P749" s="603"/>
      <c r="Q749" s="603"/>
      <c r="R749" s="603"/>
      <c r="S749" s="603"/>
      <c r="T749" s="603"/>
      <c r="U749" s="603"/>
      <c r="V749" s="603"/>
      <c r="W749" s="603"/>
      <c r="X749" s="603"/>
      <c r="Y749" s="603"/>
      <c r="Z749" s="603"/>
    </row>
    <row r="750" spans="1:26" ht="18" customHeight="1" x14ac:dyDescent="0.2">
      <c r="A750" s="603"/>
      <c r="B750" s="603"/>
      <c r="C750" s="603"/>
      <c r="D750" s="603"/>
      <c r="E750" s="603"/>
      <c r="F750" s="603"/>
      <c r="G750" s="603"/>
      <c r="H750" s="603"/>
      <c r="I750" s="603"/>
      <c r="J750" s="603"/>
      <c r="K750" s="603"/>
      <c r="L750" s="603"/>
      <c r="M750" s="603"/>
      <c r="N750" s="603"/>
      <c r="O750" s="603"/>
      <c r="P750" s="603"/>
      <c r="Q750" s="603"/>
      <c r="R750" s="603"/>
      <c r="S750" s="603"/>
      <c r="T750" s="603"/>
      <c r="U750" s="603"/>
      <c r="V750" s="603"/>
      <c r="W750" s="603"/>
      <c r="X750" s="603"/>
      <c r="Y750" s="603"/>
      <c r="Z750" s="603"/>
    </row>
    <row r="751" spans="1:26" ht="18" customHeight="1" x14ac:dyDescent="0.2">
      <c r="A751" s="603"/>
      <c r="B751" s="603"/>
      <c r="C751" s="603"/>
      <c r="D751" s="603"/>
      <c r="E751" s="603"/>
      <c r="F751" s="603"/>
      <c r="G751" s="603"/>
      <c r="H751" s="603"/>
      <c r="I751" s="603"/>
      <c r="J751" s="603"/>
      <c r="K751" s="603"/>
      <c r="L751" s="603"/>
      <c r="M751" s="603"/>
      <c r="N751" s="603"/>
      <c r="O751" s="603"/>
      <c r="P751" s="603"/>
      <c r="Q751" s="603"/>
      <c r="R751" s="603"/>
      <c r="S751" s="603"/>
      <c r="T751" s="603"/>
      <c r="U751" s="603"/>
      <c r="V751" s="603"/>
      <c r="W751" s="603"/>
      <c r="X751" s="603"/>
      <c r="Y751" s="603"/>
      <c r="Z751" s="603"/>
    </row>
    <row r="752" spans="1:26" ht="18" customHeight="1" x14ac:dyDescent="0.2">
      <c r="A752" s="603"/>
      <c r="B752" s="603"/>
      <c r="C752" s="603"/>
      <c r="D752" s="603"/>
      <c r="E752" s="603"/>
      <c r="F752" s="603"/>
      <c r="G752" s="603"/>
      <c r="H752" s="603"/>
      <c r="I752" s="603"/>
      <c r="J752" s="603"/>
      <c r="K752" s="603"/>
      <c r="L752" s="603"/>
      <c r="M752" s="603"/>
      <c r="N752" s="603"/>
      <c r="O752" s="603"/>
      <c r="P752" s="603"/>
      <c r="Q752" s="603"/>
      <c r="R752" s="603"/>
      <c r="S752" s="603"/>
      <c r="T752" s="603"/>
      <c r="U752" s="603"/>
      <c r="V752" s="603"/>
      <c r="W752" s="603"/>
      <c r="X752" s="603"/>
      <c r="Y752" s="603"/>
      <c r="Z752" s="603"/>
    </row>
    <row r="753" spans="1:26" ht="18" customHeight="1" x14ac:dyDescent="0.2">
      <c r="A753" s="603"/>
      <c r="B753" s="603"/>
      <c r="C753" s="603"/>
      <c r="D753" s="603"/>
      <c r="E753" s="603"/>
      <c r="F753" s="603"/>
      <c r="G753" s="603"/>
      <c r="H753" s="603"/>
      <c r="I753" s="603"/>
      <c r="J753" s="603"/>
      <c r="K753" s="603"/>
      <c r="L753" s="603"/>
      <c r="M753" s="603"/>
      <c r="N753" s="603"/>
      <c r="O753" s="603"/>
      <c r="P753" s="603"/>
      <c r="Q753" s="603"/>
      <c r="R753" s="603"/>
      <c r="S753" s="603"/>
      <c r="T753" s="603"/>
      <c r="U753" s="603"/>
      <c r="V753" s="603"/>
      <c r="W753" s="603"/>
      <c r="X753" s="603"/>
      <c r="Y753" s="603"/>
      <c r="Z753" s="603"/>
    </row>
    <row r="754" spans="1:26" ht="18" customHeight="1" x14ac:dyDescent="0.2">
      <c r="A754" s="603"/>
      <c r="B754" s="603"/>
      <c r="C754" s="603"/>
      <c r="D754" s="603"/>
      <c r="E754" s="603"/>
      <c r="F754" s="603"/>
      <c r="G754" s="603"/>
      <c r="H754" s="603"/>
      <c r="I754" s="603"/>
      <c r="J754" s="603"/>
      <c r="K754" s="603"/>
      <c r="L754" s="603"/>
      <c r="M754" s="603"/>
      <c r="N754" s="603"/>
      <c r="O754" s="603"/>
      <c r="P754" s="603"/>
      <c r="Q754" s="603"/>
      <c r="R754" s="603"/>
      <c r="S754" s="603"/>
      <c r="T754" s="603"/>
      <c r="U754" s="603"/>
      <c r="V754" s="603"/>
      <c r="W754" s="603"/>
      <c r="X754" s="603"/>
      <c r="Y754" s="603"/>
      <c r="Z754" s="603"/>
    </row>
    <row r="755" spans="1:26" ht="18" customHeight="1" x14ac:dyDescent="0.2">
      <c r="A755" s="603"/>
      <c r="B755" s="603"/>
      <c r="C755" s="603"/>
      <c r="D755" s="603"/>
      <c r="E755" s="603"/>
      <c r="F755" s="603"/>
      <c r="G755" s="603"/>
      <c r="H755" s="603"/>
      <c r="I755" s="603"/>
      <c r="J755" s="603"/>
      <c r="K755" s="603"/>
      <c r="L755" s="603"/>
      <c r="M755" s="603"/>
      <c r="N755" s="603"/>
      <c r="O755" s="603"/>
      <c r="P755" s="603"/>
      <c r="Q755" s="603"/>
      <c r="R755" s="603"/>
      <c r="S755" s="603"/>
      <c r="T755" s="603"/>
      <c r="U755" s="603"/>
      <c r="V755" s="603"/>
      <c r="W755" s="603"/>
      <c r="X755" s="603"/>
      <c r="Y755" s="603"/>
      <c r="Z755" s="603"/>
    </row>
    <row r="756" spans="1:26" ht="18" customHeight="1" x14ac:dyDescent="0.2">
      <c r="A756" s="603"/>
      <c r="B756" s="603"/>
      <c r="C756" s="603"/>
      <c r="D756" s="603"/>
      <c r="E756" s="603"/>
      <c r="F756" s="603"/>
      <c r="G756" s="603"/>
      <c r="H756" s="603"/>
      <c r="I756" s="603"/>
      <c r="J756" s="603"/>
      <c r="K756" s="603"/>
      <c r="L756" s="603"/>
      <c r="M756" s="603"/>
      <c r="N756" s="603"/>
      <c r="O756" s="603"/>
      <c r="P756" s="603"/>
      <c r="Q756" s="603"/>
      <c r="R756" s="603"/>
      <c r="S756" s="603"/>
      <c r="T756" s="603"/>
      <c r="U756" s="603"/>
      <c r="V756" s="603"/>
      <c r="W756" s="603"/>
      <c r="X756" s="603"/>
      <c r="Y756" s="603"/>
      <c r="Z756" s="603"/>
    </row>
    <row r="757" spans="1:26" ht="18" customHeight="1" x14ac:dyDescent="0.2">
      <c r="A757" s="603"/>
      <c r="B757" s="603"/>
      <c r="C757" s="603"/>
      <c r="D757" s="603"/>
      <c r="E757" s="603"/>
      <c r="F757" s="603"/>
      <c r="G757" s="603"/>
      <c r="H757" s="603"/>
      <c r="I757" s="603"/>
      <c r="J757" s="603"/>
      <c r="K757" s="603"/>
      <c r="L757" s="603"/>
      <c r="M757" s="603"/>
      <c r="N757" s="603"/>
      <c r="O757" s="603"/>
      <c r="P757" s="603"/>
      <c r="Q757" s="603"/>
      <c r="R757" s="603"/>
      <c r="S757" s="603"/>
      <c r="T757" s="603"/>
      <c r="U757" s="603"/>
      <c r="V757" s="603"/>
      <c r="W757" s="603"/>
      <c r="X757" s="603"/>
      <c r="Y757" s="603"/>
      <c r="Z757" s="603"/>
    </row>
    <row r="758" spans="1:26" ht="18" customHeight="1" x14ac:dyDescent="0.2">
      <c r="A758" s="603"/>
      <c r="B758" s="603"/>
      <c r="C758" s="603"/>
      <c r="D758" s="603"/>
      <c r="E758" s="603"/>
      <c r="F758" s="603"/>
      <c r="G758" s="603"/>
      <c r="H758" s="603"/>
      <c r="I758" s="603"/>
      <c r="J758" s="603"/>
      <c r="K758" s="603"/>
      <c r="L758" s="603"/>
      <c r="M758" s="603"/>
      <c r="N758" s="603"/>
      <c r="O758" s="603"/>
      <c r="P758" s="603"/>
      <c r="Q758" s="603"/>
      <c r="R758" s="603"/>
      <c r="S758" s="603"/>
      <c r="T758" s="603"/>
      <c r="U758" s="603"/>
      <c r="V758" s="603"/>
      <c r="W758" s="603"/>
      <c r="X758" s="603"/>
      <c r="Y758" s="603"/>
      <c r="Z758" s="603"/>
    </row>
    <row r="759" spans="1:26" ht="18" customHeight="1" x14ac:dyDescent="0.2">
      <c r="A759" s="603"/>
      <c r="B759" s="603"/>
      <c r="C759" s="603"/>
      <c r="D759" s="603"/>
      <c r="E759" s="603"/>
      <c r="F759" s="603"/>
      <c r="G759" s="603"/>
      <c r="H759" s="603"/>
      <c r="I759" s="603"/>
      <c r="J759" s="603"/>
      <c r="K759" s="603"/>
      <c r="L759" s="603"/>
      <c r="M759" s="603"/>
      <c r="N759" s="603"/>
      <c r="O759" s="603"/>
      <c r="P759" s="603"/>
      <c r="Q759" s="603"/>
      <c r="R759" s="603"/>
      <c r="S759" s="603"/>
      <c r="T759" s="603"/>
      <c r="U759" s="603"/>
      <c r="V759" s="603"/>
      <c r="W759" s="603"/>
      <c r="X759" s="603"/>
      <c r="Y759" s="603"/>
      <c r="Z759" s="603"/>
    </row>
    <row r="760" spans="1:26" ht="18" customHeight="1" x14ac:dyDescent="0.2">
      <c r="A760" s="603"/>
      <c r="B760" s="603"/>
      <c r="C760" s="603"/>
      <c r="D760" s="603"/>
      <c r="E760" s="603"/>
      <c r="F760" s="603"/>
      <c r="G760" s="603"/>
      <c r="H760" s="603"/>
      <c r="I760" s="603"/>
      <c r="J760" s="603"/>
      <c r="K760" s="603"/>
      <c r="L760" s="603"/>
      <c r="M760" s="603"/>
      <c r="N760" s="603"/>
      <c r="O760" s="603"/>
      <c r="P760" s="603"/>
      <c r="Q760" s="603"/>
      <c r="R760" s="603"/>
      <c r="S760" s="603"/>
      <c r="T760" s="603"/>
      <c r="U760" s="603"/>
      <c r="V760" s="603"/>
      <c r="W760" s="603"/>
      <c r="X760" s="603"/>
      <c r="Y760" s="603"/>
      <c r="Z760" s="603"/>
    </row>
    <row r="761" spans="1:26" ht="18" customHeight="1" x14ac:dyDescent="0.2">
      <c r="A761" s="603"/>
      <c r="B761" s="603"/>
      <c r="C761" s="603"/>
      <c r="D761" s="603"/>
      <c r="E761" s="603"/>
      <c r="F761" s="603"/>
      <c r="G761" s="603"/>
      <c r="H761" s="603"/>
      <c r="I761" s="603"/>
      <c r="J761" s="603"/>
      <c r="K761" s="603"/>
      <c r="L761" s="603"/>
      <c r="M761" s="603"/>
      <c r="N761" s="603"/>
      <c r="O761" s="603"/>
      <c r="P761" s="603"/>
      <c r="Q761" s="603"/>
      <c r="R761" s="603"/>
      <c r="S761" s="603"/>
      <c r="T761" s="603"/>
      <c r="U761" s="603"/>
      <c r="V761" s="603"/>
      <c r="W761" s="603"/>
      <c r="X761" s="603"/>
      <c r="Y761" s="603"/>
      <c r="Z761" s="603"/>
    </row>
    <row r="762" spans="1:26" ht="18" customHeight="1" x14ac:dyDescent="0.2">
      <c r="A762" s="603"/>
      <c r="B762" s="603"/>
      <c r="C762" s="603"/>
      <c r="D762" s="603"/>
      <c r="E762" s="603"/>
      <c r="F762" s="603"/>
      <c r="G762" s="603"/>
      <c r="H762" s="603"/>
      <c r="I762" s="603"/>
      <c r="J762" s="603"/>
      <c r="K762" s="603"/>
      <c r="L762" s="603"/>
      <c r="M762" s="603"/>
      <c r="N762" s="603"/>
      <c r="O762" s="603"/>
      <c r="P762" s="603"/>
      <c r="Q762" s="603"/>
      <c r="R762" s="603"/>
      <c r="S762" s="603"/>
      <c r="T762" s="603"/>
      <c r="U762" s="603"/>
      <c r="V762" s="603"/>
      <c r="W762" s="603"/>
      <c r="X762" s="603"/>
      <c r="Y762" s="603"/>
      <c r="Z762" s="603"/>
    </row>
    <row r="763" spans="1:26" ht="18" customHeight="1" x14ac:dyDescent="0.2">
      <c r="A763" s="603"/>
      <c r="B763" s="603"/>
      <c r="C763" s="603"/>
      <c r="D763" s="603"/>
      <c r="E763" s="603"/>
      <c r="F763" s="603"/>
      <c r="G763" s="603"/>
      <c r="H763" s="603"/>
      <c r="I763" s="603"/>
      <c r="J763" s="603"/>
      <c r="K763" s="603"/>
      <c r="L763" s="603"/>
      <c r="M763" s="603"/>
      <c r="N763" s="603"/>
      <c r="O763" s="603"/>
      <c r="P763" s="603"/>
      <c r="Q763" s="603"/>
      <c r="R763" s="603"/>
      <c r="S763" s="603"/>
      <c r="T763" s="603"/>
      <c r="U763" s="603"/>
      <c r="V763" s="603"/>
      <c r="W763" s="603"/>
      <c r="X763" s="603"/>
      <c r="Y763" s="603"/>
      <c r="Z763" s="603"/>
    </row>
    <row r="764" spans="1:26" ht="18" customHeight="1" x14ac:dyDescent="0.2">
      <c r="A764" s="603"/>
      <c r="B764" s="603"/>
      <c r="C764" s="603"/>
      <c r="D764" s="603"/>
      <c r="E764" s="603"/>
      <c r="F764" s="603"/>
      <c r="G764" s="603"/>
      <c r="H764" s="603"/>
      <c r="I764" s="603"/>
      <c r="J764" s="603"/>
      <c r="K764" s="603"/>
      <c r="L764" s="603"/>
      <c r="M764" s="603"/>
      <c r="N764" s="603"/>
      <c r="O764" s="603"/>
      <c r="P764" s="603"/>
      <c r="Q764" s="603"/>
      <c r="R764" s="603"/>
      <c r="S764" s="603"/>
      <c r="T764" s="603"/>
      <c r="U764" s="603"/>
      <c r="V764" s="603"/>
      <c r="W764" s="603"/>
      <c r="X764" s="603"/>
      <c r="Y764" s="603"/>
      <c r="Z764" s="603"/>
    </row>
    <row r="765" spans="1:26" ht="18" customHeight="1" x14ac:dyDescent="0.2">
      <c r="A765" s="603"/>
      <c r="B765" s="603"/>
      <c r="C765" s="603"/>
      <c r="D765" s="603"/>
      <c r="E765" s="603"/>
      <c r="F765" s="603"/>
      <c r="G765" s="603"/>
      <c r="H765" s="603"/>
      <c r="I765" s="603"/>
      <c r="J765" s="603"/>
      <c r="K765" s="603"/>
      <c r="L765" s="603"/>
      <c r="M765" s="603"/>
      <c r="N765" s="603"/>
      <c r="O765" s="603"/>
      <c r="P765" s="603"/>
      <c r="Q765" s="603"/>
      <c r="R765" s="603"/>
      <c r="S765" s="603"/>
      <c r="T765" s="603"/>
      <c r="U765" s="603"/>
      <c r="V765" s="603"/>
      <c r="W765" s="603"/>
      <c r="X765" s="603"/>
      <c r="Y765" s="603"/>
      <c r="Z765" s="603"/>
    </row>
    <row r="766" spans="1:26" ht="18" customHeight="1" x14ac:dyDescent="0.2">
      <c r="A766" s="603"/>
      <c r="B766" s="603"/>
      <c r="C766" s="603"/>
      <c r="D766" s="603"/>
      <c r="E766" s="603"/>
      <c r="F766" s="603"/>
      <c r="G766" s="603"/>
      <c r="H766" s="603"/>
      <c r="I766" s="603"/>
      <c r="J766" s="603"/>
      <c r="K766" s="603"/>
      <c r="L766" s="603"/>
      <c r="M766" s="603"/>
      <c r="N766" s="603"/>
      <c r="O766" s="603"/>
      <c r="P766" s="603"/>
      <c r="Q766" s="603"/>
      <c r="R766" s="603"/>
      <c r="S766" s="603"/>
      <c r="T766" s="603"/>
      <c r="U766" s="603"/>
      <c r="V766" s="603"/>
      <c r="W766" s="603"/>
      <c r="X766" s="603"/>
      <c r="Y766" s="603"/>
      <c r="Z766" s="603"/>
    </row>
    <row r="767" spans="1:26" ht="18" customHeight="1" x14ac:dyDescent="0.2">
      <c r="A767" s="603"/>
      <c r="B767" s="603"/>
      <c r="C767" s="603"/>
      <c r="D767" s="603"/>
      <c r="E767" s="603"/>
      <c r="F767" s="603"/>
      <c r="G767" s="603"/>
      <c r="H767" s="603"/>
      <c r="I767" s="603"/>
      <c r="J767" s="603"/>
      <c r="K767" s="603"/>
      <c r="L767" s="603"/>
      <c r="M767" s="603"/>
      <c r="N767" s="603"/>
      <c r="O767" s="603"/>
      <c r="P767" s="603"/>
      <c r="Q767" s="603"/>
      <c r="R767" s="603"/>
      <c r="S767" s="603"/>
      <c r="T767" s="603"/>
      <c r="U767" s="603"/>
      <c r="V767" s="603"/>
      <c r="W767" s="603"/>
      <c r="X767" s="603"/>
      <c r="Y767" s="603"/>
      <c r="Z767" s="603"/>
    </row>
    <row r="768" spans="1:26" ht="18" customHeight="1" x14ac:dyDescent="0.2">
      <c r="A768" s="603"/>
      <c r="B768" s="603"/>
      <c r="C768" s="603"/>
      <c r="D768" s="603"/>
      <c r="E768" s="603"/>
      <c r="F768" s="603"/>
      <c r="G768" s="603"/>
      <c r="H768" s="603"/>
      <c r="I768" s="603"/>
      <c r="J768" s="603"/>
      <c r="K768" s="603"/>
      <c r="L768" s="603"/>
      <c r="M768" s="603"/>
      <c r="N768" s="603"/>
      <c r="O768" s="603"/>
      <c r="P768" s="603"/>
      <c r="Q768" s="603"/>
      <c r="R768" s="603"/>
      <c r="S768" s="603"/>
      <c r="T768" s="603"/>
      <c r="U768" s="603"/>
      <c r="V768" s="603"/>
      <c r="W768" s="603"/>
      <c r="X768" s="603"/>
      <c r="Y768" s="603"/>
      <c r="Z768" s="603"/>
    </row>
    <row r="769" spans="1:26" ht="18" customHeight="1" x14ac:dyDescent="0.2">
      <c r="A769" s="603"/>
      <c r="B769" s="603"/>
      <c r="C769" s="603"/>
      <c r="D769" s="603"/>
      <c r="E769" s="603"/>
      <c r="F769" s="603"/>
      <c r="G769" s="603"/>
      <c r="H769" s="603"/>
      <c r="I769" s="603"/>
      <c r="J769" s="603"/>
      <c r="K769" s="603"/>
      <c r="L769" s="603"/>
      <c r="M769" s="603"/>
      <c r="N769" s="603"/>
      <c r="O769" s="603"/>
      <c r="P769" s="603"/>
      <c r="Q769" s="603"/>
      <c r="R769" s="603"/>
      <c r="S769" s="603"/>
      <c r="T769" s="603"/>
      <c r="U769" s="603"/>
      <c r="V769" s="603"/>
      <c r="W769" s="603"/>
      <c r="X769" s="603"/>
      <c r="Y769" s="603"/>
      <c r="Z769" s="603"/>
    </row>
    <row r="770" spans="1:26" ht="18" customHeight="1" x14ac:dyDescent="0.2">
      <c r="A770" s="603"/>
      <c r="B770" s="603"/>
      <c r="C770" s="603"/>
      <c r="D770" s="603"/>
      <c r="E770" s="603"/>
      <c r="F770" s="603"/>
      <c r="G770" s="603"/>
      <c r="H770" s="603"/>
      <c r="I770" s="603"/>
      <c r="J770" s="603"/>
      <c r="K770" s="603"/>
      <c r="L770" s="603"/>
      <c r="M770" s="603"/>
      <c r="N770" s="603"/>
      <c r="O770" s="603"/>
      <c r="P770" s="603"/>
      <c r="Q770" s="603"/>
      <c r="R770" s="603"/>
      <c r="S770" s="603"/>
      <c r="T770" s="603"/>
      <c r="U770" s="603"/>
      <c r="V770" s="603"/>
      <c r="W770" s="603"/>
      <c r="X770" s="603"/>
      <c r="Y770" s="603"/>
      <c r="Z770" s="603"/>
    </row>
    <row r="771" spans="1:26" ht="18" customHeight="1" x14ac:dyDescent="0.2">
      <c r="A771" s="603"/>
      <c r="B771" s="603"/>
      <c r="C771" s="603"/>
      <c r="D771" s="603"/>
      <c r="E771" s="603"/>
      <c r="F771" s="603"/>
      <c r="G771" s="603"/>
      <c r="H771" s="603"/>
      <c r="I771" s="603"/>
      <c r="J771" s="603"/>
      <c r="K771" s="603"/>
      <c r="L771" s="603"/>
      <c r="M771" s="603"/>
      <c r="N771" s="603"/>
      <c r="O771" s="603"/>
      <c r="P771" s="603"/>
      <c r="Q771" s="603"/>
      <c r="R771" s="603"/>
      <c r="S771" s="603"/>
      <c r="T771" s="603"/>
      <c r="U771" s="603"/>
      <c r="V771" s="603"/>
      <c r="W771" s="603"/>
      <c r="X771" s="603"/>
      <c r="Y771" s="603"/>
      <c r="Z771" s="603"/>
    </row>
    <row r="772" spans="1:26" ht="18" customHeight="1" x14ac:dyDescent="0.2">
      <c r="A772" s="603"/>
      <c r="B772" s="603"/>
      <c r="C772" s="603"/>
      <c r="D772" s="603"/>
      <c r="E772" s="603"/>
      <c r="F772" s="603"/>
      <c r="G772" s="603"/>
      <c r="H772" s="603"/>
      <c r="I772" s="603"/>
      <c r="J772" s="603"/>
      <c r="K772" s="603"/>
      <c r="L772" s="603"/>
      <c r="M772" s="603"/>
      <c r="N772" s="603"/>
      <c r="O772" s="603"/>
      <c r="P772" s="603"/>
      <c r="Q772" s="603"/>
      <c r="R772" s="603"/>
      <c r="S772" s="603"/>
      <c r="T772" s="603"/>
      <c r="U772" s="603"/>
      <c r="V772" s="603"/>
      <c r="W772" s="603"/>
      <c r="X772" s="603"/>
      <c r="Y772" s="603"/>
      <c r="Z772" s="603"/>
    </row>
    <row r="773" spans="1:26" ht="18" customHeight="1" x14ac:dyDescent="0.2">
      <c r="A773" s="603"/>
      <c r="B773" s="603"/>
      <c r="C773" s="603"/>
      <c r="D773" s="603"/>
      <c r="E773" s="603"/>
      <c r="F773" s="603"/>
      <c r="G773" s="603"/>
      <c r="H773" s="603"/>
      <c r="I773" s="603"/>
      <c r="J773" s="603"/>
      <c r="K773" s="603"/>
      <c r="L773" s="603"/>
      <c r="M773" s="603"/>
      <c r="N773" s="603"/>
      <c r="O773" s="603"/>
      <c r="P773" s="603"/>
      <c r="Q773" s="603"/>
      <c r="R773" s="603"/>
      <c r="S773" s="603"/>
      <c r="T773" s="603"/>
      <c r="U773" s="603"/>
      <c r="V773" s="603"/>
      <c r="W773" s="603"/>
      <c r="X773" s="603"/>
      <c r="Y773" s="603"/>
      <c r="Z773" s="603"/>
    </row>
    <row r="774" spans="1:26" ht="18" customHeight="1" x14ac:dyDescent="0.2">
      <c r="A774" s="603"/>
      <c r="B774" s="603"/>
      <c r="C774" s="603"/>
      <c r="D774" s="603"/>
      <c r="E774" s="603"/>
      <c r="F774" s="603"/>
      <c r="G774" s="603"/>
      <c r="H774" s="603"/>
      <c r="I774" s="603"/>
      <c r="J774" s="603"/>
      <c r="K774" s="603"/>
      <c r="L774" s="603"/>
      <c r="M774" s="603"/>
      <c r="N774" s="603"/>
      <c r="O774" s="603"/>
      <c r="P774" s="603"/>
      <c r="Q774" s="603"/>
      <c r="R774" s="603"/>
      <c r="S774" s="603"/>
      <c r="T774" s="603"/>
      <c r="U774" s="603"/>
      <c r="V774" s="603"/>
      <c r="W774" s="603"/>
      <c r="X774" s="603"/>
      <c r="Y774" s="603"/>
      <c r="Z774" s="603"/>
    </row>
    <row r="775" spans="1:26" ht="18" customHeight="1" x14ac:dyDescent="0.2">
      <c r="A775" s="603"/>
      <c r="B775" s="603"/>
      <c r="C775" s="603"/>
      <c r="D775" s="603"/>
      <c r="E775" s="603"/>
      <c r="F775" s="603"/>
      <c r="G775" s="603"/>
      <c r="H775" s="603"/>
      <c r="I775" s="603"/>
      <c r="J775" s="603"/>
      <c r="K775" s="603"/>
      <c r="L775" s="603"/>
      <c r="M775" s="603"/>
      <c r="N775" s="603"/>
      <c r="O775" s="603"/>
      <c r="P775" s="603"/>
      <c r="Q775" s="603"/>
      <c r="R775" s="603"/>
      <c r="S775" s="603"/>
      <c r="T775" s="603"/>
      <c r="U775" s="603"/>
      <c r="V775" s="603"/>
      <c r="W775" s="603"/>
      <c r="X775" s="603"/>
      <c r="Y775" s="603"/>
      <c r="Z775" s="603"/>
    </row>
    <row r="776" spans="1:26" ht="18" customHeight="1" x14ac:dyDescent="0.2">
      <c r="A776" s="603"/>
      <c r="B776" s="603"/>
      <c r="C776" s="603"/>
      <c r="D776" s="603"/>
      <c r="E776" s="603"/>
      <c r="F776" s="603"/>
      <c r="G776" s="603"/>
      <c r="H776" s="603"/>
      <c r="I776" s="603"/>
      <c r="J776" s="603"/>
      <c r="K776" s="603"/>
      <c r="L776" s="603"/>
      <c r="M776" s="603"/>
      <c r="N776" s="603"/>
      <c r="O776" s="603"/>
      <c r="P776" s="603"/>
      <c r="Q776" s="603"/>
      <c r="R776" s="603"/>
      <c r="S776" s="603"/>
      <c r="T776" s="603"/>
      <c r="U776" s="603"/>
      <c r="V776" s="603"/>
      <c r="W776" s="603"/>
      <c r="X776" s="603"/>
      <c r="Y776" s="603"/>
      <c r="Z776" s="603"/>
    </row>
    <row r="777" spans="1:26" ht="18" customHeight="1" x14ac:dyDescent="0.2">
      <c r="A777" s="603"/>
      <c r="B777" s="603"/>
      <c r="C777" s="603"/>
      <c r="D777" s="603"/>
      <c r="E777" s="603"/>
      <c r="F777" s="603"/>
      <c r="G777" s="603"/>
      <c r="H777" s="603"/>
      <c r="I777" s="603"/>
      <c r="J777" s="603"/>
      <c r="K777" s="603"/>
      <c r="L777" s="603"/>
      <c r="M777" s="603"/>
      <c r="N777" s="603"/>
      <c r="O777" s="603"/>
      <c r="P777" s="603"/>
      <c r="Q777" s="603"/>
      <c r="R777" s="603"/>
      <c r="S777" s="603"/>
      <c r="T777" s="603"/>
      <c r="U777" s="603"/>
      <c r="V777" s="603"/>
      <c r="W777" s="603"/>
      <c r="X777" s="603"/>
      <c r="Y777" s="603"/>
      <c r="Z777" s="603"/>
    </row>
    <row r="778" spans="1:26" ht="18" customHeight="1" x14ac:dyDescent="0.2">
      <c r="A778" s="603"/>
      <c r="B778" s="603"/>
      <c r="C778" s="603"/>
      <c r="D778" s="603"/>
      <c r="E778" s="603"/>
      <c r="F778" s="603"/>
      <c r="G778" s="603"/>
      <c r="H778" s="603"/>
      <c r="I778" s="603"/>
      <c r="J778" s="603"/>
      <c r="K778" s="603"/>
      <c r="L778" s="603"/>
      <c r="M778" s="603"/>
      <c r="N778" s="603"/>
      <c r="O778" s="603"/>
      <c r="P778" s="603"/>
      <c r="Q778" s="603"/>
      <c r="R778" s="603"/>
      <c r="S778" s="603"/>
      <c r="T778" s="603"/>
      <c r="U778" s="603"/>
      <c r="V778" s="603"/>
      <c r="W778" s="603"/>
      <c r="X778" s="603"/>
      <c r="Y778" s="603"/>
      <c r="Z778" s="603"/>
    </row>
    <row r="779" spans="1:26" ht="18" customHeight="1" x14ac:dyDescent="0.2">
      <c r="A779" s="603"/>
      <c r="B779" s="603"/>
      <c r="C779" s="603"/>
      <c r="D779" s="603"/>
      <c r="E779" s="603"/>
      <c r="F779" s="603"/>
      <c r="G779" s="603"/>
      <c r="H779" s="603"/>
      <c r="I779" s="603"/>
      <c r="J779" s="603"/>
      <c r="K779" s="603"/>
      <c r="L779" s="603"/>
      <c r="M779" s="603"/>
      <c r="N779" s="603"/>
      <c r="O779" s="603"/>
      <c r="P779" s="603"/>
      <c r="Q779" s="603"/>
      <c r="R779" s="603"/>
      <c r="S779" s="603"/>
      <c r="T779" s="603"/>
      <c r="U779" s="603"/>
      <c r="V779" s="603"/>
      <c r="W779" s="603"/>
      <c r="X779" s="603"/>
      <c r="Y779" s="603"/>
      <c r="Z779" s="603"/>
    </row>
    <row r="780" spans="1:26" ht="18" customHeight="1" x14ac:dyDescent="0.2">
      <c r="A780" s="603"/>
      <c r="B780" s="603"/>
      <c r="C780" s="603"/>
      <c r="D780" s="603"/>
      <c r="E780" s="603"/>
      <c r="F780" s="603"/>
      <c r="G780" s="603"/>
      <c r="H780" s="603"/>
      <c r="I780" s="603"/>
      <c r="J780" s="603"/>
      <c r="K780" s="603"/>
      <c r="L780" s="603"/>
      <c r="M780" s="603"/>
      <c r="N780" s="603"/>
      <c r="O780" s="603"/>
      <c r="P780" s="603"/>
      <c r="Q780" s="603"/>
      <c r="R780" s="603"/>
      <c r="S780" s="603"/>
      <c r="T780" s="603"/>
      <c r="U780" s="603"/>
      <c r="V780" s="603"/>
      <c r="W780" s="603"/>
      <c r="X780" s="603"/>
      <c r="Y780" s="603"/>
      <c r="Z780" s="603"/>
    </row>
    <row r="781" spans="1:26" ht="18" customHeight="1" x14ac:dyDescent="0.2">
      <c r="A781" s="603"/>
      <c r="B781" s="603"/>
      <c r="C781" s="603"/>
      <c r="D781" s="603"/>
      <c r="E781" s="603"/>
      <c r="F781" s="603"/>
      <c r="G781" s="603"/>
      <c r="H781" s="603"/>
      <c r="I781" s="603"/>
      <c r="J781" s="603"/>
      <c r="K781" s="603"/>
      <c r="L781" s="603"/>
      <c r="M781" s="603"/>
      <c r="N781" s="603"/>
      <c r="O781" s="603"/>
      <c r="P781" s="603"/>
      <c r="Q781" s="603"/>
      <c r="R781" s="603"/>
      <c r="S781" s="603"/>
      <c r="T781" s="603"/>
      <c r="U781" s="603"/>
      <c r="V781" s="603"/>
      <c r="W781" s="603"/>
      <c r="X781" s="603"/>
      <c r="Y781" s="603"/>
      <c r="Z781" s="603"/>
    </row>
    <row r="782" spans="1:26" ht="18" customHeight="1" x14ac:dyDescent="0.2">
      <c r="A782" s="603"/>
      <c r="B782" s="603"/>
      <c r="C782" s="603"/>
      <c r="D782" s="603"/>
      <c r="E782" s="603"/>
      <c r="F782" s="603"/>
      <c r="G782" s="603"/>
      <c r="H782" s="603"/>
      <c r="I782" s="603"/>
      <c r="J782" s="603"/>
      <c r="K782" s="603"/>
      <c r="L782" s="603"/>
      <c r="M782" s="603"/>
      <c r="N782" s="603"/>
      <c r="O782" s="603"/>
      <c r="P782" s="603"/>
      <c r="Q782" s="603"/>
      <c r="R782" s="603"/>
      <c r="S782" s="603"/>
      <c r="T782" s="603"/>
      <c r="U782" s="603"/>
      <c r="V782" s="603"/>
      <c r="W782" s="603"/>
      <c r="X782" s="603"/>
      <c r="Y782" s="603"/>
      <c r="Z782" s="603"/>
    </row>
    <row r="783" spans="1:26" ht="18" customHeight="1" x14ac:dyDescent="0.2">
      <c r="A783" s="603"/>
      <c r="B783" s="603"/>
      <c r="C783" s="603"/>
      <c r="D783" s="603"/>
      <c r="E783" s="603"/>
      <c r="F783" s="603"/>
      <c r="G783" s="603"/>
      <c r="H783" s="603"/>
      <c r="I783" s="603"/>
      <c r="J783" s="603"/>
      <c r="K783" s="603"/>
      <c r="L783" s="603"/>
      <c r="M783" s="603"/>
      <c r="N783" s="603"/>
      <c r="O783" s="603"/>
      <c r="P783" s="603"/>
      <c r="Q783" s="603"/>
      <c r="R783" s="603"/>
      <c r="S783" s="603"/>
      <c r="T783" s="603"/>
      <c r="U783" s="603"/>
      <c r="V783" s="603"/>
      <c r="W783" s="603"/>
      <c r="X783" s="603"/>
      <c r="Y783" s="603"/>
      <c r="Z783" s="603"/>
    </row>
    <row r="784" spans="1:26" ht="18" customHeight="1" x14ac:dyDescent="0.2">
      <c r="A784" s="603"/>
      <c r="B784" s="603"/>
      <c r="C784" s="603"/>
      <c r="D784" s="603"/>
      <c r="E784" s="603"/>
      <c r="F784" s="603"/>
      <c r="G784" s="603"/>
      <c r="H784" s="603"/>
      <c r="I784" s="603"/>
      <c r="J784" s="603"/>
      <c r="K784" s="603"/>
      <c r="L784" s="603"/>
      <c r="M784" s="603"/>
      <c r="N784" s="603"/>
      <c r="O784" s="603"/>
      <c r="P784" s="603"/>
      <c r="Q784" s="603"/>
      <c r="R784" s="603"/>
      <c r="S784" s="603"/>
      <c r="T784" s="603"/>
      <c r="U784" s="603"/>
      <c r="V784" s="603"/>
      <c r="W784" s="603"/>
      <c r="X784" s="603"/>
      <c r="Y784" s="603"/>
      <c r="Z784" s="603"/>
    </row>
    <row r="785" spans="1:26" ht="18" customHeight="1" x14ac:dyDescent="0.2">
      <c r="A785" s="603"/>
      <c r="B785" s="603"/>
      <c r="C785" s="603"/>
      <c r="D785" s="603"/>
      <c r="E785" s="603"/>
      <c r="F785" s="603"/>
      <c r="G785" s="603"/>
      <c r="H785" s="603"/>
      <c r="I785" s="603"/>
      <c r="J785" s="603"/>
      <c r="K785" s="603"/>
      <c r="L785" s="603"/>
      <c r="M785" s="603"/>
      <c r="N785" s="603"/>
      <c r="O785" s="603"/>
      <c r="P785" s="603"/>
      <c r="Q785" s="603"/>
      <c r="R785" s="603"/>
      <c r="S785" s="603"/>
      <c r="T785" s="603"/>
      <c r="U785" s="603"/>
      <c r="V785" s="603"/>
      <c r="W785" s="603"/>
      <c r="X785" s="603"/>
      <c r="Y785" s="603"/>
      <c r="Z785" s="603"/>
    </row>
    <row r="786" spans="1:26" ht="18" customHeight="1" x14ac:dyDescent="0.2">
      <c r="A786" s="603"/>
      <c r="B786" s="603"/>
      <c r="C786" s="603"/>
      <c r="D786" s="603"/>
      <c r="E786" s="603"/>
      <c r="F786" s="603"/>
      <c r="G786" s="603"/>
      <c r="H786" s="603"/>
      <c r="I786" s="603"/>
      <c r="J786" s="603"/>
      <c r="K786" s="603"/>
      <c r="L786" s="603"/>
      <c r="M786" s="603"/>
      <c r="N786" s="603"/>
      <c r="O786" s="603"/>
      <c r="P786" s="603"/>
      <c r="Q786" s="603"/>
      <c r="R786" s="603"/>
      <c r="S786" s="603"/>
      <c r="T786" s="603"/>
      <c r="U786" s="603"/>
      <c r="V786" s="603"/>
      <c r="W786" s="603"/>
      <c r="X786" s="603"/>
      <c r="Y786" s="603"/>
      <c r="Z786" s="603"/>
    </row>
    <row r="787" spans="1:26" ht="18" customHeight="1" x14ac:dyDescent="0.2">
      <c r="A787" s="603"/>
      <c r="B787" s="603"/>
      <c r="C787" s="603"/>
      <c r="D787" s="603"/>
      <c r="E787" s="603"/>
      <c r="F787" s="603"/>
      <c r="G787" s="603"/>
      <c r="H787" s="603"/>
      <c r="I787" s="603"/>
      <c r="J787" s="603"/>
      <c r="K787" s="603"/>
      <c r="L787" s="603"/>
      <c r="M787" s="603"/>
      <c r="N787" s="603"/>
      <c r="O787" s="603"/>
      <c r="P787" s="603"/>
      <c r="Q787" s="603"/>
      <c r="R787" s="603"/>
      <c r="S787" s="603"/>
      <c r="T787" s="603"/>
      <c r="U787" s="603"/>
      <c r="V787" s="603"/>
      <c r="W787" s="603"/>
      <c r="X787" s="603"/>
      <c r="Y787" s="603"/>
      <c r="Z787" s="603"/>
    </row>
    <row r="788" spans="1:26" ht="18" customHeight="1" x14ac:dyDescent="0.2">
      <c r="A788" s="603"/>
      <c r="B788" s="603"/>
      <c r="C788" s="603"/>
      <c r="D788" s="603"/>
      <c r="E788" s="603"/>
      <c r="F788" s="603"/>
      <c r="G788" s="603"/>
      <c r="H788" s="603"/>
      <c r="I788" s="603"/>
      <c r="J788" s="603"/>
      <c r="K788" s="603"/>
      <c r="L788" s="603"/>
      <c r="M788" s="603"/>
      <c r="N788" s="603"/>
      <c r="O788" s="603"/>
      <c r="P788" s="603"/>
      <c r="Q788" s="603"/>
      <c r="R788" s="603"/>
      <c r="S788" s="603"/>
      <c r="T788" s="603"/>
      <c r="U788" s="603"/>
      <c r="V788" s="603"/>
      <c r="W788" s="603"/>
      <c r="X788" s="603"/>
      <c r="Y788" s="603"/>
      <c r="Z788" s="603"/>
    </row>
    <row r="789" spans="1:26" ht="18" customHeight="1" x14ac:dyDescent="0.2">
      <c r="A789" s="603"/>
      <c r="B789" s="603"/>
      <c r="C789" s="603"/>
      <c r="D789" s="603"/>
      <c r="E789" s="603"/>
      <c r="F789" s="603"/>
      <c r="G789" s="603"/>
      <c r="H789" s="603"/>
      <c r="I789" s="603"/>
      <c r="J789" s="603"/>
      <c r="K789" s="603"/>
      <c r="L789" s="603"/>
      <c r="M789" s="603"/>
      <c r="N789" s="603"/>
      <c r="O789" s="603"/>
      <c r="P789" s="603"/>
      <c r="Q789" s="603"/>
      <c r="R789" s="603"/>
      <c r="S789" s="603"/>
      <c r="T789" s="603"/>
      <c r="U789" s="603"/>
      <c r="V789" s="603"/>
      <c r="W789" s="603"/>
      <c r="X789" s="603"/>
      <c r="Y789" s="603"/>
      <c r="Z789" s="603"/>
    </row>
    <row r="790" spans="1:26" ht="18" customHeight="1" x14ac:dyDescent="0.2">
      <c r="A790" s="603"/>
      <c r="B790" s="603"/>
      <c r="C790" s="603"/>
      <c r="D790" s="603"/>
      <c r="E790" s="603"/>
      <c r="F790" s="603"/>
      <c r="G790" s="603"/>
      <c r="H790" s="603"/>
      <c r="I790" s="603"/>
      <c r="J790" s="603"/>
      <c r="K790" s="603"/>
      <c r="L790" s="603"/>
      <c r="M790" s="603"/>
      <c r="N790" s="603"/>
      <c r="O790" s="603"/>
      <c r="P790" s="603"/>
      <c r="Q790" s="603"/>
      <c r="R790" s="603"/>
      <c r="S790" s="603"/>
      <c r="T790" s="603"/>
      <c r="U790" s="603"/>
      <c r="V790" s="603"/>
      <c r="W790" s="603"/>
      <c r="X790" s="603"/>
      <c r="Y790" s="603"/>
      <c r="Z790" s="603"/>
    </row>
    <row r="791" spans="1:26" ht="18" customHeight="1" x14ac:dyDescent="0.2">
      <c r="A791" s="603"/>
      <c r="B791" s="603"/>
      <c r="C791" s="603"/>
      <c r="D791" s="603"/>
      <c r="E791" s="603"/>
      <c r="F791" s="603"/>
      <c r="G791" s="603"/>
      <c r="H791" s="603"/>
      <c r="I791" s="603"/>
      <c r="J791" s="603"/>
      <c r="K791" s="603"/>
      <c r="L791" s="603"/>
      <c r="M791" s="603"/>
      <c r="N791" s="603"/>
      <c r="O791" s="603"/>
      <c r="P791" s="603"/>
      <c r="Q791" s="603"/>
      <c r="R791" s="603"/>
      <c r="S791" s="603"/>
      <c r="T791" s="603"/>
      <c r="U791" s="603"/>
      <c r="V791" s="603"/>
      <c r="W791" s="603"/>
      <c r="X791" s="603"/>
      <c r="Y791" s="603"/>
      <c r="Z791" s="603"/>
    </row>
    <row r="792" spans="1:26" ht="18" customHeight="1" x14ac:dyDescent="0.2">
      <c r="A792" s="603"/>
      <c r="B792" s="603"/>
      <c r="C792" s="603"/>
      <c r="D792" s="603"/>
      <c r="E792" s="603"/>
      <c r="F792" s="603"/>
      <c r="G792" s="603"/>
      <c r="H792" s="603"/>
      <c r="I792" s="603"/>
      <c r="J792" s="603"/>
      <c r="K792" s="603"/>
      <c r="L792" s="603"/>
      <c r="M792" s="603"/>
      <c r="N792" s="603"/>
      <c r="O792" s="603"/>
      <c r="P792" s="603"/>
      <c r="Q792" s="603"/>
      <c r="R792" s="603"/>
      <c r="S792" s="603"/>
      <c r="T792" s="603"/>
      <c r="U792" s="603"/>
      <c r="V792" s="603"/>
      <c r="W792" s="603"/>
      <c r="X792" s="603"/>
      <c r="Y792" s="603"/>
      <c r="Z792" s="603"/>
    </row>
    <row r="793" spans="1:26" ht="18" customHeight="1" x14ac:dyDescent="0.2">
      <c r="A793" s="603"/>
      <c r="B793" s="603"/>
      <c r="C793" s="603"/>
      <c r="D793" s="603"/>
      <c r="E793" s="603"/>
      <c r="F793" s="603"/>
      <c r="G793" s="603"/>
      <c r="H793" s="603"/>
      <c r="I793" s="603"/>
      <c r="J793" s="603"/>
      <c r="K793" s="603"/>
      <c r="L793" s="603"/>
      <c r="M793" s="603"/>
      <c r="N793" s="603"/>
      <c r="O793" s="603"/>
      <c r="P793" s="603"/>
      <c r="Q793" s="603"/>
      <c r="R793" s="603"/>
      <c r="S793" s="603"/>
      <c r="T793" s="603"/>
      <c r="U793" s="603"/>
      <c r="V793" s="603"/>
      <c r="W793" s="603"/>
      <c r="X793" s="603"/>
      <c r="Y793" s="603"/>
      <c r="Z793" s="603"/>
    </row>
    <row r="794" spans="1:26" ht="18" customHeight="1" x14ac:dyDescent="0.2">
      <c r="A794" s="603"/>
      <c r="B794" s="603"/>
      <c r="C794" s="603"/>
      <c r="D794" s="603"/>
      <c r="E794" s="603"/>
      <c r="F794" s="603"/>
      <c r="G794" s="603"/>
      <c r="H794" s="603"/>
      <c r="I794" s="603"/>
      <c r="J794" s="603"/>
      <c r="K794" s="603"/>
      <c r="L794" s="603"/>
      <c r="M794" s="603"/>
      <c r="N794" s="603"/>
      <c r="O794" s="603"/>
      <c r="P794" s="603"/>
      <c r="Q794" s="603"/>
      <c r="R794" s="603"/>
      <c r="S794" s="603"/>
      <c r="T794" s="603"/>
      <c r="U794" s="603"/>
      <c r="V794" s="603"/>
      <c r="W794" s="603"/>
      <c r="X794" s="603"/>
      <c r="Y794" s="603"/>
      <c r="Z794" s="603"/>
    </row>
    <row r="795" spans="1:26" ht="18" customHeight="1" x14ac:dyDescent="0.2">
      <c r="A795" s="603"/>
      <c r="B795" s="603"/>
      <c r="C795" s="603"/>
      <c r="D795" s="603"/>
      <c r="E795" s="603"/>
      <c r="F795" s="603"/>
      <c r="G795" s="603"/>
      <c r="H795" s="603"/>
      <c r="I795" s="603"/>
      <c r="J795" s="603"/>
      <c r="K795" s="603"/>
      <c r="L795" s="603"/>
      <c r="M795" s="603"/>
      <c r="N795" s="603"/>
      <c r="O795" s="603"/>
      <c r="P795" s="603"/>
      <c r="Q795" s="603"/>
      <c r="R795" s="603"/>
      <c r="S795" s="603"/>
      <c r="T795" s="603"/>
      <c r="U795" s="603"/>
      <c r="V795" s="603"/>
      <c r="W795" s="603"/>
      <c r="X795" s="603"/>
      <c r="Y795" s="603"/>
      <c r="Z795" s="603"/>
    </row>
    <row r="796" spans="1:26" ht="18" customHeight="1" x14ac:dyDescent="0.2">
      <c r="A796" s="603"/>
      <c r="B796" s="603"/>
      <c r="C796" s="603"/>
      <c r="D796" s="603"/>
      <c r="E796" s="603"/>
      <c r="F796" s="603"/>
      <c r="G796" s="603"/>
      <c r="H796" s="603"/>
      <c r="I796" s="603"/>
      <c r="J796" s="603"/>
      <c r="K796" s="603"/>
      <c r="L796" s="603"/>
      <c r="M796" s="603"/>
      <c r="N796" s="603"/>
      <c r="O796" s="603"/>
      <c r="P796" s="603"/>
      <c r="Q796" s="603"/>
      <c r="R796" s="603"/>
      <c r="S796" s="603"/>
      <c r="T796" s="603"/>
      <c r="U796" s="603"/>
      <c r="V796" s="603"/>
      <c r="W796" s="603"/>
      <c r="X796" s="603"/>
      <c r="Y796" s="603"/>
      <c r="Z796" s="603"/>
    </row>
    <row r="797" spans="1:26" ht="18" customHeight="1" x14ac:dyDescent="0.2">
      <c r="A797" s="603"/>
      <c r="B797" s="603"/>
      <c r="C797" s="603"/>
      <c r="D797" s="603"/>
      <c r="E797" s="603"/>
      <c r="F797" s="603"/>
      <c r="G797" s="603"/>
      <c r="H797" s="603"/>
      <c r="I797" s="603"/>
      <c r="J797" s="603"/>
      <c r="K797" s="603"/>
      <c r="L797" s="603"/>
      <c r="M797" s="603"/>
      <c r="N797" s="603"/>
      <c r="O797" s="603"/>
      <c r="P797" s="603"/>
      <c r="Q797" s="603"/>
      <c r="R797" s="603"/>
      <c r="S797" s="603"/>
      <c r="T797" s="603"/>
      <c r="U797" s="603"/>
      <c r="V797" s="603"/>
      <c r="W797" s="603"/>
      <c r="X797" s="603"/>
      <c r="Y797" s="603"/>
      <c r="Z797" s="603"/>
    </row>
    <row r="798" spans="1:26" ht="18" customHeight="1" x14ac:dyDescent="0.2">
      <c r="A798" s="603"/>
      <c r="B798" s="603"/>
      <c r="C798" s="603"/>
      <c r="D798" s="603"/>
      <c r="E798" s="603"/>
      <c r="F798" s="603"/>
      <c r="G798" s="603"/>
      <c r="H798" s="603"/>
      <c r="I798" s="603"/>
      <c r="J798" s="603"/>
      <c r="K798" s="603"/>
      <c r="L798" s="603"/>
      <c r="M798" s="603"/>
      <c r="N798" s="603"/>
      <c r="O798" s="603"/>
      <c r="P798" s="603"/>
      <c r="Q798" s="603"/>
      <c r="R798" s="603"/>
      <c r="S798" s="603"/>
      <c r="T798" s="603"/>
      <c r="U798" s="603"/>
      <c r="V798" s="603"/>
      <c r="W798" s="603"/>
      <c r="X798" s="603"/>
      <c r="Y798" s="603"/>
      <c r="Z798" s="603"/>
    </row>
    <row r="799" spans="1:26" ht="18" customHeight="1" x14ac:dyDescent="0.2">
      <c r="A799" s="603"/>
      <c r="B799" s="603"/>
      <c r="C799" s="603"/>
      <c r="D799" s="603"/>
      <c r="E799" s="603"/>
      <c r="F799" s="603"/>
      <c r="G799" s="603"/>
      <c r="H799" s="603"/>
      <c r="I799" s="603"/>
      <c r="J799" s="603"/>
      <c r="K799" s="603"/>
      <c r="L799" s="603"/>
      <c r="M799" s="603"/>
      <c r="N799" s="603"/>
      <c r="O799" s="603"/>
      <c r="P799" s="603"/>
      <c r="Q799" s="603"/>
      <c r="R799" s="603"/>
      <c r="S799" s="603"/>
      <c r="T799" s="603"/>
      <c r="U799" s="603"/>
      <c r="V799" s="603"/>
      <c r="W799" s="603"/>
      <c r="X799" s="603"/>
      <c r="Y799" s="603"/>
      <c r="Z799" s="603"/>
    </row>
    <row r="800" spans="1:26" ht="18" customHeight="1" x14ac:dyDescent="0.2">
      <c r="A800" s="603"/>
      <c r="B800" s="603"/>
      <c r="C800" s="603"/>
      <c r="D800" s="603"/>
      <c r="E800" s="603"/>
      <c r="F800" s="603"/>
      <c r="G800" s="603"/>
      <c r="H800" s="603"/>
      <c r="I800" s="603"/>
      <c r="J800" s="603"/>
      <c r="K800" s="603"/>
      <c r="L800" s="603"/>
      <c r="M800" s="603"/>
      <c r="N800" s="603"/>
      <c r="O800" s="603"/>
      <c r="P800" s="603"/>
      <c r="Q800" s="603"/>
      <c r="R800" s="603"/>
      <c r="S800" s="603"/>
      <c r="T800" s="603"/>
      <c r="U800" s="603"/>
      <c r="V800" s="603"/>
      <c r="W800" s="603"/>
      <c r="X800" s="603"/>
      <c r="Y800" s="603"/>
      <c r="Z800" s="603"/>
    </row>
    <row r="801" spans="1:26" ht="18" customHeight="1" x14ac:dyDescent="0.2">
      <c r="A801" s="603"/>
      <c r="B801" s="603"/>
      <c r="C801" s="603"/>
      <c r="D801" s="603"/>
      <c r="E801" s="603"/>
      <c r="F801" s="603"/>
      <c r="G801" s="603"/>
      <c r="H801" s="603"/>
      <c r="I801" s="603"/>
      <c r="J801" s="603"/>
      <c r="K801" s="603"/>
      <c r="L801" s="603"/>
      <c r="M801" s="603"/>
      <c r="N801" s="603"/>
      <c r="O801" s="603"/>
      <c r="P801" s="603"/>
      <c r="Q801" s="603"/>
      <c r="R801" s="603"/>
      <c r="S801" s="603"/>
      <c r="T801" s="603"/>
      <c r="U801" s="603"/>
      <c r="V801" s="603"/>
      <c r="W801" s="603"/>
      <c r="X801" s="603"/>
      <c r="Y801" s="603"/>
      <c r="Z801" s="603"/>
    </row>
    <row r="802" spans="1:26" ht="18" customHeight="1" x14ac:dyDescent="0.2">
      <c r="A802" s="603"/>
      <c r="B802" s="603"/>
      <c r="C802" s="603"/>
      <c r="D802" s="603"/>
      <c r="E802" s="603"/>
      <c r="F802" s="603"/>
      <c r="G802" s="603"/>
      <c r="H802" s="603"/>
      <c r="I802" s="603"/>
      <c r="J802" s="603"/>
      <c r="K802" s="603"/>
      <c r="L802" s="603"/>
      <c r="M802" s="603"/>
      <c r="N802" s="603"/>
      <c r="O802" s="603"/>
      <c r="P802" s="603"/>
      <c r="Q802" s="603"/>
      <c r="R802" s="603"/>
      <c r="S802" s="603"/>
      <c r="T802" s="603"/>
      <c r="U802" s="603"/>
      <c r="V802" s="603"/>
      <c r="W802" s="603"/>
      <c r="X802" s="603"/>
      <c r="Y802" s="603"/>
      <c r="Z802" s="603"/>
    </row>
    <row r="803" spans="1:26" ht="18" customHeight="1" x14ac:dyDescent="0.2">
      <c r="A803" s="603"/>
      <c r="B803" s="603"/>
      <c r="C803" s="603"/>
      <c r="D803" s="603"/>
      <c r="E803" s="603"/>
      <c r="F803" s="603"/>
      <c r="G803" s="603"/>
      <c r="H803" s="603"/>
      <c r="I803" s="603"/>
      <c r="J803" s="603"/>
      <c r="K803" s="603"/>
      <c r="L803" s="603"/>
      <c r="M803" s="603"/>
      <c r="N803" s="603"/>
      <c r="O803" s="603"/>
      <c r="P803" s="603"/>
      <c r="Q803" s="603"/>
      <c r="R803" s="603"/>
      <c r="S803" s="603"/>
      <c r="T803" s="603"/>
      <c r="U803" s="603"/>
      <c r="V803" s="603"/>
      <c r="W803" s="603"/>
      <c r="X803" s="603"/>
      <c r="Y803" s="603"/>
      <c r="Z803" s="603"/>
    </row>
    <row r="804" spans="1:26" ht="18" customHeight="1" x14ac:dyDescent="0.2">
      <c r="A804" s="603"/>
      <c r="B804" s="603"/>
      <c r="C804" s="603"/>
      <c r="D804" s="603"/>
      <c r="E804" s="603"/>
      <c r="F804" s="603"/>
      <c r="G804" s="603"/>
      <c r="H804" s="603"/>
      <c r="I804" s="603"/>
      <c r="J804" s="603"/>
      <c r="K804" s="603"/>
      <c r="L804" s="603"/>
      <c r="M804" s="603"/>
      <c r="N804" s="603"/>
      <c r="O804" s="603"/>
      <c r="P804" s="603"/>
      <c r="Q804" s="603"/>
      <c r="R804" s="603"/>
      <c r="S804" s="603"/>
      <c r="T804" s="603"/>
      <c r="U804" s="603"/>
      <c r="V804" s="603"/>
      <c r="W804" s="603"/>
      <c r="X804" s="603"/>
      <c r="Y804" s="603"/>
      <c r="Z804" s="603"/>
    </row>
    <row r="805" spans="1:26" ht="18" customHeight="1" x14ac:dyDescent="0.2">
      <c r="A805" s="603"/>
      <c r="B805" s="603"/>
      <c r="C805" s="603"/>
      <c r="D805" s="603"/>
      <c r="E805" s="603"/>
      <c r="F805" s="603"/>
      <c r="G805" s="603"/>
      <c r="H805" s="603"/>
      <c r="I805" s="603"/>
      <c r="J805" s="603"/>
      <c r="K805" s="603"/>
      <c r="L805" s="603"/>
      <c r="M805" s="603"/>
      <c r="N805" s="603"/>
      <c r="O805" s="603"/>
      <c r="P805" s="603"/>
      <c r="Q805" s="603"/>
      <c r="R805" s="603"/>
      <c r="S805" s="603"/>
      <c r="T805" s="603"/>
      <c r="U805" s="603"/>
      <c r="V805" s="603"/>
      <c r="W805" s="603"/>
      <c r="X805" s="603"/>
      <c r="Y805" s="603"/>
      <c r="Z805" s="603"/>
    </row>
    <row r="806" spans="1:26" ht="18" customHeight="1" x14ac:dyDescent="0.2">
      <c r="A806" s="603"/>
      <c r="B806" s="603"/>
      <c r="C806" s="603"/>
      <c r="D806" s="603"/>
      <c r="E806" s="603"/>
      <c r="F806" s="603"/>
      <c r="G806" s="603"/>
      <c r="H806" s="603"/>
      <c r="I806" s="603"/>
      <c r="J806" s="603"/>
      <c r="K806" s="603"/>
      <c r="L806" s="603"/>
      <c r="M806" s="603"/>
      <c r="N806" s="603"/>
      <c r="O806" s="603"/>
      <c r="P806" s="603"/>
      <c r="Q806" s="603"/>
      <c r="R806" s="603"/>
      <c r="S806" s="603"/>
      <c r="T806" s="603"/>
      <c r="U806" s="603"/>
      <c r="V806" s="603"/>
      <c r="W806" s="603"/>
      <c r="X806" s="603"/>
      <c r="Y806" s="603"/>
      <c r="Z806" s="603"/>
    </row>
    <row r="807" spans="1:26" ht="18" customHeight="1" x14ac:dyDescent="0.2">
      <c r="A807" s="603"/>
      <c r="B807" s="603"/>
      <c r="C807" s="603"/>
      <c r="D807" s="603"/>
      <c r="E807" s="603"/>
      <c r="F807" s="603"/>
      <c r="G807" s="603"/>
      <c r="H807" s="603"/>
      <c r="I807" s="603"/>
      <c r="J807" s="603"/>
      <c r="K807" s="603"/>
      <c r="L807" s="603"/>
      <c r="M807" s="603"/>
      <c r="N807" s="603"/>
      <c r="O807" s="603"/>
      <c r="P807" s="603"/>
      <c r="Q807" s="603"/>
      <c r="R807" s="603"/>
      <c r="S807" s="603"/>
      <c r="T807" s="603"/>
      <c r="U807" s="603"/>
      <c r="V807" s="603"/>
      <c r="W807" s="603"/>
      <c r="X807" s="603"/>
      <c r="Y807" s="603"/>
      <c r="Z807" s="603"/>
    </row>
    <row r="808" spans="1:26" ht="18" customHeight="1" x14ac:dyDescent="0.2">
      <c r="A808" s="603"/>
      <c r="B808" s="603"/>
      <c r="C808" s="603"/>
      <c r="D808" s="603"/>
      <c r="E808" s="603"/>
      <c r="F808" s="603"/>
      <c r="G808" s="603"/>
      <c r="H808" s="603"/>
      <c r="I808" s="603"/>
      <c r="J808" s="603"/>
      <c r="K808" s="603"/>
      <c r="L808" s="603"/>
      <c r="M808" s="603"/>
      <c r="N808" s="603"/>
      <c r="O808" s="603"/>
      <c r="P808" s="603"/>
      <c r="Q808" s="603"/>
      <c r="R808" s="603"/>
      <c r="S808" s="603"/>
      <c r="T808" s="603"/>
      <c r="U808" s="603"/>
      <c r="V808" s="603"/>
      <c r="W808" s="603"/>
      <c r="X808" s="603"/>
      <c r="Y808" s="603"/>
      <c r="Z808" s="603"/>
    </row>
    <row r="809" spans="1:26" ht="18" customHeight="1" x14ac:dyDescent="0.2">
      <c r="A809" s="603"/>
      <c r="B809" s="603"/>
      <c r="C809" s="603"/>
      <c r="D809" s="603"/>
      <c r="E809" s="603"/>
      <c r="F809" s="603"/>
      <c r="G809" s="603"/>
      <c r="H809" s="603"/>
      <c r="I809" s="603"/>
      <c r="J809" s="603"/>
      <c r="K809" s="603"/>
      <c r="L809" s="603"/>
      <c r="M809" s="603"/>
      <c r="N809" s="603"/>
      <c r="O809" s="603"/>
      <c r="P809" s="603"/>
      <c r="Q809" s="603"/>
      <c r="R809" s="603"/>
      <c r="S809" s="603"/>
      <c r="T809" s="603"/>
      <c r="U809" s="603"/>
      <c r="V809" s="603"/>
      <c r="W809" s="603"/>
      <c r="X809" s="603"/>
      <c r="Y809" s="603"/>
      <c r="Z809" s="603"/>
    </row>
    <row r="810" spans="1:26" ht="18" customHeight="1" x14ac:dyDescent="0.2">
      <c r="A810" s="603"/>
      <c r="B810" s="603"/>
      <c r="C810" s="603"/>
      <c r="D810" s="603"/>
      <c r="E810" s="603"/>
      <c r="F810" s="603"/>
      <c r="G810" s="603"/>
      <c r="H810" s="603"/>
      <c r="I810" s="603"/>
      <c r="J810" s="603"/>
      <c r="K810" s="603"/>
      <c r="L810" s="603"/>
      <c r="M810" s="603"/>
      <c r="N810" s="603"/>
      <c r="O810" s="603"/>
      <c r="P810" s="603"/>
      <c r="Q810" s="603"/>
      <c r="R810" s="603"/>
      <c r="S810" s="603"/>
      <c r="T810" s="603"/>
      <c r="U810" s="603"/>
      <c r="V810" s="603"/>
      <c r="W810" s="603"/>
      <c r="X810" s="603"/>
      <c r="Y810" s="603"/>
      <c r="Z810" s="603"/>
    </row>
    <row r="811" spans="1:26" ht="18" customHeight="1" x14ac:dyDescent="0.2">
      <c r="A811" s="603"/>
      <c r="B811" s="603"/>
      <c r="C811" s="603"/>
      <c r="D811" s="603"/>
      <c r="E811" s="603"/>
      <c r="F811" s="603"/>
      <c r="G811" s="603"/>
      <c r="H811" s="603"/>
      <c r="I811" s="603"/>
      <c r="J811" s="603"/>
      <c r="K811" s="603"/>
      <c r="L811" s="603"/>
      <c r="M811" s="603"/>
      <c r="N811" s="603"/>
      <c r="O811" s="603"/>
      <c r="P811" s="603"/>
      <c r="Q811" s="603"/>
      <c r="R811" s="603"/>
      <c r="S811" s="603"/>
      <c r="T811" s="603"/>
      <c r="U811" s="603"/>
      <c r="V811" s="603"/>
      <c r="W811" s="603"/>
      <c r="X811" s="603"/>
      <c r="Y811" s="603"/>
      <c r="Z811" s="603"/>
    </row>
    <row r="812" spans="1:26" ht="18" customHeight="1" x14ac:dyDescent="0.2">
      <c r="A812" s="603"/>
      <c r="B812" s="603"/>
      <c r="C812" s="603"/>
      <c r="D812" s="603"/>
      <c r="E812" s="603"/>
      <c r="F812" s="603"/>
      <c r="G812" s="603"/>
      <c r="H812" s="603"/>
      <c r="I812" s="603"/>
      <c r="J812" s="603"/>
      <c r="K812" s="603"/>
      <c r="L812" s="603"/>
      <c r="M812" s="603"/>
      <c r="N812" s="603"/>
      <c r="O812" s="603"/>
      <c r="P812" s="603"/>
      <c r="Q812" s="603"/>
      <c r="R812" s="603"/>
      <c r="S812" s="603"/>
      <c r="T812" s="603"/>
      <c r="U812" s="603"/>
      <c r="V812" s="603"/>
      <c r="W812" s="603"/>
      <c r="X812" s="603"/>
      <c r="Y812" s="603"/>
      <c r="Z812" s="603"/>
    </row>
    <row r="813" spans="1:26" ht="18" customHeight="1" x14ac:dyDescent="0.2">
      <c r="A813" s="603"/>
      <c r="B813" s="603"/>
      <c r="C813" s="603"/>
      <c r="D813" s="603"/>
      <c r="E813" s="603"/>
      <c r="F813" s="603"/>
      <c r="G813" s="603"/>
      <c r="H813" s="603"/>
      <c r="I813" s="603"/>
      <c r="J813" s="603"/>
      <c r="K813" s="603"/>
      <c r="L813" s="603"/>
      <c r="M813" s="603"/>
      <c r="N813" s="603"/>
      <c r="O813" s="603"/>
      <c r="P813" s="603"/>
      <c r="Q813" s="603"/>
      <c r="R813" s="603"/>
      <c r="S813" s="603"/>
      <c r="T813" s="603"/>
      <c r="U813" s="603"/>
      <c r="V813" s="603"/>
      <c r="W813" s="603"/>
      <c r="X813" s="603"/>
      <c r="Y813" s="603"/>
      <c r="Z813" s="603"/>
    </row>
    <row r="814" spans="1:26" ht="18" customHeight="1" x14ac:dyDescent="0.2">
      <c r="A814" s="603"/>
      <c r="B814" s="603"/>
      <c r="C814" s="603"/>
      <c r="D814" s="603"/>
      <c r="E814" s="603"/>
      <c r="F814" s="603"/>
      <c r="G814" s="603"/>
      <c r="H814" s="603"/>
      <c r="I814" s="603"/>
      <c r="J814" s="603"/>
      <c r="K814" s="603"/>
      <c r="L814" s="603"/>
      <c r="M814" s="603"/>
      <c r="N814" s="603"/>
      <c r="O814" s="603"/>
      <c r="P814" s="603"/>
      <c r="Q814" s="603"/>
      <c r="R814" s="603"/>
      <c r="S814" s="603"/>
      <c r="T814" s="603"/>
      <c r="U814" s="603"/>
      <c r="V814" s="603"/>
      <c r="W814" s="603"/>
      <c r="X814" s="603"/>
      <c r="Y814" s="603"/>
      <c r="Z814" s="603"/>
    </row>
    <row r="815" spans="1:26" ht="18" customHeight="1" x14ac:dyDescent="0.2">
      <c r="A815" s="603"/>
      <c r="B815" s="603"/>
      <c r="C815" s="603"/>
      <c r="D815" s="603"/>
      <c r="E815" s="603"/>
      <c r="F815" s="603"/>
      <c r="G815" s="603"/>
      <c r="H815" s="603"/>
      <c r="I815" s="603"/>
      <c r="J815" s="603"/>
      <c r="K815" s="603"/>
      <c r="L815" s="603"/>
      <c r="M815" s="603"/>
      <c r="N815" s="603"/>
      <c r="O815" s="603"/>
      <c r="P815" s="603"/>
      <c r="Q815" s="603"/>
      <c r="R815" s="603"/>
      <c r="S815" s="603"/>
      <c r="T815" s="603"/>
      <c r="U815" s="603"/>
      <c r="V815" s="603"/>
      <c r="W815" s="603"/>
      <c r="X815" s="603"/>
      <c r="Y815" s="603"/>
      <c r="Z815" s="603"/>
    </row>
    <row r="816" spans="1:26" ht="18" customHeight="1" x14ac:dyDescent="0.2">
      <c r="A816" s="603"/>
      <c r="B816" s="603"/>
      <c r="C816" s="603"/>
      <c r="D816" s="603"/>
      <c r="E816" s="603"/>
      <c r="F816" s="603"/>
      <c r="G816" s="603"/>
      <c r="H816" s="603"/>
      <c r="I816" s="603"/>
      <c r="J816" s="603"/>
      <c r="K816" s="603"/>
      <c r="L816" s="603"/>
      <c r="M816" s="603"/>
      <c r="N816" s="603"/>
      <c r="O816" s="603"/>
      <c r="P816" s="603"/>
      <c r="Q816" s="603"/>
      <c r="R816" s="603"/>
      <c r="S816" s="603"/>
      <c r="T816" s="603"/>
      <c r="U816" s="603"/>
      <c r="V816" s="603"/>
      <c r="W816" s="603"/>
      <c r="X816" s="603"/>
      <c r="Y816" s="603"/>
      <c r="Z816" s="603"/>
    </row>
    <row r="817" spans="1:26" ht="18" customHeight="1" x14ac:dyDescent="0.2">
      <c r="A817" s="603"/>
      <c r="B817" s="603"/>
      <c r="C817" s="603"/>
      <c r="D817" s="603"/>
      <c r="E817" s="603"/>
      <c r="F817" s="603"/>
      <c r="G817" s="603"/>
      <c r="H817" s="603"/>
      <c r="I817" s="603"/>
      <c r="J817" s="603"/>
      <c r="K817" s="603"/>
      <c r="L817" s="603"/>
      <c r="M817" s="603"/>
      <c r="N817" s="603"/>
      <c r="O817" s="603"/>
      <c r="P817" s="603"/>
      <c r="Q817" s="603"/>
      <c r="R817" s="603"/>
      <c r="S817" s="603"/>
      <c r="T817" s="603"/>
      <c r="U817" s="603"/>
      <c r="V817" s="603"/>
      <c r="W817" s="603"/>
      <c r="X817" s="603"/>
      <c r="Y817" s="603"/>
      <c r="Z817" s="603"/>
    </row>
    <row r="818" spans="1:26" ht="18" customHeight="1" x14ac:dyDescent="0.2">
      <c r="A818" s="603"/>
      <c r="B818" s="603"/>
      <c r="C818" s="603"/>
      <c r="D818" s="603"/>
      <c r="E818" s="603"/>
      <c r="F818" s="603"/>
      <c r="G818" s="603"/>
      <c r="H818" s="603"/>
      <c r="I818" s="603"/>
      <c r="J818" s="603"/>
      <c r="K818" s="603"/>
      <c r="L818" s="603"/>
      <c r="M818" s="603"/>
      <c r="N818" s="603"/>
      <c r="O818" s="603"/>
      <c r="P818" s="603"/>
      <c r="Q818" s="603"/>
      <c r="R818" s="603"/>
      <c r="S818" s="603"/>
      <c r="T818" s="603"/>
      <c r="U818" s="603"/>
      <c r="V818" s="603"/>
      <c r="W818" s="603"/>
      <c r="X818" s="603"/>
      <c r="Y818" s="603"/>
      <c r="Z818" s="603"/>
    </row>
    <row r="819" spans="1:26" ht="18" customHeight="1" x14ac:dyDescent="0.2">
      <c r="A819" s="603"/>
      <c r="B819" s="603"/>
      <c r="C819" s="603"/>
      <c r="D819" s="603"/>
      <c r="E819" s="603"/>
      <c r="F819" s="603"/>
      <c r="G819" s="603"/>
      <c r="H819" s="603"/>
      <c r="I819" s="603"/>
      <c r="J819" s="603"/>
      <c r="K819" s="603"/>
      <c r="L819" s="603"/>
      <c r="M819" s="603"/>
      <c r="N819" s="603"/>
      <c r="O819" s="603"/>
      <c r="P819" s="603"/>
      <c r="Q819" s="603"/>
      <c r="R819" s="603"/>
      <c r="S819" s="603"/>
      <c r="T819" s="603"/>
      <c r="U819" s="603"/>
      <c r="V819" s="603"/>
      <c r="W819" s="603"/>
      <c r="X819" s="603"/>
      <c r="Y819" s="603"/>
      <c r="Z819" s="603"/>
    </row>
    <row r="820" spans="1:26" ht="18" customHeight="1" x14ac:dyDescent="0.2">
      <c r="A820" s="603"/>
      <c r="B820" s="603"/>
      <c r="C820" s="603"/>
      <c r="D820" s="603"/>
      <c r="E820" s="603"/>
      <c r="F820" s="603"/>
      <c r="G820" s="603"/>
      <c r="H820" s="603"/>
      <c r="I820" s="603"/>
      <c r="J820" s="603"/>
      <c r="K820" s="603"/>
      <c r="L820" s="603"/>
      <c r="M820" s="603"/>
      <c r="N820" s="603"/>
      <c r="O820" s="603"/>
      <c r="P820" s="603"/>
      <c r="Q820" s="603"/>
      <c r="R820" s="603"/>
      <c r="S820" s="603"/>
      <c r="T820" s="603"/>
      <c r="U820" s="603"/>
      <c r="V820" s="603"/>
      <c r="W820" s="603"/>
      <c r="X820" s="603"/>
      <c r="Y820" s="603"/>
      <c r="Z820" s="603"/>
    </row>
    <row r="821" spans="1:26" ht="18" customHeight="1" x14ac:dyDescent="0.2">
      <c r="A821" s="603"/>
      <c r="B821" s="603"/>
      <c r="C821" s="603"/>
      <c r="D821" s="603"/>
      <c r="E821" s="603"/>
      <c r="F821" s="603"/>
      <c r="G821" s="603"/>
      <c r="H821" s="603"/>
      <c r="I821" s="603"/>
      <c r="J821" s="603"/>
      <c r="K821" s="603"/>
      <c r="L821" s="603"/>
      <c r="M821" s="603"/>
      <c r="N821" s="603"/>
      <c r="O821" s="603"/>
      <c r="P821" s="603"/>
      <c r="Q821" s="603"/>
      <c r="R821" s="603"/>
      <c r="S821" s="603"/>
      <c r="T821" s="603"/>
      <c r="U821" s="603"/>
      <c r="V821" s="603"/>
      <c r="W821" s="603"/>
      <c r="X821" s="603"/>
      <c r="Y821" s="603"/>
      <c r="Z821" s="603"/>
    </row>
    <row r="822" spans="1:26" ht="18" customHeight="1" x14ac:dyDescent="0.2">
      <c r="A822" s="603"/>
      <c r="B822" s="603"/>
      <c r="C822" s="603"/>
      <c r="D822" s="603"/>
      <c r="E822" s="603"/>
      <c r="F822" s="603"/>
      <c r="G822" s="603"/>
      <c r="H822" s="603"/>
      <c r="I822" s="603"/>
      <c r="J822" s="603"/>
      <c r="K822" s="603"/>
      <c r="L822" s="603"/>
      <c r="M822" s="603"/>
      <c r="N822" s="603"/>
      <c r="O822" s="603"/>
      <c r="P822" s="603"/>
      <c r="Q822" s="603"/>
      <c r="R822" s="603"/>
      <c r="S822" s="603"/>
      <c r="T822" s="603"/>
      <c r="U822" s="603"/>
      <c r="V822" s="603"/>
      <c r="W822" s="603"/>
      <c r="X822" s="603"/>
      <c r="Y822" s="603"/>
      <c r="Z822" s="603"/>
    </row>
    <row r="823" spans="1:26" ht="18" customHeight="1" x14ac:dyDescent="0.2">
      <c r="A823" s="603"/>
      <c r="B823" s="603"/>
      <c r="C823" s="603"/>
      <c r="D823" s="603"/>
      <c r="E823" s="603"/>
      <c r="F823" s="603"/>
      <c r="G823" s="603"/>
      <c r="H823" s="603"/>
      <c r="I823" s="603"/>
      <c r="J823" s="603"/>
      <c r="K823" s="603"/>
      <c r="L823" s="603"/>
      <c r="M823" s="603"/>
      <c r="N823" s="603"/>
      <c r="O823" s="603"/>
      <c r="P823" s="603"/>
      <c r="Q823" s="603"/>
      <c r="R823" s="603"/>
      <c r="S823" s="603"/>
      <c r="T823" s="603"/>
      <c r="U823" s="603"/>
      <c r="V823" s="603"/>
      <c r="W823" s="603"/>
      <c r="X823" s="603"/>
      <c r="Y823" s="603"/>
      <c r="Z823" s="603"/>
    </row>
    <row r="824" spans="1:26" ht="18" customHeight="1" x14ac:dyDescent="0.2">
      <c r="A824" s="603"/>
      <c r="B824" s="603"/>
      <c r="C824" s="603"/>
      <c r="D824" s="603"/>
      <c r="E824" s="603"/>
      <c r="F824" s="603"/>
      <c r="G824" s="603"/>
      <c r="H824" s="603"/>
      <c r="I824" s="603"/>
      <c r="J824" s="603"/>
      <c r="K824" s="603"/>
      <c r="L824" s="603"/>
      <c r="M824" s="603"/>
      <c r="N824" s="603"/>
      <c r="O824" s="603"/>
      <c r="P824" s="603"/>
      <c r="Q824" s="603"/>
      <c r="R824" s="603"/>
      <c r="S824" s="603"/>
      <c r="T824" s="603"/>
      <c r="U824" s="603"/>
      <c r="V824" s="603"/>
      <c r="W824" s="603"/>
      <c r="X824" s="603"/>
      <c r="Y824" s="603"/>
      <c r="Z824" s="603"/>
    </row>
    <row r="825" spans="1:26" ht="18" customHeight="1" x14ac:dyDescent="0.2">
      <c r="A825" s="603"/>
      <c r="B825" s="603"/>
      <c r="C825" s="603"/>
      <c r="D825" s="603"/>
      <c r="E825" s="603"/>
      <c r="F825" s="603"/>
      <c r="G825" s="603"/>
      <c r="H825" s="603"/>
      <c r="I825" s="603"/>
      <c r="J825" s="603"/>
      <c r="K825" s="603"/>
      <c r="L825" s="603"/>
      <c r="M825" s="603"/>
      <c r="N825" s="603"/>
      <c r="O825" s="603"/>
      <c r="P825" s="603"/>
      <c r="Q825" s="603"/>
      <c r="R825" s="603"/>
      <c r="S825" s="603"/>
      <c r="T825" s="603"/>
      <c r="U825" s="603"/>
      <c r="V825" s="603"/>
      <c r="W825" s="603"/>
      <c r="X825" s="603"/>
      <c r="Y825" s="603"/>
      <c r="Z825" s="603"/>
    </row>
    <row r="826" spans="1:26" ht="18" customHeight="1" x14ac:dyDescent="0.2">
      <c r="A826" s="603"/>
      <c r="B826" s="603"/>
      <c r="C826" s="603"/>
      <c r="D826" s="603"/>
      <c r="E826" s="603"/>
      <c r="F826" s="603"/>
      <c r="G826" s="603"/>
      <c r="H826" s="603"/>
      <c r="I826" s="603"/>
      <c r="J826" s="603"/>
      <c r="K826" s="603"/>
      <c r="L826" s="603"/>
      <c r="M826" s="603"/>
      <c r="N826" s="603"/>
      <c r="O826" s="603"/>
      <c r="P826" s="603"/>
      <c r="Q826" s="603"/>
      <c r="R826" s="603"/>
      <c r="S826" s="603"/>
      <c r="T826" s="603"/>
      <c r="U826" s="603"/>
      <c r="V826" s="603"/>
      <c r="W826" s="603"/>
      <c r="X826" s="603"/>
      <c r="Y826" s="603"/>
      <c r="Z826" s="603"/>
    </row>
    <row r="827" spans="1:26" ht="18" customHeight="1" x14ac:dyDescent="0.2">
      <c r="A827" s="603"/>
      <c r="B827" s="603"/>
      <c r="C827" s="603"/>
      <c r="D827" s="603"/>
      <c r="E827" s="603"/>
      <c r="F827" s="603"/>
      <c r="G827" s="603"/>
      <c r="H827" s="603"/>
      <c r="I827" s="603"/>
      <c r="J827" s="603"/>
      <c r="K827" s="603"/>
      <c r="L827" s="603"/>
      <c r="M827" s="603"/>
      <c r="N827" s="603"/>
      <c r="O827" s="603"/>
      <c r="P827" s="603"/>
      <c r="Q827" s="603"/>
      <c r="R827" s="603"/>
      <c r="S827" s="603"/>
      <c r="T827" s="603"/>
      <c r="U827" s="603"/>
      <c r="V827" s="603"/>
      <c r="W827" s="603"/>
      <c r="X827" s="603"/>
      <c r="Y827" s="603"/>
      <c r="Z827" s="603"/>
    </row>
    <row r="828" spans="1:26" ht="18" customHeight="1" x14ac:dyDescent="0.2">
      <c r="A828" s="603"/>
      <c r="B828" s="603"/>
      <c r="C828" s="603"/>
      <c r="D828" s="603"/>
      <c r="E828" s="603"/>
      <c r="F828" s="603"/>
      <c r="G828" s="603"/>
      <c r="H828" s="603"/>
      <c r="I828" s="603"/>
      <c r="J828" s="603"/>
      <c r="K828" s="603"/>
      <c r="L828" s="603"/>
      <c r="M828" s="603"/>
      <c r="N828" s="603"/>
      <c r="O828" s="603"/>
      <c r="P828" s="603"/>
      <c r="Q828" s="603"/>
      <c r="R828" s="603"/>
      <c r="S828" s="603"/>
      <c r="T828" s="603"/>
      <c r="U828" s="603"/>
      <c r="V828" s="603"/>
      <c r="W828" s="603"/>
      <c r="X828" s="603"/>
      <c r="Y828" s="603"/>
      <c r="Z828" s="603"/>
    </row>
    <row r="829" spans="1:26" ht="18" customHeight="1" x14ac:dyDescent="0.2">
      <c r="A829" s="603"/>
      <c r="B829" s="603"/>
      <c r="C829" s="603"/>
      <c r="D829" s="603"/>
      <c r="E829" s="603"/>
      <c r="F829" s="603"/>
      <c r="G829" s="603"/>
      <c r="H829" s="603"/>
      <c r="I829" s="603"/>
      <c r="J829" s="603"/>
      <c r="K829" s="603"/>
      <c r="L829" s="603"/>
      <c r="M829" s="603"/>
      <c r="N829" s="603"/>
      <c r="O829" s="603"/>
      <c r="P829" s="603"/>
      <c r="Q829" s="603"/>
      <c r="R829" s="603"/>
      <c r="S829" s="603"/>
      <c r="T829" s="603"/>
      <c r="U829" s="603"/>
      <c r="V829" s="603"/>
      <c r="W829" s="603"/>
      <c r="X829" s="603"/>
      <c r="Y829" s="603"/>
      <c r="Z829" s="603"/>
    </row>
    <row r="830" spans="1:26" ht="18" customHeight="1" x14ac:dyDescent="0.2">
      <c r="A830" s="603"/>
      <c r="B830" s="603"/>
      <c r="C830" s="603"/>
      <c r="D830" s="603"/>
      <c r="E830" s="603"/>
      <c r="F830" s="603"/>
      <c r="G830" s="603"/>
      <c r="H830" s="603"/>
      <c r="I830" s="603"/>
      <c r="J830" s="603"/>
      <c r="K830" s="603"/>
      <c r="L830" s="603"/>
      <c r="M830" s="603"/>
      <c r="N830" s="603"/>
      <c r="O830" s="603"/>
      <c r="P830" s="603"/>
      <c r="Q830" s="603"/>
      <c r="R830" s="603"/>
      <c r="S830" s="603"/>
      <c r="T830" s="603"/>
      <c r="U830" s="603"/>
      <c r="V830" s="603"/>
      <c r="W830" s="603"/>
      <c r="X830" s="603"/>
      <c r="Y830" s="603"/>
      <c r="Z830" s="603"/>
    </row>
    <row r="831" spans="1:26" ht="18" customHeight="1" x14ac:dyDescent="0.2">
      <c r="A831" s="603"/>
      <c r="B831" s="603"/>
      <c r="C831" s="603"/>
      <c r="D831" s="603"/>
      <c r="E831" s="603"/>
      <c r="F831" s="603"/>
      <c r="G831" s="603"/>
      <c r="H831" s="603"/>
      <c r="I831" s="603"/>
      <c r="J831" s="603"/>
      <c r="K831" s="603"/>
      <c r="L831" s="603"/>
      <c r="M831" s="603"/>
      <c r="N831" s="603"/>
      <c r="O831" s="603"/>
      <c r="P831" s="603"/>
      <c r="Q831" s="603"/>
      <c r="R831" s="603"/>
      <c r="S831" s="603"/>
      <c r="T831" s="603"/>
      <c r="U831" s="603"/>
      <c r="V831" s="603"/>
      <c r="W831" s="603"/>
      <c r="X831" s="603"/>
      <c r="Y831" s="603"/>
      <c r="Z831" s="603"/>
    </row>
    <row r="832" spans="1:26" ht="18" customHeight="1" x14ac:dyDescent="0.2">
      <c r="A832" s="603"/>
      <c r="B832" s="603"/>
      <c r="C832" s="603"/>
      <c r="D832" s="603"/>
      <c r="E832" s="603"/>
      <c r="F832" s="603"/>
      <c r="G832" s="603"/>
      <c r="H832" s="603"/>
      <c r="I832" s="603"/>
      <c r="J832" s="603"/>
      <c r="K832" s="603"/>
      <c r="L832" s="603"/>
      <c r="M832" s="603"/>
      <c r="N832" s="603"/>
      <c r="O832" s="603"/>
      <c r="P832" s="603"/>
      <c r="Q832" s="603"/>
      <c r="R832" s="603"/>
      <c r="S832" s="603"/>
      <c r="T832" s="603"/>
      <c r="U832" s="603"/>
      <c r="V832" s="603"/>
      <c r="W832" s="603"/>
      <c r="X832" s="603"/>
      <c r="Y832" s="603"/>
      <c r="Z832" s="603"/>
    </row>
    <row r="833" spans="1:26" ht="18" customHeight="1" x14ac:dyDescent="0.2">
      <c r="A833" s="603"/>
      <c r="B833" s="603"/>
      <c r="C833" s="603"/>
      <c r="D833" s="603"/>
      <c r="E833" s="603"/>
      <c r="F833" s="603"/>
      <c r="G833" s="603"/>
      <c r="H833" s="603"/>
      <c r="I833" s="603"/>
      <c r="J833" s="603"/>
      <c r="K833" s="603"/>
      <c r="L833" s="603"/>
      <c r="M833" s="603"/>
      <c r="N833" s="603"/>
      <c r="O833" s="603"/>
      <c r="P833" s="603"/>
      <c r="Q833" s="603"/>
      <c r="R833" s="603"/>
      <c r="S833" s="603"/>
      <c r="T833" s="603"/>
      <c r="U833" s="603"/>
      <c r="V833" s="603"/>
      <c r="W833" s="603"/>
      <c r="X833" s="603"/>
      <c r="Y833" s="603"/>
      <c r="Z833" s="603"/>
    </row>
    <row r="834" spans="1:26" ht="18" customHeight="1" x14ac:dyDescent="0.2">
      <c r="A834" s="603"/>
      <c r="B834" s="603"/>
      <c r="C834" s="603"/>
      <c r="D834" s="603"/>
      <c r="E834" s="603"/>
      <c r="F834" s="603"/>
      <c r="G834" s="603"/>
      <c r="H834" s="603"/>
      <c r="I834" s="603"/>
      <c r="J834" s="603"/>
      <c r="K834" s="603"/>
      <c r="L834" s="603"/>
      <c r="M834" s="603"/>
      <c r="N834" s="603"/>
      <c r="O834" s="603"/>
      <c r="P834" s="603"/>
      <c r="Q834" s="603"/>
      <c r="R834" s="603"/>
      <c r="S834" s="603"/>
      <c r="T834" s="603"/>
      <c r="U834" s="603"/>
      <c r="V834" s="603"/>
      <c r="W834" s="603"/>
      <c r="X834" s="603"/>
      <c r="Y834" s="603"/>
      <c r="Z834" s="603"/>
    </row>
    <row r="835" spans="1:26" ht="18" customHeight="1" x14ac:dyDescent="0.2">
      <c r="A835" s="603"/>
      <c r="B835" s="603"/>
      <c r="C835" s="603"/>
      <c r="D835" s="603"/>
      <c r="E835" s="603"/>
      <c r="F835" s="603"/>
      <c r="G835" s="603"/>
      <c r="H835" s="603"/>
      <c r="I835" s="603"/>
      <c r="J835" s="603"/>
      <c r="K835" s="603"/>
      <c r="L835" s="603"/>
      <c r="M835" s="603"/>
      <c r="N835" s="603"/>
      <c r="O835" s="603"/>
      <c r="P835" s="603"/>
      <c r="Q835" s="603"/>
      <c r="R835" s="603"/>
      <c r="S835" s="603"/>
      <c r="T835" s="603"/>
      <c r="U835" s="603"/>
      <c r="V835" s="603"/>
      <c r="W835" s="603"/>
      <c r="X835" s="603"/>
      <c r="Y835" s="603"/>
      <c r="Z835" s="603"/>
    </row>
    <row r="836" spans="1:26" ht="18" customHeight="1" x14ac:dyDescent="0.2">
      <c r="A836" s="603"/>
      <c r="B836" s="603"/>
      <c r="C836" s="603"/>
      <c r="D836" s="603"/>
      <c r="E836" s="603"/>
      <c r="F836" s="603"/>
      <c r="G836" s="603"/>
      <c r="H836" s="603"/>
      <c r="I836" s="603"/>
      <c r="J836" s="603"/>
      <c r="K836" s="603"/>
      <c r="L836" s="603"/>
      <c r="M836" s="603"/>
      <c r="N836" s="603"/>
      <c r="O836" s="603"/>
      <c r="P836" s="603"/>
      <c r="Q836" s="603"/>
      <c r="R836" s="603"/>
      <c r="S836" s="603"/>
      <c r="T836" s="603"/>
      <c r="U836" s="603"/>
      <c r="V836" s="603"/>
      <c r="W836" s="603"/>
      <c r="X836" s="603"/>
      <c r="Y836" s="603"/>
      <c r="Z836" s="603"/>
    </row>
    <row r="837" spans="1:26" ht="18" customHeight="1" x14ac:dyDescent="0.2">
      <c r="A837" s="603"/>
      <c r="B837" s="603"/>
      <c r="C837" s="603"/>
      <c r="D837" s="603"/>
      <c r="E837" s="603"/>
      <c r="F837" s="603"/>
      <c r="G837" s="603"/>
      <c r="H837" s="603"/>
      <c r="I837" s="603"/>
      <c r="J837" s="603"/>
      <c r="K837" s="603"/>
      <c r="L837" s="603"/>
      <c r="M837" s="603"/>
      <c r="N837" s="603"/>
      <c r="O837" s="603"/>
      <c r="P837" s="603"/>
      <c r="Q837" s="603"/>
      <c r="R837" s="603"/>
      <c r="S837" s="603"/>
      <c r="T837" s="603"/>
      <c r="U837" s="603"/>
      <c r="V837" s="603"/>
      <c r="W837" s="603"/>
      <c r="X837" s="603"/>
      <c r="Y837" s="603"/>
      <c r="Z837" s="603"/>
    </row>
    <row r="838" spans="1:26" ht="18" customHeight="1" x14ac:dyDescent="0.2">
      <c r="A838" s="603"/>
      <c r="B838" s="603"/>
      <c r="C838" s="603"/>
      <c r="D838" s="603"/>
      <c r="E838" s="603"/>
      <c r="F838" s="603"/>
      <c r="G838" s="603"/>
      <c r="H838" s="603"/>
      <c r="I838" s="603"/>
      <c r="J838" s="603"/>
      <c r="K838" s="603"/>
      <c r="L838" s="603"/>
      <c r="M838" s="603"/>
      <c r="N838" s="603"/>
      <c r="O838" s="603"/>
      <c r="P838" s="603"/>
      <c r="Q838" s="603"/>
      <c r="R838" s="603"/>
      <c r="S838" s="603"/>
      <c r="T838" s="603"/>
      <c r="U838" s="603"/>
      <c r="V838" s="603"/>
      <c r="W838" s="603"/>
      <c r="X838" s="603"/>
      <c r="Y838" s="603"/>
      <c r="Z838" s="603"/>
    </row>
    <row r="839" spans="1:26" ht="18" customHeight="1" x14ac:dyDescent="0.2">
      <c r="A839" s="603"/>
      <c r="B839" s="603"/>
      <c r="C839" s="603"/>
      <c r="D839" s="603"/>
      <c r="E839" s="603"/>
      <c r="F839" s="603"/>
      <c r="G839" s="603"/>
      <c r="H839" s="603"/>
      <c r="I839" s="603"/>
      <c r="J839" s="603"/>
      <c r="K839" s="603"/>
      <c r="L839" s="603"/>
      <c r="M839" s="603"/>
      <c r="N839" s="603"/>
      <c r="O839" s="603"/>
      <c r="P839" s="603"/>
      <c r="Q839" s="603"/>
      <c r="R839" s="603"/>
      <c r="S839" s="603"/>
      <c r="T839" s="603"/>
      <c r="U839" s="603"/>
      <c r="V839" s="603"/>
      <c r="W839" s="603"/>
      <c r="X839" s="603"/>
      <c r="Y839" s="603"/>
      <c r="Z839" s="603"/>
    </row>
    <row r="840" spans="1:26" ht="18" customHeight="1" x14ac:dyDescent="0.2">
      <c r="A840" s="603"/>
      <c r="B840" s="603"/>
      <c r="C840" s="603"/>
      <c r="D840" s="603"/>
      <c r="E840" s="603"/>
      <c r="F840" s="603"/>
      <c r="G840" s="603"/>
      <c r="H840" s="603"/>
      <c r="I840" s="603"/>
      <c r="J840" s="603"/>
      <c r="K840" s="603"/>
      <c r="L840" s="603"/>
      <c r="M840" s="603"/>
      <c r="N840" s="603"/>
      <c r="O840" s="603"/>
      <c r="P840" s="603"/>
      <c r="Q840" s="603"/>
      <c r="R840" s="603"/>
      <c r="S840" s="603"/>
      <c r="T840" s="603"/>
      <c r="U840" s="603"/>
      <c r="V840" s="603"/>
      <c r="W840" s="603"/>
      <c r="X840" s="603"/>
      <c r="Y840" s="603"/>
      <c r="Z840" s="603"/>
    </row>
    <row r="841" spans="1:26" ht="18" customHeight="1" x14ac:dyDescent="0.2">
      <c r="A841" s="603"/>
      <c r="B841" s="603"/>
      <c r="C841" s="603"/>
      <c r="D841" s="603"/>
      <c r="E841" s="603"/>
      <c r="F841" s="603"/>
      <c r="G841" s="603"/>
      <c r="H841" s="603"/>
      <c r="I841" s="603"/>
      <c r="J841" s="603"/>
      <c r="K841" s="603"/>
      <c r="L841" s="603"/>
      <c r="M841" s="603"/>
      <c r="N841" s="603"/>
      <c r="O841" s="603"/>
      <c r="P841" s="603"/>
      <c r="Q841" s="603"/>
      <c r="R841" s="603"/>
      <c r="S841" s="603"/>
      <c r="T841" s="603"/>
      <c r="U841" s="603"/>
      <c r="V841" s="603"/>
      <c r="W841" s="603"/>
      <c r="X841" s="603"/>
      <c r="Y841" s="603"/>
      <c r="Z841" s="603"/>
    </row>
    <row r="842" spans="1:26" ht="18" customHeight="1" x14ac:dyDescent="0.2">
      <c r="A842" s="603"/>
      <c r="B842" s="603"/>
      <c r="C842" s="603"/>
      <c r="D842" s="603"/>
      <c r="E842" s="603"/>
      <c r="F842" s="603"/>
      <c r="G842" s="603"/>
      <c r="H842" s="603"/>
      <c r="I842" s="603"/>
      <c r="J842" s="603"/>
      <c r="K842" s="603"/>
      <c r="L842" s="603"/>
      <c r="M842" s="603"/>
      <c r="N842" s="603"/>
      <c r="O842" s="603"/>
      <c r="P842" s="603"/>
      <c r="Q842" s="603"/>
      <c r="R842" s="603"/>
      <c r="S842" s="603"/>
      <c r="T842" s="603"/>
      <c r="U842" s="603"/>
      <c r="V842" s="603"/>
      <c r="W842" s="603"/>
      <c r="X842" s="603"/>
      <c r="Y842" s="603"/>
      <c r="Z842" s="603"/>
    </row>
    <row r="843" spans="1:26" ht="18" customHeight="1" x14ac:dyDescent="0.2">
      <c r="A843" s="603"/>
      <c r="B843" s="603"/>
      <c r="C843" s="603"/>
      <c r="D843" s="603"/>
      <c r="E843" s="603"/>
      <c r="F843" s="603"/>
      <c r="G843" s="603"/>
      <c r="H843" s="603"/>
      <c r="I843" s="603"/>
      <c r="J843" s="603"/>
      <c r="K843" s="603"/>
      <c r="L843" s="603"/>
      <c r="M843" s="603"/>
      <c r="N843" s="603"/>
      <c r="O843" s="603"/>
      <c r="P843" s="603"/>
      <c r="Q843" s="603"/>
      <c r="R843" s="603"/>
      <c r="S843" s="603"/>
      <c r="T843" s="603"/>
      <c r="U843" s="603"/>
      <c r="V843" s="603"/>
      <c r="W843" s="603"/>
      <c r="X843" s="603"/>
      <c r="Y843" s="603"/>
      <c r="Z843" s="603"/>
    </row>
    <row r="844" spans="1:26" ht="18" customHeight="1" x14ac:dyDescent="0.2">
      <c r="A844" s="603"/>
      <c r="B844" s="603"/>
      <c r="C844" s="603"/>
      <c r="D844" s="603"/>
      <c r="E844" s="603"/>
      <c r="F844" s="603"/>
      <c r="G844" s="603"/>
      <c r="H844" s="603"/>
      <c r="I844" s="603"/>
      <c r="J844" s="603"/>
      <c r="K844" s="603"/>
      <c r="L844" s="603"/>
      <c r="M844" s="603"/>
      <c r="N844" s="603"/>
      <c r="O844" s="603"/>
      <c r="P844" s="603"/>
      <c r="Q844" s="603"/>
      <c r="R844" s="603"/>
      <c r="S844" s="603"/>
      <c r="T844" s="603"/>
      <c r="U844" s="603"/>
      <c r="V844" s="603"/>
      <c r="W844" s="603"/>
      <c r="X844" s="603"/>
      <c r="Y844" s="603"/>
      <c r="Z844" s="603"/>
    </row>
    <row r="845" spans="1:26" ht="18" customHeight="1" x14ac:dyDescent="0.2">
      <c r="A845" s="603"/>
      <c r="B845" s="603"/>
      <c r="C845" s="603"/>
      <c r="D845" s="603"/>
      <c r="E845" s="603"/>
      <c r="F845" s="603"/>
      <c r="G845" s="603"/>
      <c r="H845" s="603"/>
      <c r="I845" s="603"/>
      <c r="J845" s="603"/>
      <c r="K845" s="603"/>
      <c r="L845" s="603"/>
      <c r="M845" s="603"/>
      <c r="N845" s="603"/>
      <c r="O845" s="603"/>
      <c r="P845" s="603"/>
      <c r="Q845" s="603"/>
      <c r="R845" s="603"/>
      <c r="S845" s="603"/>
      <c r="T845" s="603"/>
      <c r="U845" s="603"/>
      <c r="V845" s="603"/>
      <c r="W845" s="603"/>
      <c r="X845" s="603"/>
      <c r="Y845" s="603"/>
      <c r="Z845" s="603"/>
    </row>
    <row r="846" spans="1:26" ht="18" customHeight="1" x14ac:dyDescent="0.2">
      <c r="A846" s="603"/>
      <c r="B846" s="603"/>
      <c r="C846" s="603"/>
      <c r="D846" s="603"/>
      <c r="E846" s="603"/>
      <c r="F846" s="603"/>
      <c r="G846" s="603"/>
      <c r="H846" s="603"/>
      <c r="I846" s="603"/>
      <c r="J846" s="603"/>
      <c r="K846" s="603"/>
      <c r="L846" s="603"/>
      <c r="M846" s="603"/>
      <c r="N846" s="603"/>
      <c r="O846" s="603"/>
      <c r="P846" s="603"/>
      <c r="Q846" s="603"/>
      <c r="R846" s="603"/>
      <c r="S846" s="603"/>
      <c r="T846" s="603"/>
      <c r="U846" s="603"/>
      <c r="V846" s="603"/>
      <c r="W846" s="603"/>
      <c r="X846" s="603"/>
      <c r="Y846" s="603"/>
      <c r="Z846" s="603"/>
    </row>
    <row r="847" spans="1:26" ht="18" customHeight="1" x14ac:dyDescent="0.2">
      <c r="A847" s="603"/>
      <c r="B847" s="603"/>
      <c r="C847" s="603"/>
      <c r="D847" s="603"/>
      <c r="E847" s="603"/>
      <c r="F847" s="603"/>
      <c r="G847" s="603"/>
      <c r="H847" s="603"/>
      <c r="I847" s="603"/>
      <c r="J847" s="603"/>
      <c r="K847" s="603"/>
      <c r="L847" s="603"/>
      <c r="M847" s="603"/>
      <c r="N847" s="603"/>
      <c r="O847" s="603"/>
      <c r="P847" s="603"/>
      <c r="Q847" s="603"/>
      <c r="R847" s="603"/>
      <c r="S847" s="603"/>
      <c r="T847" s="603"/>
      <c r="U847" s="603"/>
      <c r="V847" s="603"/>
      <c r="W847" s="603"/>
      <c r="X847" s="603"/>
      <c r="Y847" s="603"/>
      <c r="Z847" s="603"/>
    </row>
    <row r="848" spans="1:26" ht="18" customHeight="1" x14ac:dyDescent="0.2">
      <c r="A848" s="603"/>
      <c r="B848" s="603"/>
      <c r="C848" s="603"/>
      <c r="D848" s="603"/>
      <c r="E848" s="603"/>
      <c r="F848" s="603"/>
      <c r="G848" s="603"/>
      <c r="H848" s="603"/>
      <c r="I848" s="603"/>
      <c r="J848" s="603"/>
      <c r="K848" s="603"/>
      <c r="L848" s="603"/>
      <c r="M848" s="603"/>
      <c r="N848" s="603"/>
      <c r="O848" s="603"/>
      <c r="P848" s="603"/>
      <c r="Q848" s="603"/>
      <c r="R848" s="603"/>
      <c r="S848" s="603"/>
      <c r="T848" s="603"/>
      <c r="U848" s="603"/>
      <c r="V848" s="603"/>
      <c r="W848" s="603"/>
      <c r="X848" s="603"/>
      <c r="Y848" s="603"/>
      <c r="Z848" s="603"/>
    </row>
    <row r="849" spans="1:26" ht="18" customHeight="1" x14ac:dyDescent="0.2">
      <c r="A849" s="603"/>
      <c r="B849" s="603"/>
      <c r="C849" s="603"/>
      <c r="D849" s="603"/>
      <c r="E849" s="603"/>
      <c r="F849" s="603"/>
      <c r="G849" s="603"/>
      <c r="H849" s="603"/>
      <c r="I849" s="603"/>
      <c r="J849" s="603"/>
      <c r="K849" s="603"/>
      <c r="L849" s="603"/>
      <c r="M849" s="603"/>
      <c r="N849" s="603"/>
      <c r="O849" s="603"/>
      <c r="P849" s="603"/>
      <c r="Q849" s="603"/>
      <c r="R849" s="603"/>
      <c r="S849" s="603"/>
      <c r="T849" s="603"/>
      <c r="U849" s="603"/>
      <c r="V849" s="603"/>
      <c r="W849" s="603"/>
      <c r="X849" s="603"/>
      <c r="Y849" s="603"/>
      <c r="Z849" s="603"/>
    </row>
    <row r="850" spans="1:26" ht="18" customHeight="1" x14ac:dyDescent="0.2">
      <c r="A850" s="603"/>
      <c r="B850" s="603"/>
      <c r="C850" s="603"/>
      <c r="D850" s="603"/>
      <c r="E850" s="603"/>
      <c r="F850" s="603"/>
      <c r="G850" s="603"/>
      <c r="H850" s="603"/>
      <c r="I850" s="603"/>
      <c r="J850" s="603"/>
      <c r="K850" s="603"/>
      <c r="L850" s="603"/>
      <c r="M850" s="603"/>
      <c r="N850" s="603"/>
      <c r="O850" s="603"/>
      <c r="P850" s="603"/>
      <c r="Q850" s="603"/>
      <c r="R850" s="603"/>
      <c r="S850" s="603"/>
      <c r="T850" s="603"/>
      <c r="U850" s="603"/>
      <c r="V850" s="603"/>
      <c r="W850" s="603"/>
      <c r="X850" s="603"/>
      <c r="Y850" s="603"/>
      <c r="Z850" s="603"/>
    </row>
    <row r="851" spans="1:26" ht="18" customHeight="1" x14ac:dyDescent="0.2">
      <c r="A851" s="603"/>
      <c r="B851" s="603"/>
      <c r="C851" s="603"/>
      <c r="D851" s="603"/>
      <c r="E851" s="603"/>
      <c r="F851" s="603"/>
      <c r="G851" s="603"/>
      <c r="H851" s="603"/>
      <c r="I851" s="603"/>
      <c r="J851" s="603"/>
      <c r="K851" s="603"/>
      <c r="L851" s="603"/>
      <c r="M851" s="603"/>
      <c r="N851" s="603"/>
      <c r="O851" s="603"/>
      <c r="P851" s="603"/>
      <c r="Q851" s="603"/>
      <c r="R851" s="603"/>
      <c r="S851" s="603"/>
      <c r="T851" s="603"/>
      <c r="U851" s="603"/>
      <c r="V851" s="603"/>
      <c r="W851" s="603"/>
      <c r="X851" s="603"/>
      <c r="Y851" s="603"/>
      <c r="Z851" s="603"/>
    </row>
    <row r="852" spans="1:26" ht="18" customHeight="1" x14ac:dyDescent="0.2">
      <c r="A852" s="603"/>
      <c r="B852" s="603"/>
      <c r="C852" s="603"/>
      <c r="D852" s="603"/>
      <c r="E852" s="603"/>
      <c r="F852" s="603"/>
      <c r="G852" s="603"/>
      <c r="H852" s="603"/>
      <c r="I852" s="603"/>
      <c r="J852" s="603"/>
      <c r="K852" s="603"/>
      <c r="L852" s="603"/>
      <c r="M852" s="603"/>
      <c r="N852" s="603"/>
      <c r="O852" s="603"/>
      <c r="P852" s="603"/>
      <c r="Q852" s="603"/>
      <c r="R852" s="603"/>
      <c r="S852" s="603"/>
      <c r="T852" s="603"/>
      <c r="U852" s="603"/>
      <c r="V852" s="603"/>
      <c r="W852" s="603"/>
      <c r="X852" s="603"/>
      <c r="Y852" s="603"/>
      <c r="Z852" s="603"/>
    </row>
    <row r="853" spans="1:26" ht="18" customHeight="1" x14ac:dyDescent="0.2">
      <c r="A853" s="603"/>
      <c r="B853" s="603"/>
      <c r="C853" s="603"/>
      <c r="D853" s="603"/>
      <c r="E853" s="603"/>
      <c r="F853" s="603"/>
      <c r="G853" s="603"/>
      <c r="H853" s="603"/>
      <c r="I853" s="603"/>
      <c r="J853" s="603"/>
      <c r="K853" s="603"/>
      <c r="L853" s="603"/>
      <c r="M853" s="603"/>
      <c r="N853" s="603"/>
      <c r="O853" s="603"/>
      <c r="P853" s="603"/>
      <c r="Q853" s="603"/>
      <c r="R853" s="603"/>
      <c r="S853" s="603"/>
      <c r="T853" s="603"/>
      <c r="U853" s="603"/>
      <c r="V853" s="603"/>
      <c r="W853" s="603"/>
      <c r="X853" s="603"/>
      <c r="Y853" s="603"/>
      <c r="Z853" s="603"/>
    </row>
    <row r="854" spans="1:26" ht="18" customHeight="1" x14ac:dyDescent="0.2">
      <c r="A854" s="603"/>
      <c r="B854" s="603"/>
      <c r="C854" s="603"/>
      <c r="D854" s="603"/>
      <c r="E854" s="603"/>
      <c r="F854" s="603"/>
      <c r="G854" s="603"/>
      <c r="H854" s="603"/>
      <c r="I854" s="603"/>
      <c r="J854" s="603"/>
      <c r="K854" s="603"/>
      <c r="L854" s="603"/>
      <c r="M854" s="603"/>
      <c r="N854" s="603"/>
      <c r="O854" s="603"/>
      <c r="P854" s="603"/>
      <c r="Q854" s="603"/>
      <c r="R854" s="603"/>
      <c r="S854" s="603"/>
      <c r="T854" s="603"/>
      <c r="U854" s="603"/>
      <c r="V854" s="603"/>
      <c r="W854" s="603"/>
      <c r="X854" s="603"/>
      <c r="Y854" s="603"/>
      <c r="Z854" s="603"/>
    </row>
    <row r="855" spans="1:26" ht="18" customHeight="1" x14ac:dyDescent="0.2">
      <c r="A855" s="603"/>
      <c r="B855" s="603"/>
      <c r="C855" s="603"/>
      <c r="D855" s="603"/>
      <c r="E855" s="603"/>
      <c r="F855" s="603"/>
      <c r="G855" s="603"/>
      <c r="H855" s="603"/>
      <c r="I855" s="603"/>
      <c r="J855" s="603"/>
      <c r="K855" s="603"/>
      <c r="L855" s="603"/>
      <c r="M855" s="603"/>
      <c r="N855" s="603"/>
      <c r="O855" s="603"/>
      <c r="P855" s="603"/>
      <c r="Q855" s="603"/>
      <c r="R855" s="603"/>
      <c r="S855" s="603"/>
      <c r="T855" s="603"/>
      <c r="U855" s="603"/>
      <c r="V855" s="603"/>
      <c r="W855" s="603"/>
      <c r="X855" s="603"/>
      <c r="Y855" s="603"/>
      <c r="Z855" s="603"/>
    </row>
    <row r="856" spans="1:26" ht="18" customHeight="1" x14ac:dyDescent="0.2">
      <c r="A856" s="603"/>
      <c r="B856" s="603"/>
      <c r="C856" s="603"/>
      <c r="D856" s="603"/>
      <c r="E856" s="603"/>
      <c r="F856" s="603"/>
      <c r="G856" s="603"/>
      <c r="H856" s="603"/>
      <c r="I856" s="603"/>
      <c r="J856" s="603"/>
      <c r="K856" s="603"/>
      <c r="L856" s="603"/>
      <c r="M856" s="603"/>
      <c r="N856" s="603"/>
      <c r="O856" s="603"/>
      <c r="P856" s="603"/>
      <c r="Q856" s="603"/>
      <c r="R856" s="603"/>
      <c r="S856" s="603"/>
      <c r="T856" s="603"/>
      <c r="U856" s="603"/>
      <c r="V856" s="603"/>
      <c r="W856" s="603"/>
      <c r="X856" s="603"/>
      <c r="Y856" s="603"/>
      <c r="Z856" s="603"/>
    </row>
    <row r="857" spans="1:26" ht="18" customHeight="1" x14ac:dyDescent="0.2">
      <c r="A857" s="603"/>
      <c r="B857" s="603"/>
      <c r="C857" s="603"/>
      <c r="D857" s="603"/>
      <c r="E857" s="603"/>
      <c r="F857" s="603"/>
      <c r="G857" s="603"/>
      <c r="H857" s="603"/>
      <c r="I857" s="603"/>
      <c r="J857" s="603"/>
      <c r="K857" s="603"/>
      <c r="L857" s="603"/>
      <c r="M857" s="603"/>
      <c r="N857" s="603"/>
      <c r="O857" s="603"/>
      <c r="P857" s="603"/>
      <c r="Q857" s="603"/>
      <c r="R857" s="603"/>
      <c r="S857" s="603"/>
      <c r="T857" s="603"/>
      <c r="U857" s="603"/>
      <c r="V857" s="603"/>
      <c r="W857" s="603"/>
      <c r="X857" s="603"/>
      <c r="Y857" s="603"/>
      <c r="Z857" s="603"/>
    </row>
    <row r="858" spans="1:26" ht="18" customHeight="1" x14ac:dyDescent="0.2">
      <c r="A858" s="603"/>
      <c r="B858" s="603"/>
      <c r="C858" s="603"/>
      <c r="D858" s="603"/>
      <c r="E858" s="603"/>
      <c r="F858" s="603"/>
      <c r="G858" s="603"/>
      <c r="H858" s="603"/>
      <c r="I858" s="603"/>
      <c r="J858" s="603"/>
      <c r="K858" s="603"/>
      <c r="L858" s="603"/>
      <c r="M858" s="603"/>
      <c r="N858" s="603"/>
      <c r="O858" s="603"/>
      <c r="P858" s="603"/>
      <c r="Q858" s="603"/>
      <c r="R858" s="603"/>
      <c r="S858" s="603"/>
      <c r="T858" s="603"/>
      <c r="U858" s="603"/>
      <c r="V858" s="603"/>
      <c r="W858" s="603"/>
      <c r="X858" s="603"/>
      <c r="Y858" s="603"/>
      <c r="Z858" s="603"/>
    </row>
    <row r="859" spans="1:26" ht="18" customHeight="1" x14ac:dyDescent="0.2">
      <c r="A859" s="603"/>
      <c r="B859" s="603"/>
      <c r="C859" s="603"/>
      <c r="D859" s="603"/>
      <c r="E859" s="603"/>
      <c r="F859" s="603"/>
      <c r="G859" s="603"/>
      <c r="H859" s="603"/>
      <c r="I859" s="603"/>
      <c r="J859" s="603"/>
      <c r="K859" s="603"/>
      <c r="L859" s="603"/>
      <c r="M859" s="603"/>
      <c r="N859" s="603"/>
      <c r="O859" s="603"/>
      <c r="P859" s="603"/>
      <c r="Q859" s="603"/>
      <c r="R859" s="603"/>
      <c r="S859" s="603"/>
      <c r="T859" s="603"/>
      <c r="U859" s="603"/>
      <c r="V859" s="603"/>
      <c r="W859" s="603"/>
      <c r="X859" s="603"/>
      <c r="Y859" s="603"/>
      <c r="Z859" s="603"/>
    </row>
    <row r="860" spans="1:26" ht="18" customHeight="1" x14ac:dyDescent="0.2">
      <c r="A860" s="603"/>
      <c r="B860" s="603"/>
      <c r="C860" s="603"/>
      <c r="D860" s="603"/>
      <c r="E860" s="603"/>
      <c r="F860" s="603"/>
      <c r="G860" s="603"/>
      <c r="H860" s="603"/>
      <c r="I860" s="603"/>
      <c r="J860" s="603"/>
      <c r="K860" s="603"/>
      <c r="L860" s="603"/>
      <c r="M860" s="603"/>
      <c r="N860" s="603"/>
      <c r="O860" s="603"/>
      <c r="P860" s="603"/>
      <c r="Q860" s="603"/>
      <c r="R860" s="603"/>
      <c r="S860" s="603"/>
      <c r="T860" s="603"/>
      <c r="U860" s="603"/>
      <c r="V860" s="603"/>
      <c r="W860" s="603"/>
      <c r="X860" s="603"/>
      <c r="Y860" s="603"/>
      <c r="Z860" s="603"/>
    </row>
    <row r="861" spans="1:26" ht="18" customHeight="1" x14ac:dyDescent="0.2">
      <c r="A861" s="603"/>
      <c r="B861" s="603"/>
      <c r="C861" s="603"/>
      <c r="D861" s="603"/>
      <c r="E861" s="603"/>
      <c r="F861" s="603"/>
      <c r="G861" s="603"/>
      <c r="H861" s="603"/>
      <c r="I861" s="603"/>
      <c r="J861" s="603"/>
      <c r="K861" s="603"/>
      <c r="L861" s="603"/>
      <c r="M861" s="603"/>
      <c r="N861" s="603"/>
      <c r="O861" s="603"/>
      <c r="P861" s="603"/>
      <c r="Q861" s="603"/>
      <c r="R861" s="603"/>
      <c r="S861" s="603"/>
      <c r="T861" s="603"/>
      <c r="U861" s="603"/>
      <c r="V861" s="603"/>
      <c r="W861" s="603"/>
      <c r="X861" s="603"/>
      <c r="Y861" s="603"/>
      <c r="Z861" s="603"/>
    </row>
    <row r="862" spans="1:26" ht="18" customHeight="1" x14ac:dyDescent="0.2">
      <c r="A862" s="603"/>
      <c r="B862" s="603"/>
      <c r="C862" s="603"/>
      <c r="D862" s="603"/>
      <c r="E862" s="603"/>
      <c r="F862" s="603"/>
      <c r="G862" s="603"/>
      <c r="H862" s="603"/>
      <c r="I862" s="603"/>
      <c r="J862" s="603"/>
      <c r="K862" s="603"/>
      <c r="L862" s="603"/>
      <c r="M862" s="603"/>
      <c r="N862" s="603"/>
      <c r="O862" s="603"/>
      <c r="P862" s="603"/>
      <c r="Q862" s="603"/>
      <c r="R862" s="603"/>
      <c r="S862" s="603"/>
      <c r="T862" s="603"/>
      <c r="U862" s="603"/>
      <c r="V862" s="603"/>
      <c r="W862" s="603"/>
      <c r="X862" s="603"/>
      <c r="Y862" s="603"/>
      <c r="Z862" s="603"/>
    </row>
    <row r="863" spans="1:26" ht="18" customHeight="1" x14ac:dyDescent="0.2">
      <c r="A863" s="603"/>
      <c r="B863" s="603"/>
      <c r="C863" s="603"/>
      <c r="D863" s="603"/>
      <c r="E863" s="603"/>
      <c r="F863" s="603"/>
      <c r="G863" s="603"/>
      <c r="H863" s="603"/>
      <c r="I863" s="603"/>
      <c r="J863" s="603"/>
      <c r="K863" s="603"/>
      <c r="L863" s="603"/>
      <c r="M863" s="603"/>
      <c r="N863" s="603"/>
      <c r="O863" s="603"/>
      <c r="P863" s="603"/>
      <c r="Q863" s="603"/>
      <c r="R863" s="603"/>
      <c r="S863" s="603"/>
      <c r="T863" s="603"/>
      <c r="U863" s="603"/>
      <c r="V863" s="603"/>
      <c r="W863" s="603"/>
      <c r="X863" s="603"/>
      <c r="Y863" s="603"/>
      <c r="Z863" s="603"/>
    </row>
    <row r="864" spans="1:26" ht="18" customHeight="1" x14ac:dyDescent="0.2">
      <c r="A864" s="603"/>
      <c r="B864" s="603"/>
      <c r="C864" s="603"/>
      <c r="D864" s="603"/>
      <c r="E864" s="603"/>
      <c r="F864" s="603"/>
      <c r="G864" s="603"/>
      <c r="H864" s="603"/>
      <c r="I864" s="603"/>
      <c r="J864" s="603"/>
      <c r="K864" s="603"/>
      <c r="L864" s="603"/>
      <c r="M864" s="603"/>
      <c r="N864" s="603"/>
      <c r="O864" s="603"/>
      <c r="P864" s="603"/>
      <c r="Q864" s="603"/>
      <c r="R864" s="603"/>
      <c r="S864" s="603"/>
      <c r="T864" s="603"/>
      <c r="U864" s="603"/>
      <c r="V864" s="603"/>
      <c r="W864" s="603"/>
      <c r="X864" s="603"/>
      <c r="Y864" s="603"/>
      <c r="Z864" s="603"/>
    </row>
    <row r="865" spans="1:26" ht="18" customHeight="1" x14ac:dyDescent="0.2">
      <c r="A865" s="603"/>
      <c r="B865" s="603"/>
      <c r="C865" s="603"/>
      <c r="D865" s="603"/>
      <c r="E865" s="603"/>
      <c r="F865" s="603"/>
      <c r="G865" s="603"/>
      <c r="H865" s="603"/>
      <c r="I865" s="603"/>
      <c r="J865" s="603"/>
      <c r="K865" s="603"/>
      <c r="L865" s="603"/>
      <c r="M865" s="603"/>
      <c r="N865" s="603"/>
      <c r="O865" s="603"/>
      <c r="P865" s="603"/>
      <c r="Q865" s="603"/>
      <c r="R865" s="603"/>
      <c r="S865" s="603"/>
      <c r="T865" s="603"/>
      <c r="U865" s="603"/>
      <c r="V865" s="603"/>
      <c r="W865" s="603"/>
      <c r="X865" s="603"/>
      <c r="Y865" s="603"/>
      <c r="Z865" s="603"/>
    </row>
    <row r="866" spans="1:26" ht="18" customHeight="1" x14ac:dyDescent="0.2">
      <c r="A866" s="603"/>
      <c r="B866" s="603"/>
      <c r="C866" s="603"/>
      <c r="D866" s="603"/>
      <c r="E866" s="603"/>
      <c r="F866" s="603"/>
      <c r="G866" s="603"/>
      <c r="H866" s="603"/>
      <c r="I866" s="603"/>
      <c r="J866" s="603"/>
      <c r="K866" s="603"/>
      <c r="L866" s="603"/>
      <c r="M866" s="603"/>
      <c r="N866" s="603"/>
      <c r="O866" s="603"/>
      <c r="P866" s="603"/>
      <c r="Q866" s="603"/>
      <c r="R866" s="603"/>
      <c r="S866" s="603"/>
      <c r="T866" s="603"/>
      <c r="U866" s="603"/>
      <c r="V866" s="603"/>
      <c r="W866" s="603"/>
      <c r="X866" s="603"/>
      <c r="Y866" s="603"/>
      <c r="Z866" s="603"/>
    </row>
    <row r="867" spans="1:26" ht="18" customHeight="1" x14ac:dyDescent="0.2">
      <c r="A867" s="603"/>
      <c r="B867" s="603"/>
      <c r="C867" s="603"/>
      <c r="D867" s="603"/>
      <c r="E867" s="603"/>
      <c r="F867" s="603"/>
      <c r="G867" s="603"/>
      <c r="H867" s="603"/>
      <c r="I867" s="603"/>
      <c r="J867" s="603"/>
      <c r="K867" s="603"/>
      <c r="L867" s="603"/>
      <c r="M867" s="603"/>
      <c r="N867" s="603"/>
      <c r="O867" s="603"/>
      <c r="P867" s="603"/>
      <c r="Q867" s="603"/>
      <c r="R867" s="603"/>
      <c r="S867" s="603"/>
      <c r="T867" s="603"/>
      <c r="U867" s="603"/>
      <c r="V867" s="603"/>
      <c r="W867" s="603"/>
      <c r="X867" s="603"/>
      <c r="Y867" s="603"/>
      <c r="Z867" s="603"/>
    </row>
    <row r="868" spans="1:26" ht="18" customHeight="1" x14ac:dyDescent="0.2">
      <c r="A868" s="603"/>
      <c r="B868" s="603"/>
      <c r="C868" s="603"/>
      <c r="D868" s="603"/>
      <c r="E868" s="603"/>
      <c r="F868" s="603"/>
      <c r="G868" s="603"/>
      <c r="H868" s="603"/>
      <c r="I868" s="603"/>
      <c r="J868" s="603"/>
      <c r="K868" s="603"/>
      <c r="L868" s="603"/>
      <c r="M868" s="603"/>
      <c r="N868" s="603"/>
      <c r="O868" s="603"/>
      <c r="P868" s="603"/>
      <c r="Q868" s="603"/>
      <c r="R868" s="603"/>
      <c r="S868" s="603"/>
      <c r="T868" s="603"/>
      <c r="U868" s="603"/>
      <c r="V868" s="603"/>
      <c r="W868" s="603"/>
      <c r="X868" s="603"/>
      <c r="Y868" s="603"/>
      <c r="Z868" s="603"/>
    </row>
    <row r="869" spans="1:26" ht="18" customHeight="1" x14ac:dyDescent="0.2">
      <c r="A869" s="603"/>
      <c r="B869" s="603"/>
      <c r="C869" s="603"/>
      <c r="D869" s="603"/>
      <c r="E869" s="603"/>
      <c r="F869" s="603"/>
      <c r="G869" s="603"/>
      <c r="H869" s="603"/>
      <c r="I869" s="603"/>
      <c r="J869" s="603"/>
      <c r="K869" s="603"/>
      <c r="L869" s="603"/>
      <c r="M869" s="603"/>
      <c r="N869" s="603"/>
      <c r="O869" s="603"/>
      <c r="P869" s="603"/>
      <c r="Q869" s="603"/>
      <c r="R869" s="603"/>
      <c r="S869" s="603"/>
      <c r="T869" s="603"/>
      <c r="U869" s="603"/>
      <c r="V869" s="603"/>
      <c r="W869" s="603"/>
      <c r="X869" s="603"/>
      <c r="Y869" s="603"/>
      <c r="Z869" s="603"/>
    </row>
    <row r="870" spans="1:26" ht="18" customHeight="1" x14ac:dyDescent="0.2">
      <c r="A870" s="603"/>
      <c r="B870" s="603"/>
      <c r="C870" s="603"/>
      <c r="D870" s="603"/>
      <c r="E870" s="603"/>
      <c r="F870" s="603"/>
      <c r="G870" s="603"/>
      <c r="H870" s="603"/>
      <c r="I870" s="603"/>
      <c r="J870" s="603"/>
      <c r="K870" s="603"/>
      <c r="L870" s="603"/>
      <c r="M870" s="603"/>
      <c r="N870" s="603"/>
      <c r="O870" s="603"/>
      <c r="P870" s="603"/>
      <c r="Q870" s="603"/>
      <c r="R870" s="603"/>
      <c r="S870" s="603"/>
      <c r="T870" s="603"/>
      <c r="U870" s="603"/>
      <c r="V870" s="603"/>
      <c r="W870" s="603"/>
      <c r="X870" s="603"/>
      <c r="Y870" s="603"/>
      <c r="Z870" s="603"/>
    </row>
    <row r="871" spans="1:26" ht="18" customHeight="1" x14ac:dyDescent="0.2">
      <c r="A871" s="603"/>
      <c r="B871" s="603"/>
      <c r="C871" s="603"/>
      <c r="D871" s="603"/>
      <c r="E871" s="603"/>
      <c r="F871" s="603"/>
      <c r="G871" s="603"/>
      <c r="H871" s="603"/>
      <c r="I871" s="603"/>
      <c r="J871" s="603"/>
      <c r="K871" s="603"/>
      <c r="L871" s="603"/>
      <c r="M871" s="603"/>
      <c r="N871" s="603"/>
      <c r="O871" s="603"/>
      <c r="P871" s="603"/>
      <c r="Q871" s="603"/>
      <c r="R871" s="603"/>
      <c r="S871" s="603"/>
      <c r="T871" s="603"/>
      <c r="U871" s="603"/>
      <c r="V871" s="603"/>
      <c r="W871" s="603"/>
      <c r="X871" s="603"/>
      <c r="Y871" s="603"/>
      <c r="Z871" s="603"/>
    </row>
    <row r="872" spans="1:26" ht="18" customHeight="1" x14ac:dyDescent="0.2">
      <c r="A872" s="603"/>
      <c r="B872" s="603"/>
      <c r="C872" s="603"/>
      <c r="D872" s="603"/>
      <c r="E872" s="603"/>
      <c r="F872" s="603"/>
      <c r="G872" s="603"/>
      <c r="H872" s="603"/>
      <c r="I872" s="603"/>
      <c r="J872" s="603"/>
      <c r="K872" s="603"/>
      <c r="L872" s="603"/>
      <c r="M872" s="603"/>
      <c r="N872" s="603"/>
      <c r="O872" s="603"/>
      <c r="P872" s="603"/>
      <c r="Q872" s="603"/>
      <c r="R872" s="603"/>
      <c r="S872" s="603"/>
      <c r="T872" s="603"/>
      <c r="U872" s="603"/>
      <c r="V872" s="603"/>
      <c r="W872" s="603"/>
      <c r="X872" s="603"/>
      <c r="Y872" s="603"/>
      <c r="Z872" s="603"/>
    </row>
    <row r="873" spans="1:26" ht="18" customHeight="1" x14ac:dyDescent="0.2">
      <c r="A873" s="603"/>
      <c r="B873" s="603"/>
      <c r="C873" s="603"/>
      <c r="D873" s="603"/>
      <c r="E873" s="603"/>
      <c r="F873" s="603"/>
      <c r="G873" s="603"/>
      <c r="H873" s="603"/>
      <c r="I873" s="603"/>
      <c r="J873" s="603"/>
      <c r="K873" s="603"/>
      <c r="L873" s="603"/>
      <c r="M873" s="603"/>
      <c r="N873" s="603"/>
      <c r="O873" s="603"/>
      <c r="P873" s="603"/>
      <c r="Q873" s="603"/>
      <c r="R873" s="603"/>
      <c r="S873" s="603"/>
      <c r="T873" s="603"/>
      <c r="U873" s="603"/>
      <c r="V873" s="603"/>
      <c r="W873" s="603"/>
      <c r="X873" s="603"/>
      <c r="Y873" s="603"/>
      <c r="Z873" s="603"/>
    </row>
    <row r="874" spans="1:26" ht="18" customHeight="1" x14ac:dyDescent="0.2">
      <c r="A874" s="603"/>
      <c r="B874" s="603"/>
      <c r="C874" s="603"/>
      <c r="D874" s="603"/>
      <c r="E874" s="603"/>
      <c r="F874" s="603"/>
      <c r="G874" s="603"/>
      <c r="H874" s="603"/>
      <c r="I874" s="603"/>
      <c r="J874" s="603"/>
      <c r="K874" s="603"/>
      <c r="L874" s="603"/>
      <c r="M874" s="603"/>
      <c r="N874" s="603"/>
      <c r="O874" s="603"/>
      <c r="P874" s="603"/>
      <c r="Q874" s="603"/>
      <c r="R874" s="603"/>
      <c r="S874" s="603"/>
      <c r="T874" s="603"/>
      <c r="U874" s="603"/>
      <c r="V874" s="603"/>
      <c r="W874" s="603"/>
      <c r="X874" s="603"/>
      <c r="Y874" s="603"/>
      <c r="Z874" s="603"/>
    </row>
    <row r="875" spans="1:26" ht="18" customHeight="1" x14ac:dyDescent="0.2">
      <c r="A875" s="603"/>
      <c r="B875" s="603"/>
      <c r="C875" s="603"/>
      <c r="D875" s="603"/>
      <c r="E875" s="603"/>
      <c r="F875" s="603"/>
      <c r="G875" s="603"/>
      <c r="H875" s="603"/>
      <c r="I875" s="603"/>
      <c r="J875" s="603"/>
      <c r="K875" s="603"/>
      <c r="L875" s="603"/>
      <c r="M875" s="603"/>
      <c r="N875" s="603"/>
      <c r="O875" s="603"/>
      <c r="P875" s="603"/>
      <c r="Q875" s="603"/>
      <c r="R875" s="603"/>
      <c r="S875" s="603"/>
      <c r="T875" s="603"/>
      <c r="U875" s="603"/>
      <c r="V875" s="603"/>
      <c r="W875" s="603"/>
      <c r="X875" s="603"/>
      <c r="Y875" s="603"/>
      <c r="Z875" s="603"/>
    </row>
    <row r="876" spans="1:26" ht="18" customHeight="1" x14ac:dyDescent="0.2">
      <c r="A876" s="603"/>
      <c r="B876" s="603"/>
      <c r="C876" s="603"/>
      <c r="D876" s="603"/>
      <c r="E876" s="603"/>
      <c r="F876" s="603"/>
      <c r="G876" s="603"/>
      <c r="H876" s="603"/>
      <c r="I876" s="603"/>
      <c r="J876" s="603"/>
      <c r="K876" s="603"/>
      <c r="L876" s="603"/>
      <c r="M876" s="603"/>
      <c r="N876" s="603"/>
      <c r="O876" s="603"/>
      <c r="P876" s="603"/>
      <c r="Q876" s="603"/>
      <c r="R876" s="603"/>
      <c r="S876" s="603"/>
      <c r="T876" s="603"/>
      <c r="U876" s="603"/>
      <c r="V876" s="603"/>
      <c r="W876" s="603"/>
      <c r="X876" s="603"/>
      <c r="Y876" s="603"/>
      <c r="Z876" s="603"/>
    </row>
    <row r="877" spans="1:26" ht="18" customHeight="1" x14ac:dyDescent="0.2">
      <c r="A877" s="603"/>
      <c r="B877" s="603"/>
      <c r="C877" s="603"/>
      <c r="D877" s="603"/>
      <c r="E877" s="603"/>
      <c r="F877" s="603"/>
      <c r="G877" s="603"/>
      <c r="H877" s="603"/>
      <c r="I877" s="603"/>
      <c r="J877" s="603"/>
      <c r="K877" s="603"/>
      <c r="L877" s="603"/>
      <c r="M877" s="603"/>
      <c r="N877" s="603"/>
      <c r="O877" s="603"/>
      <c r="P877" s="603"/>
      <c r="Q877" s="603"/>
      <c r="R877" s="603"/>
      <c r="S877" s="603"/>
      <c r="T877" s="603"/>
      <c r="U877" s="603"/>
      <c r="V877" s="603"/>
      <c r="W877" s="603"/>
      <c r="X877" s="603"/>
      <c r="Y877" s="603"/>
      <c r="Z877" s="603"/>
    </row>
    <row r="878" spans="1:26" ht="18" customHeight="1" x14ac:dyDescent="0.2">
      <c r="A878" s="603"/>
      <c r="B878" s="603"/>
      <c r="C878" s="603"/>
      <c r="D878" s="603"/>
      <c r="E878" s="603"/>
      <c r="F878" s="603"/>
      <c r="G878" s="603"/>
      <c r="H878" s="603"/>
      <c r="I878" s="603"/>
      <c r="J878" s="603"/>
      <c r="K878" s="603"/>
      <c r="L878" s="603"/>
      <c r="M878" s="603"/>
      <c r="N878" s="603"/>
      <c r="O878" s="603"/>
      <c r="P878" s="603"/>
      <c r="Q878" s="603"/>
      <c r="R878" s="603"/>
      <c r="S878" s="603"/>
      <c r="T878" s="603"/>
      <c r="U878" s="603"/>
      <c r="V878" s="603"/>
      <c r="W878" s="603"/>
      <c r="X878" s="603"/>
      <c r="Y878" s="603"/>
      <c r="Z878" s="603"/>
    </row>
    <row r="879" spans="1:26" ht="18" customHeight="1" x14ac:dyDescent="0.2">
      <c r="A879" s="603"/>
      <c r="B879" s="603"/>
      <c r="C879" s="603"/>
      <c r="D879" s="603"/>
      <c r="E879" s="603"/>
      <c r="F879" s="603"/>
      <c r="G879" s="603"/>
      <c r="H879" s="603"/>
      <c r="I879" s="603"/>
      <c r="J879" s="603"/>
      <c r="K879" s="603"/>
      <c r="L879" s="603"/>
      <c r="M879" s="603"/>
      <c r="N879" s="603"/>
      <c r="O879" s="603"/>
      <c r="P879" s="603"/>
      <c r="Q879" s="603"/>
      <c r="R879" s="603"/>
      <c r="S879" s="603"/>
      <c r="T879" s="603"/>
      <c r="U879" s="603"/>
      <c r="V879" s="603"/>
      <c r="W879" s="603"/>
      <c r="X879" s="603"/>
      <c r="Y879" s="603"/>
      <c r="Z879" s="603"/>
    </row>
    <row r="880" spans="1:26" ht="18" customHeight="1" x14ac:dyDescent="0.2">
      <c r="A880" s="603"/>
      <c r="B880" s="603"/>
      <c r="C880" s="603"/>
      <c r="D880" s="603"/>
      <c r="E880" s="603"/>
      <c r="F880" s="603"/>
      <c r="G880" s="603"/>
      <c r="H880" s="603"/>
      <c r="I880" s="603"/>
      <c r="J880" s="603"/>
      <c r="K880" s="603"/>
      <c r="L880" s="603"/>
      <c r="M880" s="603"/>
      <c r="N880" s="603"/>
      <c r="O880" s="603"/>
      <c r="P880" s="603"/>
      <c r="Q880" s="603"/>
      <c r="R880" s="603"/>
      <c r="S880" s="603"/>
      <c r="T880" s="603"/>
      <c r="U880" s="603"/>
      <c r="V880" s="603"/>
      <c r="W880" s="603"/>
      <c r="X880" s="603"/>
      <c r="Y880" s="603"/>
      <c r="Z880" s="603"/>
    </row>
    <row r="881" spans="1:26" ht="18" customHeight="1" x14ac:dyDescent="0.2">
      <c r="A881" s="603"/>
      <c r="B881" s="603"/>
      <c r="C881" s="603"/>
      <c r="D881" s="603"/>
      <c r="E881" s="603"/>
      <c r="F881" s="603"/>
      <c r="G881" s="603"/>
      <c r="H881" s="603"/>
      <c r="I881" s="603"/>
      <c r="J881" s="603"/>
      <c r="K881" s="603"/>
      <c r="L881" s="603"/>
      <c r="M881" s="603"/>
      <c r="N881" s="603"/>
      <c r="O881" s="603"/>
      <c r="P881" s="603"/>
      <c r="Q881" s="603"/>
      <c r="R881" s="603"/>
      <c r="S881" s="603"/>
      <c r="T881" s="603"/>
      <c r="U881" s="603"/>
      <c r="V881" s="603"/>
      <c r="W881" s="603"/>
      <c r="X881" s="603"/>
      <c r="Y881" s="603"/>
      <c r="Z881" s="603"/>
    </row>
    <row r="882" spans="1:26" ht="18" customHeight="1" x14ac:dyDescent="0.2">
      <c r="A882" s="603"/>
      <c r="B882" s="603"/>
      <c r="C882" s="603"/>
      <c r="D882" s="603"/>
      <c r="E882" s="603"/>
      <c r="F882" s="603"/>
      <c r="G882" s="603"/>
      <c r="H882" s="603"/>
      <c r="I882" s="603"/>
      <c r="J882" s="603"/>
      <c r="K882" s="603"/>
      <c r="L882" s="603"/>
      <c r="M882" s="603"/>
      <c r="N882" s="603"/>
      <c r="O882" s="603"/>
      <c r="P882" s="603"/>
      <c r="Q882" s="603"/>
      <c r="R882" s="603"/>
      <c r="S882" s="603"/>
      <c r="T882" s="603"/>
      <c r="U882" s="603"/>
      <c r="V882" s="603"/>
      <c r="W882" s="603"/>
      <c r="X882" s="603"/>
      <c r="Y882" s="603"/>
      <c r="Z882" s="603"/>
    </row>
    <row r="883" spans="1:26" ht="18" customHeight="1" x14ac:dyDescent="0.2">
      <c r="A883" s="603"/>
      <c r="B883" s="603"/>
      <c r="C883" s="603"/>
      <c r="D883" s="603"/>
      <c r="E883" s="603"/>
      <c r="F883" s="603"/>
      <c r="G883" s="603"/>
      <c r="H883" s="603"/>
      <c r="I883" s="603"/>
      <c r="J883" s="603"/>
      <c r="K883" s="603"/>
      <c r="L883" s="603"/>
      <c r="M883" s="603"/>
      <c r="N883" s="603"/>
      <c r="O883" s="603"/>
      <c r="P883" s="603"/>
      <c r="Q883" s="603"/>
      <c r="R883" s="603"/>
      <c r="S883" s="603"/>
      <c r="T883" s="603"/>
      <c r="U883" s="603"/>
      <c r="V883" s="603"/>
      <c r="W883" s="603"/>
      <c r="X883" s="603"/>
      <c r="Y883" s="603"/>
      <c r="Z883" s="603"/>
    </row>
    <row r="884" spans="1:26" ht="18" customHeight="1" x14ac:dyDescent="0.2">
      <c r="A884" s="603"/>
      <c r="B884" s="603"/>
      <c r="C884" s="603"/>
      <c r="D884" s="603"/>
      <c r="E884" s="603"/>
      <c r="F884" s="603"/>
      <c r="G884" s="603"/>
      <c r="H884" s="603"/>
      <c r="I884" s="603"/>
      <c r="J884" s="603"/>
      <c r="K884" s="603"/>
      <c r="L884" s="603"/>
      <c r="M884" s="603"/>
      <c r="N884" s="603"/>
      <c r="O884" s="603"/>
      <c r="P884" s="603"/>
      <c r="Q884" s="603"/>
      <c r="R884" s="603"/>
      <c r="S884" s="603"/>
      <c r="T884" s="603"/>
      <c r="U884" s="603"/>
      <c r="V884" s="603"/>
      <c r="W884" s="603"/>
      <c r="X884" s="603"/>
      <c r="Y884" s="603"/>
      <c r="Z884" s="603"/>
    </row>
    <row r="885" spans="1:26" ht="18" customHeight="1" x14ac:dyDescent="0.2">
      <c r="A885" s="603"/>
      <c r="B885" s="603"/>
      <c r="C885" s="603"/>
      <c r="D885" s="603"/>
      <c r="E885" s="603"/>
      <c r="F885" s="603"/>
      <c r="G885" s="603"/>
      <c r="H885" s="603"/>
      <c r="I885" s="603"/>
      <c r="J885" s="603"/>
      <c r="K885" s="603"/>
      <c r="L885" s="603"/>
      <c r="M885" s="603"/>
      <c r="N885" s="603"/>
      <c r="O885" s="603"/>
      <c r="P885" s="603"/>
      <c r="Q885" s="603"/>
      <c r="R885" s="603"/>
      <c r="S885" s="603"/>
      <c r="T885" s="603"/>
      <c r="U885" s="603"/>
      <c r="V885" s="603"/>
      <c r="W885" s="603"/>
      <c r="X885" s="603"/>
      <c r="Y885" s="603"/>
      <c r="Z885" s="603"/>
    </row>
    <row r="886" spans="1:26" ht="18" customHeight="1" x14ac:dyDescent="0.2">
      <c r="A886" s="603"/>
      <c r="B886" s="603"/>
      <c r="C886" s="603"/>
      <c r="D886" s="603"/>
      <c r="E886" s="603"/>
      <c r="F886" s="603"/>
      <c r="G886" s="603"/>
      <c r="H886" s="603"/>
      <c r="I886" s="603"/>
      <c r="J886" s="603"/>
      <c r="K886" s="603"/>
      <c r="L886" s="603"/>
      <c r="M886" s="603"/>
      <c r="N886" s="603"/>
      <c r="O886" s="603"/>
      <c r="P886" s="603"/>
      <c r="Q886" s="603"/>
      <c r="R886" s="603"/>
      <c r="S886" s="603"/>
      <c r="T886" s="603"/>
      <c r="U886" s="603"/>
      <c r="V886" s="603"/>
      <c r="W886" s="603"/>
      <c r="X886" s="603"/>
      <c r="Y886" s="603"/>
      <c r="Z886" s="603"/>
    </row>
    <row r="887" spans="1:26" ht="18" customHeight="1" x14ac:dyDescent="0.2">
      <c r="A887" s="603"/>
      <c r="B887" s="603"/>
      <c r="C887" s="603"/>
      <c r="D887" s="603"/>
      <c r="E887" s="603"/>
      <c r="F887" s="603"/>
      <c r="G887" s="603"/>
      <c r="H887" s="603"/>
      <c r="I887" s="603"/>
      <c r="J887" s="603"/>
      <c r="K887" s="603"/>
      <c r="L887" s="603"/>
      <c r="M887" s="603"/>
      <c r="N887" s="603"/>
      <c r="O887" s="603"/>
      <c r="P887" s="603"/>
      <c r="Q887" s="603"/>
      <c r="R887" s="603"/>
      <c r="S887" s="603"/>
      <c r="T887" s="603"/>
      <c r="U887" s="603"/>
      <c r="V887" s="603"/>
      <c r="W887" s="603"/>
      <c r="X887" s="603"/>
      <c r="Y887" s="603"/>
      <c r="Z887" s="603"/>
    </row>
    <row r="888" spans="1:26" ht="18" customHeight="1" x14ac:dyDescent="0.2">
      <c r="A888" s="603"/>
      <c r="B888" s="603"/>
      <c r="C888" s="603"/>
      <c r="D888" s="603"/>
      <c r="E888" s="603"/>
      <c r="F888" s="603"/>
      <c r="G888" s="603"/>
      <c r="H888" s="603"/>
      <c r="I888" s="603"/>
      <c r="J888" s="603"/>
      <c r="K888" s="603"/>
      <c r="L888" s="603"/>
      <c r="M888" s="603"/>
      <c r="N888" s="603"/>
      <c r="O888" s="603"/>
      <c r="P888" s="603"/>
      <c r="Q888" s="603"/>
      <c r="R888" s="603"/>
      <c r="S888" s="603"/>
      <c r="T888" s="603"/>
      <c r="U888" s="603"/>
      <c r="V888" s="603"/>
      <c r="W888" s="603"/>
      <c r="X888" s="603"/>
      <c r="Y888" s="603"/>
      <c r="Z888" s="603"/>
    </row>
    <row r="889" spans="1:26" ht="18" customHeight="1" x14ac:dyDescent="0.2">
      <c r="A889" s="603"/>
      <c r="B889" s="603"/>
      <c r="C889" s="603"/>
      <c r="D889" s="603"/>
      <c r="E889" s="603"/>
      <c r="F889" s="603"/>
      <c r="G889" s="603"/>
      <c r="H889" s="603"/>
      <c r="I889" s="603"/>
      <c r="J889" s="603"/>
      <c r="K889" s="603"/>
      <c r="L889" s="603"/>
      <c r="M889" s="603"/>
      <c r="N889" s="603"/>
      <c r="O889" s="603"/>
      <c r="P889" s="603"/>
      <c r="Q889" s="603"/>
      <c r="R889" s="603"/>
      <c r="S889" s="603"/>
      <c r="T889" s="603"/>
      <c r="U889" s="603"/>
      <c r="V889" s="603"/>
      <c r="W889" s="603"/>
      <c r="X889" s="603"/>
      <c r="Y889" s="603"/>
      <c r="Z889" s="603"/>
    </row>
    <row r="890" spans="1:26" ht="18" customHeight="1" x14ac:dyDescent="0.2">
      <c r="A890" s="603"/>
      <c r="B890" s="603"/>
      <c r="C890" s="603"/>
      <c r="D890" s="603"/>
      <c r="E890" s="603"/>
      <c r="F890" s="603"/>
      <c r="G890" s="603"/>
      <c r="H890" s="603"/>
      <c r="I890" s="603"/>
      <c r="J890" s="603"/>
      <c r="K890" s="603"/>
      <c r="L890" s="603"/>
      <c r="M890" s="603"/>
      <c r="N890" s="603"/>
      <c r="O890" s="603"/>
      <c r="P890" s="603"/>
      <c r="Q890" s="603"/>
      <c r="R890" s="603"/>
      <c r="S890" s="603"/>
      <c r="T890" s="603"/>
      <c r="U890" s="603"/>
      <c r="V890" s="603"/>
      <c r="W890" s="603"/>
      <c r="X890" s="603"/>
      <c r="Y890" s="603"/>
      <c r="Z890" s="603"/>
    </row>
    <row r="891" spans="1:26" ht="18" customHeight="1" x14ac:dyDescent="0.2">
      <c r="A891" s="603"/>
      <c r="B891" s="603"/>
      <c r="C891" s="603"/>
      <c r="D891" s="603"/>
      <c r="E891" s="603"/>
      <c r="F891" s="603"/>
      <c r="G891" s="603"/>
      <c r="H891" s="603"/>
      <c r="I891" s="603"/>
      <c r="J891" s="603"/>
      <c r="K891" s="603"/>
      <c r="L891" s="603"/>
      <c r="M891" s="603"/>
      <c r="N891" s="603"/>
      <c r="O891" s="603"/>
      <c r="P891" s="603"/>
      <c r="Q891" s="603"/>
      <c r="R891" s="603"/>
      <c r="S891" s="603"/>
      <c r="T891" s="603"/>
      <c r="U891" s="603"/>
      <c r="V891" s="603"/>
      <c r="W891" s="603"/>
      <c r="X891" s="603"/>
      <c r="Y891" s="603"/>
      <c r="Z891" s="603"/>
    </row>
    <row r="892" spans="1:26" ht="18" customHeight="1" x14ac:dyDescent="0.2">
      <c r="A892" s="603"/>
      <c r="B892" s="603"/>
      <c r="C892" s="603"/>
      <c r="D892" s="603"/>
      <c r="E892" s="603"/>
      <c r="F892" s="603"/>
      <c r="G892" s="603"/>
      <c r="H892" s="603"/>
      <c r="I892" s="603"/>
      <c r="J892" s="603"/>
      <c r="K892" s="603"/>
      <c r="L892" s="603"/>
      <c r="M892" s="603"/>
      <c r="N892" s="603"/>
      <c r="O892" s="603"/>
      <c r="P892" s="603"/>
      <c r="Q892" s="603"/>
      <c r="R892" s="603"/>
      <c r="S892" s="603"/>
      <c r="T892" s="603"/>
      <c r="U892" s="603"/>
      <c r="V892" s="603"/>
      <c r="W892" s="603"/>
      <c r="X892" s="603"/>
      <c r="Y892" s="603"/>
      <c r="Z892" s="603"/>
    </row>
    <row r="893" spans="1:26" ht="18" customHeight="1" x14ac:dyDescent="0.2">
      <c r="A893" s="603"/>
      <c r="B893" s="603"/>
      <c r="C893" s="603"/>
      <c r="D893" s="603"/>
      <c r="E893" s="603"/>
      <c r="F893" s="603"/>
      <c r="G893" s="603"/>
      <c r="H893" s="603"/>
      <c r="I893" s="603"/>
      <c r="J893" s="603"/>
      <c r="K893" s="603"/>
      <c r="L893" s="603"/>
      <c r="M893" s="603"/>
      <c r="N893" s="603"/>
      <c r="O893" s="603"/>
      <c r="P893" s="603"/>
      <c r="Q893" s="603"/>
      <c r="R893" s="603"/>
      <c r="S893" s="603"/>
      <c r="T893" s="603"/>
      <c r="U893" s="603"/>
      <c r="V893" s="603"/>
      <c r="W893" s="603"/>
      <c r="X893" s="603"/>
      <c r="Y893" s="603"/>
      <c r="Z893" s="603"/>
    </row>
    <row r="894" spans="1:26" ht="18" customHeight="1" x14ac:dyDescent="0.2">
      <c r="A894" s="603"/>
      <c r="B894" s="603"/>
      <c r="C894" s="603"/>
      <c r="D894" s="603"/>
      <c r="E894" s="603"/>
      <c r="F894" s="603"/>
      <c r="G894" s="603"/>
      <c r="H894" s="603"/>
      <c r="I894" s="603"/>
      <c r="J894" s="603"/>
      <c r="K894" s="603"/>
      <c r="L894" s="603"/>
      <c r="M894" s="603"/>
      <c r="N894" s="603"/>
      <c r="O894" s="603"/>
      <c r="P894" s="603"/>
      <c r="Q894" s="603"/>
      <c r="R894" s="603"/>
      <c r="S894" s="603"/>
      <c r="T894" s="603"/>
      <c r="U894" s="603"/>
      <c r="V894" s="603"/>
      <c r="W894" s="603"/>
      <c r="X894" s="603"/>
      <c r="Y894" s="603"/>
      <c r="Z894" s="603"/>
    </row>
    <row r="895" spans="1:26" ht="18" customHeight="1" x14ac:dyDescent="0.2">
      <c r="A895" s="603"/>
      <c r="B895" s="603"/>
      <c r="C895" s="603"/>
      <c r="D895" s="603"/>
      <c r="E895" s="603"/>
      <c r="F895" s="603"/>
      <c r="G895" s="603"/>
      <c r="H895" s="603"/>
      <c r="I895" s="603"/>
      <c r="J895" s="603"/>
      <c r="K895" s="603"/>
      <c r="L895" s="603"/>
      <c r="M895" s="603"/>
      <c r="N895" s="603"/>
      <c r="O895" s="603"/>
      <c r="P895" s="603"/>
      <c r="Q895" s="603"/>
      <c r="R895" s="603"/>
      <c r="S895" s="603"/>
      <c r="T895" s="603"/>
      <c r="U895" s="603"/>
      <c r="V895" s="603"/>
      <c r="W895" s="603"/>
      <c r="X895" s="603"/>
      <c r="Y895" s="603"/>
      <c r="Z895" s="603"/>
    </row>
    <row r="896" spans="1:26" ht="18" customHeight="1" x14ac:dyDescent="0.2">
      <c r="A896" s="603"/>
      <c r="B896" s="603"/>
      <c r="C896" s="603"/>
      <c r="D896" s="603"/>
      <c r="E896" s="603"/>
      <c r="F896" s="603"/>
      <c r="G896" s="603"/>
      <c r="H896" s="603"/>
      <c r="I896" s="603"/>
      <c r="J896" s="603"/>
      <c r="K896" s="603"/>
      <c r="L896" s="603"/>
      <c r="M896" s="603"/>
      <c r="N896" s="603"/>
      <c r="O896" s="603"/>
      <c r="P896" s="603"/>
      <c r="Q896" s="603"/>
      <c r="R896" s="603"/>
      <c r="S896" s="603"/>
      <c r="T896" s="603"/>
      <c r="U896" s="603"/>
      <c r="V896" s="603"/>
      <c r="W896" s="603"/>
      <c r="X896" s="603"/>
      <c r="Y896" s="603"/>
      <c r="Z896" s="603"/>
    </row>
    <row r="897" spans="1:26" ht="18" customHeight="1" x14ac:dyDescent="0.2">
      <c r="A897" s="603"/>
      <c r="B897" s="603"/>
      <c r="C897" s="603"/>
      <c r="D897" s="603"/>
      <c r="E897" s="603"/>
      <c r="F897" s="603"/>
      <c r="G897" s="603"/>
      <c r="H897" s="603"/>
      <c r="I897" s="603"/>
      <c r="J897" s="603"/>
      <c r="K897" s="603"/>
      <c r="L897" s="603"/>
      <c r="M897" s="603"/>
      <c r="N897" s="603"/>
      <c r="O897" s="603"/>
      <c r="P897" s="603"/>
      <c r="Q897" s="603"/>
      <c r="R897" s="603"/>
      <c r="S897" s="603"/>
      <c r="T897" s="603"/>
      <c r="U897" s="603"/>
      <c r="V897" s="603"/>
      <c r="W897" s="603"/>
      <c r="X897" s="603"/>
      <c r="Y897" s="603"/>
      <c r="Z897" s="603"/>
    </row>
    <row r="898" spans="1:26" ht="18" customHeight="1" x14ac:dyDescent="0.2">
      <c r="A898" s="603"/>
      <c r="B898" s="603"/>
      <c r="C898" s="603"/>
      <c r="D898" s="603"/>
      <c r="E898" s="603"/>
      <c r="F898" s="603"/>
      <c r="G898" s="603"/>
      <c r="H898" s="603"/>
      <c r="I898" s="603"/>
      <c r="J898" s="603"/>
      <c r="K898" s="603"/>
      <c r="L898" s="603"/>
      <c r="M898" s="603"/>
      <c r="N898" s="603"/>
      <c r="O898" s="603"/>
      <c r="P898" s="603"/>
      <c r="Q898" s="603"/>
      <c r="R898" s="603"/>
      <c r="S898" s="603"/>
      <c r="T898" s="603"/>
      <c r="U898" s="603"/>
      <c r="V898" s="603"/>
      <c r="W898" s="603"/>
      <c r="X898" s="603"/>
      <c r="Y898" s="603"/>
      <c r="Z898" s="603"/>
    </row>
    <row r="899" spans="1:26" ht="18" customHeight="1" x14ac:dyDescent="0.2">
      <c r="A899" s="603"/>
      <c r="B899" s="603"/>
      <c r="C899" s="603"/>
      <c r="D899" s="603"/>
      <c r="E899" s="603"/>
      <c r="F899" s="603"/>
      <c r="G899" s="603"/>
      <c r="H899" s="603"/>
      <c r="I899" s="603"/>
      <c r="J899" s="603"/>
      <c r="K899" s="603"/>
      <c r="L899" s="603"/>
      <c r="M899" s="603"/>
      <c r="N899" s="603"/>
      <c r="O899" s="603"/>
      <c r="P899" s="603"/>
      <c r="Q899" s="603"/>
      <c r="R899" s="603"/>
      <c r="S899" s="603"/>
      <c r="T899" s="603"/>
      <c r="U899" s="603"/>
      <c r="V899" s="603"/>
      <c r="W899" s="603"/>
      <c r="X899" s="603"/>
      <c r="Y899" s="603"/>
      <c r="Z899" s="603"/>
    </row>
    <row r="900" spans="1:26" ht="18" customHeight="1" x14ac:dyDescent="0.2">
      <c r="A900" s="603"/>
      <c r="B900" s="603"/>
      <c r="C900" s="603"/>
      <c r="D900" s="603"/>
      <c r="E900" s="603"/>
      <c r="F900" s="603"/>
      <c r="G900" s="603"/>
      <c r="H900" s="603"/>
      <c r="I900" s="603"/>
      <c r="J900" s="603"/>
      <c r="K900" s="603"/>
      <c r="L900" s="603"/>
      <c r="M900" s="603"/>
      <c r="N900" s="603"/>
      <c r="O900" s="603"/>
      <c r="P900" s="603"/>
      <c r="Q900" s="603"/>
      <c r="R900" s="603"/>
      <c r="S900" s="603"/>
      <c r="T900" s="603"/>
      <c r="U900" s="603"/>
      <c r="V900" s="603"/>
      <c r="W900" s="603"/>
      <c r="X900" s="603"/>
      <c r="Y900" s="603"/>
      <c r="Z900" s="603"/>
    </row>
    <row r="901" spans="1:26" ht="18" customHeight="1" x14ac:dyDescent="0.2">
      <c r="A901" s="603"/>
      <c r="B901" s="603"/>
      <c r="C901" s="603"/>
      <c r="D901" s="603"/>
      <c r="E901" s="603"/>
      <c r="F901" s="603"/>
      <c r="G901" s="603"/>
      <c r="H901" s="603"/>
      <c r="I901" s="603"/>
      <c r="J901" s="603"/>
      <c r="K901" s="603"/>
      <c r="L901" s="603"/>
      <c r="M901" s="603"/>
      <c r="N901" s="603"/>
      <c r="O901" s="603"/>
      <c r="P901" s="603"/>
      <c r="Q901" s="603"/>
      <c r="R901" s="603"/>
      <c r="S901" s="603"/>
      <c r="T901" s="603"/>
      <c r="U901" s="603"/>
      <c r="V901" s="603"/>
      <c r="W901" s="603"/>
      <c r="X901" s="603"/>
      <c r="Y901" s="603"/>
      <c r="Z901" s="603"/>
    </row>
    <row r="902" spans="1:26" ht="18" customHeight="1" x14ac:dyDescent="0.2">
      <c r="A902" s="603"/>
      <c r="B902" s="603"/>
      <c r="C902" s="603"/>
      <c r="D902" s="603"/>
      <c r="E902" s="603"/>
      <c r="F902" s="603"/>
      <c r="G902" s="603"/>
      <c r="H902" s="603"/>
      <c r="I902" s="603"/>
      <c r="J902" s="603"/>
      <c r="K902" s="603"/>
      <c r="L902" s="603"/>
      <c r="M902" s="603"/>
      <c r="N902" s="603"/>
      <c r="O902" s="603"/>
      <c r="P902" s="603"/>
      <c r="Q902" s="603"/>
      <c r="R902" s="603"/>
      <c r="S902" s="603"/>
      <c r="T902" s="603"/>
      <c r="U902" s="603"/>
      <c r="V902" s="603"/>
      <c r="W902" s="603"/>
      <c r="X902" s="603"/>
      <c r="Y902" s="603"/>
      <c r="Z902" s="603"/>
    </row>
    <row r="903" spans="1:26" ht="18" customHeight="1" x14ac:dyDescent="0.2">
      <c r="A903" s="603"/>
      <c r="B903" s="603"/>
      <c r="C903" s="603"/>
      <c r="D903" s="603"/>
      <c r="E903" s="603"/>
      <c r="F903" s="603"/>
      <c r="G903" s="603"/>
      <c r="H903" s="603"/>
      <c r="I903" s="603"/>
      <c r="J903" s="603"/>
      <c r="K903" s="603"/>
      <c r="L903" s="603"/>
      <c r="M903" s="603"/>
      <c r="N903" s="603"/>
      <c r="O903" s="603"/>
      <c r="P903" s="603"/>
      <c r="Q903" s="603"/>
      <c r="R903" s="603"/>
      <c r="S903" s="603"/>
      <c r="T903" s="603"/>
      <c r="U903" s="603"/>
      <c r="V903" s="603"/>
      <c r="W903" s="603"/>
      <c r="X903" s="603"/>
      <c r="Y903" s="603"/>
      <c r="Z903" s="603"/>
    </row>
    <row r="904" spans="1:26" ht="18" customHeight="1" x14ac:dyDescent="0.2">
      <c r="A904" s="603"/>
      <c r="B904" s="603"/>
      <c r="C904" s="603"/>
      <c r="D904" s="603"/>
      <c r="E904" s="603"/>
      <c r="F904" s="603"/>
      <c r="G904" s="603"/>
      <c r="H904" s="603"/>
      <c r="I904" s="603"/>
      <c r="J904" s="603"/>
      <c r="K904" s="603"/>
      <c r="L904" s="603"/>
      <c r="M904" s="603"/>
      <c r="N904" s="603"/>
      <c r="O904" s="603"/>
      <c r="P904" s="603"/>
      <c r="Q904" s="603"/>
      <c r="R904" s="603"/>
      <c r="S904" s="603"/>
      <c r="T904" s="603"/>
      <c r="U904" s="603"/>
      <c r="V904" s="603"/>
      <c r="W904" s="603"/>
      <c r="X904" s="603"/>
      <c r="Y904" s="603"/>
      <c r="Z904" s="603"/>
    </row>
    <row r="905" spans="1:26" ht="18" customHeight="1" x14ac:dyDescent="0.2">
      <c r="A905" s="603"/>
      <c r="B905" s="603"/>
      <c r="C905" s="603"/>
      <c r="D905" s="603"/>
      <c r="E905" s="603"/>
      <c r="F905" s="603"/>
      <c r="G905" s="603"/>
      <c r="H905" s="603"/>
      <c r="I905" s="603"/>
      <c r="J905" s="603"/>
      <c r="K905" s="603"/>
      <c r="L905" s="603"/>
      <c r="M905" s="603"/>
      <c r="N905" s="603"/>
      <c r="O905" s="603"/>
      <c r="P905" s="603"/>
      <c r="Q905" s="603"/>
      <c r="R905" s="603"/>
      <c r="S905" s="603"/>
      <c r="T905" s="603"/>
      <c r="U905" s="603"/>
      <c r="V905" s="603"/>
      <c r="W905" s="603"/>
      <c r="X905" s="603"/>
      <c r="Y905" s="603"/>
      <c r="Z905" s="603"/>
    </row>
    <row r="906" spans="1:26" ht="18" customHeight="1" x14ac:dyDescent="0.2">
      <c r="A906" s="603"/>
      <c r="B906" s="603"/>
      <c r="C906" s="603"/>
      <c r="D906" s="603"/>
      <c r="E906" s="603"/>
      <c r="F906" s="603"/>
      <c r="G906" s="603"/>
      <c r="H906" s="603"/>
      <c r="I906" s="603"/>
      <c r="J906" s="603"/>
      <c r="K906" s="603"/>
      <c r="L906" s="603"/>
      <c r="M906" s="603"/>
      <c r="N906" s="603"/>
      <c r="O906" s="603"/>
      <c r="P906" s="603"/>
      <c r="Q906" s="603"/>
      <c r="R906" s="603"/>
      <c r="S906" s="603"/>
      <c r="T906" s="603"/>
      <c r="U906" s="603"/>
      <c r="V906" s="603"/>
      <c r="W906" s="603"/>
      <c r="X906" s="603"/>
      <c r="Y906" s="603"/>
      <c r="Z906" s="603"/>
    </row>
    <row r="907" spans="1:26" ht="18" customHeight="1" x14ac:dyDescent="0.2">
      <c r="A907" s="603"/>
      <c r="B907" s="603"/>
      <c r="C907" s="603"/>
      <c r="D907" s="603"/>
      <c r="E907" s="603"/>
      <c r="F907" s="603"/>
      <c r="G907" s="603"/>
      <c r="H907" s="603"/>
      <c r="I907" s="603"/>
      <c r="J907" s="603"/>
      <c r="K907" s="603"/>
      <c r="L907" s="603"/>
      <c r="M907" s="603"/>
      <c r="N907" s="603"/>
      <c r="O907" s="603"/>
      <c r="P907" s="603"/>
      <c r="Q907" s="603"/>
      <c r="R907" s="603"/>
      <c r="S907" s="603"/>
      <c r="T907" s="603"/>
      <c r="U907" s="603"/>
      <c r="V907" s="603"/>
      <c r="W907" s="603"/>
      <c r="X907" s="603"/>
      <c r="Y907" s="603"/>
      <c r="Z907" s="603"/>
    </row>
    <row r="908" spans="1:26" ht="18" customHeight="1" x14ac:dyDescent="0.2">
      <c r="A908" s="603"/>
      <c r="B908" s="603"/>
      <c r="C908" s="603"/>
      <c r="D908" s="603"/>
      <c r="E908" s="603"/>
      <c r="F908" s="603"/>
      <c r="G908" s="603"/>
      <c r="H908" s="603"/>
      <c r="I908" s="603"/>
      <c r="J908" s="603"/>
      <c r="K908" s="603"/>
      <c r="L908" s="603"/>
      <c r="M908" s="603"/>
      <c r="N908" s="603"/>
      <c r="O908" s="603"/>
      <c r="P908" s="603"/>
      <c r="Q908" s="603"/>
      <c r="R908" s="603"/>
      <c r="S908" s="603"/>
      <c r="T908" s="603"/>
      <c r="U908" s="603"/>
      <c r="V908" s="603"/>
      <c r="W908" s="603"/>
      <c r="X908" s="603"/>
      <c r="Y908" s="603"/>
      <c r="Z908" s="603"/>
    </row>
    <row r="909" spans="1:26" ht="18" customHeight="1" x14ac:dyDescent="0.2">
      <c r="A909" s="603"/>
      <c r="B909" s="603"/>
      <c r="C909" s="603"/>
      <c r="D909" s="603"/>
      <c r="E909" s="603"/>
      <c r="F909" s="603"/>
      <c r="G909" s="603"/>
      <c r="H909" s="603"/>
      <c r="I909" s="603"/>
      <c r="J909" s="603"/>
      <c r="K909" s="603"/>
      <c r="L909" s="603"/>
      <c r="M909" s="603"/>
      <c r="N909" s="603"/>
      <c r="O909" s="603"/>
      <c r="P909" s="603"/>
      <c r="Q909" s="603"/>
      <c r="R909" s="603"/>
      <c r="S909" s="603"/>
      <c r="T909" s="603"/>
      <c r="U909" s="603"/>
      <c r="V909" s="603"/>
      <c r="W909" s="603"/>
      <c r="X909" s="603"/>
      <c r="Y909" s="603"/>
      <c r="Z909" s="603"/>
    </row>
    <row r="910" spans="1:26" ht="18" customHeight="1" x14ac:dyDescent="0.2">
      <c r="A910" s="603"/>
      <c r="B910" s="603"/>
      <c r="C910" s="603"/>
      <c r="D910" s="603"/>
      <c r="E910" s="603"/>
      <c r="F910" s="603"/>
      <c r="G910" s="603"/>
      <c r="H910" s="603"/>
      <c r="I910" s="603"/>
      <c r="J910" s="603"/>
      <c r="K910" s="603"/>
      <c r="L910" s="603"/>
      <c r="M910" s="603"/>
      <c r="N910" s="603"/>
      <c r="O910" s="603"/>
      <c r="P910" s="603"/>
      <c r="Q910" s="603"/>
      <c r="R910" s="603"/>
      <c r="S910" s="603"/>
      <c r="T910" s="603"/>
      <c r="U910" s="603"/>
      <c r="V910" s="603"/>
      <c r="W910" s="603"/>
      <c r="X910" s="603"/>
      <c r="Y910" s="603"/>
      <c r="Z910" s="603"/>
    </row>
    <row r="911" spans="1:26" ht="18" customHeight="1" x14ac:dyDescent="0.2">
      <c r="A911" s="603"/>
      <c r="B911" s="603"/>
      <c r="C911" s="603"/>
      <c r="D911" s="603"/>
      <c r="E911" s="603"/>
      <c r="F911" s="603"/>
      <c r="G911" s="603"/>
      <c r="H911" s="603"/>
      <c r="I911" s="603"/>
      <c r="J911" s="603"/>
      <c r="K911" s="603"/>
      <c r="L911" s="603"/>
      <c r="M911" s="603"/>
      <c r="N911" s="603"/>
      <c r="O911" s="603"/>
      <c r="P911" s="603"/>
      <c r="Q911" s="603"/>
      <c r="R911" s="603"/>
      <c r="S911" s="603"/>
      <c r="T911" s="603"/>
      <c r="U911" s="603"/>
      <c r="V911" s="603"/>
      <c r="W911" s="603"/>
      <c r="X911" s="603"/>
      <c r="Y911" s="603"/>
      <c r="Z911" s="603"/>
    </row>
    <row r="912" spans="1:26" ht="18" customHeight="1" x14ac:dyDescent="0.2">
      <c r="A912" s="603"/>
      <c r="B912" s="603"/>
      <c r="C912" s="603"/>
      <c r="D912" s="603"/>
      <c r="E912" s="603"/>
      <c r="F912" s="603"/>
      <c r="G912" s="603"/>
      <c r="H912" s="603"/>
      <c r="I912" s="603"/>
      <c r="J912" s="603"/>
      <c r="K912" s="603"/>
      <c r="L912" s="603"/>
      <c r="M912" s="603"/>
      <c r="N912" s="603"/>
      <c r="O912" s="603"/>
      <c r="P912" s="603"/>
      <c r="Q912" s="603"/>
      <c r="R912" s="603"/>
      <c r="S912" s="603"/>
      <c r="T912" s="603"/>
      <c r="U912" s="603"/>
      <c r="V912" s="603"/>
      <c r="W912" s="603"/>
      <c r="X912" s="603"/>
      <c r="Y912" s="603"/>
      <c r="Z912" s="603"/>
    </row>
    <row r="913" spans="1:26" ht="18" customHeight="1" x14ac:dyDescent="0.2">
      <c r="A913" s="603"/>
      <c r="B913" s="603"/>
      <c r="C913" s="603"/>
      <c r="D913" s="603"/>
      <c r="E913" s="603"/>
      <c r="F913" s="603"/>
      <c r="G913" s="603"/>
      <c r="H913" s="603"/>
      <c r="I913" s="603"/>
      <c r="J913" s="603"/>
      <c r="K913" s="603"/>
      <c r="L913" s="603"/>
      <c r="M913" s="603"/>
      <c r="N913" s="603"/>
      <c r="O913" s="603"/>
      <c r="P913" s="603"/>
      <c r="Q913" s="603"/>
      <c r="R913" s="603"/>
      <c r="S913" s="603"/>
      <c r="T913" s="603"/>
      <c r="U913" s="603"/>
      <c r="V913" s="603"/>
      <c r="W913" s="603"/>
      <c r="X913" s="603"/>
      <c r="Y913" s="603"/>
      <c r="Z913" s="603"/>
    </row>
    <row r="914" spans="1:26" ht="18" customHeight="1" x14ac:dyDescent="0.2">
      <c r="A914" s="603"/>
      <c r="B914" s="603"/>
      <c r="C914" s="603"/>
      <c r="D914" s="603"/>
      <c r="E914" s="603"/>
      <c r="F914" s="603"/>
      <c r="G914" s="603"/>
      <c r="H914" s="603"/>
      <c r="I914" s="603"/>
      <c r="J914" s="603"/>
      <c r="K914" s="603"/>
      <c r="L914" s="603"/>
      <c r="M914" s="603"/>
      <c r="N914" s="603"/>
      <c r="O914" s="603"/>
      <c r="P914" s="603"/>
      <c r="Q914" s="603"/>
      <c r="R914" s="603"/>
      <c r="S914" s="603"/>
      <c r="T914" s="603"/>
      <c r="U914" s="603"/>
      <c r="V914" s="603"/>
      <c r="W914" s="603"/>
      <c r="X914" s="603"/>
      <c r="Y914" s="603"/>
      <c r="Z914" s="603"/>
    </row>
    <row r="915" spans="1:26" ht="18" customHeight="1" x14ac:dyDescent="0.2">
      <c r="A915" s="603"/>
      <c r="B915" s="603"/>
      <c r="C915" s="603"/>
      <c r="D915" s="603"/>
      <c r="E915" s="603"/>
      <c r="F915" s="603"/>
      <c r="G915" s="603"/>
      <c r="H915" s="603"/>
      <c r="I915" s="603"/>
      <c r="J915" s="603"/>
      <c r="K915" s="603"/>
      <c r="L915" s="603"/>
      <c r="M915" s="603"/>
      <c r="N915" s="603"/>
      <c r="O915" s="603"/>
      <c r="P915" s="603"/>
      <c r="Q915" s="603"/>
      <c r="R915" s="603"/>
      <c r="S915" s="603"/>
      <c r="T915" s="603"/>
      <c r="U915" s="603"/>
      <c r="V915" s="603"/>
      <c r="W915" s="603"/>
      <c r="X915" s="603"/>
      <c r="Y915" s="603"/>
      <c r="Z915" s="603"/>
    </row>
    <row r="916" spans="1:26" ht="18" customHeight="1" x14ac:dyDescent="0.2">
      <c r="A916" s="603"/>
      <c r="B916" s="603"/>
      <c r="C916" s="603"/>
      <c r="D916" s="603"/>
      <c r="E916" s="603"/>
      <c r="F916" s="603"/>
      <c r="G916" s="603"/>
      <c r="H916" s="603"/>
      <c r="I916" s="603"/>
      <c r="J916" s="603"/>
      <c r="K916" s="603"/>
      <c r="L916" s="603"/>
      <c r="M916" s="603"/>
      <c r="N916" s="603"/>
      <c r="O916" s="603"/>
      <c r="P916" s="603"/>
      <c r="Q916" s="603"/>
      <c r="R916" s="603"/>
      <c r="S916" s="603"/>
      <c r="T916" s="603"/>
      <c r="U916" s="603"/>
      <c r="V916" s="603"/>
      <c r="W916" s="603"/>
      <c r="X916" s="603"/>
      <c r="Y916" s="603"/>
      <c r="Z916" s="603"/>
    </row>
    <row r="917" spans="1:26" ht="18" customHeight="1" x14ac:dyDescent="0.2">
      <c r="A917" s="603"/>
      <c r="B917" s="603"/>
      <c r="C917" s="603"/>
      <c r="D917" s="603"/>
      <c r="E917" s="603"/>
      <c r="F917" s="603"/>
      <c r="G917" s="603"/>
      <c r="H917" s="603"/>
      <c r="I917" s="603"/>
      <c r="J917" s="603"/>
      <c r="K917" s="603"/>
      <c r="L917" s="603"/>
      <c r="M917" s="603"/>
      <c r="N917" s="603"/>
      <c r="O917" s="603"/>
      <c r="P917" s="603"/>
      <c r="Q917" s="603"/>
      <c r="R917" s="603"/>
      <c r="S917" s="603"/>
      <c r="T917" s="603"/>
      <c r="U917" s="603"/>
      <c r="V917" s="603"/>
      <c r="W917" s="603"/>
      <c r="X917" s="603"/>
      <c r="Y917" s="603"/>
      <c r="Z917" s="603"/>
    </row>
    <row r="918" spans="1:26" ht="18" customHeight="1" x14ac:dyDescent="0.2">
      <c r="A918" s="603"/>
      <c r="B918" s="603"/>
      <c r="C918" s="603"/>
      <c r="D918" s="603"/>
      <c r="E918" s="603"/>
      <c r="F918" s="603"/>
      <c r="G918" s="603"/>
      <c r="H918" s="603"/>
      <c r="I918" s="603"/>
      <c r="J918" s="603"/>
      <c r="K918" s="603"/>
      <c r="L918" s="603"/>
      <c r="M918" s="603"/>
      <c r="N918" s="603"/>
      <c r="O918" s="603"/>
      <c r="P918" s="603"/>
      <c r="Q918" s="603"/>
      <c r="R918" s="603"/>
      <c r="S918" s="603"/>
      <c r="T918" s="603"/>
      <c r="U918" s="603"/>
      <c r="V918" s="603"/>
      <c r="W918" s="603"/>
      <c r="X918" s="603"/>
      <c r="Y918" s="603"/>
      <c r="Z918" s="603"/>
    </row>
    <row r="919" spans="1:26" ht="18" customHeight="1" x14ac:dyDescent="0.2">
      <c r="A919" s="603"/>
      <c r="B919" s="603"/>
      <c r="C919" s="603"/>
      <c r="D919" s="603"/>
      <c r="E919" s="603"/>
      <c r="F919" s="603"/>
      <c r="G919" s="603"/>
      <c r="H919" s="603"/>
      <c r="I919" s="603"/>
      <c r="J919" s="603"/>
      <c r="K919" s="603"/>
      <c r="L919" s="603"/>
      <c r="M919" s="603"/>
      <c r="N919" s="603"/>
      <c r="O919" s="603"/>
      <c r="P919" s="603"/>
      <c r="Q919" s="603"/>
      <c r="R919" s="603"/>
      <c r="S919" s="603"/>
      <c r="T919" s="603"/>
      <c r="U919" s="603"/>
      <c r="V919" s="603"/>
      <c r="W919" s="603"/>
      <c r="X919" s="603"/>
      <c r="Y919" s="603"/>
      <c r="Z919" s="603"/>
    </row>
    <row r="920" spans="1:26" ht="18" customHeight="1" x14ac:dyDescent="0.2">
      <c r="A920" s="603"/>
      <c r="B920" s="603"/>
      <c r="C920" s="603"/>
      <c r="D920" s="603"/>
      <c r="E920" s="603"/>
      <c r="F920" s="603"/>
      <c r="G920" s="603"/>
      <c r="H920" s="603"/>
      <c r="I920" s="603"/>
      <c r="J920" s="603"/>
      <c r="K920" s="603"/>
      <c r="L920" s="603"/>
      <c r="M920" s="603"/>
      <c r="N920" s="603"/>
      <c r="O920" s="603"/>
      <c r="P920" s="603"/>
      <c r="Q920" s="603"/>
      <c r="R920" s="603"/>
      <c r="S920" s="603"/>
      <c r="T920" s="603"/>
      <c r="U920" s="603"/>
      <c r="V920" s="603"/>
      <c r="W920" s="603"/>
      <c r="X920" s="603"/>
      <c r="Y920" s="603"/>
      <c r="Z920" s="603"/>
    </row>
    <row r="921" spans="1:26" ht="18" customHeight="1" x14ac:dyDescent="0.2">
      <c r="A921" s="603"/>
      <c r="B921" s="603"/>
      <c r="C921" s="603"/>
      <c r="D921" s="603"/>
      <c r="E921" s="603"/>
      <c r="F921" s="603"/>
      <c r="G921" s="603"/>
      <c r="H921" s="603"/>
      <c r="I921" s="603"/>
      <c r="J921" s="603"/>
      <c r="K921" s="603"/>
      <c r="L921" s="603"/>
      <c r="M921" s="603"/>
      <c r="N921" s="603"/>
      <c r="O921" s="603"/>
      <c r="P921" s="603"/>
      <c r="Q921" s="603"/>
      <c r="R921" s="603"/>
      <c r="S921" s="603"/>
      <c r="T921" s="603"/>
      <c r="U921" s="603"/>
      <c r="V921" s="603"/>
      <c r="W921" s="603"/>
      <c r="X921" s="603"/>
      <c r="Y921" s="603"/>
      <c r="Z921" s="603"/>
    </row>
    <row r="922" spans="1:26" ht="18" customHeight="1" x14ac:dyDescent="0.2">
      <c r="A922" s="603"/>
      <c r="B922" s="603"/>
      <c r="C922" s="603"/>
      <c r="D922" s="603"/>
      <c r="E922" s="603"/>
      <c r="F922" s="603"/>
      <c r="G922" s="603"/>
      <c r="H922" s="603"/>
      <c r="I922" s="603"/>
      <c r="J922" s="603"/>
      <c r="K922" s="603"/>
      <c r="L922" s="603"/>
      <c r="M922" s="603"/>
      <c r="N922" s="603"/>
      <c r="O922" s="603"/>
      <c r="P922" s="603"/>
      <c r="Q922" s="603"/>
      <c r="R922" s="603"/>
      <c r="S922" s="603"/>
      <c r="T922" s="603"/>
      <c r="U922" s="603"/>
      <c r="V922" s="603"/>
      <c r="W922" s="603"/>
      <c r="X922" s="603"/>
      <c r="Y922" s="603"/>
      <c r="Z922" s="603"/>
    </row>
    <row r="923" spans="1:26" ht="18" customHeight="1" x14ac:dyDescent="0.2">
      <c r="A923" s="603"/>
      <c r="B923" s="603"/>
      <c r="C923" s="603"/>
      <c r="D923" s="603"/>
      <c r="E923" s="603"/>
      <c r="F923" s="603"/>
      <c r="G923" s="603"/>
      <c r="H923" s="603"/>
      <c r="I923" s="603"/>
      <c r="J923" s="603"/>
      <c r="K923" s="603"/>
      <c r="L923" s="603"/>
      <c r="M923" s="603"/>
      <c r="N923" s="603"/>
      <c r="O923" s="603"/>
      <c r="P923" s="603"/>
      <c r="Q923" s="603"/>
      <c r="R923" s="603"/>
      <c r="S923" s="603"/>
      <c r="T923" s="603"/>
      <c r="U923" s="603"/>
      <c r="V923" s="603"/>
      <c r="W923" s="603"/>
      <c r="X923" s="603"/>
      <c r="Y923" s="603"/>
      <c r="Z923" s="603"/>
    </row>
    <row r="924" spans="1:26" ht="18" customHeight="1" x14ac:dyDescent="0.2">
      <c r="A924" s="603"/>
      <c r="B924" s="603"/>
      <c r="C924" s="603"/>
      <c r="D924" s="603"/>
      <c r="E924" s="603"/>
      <c r="F924" s="603"/>
      <c r="G924" s="603"/>
      <c r="H924" s="603"/>
      <c r="I924" s="603"/>
      <c r="J924" s="603"/>
      <c r="K924" s="603"/>
      <c r="L924" s="603"/>
      <c r="M924" s="603"/>
      <c r="N924" s="603"/>
      <c r="O924" s="603"/>
      <c r="P924" s="603"/>
      <c r="Q924" s="603"/>
      <c r="R924" s="603"/>
      <c r="S924" s="603"/>
      <c r="T924" s="603"/>
      <c r="U924" s="603"/>
      <c r="V924" s="603"/>
      <c r="W924" s="603"/>
      <c r="X924" s="603"/>
      <c r="Y924" s="603"/>
      <c r="Z924" s="603"/>
    </row>
    <row r="925" spans="1:26" ht="18" customHeight="1" x14ac:dyDescent="0.2">
      <c r="A925" s="603"/>
      <c r="B925" s="603"/>
      <c r="C925" s="603"/>
      <c r="D925" s="603"/>
      <c r="E925" s="603"/>
      <c r="F925" s="603"/>
      <c r="G925" s="603"/>
      <c r="H925" s="603"/>
      <c r="I925" s="603"/>
      <c r="J925" s="603"/>
      <c r="K925" s="603"/>
      <c r="L925" s="603"/>
      <c r="M925" s="603"/>
      <c r="N925" s="603"/>
      <c r="O925" s="603"/>
      <c r="P925" s="603"/>
      <c r="Q925" s="603"/>
      <c r="R925" s="603"/>
      <c r="S925" s="603"/>
      <c r="T925" s="603"/>
      <c r="U925" s="603"/>
      <c r="V925" s="603"/>
      <c r="W925" s="603"/>
      <c r="X925" s="603"/>
      <c r="Y925" s="603"/>
      <c r="Z925" s="603"/>
    </row>
    <row r="926" spans="1:26" ht="18" customHeight="1" x14ac:dyDescent="0.2">
      <c r="A926" s="603"/>
      <c r="B926" s="603"/>
      <c r="C926" s="603"/>
      <c r="D926" s="603"/>
      <c r="E926" s="603"/>
      <c r="F926" s="603"/>
      <c r="G926" s="603"/>
      <c r="H926" s="603"/>
      <c r="I926" s="603"/>
      <c r="J926" s="603"/>
      <c r="K926" s="603"/>
      <c r="L926" s="603"/>
      <c r="M926" s="603"/>
      <c r="N926" s="603"/>
      <c r="O926" s="603"/>
      <c r="P926" s="603"/>
      <c r="Q926" s="603"/>
      <c r="R926" s="603"/>
      <c r="S926" s="603"/>
      <c r="T926" s="603"/>
      <c r="U926" s="603"/>
      <c r="V926" s="603"/>
      <c r="W926" s="603"/>
      <c r="X926" s="603"/>
      <c r="Y926" s="603"/>
      <c r="Z926" s="603"/>
    </row>
    <row r="927" spans="1:26" ht="18" customHeight="1" x14ac:dyDescent="0.2">
      <c r="A927" s="603"/>
      <c r="B927" s="603"/>
      <c r="C927" s="603"/>
      <c r="D927" s="603"/>
      <c r="E927" s="603"/>
      <c r="F927" s="603"/>
      <c r="G927" s="603"/>
      <c r="H927" s="603"/>
      <c r="I927" s="603"/>
      <c r="J927" s="603"/>
      <c r="K927" s="603"/>
      <c r="L927" s="603"/>
      <c r="M927" s="603"/>
      <c r="N927" s="603"/>
      <c r="O927" s="603"/>
      <c r="P927" s="603"/>
      <c r="Q927" s="603"/>
      <c r="R927" s="603"/>
      <c r="S927" s="603"/>
      <c r="T927" s="603"/>
      <c r="U927" s="603"/>
      <c r="V927" s="603"/>
      <c r="W927" s="603"/>
      <c r="X927" s="603"/>
      <c r="Y927" s="603"/>
      <c r="Z927" s="603"/>
    </row>
    <row r="928" spans="1:26" ht="18" customHeight="1" x14ac:dyDescent="0.2">
      <c r="A928" s="603"/>
      <c r="B928" s="603"/>
      <c r="C928" s="603"/>
      <c r="D928" s="603"/>
      <c r="E928" s="603"/>
      <c r="F928" s="603"/>
      <c r="G928" s="603"/>
      <c r="H928" s="603"/>
      <c r="I928" s="603"/>
      <c r="J928" s="603"/>
      <c r="K928" s="603"/>
      <c r="L928" s="603"/>
      <c r="M928" s="603"/>
      <c r="N928" s="603"/>
      <c r="O928" s="603"/>
      <c r="P928" s="603"/>
      <c r="Q928" s="603"/>
      <c r="R928" s="603"/>
      <c r="S928" s="603"/>
      <c r="T928" s="603"/>
      <c r="U928" s="603"/>
      <c r="V928" s="603"/>
      <c r="W928" s="603"/>
      <c r="X928" s="603"/>
      <c r="Y928" s="603"/>
      <c r="Z928" s="603"/>
    </row>
    <row r="929" spans="1:26" ht="18" customHeight="1" x14ac:dyDescent="0.2">
      <c r="A929" s="603"/>
      <c r="B929" s="603"/>
      <c r="C929" s="603"/>
      <c r="D929" s="603"/>
      <c r="E929" s="603"/>
      <c r="F929" s="603"/>
      <c r="G929" s="603"/>
      <c r="H929" s="603"/>
      <c r="I929" s="603"/>
      <c r="J929" s="603"/>
      <c r="K929" s="603"/>
      <c r="L929" s="603"/>
      <c r="M929" s="603"/>
      <c r="N929" s="603"/>
      <c r="O929" s="603"/>
      <c r="P929" s="603"/>
      <c r="Q929" s="603"/>
      <c r="R929" s="603"/>
      <c r="S929" s="603"/>
      <c r="T929" s="603"/>
      <c r="U929" s="603"/>
      <c r="V929" s="603"/>
      <c r="W929" s="603"/>
      <c r="X929" s="603"/>
      <c r="Y929" s="603"/>
      <c r="Z929" s="603"/>
    </row>
    <row r="930" spans="1:26" ht="18" customHeight="1" x14ac:dyDescent="0.2">
      <c r="A930" s="603"/>
      <c r="B930" s="603"/>
      <c r="C930" s="603"/>
      <c r="D930" s="603"/>
      <c r="E930" s="603"/>
      <c r="F930" s="603"/>
      <c r="G930" s="603"/>
      <c r="H930" s="603"/>
      <c r="I930" s="603"/>
      <c r="J930" s="603"/>
      <c r="K930" s="603"/>
      <c r="L930" s="603"/>
      <c r="M930" s="603"/>
      <c r="N930" s="603"/>
      <c r="O930" s="603"/>
      <c r="P930" s="603"/>
      <c r="Q930" s="603"/>
      <c r="R930" s="603"/>
      <c r="S930" s="603"/>
      <c r="T930" s="603"/>
      <c r="U930" s="603"/>
      <c r="V930" s="603"/>
      <c r="W930" s="603"/>
      <c r="X930" s="603"/>
      <c r="Y930" s="603"/>
      <c r="Z930" s="603"/>
    </row>
    <row r="931" spans="1:26" ht="18" customHeight="1" x14ac:dyDescent="0.2">
      <c r="A931" s="603"/>
      <c r="B931" s="603"/>
      <c r="C931" s="603"/>
      <c r="D931" s="603"/>
      <c r="E931" s="603"/>
      <c r="F931" s="603"/>
      <c r="G931" s="603"/>
      <c r="H931" s="603"/>
      <c r="I931" s="603"/>
      <c r="J931" s="603"/>
      <c r="K931" s="603"/>
      <c r="L931" s="603"/>
      <c r="M931" s="603"/>
      <c r="N931" s="603"/>
      <c r="O931" s="603"/>
      <c r="P931" s="603"/>
      <c r="Q931" s="603"/>
      <c r="R931" s="603"/>
      <c r="S931" s="603"/>
      <c r="T931" s="603"/>
      <c r="U931" s="603"/>
      <c r="V931" s="603"/>
      <c r="W931" s="603"/>
      <c r="X931" s="603"/>
      <c r="Y931" s="603"/>
      <c r="Z931" s="603"/>
    </row>
    <row r="932" spans="1:26" ht="18" customHeight="1" x14ac:dyDescent="0.2">
      <c r="A932" s="603"/>
      <c r="B932" s="603"/>
      <c r="C932" s="603"/>
      <c r="D932" s="603"/>
      <c r="E932" s="603"/>
      <c r="F932" s="603"/>
      <c r="G932" s="603"/>
      <c r="H932" s="603"/>
      <c r="I932" s="603"/>
      <c r="J932" s="603"/>
      <c r="K932" s="603"/>
      <c r="L932" s="603"/>
      <c r="M932" s="603"/>
      <c r="N932" s="603"/>
      <c r="O932" s="603"/>
      <c r="P932" s="603"/>
      <c r="Q932" s="603"/>
      <c r="R932" s="603"/>
      <c r="S932" s="603"/>
      <c r="T932" s="603"/>
      <c r="U932" s="603"/>
      <c r="V932" s="603"/>
      <c r="W932" s="603"/>
      <c r="X932" s="603"/>
      <c r="Y932" s="603"/>
      <c r="Z932" s="603"/>
    </row>
    <row r="933" spans="1:26" ht="18" customHeight="1" x14ac:dyDescent="0.2">
      <c r="A933" s="603"/>
      <c r="B933" s="603"/>
      <c r="C933" s="603"/>
      <c r="D933" s="603"/>
      <c r="E933" s="603"/>
      <c r="F933" s="603"/>
      <c r="G933" s="603"/>
      <c r="H933" s="603"/>
      <c r="I933" s="603"/>
      <c r="J933" s="603"/>
      <c r="K933" s="603"/>
      <c r="L933" s="603"/>
      <c r="M933" s="603"/>
      <c r="N933" s="603"/>
      <c r="O933" s="603"/>
      <c r="P933" s="603"/>
      <c r="Q933" s="603"/>
      <c r="R933" s="603"/>
      <c r="S933" s="603"/>
      <c r="T933" s="603"/>
      <c r="U933" s="603"/>
      <c r="V933" s="603"/>
      <c r="W933" s="603"/>
      <c r="X933" s="603"/>
      <c r="Y933" s="603"/>
      <c r="Z933" s="603"/>
    </row>
    <row r="934" spans="1:26" ht="18" customHeight="1" x14ac:dyDescent="0.2">
      <c r="A934" s="603"/>
      <c r="B934" s="603"/>
      <c r="C934" s="603"/>
      <c r="D934" s="603"/>
      <c r="E934" s="603"/>
      <c r="F934" s="603"/>
      <c r="G934" s="603"/>
      <c r="H934" s="603"/>
      <c r="I934" s="603"/>
      <c r="J934" s="603"/>
      <c r="K934" s="603"/>
      <c r="L934" s="603"/>
      <c r="M934" s="603"/>
      <c r="N934" s="603"/>
      <c r="O934" s="603"/>
      <c r="P934" s="603"/>
      <c r="Q934" s="603"/>
      <c r="R934" s="603"/>
      <c r="S934" s="603"/>
      <c r="T934" s="603"/>
      <c r="U934" s="603"/>
      <c r="V934" s="603"/>
      <c r="W934" s="603"/>
      <c r="X934" s="603"/>
      <c r="Y934" s="603"/>
      <c r="Z934" s="603"/>
    </row>
    <row r="935" spans="1:26" ht="18" customHeight="1" x14ac:dyDescent="0.2">
      <c r="A935" s="603"/>
      <c r="B935" s="603"/>
      <c r="C935" s="603"/>
      <c r="D935" s="603"/>
      <c r="E935" s="603"/>
      <c r="F935" s="603"/>
      <c r="G935" s="603"/>
      <c r="H935" s="603"/>
      <c r="I935" s="603"/>
      <c r="J935" s="603"/>
      <c r="K935" s="603"/>
      <c r="L935" s="603"/>
      <c r="M935" s="603"/>
      <c r="N935" s="603"/>
      <c r="O935" s="603"/>
      <c r="P935" s="603"/>
      <c r="Q935" s="603"/>
      <c r="R935" s="603"/>
      <c r="S935" s="603"/>
      <c r="T935" s="603"/>
      <c r="U935" s="603"/>
      <c r="V935" s="603"/>
      <c r="W935" s="603"/>
      <c r="X935" s="603"/>
      <c r="Y935" s="603"/>
      <c r="Z935" s="603"/>
    </row>
    <row r="936" spans="1:26" ht="18" customHeight="1" x14ac:dyDescent="0.2">
      <c r="A936" s="603"/>
      <c r="B936" s="603"/>
      <c r="C936" s="603"/>
      <c r="D936" s="603"/>
      <c r="E936" s="603"/>
      <c r="F936" s="603"/>
      <c r="G936" s="603"/>
      <c r="H936" s="603"/>
      <c r="I936" s="603"/>
      <c r="J936" s="603"/>
      <c r="K936" s="603"/>
      <c r="L936" s="603"/>
      <c r="M936" s="603"/>
      <c r="N936" s="603"/>
      <c r="O936" s="603"/>
      <c r="P936" s="603"/>
      <c r="Q936" s="603"/>
      <c r="R936" s="603"/>
      <c r="S936" s="603"/>
      <c r="T936" s="603"/>
      <c r="U936" s="603"/>
      <c r="V936" s="603"/>
      <c r="W936" s="603"/>
      <c r="X936" s="603"/>
      <c r="Y936" s="603"/>
      <c r="Z936" s="603"/>
    </row>
    <row r="937" spans="1:26" ht="18" customHeight="1" x14ac:dyDescent="0.2">
      <c r="A937" s="603"/>
      <c r="B937" s="603"/>
      <c r="C937" s="603"/>
      <c r="D937" s="603"/>
      <c r="E937" s="603"/>
      <c r="F937" s="603"/>
      <c r="G937" s="603"/>
      <c r="H937" s="603"/>
      <c r="I937" s="603"/>
      <c r="J937" s="603"/>
      <c r="K937" s="603"/>
      <c r="L937" s="603"/>
      <c r="M937" s="603"/>
      <c r="N937" s="603"/>
      <c r="O937" s="603"/>
      <c r="P937" s="603"/>
      <c r="Q937" s="603"/>
      <c r="R937" s="603"/>
      <c r="S937" s="603"/>
      <c r="T937" s="603"/>
      <c r="U937" s="603"/>
      <c r="V937" s="603"/>
      <c r="W937" s="603"/>
      <c r="X937" s="603"/>
      <c r="Y937" s="603"/>
      <c r="Z937" s="603"/>
    </row>
    <row r="938" spans="1:26" ht="18" customHeight="1" x14ac:dyDescent="0.2">
      <c r="A938" s="603"/>
      <c r="B938" s="603"/>
      <c r="C938" s="603"/>
      <c r="D938" s="603"/>
      <c r="E938" s="603"/>
      <c r="F938" s="603"/>
      <c r="G938" s="603"/>
      <c r="H938" s="603"/>
      <c r="I938" s="603"/>
      <c r="J938" s="603"/>
      <c r="K938" s="603"/>
      <c r="L938" s="603"/>
      <c r="M938" s="603"/>
      <c r="N938" s="603"/>
      <c r="O938" s="603"/>
      <c r="P938" s="603"/>
      <c r="Q938" s="603"/>
      <c r="R938" s="603"/>
      <c r="S938" s="603"/>
      <c r="T938" s="603"/>
      <c r="U938" s="603"/>
      <c r="V938" s="603"/>
      <c r="W938" s="603"/>
      <c r="X938" s="603"/>
      <c r="Y938" s="603"/>
      <c r="Z938" s="603"/>
    </row>
    <row r="939" spans="1:26" ht="18" customHeight="1" x14ac:dyDescent="0.2">
      <c r="A939" s="603"/>
      <c r="B939" s="603"/>
      <c r="C939" s="603"/>
      <c r="D939" s="603"/>
      <c r="E939" s="603"/>
      <c r="F939" s="603"/>
      <c r="G939" s="603"/>
      <c r="H939" s="603"/>
      <c r="I939" s="603"/>
      <c r="J939" s="603"/>
      <c r="K939" s="603"/>
      <c r="L939" s="603"/>
      <c r="M939" s="603"/>
      <c r="N939" s="603"/>
      <c r="O939" s="603"/>
      <c r="P939" s="603"/>
      <c r="Q939" s="603"/>
      <c r="R939" s="603"/>
      <c r="S939" s="603"/>
      <c r="T939" s="603"/>
      <c r="U939" s="603"/>
      <c r="V939" s="603"/>
      <c r="W939" s="603"/>
      <c r="X939" s="603"/>
      <c r="Y939" s="603"/>
      <c r="Z939" s="603"/>
    </row>
    <row r="940" spans="1:26" ht="18" customHeight="1" x14ac:dyDescent="0.2">
      <c r="A940" s="603"/>
      <c r="B940" s="603"/>
      <c r="C940" s="603"/>
      <c r="D940" s="603"/>
      <c r="E940" s="603"/>
      <c r="F940" s="603"/>
      <c r="G940" s="603"/>
      <c r="H940" s="603"/>
      <c r="I940" s="603"/>
      <c r="J940" s="603"/>
      <c r="K940" s="603"/>
      <c r="L940" s="603"/>
      <c r="M940" s="603"/>
      <c r="N940" s="603"/>
      <c r="O940" s="603"/>
      <c r="P940" s="603"/>
      <c r="Q940" s="603"/>
      <c r="R940" s="603"/>
      <c r="S940" s="603"/>
      <c r="T940" s="603"/>
      <c r="U940" s="603"/>
      <c r="V940" s="603"/>
      <c r="W940" s="603"/>
      <c r="X940" s="603"/>
      <c r="Y940" s="603"/>
      <c r="Z940" s="603"/>
    </row>
    <row r="941" spans="1:26" ht="18" customHeight="1" x14ac:dyDescent="0.2">
      <c r="A941" s="603"/>
      <c r="B941" s="603"/>
      <c r="C941" s="603"/>
      <c r="D941" s="603"/>
      <c r="E941" s="603"/>
      <c r="F941" s="603"/>
      <c r="G941" s="603"/>
      <c r="H941" s="603"/>
      <c r="I941" s="603"/>
      <c r="J941" s="603"/>
      <c r="K941" s="603"/>
      <c r="L941" s="603"/>
      <c r="M941" s="603"/>
      <c r="N941" s="603"/>
      <c r="O941" s="603"/>
      <c r="P941" s="603"/>
      <c r="Q941" s="603"/>
      <c r="R941" s="603"/>
      <c r="S941" s="603"/>
      <c r="T941" s="603"/>
      <c r="U941" s="603"/>
      <c r="V941" s="603"/>
      <c r="W941" s="603"/>
      <c r="X941" s="603"/>
      <c r="Y941" s="603"/>
      <c r="Z941" s="603"/>
    </row>
    <row r="942" spans="1:26" ht="18" customHeight="1" x14ac:dyDescent="0.2">
      <c r="A942" s="603"/>
      <c r="B942" s="603"/>
      <c r="C942" s="603"/>
      <c r="D942" s="603"/>
      <c r="E942" s="603"/>
      <c r="F942" s="603"/>
      <c r="G942" s="603"/>
      <c r="H942" s="603"/>
      <c r="I942" s="603"/>
      <c r="J942" s="603"/>
      <c r="K942" s="603"/>
      <c r="L942" s="603"/>
      <c r="M942" s="603"/>
      <c r="N942" s="603"/>
      <c r="O942" s="603"/>
      <c r="P942" s="603"/>
      <c r="Q942" s="603"/>
      <c r="R942" s="603"/>
      <c r="S942" s="603"/>
      <c r="T942" s="603"/>
      <c r="U942" s="603"/>
      <c r="V942" s="603"/>
      <c r="W942" s="603"/>
      <c r="X942" s="603"/>
      <c r="Y942" s="603"/>
      <c r="Z942" s="603"/>
    </row>
    <row r="943" spans="1:26" ht="18" customHeight="1" x14ac:dyDescent="0.2">
      <c r="A943" s="603"/>
      <c r="B943" s="603"/>
      <c r="C943" s="603"/>
      <c r="D943" s="603"/>
      <c r="E943" s="603"/>
      <c r="F943" s="603"/>
      <c r="G943" s="603"/>
      <c r="H943" s="603"/>
      <c r="I943" s="603"/>
      <c r="J943" s="603"/>
      <c r="K943" s="603"/>
      <c r="L943" s="603"/>
      <c r="M943" s="603"/>
      <c r="N943" s="603"/>
      <c r="O943" s="603"/>
      <c r="P943" s="603"/>
      <c r="Q943" s="603"/>
      <c r="R943" s="603"/>
      <c r="S943" s="603"/>
      <c r="T943" s="603"/>
      <c r="U943" s="603"/>
      <c r="V943" s="603"/>
      <c r="W943" s="603"/>
      <c r="X943" s="603"/>
      <c r="Y943" s="603"/>
      <c r="Z943" s="603"/>
    </row>
    <row r="944" spans="1:26" ht="18" customHeight="1" x14ac:dyDescent="0.2">
      <c r="A944" s="603"/>
      <c r="B944" s="603"/>
      <c r="C944" s="603"/>
      <c r="D944" s="603"/>
      <c r="E944" s="603"/>
      <c r="F944" s="603"/>
      <c r="G944" s="603"/>
      <c r="H944" s="603"/>
      <c r="I944" s="603"/>
      <c r="J944" s="603"/>
      <c r="K944" s="603"/>
      <c r="L944" s="603"/>
      <c r="M944" s="603"/>
      <c r="N944" s="603"/>
      <c r="O944" s="603"/>
      <c r="P944" s="603"/>
      <c r="Q944" s="603"/>
      <c r="R944" s="603"/>
      <c r="S944" s="603"/>
      <c r="T944" s="603"/>
      <c r="U944" s="603"/>
      <c r="V944" s="603"/>
      <c r="W944" s="603"/>
      <c r="X944" s="603"/>
      <c r="Y944" s="603"/>
      <c r="Z944" s="603"/>
    </row>
    <row r="945" spans="1:26" ht="18" customHeight="1" x14ac:dyDescent="0.2">
      <c r="A945" s="603"/>
      <c r="B945" s="603"/>
      <c r="C945" s="603"/>
      <c r="D945" s="603"/>
      <c r="E945" s="603"/>
      <c r="F945" s="603"/>
      <c r="G945" s="603"/>
      <c r="H945" s="603"/>
      <c r="I945" s="603"/>
      <c r="J945" s="603"/>
      <c r="K945" s="603"/>
      <c r="L945" s="603"/>
      <c r="M945" s="603"/>
      <c r="N945" s="603"/>
      <c r="O945" s="603"/>
      <c r="P945" s="603"/>
      <c r="Q945" s="603"/>
      <c r="R945" s="603"/>
      <c r="S945" s="603"/>
      <c r="T945" s="603"/>
      <c r="U945" s="603"/>
      <c r="V945" s="603"/>
      <c r="W945" s="603"/>
      <c r="X945" s="603"/>
      <c r="Y945" s="603"/>
      <c r="Z945" s="603"/>
    </row>
    <row r="946" spans="1:26" ht="18" customHeight="1" x14ac:dyDescent="0.2">
      <c r="A946" s="603"/>
      <c r="B946" s="603"/>
      <c r="C946" s="603"/>
      <c r="D946" s="603"/>
      <c r="E946" s="603"/>
      <c r="F946" s="603"/>
      <c r="G946" s="603"/>
      <c r="H946" s="603"/>
      <c r="I946" s="603"/>
      <c r="J946" s="603"/>
      <c r="K946" s="603"/>
      <c r="L946" s="603"/>
      <c r="M946" s="603"/>
      <c r="N946" s="603"/>
      <c r="O946" s="603"/>
      <c r="P946" s="603"/>
      <c r="Q946" s="603"/>
      <c r="R946" s="603"/>
      <c r="S946" s="603"/>
      <c r="T946" s="603"/>
      <c r="U946" s="603"/>
      <c r="V946" s="603"/>
      <c r="W946" s="603"/>
      <c r="X946" s="603"/>
      <c r="Y946" s="603"/>
      <c r="Z946" s="603"/>
    </row>
    <row r="947" spans="1:26" ht="18" customHeight="1" x14ac:dyDescent="0.2">
      <c r="A947" s="603"/>
      <c r="B947" s="603"/>
      <c r="C947" s="603"/>
      <c r="D947" s="603"/>
      <c r="E947" s="603"/>
      <c r="F947" s="603"/>
      <c r="G947" s="603"/>
      <c r="H947" s="603"/>
      <c r="I947" s="603"/>
      <c r="J947" s="603"/>
      <c r="K947" s="603"/>
      <c r="L947" s="603"/>
      <c r="M947" s="603"/>
      <c r="N947" s="603"/>
      <c r="O947" s="603"/>
      <c r="P947" s="603"/>
      <c r="Q947" s="603"/>
      <c r="R947" s="603"/>
      <c r="S947" s="603"/>
      <c r="T947" s="603"/>
      <c r="U947" s="603"/>
      <c r="V947" s="603"/>
      <c r="W947" s="603"/>
      <c r="X947" s="603"/>
      <c r="Y947" s="603"/>
      <c r="Z947" s="603"/>
    </row>
    <row r="948" spans="1:26" ht="18" customHeight="1" x14ac:dyDescent="0.2">
      <c r="A948" s="603"/>
      <c r="B948" s="603"/>
      <c r="C948" s="603"/>
      <c r="D948" s="603"/>
      <c r="E948" s="603"/>
      <c r="F948" s="603"/>
      <c r="G948" s="603"/>
      <c r="H948" s="603"/>
      <c r="I948" s="603"/>
      <c r="J948" s="603"/>
      <c r="K948" s="603"/>
      <c r="L948" s="603"/>
      <c r="M948" s="603"/>
      <c r="N948" s="603"/>
      <c r="O948" s="603"/>
      <c r="P948" s="603"/>
      <c r="Q948" s="603"/>
      <c r="R948" s="603"/>
      <c r="S948" s="603"/>
      <c r="T948" s="603"/>
      <c r="U948" s="603"/>
      <c r="V948" s="603"/>
      <c r="W948" s="603"/>
      <c r="X948" s="603"/>
      <c r="Y948" s="603"/>
      <c r="Z948" s="603"/>
    </row>
    <row r="949" spans="1:26" ht="18" customHeight="1" x14ac:dyDescent="0.2">
      <c r="A949" s="603"/>
      <c r="B949" s="603"/>
      <c r="C949" s="603"/>
      <c r="D949" s="603"/>
      <c r="E949" s="603"/>
      <c r="F949" s="603"/>
      <c r="G949" s="603"/>
      <c r="H949" s="603"/>
      <c r="I949" s="603"/>
      <c r="J949" s="603"/>
      <c r="K949" s="603"/>
      <c r="L949" s="603"/>
      <c r="M949" s="603"/>
      <c r="N949" s="603"/>
      <c r="O949" s="603"/>
      <c r="P949" s="603"/>
      <c r="Q949" s="603"/>
      <c r="R949" s="603"/>
      <c r="S949" s="603"/>
      <c r="T949" s="603"/>
      <c r="U949" s="603"/>
      <c r="V949" s="603"/>
      <c r="W949" s="603"/>
      <c r="X949" s="603"/>
      <c r="Y949" s="603"/>
      <c r="Z949" s="603"/>
    </row>
    <row r="950" spans="1:26" ht="18" customHeight="1" x14ac:dyDescent="0.2">
      <c r="A950" s="603"/>
      <c r="B950" s="603"/>
      <c r="C950" s="603"/>
      <c r="D950" s="603"/>
      <c r="E950" s="603"/>
      <c r="F950" s="603"/>
      <c r="G950" s="603"/>
      <c r="H950" s="603"/>
      <c r="I950" s="603"/>
      <c r="J950" s="603"/>
      <c r="K950" s="603"/>
      <c r="L950" s="603"/>
      <c r="M950" s="603"/>
      <c r="N950" s="603"/>
      <c r="O950" s="603"/>
      <c r="P950" s="603"/>
      <c r="Q950" s="603"/>
      <c r="R950" s="603"/>
      <c r="S950" s="603"/>
      <c r="T950" s="603"/>
      <c r="U950" s="603"/>
      <c r="V950" s="603"/>
      <c r="W950" s="603"/>
      <c r="X950" s="603"/>
      <c r="Y950" s="603"/>
      <c r="Z950" s="603"/>
    </row>
    <row r="951" spans="1:26" ht="18" customHeight="1" x14ac:dyDescent="0.2">
      <c r="A951" s="603"/>
      <c r="B951" s="603"/>
      <c r="C951" s="603"/>
      <c r="D951" s="603"/>
      <c r="E951" s="603"/>
      <c r="F951" s="603"/>
      <c r="G951" s="603"/>
      <c r="H951" s="603"/>
      <c r="I951" s="603"/>
      <c r="J951" s="603"/>
      <c r="K951" s="603"/>
      <c r="L951" s="603"/>
      <c r="M951" s="603"/>
      <c r="N951" s="603"/>
      <c r="O951" s="603"/>
      <c r="P951" s="603"/>
      <c r="Q951" s="603"/>
      <c r="R951" s="603"/>
      <c r="S951" s="603"/>
      <c r="T951" s="603"/>
      <c r="U951" s="603"/>
      <c r="V951" s="603"/>
      <c r="W951" s="603"/>
      <c r="X951" s="603"/>
      <c r="Y951" s="603"/>
      <c r="Z951" s="603"/>
    </row>
    <row r="952" spans="1:26" ht="18" customHeight="1" x14ac:dyDescent="0.2">
      <c r="A952" s="603"/>
      <c r="B952" s="603"/>
      <c r="C952" s="603"/>
      <c r="D952" s="603"/>
      <c r="E952" s="603"/>
      <c r="F952" s="603"/>
      <c r="G952" s="603"/>
      <c r="H952" s="603"/>
      <c r="I952" s="603"/>
      <c r="J952" s="603"/>
      <c r="K952" s="603"/>
      <c r="L952" s="603"/>
      <c r="M952" s="603"/>
      <c r="N952" s="603"/>
      <c r="O952" s="603"/>
      <c r="P952" s="603"/>
      <c r="Q952" s="603"/>
      <c r="R952" s="603"/>
      <c r="S952" s="603"/>
      <c r="T952" s="603"/>
      <c r="U952" s="603"/>
      <c r="V952" s="603"/>
      <c r="W952" s="603"/>
      <c r="X952" s="603"/>
      <c r="Y952" s="603"/>
      <c r="Z952" s="603"/>
    </row>
    <row r="953" spans="1:26" ht="18" customHeight="1" x14ac:dyDescent="0.2">
      <c r="A953" s="603"/>
      <c r="B953" s="603"/>
      <c r="C953" s="603"/>
      <c r="D953" s="603"/>
      <c r="E953" s="603"/>
      <c r="F953" s="603"/>
      <c r="G953" s="603"/>
      <c r="H953" s="603"/>
      <c r="I953" s="603"/>
      <c r="J953" s="603"/>
      <c r="K953" s="603"/>
      <c r="L953" s="603"/>
      <c r="M953" s="603"/>
      <c r="N953" s="603"/>
      <c r="O953" s="603"/>
      <c r="P953" s="603"/>
      <c r="Q953" s="603"/>
      <c r="R953" s="603"/>
      <c r="S953" s="603"/>
      <c r="T953" s="603"/>
      <c r="U953" s="603"/>
      <c r="V953" s="603"/>
      <c r="W953" s="603"/>
      <c r="X953" s="603"/>
      <c r="Y953" s="603"/>
      <c r="Z953" s="603"/>
    </row>
    <row r="954" spans="1:26" ht="18" customHeight="1" x14ac:dyDescent="0.2">
      <c r="A954" s="603"/>
      <c r="B954" s="603"/>
      <c r="C954" s="603"/>
      <c r="D954" s="603"/>
      <c r="E954" s="603"/>
      <c r="F954" s="603"/>
      <c r="G954" s="603"/>
      <c r="H954" s="603"/>
      <c r="I954" s="603"/>
      <c r="J954" s="603"/>
      <c r="K954" s="603"/>
      <c r="L954" s="603"/>
      <c r="M954" s="603"/>
      <c r="N954" s="603"/>
      <c r="O954" s="603"/>
      <c r="P954" s="603"/>
      <c r="Q954" s="603"/>
      <c r="R954" s="603"/>
      <c r="S954" s="603"/>
      <c r="T954" s="603"/>
      <c r="U954" s="603"/>
      <c r="V954" s="603"/>
      <c r="W954" s="603"/>
      <c r="X954" s="603"/>
      <c r="Y954" s="603"/>
      <c r="Z954" s="603"/>
    </row>
    <row r="955" spans="1:26" ht="18" customHeight="1" x14ac:dyDescent="0.2">
      <c r="A955" s="603"/>
      <c r="B955" s="603"/>
      <c r="C955" s="603"/>
      <c r="D955" s="603"/>
      <c r="E955" s="603"/>
      <c r="F955" s="603"/>
      <c r="G955" s="603"/>
      <c r="H955" s="603"/>
      <c r="I955" s="603"/>
      <c r="J955" s="603"/>
      <c r="K955" s="603"/>
      <c r="L955" s="603"/>
      <c r="M955" s="603"/>
      <c r="N955" s="603"/>
      <c r="O955" s="603"/>
      <c r="P955" s="603"/>
      <c r="Q955" s="603"/>
      <c r="R955" s="603"/>
      <c r="S955" s="603"/>
      <c r="T955" s="603"/>
      <c r="U955" s="603"/>
      <c r="V955" s="603"/>
      <c r="W955" s="603"/>
      <c r="X955" s="603"/>
      <c r="Y955" s="603"/>
      <c r="Z955" s="603"/>
    </row>
    <row r="956" spans="1:26" ht="18" customHeight="1" x14ac:dyDescent="0.2">
      <c r="A956" s="603"/>
      <c r="B956" s="603"/>
      <c r="C956" s="603"/>
      <c r="D956" s="603"/>
      <c r="E956" s="603"/>
      <c r="F956" s="603"/>
      <c r="G956" s="603"/>
      <c r="H956" s="603"/>
      <c r="I956" s="603"/>
      <c r="J956" s="603"/>
      <c r="K956" s="603"/>
      <c r="L956" s="603"/>
      <c r="M956" s="603"/>
      <c r="N956" s="603"/>
      <c r="O956" s="603"/>
      <c r="P956" s="603"/>
      <c r="Q956" s="603"/>
      <c r="R956" s="603"/>
      <c r="S956" s="603"/>
      <c r="T956" s="603"/>
      <c r="U956" s="603"/>
      <c r="V956" s="603"/>
      <c r="W956" s="603"/>
      <c r="X956" s="603"/>
      <c r="Y956" s="603"/>
      <c r="Z956" s="603"/>
    </row>
    <row r="957" spans="1:26" ht="18" customHeight="1" x14ac:dyDescent="0.2">
      <c r="A957" s="603"/>
      <c r="B957" s="603"/>
      <c r="C957" s="603"/>
      <c r="D957" s="603"/>
      <c r="E957" s="603"/>
      <c r="F957" s="603"/>
      <c r="G957" s="603"/>
      <c r="H957" s="603"/>
      <c r="I957" s="603"/>
      <c r="J957" s="603"/>
      <c r="K957" s="603"/>
      <c r="L957" s="603"/>
      <c r="M957" s="603"/>
      <c r="N957" s="603"/>
      <c r="O957" s="603"/>
      <c r="P957" s="603"/>
      <c r="Q957" s="603"/>
      <c r="R957" s="603"/>
      <c r="S957" s="603"/>
      <c r="T957" s="603"/>
      <c r="U957" s="603"/>
      <c r="V957" s="603"/>
      <c r="W957" s="603"/>
      <c r="X957" s="603"/>
      <c r="Y957" s="603"/>
      <c r="Z957" s="603"/>
    </row>
    <row r="958" spans="1:26" ht="18" customHeight="1" x14ac:dyDescent="0.2">
      <c r="A958" s="603"/>
      <c r="B958" s="603"/>
      <c r="C958" s="603"/>
      <c r="D958" s="603"/>
      <c r="E958" s="603"/>
      <c r="F958" s="603"/>
      <c r="G958" s="603"/>
      <c r="H958" s="603"/>
      <c r="I958" s="603"/>
      <c r="J958" s="603"/>
      <c r="K958" s="603"/>
      <c r="L958" s="603"/>
      <c r="M958" s="603"/>
      <c r="N958" s="603"/>
      <c r="O958" s="603"/>
      <c r="P958" s="603"/>
      <c r="Q958" s="603"/>
      <c r="R958" s="603"/>
      <c r="S958" s="603"/>
      <c r="T958" s="603"/>
      <c r="U958" s="603"/>
      <c r="V958" s="603"/>
      <c r="W958" s="603"/>
      <c r="X958" s="603"/>
      <c r="Y958" s="603"/>
      <c r="Z958" s="603"/>
    </row>
    <row r="959" spans="1:26" ht="18" customHeight="1" x14ac:dyDescent="0.2">
      <c r="A959" s="603"/>
      <c r="B959" s="603"/>
      <c r="C959" s="603"/>
      <c r="D959" s="603"/>
      <c r="E959" s="603"/>
      <c r="F959" s="603"/>
      <c r="G959" s="603"/>
      <c r="H959" s="603"/>
      <c r="I959" s="603"/>
      <c r="J959" s="603"/>
      <c r="K959" s="603"/>
      <c r="L959" s="603"/>
      <c r="M959" s="603"/>
      <c r="N959" s="603"/>
      <c r="O959" s="603"/>
      <c r="P959" s="603"/>
      <c r="Q959" s="603"/>
      <c r="R959" s="603"/>
      <c r="S959" s="603"/>
      <c r="T959" s="603"/>
      <c r="U959" s="603"/>
      <c r="V959" s="603"/>
      <c r="W959" s="603"/>
      <c r="X959" s="603"/>
      <c r="Y959" s="603"/>
      <c r="Z959" s="603"/>
    </row>
    <row r="960" spans="1:26" ht="18" customHeight="1" x14ac:dyDescent="0.2">
      <c r="A960" s="603"/>
      <c r="B960" s="603"/>
      <c r="C960" s="603"/>
      <c r="D960" s="603"/>
      <c r="E960" s="603"/>
      <c r="F960" s="603"/>
      <c r="G960" s="603"/>
      <c r="H960" s="603"/>
      <c r="I960" s="603"/>
      <c r="J960" s="603"/>
      <c r="K960" s="603"/>
      <c r="L960" s="603"/>
      <c r="M960" s="603"/>
      <c r="N960" s="603"/>
      <c r="O960" s="603"/>
      <c r="P960" s="603"/>
      <c r="Q960" s="603"/>
      <c r="R960" s="603"/>
      <c r="S960" s="603"/>
      <c r="T960" s="603"/>
      <c r="U960" s="603"/>
      <c r="V960" s="603"/>
      <c r="W960" s="603"/>
      <c r="X960" s="603"/>
      <c r="Y960" s="603"/>
      <c r="Z960" s="603"/>
    </row>
    <row r="961" spans="1:26" ht="18" customHeight="1" x14ac:dyDescent="0.2">
      <c r="A961" s="603"/>
      <c r="B961" s="603"/>
      <c r="C961" s="603"/>
      <c r="D961" s="603"/>
      <c r="E961" s="603"/>
      <c r="F961" s="603"/>
      <c r="G961" s="603"/>
      <c r="H961" s="603"/>
      <c r="I961" s="603"/>
      <c r="J961" s="603"/>
      <c r="K961" s="603"/>
      <c r="L961" s="603"/>
      <c r="M961" s="603"/>
      <c r="N961" s="603"/>
      <c r="O961" s="603"/>
      <c r="P961" s="603"/>
      <c r="Q961" s="603"/>
      <c r="R961" s="603"/>
      <c r="S961" s="603"/>
      <c r="T961" s="603"/>
      <c r="U961" s="603"/>
      <c r="V961" s="603"/>
      <c r="W961" s="603"/>
      <c r="X961" s="603"/>
      <c r="Y961" s="603"/>
      <c r="Z961" s="603"/>
    </row>
    <row r="962" spans="1:26" ht="18" customHeight="1" x14ac:dyDescent="0.2">
      <c r="A962" s="603"/>
      <c r="B962" s="603"/>
      <c r="C962" s="603"/>
      <c r="D962" s="603"/>
      <c r="E962" s="603"/>
      <c r="F962" s="603"/>
      <c r="G962" s="603"/>
      <c r="H962" s="603"/>
      <c r="I962" s="603"/>
      <c r="J962" s="603"/>
      <c r="K962" s="603"/>
      <c r="L962" s="603"/>
      <c r="M962" s="603"/>
      <c r="N962" s="603"/>
      <c r="O962" s="603"/>
      <c r="P962" s="603"/>
      <c r="Q962" s="603"/>
      <c r="R962" s="603"/>
      <c r="S962" s="603"/>
      <c r="T962" s="603"/>
      <c r="U962" s="603"/>
      <c r="V962" s="603"/>
      <c r="W962" s="603"/>
      <c r="X962" s="603"/>
      <c r="Y962" s="603"/>
      <c r="Z962" s="603"/>
    </row>
    <row r="963" spans="1:26" ht="18" customHeight="1" x14ac:dyDescent="0.2">
      <c r="A963" s="603"/>
      <c r="B963" s="603"/>
      <c r="C963" s="603"/>
      <c r="D963" s="603"/>
      <c r="E963" s="603"/>
      <c r="F963" s="603"/>
      <c r="G963" s="603"/>
      <c r="H963" s="603"/>
      <c r="I963" s="603"/>
      <c r="J963" s="603"/>
      <c r="K963" s="603"/>
      <c r="L963" s="603"/>
      <c r="M963" s="603"/>
      <c r="N963" s="603"/>
      <c r="O963" s="603"/>
      <c r="P963" s="603"/>
      <c r="Q963" s="603"/>
      <c r="R963" s="603"/>
      <c r="S963" s="603"/>
      <c r="T963" s="603"/>
      <c r="U963" s="603"/>
      <c r="V963" s="603"/>
      <c r="W963" s="603"/>
      <c r="X963" s="603"/>
      <c r="Y963" s="603"/>
      <c r="Z963" s="603"/>
    </row>
    <row r="964" spans="1:26" ht="18" customHeight="1" x14ac:dyDescent="0.2">
      <c r="A964" s="603"/>
      <c r="B964" s="603"/>
      <c r="C964" s="603"/>
      <c r="D964" s="603"/>
      <c r="E964" s="603"/>
      <c r="F964" s="603"/>
      <c r="G964" s="603"/>
      <c r="H964" s="603"/>
      <c r="I964" s="603"/>
      <c r="J964" s="603"/>
      <c r="K964" s="603"/>
      <c r="L964" s="603"/>
      <c r="M964" s="603"/>
      <c r="N964" s="603"/>
      <c r="O964" s="603"/>
      <c r="P964" s="603"/>
      <c r="Q964" s="603"/>
      <c r="R964" s="603"/>
      <c r="S964" s="603"/>
      <c r="T964" s="603"/>
      <c r="U964" s="603"/>
      <c r="V964" s="603"/>
      <c r="W964" s="603"/>
      <c r="X964" s="603"/>
      <c r="Y964" s="603"/>
      <c r="Z964" s="603"/>
    </row>
    <row r="965" spans="1:26" ht="18" customHeight="1" x14ac:dyDescent="0.2">
      <c r="A965" s="603"/>
      <c r="B965" s="603"/>
      <c r="C965" s="603"/>
      <c r="D965" s="603"/>
      <c r="E965" s="603"/>
      <c r="F965" s="603"/>
      <c r="G965" s="603"/>
      <c r="H965" s="603"/>
      <c r="I965" s="603"/>
      <c r="J965" s="603"/>
      <c r="K965" s="603"/>
      <c r="L965" s="603"/>
      <c r="M965" s="603"/>
      <c r="N965" s="603"/>
      <c r="O965" s="603"/>
      <c r="P965" s="603"/>
      <c r="Q965" s="603"/>
      <c r="R965" s="603"/>
      <c r="S965" s="603"/>
      <c r="T965" s="603"/>
      <c r="U965" s="603"/>
      <c r="V965" s="603"/>
      <c r="W965" s="603"/>
      <c r="X965" s="603"/>
      <c r="Y965" s="603"/>
      <c r="Z965" s="603"/>
    </row>
    <row r="966" spans="1:26" ht="18" customHeight="1" x14ac:dyDescent="0.2">
      <c r="A966" s="603"/>
      <c r="B966" s="603"/>
      <c r="C966" s="603"/>
      <c r="D966" s="603"/>
      <c r="E966" s="603"/>
      <c r="F966" s="603"/>
      <c r="G966" s="603"/>
      <c r="H966" s="603"/>
      <c r="I966" s="603"/>
      <c r="J966" s="603"/>
      <c r="K966" s="603"/>
      <c r="L966" s="603"/>
      <c r="M966" s="603"/>
      <c r="N966" s="603"/>
      <c r="O966" s="603"/>
      <c r="P966" s="603"/>
      <c r="Q966" s="603"/>
      <c r="R966" s="603"/>
      <c r="S966" s="603"/>
      <c r="T966" s="603"/>
      <c r="U966" s="603"/>
      <c r="V966" s="603"/>
      <c r="W966" s="603"/>
      <c r="X966" s="603"/>
      <c r="Y966" s="603"/>
      <c r="Z966" s="603"/>
    </row>
    <row r="967" spans="1:26" ht="18" customHeight="1" x14ac:dyDescent="0.2">
      <c r="A967" s="603"/>
      <c r="B967" s="603"/>
      <c r="C967" s="603"/>
      <c r="D967" s="603"/>
      <c r="E967" s="603"/>
      <c r="F967" s="603"/>
      <c r="G967" s="603"/>
      <c r="H967" s="603"/>
      <c r="I967" s="603"/>
      <c r="J967" s="603"/>
      <c r="K967" s="603"/>
      <c r="L967" s="603"/>
      <c r="M967" s="603"/>
      <c r="N967" s="603"/>
      <c r="O967" s="603"/>
      <c r="P967" s="603"/>
      <c r="Q967" s="603"/>
      <c r="R967" s="603"/>
      <c r="S967" s="603"/>
      <c r="T967" s="603"/>
      <c r="U967" s="603"/>
      <c r="V967" s="603"/>
      <c r="W967" s="603"/>
      <c r="X967" s="603"/>
      <c r="Y967" s="603"/>
      <c r="Z967" s="603"/>
    </row>
    <row r="968" spans="1:26" ht="18" customHeight="1" x14ac:dyDescent="0.2">
      <c r="A968" s="603"/>
      <c r="B968" s="603"/>
      <c r="C968" s="603"/>
      <c r="D968" s="603"/>
      <c r="E968" s="603"/>
      <c r="F968" s="603"/>
      <c r="G968" s="603"/>
      <c r="H968" s="603"/>
      <c r="I968" s="603"/>
      <c r="J968" s="603"/>
      <c r="K968" s="603"/>
      <c r="L968" s="603"/>
      <c r="M968" s="603"/>
      <c r="N968" s="603"/>
      <c r="O968" s="603"/>
      <c r="P968" s="603"/>
      <c r="Q968" s="603"/>
      <c r="R968" s="603"/>
      <c r="S968" s="603"/>
      <c r="T968" s="603"/>
      <c r="U968" s="603"/>
      <c r="V968" s="603"/>
      <c r="W968" s="603"/>
      <c r="X968" s="603"/>
      <c r="Y968" s="603"/>
      <c r="Z968" s="603"/>
    </row>
    <row r="969" spans="1:26" ht="18" customHeight="1" x14ac:dyDescent="0.2">
      <c r="A969" s="603"/>
      <c r="B969" s="603"/>
      <c r="C969" s="603"/>
      <c r="D969" s="603"/>
      <c r="E969" s="603"/>
      <c r="F969" s="603"/>
      <c r="G969" s="603"/>
      <c r="H969" s="603"/>
      <c r="I969" s="603"/>
      <c r="J969" s="603"/>
      <c r="K969" s="603"/>
      <c r="L969" s="603"/>
      <c r="M969" s="603"/>
      <c r="N969" s="603"/>
      <c r="O969" s="603"/>
      <c r="P969" s="603"/>
      <c r="Q969" s="603"/>
      <c r="R969" s="603"/>
      <c r="S969" s="603"/>
      <c r="T969" s="603"/>
      <c r="U969" s="603"/>
      <c r="V969" s="603"/>
      <c r="W969" s="603"/>
      <c r="X969" s="603"/>
      <c r="Y969" s="603"/>
      <c r="Z969" s="603"/>
    </row>
    <row r="970" spans="1:26" ht="18" customHeight="1" x14ac:dyDescent="0.2">
      <c r="A970" s="603"/>
      <c r="B970" s="603"/>
      <c r="C970" s="603"/>
      <c r="D970" s="603"/>
      <c r="E970" s="603"/>
      <c r="F970" s="603"/>
      <c r="G970" s="603"/>
      <c r="H970" s="603"/>
      <c r="I970" s="603"/>
      <c r="J970" s="603"/>
      <c r="K970" s="603"/>
      <c r="L970" s="603"/>
      <c r="M970" s="603"/>
      <c r="N970" s="603"/>
      <c r="O970" s="603"/>
      <c r="P970" s="603"/>
      <c r="Q970" s="603"/>
      <c r="R970" s="603"/>
      <c r="S970" s="603"/>
      <c r="T970" s="603"/>
      <c r="U970" s="603"/>
      <c r="V970" s="603"/>
      <c r="W970" s="603"/>
      <c r="X970" s="603"/>
      <c r="Y970" s="603"/>
      <c r="Z970" s="603"/>
    </row>
    <row r="971" spans="1:26" ht="18" customHeight="1" x14ac:dyDescent="0.2">
      <c r="A971" s="603"/>
      <c r="B971" s="603"/>
      <c r="C971" s="603"/>
      <c r="D971" s="603"/>
      <c r="E971" s="603"/>
      <c r="F971" s="603"/>
      <c r="G971" s="603"/>
      <c r="H971" s="603"/>
      <c r="I971" s="603"/>
      <c r="J971" s="603"/>
      <c r="K971" s="603"/>
      <c r="L971" s="603"/>
      <c r="M971" s="603"/>
      <c r="N971" s="603"/>
      <c r="O971" s="603"/>
      <c r="P971" s="603"/>
      <c r="Q971" s="603"/>
      <c r="R971" s="603"/>
      <c r="S971" s="603"/>
      <c r="T971" s="603"/>
      <c r="U971" s="603"/>
      <c r="V971" s="603"/>
      <c r="W971" s="603"/>
      <c r="X971" s="603"/>
      <c r="Y971" s="603"/>
      <c r="Z971" s="603"/>
    </row>
    <row r="972" spans="1:26" ht="18" customHeight="1" x14ac:dyDescent="0.2">
      <c r="A972" s="603"/>
      <c r="B972" s="603"/>
      <c r="C972" s="603"/>
      <c r="D972" s="603"/>
      <c r="E972" s="603"/>
      <c r="F972" s="603"/>
      <c r="G972" s="603"/>
      <c r="H972" s="603"/>
      <c r="I972" s="603"/>
      <c r="J972" s="603"/>
      <c r="K972" s="603"/>
      <c r="L972" s="603"/>
      <c r="M972" s="603"/>
      <c r="N972" s="603"/>
      <c r="O972" s="603"/>
      <c r="P972" s="603"/>
      <c r="Q972" s="603"/>
      <c r="R972" s="603"/>
      <c r="S972" s="603"/>
      <c r="T972" s="603"/>
      <c r="U972" s="603"/>
      <c r="V972" s="603"/>
      <c r="W972" s="603"/>
      <c r="X972" s="603"/>
      <c r="Y972" s="603"/>
      <c r="Z972" s="603"/>
    </row>
    <row r="973" spans="1:26" ht="18" customHeight="1" x14ac:dyDescent="0.2">
      <c r="A973" s="603"/>
      <c r="B973" s="603"/>
      <c r="C973" s="603"/>
      <c r="D973" s="603"/>
      <c r="E973" s="603"/>
      <c r="F973" s="603"/>
      <c r="G973" s="603"/>
      <c r="H973" s="603"/>
      <c r="I973" s="603"/>
      <c r="J973" s="603"/>
      <c r="K973" s="603"/>
      <c r="L973" s="603"/>
      <c r="M973" s="603"/>
      <c r="N973" s="603"/>
      <c r="O973" s="603"/>
      <c r="P973" s="603"/>
      <c r="Q973" s="603"/>
      <c r="R973" s="603"/>
      <c r="S973" s="603"/>
      <c r="T973" s="603"/>
      <c r="U973" s="603"/>
      <c r="V973" s="603"/>
      <c r="W973" s="603"/>
      <c r="X973" s="603"/>
      <c r="Y973" s="603"/>
      <c r="Z973" s="603"/>
    </row>
    <row r="974" spans="1:26" ht="18" customHeight="1" x14ac:dyDescent="0.2">
      <c r="A974" s="603"/>
      <c r="B974" s="603"/>
      <c r="C974" s="603"/>
      <c r="D974" s="603"/>
      <c r="E974" s="603"/>
      <c r="F974" s="603"/>
      <c r="G974" s="603"/>
      <c r="H974" s="603"/>
      <c r="I974" s="603"/>
      <c r="J974" s="603"/>
      <c r="K974" s="603"/>
      <c r="L974" s="603"/>
      <c r="M974" s="603"/>
      <c r="N974" s="603"/>
      <c r="O974" s="603"/>
      <c r="P974" s="603"/>
      <c r="Q974" s="603"/>
      <c r="R974" s="603"/>
      <c r="S974" s="603"/>
      <c r="T974" s="603"/>
      <c r="U974" s="603"/>
      <c r="V974" s="603"/>
      <c r="W974" s="603"/>
      <c r="X974" s="603"/>
      <c r="Y974" s="603"/>
      <c r="Z974" s="603"/>
    </row>
    <row r="975" spans="1:26" ht="18" customHeight="1" x14ac:dyDescent="0.2">
      <c r="A975" s="603"/>
      <c r="B975" s="603"/>
      <c r="C975" s="603"/>
      <c r="D975" s="603"/>
      <c r="E975" s="603"/>
      <c r="F975" s="603"/>
      <c r="G975" s="603"/>
      <c r="H975" s="603"/>
      <c r="I975" s="603"/>
      <c r="J975" s="603"/>
      <c r="K975" s="603"/>
      <c r="L975" s="603"/>
      <c r="M975" s="603"/>
      <c r="N975" s="603"/>
      <c r="O975" s="603"/>
      <c r="P975" s="603"/>
      <c r="Q975" s="603"/>
      <c r="R975" s="603"/>
      <c r="S975" s="603"/>
      <c r="T975" s="603"/>
      <c r="U975" s="603"/>
      <c r="V975" s="603"/>
      <c r="W975" s="603"/>
      <c r="X975" s="603"/>
      <c r="Y975" s="603"/>
      <c r="Z975" s="603"/>
    </row>
    <row r="976" spans="1:26" ht="18" customHeight="1" x14ac:dyDescent="0.2">
      <c r="A976" s="603"/>
      <c r="B976" s="603"/>
      <c r="C976" s="603"/>
      <c r="D976" s="603"/>
      <c r="E976" s="603"/>
      <c r="F976" s="603"/>
      <c r="G976" s="603"/>
      <c r="H976" s="603"/>
      <c r="I976" s="603"/>
      <c r="J976" s="603"/>
      <c r="K976" s="603"/>
      <c r="L976" s="603"/>
      <c r="M976" s="603"/>
      <c r="N976" s="603"/>
      <c r="O976" s="603"/>
      <c r="P976" s="603"/>
      <c r="Q976" s="603"/>
      <c r="R976" s="603"/>
      <c r="S976" s="603"/>
      <c r="T976" s="603"/>
      <c r="U976" s="603"/>
      <c r="V976" s="603"/>
      <c r="W976" s="603"/>
      <c r="X976" s="603"/>
      <c r="Y976" s="603"/>
      <c r="Z976" s="603"/>
    </row>
    <row r="977" spans="1:26" ht="18" customHeight="1" x14ac:dyDescent="0.2">
      <c r="A977" s="603"/>
      <c r="B977" s="603"/>
      <c r="C977" s="603"/>
      <c r="D977" s="603"/>
      <c r="E977" s="603"/>
      <c r="F977" s="603"/>
      <c r="G977" s="603"/>
      <c r="H977" s="603"/>
      <c r="I977" s="603"/>
      <c r="J977" s="603"/>
      <c r="K977" s="603"/>
      <c r="L977" s="603"/>
      <c r="M977" s="603"/>
      <c r="N977" s="603"/>
      <c r="O977" s="603"/>
      <c r="P977" s="603"/>
      <c r="Q977" s="603"/>
      <c r="R977" s="603"/>
      <c r="S977" s="603"/>
      <c r="T977" s="603"/>
      <c r="U977" s="603"/>
      <c r="V977" s="603"/>
      <c r="W977" s="603"/>
      <c r="X977" s="603"/>
      <c r="Y977" s="603"/>
      <c r="Z977" s="603"/>
    </row>
    <row r="978" spans="1:26" ht="18" customHeight="1" x14ac:dyDescent="0.2">
      <c r="A978" s="603"/>
      <c r="B978" s="603"/>
      <c r="C978" s="603"/>
      <c r="D978" s="603"/>
      <c r="E978" s="603"/>
      <c r="F978" s="603"/>
      <c r="G978" s="603"/>
      <c r="H978" s="603"/>
      <c r="I978" s="603"/>
      <c r="J978" s="603"/>
      <c r="K978" s="603"/>
      <c r="L978" s="603"/>
      <c r="M978" s="603"/>
      <c r="N978" s="603"/>
      <c r="O978" s="603"/>
      <c r="P978" s="603"/>
      <c r="Q978" s="603"/>
      <c r="R978" s="603"/>
      <c r="S978" s="603"/>
      <c r="T978" s="603"/>
      <c r="U978" s="603"/>
      <c r="V978" s="603"/>
      <c r="W978" s="603"/>
      <c r="X978" s="603"/>
      <c r="Y978" s="603"/>
      <c r="Z978" s="603"/>
    </row>
    <row r="979" spans="1:26" ht="18" customHeight="1" x14ac:dyDescent="0.2">
      <c r="A979" s="603"/>
      <c r="B979" s="603"/>
      <c r="C979" s="603"/>
      <c r="D979" s="603"/>
      <c r="E979" s="603"/>
      <c r="F979" s="603"/>
      <c r="G979" s="603"/>
      <c r="H979" s="603"/>
      <c r="I979" s="603"/>
      <c r="J979" s="603"/>
      <c r="K979" s="603"/>
      <c r="L979" s="603"/>
      <c r="M979" s="603"/>
      <c r="N979" s="603"/>
      <c r="O979" s="603"/>
      <c r="P979" s="603"/>
      <c r="Q979" s="603"/>
      <c r="R979" s="603"/>
      <c r="S979" s="603"/>
      <c r="T979" s="603"/>
      <c r="U979" s="603"/>
      <c r="V979" s="603"/>
      <c r="W979" s="603"/>
      <c r="X979" s="603"/>
      <c r="Y979" s="603"/>
      <c r="Z979" s="603"/>
    </row>
    <row r="980" spans="1:26" ht="18" customHeight="1" x14ac:dyDescent="0.2">
      <c r="A980" s="603"/>
      <c r="B980" s="603"/>
      <c r="C980" s="603"/>
      <c r="D980" s="603"/>
      <c r="E980" s="603"/>
      <c r="F980" s="603"/>
      <c r="G980" s="603"/>
      <c r="H980" s="603"/>
      <c r="I980" s="603"/>
      <c r="J980" s="603"/>
      <c r="K980" s="603"/>
      <c r="L980" s="603"/>
      <c r="M980" s="603"/>
      <c r="N980" s="603"/>
      <c r="O980" s="603"/>
      <c r="P980" s="603"/>
      <c r="Q980" s="603"/>
      <c r="R980" s="603"/>
      <c r="S980" s="603"/>
      <c r="T980" s="603"/>
      <c r="U980" s="603"/>
      <c r="V980" s="603"/>
      <c r="W980" s="603"/>
      <c r="X980" s="603"/>
      <c r="Y980" s="603"/>
      <c r="Z980" s="603"/>
    </row>
    <row r="981" spans="1:26" ht="18" customHeight="1" x14ac:dyDescent="0.2">
      <c r="A981" s="603"/>
      <c r="B981" s="603"/>
      <c r="C981" s="603"/>
      <c r="D981" s="603"/>
      <c r="E981" s="603"/>
      <c r="F981" s="603"/>
      <c r="G981" s="603"/>
      <c r="H981" s="603"/>
      <c r="I981" s="603"/>
      <c r="J981" s="603"/>
      <c r="K981" s="603"/>
      <c r="L981" s="603"/>
      <c r="M981" s="603"/>
      <c r="N981" s="603"/>
      <c r="O981" s="603"/>
      <c r="P981" s="603"/>
      <c r="Q981" s="603"/>
      <c r="R981" s="603"/>
      <c r="S981" s="603"/>
      <c r="T981" s="603"/>
      <c r="U981" s="603"/>
      <c r="V981" s="603"/>
      <c r="W981" s="603"/>
      <c r="X981" s="603"/>
      <c r="Y981" s="603"/>
      <c r="Z981" s="603"/>
    </row>
    <row r="982" spans="1:26" ht="18" customHeight="1" x14ac:dyDescent="0.2">
      <c r="A982" s="603"/>
      <c r="B982" s="603"/>
      <c r="C982" s="603"/>
      <c r="D982" s="603"/>
      <c r="E982" s="603"/>
      <c r="F982" s="603"/>
      <c r="G982" s="603"/>
      <c r="H982" s="603"/>
      <c r="I982" s="603"/>
      <c r="J982" s="603"/>
      <c r="K982" s="603"/>
      <c r="L982" s="603"/>
      <c r="M982" s="603"/>
      <c r="N982" s="603"/>
      <c r="O982" s="603"/>
      <c r="P982" s="603"/>
      <c r="Q982" s="603"/>
      <c r="R982" s="603"/>
      <c r="S982" s="603"/>
      <c r="T982" s="603"/>
      <c r="U982" s="603"/>
      <c r="V982" s="603"/>
      <c r="W982" s="603"/>
      <c r="X982" s="603"/>
      <c r="Y982" s="603"/>
      <c r="Z982" s="603"/>
    </row>
    <row r="983" spans="1:26" ht="18" customHeight="1" x14ac:dyDescent="0.2">
      <c r="A983" s="603"/>
      <c r="B983" s="603"/>
      <c r="C983" s="603"/>
      <c r="D983" s="603"/>
      <c r="E983" s="603"/>
      <c r="F983" s="603"/>
      <c r="G983" s="603"/>
      <c r="H983" s="603"/>
      <c r="I983" s="603"/>
      <c r="J983" s="603"/>
      <c r="K983" s="603"/>
      <c r="L983" s="603"/>
      <c r="M983" s="603"/>
      <c r="N983" s="603"/>
      <c r="O983" s="603"/>
      <c r="P983" s="603"/>
      <c r="Q983" s="603"/>
      <c r="R983" s="603"/>
      <c r="S983" s="603"/>
      <c r="T983" s="603"/>
      <c r="U983" s="603"/>
      <c r="V983" s="603"/>
      <c r="W983" s="603"/>
      <c r="X983" s="603"/>
      <c r="Y983" s="603"/>
      <c r="Z983" s="603"/>
    </row>
    <row r="984" spans="1:26" ht="18" customHeight="1" x14ac:dyDescent="0.2">
      <c r="A984" s="603"/>
      <c r="B984" s="603"/>
      <c r="C984" s="603"/>
      <c r="D984" s="603"/>
      <c r="E984" s="603"/>
      <c r="F984" s="603"/>
      <c r="G984" s="603"/>
      <c r="H984" s="603"/>
      <c r="I984" s="603"/>
      <c r="J984" s="603"/>
      <c r="K984" s="603"/>
      <c r="L984" s="603"/>
      <c r="M984" s="603"/>
      <c r="N984" s="603"/>
      <c r="O984" s="603"/>
      <c r="P984" s="603"/>
      <c r="Q984" s="603"/>
      <c r="R984" s="603"/>
      <c r="S984" s="603"/>
      <c r="T984" s="603"/>
      <c r="U984" s="603"/>
      <c r="V984" s="603"/>
      <c r="W984" s="603"/>
      <c r="X984" s="603"/>
      <c r="Y984" s="603"/>
      <c r="Z984" s="603"/>
    </row>
    <row r="985" spans="1:26" ht="18" customHeight="1" x14ac:dyDescent="0.2">
      <c r="A985" s="603"/>
      <c r="B985" s="603"/>
      <c r="C985" s="603"/>
      <c r="D985" s="603"/>
      <c r="E985" s="603"/>
      <c r="F985" s="603"/>
      <c r="G985" s="603"/>
      <c r="H985" s="603"/>
      <c r="I985" s="603"/>
      <c r="J985" s="603"/>
      <c r="K985" s="603"/>
      <c r="L985" s="603"/>
      <c r="M985" s="603"/>
      <c r="N985" s="603"/>
      <c r="O985" s="603"/>
      <c r="P985" s="603"/>
      <c r="Q985" s="603"/>
      <c r="R985" s="603"/>
      <c r="S985" s="603"/>
      <c r="T985" s="603"/>
      <c r="U985" s="603"/>
      <c r="V985" s="603"/>
      <c r="W985" s="603"/>
      <c r="X985" s="603"/>
      <c r="Y985" s="603"/>
      <c r="Z985" s="603"/>
    </row>
    <row r="986" spans="1:26" ht="18" customHeight="1" x14ac:dyDescent="0.2">
      <c r="A986" s="603"/>
      <c r="B986" s="603"/>
      <c r="C986" s="603"/>
      <c r="D986" s="603"/>
      <c r="E986" s="603"/>
      <c r="F986" s="603"/>
      <c r="G986" s="603"/>
      <c r="H986" s="603"/>
      <c r="I986" s="603"/>
      <c r="J986" s="603"/>
      <c r="K986" s="603"/>
      <c r="L986" s="603"/>
      <c r="M986" s="603"/>
      <c r="N986" s="603"/>
      <c r="O986" s="603"/>
      <c r="P986" s="603"/>
      <c r="Q986" s="603"/>
      <c r="R986" s="603"/>
      <c r="S986" s="603"/>
      <c r="T986" s="603"/>
      <c r="U986" s="603"/>
      <c r="V986" s="603"/>
      <c r="W986" s="603"/>
      <c r="X986" s="603"/>
      <c r="Y986" s="603"/>
      <c r="Z986" s="603"/>
    </row>
    <row r="987" spans="1:26" ht="18" customHeight="1" x14ac:dyDescent="0.2">
      <c r="A987" s="603"/>
      <c r="B987" s="603"/>
      <c r="C987" s="603"/>
      <c r="D987" s="603"/>
      <c r="E987" s="603"/>
      <c r="F987" s="603"/>
      <c r="G987" s="603"/>
      <c r="H987" s="603"/>
      <c r="I987" s="603"/>
      <c r="J987" s="603"/>
      <c r="K987" s="603"/>
      <c r="L987" s="603"/>
      <c r="M987" s="603"/>
      <c r="N987" s="603"/>
      <c r="O987" s="603"/>
      <c r="P987" s="603"/>
      <c r="Q987" s="603"/>
      <c r="R987" s="603"/>
      <c r="S987" s="603"/>
      <c r="T987" s="603"/>
      <c r="U987" s="603"/>
      <c r="V987" s="603"/>
      <c r="W987" s="603"/>
      <c r="X987" s="603"/>
      <c r="Y987" s="603"/>
      <c r="Z987" s="603"/>
    </row>
    <row r="988" spans="1:26" ht="18" customHeight="1" x14ac:dyDescent="0.2">
      <c r="A988" s="603"/>
      <c r="B988" s="603"/>
      <c r="C988" s="603"/>
      <c r="D988" s="603"/>
      <c r="E988" s="603"/>
      <c r="F988" s="603"/>
      <c r="G988" s="603"/>
      <c r="H988" s="603"/>
      <c r="I988" s="603"/>
      <c r="J988" s="603"/>
      <c r="K988" s="603"/>
      <c r="L988" s="603"/>
      <c r="M988" s="603"/>
      <c r="N988" s="603"/>
      <c r="O988" s="603"/>
      <c r="P988" s="603"/>
      <c r="Q988" s="603"/>
      <c r="R988" s="603"/>
      <c r="S988" s="603"/>
      <c r="T988" s="603"/>
      <c r="U988" s="603"/>
      <c r="V988" s="603"/>
      <c r="W988" s="603"/>
      <c r="X988" s="603"/>
      <c r="Y988" s="603"/>
      <c r="Z988" s="603"/>
    </row>
    <row r="989" spans="1:26" ht="18" customHeight="1" x14ac:dyDescent="0.2">
      <c r="A989" s="603"/>
      <c r="B989" s="603"/>
      <c r="C989" s="603"/>
      <c r="D989" s="603"/>
      <c r="E989" s="603"/>
      <c r="F989" s="603"/>
      <c r="G989" s="603"/>
      <c r="H989" s="603"/>
      <c r="I989" s="603"/>
      <c r="J989" s="603"/>
      <c r="K989" s="603"/>
      <c r="L989" s="603"/>
      <c r="M989" s="603"/>
      <c r="N989" s="603"/>
      <c r="O989" s="603"/>
      <c r="P989" s="603"/>
      <c r="Q989" s="603"/>
      <c r="R989" s="603"/>
      <c r="S989" s="603"/>
      <c r="T989" s="603"/>
      <c r="U989" s="603"/>
      <c r="V989" s="603"/>
      <c r="W989" s="603"/>
      <c r="X989" s="603"/>
      <c r="Y989" s="603"/>
      <c r="Z989" s="603"/>
    </row>
    <row r="990" spans="1:26" ht="18" customHeight="1" x14ac:dyDescent="0.2">
      <c r="A990" s="603"/>
      <c r="B990" s="603"/>
      <c r="C990" s="603"/>
      <c r="D990" s="603"/>
      <c r="E990" s="603"/>
      <c r="F990" s="603"/>
      <c r="G990" s="603"/>
      <c r="H990" s="603"/>
      <c r="I990" s="603"/>
      <c r="J990" s="603"/>
      <c r="K990" s="603"/>
      <c r="L990" s="603"/>
      <c r="M990" s="603"/>
      <c r="N990" s="603"/>
      <c r="O990" s="603"/>
      <c r="P990" s="603"/>
      <c r="Q990" s="603"/>
      <c r="R990" s="603"/>
      <c r="S990" s="603"/>
      <c r="T990" s="603"/>
      <c r="U990" s="603"/>
      <c r="V990" s="603"/>
      <c r="W990" s="603"/>
      <c r="X990" s="603"/>
      <c r="Y990" s="603"/>
      <c r="Z990" s="603"/>
    </row>
    <row r="991" spans="1:26" ht="18" customHeight="1" x14ac:dyDescent="0.2">
      <c r="A991" s="603"/>
      <c r="B991" s="603"/>
      <c r="C991" s="603"/>
      <c r="D991" s="603"/>
      <c r="E991" s="603"/>
      <c r="F991" s="603"/>
      <c r="G991" s="603"/>
      <c r="H991" s="603"/>
      <c r="I991" s="603"/>
      <c r="J991" s="603"/>
      <c r="K991" s="603"/>
      <c r="L991" s="603"/>
      <c r="M991" s="603"/>
      <c r="N991" s="603"/>
      <c r="O991" s="603"/>
      <c r="P991" s="603"/>
      <c r="Q991" s="603"/>
      <c r="R991" s="603"/>
      <c r="S991" s="603"/>
      <c r="T991" s="603"/>
      <c r="U991" s="603"/>
      <c r="V991" s="603"/>
      <c r="W991" s="603"/>
      <c r="X991" s="603"/>
      <c r="Y991" s="603"/>
      <c r="Z991" s="603"/>
    </row>
    <row r="992" spans="1:26" ht="18" customHeight="1" x14ac:dyDescent="0.2">
      <c r="A992" s="603"/>
      <c r="B992" s="603"/>
      <c r="C992" s="603"/>
      <c r="D992" s="603"/>
      <c r="E992" s="603"/>
      <c r="F992" s="603"/>
      <c r="G992" s="603"/>
      <c r="H992" s="603"/>
      <c r="I992" s="603"/>
      <c r="J992" s="603"/>
      <c r="K992" s="603"/>
      <c r="L992" s="603"/>
      <c r="M992" s="603"/>
      <c r="N992" s="603"/>
      <c r="O992" s="603"/>
      <c r="P992" s="603"/>
      <c r="Q992" s="603"/>
      <c r="R992" s="603"/>
      <c r="S992" s="603"/>
      <c r="T992" s="603"/>
      <c r="U992" s="603"/>
      <c r="V992" s="603"/>
      <c r="W992" s="603"/>
      <c r="X992" s="603"/>
      <c r="Y992" s="603"/>
      <c r="Z992" s="603"/>
    </row>
    <row r="993" spans="1:26" ht="18" customHeight="1" x14ac:dyDescent="0.2">
      <c r="A993" s="603"/>
      <c r="B993" s="603"/>
      <c r="C993" s="603"/>
      <c r="D993" s="603"/>
      <c r="E993" s="603"/>
      <c r="F993" s="603"/>
      <c r="G993" s="603"/>
      <c r="H993" s="603"/>
      <c r="I993" s="603"/>
      <c r="J993" s="603"/>
      <c r="K993" s="603"/>
      <c r="L993" s="603"/>
      <c r="M993" s="603"/>
      <c r="N993" s="603"/>
      <c r="O993" s="603"/>
      <c r="P993" s="603"/>
      <c r="Q993" s="603"/>
      <c r="R993" s="603"/>
      <c r="S993" s="603"/>
      <c r="T993" s="603"/>
      <c r="U993" s="603"/>
      <c r="V993" s="603"/>
      <c r="W993" s="603"/>
      <c r="X993" s="603"/>
      <c r="Y993" s="603"/>
      <c r="Z993" s="603"/>
    </row>
    <row r="994" spans="1:26" ht="18" customHeight="1" x14ac:dyDescent="0.2">
      <c r="A994" s="603"/>
      <c r="B994" s="603"/>
      <c r="C994" s="603"/>
      <c r="D994" s="603"/>
      <c r="E994" s="603"/>
      <c r="F994" s="603"/>
      <c r="G994" s="603"/>
      <c r="H994" s="603"/>
      <c r="I994" s="603"/>
      <c r="J994" s="603"/>
      <c r="K994" s="603"/>
      <c r="L994" s="603"/>
      <c r="M994" s="603"/>
      <c r="N994" s="603"/>
      <c r="O994" s="603"/>
      <c r="P994" s="603"/>
      <c r="Q994" s="603"/>
      <c r="R994" s="603"/>
      <c r="S994" s="603"/>
      <c r="T994" s="603"/>
      <c r="U994" s="603"/>
      <c r="V994" s="603"/>
      <c r="W994" s="603"/>
      <c r="X994" s="603"/>
      <c r="Y994" s="603"/>
      <c r="Z994" s="603"/>
    </row>
    <row r="995" spans="1:26" ht="18" customHeight="1" x14ac:dyDescent="0.2">
      <c r="A995" s="603"/>
      <c r="B995" s="603"/>
      <c r="C995" s="603"/>
      <c r="D995" s="603"/>
      <c r="E995" s="603"/>
      <c r="F995" s="603"/>
      <c r="G995" s="603"/>
      <c r="H995" s="603"/>
      <c r="I995" s="603"/>
      <c r="J995" s="603"/>
      <c r="K995" s="603"/>
      <c r="L995" s="603"/>
      <c r="M995" s="603"/>
      <c r="N995" s="603"/>
      <c r="O995" s="603"/>
      <c r="P995" s="603"/>
      <c r="Q995" s="603"/>
      <c r="R995" s="603"/>
      <c r="S995" s="603"/>
      <c r="T995" s="603"/>
      <c r="U995" s="603"/>
      <c r="V995" s="603"/>
      <c r="W995" s="603"/>
      <c r="X995" s="603"/>
      <c r="Y995" s="603"/>
      <c r="Z995" s="603"/>
    </row>
    <row r="996" spans="1:26" ht="18" customHeight="1" x14ac:dyDescent="0.2">
      <c r="A996" s="603"/>
      <c r="B996" s="603"/>
      <c r="C996" s="603"/>
      <c r="D996" s="603"/>
      <c r="E996" s="603"/>
      <c r="F996" s="603"/>
      <c r="G996" s="603"/>
      <c r="H996" s="603"/>
      <c r="I996" s="603"/>
      <c r="J996" s="603"/>
      <c r="K996" s="603"/>
      <c r="L996" s="603"/>
      <c r="M996" s="603"/>
      <c r="N996" s="603"/>
      <c r="O996" s="603"/>
      <c r="P996" s="603"/>
      <c r="Q996" s="603"/>
      <c r="R996" s="603"/>
      <c r="S996" s="603"/>
      <c r="T996" s="603"/>
      <c r="U996" s="603"/>
      <c r="V996" s="603"/>
      <c r="W996" s="603"/>
      <c r="X996" s="603"/>
      <c r="Y996" s="603"/>
      <c r="Z996" s="603"/>
    </row>
    <row r="997" spans="1:26" ht="18" customHeight="1" x14ac:dyDescent="0.2">
      <c r="A997" s="603"/>
      <c r="B997" s="603"/>
      <c r="C997" s="603"/>
      <c r="D997" s="603"/>
      <c r="E997" s="603"/>
      <c r="F997" s="603"/>
      <c r="G997" s="603"/>
      <c r="H997" s="603"/>
      <c r="I997" s="603"/>
      <c r="J997" s="603"/>
      <c r="K997" s="603"/>
      <c r="L997" s="603"/>
      <c r="M997" s="603"/>
      <c r="N997" s="603"/>
      <c r="O997" s="603"/>
      <c r="P997" s="603"/>
      <c r="Q997" s="603"/>
      <c r="R997" s="603"/>
      <c r="S997" s="603"/>
      <c r="T997" s="603"/>
      <c r="U997" s="603"/>
      <c r="V997" s="603"/>
      <c r="W997" s="603"/>
      <c r="X997" s="603"/>
      <c r="Y997" s="603"/>
      <c r="Z997" s="603"/>
    </row>
    <row r="998" spans="1:26" ht="18" customHeight="1" x14ac:dyDescent="0.2">
      <c r="A998" s="603"/>
      <c r="B998" s="603"/>
      <c r="C998" s="603"/>
      <c r="D998" s="603"/>
      <c r="E998" s="603"/>
      <c r="F998" s="603"/>
      <c r="G998" s="603"/>
      <c r="H998" s="603"/>
      <c r="I998" s="603"/>
      <c r="J998" s="603"/>
      <c r="K998" s="603"/>
      <c r="L998" s="603"/>
      <c r="M998" s="603"/>
      <c r="N998" s="603"/>
      <c r="O998" s="603"/>
      <c r="P998" s="603"/>
      <c r="Q998" s="603"/>
      <c r="R998" s="603"/>
      <c r="S998" s="603"/>
      <c r="T998" s="603"/>
      <c r="U998" s="603"/>
      <c r="V998" s="603"/>
      <c r="W998" s="603"/>
      <c r="X998" s="603"/>
      <c r="Y998" s="603"/>
      <c r="Z998" s="603"/>
    </row>
    <row r="999" spans="1:26" ht="18" customHeight="1" x14ac:dyDescent="0.2">
      <c r="A999" s="603"/>
      <c r="B999" s="603"/>
      <c r="C999" s="603"/>
      <c r="D999" s="603"/>
      <c r="E999" s="603"/>
      <c r="F999" s="603"/>
      <c r="G999" s="603"/>
      <c r="H999" s="603"/>
      <c r="I999" s="603"/>
      <c r="J999" s="603"/>
      <c r="K999" s="603"/>
      <c r="L999" s="603"/>
      <c r="M999" s="603"/>
      <c r="N999" s="603"/>
      <c r="O999" s="603"/>
      <c r="P999" s="603"/>
      <c r="Q999" s="603"/>
      <c r="R999" s="603"/>
      <c r="S999" s="603"/>
      <c r="T999" s="603"/>
      <c r="U999" s="603"/>
      <c r="V999" s="603"/>
      <c r="W999" s="603"/>
      <c r="X999" s="603"/>
      <c r="Y999" s="603"/>
      <c r="Z999" s="603"/>
    </row>
    <row r="1000" spans="1:26" ht="18" customHeight="1" x14ac:dyDescent="0.2">
      <c r="A1000" s="603"/>
      <c r="B1000" s="603"/>
      <c r="C1000" s="603"/>
      <c r="D1000" s="603"/>
      <c r="E1000" s="603"/>
      <c r="F1000" s="603"/>
      <c r="G1000" s="603"/>
      <c r="H1000" s="603"/>
      <c r="I1000" s="603"/>
      <c r="J1000" s="603"/>
      <c r="K1000" s="603"/>
      <c r="L1000" s="603"/>
      <c r="M1000" s="603"/>
      <c r="N1000" s="603"/>
      <c r="O1000" s="603"/>
      <c r="P1000" s="603"/>
      <c r="Q1000" s="603"/>
      <c r="R1000" s="603"/>
      <c r="S1000" s="603"/>
      <c r="T1000" s="603"/>
      <c r="U1000" s="603"/>
      <c r="V1000" s="603"/>
      <c r="W1000" s="603"/>
      <c r="X1000" s="603"/>
      <c r="Y1000" s="603"/>
      <c r="Z1000" s="603"/>
    </row>
  </sheetData>
  <mergeCells count="6">
    <mergeCell ref="A1:C2"/>
    <mergeCell ref="D1:V2"/>
    <mergeCell ref="A3:G3"/>
    <mergeCell ref="H3:K3"/>
    <mergeCell ref="L3:P3"/>
    <mergeCell ref="Q3:V3"/>
  </mergeCells>
  <pageMargins left="0.7" right="0.7" top="0.75" bottom="0.75" header="0" footer="0"/>
  <pageSetup orientation="landscape"/>
  <drawing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E7"/>
  <sheetViews>
    <sheetView showGridLines="0" topLeftCell="C7" zoomScale="145" zoomScaleNormal="145" zoomScaleSheetLayoutView="115" zoomScalePageLayoutView="90" workbookViewId="0">
      <selection activeCell="C7" sqref="C7"/>
    </sheetView>
  </sheetViews>
  <sheetFormatPr baseColWidth="10" defaultRowHeight="15" x14ac:dyDescent="0.25"/>
  <cols>
    <col min="1" max="1" width="13.625" style="151" customWidth="1"/>
    <col min="2" max="2" width="37.125" style="151" customWidth="1"/>
    <col min="3" max="3" width="76.125" style="151" customWidth="1"/>
    <col min="4" max="4" width="14.25" style="151" customWidth="1"/>
    <col min="5" max="5" width="33.25" style="151" customWidth="1"/>
    <col min="6" max="16384" width="11" style="151"/>
  </cols>
  <sheetData>
    <row r="1" spans="1:5" x14ac:dyDescent="0.25">
      <c r="A1" s="1096"/>
      <c r="B1" s="1521" t="s">
        <v>837</v>
      </c>
      <c r="C1" s="1097"/>
      <c r="D1" s="1097"/>
      <c r="E1" s="1098" t="s">
        <v>29</v>
      </c>
    </row>
    <row r="2" spans="1:5" x14ac:dyDescent="0.25">
      <c r="A2" s="1096"/>
      <c r="B2" s="1097"/>
      <c r="C2" s="1097"/>
      <c r="D2" s="1097"/>
      <c r="E2" s="1098"/>
    </row>
    <row r="3" spans="1:5" x14ac:dyDescent="0.25">
      <c r="A3" s="1096"/>
      <c r="B3" s="1097"/>
      <c r="C3" s="1097"/>
      <c r="D3" s="1097"/>
      <c r="E3" s="1099" t="s">
        <v>2</v>
      </c>
    </row>
    <row r="4" spans="1:5" ht="15.75" thickBot="1" x14ac:dyDescent="0.3">
      <c r="A4" s="1096"/>
      <c r="B4" s="1097"/>
      <c r="C4" s="1097"/>
      <c r="D4" s="1097"/>
      <c r="E4" s="1099"/>
    </row>
    <row r="5" spans="1:5" ht="15.75" thickBot="1" x14ac:dyDescent="0.3">
      <c r="A5" s="1100" t="s">
        <v>30</v>
      </c>
      <c r="B5" s="1101"/>
      <c r="C5" s="1101"/>
      <c r="D5" s="1101"/>
      <c r="E5" s="1102"/>
    </row>
    <row r="6" spans="1:5" ht="15" customHeight="1" x14ac:dyDescent="0.25">
      <c r="A6" s="152" t="s">
        <v>31</v>
      </c>
      <c r="B6" s="153" t="s">
        <v>32</v>
      </c>
      <c r="C6" s="152" t="s">
        <v>33</v>
      </c>
      <c r="D6" s="1103" t="s">
        <v>34</v>
      </c>
      <c r="E6" s="1104"/>
    </row>
    <row r="7" spans="1:5" ht="409.5" customHeight="1" x14ac:dyDescent="0.25">
      <c r="A7" s="461" t="s">
        <v>838</v>
      </c>
      <c r="B7" s="462" t="s">
        <v>839</v>
      </c>
      <c r="C7" s="463" t="s">
        <v>840</v>
      </c>
      <c r="D7" s="1519" t="s">
        <v>841</v>
      </c>
      <c r="E7" s="1520"/>
    </row>
  </sheetData>
  <mergeCells count="7">
    <mergeCell ref="D7:E7"/>
    <mergeCell ref="A1:A4"/>
    <mergeCell ref="B1:D4"/>
    <mergeCell ref="E1:E2"/>
    <mergeCell ref="E3:E4"/>
    <mergeCell ref="A5:E5"/>
    <mergeCell ref="D6:E6"/>
  </mergeCells>
  <pageMargins left="0.31496062992125984" right="0.31496062992125984" top="1.1417322834645669" bottom="0.35433070866141736" header="0.31496062992125984" footer="0.31496062992125984"/>
  <pageSetup scale="88" orientation="landscape" horizontalDpi="1200" verticalDpi="1200" r:id="rId1"/>
  <headerFooter>
    <oddHeader>&amp;L&amp;G&amp;C
&amp;"-,Negrita"Matriz de Riesgos</oddHeader>
  </headerFooter>
  <drawing r:id="rId2"/>
  <legacy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1000"/>
  <sheetViews>
    <sheetView workbookViewId="0"/>
  </sheetViews>
  <sheetFormatPr baseColWidth="10" defaultColWidth="12.625" defaultRowHeight="15" customHeight="1" x14ac:dyDescent="0.2"/>
  <cols>
    <col min="1" max="1" width="3.875" customWidth="1"/>
    <col min="2" max="2" width="21.125" customWidth="1"/>
    <col min="3" max="3" width="12.875" customWidth="1"/>
    <col min="4" max="4" width="36.75" customWidth="1"/>
    <col min="5" max="5" width="30.25" customWidth="1"/>
    <col min="6" max="6" width="9.375" customWidth="1"/>
    <col min="7" max="7" width="11" customWidth="1"/>
    <col min="8" max="9" width="12.625" customWidth="1"/>
    <col min="10" max="10" width="30.875" customWidth="1"/>
    <col min="11" max="11" width="15.25" customWidth="1"/>
    <col min="12" max="12" width="21.25" customWidth="1"/>
    <col min="13" max="13" width="14.5" customWidth="1"/>
    <col min="14" max="14" width="9.375" customWidth="1"/>
    <col min="15" max="15" width="44.75" customWidth="1"/>
    <col min="16" max="16" width="25" customWidth="1"/>
    <col min="17" max="26" width="9.375" customWidth="1"/>
  </cols>
  <sheetData>
    <row r="1" spans="1:18" ht="15" customHeight="1" x14ac:dyDescent="0.2">
      <c r="A1" s="1022" t="s">
        <v>123</v>
      </c>
      <c r="B1" s="951"/>
      <c r="C1" s="951"/>
      <c r="D1" s="951"/>
      <c r="E1" s="951"/>
      <c r="F1" s="952"/>
      <c r="G1" s="1022" t="s">
        <v>124</v>
      </c>
      <c r="H1" s="951"/>
      <c r="I1" s="951"/>
      <c r="J1" s="951"/>
      <c r="K1" s="951"/>
      <c r="L1" s="951"/>
      <c r="M1" s="1023"/>
      <c r="N1" s="34"/>
      <c r="O1" s="34"/>
      <c r="P1" s="34"/>
      <c r="Q1" s="34"/>
      <c r="R1" s="34"/>
    </row>
    <row r="2" spans="1:18" ht="46.5" customHeight="1" x14ac:dyDescent="0.2">
      <c r="A2" s="35" t="str">
        <f>'Identificación del Riesgo'!D8</f>
        <v>ID</v>
      </c>
      <c r="B2" s="35" t="str">
        <f>'Identificación del Riesgo'!E8</f>
        <v xml:space="preserve">Riesgo </v>
      </c>
      <c r="C2" s="35" t="str">
        <f>'Identificación del Riesgo'!G8</f>
        <v>Clasificación Tipo de Riesgo</v>
      </c>
      <c r="D2" s="35" t="str">
        <f>'Identificación del Riesgo'!H8</f>
        <v>Causas</v>
      </c>
      <c r="E2" s="35" t="str">
        <f>'Identificación del Riesgo'!I8</f>
        <v>Efectos</v>
      </c>
      <c r="F2" s="35" t="str">
        <f>'Identificación del Riesgo'!N8</f>
        <v>Riesgo de Corrupción</v>
      </c>
      <c r="G2" s="35" t="s">
        <v>125</v>
      </c>
      <c r="H2" s="35" t="s">
        <v>126</v>
      </c>
      <c r="I2" s="35" t="s">
        <v>127</v>
      </c>
      <c r="J2" s="35" t="str">
        <f>'Analisis Riesgo'!K6</f>
        <v>CONTROL EXISTENTE</v>
      </c>
      <c r="K2" s="35" t="str">
        <f>'Analisis Riesgo'!U6</f>
        <v>PROBABILIDAD
RESIDUAL</v>
      </c>
      <c r="L2" s="29" t="str">
        <f>'Analisis Riesgo'!V6</f>
        <v>IMPACTO
RESIDUAL</v>
      </c>
      <c r="M2" s="29" t="str">
        <f>'Analisis Riesgo'!W6</f>
        <v>NIVEL
RIESGO RESIDUAL</v>
      </c>
      <c r="N2" s="29" t="str">
        <f>'Analisis Riesgo'!X6</f>
        <v>OPCIÓN DE MANEJO</v>
      </c>
      <c r="O2" s="29" t="str">
        <f>'Analisis Riesgo'!Y6</f>
        <v>ACCIONES</v>
      </c>
      <c r="P2" s="29" t="str">
        <f>'Analisis Riesgo'!Z6</f>
        <v>RESPONSABLE</v>
      </c>
      <c r="Q2" s="29" t="str">
        <f>'Analisis Riesgo'!AA6</f>
        <v>FECHA INICIO</v>
      </c>
      <c r="R2" s="29" t="str">
        <f>'Analisis Riesgo'!AB6</f>
        <v>FECHA FIN</v>
      </c>
    </row>
    <row r="3" spans="1:18" ht="61.5" customHeight="1" x14ac:dyDescent="0.25">
      <c r="A3" s="1024" t="e">
        <f>'Identificación del Riesgo'!#REF!</f>
        <v>#REF!</v>
      </c>
      <c r="B3" s="1025" t="e">
        <f>'Identificación del Riesgo'!#REF!</f>
        <v>#REF!</v>
      </c>
      <c r="C3" s="1024" t="e">
        <f>'Identificación del Riesgo'!#REF!</f>
        <v>#REF!</v>
      </c>
      <c r="D3" s="1026" t="e">
        <f>CONCATENATE('Identificación del Riesgo'!#REF!)</f>
        <v>#REF!</v>
      </c>
      <c r="E3" s="1025" t="e">
        <f>'Identificación del Riesgo'!#REF!</f>
        <v>#REF!</v>
      </c>
      <c r="F3" s="1021" t="e">
        <f>'Identificación del Riesgo'!#REF!</f>
        <v>#REF!</v>
      </c>
      <c r="G3" s="1024" t="e">
        <f>'Analisis Riesgo'!#REF!</f>
        <v>#REF!</v>
      </c>
      <c r="H3" s="1024" t="e">
        <f>'Analisis Riesgo'!#REF!</f>
        <v>#REF!</v>
      </c>
      <c r="I3" s="1027" t="e">
        <f>'Analisis Riesgo'!#REF!</f>
        <v>#REF!</v>
      </c>
      <c r="J3" s="15" t="e">
        <f>'Analisis Riesgo'!#REF!</f>
        <v>#REF!</v>
      </c>
      <c r="K3" s="1028" t="e">
        <f>'Analisis Riesgo'!#REF!</f>
        <v>#REF!</v>
      </c>
      <c r="L3" s="1028" t="e">
        <f>'Analisis Riesgo'!#REF!</f>
        <v>#REF!</v>
      </c>
      <c r="M3" s="1027" t="e">
        <f>'Analisis Riesgo'!#REF!</f>
        <v>#REF!</v>
      </c>
      <c r="N3" s="1021" t="e">
        <f>'Analisis Riesgo'!#REF!</f>
        <v>#REF!</v>
      </c>
      <c r="O3" s="15" t="e">
        <f>'Analisis Riesgo'!#REF!</f>
        <v>#REF!</v>
      </c>
      <c r="P3" s="37" t="e">
        <f>'Analisis Riesgo'!#REF!</f>
        <v>#REF!</v>
      </c>
      <c r="Q3" s="38" t="e">
        <f>'Analisis Riesgo'!#REF!</f>
        <v>#REF!</v>
      </c>
      <c r="R3" s="38" t="e">
        <f>'Analisis Riesgo'!#REF!</f>
        <v>#REF!</v>
      </c>
    </row>
    <row r="4" spans="1:18" ht="61.5" customHeight="1" x14ac:dyDescent="0.25">
      <c r="A4" s="961"/>
      <c r="B4" s="961"/>
      <c r="C4" s="961"/>
      <c r="D4" s="961"/>
      <c r="E4" s="961"/>
      <c r="F4" s="961"/>
      <c r="G4" s="961"/>
      <c r="H4" s="961"/>
      <c r="I4" s="961"/>
      <c r="J4" s="15" t="e">
        <f>'Analisis Riesgo'!#REF!</f>
        <v>#REF!</v>
      </c>
      <c r="K4" s="961"/>
      <c r="L4" s="961"/>
      <c r="M4" s="961"/>
      <c r="N4" s="961"/>
      <c r="O4" s="15" t="e">
        <f>'Analisis Riesgo'!#REF!</f>
        <v>#REF!</v>
      </c>
      <c r="P4" s="37" t="e">
        <f>'Analisis Riesgo'!#REF!</f>
        <v>#REF!</v>
      </c>
      <c r="Q4" s="38" t="e">
        <f>'Analisis Riesgo'!#REF!</f>
        <v>#REF!</v>
      </c>
      <c r="R4" s="38" t="e">
        <f>'Analisis Riesgo'!#REF!</f>
        <v>#REF!</v>
      </c>
    </row>
    <row r="5" spans="1:18" ht="61.5" customHeight="1" x14ac:dyDescent="0.25">
      <c r="A5" s="39">
        <f>'Identificación del Riesgo'!D9</f>
        <v>1</v>
      </c>
      <c r="B5" s="40" t="str">
        <f>'Identificación del Riesgo'!E9</f>
        <v>Inorportunidad en la expedicción de respuestas y certificados certificados.</v>
      </c>
      <c r="C5" s="41" t="str">
        <f>'Identificación del Riesgo'!G9</f>
        <v>Cumplimiento</v>
      </c>
      <c r="D5" s="42" t="str">
        <f>'Identificación del Riesgo'!H9</f>
        <v>-Falta de personal para la evaluación de solicitudes.
-Exceso de solicitudes.
-Falta de automatización en el procedimiento.
-Reprocesos por mala información y errado diligenciamiento de los formatos.
-Cambios normativos.</v>
      </c>
      <c r="E5" s="43" t="str">
        <f>'Identificación del Riesgo'!I9</f>
        <v>-Generar retrasos en las evaluaciones;  se afecta la imagen institucional por incumplimiento en la entrega de los certificados.
-Numero elevado de solicitudes.
-Generar retrasos porque la evaluación se realiza de forma manual con bases de datos que se alimentan manualmente.
-Errores en los formatos requeridos, información errada, reprocesos en el trámite.
-Incentidumbre en la evaluacion de las solicitudes.</v>
      </c>
      <c r="F5" s="15" t="str">
        <f>'Identificación del Riesgo'!N9</f>
        <v>No es Riesgo de Corrupción</v>
      </c>
      <c r="G5" s="41" t="str">
        <f>'Analisis Riesgo'!F7</f>
        <v>Posible</v>
      </c>
      <c r="H5" s="39" t="str">
        <f>'Analisis Riesgo'!G7</f>
        <v>Moderado</v>
      </c>
      <c r="I5" s="36" t="str">
        <f>'Analisis Riesgo'!I7</f>
        <v>ALTO</v>
      </c>
      <c r="J5" s="15" t="str">
        <f>'Analisis Riesgo'!K7</f>
        <v>Realizar solcitud de recursos para la contratación de personal.</v>
      </c>
      <c r="K5" s="44" t="str">
        <f>'Analisis Riesgo'!U7</f>
        <v>Rara vez</v>
      </c>
      <c r="L5" s="44" t="str">
        <f>'Analisis Riesgo'!V7</f>
        <v>Insignificante</v>
      </c>
      <c r="M5" s="36" t="str">
        <f>'Analisis Riesgo'!W7</f>
        <v>BAJO</v>
      </c>
      <c r="N5" s="15" t="str">
        <f>'Analisis Riesgo'!X7</f>
        <v>Aceptar el riesgo</v>
      </c>
      <c r="O5" s="15">
        <f>'Analisis Riesgo'!Y7</f>
        <v>0</v>
      </c>
      <c r="P5" s="41">
        <f>'Analisis Riesgo'!Z7</f>
        <v>0</v>
      </c>
      <c r="Q5" s="38">
        <f>'Analisis Riesgo'!AA7</f>
        <v>0</v>
      </c>
      <c r="R5" s="38">
        <f>'Analisis Riesgo'!AB7</f>
        <v>0</v>
      </c>
    </row>
    <row r="6" spans="1:18" ht="61.5" customHeight="1" x14ac:dyDescent="0.25">
      <c r="A6" s="1024">
        <v>3</v>
      </c>
      <c r="B6" s="1025" t="e">
        <f>'Identificación del Riesgo'!#REF!</f>
        <v>#REF!</v>
      </c>
      <c r="C6" s="1024" t="str">
        <f>'Identificación del Riesgo'!G10</f>
        <v>Corrupción</v>
      </c>
      <c r="D6" s="42" t="e">
        <f>'Identificación del Riesgo'!#REF!</f>
        <v>#REF!</v>
      </c>
      <c r="E6" s="1025" t="str">
        <f>'Identificación del Riesgo'!I10</f>
        <v>-Generar retrasos en las expedición de las demas solicitudes.
- Insatisfacción de partes interesadas.
- Investigaciones y sanciones disciplinarias, fiscales y penales.</v>
      </c>
      <c r="F6" s="1021" t="str">
        <f>'Identificación del Riesgo'!N10</f>
        <v>Riesgo de Corrupción</v>
      </c>
      <c r="G6" s="1024" t="e">
        <f>'Analisis Riesgo'!#REF!</f>
        <v>#REF!</v>
      </c>
      <c r="H6" s="1021" t="e">
        <f>'Analisis Riesgo'!#REF!</f>
        <v>#REF!</v>
      </c>
      <c r="I6" s="1027" t="e">
        <f>'Analisis Riesgo'!#REF!</f>
        <v>#REF!</v>
      </c>
      <c r="J6" s="37" t="e">
        <f>'Analisis Riesgo'!#REF!</f>
        <v>#REF!</v>
      </c>
      <c r="K6" s="1028" t="e">
        <f>'Analisis Riesgo'!#REF!</f>
        <v>#REF!</v>
      </c>
      <c r="L6" s="1028" t="e">
        <f>'Analisis Riesgo'!#REF!</f>
        <v>#REF!</v>
      </c>
      <c r="M6" s="1027" t="e">
        <f>'Analisis Riesgo'!#REF!</f>
        <v>#REF!</v>
      </c>
      <c r="N6" s="1021" t="e">
        <f>'Analisis Riesgo'!#REF!</f>
        <v>#REF!</v>
      </c>
      <c r="O6" s="15" t="e">
        <f>'Analisis Riesgo'!#REF!</f>
        <v>#REF!</v>
      </c>
      <c r="P6" s="45" t="e">
        <f>'Analisis Riesgo'!#REF!</f>
        <v>#REF!</v>
      </c>
      <c r="Q6" s="46" t="e">
        <f>'Analisis Riesgo'!#REF!</f>
        <v>#REF!</v>
      </c>
      <c r="R6" s="46" t="e">
        <f>'Analisis Riesgo'!#REF!</f>
        <v>#REF!</v>
      </c>
    </row>
    <row r="7" spans="1:18" ht="135" x14ac:dyDescent="0.25">
      <c r="A7" s="1029"/>
      <c r="B7" s="1029"/>
      <c r="C7" s="1029"/>
      <c r="D7" s="42" t="str">
        <f>'Identificación del Riesgo'!H10</f>
        <v>- Presion por parte de los solicitantes interesados en los beneficios tributarios.
-Instrucción indebida de un superior jerarquico en la entidad.
-Presion indebida por otras instancias de gobierno.
- Interacciones entre el evaluador y el solicitante generadas por inadecuada definición de los procesos.</v>
      </c>
      <c r="E7" s="1029"/>
      <c r="F7" s="1029"/>
      <c r="G7" s="1029"/>
      <c r="H7" s="1029"/>
      <c r="I7" s="1029"/>
      <c r="J7" s="37" t="e">
        <f>'Analisis Riesgo'!#REF!</f>
        <v>#REF!</v>
      </c>
      <c r="K7" s="1029"/>
      <c r="L7" s="1029"/>
      <c r="M7" s="1029"/>
      <c r="N7" s="1029"/>
      <c r="O7" s="15" t="e">
        <f>'Analisis Riesgo'!#REF!</f>
        <v>#REF!</v>
      </c>
      <c r="P7" s="45" t="e">
        <f>'Analisis Riesgo'!#REF!</f>
        <v>#REF!</v>
      </c>
      <c r="Q7" s="46" t="e">
        <f>'Analisis Riesgo'!#REF!</f>
        <v>#REF!</v>
      </c>
      <c r="R7" s="46" t="e">
        <f>'Analisis Riesgo'!#REF!</f>
        <v>#REF!</v>
      </c>
    </row>
    <row r="8" spans="1:18" ht="47.25" customHeight="1" x14ac:dyDescent="0.2">
      <c r="A8" s="1029"/>
      <c r="B8" s="1029"/>
      <c r="C8" s="1029"/>
      <c r="D8" s="42" t="e">
        <f>'Identificación del Riesgo'!#REF!</f>
        <v>#REF!</v>
      </c>
      <c r="E8" s="1029"/>
      <c r="F8" s="1029"/>
      <c r="G8" s="1029"/>
      <c r="H8" s="1029"/>
      <c r="I8" s="1029"/>
      <c r="J8" s="1032" t="e">
        <f>'Analisis Riesgo'!#REF!</f>
        <v>#REF!</v>
      </c>
      <c r="K8" s="1029"/>
      <c r="L8" s="1029"/>
      <c r="M8" s="1029"/>
      <c r="N8" s="1029"/>
      <c r="O8" s="1025" t="e">
        <f>'Analisis Riesgo'!#REF!</f>
        <v>#REF!</v>
      </c>
      <c r="P8" s="1030" t="e">
        <f>'Analisis Riesgo'!#REF!</f>
        <v>#REF!</v>
      </c>
      <c r="Q8" s="1031" t="e">
        <f>'Analisis Riesgo'!#REF!</f>
        <v>#REF!</v>
      </c>
      <c r="R8" s="1031" t="e">
        <f>'Analisis Riesgo'!#REF!</f>
        <v>#REF!</v>
      </c>
    </row>
    <row r="9" spans="1:18" x14ac:dyDescent="0.2">
      <c r="A9" s="961"/>
      <c r="B9" s="961"/>
      <c r="C9" s="961"/>
      <c r="D9" s="42" t="e">
        <f>'Identificación del Riesgo'!#REF!</f>
        <v>#REF!</v>
      </c>
      <c r="E9" s="961"/>
      <c r="F9" s="961"/>
      <c r="G9" s="961"/>
      <c r="H9" s="961"/>
      <c r="I9" s="1029"/>
      <c r="J9" s="961"/>
      <c r="K9" s="961"/>
      <c r="L9" s="961"/>
      <c r="M9" s="1029"/>
      <c r="N9" s="961"/>
      <c r="O9" s="961"/>
      <c r="P9" s="961"/>
      <c r="Q9" s="961"/>
      <c r="R9" s="961"/>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2">
    <mergeCell ref="M6:M9"/>
    <mergeCell ref="J8:J9"/>
    <mergeCell ref="G6:G9"/>
    <mergeCell ref="H6:H9"/>
    <mergeCell ref="I6:I9"/>
    <mergeCell ref="K6:K9"/>
    <mergeCell ref="L6:L9"/>
    <mergeCell ref="N6:N9"/>
    <mergeCell ref="O8:O9"/>
    <mergeCell ref="P8:P9"/>
    <mergeCell ref="Q8:Q9"/>
    <mergeCell ref="R8:R9"/>
    <mergeCell ref="A6:A9"/>
    <mergeCell ref="B6:B9"/>
    <mergeCell ref="C6:C9"/>
    <mergeCell ref="E6:E9"/>
    <mergeCell ref="F6:F9"/>
    <mergeCell ref="N3:N4"/>
    <mergeCell ref="A1:F1"/>
    <mergeCell ref="G1:M1"/>
    <mergeCell ref="A3:A4"/>
    <mergeCell ref="B3:B4"/>
    <mergeCell ref="C3:C4"/>
    <mergeCell ref="D3:D4"/>
    <mergeCell ref="E3:E4"/>
    <mergeCell ref="F3:F4"/>
    <mergeCell ref="G3:G4"/>
    <mergeCell ref="H3:H4"/>
    <mergeCell ref="I3:I4"/>
    <mergeCell ref="K3:K4"/>
    <mergeCell ref="L3:L4"/>
    <mergeCell ref="M3:M4"/>
  </mergeCells>
  <conditionalFormatting sqref="I3">
    <cfRule type="cellIs" dxfId="463" priority="1" operator="equal">
      <formula>"Extremo"</formula>
    </cfRule>
  </conditionalFormatting>
  <conditionalFormatting sqref="I3">
    <cfRule type="cellIs" dxfId="462" priority="2" operator="equal">
      <formula>"Moderado"</formula>
    </cfRule>
  </conditionalFormatting>
  <conditionalFormatting sqref="I3">
    <cfRule type="cellIs" dxfId="461" priority="3" operator="equal">
      <formula>"Bajo"</formula>
    </cfRule>
  </conditionalFormatting>
  <conditionalFormatting sqref="I3">
    <cfRule type="cellIs" dxfId="460" priority="4" operator="equal">
      <formula>"Alto"</formula>
    </cfRule>
  </conditionalFormatting>
  <conditionalFormatting sqref="I5:I6">
    <cfRule type="cellIs" dxfId="459" priority="5" operator="equal">
      <formula>"Extremo"</formula>
    </cfRule>
  </conditionalFormatting>
  <conditionalFormatting sqref="I5:I6">
    <cfRule type="cellIs" dxfId="458" priority="6" operator="equal">
      <formula>"Moderado"</formula>
    </cfRule>
  </conditionalFormatting>
  <conditionalFormatting sqref="I5:I6">
    <cfRule type="cellIs" dxfId="457" priority="7" operator="equal">
      <formula>"Bajo"</formula>
    </cfRule>
  </conditionalFormatting>
  <conditionalFormatting sqref="I5:I6">
    <cfRule type="cellIs" dxfId="456" priority="8" operator="equal">
      <formula>"Alto"</formula>
    </cfRule>
  </conditionalFormatting>
  <conditionalFormatting sqref="M3">
    <cfRule type="cellIs" dxfId="455" priority="9" operator="equal">
      <formula>"Extremo"</formula>
    </cfRule>
  </conditionalFormatting>
  <conditionalFormatting sqref="M3">
    <cfRule type="cellIs" dxfId="454" priority="10" operator="equal">
      <formula>"Moderado"</formula>
    </cfRule>
  </conditionalFormatting>
  <conditionalFormatting sqref="M3">
    <cfRule type="cellIs" dxfId="453" priority="11" operator="equal">
      <formula>"Bajo"</formula>
    </cfRule>
  </conditionalFormatting>
  <conditionalFormatting sqref="M3">
    <cfRule type="cellIs" dxfId="452" priority="12" operator="equal">
      <formula>"Alto"</formula>
    </cfRule>
  </conditionalFormatting>
  <conditionalFormatting sqref="M5:M6">
    <cfRule type="cellIs" dxfId="451" priority="13" operator="equal">
      <formula>"Extremo"</formula>
    </cfRule>
  </conditionalFormatting>
  <conditionalFormatting sqref="M5:M6">
    <cfRule type="cellIs" dxfId="450" priority="14" operator="equal">
      <formula>"Moderado"</formula>
    </cfRule>
  </conditionalFormatting>
  <conditionalFormatting sqref="M5:M6">
    <cfRule type="cellIs" dxfId="449" priority="15" operator="equal">
      <formula>"Bajo"</formula>
    </cfRule>
  </conditionalFormatting>
  <conditionalFormatting sqref="M5:M6">
    <cfRule type="cellIs" dxfId="448" priority="16" operator="equal">
      <formula>"Alto"</formula>
    </cfRule>
  </conditionalFormatting>
  <pageMargins left="0.11811023622047245" right="0.31496062992125984" top="1.1417322834645669" bottom="0.35433070866141736" header="0" footer="0"/>
  <pageSetup orientation="landscape" r:id="rId1"/>
  <headerFooter>
    <oddHeader>&amp;C Matriz de Riesgos</oddHeader>
  </headerFooter>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N13"/>
  <sheetViews>
    <sheetView showGridLines="0" topLeftCell="A7" zoomScale="70" zoomScaleNormal="70" zoomScaleSheetLayoutView="130" zoomScalePageLayoutView="90" workbookViewId="0">
      <selection activeCell="F11" sqref="F11"/>
    </sheetView>
  </sheetViews>
  <sheetFormatPr baseColWidth="10" defaultRowHeight="15" x14ac:dyDescent="0.25"/>
  <cols>
    <col min="1" max="3" width="16.75" style="464" customWidth="1"/>
    <col min="4" max="4" width="3.625" style="461" customWidth="1"/>
    <col min="5" max="5" width="26.875" style="464" customWidth="1"/>
    <col min="6" max="6" width="50.75" style="464" customWidth="1"/>
    <col min="7" max="7" width="15" style="464" customWidth="1"/>
    <col min="8" max="8" width="53.875" style="464" customWidth="1"/>
    <col min="9" max="9" width="33.375" style="464" customWidth="1"/>
    <col min="10" max="10" width="20.625" style="464" customWidth="1"/>
    <col min="11" max="11" width="14.75" style="464" customWidth="1"/>
    <col min="12" max="12" width="18.75" style="464" customWidth="1"/>
    <col min="13" max="13" width="12.75" style="464" customWidth="1"/>
    <col min="14" max="14" width="27.125" style="464" customWidth="1"/>
    <col min="15" max="16384" width="11" style="464"/>
  </cols>
  <sheetData>
    <row r="1" spans="1:14" x14ac:dyDescent="0.25">
      <c r="A1" s="1522"/>
      <c r="B1" s="1522"/>
      <c r="C1" s="1522"/>
      <c r="D1" s="1524" t="s">
        <v>0</v>
      </c>
      <c r="E1" s="1524"/>
      <c r="F1" s="1524"/>
      <c r="G1" s="1524"/>
      <c r="H1" s="1524"/>
      <c r="I1" s="1524"/>
      <c r="J1" s="1524"/>
      <c r="K1" s="1524"/>
      <c r="L1" s="1524"/>
      <c r="M1" s="1525"/>
      <c r="N1" s="1528" t="s">
        <v>35</v>
      </c>
    </row>
    <row r="2" spans="1:14" x14ac:dyDescent="0.25">
      <c r="A2" s="1522"/>
      <c r="B2" s="1522"/>
      <c r="C2" s="1522"/>
      <c r="D2" s="1524"/>
      <c r="E2" s="1524"/>
      <c r="F2" s="1524"/>
      <c r="G2" s="1524"/>
      <c r="H2" s="1524"/>
      <c r="I2" s="1524"/>
      <c r="J2" s="1524"/>
      <c r="K2" s="1524"/>
      <c r="L2" s="1524"/>
      <c r="M2" s="1525"/>
      <c r="N2" s="1528"/>
    </row>
    <row r="3" spans="1:14" x14ac:dyDescent="0.25">
      <c r="A3" s="1522"/>
      <c r="B3" s="1522"/>
      <c r="C3" s="1522"/>
      <c r="D3" s="1524"/>
      <c r="E3" s="1524"/>
      <c r="F3" s="1524"/>
      <c r="G3" s="1524"/>
      <c r="H3" s="1524"/>
      <c r="I3" s="1524"/>
      <c r="J3" s="1524"/>
      <c r="K3" s="1524"/>
      <c r="L3" s="1524"/>
      <c r="M3" s="1525"/>
      <c r="N3" s="1528" t="s">
        <v>2</v>
      </c>
    </row>
    <row r="4" spans="1:14" x14ac:dyDescent="0.25">
      <c r="A4" s="1523"/>
      <c r="B4" s="1523"/>
      <c r="C4" s="1523"/>
      <c r="D4" s="1526"/>
      <c r="E4" s="1526"/>
      <c r="F4" s="1526"/>
      <c r="G4" s="1526"/>
      <c r="H4" s="1526"/>
      <c r="I4" s="1526"/>
      <c r="J4" s="1526"/>
      <c r="K4" s="1526"/>
      <c r="L4" s="1526"/>
      <c r="M4" s="1527"/>
      <c r="N4" s="1528"/>
    </row>
    <row r="5" spans="1:14" ht="15.75" x14ac:dyDescent="0.25">
      <c r="A5" s="1529" t="s">
        <v>36</v>
      </c>
      <c r="B5" s="1530"/>
      <c r="C5" s="1531"/>
      <c r="D5" s="1532" t="s">
        <v>838</v>
      </c>
      <c r="E5" s="1533"/>
      <c r="F5" s="1533"/>
      <c r="G5" s="1533"/>
      <c r="H5" s="1533"/>
      <c r="I5" s="1533"/>
      <c r="J5" s="1533"/>
      <c r="K5" s="1533"/>
      <c r="L5" s="1533"/>
      <c r="M5" s="1533"/>
      <c r="N5" s="1534"/>
    </row>
    <row r="6" spans="1:14" ht="15.75" x14ac:dyDescent="0.25">
      <c r="A6" s="1529" t="s">
        <v>37</v>
      </c>
      <c r="B6" s="1530"/>
      <c r="C6" s="1531"/>
      <c r="D6" s="1532" t="s">
        <v>842</v>
      </c>
      <c r="E6" s="1533"/>
      <c r="F6" s="1533"/>
      <c r="G6" s="1533"/>
      <c r="H6" s="1533"/>
      <c r="I6" s="1533"/>
      <c r="J6" s="1533"/>
      <c r="K6" s="1533"/>
      <c r="L6" s="1533"/>
      <c r="M6" s="1533"/>
      <c r="N6" s="1534"/>
    </row>
    <row r="7" spans="1:14" x14ac:dyDescent="0.25">
      <c r="A7" s="1535" t="s">
        <v>38</v>
      </c>
      <c r="B7" s="1536"/>
      <c r="C7" s="1537"/>
      <c r="D7" s="1538" t="s">
        <v>39</v>
      </c>
      <c r="E7" s="1539"/>
      <c r="F7" s="1539"/>
      <c r="G7" s="1539"/>
      <c r="H7" s="1539"/>
      <c r="I7" s="1540"/>
      <c r="J7" s="1541" t="s">
        <v>40</v>
      </c>
      <c r="K7" s="1541"/>
      <c r="L7" s="1541"/>
      <c r="M7" s="1541"/>
      <c r="N7" s="1541"/>
    </row>
    <row r="8" spans="1:14" ht="48" x14ac:dyDescent="0.25">
      <c r="A8" s="157" t="s">
        <v>41</v>
      </c>
      <c r="B8" s="157" t="s">
        <v>42</v>
      </c>
      <c r="C8" s="157" t="s">
        <v>43</v>
      </c>
      <c r="D8" s="157" t="s">
        <v>44</v>
      </c>
      <c r="E8" s="157" t="s">
        <v>45</v>
      </c>
      <c r="F8" s="157" t="s">
        <v>46</v>
      </c>
      <c r="G8" s="157" t="s">
        <v>47</v>
      </c>
      <c r="H8" s="157" t="s">
        <v>48</v>
      </c>
      <c r="I8" s="157" t="s">
        <v>49</v>
      </c>
      <c r="J8" s="158" t="s">
        <v>50</v>
      </c>
      <c r="K8" s="158" t="s">
        <v>51</v>
      </c>
      <c r="L8" s="158" t="s">
        <v>52</v>
      </c>
      <c r="M8" s="158" t="s">
        <v>53</v>
      </c>
      <c r="N8" s="158" t="s">
        <v>54</v>
      </c>
    </row>
    <row r="9" spans="1:14" ht="114.75" x14ac:dyDescent="0.25">
      <c r="A9" s="159" t="s">
        <v>176</v>
      </c>
      <c r="B9" s="160"/>
      <c r="C9" s="160"/>
      <c r="D9" s="465">
        <v>1</v>
      </c>
      <c r="E9" s="162" t="s">
        <v>843</v>
      </c>
      <c r="F9" s="466" t="s">
        <v>844</v>
      </c>
      <c r="G9" s="467" t="s">
        <v>249</v>
      </c>
      <c r="H9" s="303" t="s">
        <v>845</v>
      </c>
      <c r="I9" s="303" t="s">
        <v>846</v>
      </c>
      <c r="J9" s="467" t="s">
        <v>263</v>
      </c>
      <c r="K9" s="467" t="s">
        <v>263</v>
      </c>
      <c r="L9" s="467" t="s">
        <v>263</v>
      </c>
      <c r="M9" s="467" t="s">
        <v>263</v>
      </c>
      <c r="N9" s="165" t="str">
        <f>IF(COUNTIF(J9:M9,"SI")=4,"Riesgo de Corrupción","No es Riesgo de Corrupción")</f>
        <v>No es Riesgo de Corrupción</v>
      </c>
    </row>
    <row r="10" spans="1:14" ht="75" customHeight="1" x14ac:dyDescent="0.25">
      <c r="A10" s="159"/>
      <c r="B10" s="159"/>
      <c r="C10" s="159" t="s">
        <v>193</v>
      </c>
      <c r="D10" s="465">
        <v>2</v>
      </c>
      <c r="E10" s="166" t="s">
        <v>847</v>
      </c>
      <c r="F10" s="468" t="s">
        <v>848</v>
      </c>
      <c r="G10" s="467" t="s">
        <v>249</v>
      </c>
      <c r="H10" s="305" t="s">
        <v>849</v>
      </c>
      <c r="I10" s="303" t="s">
        <v>850</v>
      </c>
      <c r="J10" s="467" t="s">
        <v>263</v>
      </c>
      <c r="K10" s="467" t="s">
        <v>263</v>
      </c>
      <c r="L10" s="467" t="s">
        <v>263</v>
      </c>
      <c r="M10" s="467" t="s">
        <v>263</v>
      </c>
      <c r="N10" s="165" t="str">
        <f t="shared" ref="N10:N13" si="0">IF(COUNTIF(J10:M10,"SI")=4,"Riesgo de Corrupción","No es Riesgo de Corrupción")</f>
        <v>No es Riesgo de Corrupción</v>
      </c>
    </row>
    <row r="11" spans="1:14" ht="147.75" customHeight="1" x14ac:dyDescent="0.25">
      <c r="A11" s="159"/>
      <c r="B11" s="159" t="s">
        <v>192</v>
      </c>
      <c r="C11" s="159"/>
      <c r="D11" s="465">
        <v>3</v>
      </c>
      <c r="E11" s="162" t="s">
        <v>851</v>
      </c>
      <c r="F11" s="466" t="s">
        <v>852</v>
      </c>
      <c r="G11" s="467" t="s">
        <v>179</v>
      </c>
      <c r="H11" s="303" t="s">
        <v>853</v>
      </c>
      <c r="I11" s="303" t="s">
        <v>854</v>
      </c>
      <c r="J11" s="467" t="s">
        <v>263</v>
      </c>
      <c r="K11" s="467" t="s">
        <v>263</v>
      </c>
      <c r="L11" s="467" t="s">
        <v>263</v>
      </c>
      <c r="M11" s="467" t="s">
        <v>263</v>
      </c>
      <c r="N11" s="165" t="str">
        <f t="shared" si="0"/>
        <v>No es Riesgo de Corrupción</v>
      </c>
    </row>
    <row r="12" spans="1:14" ht="75.75" customHeight="1" x14ac:dyDescent="0.25">
      <c r="A12" s="159"/>
      <c r="B12" s="159" t="s">
        <v>219</v>
      </c>
      <c r="C12" s="159"/>
      <c r="D12" s="465">
        <v>4</v>
      </c>
      <c r="E12" s="166" t="s">
        <v>855</v>
      </c>
      <c r="F12" s="468" t="s">
        <v>856</v>
      </c>
      <c r="G12" s="467" t="s">
        <v>249</v>
      </c>
      <c r="H12" s="305" t="s">
        <v>857</v>
      </c>
      <c r="I12" s="303" t="s">
        <v>858</v>
      </c>
      <c r="J12" s="467" t="s">
        <v>263</v>
      </c>
      <c r="K12" s="467" t="s">
        <v>263</v>
      </c>
      <c r="L12" s="467" t="s">
        <v>263</v>
      </c>
      <c r="M12" s="467" t="s">
        <v>263</v>
      </c>
      <c r="N12" s="165" t="str">
        <f t="shared" si="0"/>
        <v>No es Riesgo de Corrupción</v>
      </c>
    </row>
    <row r="13" spans="1:14" ht="93" customHeight="1" x14ac:dyDescent="0.25">
      <c r="A13" s="159"/>
      <c r="B13" s="159"/>
      <c r="C13" s="159" t="s">
        <v>245</v>
      </c>
      <c r="D13" s="465">
        <v>5</v>
      </c>
      <c r="E13" s="166" t="s">
        <v>859</v>
      </c>
      <c r="F13" s="468" t="s">
        <v>860</v>
      </c>
      <c r="G13" s="467" t="s">
        <v>252</v>
      </c>
      <c r="H13" s="305" t="s">
        <v>861</v>
      </c>
      <c r="I13" s="303" t="s">
        <v>862</v>
      </c>
      <c r="J13" s="467" t="s">
        <v>122</v>
      </c>
      <c r="K13" s="467" t="s">
        <v>122</v>
      </c>
      <c r="L13" s="467" t="s">
        <v>122</v>
      </c>
      <c r="M13" s="467" t="s">
        <v>122</v>
      </c>
      <c r="N13" s="165" t="str">
        <f t="shared" si="0"/>
        <v>Riesgo de Corrupción</v>
      </c>
    </row>
  </sheetData>
  <mergeCells count="11">
    <mergeCell ref="A6:C6"/>
    <mergeCell ref="D6:N6"/>
    <mergeCell ref="A7:C7"/>
    <mergeCell ref="D7:I7"/>
    <mergeCell ref="J7:N7"/>
    <mergeCell ref="A1:C4"/>
    <mergeCell ref="D1:M4"/>
    <mergeCell ref="N1:N2"/>
    <mergeCell ref="N3:N4"/>
    <mergeCell ref="A5:C5"/>
    <mergeCell ref="D5:N5"/>
  </mergeCells>
  <dataValidations count="1">
    <dataValidation type="list" allowBlank="1" showInputMessage="1" showErrorMessage="1" sqref="J9:M13" xr:uid="{00000000-0002-0000-3B00-000000000000}">
      <formula1>"SI,NO"</formula1>
    </dataValidation>
  </dataValidations>
  <pageMargins left="0.11811023622047245" right="0.11811023622047245" top="1.1417322834645669" bottom="0.19685039370078741" header="0.31496062992125984" footer="0.31496062992125984"/>
  <pageSetup scale="79" orientation="landscape" horizontalDpi="1200" verticalDpi="1200" r:id="rId1"/>
  <headerFooter>
    <oddHeader>&amp;L&amp;G&amp;C
&amp;"-,Negrita"Matriz de Riesgos</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B00-000001000000}">
          <x14:formula1>
            <xm:f>'C:\Users\sgomez.UPME\Documents\UPME 2020\Documents\Mapas de riesgos\[Mapa de Riesgos. Comunicación Estratégica..xlsx]Datos'!#REF!</xm:f>
          </x14:formula1>
          <xm:sqref>A9:C13 G9:G13</xm:sqref>
        </x14:dataValidation>
      </x14:dataValidation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W11"/>
  <sheetViews>
    <sheetView showGridLines="0" showWhiteSpace="0" topLeftCell="A4" zoomScale="70" zoomScaleNormal="70" zoomScaleSheetLayoutView="85" zoomScalePageLayoutView="70" workbookViewId="0">
      <selection activeCell="B6" sqref="B6"/>
    </sheetView>
  </sheetViews>
  <sheetFormatPr baseColWidth="10" defaultRowHeight="15" x14ac:dyDescent="0.25"/>
  <cols>
    <col min="1" max="1" width="4.75" style="168" customWidth="1"/>
    <col min="2" max="2" width="30" style="151" customWidth="1"/>
    <col min="3" max="3" width="48" style="202" customWidth="1"/>
    <col min="4" max="4" width="26.25" style="203" customWidth="1"/>
    <col min="5" max="5" width="2.875" style="168" customWidth="1"/>
    <col min="6" max="6" width="17.25" style="168" customWidth="1"/>
    <col min="7" max="7" width="12.875" style="168" customWidth="1"/>
    <col min="8" max="8" width="5" style="168" customWidth="1"/>
    <col min="9" max="9" width="14" style="151" customWidth="1"/>
    <col min="10" max="10" width="8.375" style="151" customWidth="1"/>
    <col min="11" max="11" width="28.625" style="205" customWidth="1"/>
    <col min="12" max="12" width="13.75" style="151" customWidth="1"/>
    <col min="13" max="13" width="15" style="151" customWidth="1"/>
    <col min="14" max="14" width="19.25" style="151" customWidth="1"/>
    <col min="15" max="15" width="18.875" style="151" customWidth="1"/>
    <col min="16" max="16" width="12" style="151" customWidth="1"/>
    <col min="17" max="17" width="12.625" style="151" customWidth="1"/>
    <col min="18" max="18" width="13.625" style="168" customWidth="1"/>
    <col min="19" max="19" width="13.625" style="151" customWidth="1"/>
    <col min="20" max="20" width="17.5" style="151" customWidth="1"/>
    <col min="21" max="21" width="12.125" style="151" customWidth="1"/>
    <col min="22" max="22" width="13.875" style="151" customWidth="1"/>
    <col min="23" max="23" width="14.375" style="151" customWidth="1"/>
    <col min="24" max="16384" width="11" style="151"/>
  </cols>
  <sheetData>
    <row r="1" spans="1:23" x14ac:dyDescent="0.25">
      <c r="A1" s="1128"/>
      <c r="B1" s="1128"/>
      <c r="C1" s="1128"/>
      <c r="D1" s="1129" t="s">
        <v>55</v>
      </c>
      <c r="E1" s="1129"/>
      <c r="F1" s="1129"/>
      <c r="G1" s="1129"/>
      <c r="H1" s="1129"/>
      <c r="I1" s="1129"/>
      <c r="J1" s="1129"/>
      <c r="K1" s="1129"/>
      <c r="L1" s="1129"/>
      <c r="M1" s="1129"/>
      <c r="N1" s="1129"/>
      <c r="O1" s="1129"/>
      <c r="P1" s="1129"/>
      <c r="Q1" s="1129"/>
      <c r="R1" s="1129"/>
      <c r="S1" s="1129"/>
      <c r="T1" s="1129"/>
      <c r="U1" s="1129"/>
      <c r="V1" s="1129"/>
      <c r="W1" s="1129"/>
    </row>
    <row r="2" spans="1:23" x14ac:dyDescent="0.25">
      <c r="A2" s="1128"/>
      <c r="B2" s="1128"/>
      <c r="C2" s="1128"/>
      <c r="D2" s="1129"/>
      <c r="E2" s="1129"/>
      <c r="F2" s="1129"/>
      <c r="G2" s="1129"/>
      <c r="H2" s="1129"/>
      <c r="I2" s="1129"/>
      <c r="J2" s="1129"/>
      <c r="K2" s="1129"/>
      <c r="L2" s="1129"/>
      <c r="M2" s="1129"/>
      <c r="N2" s="1129"/>
      <c r="O2" s="1129"/>
      <c r="P2" s="1129"/>
      <c r="Q2" s="1129"/>
      <c r="R2" s="1129"/>
      <c r="S2" s="1129"/>
      <c r="T2" s="1129"/>
      <c r="U2" s="1129"/>
      <c r="V2" s="1129"/>
      <c r="W2" s="1129"/>
    </row>
    <row r="3" spans="1:23" x14ac:dyDescent="0.25">
      <c r="A3" s="1128"/>
      <c r="B3" s="1128"/>
      <c r="C3" s="1128"/>
      <c r="D3" s="1129"/>
      <c r="E3" s="1129"/>
      <c r="F3" s="1129"/>
      <c r="G3" s="1129"/>
      <c r="H3" s="1129"/>
      <c r="I3" s="1129"/>
      <c r="J3" s="1129"/>
      <c r="K3" s="1129"/>
      <c r="L3" s="1129"/>
      <c r="M3" s="1129"/>
      <c r="N3" s="1129"/>
      <c r="O3" s="1129"/>
      <c r="P3" s="1129"/>
      <c r="Q3" s="1129"/>
      <c r="R3" s="1129"/>
      <c r="S3" s="1129"/>
      <c r="T3" s="1129"/>
      <c r="U3" s="1129"/>
      <c r="V3" s="1129"/>
      <c r="W3" s="1129"/>
    </row>
    <row r="4" spans="1:23" ht="15.75" thickBot="1" x14ac:dyDescent="0.3">
      <c r="A4" s="1128"/>
      <c r="B4" s="1128"/>
      <c r="C4" s="1128"/>
      <c r="D4" s="1129"/>
      <c r="E4" s="1129"/>
      <c r="F4" s="1129"/>
      <c r="G4" s="1129"/>
      <c r="H4" s="1129"/>
      <c r="I4" s="1129"/>
      <c r="J4" s="1129"/>
      <c r="K4" s="1129"/>
      <c r="L4" s="1129"/>
      <c r="M4" s="1129"/>
      <c r="N4" s="1129"/>
      <c r="O4" s="1129"/>
      <c r="P4" s="1129"/>
      <c r="Q4" s="1129"/>
      <c r="R4" s="1129"/>
      <c r="S4" s="1129"/>
      <c r="T4" s="1129"/>
      <c r="U4" s="1129"/>
      <c r="V4" s="1129"/>
      <c r="W4" s="1129"/>
    </row>
    <row r="5" spans="1:23" ht="18.75" customHeight="1" thickBot="1" x14ac:dyDescent="0.3">
      <c r="A5" s="1131" t="s">
        <v>57</v>
      </c>
      <c r="B5" s="1132"/>
      <c r="C5" s="1132"/>
      <c r="D5" s="1132"/>
      <c r="E5" s="1132"/>
      <c r="F5" s="1132"/>
      <c r="G5" s="1132"/>
      <c r="H5" s="1132"/>
      <c r="I5" s="1133"/>
      <c r="J5" s="169"/>
      <c r="K5" s="1134" t="s">
        <v>58</v>
      </c>
      <c r="L5" s="1134"/>
      <c r="M5" s="1134"/>
      <c r="N5" s="1134"/>
      <c r="O5" s="1135"/>
      <c r="P5" s="1136" t="s">
        <v>59</v>
      </c>
      <c r="Q5" s="1136"/>
      <c r="R5" s="1136"/>
      <c r="S5" s="1136"/>
      <c r="T5" s="1136"/>
      <c r="U5" s="1136"/>
      <c r="V5" s="1136"/>
      <c r="W5" s="1136"/>
    </row>
    <row r="6" spans="1:23" s="182" customFormat="1" ht="51" x14ac:dyDescent="0.2">
      <c r="A6" s="171" t="s">
        <v>44</v>
      </c>
      <c r="B6" s="172" t="s">
        <v>64</v>
      </c>
      <c r="C6" s="172" t="s">
        <v>65</v>
      </c>
      <c r="D6" s="173" t="s">
        <v>66</v>
      </c>
      <c r="E6" s="172" t="s">
        <v>67</v>
      </c>
      <c r="F6" s="172" t="s">
        <v>68</v>
      </c>
      <c r="G6" s="173" t="s">
        <v>69</v>
      </c>
      <c r="H6" s="173" t="s">
        <v>70</v>
      </c>
      <c r="I6" s="174" t="s">
        <v>71</v>
      </c>
      <c r="J6" s="175" t="s">
        <v>72</v>
      </c>
      <c r="K6" s="176" t="s">
        <v>73</v>
      </c>
      <c r="L6" s="177" t="s">
        <v>75</v>
      </c>
      <c r="M6" s="172" t="s">
        <v>76</v>
      </c>
      <c r="N6" s="172" t="s">
        <v>77</v>
      </c>
      <c r="O6" s="174" t="s">
        <v>78</v>
      </c>
      <c r="P6" s="176" t="s">
        <v>79</v>
      </c>
      <c r="Q6" s="172" t="s">
        <v>80</v>
      </c>
      <c r="R6" s="172" t="s">
        <v>67</v>
      </c>
      <c r="S6" s="172" t="s">
        <v>70</v>
      </c>
      <c r="T6" s="172" t="s">
        <v>81</v>
      </c>
      <c r="U6" s="172" t="s">
        <v>82</v>
      </c>
      <c r="V6" s="172" t="s">
        <v>83</v>
      </c>
      <c r="W6" s="180" t="s">
        <v>84</v>
      </c>
    </row>
    <row r="7" spans="1:23" s="192" customFormat="1" ht="63.75" customHeight="1" x14ac:dyDescent="0.2">
      <c r="A7" s="469" t="e">
        <f>#REF!</f>
        <v>#REF!</v>
      </c>
      <c r="B7" s="470" t="e">
        <f>#REF!</f>
        <v>#REF!</v>
      </c>
      <c r="C7" s="470" t="e">
        <f>#REF!</f>
        <v>#REF!</v>
      </c>
      <c r="D7" s="219" t="s">
        <v>223</v>
      </c>
      <c r="E7" s="469">
        <f>IF(D7="Selecciona un descriptor de frecuencia."," ",IF(D7="","",VLOOKUP(D7,[9]Datos!$G$8:$J$12,2,FALSE)))</f>
        <v>2</v>
      </c>
      <c r="F7" s="469" t="str">
        <f>IF(D7="Selecciona un descriptor de frecuencia."," ",IF(D7="","",VLOOKUP(D7,[9]Datos!$G$8:$J$12,3,FALSE)))</f>
        <v>Improbable</v>
      </c>
      <c r="G7" s="219" t="s">
        <v>204</v>
      </c>
      <c r="H7" s="469">
        <f>IF(G7="Selecciona un descriptor de impacto."," ",IF(G7="","",VLOOKUP(G7,[9]Datos!$K$8:$L$12,2,FALSE)))</f>
        <v>3</v>
      </c>
      <c r="I7" s="471" t="str">
        <f>IF(D7="Selecciona un descriptor de frecuencia."," ",IF(G7="Selecciona un descriptor de impacto."," ",IF(E7+H7=" ","",IF(E7="","",VLOOKUP(E7,[9]Datos!$U$8:$Z$12,MATCH(H7,[9]Datos!$V$7:$Z$7,0)+1,FALSE)))))</f>
        <v>MODERADO</v>
      </c>
      <c r="J7" s="218" t="s">
        <v>122</v>
      </c>
      <c r="K7" s="183" t="s">
        <v>863</v>
      </c>
      <c r="L7" s="185">
        <f>[9]Controles!T9</f>
        <v>100</v>
      </c>
      <c r="M7" s="185" t="str">
        <f>[9]Controles!AB9</f>
        <v>No</v>
      </c>
      <c r="N7" s="186">
        <f>[9]Controles!W9</f>
        <v>1</v>
      </c>
      <c r="O7" s="186">
        <f>[9]Controles!X9</f>
        <v>1</v>
      </c>
      <c r="P7" s="186">
        <f t="shared" ref="P7:Q11" si="0">SUM(N7:N7)</f>
        <v>1</v>
      </c>
      <c r="Q7" s="186">
        <f t="shared" si="0"/>
        <v>1</v>
      </c>
      <c r="R7" s="472">
        <f>IF(D7="Selecciona un descriptor de frecuencia."," ",IF(ROUNDUP(E7-P7,0)&lt;0,1,ROUNDUP(E7-P7,0)))</f>
        <v>1</v>
      </c>
      <c r="S7" s="472">
        <f>IF(G7="Selecciona un descriptor de impacto."," ",IF(ROUNDUP(H7-Q7,0)&lt;0,1,ROUNDUP(H7-Q7,0)))</f>
        <v>2</v>
      </c>
      <c r="T7" s="186" t="str">
        <f>IF(D7="Selecciona un descriptor de frecuencia."," ",VLOOKUP(R7,[9]Datos!$H$8:$I$12,2,FALSE))</f>
        <v>Rara vez</v>
      </c>
      <c r="U7" s="186" t="str">
        <f>IF(G7="Selecciona un descriptor de impacto."," ",VLOOKUP(S7,[9]Datos!$L$8:$M$12,2,FALSE))</f>
        <v>Menor</v>
      </c>
      <c r="V7" s="471" t="str">
        <f>IF(R7=" "," ",VLOOKUP(R7,[9]Datos!$U$8:$Z$12,MATCH(S7,[9]Datos!$V$7:$Z$7,0)+1,FALSE))</f>
        <v>BAJO</v>
      </c>
      <c r="W7" s="219" t="s">
        <v>202</v>
      </c>
    </row>
    <row r="8" spans="1:23" s="199" customFormat="1" ht="42.75" x14ac:dyDescent="0.2">
      <c r="A8" s="473" t="e">
        <f>#REF!</f>
        <v>#REF!</v>
      </c>
      <c r="B8" s="470" t="e">
        <f>#REF!</f>
        <v>#REF!</v>
      </c>
      <c r="C8" s="470" t="e">
        <f>#REF!</f>
        <v>#REF!</v>
      </c>
      <c r="D8" s="219" t="s">
        <v>223</v>
      </c>
      <c r="E8" s="469">
        <f>IF(D8="Selecciona un descriptor de frecuencia."," ",IF(D8="","",VLOOKUP(D8,[9]Datos!$G$8:$J$12,2,FALSE)))</f>
        <v>2</v>
      </c>
      <c r="F8" s="469" t="str">
        <f>IF(D8="Selecciona un descriptor de frecuencia."," ",IF(D8="","",VLOOKUP(D8,[9]Datos!$G$8:$J$12,3,FALSE)))</f>
        <v>Improbable</v>
      </c>
      <c r="G8" s="219" t="s">
        <v>226</v>
      </c>
      <c r="H8" s="473">
        <f>IF(G8="","",VLOOKUP(G8,[9]Datos!$K$8:$L$12,2,FALSE))</f>
        <v>2</v>
      </c>
      <c r="I8" s="471" t="str">
        <f>IF(D8="Selecciona un descriptor de frecuencia."," ",IF(G8="Selecciona un descriptor de impacto."," ",IF(E8+H8=" ","",IF(E8="","",VLOOKUP(E8,[9]Datos!$U$8:$Z$12,MATCH(H8,[9]Datos!$V$7:$Z$7,0)+1,FALSE)))))</f>
        <v>BAJO</v>
      </c>
      <c r="J8" s="219" t="s">
        <v>122</v>
      </c>
      <c r="K8" s="183" t="s">
        <v>864</v>
      </c>
      <c r="L8" s="185">
        <f>[9]Controles!T10</f>
        <v>100</v>
      </c>
      <c r="M8" s="185" t="str">
        <f>[9]Controles!AB10</f>
        <v>No</v>
      </c>
      <c r="N8" s="186">
        <f>[9]Controles!W10</f>
        <v>1</v>
      </c>
      <c r="O8" s="186">
        <f>[9]Controles!X10</f>
        <v>1</v>
      </c>
      <c r="P8" s="474">
        <f t="shared" si="0"/>
        <v>1</v>
      </c>
      <c r="Q8" s="474">
        <f t="shared" si="0"/>
        <v>1</v>
      </c>
      <c r="R8" s="472">
        <f>IF(D8="Selecciona un descriptor de frecuencia."," ",IF(ROUNDUP(E8-P8,0)&lt;0,1,ROUNDUP(E8-P8,0)))</f>
        <v>1</v>
      </c>
      <c r="S8" s="472">
        <f>IF(G8="Selecciona un descriptor de impacto."," ",IF(ROUNDUP(H8-Q8,0)&lt;0,1,ROUNDUP(H8-Q8,0)))</f>
        <v>1</v>
      </c>
      <c r="T8" s="186" t="str">
        <f>IF(D8="Selecciona un descriptor de frecuencia."," ",VLOOKUP(R8,[9]Datos!$H$8:$I$12,2,FALSE))</f>
        <v>Rara vez</v>
      </c>
      <c r="U8" s="186" t="str">
        <f>IF(G8="Selecciona un descriptor de impacto."," ",VLOOKUP(S8,[9]Datos!$L$8:$M$12,2,FALSE))</f>
        <v>Insignificante</v>
      </c>
      <c r="V8" s="471" t="str">
        <f>IF(R8=" "," ",VLOOKUP(R8,[9]Datos!$U$8:$Z$12,MATCH(S8,[9]Datos!$V$7:$Z$7,0)+1,FALSE))</f>
        <v>BAJO</v>
      </c>
      <c r="W8" s="219" t="s">
        <v>202</v>
      </c>
    </row>
    <row r="9" spans="1:23" s="192" customFormat="1" ht="28.5" x14ac:dyDescent="0.2">
      <c r="A9" s="473" t="e">
        <f>#REF!</f>
        <v>#REF!</v>
      </c>
      <c r="B9" s="470" t="e">
        <f>#REF!</f>
        <v>#REF!</v>
      </c>
      <c r="C9" s="470" t="e">
        <f>#REF!</f>
        <v>#REF!</v>
      </c>
      <c r="D9" s="219" t="s">
        <v>181</v>
      </c>
      <c r="E9" s="469">
        <f>IF(D9="Selecciona un descriptor de frecuencia."," ",IF(D9="","",VLOOKUP(D9,[9]Datos!$G$8:$J$12,2,FALSE)))</f>
        <v>5</v>
      </c>
      <c r="F9" s="469" t="str">
        <f>IF(D9="Selecciona un descriptor de frecuencia."," ",IF(D9="","",VLOOKUP(D9,[9]Datos!$G$8:$J$12,3,FALSE)))</f>
        <v>Casi Seguro</v>
      </c>
      <c r="G9" s="219" t="s">
        <v>226</v>
      </c>
      <c r="H9" s="473">
        <f>IF(G9="","",VLOOKUP(G9,[9]Datos!$K$8:$L$12,2,FALSE))</f>
        <v>2</v>
      </c>
      <c r="I9" s="471" t="str">
        <f>IF(D9="Selecciona un descriptor de frecuencia."," ",IF(G9="Selecciona un descriptor de impacto."," ",IF(E9+H9=" ","",IF(E9="","",VLOOKUP(E9,[9]Datos!$U$8:$Z$12,MATCH(H9,[9]Datos!$V$7:$Z$7,0)+1,FALSE)))))</f>
        <v>ALTO</v>
      </c>
      <c r="J9" s="219" t="s">
        <v>263</v>
      </c>
      <c r="K9" s="183" t="s">
        <v>865</v>
      </c>
      <c r="L9" s="185">
        <f>[9]Controles!T11</f>
        <v>0</v>
      </c>
      <c r="M9" s="185" t="str">
        <f>[9]Controles!AB11</f>
        <v>SI</v>
      </c>
      <c r="N9" s="186">
        <f>[9]Controles!W11</f>
        <v>0</v>
      </c>
      <c r="O9" s="186">
        <f>[9]Controles!X11</f>
        <v>0</v>
      </c>
      <c r="P9" s="474">
        <f t="shared" si="0"/>
        <v>0</v>
      </c>
      <c r="Q9" s="474">
        <f t="shared" si="0"/>
        <v>0</v>
      </c>
      <c r="R9" s="472">
        <f>IF(D9="Selecciona un descriptor de frecuencia."," ",IF(ROUNDUP(E9-P9,0)&lt;0,1,ROUNDUP(E9-P9,0)))</f>
        <v>5</v>
      </c>
      <c r="S9" s="472">
        <f>IF(G9="Selecciona un descriptor de impacto."," ",IF(ROUNDUP(H9-Q9,0)&lt;0,1,ROUNDUP(H9-Q9,0)))</f>
        <v>2</v>
      </c>
      <c r="T9" s="186" t="str">
        <f>IF(D9="Selecciona un descriptor de frecuencia."," ",VLOOKUP(R9,[9]Datos!$H$8:$I$12,2,FALSE))</f>
        <v>Casi Seguro</v>
      </c>
      <c r="U9" s="186" t="str">
        <f>IF(G9="Selecciona un descriptor de impacto."," ",VLOOKUP(S9,[9]Datos!$L$8:$M$12,2,FALSE))</f>
        <v>Menor</v>
      </c>
      <c r="V9" s="471" t="str">
        <f>IF(R9=" "," ",VLOOKUP(R9,[9]Datos!$U$8:$Z$12,MATCH(S9,[9]Datos!$V$7:$Z$7,0)+1,FALSE))</f>
        <v>ALTO</v>
      </c>
      <c r="W9" s="219" t="s">
        <v>202</v>
      </c>
    </row>
    <row r="10" spans="1:23" s="192" customFormat="1" ht="128.25" customHeight="1" x14ac:dyDescent="0.2">
      <c r="A10" s="473" t="e">
        <f>#REF!</f>
        <v>#REF!</v>
      </c>
      <c r="B10" s="470" t="e">
        <f>#REF!</f>
        <v>#REF!</v>
      </c>
      <c r="C10" s="470" t="e">
        <f>#REF!</f>
        <v>#REF!</v>
      </c>
      <c r="D10" s="219" t="s">
        <v>223</v>
      </c>
      <c r="E10" s="469">
        <f>IF(D10="Selecciona un descriptor de frecuencia."," ",IF(D10="","",VLOOKUP(D10,[9]Datos!$G$8:$J$12,2,FALSE)))</f>
        <v>2</v>
      </c>
      <c r="F10" s="469" t="str">
        <f>IF(D10="Selecciona un descriptor de frecuencia."," ",IF(D10="","",VLOOKUP(D10,[9]Datos!$G$8:$J$12,3,FALSE)))</f>
        <v>Improbable</v>
      </c>
      <c r="G10" s="219" t="s">
        <v>226</v>
      </c>
      <c r="H10" s="473">
        <f>IF(G10="","",VLOOKUP(G10,[9]Datos!$K$8:$L$12,2,FALSE))</f>
        <v>2</v>
      </c>
      <c r="I10" s="471" t="str">
        <f>IF(D10="Selecciona un descriptor de frecuencia."," ",IF(G10="Selecciona un descriptor de impacto."," ",IF(E10+H10=" ","",IF(E10="","",VLOOKUP(E10,[9]Datos!$U$8:$Z$12,MATCH(H10,[9]Datos!$V$7:$Z$7,0)+1,FALSE)))))</f>
        <v>BAJO</v>
      </c>
      <c r="J10" s="219" t="s">
        <v>122</v>
      </c>
      <c r="K10" s="183" t="s">
        <v>866</v>
      </c>
      <c r="L10" s="185">
        <f>[9]Controles!T12</f>
        <v>100</v>
      </c>
      <c r="M10" s="185" t="str">
        <f>[9]Controles!AB12</f>
        <v>No</v>
      </c>
      <c r="N10" s="186">
        <f>[9]Controles!W12</f>
        <v>1</v>
      </c>
      <c r="O10" s="186">
        <f>[9]Controles!X12</f>
        <v>1</v>
      </c>
      <c r="P10" s="474">
        <f t="shared" si="0"/>
        <v>1</v>
      </c>
      <c r="Q10" s="474">
        <f t="shared" si="0"/>
        <v>1</v>
      </c>
      <c r="R10" s="472">
        <f>IF(D10="Selecciona un descriptor de frecuencia."," ",IF(ROUNDUP(E10-P10,0)&lt;0,1,ROUNDUP(E10-P10,0)))</f>
        <v>1</v>
      </c>
      <c r="S10" s="472">
        <f>IF(G10="Selecciona un descriptor de impacto."," ",IF(ROUNDUP(H10-Q10,0)&lt;0,1,ROUNDUP(H10-Q10,0)))</f>
        <v>1</v>
      </c>
      <c r="T10" s="186" t="str">
        <f>IF(D10="Selecciona un descriptor de frecuencia."," ",VLOOKUP(R10,[9]Datos!$H$8:$I$12,2,FALSE))</f>
        <v>Rara vez</v>
      </c>
      <c r="U10" s="186" t="str">
        <f>IF(G10="Selecciona un descriptor de impacto."," ",VLOOKUP(S10,[9]Datos!$L$8:$M$12,2,FALSE))</f>
        <v>Insignificante</v>
      </c>
      <c r="V10" s="471" t="str">
        <f>IF(R10=" "," ",VLOOKUP(R10,[9]Datos!$U$8:$Z$12,MATCH(S10,[9]Datos!$V$7:$Z$7,0)+1,FALSE))</f>
        <v>BAJO</v>
      </c>
      <c r="W10" s="219" t="s">
        <v>202</v>
      </c>
    </row>
    <row r="11" spans="1:23" s="192" customFormat="1" ht="58.5" customHeight="1" x14ac:dyDescent="0.2">
      <c r="A11" s="475" t="e">
        <f>#REF!</f>
        <v>#REF!</v>
      </c>
      <c r="B11" s="470" t="e">
        <f>#REF!</f>
        <v>#REF!</v>
      </c>
      <c r="C11" s="470" t="e">
        <f>#REF!</f>
        <v>#REF!</v>
      </c>
      <c r="D11" s="219" t="s">
        <v>236</v>
      </c>
      <c r="E11" s="469">
        <f>IF(D11="Selecciona un descriptor de frecuencia."," ",IF(D11="","",VLOOKUP(D11,[9]Datos!$G$8:$J$12,2,FALSE)))</f>
        <v>1</v>
      </c>
      <c r="F11" s="469" t="str">
        <f>IF(D11="Selecciona un descriptor de frecuencia."," ",IF(D11="","",VLOOKUP(D11,[9]Datos!$G$8:$J$12,3,FALSE)))</f>
        <v>Rara vez</v>
      </c>
      <c r="G11" s="219" t="s">
        <v>204</v>
      </c>
      <c r="H11" s="473">
        <f>IF(G11="","",VLOOKUP(G11,[9]Datos!$K$8:$L$12,2,FALSE))</f>
        <v>3</v>
      </c>
      <c r="I11" s="471" t="str">
        <f>IF(D11="Selecciona un descriptor de frecuencia."," ",IF(G11="Selecciona un descriptor de impacto."," ",IF(E11+H11=" ","",IF(E11="","",VLOOKUP(E11,[9]Datos!$U$8:$Z$12,MATCH(H11,[9]Datos!$V$7:$Z$7,0)+1,FALSE)))))</f>
        <v>MODERADO</v>
      </c>
      <c r="J11" s="219" t="s">
        <v>122</v>
      </c>
      <c r="K11" s="183" t="s">
        <v>865</v>
      </c>
      <c r="L11" s="185">
        <f>[9]Controles!T13</f>
        <v>0</v>
      </c>
      <c r="M11" s="185" t="str">
        <f>[9]Controles!AB13</f>
        <v>SI</v>
      </c>
      <c r="N11" s="186">
        <f>[9]Controles!W13</f>
        <v>0</v>
      </c>
      <c r="O11" s="186">
        <f>[9]Controles!X13</f>
        <v>0</v>
      </c>
      <c r="P11" s="474">
        <f t="shared" si="0"/>
        <v>0</v>
      </c>
      <c r="Q11" s="474">
        <f t="shared" si="0"/>
        <v>0</v>
      </c>
      <c r="R11" s="472">
        <f>IF(D11="Selecciona un descriptor de frecuencia."," ",IF(ROUNDUP(E11-P11,0)&lt;0,1,ROUNDUP(E11-P11,0)))</f>
        <v>1</v>
      </c>
      <c r="S11" s="472">
        <f>IF(G11="Selecciona un descriptor de impacto."," ",IF(ROUNDUP(H11-Q11,0)&lt;0,1,ROUNDUP(H11-Q11,0)))</f>
        <v>3</v>
      </c>
      <c r="T11" s="186" t="str">
        <f>IF(D11="Selecciona un descriptor de frecuencia."," ",VLOOKUP(R11,[9]Datos!$H$8:$I$12,2,FALSE))</f>
        <v>Rara vez</v>
      </c>
      <c r="U11" s="186" t="str">
        <f>IF(G11="Selecciona un descriptor de impacto."," ",VLOOKUP(S11,[9]Datos!$L$8:$M$12,2,FALSE))</f>
        <v>Moderado</v>
      </c>
      <c r="V11" s="471" t="str">
        <f>IF(R11=" "," ",VLOOKUP(R11,[9]Datos!$U$8:$Z$12,MATCH(S11,[9]Datos!$V$7:$Z$7,0)+1,FALSE))</f>
        <v>MODERADO</v>
      </c>
      <c r="W11" s="219" t="s">
        <v>202</v>
      </c>
    </row>
  </sheetData>
  <mergeCells count="5">
    <mergeCell ref="A1:C4"/>
    <mergeCell ref="D1:W4"/>
    <mergeCell ref="A5:I5"/>
    <mergeCell ref="K5:O5"/>
    <mergeCell ref="P5:W5"/>
  </mergeCells>
  <conditionalFormatting sqref="I7:J11 V7:W11">
    <cfRule type="cellIs" dxfId="91" priority="1" operator="equal">
      <formula>"Extremo"</formula>
    </cfRule>
    <cfRule type="cellIs" dxfId="90" priority="2" operator="equal">
      <formula>"Moderado"</formula>
    </cfRule>
    <cfRule type="cellIs" dxfId="89" priority="3" operator="equal">
      <formula>"Bajo"</formula>
    </cfRule>
    <cfRule type="cellIs" dxfId="88" priority="4" operator="equal">
      <formula>"Alto"</formula>
    </cfRule>
  </conditionalFormatting>
  <dataValidations count="1">
    <dataValidation type="list" allowBlank="1" showInputMessage="1" showErrorMessage="1" sqref="J7:J11" xr:uid="{00000000-0002-0000-3C00-000000000000}">
      <formula1>"SI,NO"</formula1>
    </dataValidation>
  </dataValidations>
  <pageMargins left="7.874015748031496E-2" right="7.874015748031496E-2" top="1.1417322834645669" bottom="0.15748031496062992" header="0.31496062992125984" footer="0.31496062992125984"/>
  <pageSetup scale="38" orientation="landscape" horizontalDpi="1200" verticalDpi="1200" r:id="rId1"/>
  <headerFooter>
    <oddHeader>&amp;L&amp;G&amp;C
&amp;"-,Negrita"Matriz de Riesgos</oddHeader>
  </headerFooter>
  <rowBreaks count="2" manualBreakCount="2">
    <brk id="8" max="16383" man="1"/>
    <brk id="10" max="16383" man="1"/>
  </rowBreaks>
  <colBreaks count="1" manualBreakCount="1">
    <brk id="15" max="1048575" man="1"/>
  </col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C00-000001000000}">
          <x14:formula1>
            <xm:f>'C:\Users\sgomez.UPME\Documents\UPME 2020\Documents\Mapas de riesgos\[Mapa de Riesgos. Comunicación Estratégica..xlsx]Datos'!#REF!</xm:f>
          </x14:formula1>
          <xm:sqref>G7:G11 W7:W11 D7:D11</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AD13"/>
  <sheetViews>
    <sheetView topLeftCell="A7" zoomScale="55" zoomScaleNormal="55" zoomScaleSheetLayoutView="160" workbookViewId="0">
      <selection activeCell="A11" sqref="A11"/>
    </sheetView>
  </sheetViews>
  <sheetFormatPr baseColWidth="10" defaultColWidth="10" defaultRowHeight="12.75" x14ac:dyDescent="0.2"/>
  <cols>
    <col min="1" max="1" width="6.625" style="212" customWidth="1"/>
    <col min="2" max="2" width="24.875" style="212" customWidth="1"/>
    <col min="3" max="3" width="53.125" style="227" customWidth="1"/>
    <col min="4" max="4" width="25.875" style="182" customWidth="1"/>
    <col min="5" max="5" width="38" style="182" customWidth="1"/>
    <col min="6" max="10" width="21.75" style="212" customWidth="1"/>
    <col min="11" max="11" width="33.875" style="212" customWidth="1"/>
    <col min="12" max="12" width="21.75" style="212" customWidth="1"/>
    <col min="13" max="17" width="19.25" style="226" customWidth="1"/>
    <col min="18" max="18" width="22.625" style="226" customWidth="1"/>
    <col min="19" max="19" width="19.25" style="226" customWidth="1"/>
    <col min="20" max="20" width="8" style="226" customWidth="1"/>
    <col min="21" max="22" width="18.125" style="226" customWidth="1"/>
    <col min="23" max="23" width="17.75" style="226" customWidth="1"/>
    <col min="24" max="24" width="16.25" style="226" customWidth="1"/>
    <col min="25" max="25" width="15.25" style="226" customWidth="1"/>
    <col min="26" max="26" width="18.875" style="226" customWidth="1"/>
    <col min="27" max="27" width="15.625" style="226" customWidth="1"/>
    <col min="28" max="28" width="23.125" style="226" customWidth="1"/>
    <col min="29" max="29" width="22.25" style="227" customWidth="1"/>
    <col min="30" max="30" width="26.5" style="227" customWidth="1"/>
    <col min="31" max="16384" width="10" style="212"/>
  </cols>
  <sheetData>
    <row r="1" spans="1:30" ht="15.75" customHeight="1" x14ac:dyDescent="0.2">
      <c r="A1" s="1165"/>
      <c r="B1" s="1165"/>
      <c r="C1" s="1165"/>
      <c r="D1" s="1166" t="s">
        <v>0</v>
      </c>
      <c r="E1" s="1166"/>
      <c r="F1" s="1166"/>
      <c r="G1" s="1166"/>
      <c r="H1" s="1166"/>
      <c r="I1" s="1166"/>
      <c r="J1" s="1166"/>
      <c r="K1" s="1166"/>
      <c r="L1" s="1166"/>
      <c r="M1" s="1166"/>
      <c r="N1" s="1166"/>
      <c r="O1" s="1166"/>
      <c r="P1" s="1166"/>
      <c r="Q1" s="1166"/>
      <c r="R1" s="1166"/>
      <c r="S1" s="1166"/>
      <c r="T1" s="1166"/>
      <c r="U1" s="1166"/>
      <c r="V1" s="1166"/>
      <c r="W1" s="1166"/>
      <c r="X1" s="1166"/>
      <c r="Y1" s="1166"/>
      <c r="Z1" s="1166"/>
      <c r="AA1" s="1166"/>
      <c r="AB1" s="1166"/>
      <c r="AC1" s="1167" t="s">
        <v>128</v>
      </c>
      <c r="AD1" s="1167"/>
    </row>
    <row r="2" spans="1:30" ht="15.75" customHeight="1" x14ac:dyDescent="0.2">
      <c r="A2" s="1165"/>
      <c r="B2" s="1165"/>
      <c r="C2" s="1165"/>
      <c r="D2" s="1166"/>
      <c r="E2" s="1166"/>
      <c r="F2" s="1166"/>
      <c r="G2" s="1166"/>
      <c r="H2" s="1166"/>
      <c r="I2" s="1166"/>
      <c r="J2" s="1166"/>
      <c r="K2" s="1166"/>
      <c r="L2" s="1166"/>
      <c r="M2" s="1166"/>
      <c r="N2" s="1166"/>
      <c r="O2" s="1166"/>
      <c r="P2" s="1166"/>
      <c r="Q2" s="1166"/>
      <c r="R2" s="1166"/>
      <c r="S2" s="1166"/>
      <c r="T2" s="1166"/>
      <c r="U2" s="1166"/>
      <c r="V2" s="1166"/>
      <c r="W2" s="1166"/>
      <c r="X2" s="1166"/>
      <c r="Y2" s="1166"/>
      <c r="Z2" s="1166"/>
      <c r="AA2" s="1166"/>
      <c r="AB2" s="1166"/>
      <c r="AC2" s="1167"/>
      <c r="AD2" s="1167"/>
    </row>
    <row r="3" spans="1:30" ht="15.75" customHeight="1" x14ac:dyDescent="0.2">
      <c r="A3" s="1165"/>
      <c r="B3" s="1165"/>
      <c r="C3" s="1165"/>
      <c r="D3" s="1166"/>
      <c r="E3" s="1166"/>
      <c r="F3" s="1166"/>
      <c r="G3" s="1166"/>
      <c r="H3" s="1166"/>
      <c r="I3" s="1166"/>
      <c r="J3" s="1166"/>
      <c r="K3" s="1166"/>
      <c r="L3" s="1166"/>
      <c r="M3" s="1166"/>
      <c r="N3" s="1166"/>
      <c r="O3" s="1166"/>
      <c r="P3" s="1166"/>
      <c r="Q3" s="1166"/>
      <c r="R3" s="1166"/>
      <c r="S3" s="1166"/>
      <c r="T3" s="1166"/>
      <c r="U3" s="1166"/>
      <c r="V3" s="1166"/>
      <c r="W3" s="1166"/>
      <c r="X3" s="1166"/>
      <c r="Y3" s="1166"/>
      <c r="Z3" s="1166"/>
      <c r="AA3" s="1166"/>
      <c r="AB3" s="1166"/>
      <c r="AC3" s="1167" t="s">
        <v>2</v>
      </c>
      <c r="AD3" s="1167"/>
    </row>
    <row r="4" spans="1:30" ht="15.75" customHeight="1" x14ac:dyDescent="0.2">
      <c r="A4" s="1165"/>
      <c r="B4" s="1165"/>
      <c r="C4" s="1165"/>
      <c r="D4" s="1166"/>
      <c r="E4" s="1166"/>
      <c r="F4" s="1166"/>
      <c r="G4" s="1166"/>
      <c r="H4" s="1166"/>
      <c r="I4" s="1166"/>
      <c r="J4" s="1166"/>
      <c r="K4" s="1166"/>
      <c r="L4" s="1166"/>
      <c r="M4" s="1166"/>
      <c r="N4" s="1166"/>
      <c r="O4" s="1166"/>
      <c r="P4" s="1166"/>
      <c r="Q4" s="1166"/>
      <c r="R4" s="1166"/>
      <c r="S4" s="1166"/>
      <c r="T4" s="1166"/>
      <c r="U4" s="1166"/>
      <c r="V4" s="1166"/>
      <c r="W4" s="1166"/>
      <c r="X4" s="1166"/>
      <c r="Y4" s="1166"/>
      <c r="Z4" s="1166"/>
      <c r="AA4" s="1166"/>
      <c r="AB4" s="1166"/>
      <c r="AC4" s="1167"/>
      <c r="AD4" s="1167"/>
    </row>
    <row r="5" spans="1:30" ht="15.75" customHeight="1" x14ac:dyDescent="0.2">
      <c r="A5" s="1112" t="s">
        <v>36</v>
      </c>
      <c r="B5" s="1113"/>
      <c r="C5" s="1114"/>
      <c r="D5" s="1168" t="e">
        <f t="array" ref="D5">+#REF!</f>
        <v>#REF!</v>
      </c>
      <c r="E5" s="1169"/>
      <c r="F5" s="1169"/>
      <c r="G5" s="1169"/>
      <c r="H5" s="1169"/>
      <c r="I5" s="1169"/>
      <c r="J5" s="1169"/>
      <c r="K5" s="1169"/>
      <c r="L5" s="1169"/>
      <c r="M5" s="1169"/>
      <c r="N5" s="1169"/>
      <c r="O5" s="1169"/>
      <c r="P5" s="1169"/>
      <c r="Q5" s="1169"/>
      <c r="R5" s="1169"/>
      <c r="S5" s="1169"/>
      <c r="T5" s="1169"/>
      <c r="U5" s="1169"/>
      <c r="V5" s="1169"/>
      <c r="W5" s="1169"/>
      <c r="X5" s="1169"/>
      <c r="Y5" s="1169"/>
      <c r="Z5" s="1169"/>
      <c r="AA5" s="1169"/>
      <c r="AB5" s="1169"/>
      <c r="AC5" s="1169"/>
      <c r="AD5" s="1169"/>
    </row>
    <row r="6" spans="1:30" ht="15.75" customHeight="1" thickBot="1" x14ac:dyDescent="0.25">
      <c r="A6" s="1112" t="s">
        <v>37</v>
      </c>
      <c r="B6" s="1113"/>
      <c r="C6" s="1114"/>
      <c r="D6" s="1168" t="e">
        <f t="array" ref="D6">+#REF!</f>
        <v>#REF!</v>
      </c>
      <c r="E6" s="1169"/>
      <c r="F6" s="1169"/>
      <c r="G6" s="1169"/>
      <c r="H6" s="1169"/>
      <c r="I6" s="1169"/>
      <c r="J6" s="1169"/>
      <c r="K6" s="1169"/>
      <c r="L6" s="1169"/>
      <c r="M6" s="1169"/>
      <c r="N6" s="1169"/>
      <c r="O6" s="1169"/>
      <c r="P6" s="1169"/>
      <c r="Q6" s="1169"/>
      <c r="R6" s="1169"/>
      <c r="S6" s="1169"/>
      <c r="T6" s="1169"/>
      <c r="U6" s="1169"/>
      <c r="V6" s="1169"/>
      <c r="W6" s="1169"/>
      <c r="X6" s="1169"/>
      <c r="Y6" s="1169"/>
      <c r="Z6" s="1169"/>
      <c r="AA6" s="1169"/>
      <c r="AB6" s="1169"/>
      <c r="AC6" s="1169"/>
      <c r="AD6" s="1169"/>
    </row>
    <row r="7" spans="1:30" ht="15" customHeight="1" x14ac:dyDescent="0.2">
      <c r="A7" s="1170" t="s">
        <v>129</v>
      </c>
      <c r="B7" s="1171"/>
      <c r="C7" s="1171"/>
      <c r="D7" s="1171"/>
      <c r="E7" s="1171"/>
      <c r="F7" s="1171"/>
      <c r="G7" s="1171"/>
      <c r="H7" s="1171"/>
      <c r="I7" s="1171"/>
      <c r="J7" s="1171"/>
      <c r="K7" s="1171"/>
      <c r="L7" s="1171"/>
      <c r="M7" s="1171" t="s">
        <v>75</v>
      </c>
      <c r="N7" s="1171"/>
      <c r="O7" s="1171"/>
      <c r="P7" s="1171"/>
      <c r="Q7" s="1171"/>
      <c r="R7" s="1171"/>
      <c r="S7" s="1171"/>
      <c r="T7" s="1171"/>
      <c r="U7" s="1171"/>
      <c r="V7" s="1171"/>
      <c r="W7" s="1171"/>
      <c r="X7" s="1171"/>
      <c r="Y7" s="1171"/>
      <c r="Z7" s="1172" t="s">
        <v>130</v>
      </c>
      <c r="AA7" s="1172"/>
      <c r="AB7" s="1172"/>
      <c r="AC7" s="1173" t="s">
        <v>131</v>
      </c>
      <c r="AD7" s="1174"/>
    </row>
    <row r="8" spans="1:30" ht="51" x14ac:dyDescent="0.2">
      <c r="A8" s="213" t="s">
        <v>44</v>
      </c>
      <c r="B8" s="214" t="s">
        <v>64</v>
      </c>
      <c r="C8" s="214" t="s">
        <v>132</v>
      </c>
      <c r="D8" s="214" t="s">
        <v>73</v>
      </c>
      <c r="E8" s="214" t="s">
        <v>133</v>
      </c>
      <c r="F8" s="214" t="s">
        <v>134</v>
      </c>
      <c r="G8" s="214" t="s">
        <v>135</v>
      </c>
      <c r="H8" s="214" t="s">
        <v>136</v>
      </c>
      <c r="I8" s="214" t="s">
        <v>137</v>
      </c>
      <c r="J8" s="214" t="s">
        <v>138</v>
      </c>
      <c r="K8" s="214" t="s">
        <v>139</v>
      </c>
      <c r="L8" s="214" t="s">
        <v>140</v>
      </c>
      <c r="M8" s="214" t="s">
        <v>134</v>
      </c>
      <c r="N8" s="214" t="s">
        <v>135</v>
      </c>
      <c r="O8" s="214" t="s">
        <v>141</v>
      </c>
      <c r="P8" s="214" t="s">
        <v>137</v>
      </c>
      <c r="Q8" s="214" t="s">
        <v>138</v>
      </c>
      <c r="R8" s="214" t="s">
        <v>139</v>
      </c>
      <c r="S8" s="214" t="s">
        <v>140</v>
      </c>
      <c r="T8" s="215" t="s">
        <v>121</v>
      </c>
      <c r="U8" s="214" t="s">
        <v>142</v>
      </c>
      <c r="V8" s="214" t="s">
        <v>143</v>
      </c>
      <c r="W8" s="214" t="s">
        <v>142</v>
      </c>
      <c r="X8" s="214" t="s">
        <v>143</v>
      </c>
      <c r="Y8" s="214" t="s">
        <v>144</v>
      </c>
      <c r="Z8" s="214" t="s">
        <v>145</v>
      </c>
      <c r="AA8" s="214" t="s">
        <v>146</v>
      </c>
      <c r="AB8" s="214" t="s">
        <v>76</v>
      </c>
      <c r="AC8" s="214" t="s">
        <v>147</v>
      </c>
      <c r="AD8" s="216" t="s">
        <v>148</v>
      </c>
    </row>
    <row r="9" spans="1:30" s="192" customFormat="1" ht="90.75" customHeight="1" x14ac:dyDescent="0.2">
      <c r="A9" s="476" t="e">
        <f>#REF!</f>
        <v>#REF!</v>
      </c>
      <c r="B9" s="316" t="e">
        <f>#REF!</f>
        <v>#REF!</v>
      </c>
      <c r="C9" s="477" t="e">
        <f>#REF!</f>
        <v>#REF!</v>
      </c>
      <c r="D9" s="217" t="str">
        <f>'[9]Analisis Riesgo'!K7</f>
        <v>Se cuenta con una guía metodológica general de crisis.</v>
      </c>
      <c r="E9" s="316" t="str">
        <f>+'[9]Analisis Riesgo'!K7</f>
        <v>Se cuenta con una guía metodológica general de crisis.</v>
      </c>
      <c r="F9" s="218" t="s">
        <v>296</v>
      </c>
      <c r="G9" s="218" t="s">
        <v>299</v>
      </c>
      <c r="H9" s="218" t="s">
        <v>300</v>
      </c>
      <c r="I9" s="218" t="s">
        <v>301</v>
      </c>
      <c r="J9" s="218" t="s">
        <v>302</v>
      </c>
      <c r="K9" s="219" t="s">
        <v>303</v>
      </c>
      <c r="L9" s="218" t="s">
        <v>304</v>
      </c>
      <c r="M9" s="185">
        <f>IF(F9="Asignado", 15,0)</f>
        <v>15</v>
      </c>
      <c r="N9" s="185">
        <f>IF(G9="Adecuado",15,0)</f>
        <v>15</v>
      </c>
      <c r="O9" s="185">
        <f t="shared" ref="O9:O13" si="0">IF(H9="Oportuna",15,0)</f>
        <v>15</v>
      </c>
      <c r="P9" s="185">
        <f t="shared" ref="P9:P13" si="1">IF(I9="Prevenir",15,IF(I9="Detectar",10,0))</f>
        <v>15</v>
      </c>
      <c r="Q9" s="185">
        <f t="shared" ref="Q9:Q13" si="2">IF(J9="Confiable", 15,0)</f>
        <v>15</v>
      </c>
      <c r="R9" s="185">
        <f>IF(K9="Se investigan y resuelven oportunamente", 15,0)</f>
        <v>15</v>
      </c>
      <c r="S9" s="185">
        <f t="shared" ref="S9" si="3">IF(L9="Completa",10,IF(L9="Incompleta",5,0))</f>
        <v>10</v>
      </c>
      <c r="T9" s="185">
        <f t="shared" ref="T9:T13" si="4">SUM(M9:S9)</f>
        <v>100</v>
      </c>
      <c r="U9" s="218" t="s">
        <v>122</v>
      </c>
      <c r="V9" s="218" t="s">
        <v>122</v>
      </c>
      <c r="W9" s="185">
        <f t="shared" ref="W9:W13" si="5">IF(U9="SI",1,0)*T9/100</f>
        <v>1</v>
      </c>
      <c r="X9" s="185">
        <f t="shared" ref="X9:X13" si="6">IF(V9="SI",1,0)*T9/100</f>
        <v>1</v>
      </c>
      <c r="Y9" s="185" t="str">
        <f t="shared" ref="Y9:Y13" si="7">IF(W9&gt;=0.96,"Fuerte",IF(W9&gt;=0.86,"Moderado","Debil"))</f>
        <v>Fuerte</v>
      </c>
      <c r="Z9" s="218" t="s">
        <v>305</v>
      </c>
      <c r="AA9" s="185" t="str">
        <f t="shared" ref="AA9:AA13" si="8">IF(Z9="Siempre se ejecuta","Fuerte",IF(Z9="Algunas veces se ejecuta","Moderado","Debil"))</f>
        <v>Fuerte</v>
      </c>
      <c r="AB9" s="185" t="str">
        <f>IF(Y9="Fuerte",IF(AA9="Fuerte","No","SI"),"SI")</f>
        <v>No</v>
      </c>
      <c r="AC9" s="220"/>
      <c r="AD9" s="221"/>
    </row>
    <row r="10" spans="1:30" s="192" customFormat="1" ht="107.25" customHeight="1" x14ac:dyDescent="0.2">
      <c r="A10" s="476" t="e">
        <f>#REF!</f>
        <v>#REF!</v>
      </c>
      <c r="B10" s="316" t="e">
        <f>#REF!</f>
        <v>#REF!</v>
      </c>
      <c r="C10" s="478" t="e">
        <f>#REF!</f>
        <v>#REF!</v>
      </c>
      <c r="D10" s="316" t="str">
        <f>'[9]Analisis Riesgo'!K8</f>
        <v>Se diseñó una política editorial con unos niveles de servicios sugeridos.</v>
      </c>
      <c r="E10" s="316" t="str">
        <f>+'[9]Analisis Riesgo'!K8</f>
        <v>Se diseñó una política editorial con unos niveles de servicios sugeridos.</v>
      </c>
      <c r="F10" s="218" t="s">
        <v>296</v>
      </c>
      <c r="G10" s="218" t="s">
        <v>299</v>
      </c>
      <c r="H10" s="218" t="s">
        <v>300</v>
      </c>
      <c r="I10" s="218" t="s">
        <v>301</v>
      </c>
      <c r="J10" s="218" t="s">
        <v>302</v>
      </c>
      <c r="K10" s="219" t="s">
        <v>303</v>
      </c>
      <c r="L10" s="218" t="s">
        <v>304</v>
      </c>
      <c r="M10" s="185">
        <f t="shared" ref="M10:M13" si="9">IF(F10="Asignado", 15,0)</f>
        <v>15</v>
      </c>
      <c r="N10" s="185">
        <f t="shared" ref="N10:N13" si="10">IF(G10="Adecuado",15,0)</f>
        <v>15</v>
      </c>
      <c r="O10" s="185">
        <f t="shared" si="0"/>
        <v>15</v>
      </c>
      <c r="P10" s="185">
        <f t="shared" si="1"/>
        <v>15</v>
      </c>
      <c r="Q10" s="185">
        <f t="shared" si="2"/>
        <v>15</v>
      </c>
      <c r="R10" s="185">
        <f>IF(K10="Se investigan y resuelven oportunamente", 15,0)</f>
        <v>15</v>
      </c>
      <c r="S10" s="185">
        <f>IF(L10="Completa",10,IF(L10="Incompleta",5,0))</f>
        <v>10</v>
      </c>
      <c r="T10" s="185">
        <f t="shared" si="4"/>
        <v>100</v>
      </c>
      <c r="U10" s="218" t="s">
        <v>122</v>
      </c>
      <c r="V10" s="218" t="s">
        <v>122</v>
      </c>
      <c r="W10" s="185">
        <f t="shared" si="5"/>
        <v>1</v>
      </c>
      <c r="X10" s="185">
        <f t="shared" si="6"/>
        <v>1</v>
      </c>
      <c r="Y10" s="185" t="str">
        <f t="shared" si="7"/>
        <v>Fuerte</v>
      </c>
      <c r="Z10" s="218" t="s">
        <v>305</v>
      </c>
      <c r="AA10" s="185" t="str">
        <f t="shared" si="8"/>
        <v>Fuerte</v>
      </c>
      <c r="AB10" s="185" t="str">
        <f t="shared" ref="AB10:AB13" si="11">IF(Y10="Fuerte",IF(AA10="Fuerte","No","SI"),"SI")</f>
        <v>No</v>
      </c>
      <c r="AC10" s="223"/>
      <c r="AD10" s="221"/>
    </row>
    <row r="11" spans="1:30" s="192" customFormat="1" ht="193.5" customHeight="1" x14ac:dyDescent="0.2">
      <c r="A11" s="476" t="e">
        <f>#REF!</f>
        <v>#REF!</v>
      </c>
      <c r="B11" s="316" t="e">
        <f>#REF!</f>
        <v>#REF!</v>
      </c>
      <c r="C11" s="478" t="e">
        <f>#REF!</f>
        <v>#REF!</v>
      </c>
      <c r="D11" s="316" t="str">
        <f>'[9]Analisis Riesgo'!K9</f>
        <v>No se cuentan con controles.</v>
      </c>
      <c r="E11" s="316" t="str">
        <f>+'[9]Analisis Riesgo'!K9</f>
        <v>No se cuentan con controles.</v>
      </c>
      <c r="F11" s="218" t="s">
        <v>833</v>
      </c>
      <c r="G11" s="218" t="s">
        <v>834</v>
      </c>
      <c r="H11" s="218" t="s">
        <v>867</v>
      </c>
      <c r="I11" s="218" t="s">
        <v>868</v>
      </c>
      <c r="J11" s="218" t="s">
        <v>869</v>
      </c>
      <c r="K11" s="219" t="s">
        <v>870</v>
      </c>
      <c r="L11" s="218" t="s">
        <v>871</v>
      </c>
      <c r="M11" s="185">
        <f t="shared" si="9"/>
        <v>0</v>
      </c>
      <c r="N11" s="185">
        <f t="shared" si="10"/>
        <v>0</v>
      </c>
      <c r="O11" s="185">
        <f t="shared" si="0"/>
        <v>0</v>
      </c>
      <c r="P11" s="185">
        <f t="shared" si="1"/>
        <v>0</v>
      </c>
      <c r="Q11" s="185">
        <f t="shared" si="2"/>
        <v>0</v>
      </c>
      <c r="R11" s="185">
        <f t="shared" ref="R11:R13" si="12">IF(K11="Se invesigan y resuelven oportunamente",15,0)</f>
        <v>0</v>
      </c>
      <c r="S11" s="185">
        <f t="shared" ref="S11:S13" si="13">IF(L11="Completa",10,IF(L11="Incompleta",5,0))</f>
        <v>0</v>
      </c>
      <c r="T11" s="185">
        <f t="shared" si="4"/>
        <v>0</v>
      </c>
      <c r="U11" s="218" t="s">
        <v>263</v>
      </c>
      <c r="V11" s="218" t="s">
        <v>263</v>
      </c>
      <c r="W11" s="185">
        <f t="shared" si="5"/>
        <v>0</v>
      </c>
      <c r="X11" s="185">
        <f t="shared" si="6"/>
        <v>0</v>
      </c>
      <c r="Y11" s="185" t="str">
        <f t="shared" si="7"/>
        <v>Debil</v>
      </c>
      <c r="Z11" s="218" t="s">
        <v>872</v>
      </c>
      <c r="AA11" s="185" t="str">
        <f t="shared" si="8"/>
        <v>Debil</v>
      </c>
      <c r="AB11" s="185" t="str">
        <f t="shared" si="11"/>
        <v>SI</v>
      </c>
      <c r="AC11" s="224"/>
      <c r="AD11" s="221"/>
    </row>
    <row r="12" spans="1:30" s="192" customFormat="1" ht="105" customHeight="1" x14ac:dyDescent="0.2">
      <c r="A12" s="476" t="e">
        <f>#REF!</f>
        <v>#REF!</v>
      </c>
      <c r="B12" s="316" t="e">
        <f>#REF!</f>
        <v>#REF!</v>
      </c>
      <c r="C12" s="478" t="e">
        <f>#REF!</f>
        <v>#REF!</v>
      </c>
      <c r="D12" s="316" t="str">
        <f>'[9]Analisis Riesgo'!K10</f>
        <v>Campañas de comunicación Interna</v>
      </c>
      <c r="E12" s="316" t="str">
        <f>+'[9]Analisis Riesgo'!K10</f>
        <v>Campañas de comunicación Interna</v>
      </c>
      <c r="F12" s="218" t="s">
        <v>296</v>
      </c>
      <c r="G12" s="218" t="s">
        <v>299</v>
      </c>
      <c r="H12" s="218" t="s">
        <v>300</v>
      </c>
      <c r="I12" s="218" t="s">
        <v>301</v>
      </c>
      <c r="J12" s="218" t="s">
        <v>302</v>
      </c>
      <c r="K12" s="219" t="s">
        <v>303</v>
      </c>
      <c r="L12" s="218" t="s">
        <v>304</v>
      </c>
      <c r="M12" s="185">
        <f t="shared" si="9"/>
        <v>15</v>
      </c>
      <c r="N12" s="185">
        <f t="shared" si="10"/>
        <v>15</v>
      </c>
      <c r="O12" s="185">
        <f t="shared" si="0"/>
        <v>15</v>
      </c>
      <c r="P12" s="185">
        <f t="shared" si="1"/>
        <v>15</v>
      </c>
      <c r="Q12" s="185">
        <f t="shared" si="2"/>
        <v>15</v>
      </c>
      <c r="R12" s="185">
        <f>IF(K12="Se investigan y resuelven oportunamente", 15,0)</f>
        <v>15</v>
      </c>
      <c r="S12" s="185">
        <f t="shared" si="13"/>
        <v>10</v>
      </c>
      <c r="T12" s="185">
        <f t="shared" si="4"/>
        <v>100</v>
      </c>
      <c r="U12" s="218" t="s">
        <v>122</v>
      </c>
      <c r="V12" s="218" t="s">
        <v>122</v>
      </c>
      <c r="W12" s="185">
        <f t="shared" si="5"/>
        <v>1</v>
      </c>
      <c r="X12" s="185">
        <f t="shared" si="6"/>
        <v>1</v>
      </c>
      <c r="Y12" s="185" t="str">
        <f t="shared" si="7"/>
        <v>Fuerte</v>
      </c>
      <c r="Z12" s="218" t="s">
        <v>305</v>
      </c>
      <c r="AA12" s="185" t="str">
        <f t="shared" si="8"/>
        <v>Fuerte</v>
      </c>
      <c r="AB12" s="185" t="str">
        <f t="shared" si="11"/>
        <v>No</v>
      </c>
      <c r="AC12" s="222"/>
      <c r="AD12" s="221"/>
    </row>
    <row r="13" spans="1:30" s="192" customFormat="1" ht="105.75" customHeight="1" x14ac:dyDescent="0.2">
      <c r="A13" s="476" t="e">
        <f>#REF!</f>
        <v>#REF!</v>
      </c>
      <c r="B13" s="316" t="e">
        <f>#REF!</f>
        <v>#REF!</v>
      </c>
      <c r="C13" s="478" t="e">
        <f>#REF!</f>
        <v>#REF!</v>
      </c>
      <c r="D13" s="316" t="str">
        <f>'[9]Analisis Riesgo'!K11</f>
        <v>No se cuentan con controles.</v>
      </c>
      <c r="E13" s="316" t="str">
        <f>+'[9]Analisis Riesgo'!K11</f>
        <v>No se cuentan con controles.</v>
      </c>
      <c r="F13" s="218" t="s">
        <v>833</v>
      </c>
      <c r="G13" s="218" t="s">
        <v>834</v>
      </c>
      <c r="H13" s="218" t="s">
        <v>867</v>
      </c>
      <c r="I13" s="218" t="s">
        <v>868</v>
      </c>
      <c r="J13" s="218" t="s">
        <v>869</v>
      </c>
      <c r="K13" s="219" t="s">
        <v>870</v>
      </c>
      <c r="L13" s="218" t="s">
        <v>871</v>
      </c>
      <c r="M13" s="185">
        <f t="shared" si="9"/>
        <v>0</v>
      </c>
      <c r="N13" s="185">
        <f t="shared" si="10"/>
        <v>0</v>
      </c>
      <c r="O13" s="185">
        <f t="shared" si="0"/>
        <v>0</v>
      </c>
      <c r="P13" s="185">
        <f t="shared" si="1"/>
        <v>0</v>
      </c>
      <c r="Q13" s="185">
        <f t="shared" si="2"/>
        <v>0</v>
      </c>
      <c r="R13" s="185">
        <f t="shared" si="12"/>
        <v>0</v>
      </c>
      <c r="S13" s="185">
        <f t="shared" si="13"/>
        <v>0</v>
      </c>
      <c r="T13" s="185">
        <f t="shared" si="4"/>
        <v>0</v>
      </c>
      <c r="U13" s="218" t="s">
        <v>263</v>
      </c>
      <c r="V13" s="218" t="s">
        <v>263</v>
      </c>
      <c r="W13" s="185">
        <f t="shared" si="5"/>
        <v>0</v>
      </c>
      <c r="X13" s="185">
        <f t="shared" si="6"/>
        <v>0</v>
      </c>
      <c r="Y13" s="185" t="str">
        <f t="shared" si="7"/>
        <v>Debil</v>
      </c>
      <c r="Z13" s="218" t="s">
        <v>872</v>
      </c>
      <c r="AA13" s="185" t="str">
        <f t="shared" si="8"/>
        <v>Debil</v>
      </c>
      <c r="AB13" s="185" t="str">
        <f t="shared" si="11"/>
        <v>SI</v>
      </c>
      <c r="AC13" s="222"/>
      <c r="AD13" s="221"/>
    </row>
  </sheetData>
  <mergeCells count="12">
    <mergeCell ref="A6:C6"/>
    <mergeCell ref="D6:AD6"/>
    <mergeCell ref="A7:L7"/>
    <mergeCell ref="M7:Y7"/>
    <mergeCell ref="Z7:AB7"/>
    <mergeCell ref="AC7:AD7"/>
    <mergeCell ref="A1:C4"/>
    <mergeCell ref="D1:AB4"/>
    <mergeCell ref="AC1:AD2"/>
    <mergeCell ref="AC3:AD4"/>
    <mergeCell ref="A5:C5"/>
    <mergeCell ref="D5:AD5"/>
  </mergeCells>
  <dataValidations count="18">
    <dataValidation type="list" allowBlank="1" showInputMessage="1" showErrorMessage="1" sqref="Z11 Z13" xr:uid="{00000000-0002-0000-3D00-000000000000}">
      <formula1>"Siempre se ejecuta,Algunas veces se ejecuta,No se ejecuta"</formula1>
    </dataValidation>
    <dataValidation type="list" allowBlank="1" showInputMessage="1" showErrorMessage="1" sqref="F11 F13" xr:uid="{00000000-0002-0000-3D00-000001000000}">
      <formula1>"Asignado, No asignado"</formula1>
    </dataValidation>
    <dataValidation type="list" allowBlank="1" showInputMessage="1" showErrorMessage="1" sqref="G11 G13" xr:uid="{00000000-0002-0000-3D00-000002000000}">
      <formula1>"Adecuado, Inadecuado"</formula1>
    </dataValidation>
    <dataValidation type="list" allowBlank="1" showInputMessage="1" showErrorMessage="1" sqref="H11 H13" xr:uid="{00000000-0002-0000-3D00-000003000000}">
      <formula1>"Oportuna, Inoportuna"</formula1>
    </dataValidation>
    <dataValidation type="list" allowBlank="1" showInputMessage="1" showErrorMessage="1" sqref="I11 I13" xr:uid="{00000000-0002-0000-3D00-000004000000}">
      <formula1>"Prevenir, Detectar, No es un control"</formula1>
    </dataValidation>
    <dataValidation type="list" allowBlank="1" showInputMessage="1" showErrorMessage="1" sqref="J11 J13" xr:uid="{00000000-0002-0000-3D00-000005000000}">
      <formula1>"Confiable, No Confiable"</formula1>
    </dataValidation>
    <dataValidation type="list" allowBlank="1" showInputMessage="1" showErrorMessage="1" sqref="K11 K13" xr:uid="{00000000-0002-0000-3D00-000006000000}">
      <formula1>"Se invesigan y resuelven oportunamente, No se investigan y resuelven oportunamente"</formula1>
    </dataValidation>
    <dataValidation type="list" allowBlank="1" showInputMessage="1" showErrorMessage="1" sqref="L11 L13" xr:uid="{00000000-0002-0000-3D00-000007000000}">
      <formula1>"Completa, Incompleta, No existe"</formula1>
    </dataValidation>
    <dataValidation type="list" allowBlank="1" showInputMessage="1" showErrorMessage="1" sqref="U11:V11 U13:V13" xr:uid="{00000000-0002-0000-3D00-000008000000}">
      <formula1>"SI, NO"</formula1>
    </dataValidation>
    <dataValidation type="list" allowBlank="1" showInputMessage="1" showErrorMessage="1" sqref="Z9:Z10 Z12" xr:uid="{00000000-0002-0000-3D00-000009000000}">
      <formula1>"Siempre se ejecuta,Algunas veces se ejecuta,No se ejecuta,Seleccione"</formula1>
    </dataValidation>
    <dataValidation type="list" allowBlank="1" showInputMessage="1" showErrorMessage="1" sqref="U9:V10 U12:V12" xr:uid="{00000000-0002-0000-3D00-00000A000000}">
      <formula1>"SI, NO,Seleccione"</formula1>
    </dataValidation>
    <dataValidation type="list" allowBlank="1" showInputMessage="1" showErrorMessage="1" sqref="L9:L10 L12" xr:uid="{00000000-0002-0000-3D00-00000B000000}">
      <formula1>"Completa, Incompleta, No existe,Seleccione"</formula1>
    </dataValidation>
    <dataValidation type="list" allowBlank="1" showInputMessage="1" showErrorMessage="1" sqref="K9:K10 K12" xr:uid="{00000000-0002-0000-3D00-00000C000000}">
      <formula1>"Se investigan y resuelven oportunamente, No se investigan y resuelven oportunamente,Seleccione"</formula1>
    </dataValidation>
    <dataValidation type="list" allowBlank="1" showInputMessage="1" showErrorMessage="1" sqref="J9:J10 J12" xr:uid="{00000000-0002-0000-3D00-00000D000000}">
      <formula1>"Confiable, No Confiable,Seleccione"</formula1>
    </dataValidation>
    <dataValidation type="list" allowBlank="1" showInputMessage="1" showErrorMessage="1" sqref="I9:I10 I12" xr:uid="{00000000-0002-0000-3D00-00000E000000}">
      <formula1>"Prevenir, Detectar, No es un control,Seleccione"</formula1>
    </dataValidation>
    <dataValidation type="list" allowBlank="1" showInputMessage="1" showErrorMessage="1" sqref="H9:H10 H12" xr:uid="{00000000-0002-0000-3D00-00000F000000}">
      <formula1>"Oportuna, Inoportuna,Seleccione"</formula1>
    </dataValidation>
    <dataValidation type="list" allowBlank="1" showInputMessage="1" showErrorMessage="1" sqref="G9:G10 G12" xr:uid="{00000000-0002-0000-3D00-000010000000}">
      <formula1>"Adecuado, Inadecuado,Seleccione"</formula1>
    </dataValidation>
    <dataValidation type="list" allowBlank="1" showInputMessage="1" showErrorMessage="1" sqref="F9:F10 F12" xr:uid="{00000000-0002-0000-3D00-000011000000}">
      <formula1>"Asignado, No asignado, Seleccione"</formula1>
    </dataValidation>
  </dataValidations>
  <pageMargins left="0.11811023622047245" right="0.11811023622047245" top="1.1417322834645669" bottom="0.74803149606299213" header="0.31496062992125984" footer="0.31496062992125984"/>
  <pageSetup scale="36" orientation="landscape" horizontalDpi="1200" verticalDpi="1200" r:id="rId1"/>
  <headerFooter>
    <oddHeader>&amp;L&amp;G&amp;C
&amp;"-,Negrita"Matriz de Riesgos</oddHeader>
  </headerFooter>
  <rowBreaks count="2" manualBreakCount="2">
    <brk id="10" max="16383" man="1"/>
    <brk id="12" max="16383" man="1"/>
  </rowBreaks>
  <colBreaks count="1" manualBreakCount="1">
    <brk id="12" max="1048575" man="1"/>
  </colBreaks>
  <drawing r:id="rId2"/>
  <legacyDrawingHF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X9"/>
  <sheetViews>
    <sheetView zoomScale="70" zoomScaleNormal="70" workbookViewId="0">
      <selection activeCell="C5" sqref="C5"/>
    </sheetView>
  </sheetViews>
  <sheetFormatPr baseColWidth="10" defaultRowHeight="15" x14ac:dyDescent="0.2"/>
  <cols>
    <col min="1" max="1" width="3.625" style="534" customWidth="1"/>
    <col min="2" max="2" width="20.25" style="534" customWidth="1"/>
    <col min="3" max="3" width="38.875" style="534" customWidth="1"/>
    <col min="4" max="4" width="38.5" style="534" customWidth="1"/>
    <col min="5" max="5" width="20.5" style="534" customWidth="1"/>
    <col min="6" max="6" width="11" style="534"/>
    <col min="7" max="7" width="23" style="534" customWidth="1"/>
    <col min="8" max="10" width="19.375" style="534" customWidth="1"/>
    <col min="11" max="11" width="18.25" style="534" customWidth="1"/>
    <col min="12" max="12" width="41.625" style="534" customWidth="1"/>
    <col min="13" max="13" width="27.25" style="534" customWidth="1"/>
    <col min="14" max="15" width="10.75" style="534" customWidth="1"/>
    <col min="16" max="16" width="27.25" style="534" customWidth="1"/>
    <col min="17" max="22" width="25.75" style="534" customWidth="1"/>
    <col min="23" max="23" width="33.5" style="534" customWidth="1"/>
    <col min="24" max="24" width="45.625" style="534" customWidth="1"/>
    <col min="25" max="16384" width="11" style="534"/>
  </cols>
  <sheetData>
    <row r="1" spans="1:24" ht="40.5" customHeight="1" x14ac:dyDescent="0.2">
      <c r="A1" s="1179"/>
      <c r="B1" s="1179"/>
      <c r="C1" s="1179"/>
      <c r="D1" s="1180" t="s">
        <v>314</v>
      </c>
      <c r="E1" s="1181"/>
      <c r="F1" s="1181"/>
      <c r="G1" s="1181"/>
      <c r="H1" s="1181"/>
      <c r="I1" s="1181"/>
      <c r="J1" s="1181"/>
      <c r="K1" s="1181"/>
      <c r="L1" s="1181"/>
      <c r="M1" s="1181"/>
      <c r="N1" s="1181"/>
      <c r="O1" s="1181"/>
      <c r="P1" s="1181"/>
      <c r="Q1" s="1181"/>
      <c r="R1" s="1181"/>
      <c r="S1" s="1181"/>
      <c r="T1" s="1181"/>
      <c r="U1" s="1181"/>
      <c r="V1" s="1182"/>
      <c r="W1" s="532" t="s">
        <v>315</v>
      </c>
      <c r="X1" s="533"/>
    </row>
    <row r="2" spans="1:24" ht="40.5" customHeight="1" x14ac:dyDescent="0.2">
      <c r="A2" s="1179"/>
      <c r="B2" s="1179"/>
      <c r="C2" s="1179"/>
      <c r="D2" s="1183"/>
      <c r="E2" s="1184"/>
      <c r="F2" s="1184"/>
      <c r="G2" s="1184"/>
      <c r="H2" s="1184"/>
      <c r="I2" s="1184"/>
      <c r="J2" s="1184"/>
      <c r="K2" s="1184"/>
      <c r="L2" s="1184"/>
      <c r="M2" s="1184"/>
      <c r="N2" s="1184"/>
      <c r="O2" s="1184"/>
      <c r="P2" s="1184"/>
      <c r="Q2" s="1184"/>
      <c r="R2" s="1184"/>
      <c r="S2" s="1184"/>
      <c r="T2" s="1184"/>
      <c r="U2" s="1184"/>
      <c r="V2" s="1185"/>
      <c r="W2" s="532" t="s">
        <v>316</v>
      </c>
      <c r="X2" s="533"/>
    </row>
    <row r="3" spans="1:24" ht="30" x14ac:dyDescent="0.2">
      <c r="A3" s="1186" t="s">
        <v>57</v>
      </c>
      <c r="B3" s="1187"/>
      <c r="C3" s="1187"/>
      <c r="D3" s="1187"/>
      <c r="E3" s="1187"/>
      <c r="F3" s="1187"/>
      <c r="G3" s="1188"/>
      <c r="H3" s="1189"/>
      <c r="I3" s="1189"/>
      <c r="J3" s="1189"/>
      <c r="K3" s="1189"/>
      <c r="L3" s="1190" t="s">
        <v>60</v>
      </c>
      <c r="M3" s="1189"/>
      <c r="N3" s="1189"/>
      <c r="O3" s="1189"/>
      <c r="P3" s="1191"/>
      <c r="Q3" s="1192" t="s">
        <v>61</v>
      </c>
      <c r="R3" s="1193"/>
      <c r="S3" s="1193"/>
      <c r="T3" s="1193"/>
      <c r="U3" s="1193"/>
      <c r="V3" s="1194"/>
      <c r="W3" s="535" t="s">
        <v>62</v>
      </c>
      <c r="X3" s="535" t="s">
        <v>63</v>
      </c>
    </row>
    <row r="4" spans="1:24" ht="38.25" x14ac:dyDescent="0.2">
      <c r="A4" s="698" t="s">
        <v>44</v>
      </c>
      <c r="B4" s="699" t="s">
        <v>64</v>
      </c>
      <c r="C4" s="699" t="s">
        <v>65</v>
      </c>
      <c r="D4" s="699" t="s">
        <v>317</v>
      </c>
      <c r="E4" s="699" t="s">
        <v>68</v>
      </c>
      <c r="F4" s="699" t="s">
        <v>69</v>
      </c>
      <c r="G4" s="700" t="s">
        <v>71</v>
      </c>
      <c r="H4" s="699" t="s">
        <v>81</v>
      </c>
      <c r="I4" s="699" t="s">
        <v>82</v>
      </c>
      <c r="J4" s="699" t="s">
        <v>83</v>
      </c>
      <c r="K4" s="701" t="s">
        <v>84</v>
      </c>
      <c r="L4" s="536" t="s">
        <v>85</v>
      </c>
      <c r="M4" s="537" t="s">
        <v>86</v>
      </c>
      <c r="N4" s="537" t="s">
        <v>87</v>
      </c>
      <c r="O4" s="537" t="s">
        <v>88</v>
      </c>
      <c r="P4" s="538" t="s">
        <v>89</v>
      </c>
      <c r="Q4" s="698" t="s">
        <v>90</v>
      </c>
      <c r="R4" s="699" t="s">
        <v>91</v>
      </c>
      <c r="S4" s="699" t="s">
        <v>92</v>
      </c>
      <c r="T4" s="699" t="s">
        <v>91</v>
      </c>
      <c r="U4" s="699" t="s">
        <v>93</v>
      </c>
      <c r="V4" s="700" t="s">
        <v>91</v>
      </c>
      <c r="W4" s="702" t="s">
        <v>94</v>
      </c>
      <c r="X4" s="702" t="s">
        <v>95</v>
      </c>
    </row>
    <row r="5" spans="1:24" ht="128.25" x14ac:dyDescent="0.2">
      <c r="A5" s="703">
        <f>+'[9]Analisis Riesgo'!A7</f>
        <v>1</v>
      </c>
      <c r="B5" s="703" t="str">
        <f>+'[9]Identificación del Riesgo'!E9</f>
        <v>Posibles afectaciones reputacionales sobre la entidad por agendas parlamentarias opuestas.</v>
      </c>
      <c r="C5" s="703" t="str">
        <f>+'[9]Identificación del Riesgo'!H9</f>
        <v xml:space="preserve">Ausencia de un manual específico para el manejo de crisis mediáticas. </v>
      </c>
      <c r="D5" s="703" t="str">
        <f>+'[9]Identificación del Riesgo'!I9</f>
        <v>Posible circulación de información falsa por medios de comunicación que afecta la reputación de la entidad ante la comunidad y el sector energético.
Posibles crisis mediáticas relacionadas a controversias por actuaciones administrativas (Escándalos de posible corrupción)</v>
      </c>
      <c r="E5" s="703" t="str">
        <f>+'[9]Analisis Riesgo'!F7</f>
        <v>Improbable</v>
      </c>
      <c r="F5" s="703" t="str">
        <f>+'[9]Analisis Riesgo'!G7</f>
        <v>Moderado</v>
      </c>
      <c r="G5" s="704" t="str">
        <f>+'[9]Analisis Riesgo'!I7</f>
        <v>MODERADO</v>
      </c>
      <c r="H5" s="705" t="str">
        <f>+'[9]Analisis Riesgo'!T7</f>
        <v>Rara vez</v>
      </c>
      <c r="I5" s="705" t="str">
        <f>+'[9]Analisis Riesgo'!U7</f>
        <v>Menor</v>
      </c>
      <c r="J5" s="706" t="str">
        <f>+'[9]Analisis Riesgo'!V7</f>
        <v>BAJO</v>
      </c>
      <c r="K5" s="703" t="str">
        <f>+'[9]Analisis Riesgo'!W7</f>
        <v>Reducir el riesgo</v>
      </c>
      <c r="L5" s="707" t="s">
        <v>982</v>
      </c>
      <c r="M5" s="708" t="s">
        <v>983</v>
      </c>
      <c r="N5" s="709">
        <v>44287</v>
      </c>
      <c r="O5" s="709">
        <v>44377</v>
      </c>
      <c r="P5" s="710" t="s">
        <v>984</v>
      </c>
      <c r="Q5" s="711"/>
      <c r="R5" s="711"/>
      <c r="S5" s="711"/>
      <c r="T5" s="711"/>
      <c r="U5" s="711"/>
      <c r="V5" s="711"/>
      <c r="W5" s="711"/>
      <c r="X5" s="711"/>
    </row>
    <row r="6" spans="1:24" ht="99.75" x14ac:dyDescent="0.2">
      <c r="A6" s="703">
        <f>+'[9]Analisis Riesgo'!A8</f>
        <v>2</v>
      </c>
      <c r="B6" s="703" t="str">
        <f>+'[9]Identificación del Riesgo'!E10</f>
        <v>Incumplimientos en los productos comunicacionales por retrasos de las subdirecciones en la entrega idónea de la información.</v>
      </c>
      <c r="C6" s="703" t="str">
        <f>+'[9]Identificación del Riesgo'!H10</f>
        <v>Entrega de información con poca antelación para realizar oportunamente las labores de diseño y diagramación de piezas comunicacionales y/o presentaciones.</v>
      </c>
      <c r="D6" s="703" t="str">
        <f>+'[9]Identificación del Riesgo'!I10</f>
        <v>Falta de claridad en el mensaje que se pretende dar</v>
      </c>
      <c r="E6" s="703" t="str">
        <f>+'[9]Analisis Riesgo'!F8</f>
        <v>Improbable</v>
      </c>
      <c r="F6" s="703" t="str">
        <f>+'[9]Analisis Riesgo'!G8</f>
        <v>Menor</v>
      </c>
      <c r="G6" s="712" t="str">
        <f>+'[9]Analisis Riesgo'!I8</f>
        <v>BAJO</v>
      </c>
      <c r="H6" s="705" t="str">
        <f>+'[9]Analisis Riesgo'!T8</f>
        <v>Rara vez</v>
      </c>
      <c r="I6" s="705" t="str">
        <f>+'[9]Analisis Riesgo'!U8</f>
        <v>Insignificante</v>
      </c>
      <c r="J6" s="706" t="str">
        <f>+'[9]Analisis Riesgo'!V8</f>
        <v>BAJO</v>
      </c>
      <c r="K6" s="703" t="str">
        <f>+'[9]Analisis Riesgo'!W8</f>
        <v>Reducir el riesgo</v>
      </c>
      <c r="L6" s="713" t="s">
        <v>985</v>
      </c>
      <c r="M6" s="708" t="s">
        <v>986</v>
      </c>
      <c r="N6" s="709">
        <v>44214</v>
      </c>
      <c r="O6" s="709">
        <v>44228</v>
      </c>
      <c r="P6" s="708" t="s">
        <v>987</v>
      </c>
      <c r="Q6" s="711"/>
      <c r="R6" s="711"/>
      <c r="S6" s="711"/>
      <c r="T6" s="711"/>
      <c r="U6" s="711"/>
      <c r="V6" s="711"/>
      <c r="W6" s="711"/>
      <c r="X6" s="711"/>
    </row>
    <row r="7" spans="1:24" ht="228" x14ac:dyDescent="0.2">
      <c r="A7" s="703">
        <f>+'[9]Analisis Riesgo'!A9</f>
        <v>3</v>
      </c>
      <c r="B7" s="703" t="str">
        <f>+'[9]Identificación del Riesgo'!E11</f>
        <v>Estructura organizacional limitada del área de comunicaciones como proceso estratégico.</v>
      </c>
      <c r="C7" s="703" t="str">
        <f>+'[9]Identificación del Riesgo'!H11</f>
        <v>No se ha realizado una articulación con el proceso de PQRS para coordinar respuesta a derechos de petición que ingresen por redes sociales desde un esquema de administración de contenidos descentralizado.
La capacidad de comunicaciones es deficitaria en relación al personal para la gestión del proceso.
Falta de claridad en el alcance de los procesos de comunicación estratégica, divulgación e información sectorial dentro del mapa de procesos aprobado en el sistema de gestión de calidad.</v>
      </c>
      <c r="D7" s="703" t="str">
        <f>+'[9]Identificación del Riesgo'!I11</f>
        <v>Desconocimiento de la comunidad sobre la competencia y funciones de la UPME.</v>
      </c>
      <c r="E7" s="703" t="str">
        <f>+'[9]Analisis Riesgo'!F9</f>
        <v>Casi Seguro</v>
      </c>
      <c r="F7" s="703" t="str">
        <f>+'[9]Analisis Riesgo'!G9</f>
        <v>Menor</v>
      </c>
      <c r="G7" s="714" t="str">
        <f>+'[9]Analisis Riesgo'!I9</f>
        <v>ALTO</v>
      </c>
      <c r="H7" s="705" t="str">
        <f>+'[9]Analisis Riesgo'!T9</f>
        <v>Casi Seguro</v>
      </c>
      <c r="I7" s="705" t="str">
        <f>+'[9]Analisis Riesgo'!U9</f>
        <v>Menor</v>
      </c>
      <c r="J7" s="715" t="str">
        <f>+'[9]Analisis Riesgo'!V9</f>
        <v>ALTO</v>
      </c>
      <c r="K7" s="703" t="str">
        <f>+'[9]Analisis Riesgo'!W9</f>
        <v>Reducir el riesgo</v>
      </c>
      <c r="L7" s="710" t="s">
        <v>988</v>
      </c>
      <c r="M7" s="708" t="s">
        <v>989</v>
      </c>
      <c r="N7" s="709">
        <v>44228</v>
      </c>
      <c r="O7" s="709">
        <v>44285</v>
      </c>
      <c r="P7" s="708" t="s">
        <v>990</v>
      </c>
      <c r="Q7" s="711"/>
      <c r="R7" s="711"/>
      <c r="S7" s="711"/>
      <c r="T7" s="711"/>
      <c r="U7" s="711"/>
      <c r="V7" s="711"/>
      <c r="W7" s="711"/>
      <c r="X7" s="711"/>
    </row>
    <row r="8" spans="1:24" ht="85.5" x14ac:dyDescent="0.2">
      <c r="A8" s="703">
        <f>+'[9]Analisis Riesgo'!A10</f>
        <v>4</v>
      </c>
      <c r="B8" s="703" t="str">
        <f>+'[9]Identificación del Riesgo'!E12</f>
        <v>Posibles afectaciones al sentido de identidad, trabajo en equipo y cohesion de cara a la reglamentación del teletrabajo.</v>
      </c>
      <c r="C8" s="703" t="str">
        <f>+'[9]Identificación del Riesgo'!H12</f>
        <v>Dificultad de adaptación al teletrabajo por parte de los servidores públicos.
Baja apropiación cultural de los funcionarios de la entidad frente al consumo de contenidos y canales.</v>
      </c>
      <c r="D8" s="703" t="str">
        <f>+'[9]Identificación del Riesgo'!I12</f>
        <v>Posibles incumplimientos de metas de la entidad.
Desmotivación de los servidores públicos.</v>
      </c>
      <c r="E8" s="703" t="str">
        <f>+'[9]Analisis Riesgo'!F10</f>
        <v>Improbable</v>
      </c>
      <c r="F8" s="703" t="str">
        <f>+'[9]Analisis Riesgo'!G10</f>
        <v>Menor</v>
      </c>
      <c r="G8" s="712" t="str">
        <f>+'[9]Analisis Riesgo'!I10</f>
        <v>BAJO</v>
      </c>
      <c r="H8" s="705" t="str">
        <f>+'[9]Analisis Riesgo'!T10</f>
        <v>Rara vez</v>
      </c>
      <c r="I8" s="705" t="str">
        <f>+'[9]Analisis Riesgo'!U10</f>
        <v>Insignificante</v>
      </c>
      <c r="J8" s="706" t="str">
        <f>+'[9]Analisis Riesgo'!V10</f>
        <v>BAJO</v>
      </c>
      <c r="K8" s="703" t="str">
        <f>+'[9]Analisis Riesgo'!W10</f>
        <v>Reducir el riesgo</v>
      </c>
      <c r="L8" s="710" t="s">
        <v>991</v>
      </c>
      <c r="M8" s="708" t="s">
        <v>983</v>
      </c>
      <c r="N8" s="709">
        <v>44214</v>
      </c>
      <c r="O8" s="709">
        <v>44561</v>
      </c>
      <c r="P8" s="710" t="s">
        <v>992</v>
      </c>
      <c r="Q8" s="711"/>
      <c r="R8" s="711"/>
      <c r="S8" s="711"/>
      <c r="T8" s="711"/>
      <c r="U8" s="711"/>
      <c r="V8" s="711"/>
      <c r="W8" s="711"/>
      <c r="X8" s="711"/>
    </row>
    <row r="9" spans="1:24" ht="99.75" x14ac:dyDescent="0.2">
      <c r="A9" s="703">
        <f>+'[9]Analisis Riesgo'!A11</f>
        <v>5</v>
      </c>
      <c r="B9" s="703" t="str">
        <f>+'[9]Identificación del Riesgo'!E13</f>
        <v>Afectaciones a la seguridad y disponibilidad de la información por perfiles institucionales de redes sociales en favor de particulares</v>
      </c>
      <c r="C9" s="703" t="str">
        <f>+'[9]Identificación del Riesgo'!H13</f>
        <v>Posibles hackeos sobre las redes sociales de la entidad por uso de estas en equipos personales.</v>
      </c>
      <c r="D9" s="703" t="str">
        <f>+'[9]Identificación del Riesgo'!I13</f>
        <v>Fallas en la divulgación de la información misional de la entidad.</v>
      </c>
      <c r="E9" s="703" t="str">
        <f>+'[9]Analisis Riesgo'!F11</f>
        <v>Rara vez</v>
      </c>
      <c r="F9" s="703" t="str">
        <f>+'[9]Analisis Riesgo'!G11</f>
        <v>Moderado</v>
      </c>
      <c r="G9" s="704" t="str">
        <f>+'[9]Analisis Riesgo'!I11</f>
        <v>MODERADO</v>
      </c>
      <c r="H9" s="705" t="str">
        <f>+'[9]Analisis Riesgo'!T11</f>
        <v>Rara vez</v>
      </c>
      <c r="I9" s="705" t="str">
        <f>+'[9]Analisis Riesgo'!U11</f>
        <v>Moderado</v>
      </c>
      <c r="J9" s="716" t="str">
        <f>+'[9]Analisis Riesgo'!V11</f>
        <v>MODERADO</v>
      </c>
      <c r="K9" s="703" t="str">
        <f>+'[9]Analisis Riesgo'!W11</f>
        <v>Reducir el riesgo</v>
      </c>
      <c r="L9" s="707" t="s">
        <v>993</v>
      </c>
      <c r="M9" s="708" t="s">
        <v>994</v>
      </c>
      <c r="N9" s="709">
        <v>44152</v>
      </c>
      <c r="O9" s="709">
        <v>44226</v>
      </c>
      <c r="P9" s="710" t="s">
        <v>995</v>
      </c>
      <c r="Q9" s="711"/>
      <c r="R9" s="711"/>
      <c r="S9" s="711"/>
      <c r="T9" s="711"/>
      <c r="U9" s="711"/>
      <c r="V9" s="711"/>
      <c r="W9" s="711"/>
      <c r="X9" s="711"/>
    </row>
  </sheetData>
  <mergeCells count="6">
    <mergeCell ref="A1:C2"/>
    <mergeCell ref="D1:V2"/>
    <mergeCell ref="A3:G3"/>
    <mergeCell ref="H3:K3"/>
    <mergeCell ref="L3:P3"/>
    <mergeCell ref="Q3:V3"/>
  </mergeCells>
  <pageMargins left="0.7" right="0.7" top="0.75" bottom="0.75" header="0.3" footer="0.3"/>
  <pageSetup orientation="portrait" r:id="rId1"/>
  <drawing r:id="rId2"/>
  <legacyDrawing r:id="rId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E7"/>
  <sheetViews>
    <sheetView showGridLines="0" topLeftCell="C7" zoomScale="130" zoomScaleNormal="130" zoomScaleSheetLayoutView="115" zoomScalePageLayoutView="90" workbookViewId="0">
      <selection activeCell="C7" sqref="C7"/>
    </sheetView>
  </sheetViews>
  <sheetFormatPr baseColWidth="10" defaultRowHeight="15" x14ac:dyDescent="0.25"/>
  <cols>
    <col min="1" max="1" width="13.625" style="151" customWidth="1"/>
    <col min="2" max="2" width="80.375" style="151" customWidth="1"/>
    <col min="3" max="3" width="48.125" style="151" customWidth="1"/>
    <col min="4" max="4" width="14.25" style="151" customWidth="1"/>
    <col min="5" max="5" width="33.25" style="151" customWidth="1"/>
    <col min="6" max="16384" width="11" style="151"/>
  </cols>
  <sheetData>
    <row r="1" spans="1:5" x14ac:dyDescent="0.25">
      <c r="A1" s="1096"/>
      <c r="B1" s="1521" t="s">
        <v>837</v>
      </c>
      <c r="C1" s="1097"/>
      <c r="D1" s="1097"/>
      <c r="E1" s="1098" t="s">
        <v>29</v>
      </c>
    </row>
    <row r="2" spans="1:5" x14ac:dyDescent="0.25">
      <c r="A2" s="1096"/>
      <c r="B2" s="1097"/>
      <c r="C2" s="1097"/>
      <c r="D2" s="1097"/>
      <c r="E2" s="1098"/>
    </row>
    <row r="3" spans="1:5" x14ac:dyDescent="0.25">
      <c r="A3" s="1096"/>
      <c r="B3" s="1097"/>
      <c r="C3" s="1097"/>
      <c r="D3" s="1097"/>
      <c r="E3" s="1099" t="s">
        <v>2</v>
      </c>
    </row>
    <row r="4" spans="1:5" ht="15.75" thickBot="1" x14ac:dyDescent="0.3">
      <c r="A4" s="1096"/>
      <c r="B4" s="1097"/>
      <c r="C4" s="1097"/>
      <c r="D4" s="1097"/>
      <c r="E4" s="1099"/>
    </row>
    <row r="5" spans="1:5" ht="15.75" thickBot="1" x14ac:dyDescent="0.3">
      <c r="A5" s="1100" t="s">
        <v>30</v>
      </c>
      <c r="B5" s="1101"/>
      <c r="C5" s="1101"/>
      <c r="D5" s="1101"/>
      <c r="E5" s="1102"/>
    </row>
    <row r="6" spans="1:5" ht="15" customHeight="1" x14ac:dyDescent="0.25">
      <c r="A6" s="152" t="s">
        <v>31</v>
      </c>
      <c r="B6" s="153" t="s">
        <v>32</v>
      </c>
      <c r="C6" s="152" t="s">
        <v>33</v>
      </c>
      <c r="D6" s="1103" t="s">
        <v>34</v>
      </c>
      <c r="E6" s="1104"/>
    </row>
    <row r="7" spans="1:5" ht="409.5" customHeight="1" x14ac:dyDescent="0.25">
      <c r="A7" s="168"/>
      <c r="B7" s="462" t="s">
        <v>873</v>
      </c>
      <c r="C7" s="463" t="s">
        <v>874</v>
      </c>
      <c r="D7" s="1519" t="s">
        <v>875</v>
      </c>
      <c r="E7" s="1520"/>
    </row>
  </sheetData>
  <mergeCells count="7">
    <mergeCell ref="D7:E7"/>
    <mergeCell ref="A1:A4"/>
    <mergeCell ref="B1:D4"/>
    <mergeCell ref="E1:E2"/>
    <mergeCell ref="E3:E4"/>
    <mergeCell ref="A5:E5"/>
    <mergeCell ref="D6:E6"/>
  </mergeCells>
  <pageMargins left="0.31496062992125984" right="0.31496062992125984" top="1.1417322834645669" bottom="0.35433070866141736" header="0.31496062992125984" footer="0.31496062992125984"/>
  <pageSetup scale="88" orientation="landscape" horizontalDpi="1200" verticalDpi="1200" r:id="rId1"/>
  <headerFooter>
    <oddHeader>&amp;L&amp;G&amp;C
&amp;"-,Negrita"Matriz de Riesgos</oddHeader>
  </headerFooter>
  <drawing r:id="rId2"/>
  <legacyDrawing r:id="rId3"/>
  <legacyDrawingHF r:id="rId4"/>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N18"/>
  <sheetViews>
    <sheetView showGridLines="0" topLeftCell="A7" zoomScale="85" zoomScaleNormal="85" zoomScaleSheetLayoutView="130" zoomScalePageLayoutView="90" workbookViewId="0">
      <pane ySplit="2" topLeftCell="A9" activePane="bottomLeft" state="frozen"/>
      <selection activeCell="C7" sqref="C7"/>
      <selection pane="bottomLeft" activeCell="F9" sqref="F9"/>
    </sheetView>
  </sheetViews>
  <sheetFormatPr baseColWidth="10" defaultRowHeight="15" x14ac:dyDescent="0.25"/>
  <cols>
    <col min="1" max="3" width="18.5" style="151" customWidth="1"/>
    <col min="4" max="4" width="3.625" style="168" customWidth="1"/>
    <col min="5" max="5" width="28.75" style="151" customWidth="1"/>
    <col min="6" max="6" width="37.125" style="151" customWidth="1"/>
    <col min="7" max="7" width="15" style="151" customWidth="1"/>
    <col min="8" max="8" width="38.875" style="151" customWidth="1"/>
    <col min="9" max="9" width="25.375" style="151" customWidth="1"/>
    <col min="10" max="10" width="20.625" style="151" customWidth="1"/>
    <col min="11" max="11" width="14.75" style="151" customWidth="1"/>
    <col min="12" max="12" width="18.75" style="151" customWidth="1"/>
    <col min="13" max="13" width="12.75" style="151" customWidth="1"/>
    <col min="14" max="14" width="27.125" style="151" customWidth="1"/>
    <col min="15" max="16384" width="11" style="151"/>
  </cols>
  <sheetData>
    <row r="1" spans="1:14" x14ac:dyDescent="0.25">
      <c r="A1" s="1105"/>
      <c r="B1" s="1105"/>
      <c r="C1" s="1105"/>
      <c r="D1" s="1107" t="s">
        <v>0</v>
      </c>
      <c r="E1" s="1107"/>
      <c r="F1" s="1107"/>
      <c r="G1" s="1107"/>
      <c r="H1" s="1107"/>
      <c r="I1" s="1107"/>
      <c r="J1" s="1107"/>
      <c r="K1" s="1107"/>
      <c r="L1" s="1107"/>
      <c r="M1" s="1108"/>
      <c r="N1" s="1111" t="s">
        <v>35</v>
      </c>
    </row>
    <row r="2" spans="1:14" x14ac:dyDescent="0.25">
      <c r="A2" s="1105"/>
      <c r="B2" s="1105"/>
      <c r="C2" s="1105"/>
      <c r="D2" s="1107"/>
      <c r="E2" s="1107"/>
      <c r="F2" s="1107"/>
      <c r="G2" s="1107"/>
      <c r="H2" s="1107"/>
      <c r="I2" s="1107"/>
      <c r="J2" s="1107"/>
      <c r="K2" s="1107"/>
      <c r="L2" s="1107"/>
      <c r="M2" s="1108"/>
      <c r="N2" s="1111"/>
    </row>
    <row r="3" spans="1:14" x14ac:dyDescent="0.25">
      <c r="A3" s="1105"/>
      <c r="B3" s="1105"/>
      <c r="C3" s="1105"/>
      <c r="D3" s="1107"/>
      <c r="E3" s="1107"/>
      <c r="F3" s="1107"/>
      <c r="G3" s="1107"/>
      <c r="H3" s="1107"/>
      <c r="I3" s="1107"/>
      <c r="J3" s="1107"/>
      <c r="K3" s="1107"/>
      <c r="L3" s="1107"/>
      <c r="M3" s="1108"/>
      <c r="N3" s="1111" t="s">
        <v>2</v>
      </c>
    </row>
    <row r="4" spans="1:14" x14ac:dyDescent="0.25">
      <c r="A4" s="1106"/>
      <c r="B4" s="1106"/>
      <c r="C4" s="1106"/>
      <c r="D4" s="1109"/>
      <c r="E4" s="1109"/>
      <c r="F4" s="1109"/>
      <c r="G4" s="1109"/>
      <c r="H4" s="1109"/>
      <c r="I4" s="1109"/>
      <c r="J4" s="1109"/>
      <c r="K4" s="1109"/>
      <c r="L4" s="1109"/>
      <c r="M4" s="1110"/>
      <c r="N4" s="1111"/>
    </row>
    <row r="5" spans="1:14" ht="15.75" x14ac:dyDescent="0.25">
      <c r="A5" s="1112" t="s">
        <v>36</v>
      </c>
      <c r="B5" s="1113"/>
      <c r="C5" s="1114"/>
      <c r="D5" s="1542" t="s">
        <v>876</v>
      </c>
      <c r="E5" s="1543"/>
      <c r="F5" s="1543"/>
      <c r="G5" s="1543"/>
      <c r="H5" s="1543"/>
      <c r="I5" s="1543"/>
      <c r="J5" s="1543"/>
      <c r="K5" s="1543"/>
      <c r="L5" s="1543"/>
      <c r="M5" s="1543"/>
      <c r="N5" s="1544"/>
    </row>
    <row r="6" spans="1:14" ht="15.75" x14ac:dyDescent="0.25">
      <c r="A6" s="1112" t="s">
        <v>37</v>
      </c>
      <c r="B6" s="1113"/>
      <c r="C6" s="1114"/>
      <c r="D6" s="1542"/>
      <c r="E6" s="1543"/>
      <c r="F6" s="1543"/>
      <c r="G6" s="1543"/>
      <c r="H6" s="1543"/>
      <c r="I6" s="1543"/>
      <c r="J6" s="1543"/>
      <c r="K6" s="1543"/>
      <c r="L6" s="1543"/>
      <c r="M6" s="1543"/>
      <c r="N6" s="1544"/>
    </row>
    <row r="7" spans="1:14" x14ac:dyDescent="0.25">
      <c r="A7" s="1118" t="s">
        <v>38</v>
      </c>
      <c r="B7" s="1119"/>
      <c r="C7" s="1120"/>
      <c r="D7" s="1121" t="s">
        <v>39</v>
      </c>
      <c r="E7" s="1122"/>
      <c r="F7" s="1122"/>
      <c r="G7" s="1122"/>
      <c r="H7" s="1122"/>
      <c r="I7" s="1123"/>
      <c r="J7" s="1124" t="s">
        <v>40</v>
      </c>
      <c r="K7" s="1124"/>
      <c r="L7" s="1124"/>
      <c r="M7" s="1124"/>
      <c r="N7" s="1124"/>
    </row>
    <row r="8" spans="1:14" ht="36" x14ac:dyDescent="0.25">
      <c r="A8" s="157" t="s">
        <v>41</v>
      </c>
      <c r="B8" s="157" t="s">
        <v>42</v>
      </c>
      <c r="C8" s="157" t="s">
        <v>43</v>
      </c>
      <c r="D8" s="157" t="s">
        <v>44</v>
      </c>
      <c r="E8" s="157" t="s">
        <v>45</v>
      </c>
      <c r="F8" s="157" t="s">
        <v>46</v>
      </c>
      <c r="G8" s="157" t="s">
        <v>47</v>
      </c>
      <c r="H8" s="157" t="s">
        <v>48</v>
      </c>
      <c r="I8" s="157" t="s">
        <v>49</v>
      </c>
      <c r="J8" s="158" t="s">
        <v>50</v>
      </c>
      <c r="K8" s="158" t="s">
        <v>51</v>
      </c>
      <c r="L8" s="158" t="s">
        <v>52</v>
      </c>
      <c r="M8" s="158" t="s">
        <v>53</v>
      </c>
      <c r="N8" s="158" t="s">
        <v>54</v>
      </c>
    </row>
    <row r="9" spans="1:14" ht="240" customHeight="1" x14ac:dyDescent="0.25">
      <c r="A9" s="159"/>
      <c r="B9" s="160"/>
      <c r="C9" s="160" t="s">
        <v>193</v>
      </c>
      <c r="D9" s="161">
        <v>1</v>
      </c>
      <c r="E9" s="162" t="s">
        <v>877</v>
      </c>
      <c r="F9" s="466" t="s">
        <v>878</v>
      </c>
      <c r="G9" s="163" t="s">
        <v>194</v>
      </c>
      <c r="H9" s="303" t="s">
        <v>879</v>
      </c>
      <c r="I9" s="303" t="s">
        <v>880</v>
      </c>
      <c r="J9" s="163" t="s">
        <v>122</v>
      </c>
      <c r="K9" s="163" t="s">
        <v>122</v>
      </c>
      <c r="L9" s="163" t="s">
        <v>122</v>
      </c>
      <c r="M9" s="163" t="s">
        <v>122</v>
      </c>
      <c r="N9" s="165" t="str">
        <f t="shared" ref="N9:N18" si="0">IF(COUNTIF(J9:M9,"SI")=4,"Riesgo de Corrupción","No es Riesgo de Corrupción")</f>
        <v>Riesgo de Corrupción</v>
      </c>
    </row>
    <row r="10" spans="1:14" ht="143.25" customHeight="1" x14ac:dyDescent="0.25">
      <c r="A10" s="159"/>
      <c r="B10" s="159" t="s">
        <v>244</v>
      </c>
      <c r="C10" s="159"/>
      <c r="D10" s="161">
        <v>2</v>
      </c>
      <c r="E10" s="166" t="s">
        <v>881</v>
      </c>
      <c r="F10" s="468" t="s">
        <v>882</v>
      </c>
      <c r="G10" s="163" t="s">
        <v>252</v>
      </c>
      <c r="H10" s="305" t="s">
        <v>883</v>
      </c>
      <c r="I10" s="303" t="s">
        <v>884</v>
      </c>
      <c r="J10" s="163" t="s">
        <v>263</v>
      </c>
      <c r="K10" s="163" t="s">
        <v>263</v>
      </c>
      <c r="L10" s="163" t="s">
        <v>263</v>
      </c>
      <c r="M10" s="163" t="s">
        <v>263</v>
      </c>
      <c r="N10" s="165" t="str">
        <f t="shared" si="0"/>
        <v>No es Riesgo de Corrupción</v>
      </c>
    </row>
    <row r="11" spans="1:14" ht="147.75" customHeight="1" x14ac:dyDescent="0.25">
      <c r="A11" s="159" t="s">
        <v>231</v>
      </c>
      <c r="B11" s="159"/>
      <c r="C11" s="159"/>
      <c r="D11" s="161">
        <v>3</v>
      </c>
      <c r="E11" s="162" t="s">
        <v>885</v>
      </c>
      <c r="F11" s="468" t="s">
        <v>882</v>
      </c>
      <c r="G11" s="163" t="s">
        <v>252</v>
      </c>
      <c r="H11" s="303" t="s">
        <v>886</v>
      </c>
      <c r="I11" s="303" t="s">
        <v>887</v>
      </c>
      <c r="J11" s="163" t="s">
        <v>263</v>
      </c>
      <c r="K11" s="163" t="s">
        <v>263</v>
      </c>
      <c r="L11" s="163" t="s">
        <v>263</v>
      </c>
      <c r="M11" s="163" t="s">
        <v>263</v>
      </c>
      <c r="N11" s="165" t="str">
        <f t="shared" si="0"/>
        <v>No es Riesgo de Corrupción</v>
      </c>
    </row>
    <row r="12" spans="1:14" ht="147.75" customHeight="1" x14ac:dyDescent="0.25">
      <c r="A12" s="159"/>
      <c r="B12" s="159" t="s">
        <v>244</v>
      </c>
      <c r="C12" s="159"/>
      <c r="D12" s="161">
        <v>4</v>
      </c>
      <c r="E12" s="166" t="s">
        <v>888</v>
      </c>
      <c r="F12" s="468" t="s">
        <v>882</v>
      </c>
      <c r="G12" s="163" t="s">
        <v>221</v>
      </c>
      <c r="H12" s="305" t="s">
        <v>889</v>
      </c>
      <c r="I12" s="303" t="s">
        <v>890</v>
      </c>
      <c r="J12" s="163" t="s">
        <v>263</v>
      </c>
      <c r="K12" s="163" t="s">
        <v>263</v>
      </c>
      <c r="L12" s="163" t="s">
        <v>263</v>
      </c>
      <c r="M12" s="163" t="s">
        <v>263</v>
      </c>
      <c r="N12" s="165" t="str">
        <f t="shared" si="0"/>
        <v>No es Riesgo de Corrupción</v>
      </c>
    </row>
    <row r="13" spans="1:14" ht="104.25" customHeight="1" x14ac:dyDescent="0.25">
      <c r="A13" s="159"/>
      <c r="B13" s="159" t="s">
        <v>248</v>
      </c>
      <c r="C13" s="159"/>
      <c r="D13" s="161">
        <v>5</v>
      </c>
      <c r="E13" s="166" t="s">
        <v>891</v>
      </c>
      <c r="F13" s="468" t="s">
        <v>892</v>
      </c>
      <c r="G13" s="163"/>
      <c r="H13" s="305" t="s">
        <v>893</v>
      </c>
      <c r="I13" s="303" t="s">
        <v>894</v>
      </c>
      <c r="J13" s="163" t="s">
        <v>263</v>
      </c>
      <c r="K13" s="163" t="s">
        <v>263</v>
      </c>
      <c r="L13" s="163" t="s">
        <v>263</v>
      </c>
      <c r="M13" s="163" t="s">
        <v>263</v>
      </c>
      <c r="N13" s="165" t="str">
        <f t="shared" si="0"/>
        <v>No es Riesgo de Corrupción</v>
      </c>
    </row>
    <row r="14" spans="1:14" ht="143.25" customHeight="1" x14ac:dyDescent="0.25">
      <c r="A14" s="159"/>
      <c r="B14" s="159" t="s">
        <v>177</v>
      </c>
      <c r="C14" s="159"/>
      <c r="D14" s="161">
        <v>6</v>
      </c>
      <c r="E14" s="166" t="s">
        <v>895</v>
      </c>
      <c r="F14" s="468" t="s">
        <v>882</v>
      </c>
      <c r="G14" s="163"/>
      <c r="H14" s="305" t="s">
        <v>896</v>
      </c>
      <c r="I14" s="303" t="s">
        <v>894</v>
      </c>
      <c r="J14" s="163" t="s">
        <v>263</v>
      </c>
      <c r="K14" s="163" t="s">
        <v>263</v>
      </c>
      <c r="L14" s="163" t="s">
        <v>263</v>
      </c>
      <c r="M14" s="163" t="s">
        <v>263</v>
      </c>
      <c r="N14" s="165" t="str">
        <f t="shared" si="0"/>
        <v>No es Riesgo de Corrupción</v>
      </c>
    </row>
    <row r="15" spans="1:14" ht="134.25" customHeight="1" x14ac:dyDescent="0.25">
      <c r="A15" s="159"/>
      <c r="B15" s="159" t="s">
        <v>206</v>
      </c>
      <c r="C15" s="159"/>
      <c r="D15" s="161">
        <v>7</v>
      </c>
      <c r="E15" s="166" t="s">
        <v>897</v>
      </c>
      <c r="F15" s="468" t="s">
        <v>898</v>
      </c>
      <c r="G15" s="163" t="s">
        <v>252</v>
      </c>
      <c r="H15" s="305" t="s">
        <v>899</v>
      </c>
      <c r="I15" s="303" t="s">
        <v>900</v>
      </c>
      <c r="J15" s="163" t="s">
        <v>122</v>
      </c>
      <c r="K15" s="163" t="s">
        <v>122</v>
      </c>
      <c r="L15" s="163" t="s">
        <v>122</v>
      </c>
      <c r="M15" s="163" t="s">
        <v>122</v>
      </c>
      <c r="N15" s="165" t="str">
        <f t="shared" si="0"/>
        <v>Riesgo de Corrupción</v>
      </c>
    </row>
    <row r="16" spans="1:14" ht="69.75" customHeight="1" x14ac:dyDescent="0.25">
      <c r="A16" s="159"/>
      <c r="B16" s="159" t="s">
        <v>244</v>
      </c>
      <c r="C16" s="159"/>
      <c r="D16" s="161">
        <v>8</v>
      </c>
      <c r="E16" s="166" t="s">
        <v>901</v>
      </c>
      <c r="F16" s="468" t="s">
        <v>902</v>
      </c>
      <c r="G16" s="163" t="s">
        <v>252</v>
      </c>
      <c r="H16" s="305" t="s">
        <v>903</v>
      </c>
      <c r="I16" s="303" t="s">
        <v>904</v>
      </c>
      <c r="J16" s="163" t="s">
        <v>122</v>
      </c>
      <c r="K16" s="163" t="s">
        <v>122</v>
      </c>
      <c r="L16" s="163" t="s">
        <v>122</v>
      </c>
      <c r="M16" s="163" t="s">
        <v>122</v>
      </c>
      <c r="N16" s="165" t="str">
        <f t="shared" si="0"/>
        <v>Riesgo de Corrupción</v>
      </c>
    </row>
    <row r="17" spans="1:14" ht="180" customHeight="1" x14ac:dyDescent="0.25">
      <c r="A17" s="159"/>
      <c r="B17" s="159"/>
      <c r="C17" s="159" t="s">
        <v>193</v>
      </c>
      <c r="D17" s="161">
        <v>9</v>
      </c>
      <c r="E17" s="166" t="s">
        <v>905</v>
      </c>
      <c r="F17" s="468" t="s">
        <v>906</v>
      </c>
      <c r="G17" s="163" t="s">
        <v>179</v>
      </c>
      <c r="H17" s="305" t="s">
        <v>907</v>
      </c>
      <c r="I17" s="303" t="s">
        <v>908</v>
      </c>
      <c r="J17" s="163" t="s">
        <v>263</v>
      </c>
      <c r="K17" s="163" t="s">
        <v>263</v>
      </c>
      <c r="L17" s="163" t="s">
        <v>263</v>
      </c>
      <c r="M17" s="163" t="s">
        <v>263</v>
      </c>
      <c r="N17" s="165" t="str">
        <f t="shared" si="0"/>
        <v>No es Riesgo de Corrupción</v>
      </c>
    </row>
    <row r="18" spans="1:14" ht="102" customHeight="1" x14ac:dyDescent="0.25">
      <c r="A18" s="159"/>
      <c r="B18" s="159" t="s">
        <v>219</v>
      </c>
      <c r="C18" s="159"/>
      <c r="D18" s="161">
        <v>10</v>
      </c>
      <c r="E18" s="166" t="s">
        <v>909</v>
      </c>
      <c r="F18" s="166" t="s">
        <v>910</v>
      </c>
      <c r="G18" s="163" t="s">
        <v>252</v>
      </c>
      <c r="H18" s="305" t="s">
        <v>911</v>
      </c>
      <c r="I18" s="303" t="s">
        <v>912</v>
      </c>
      <c r="J18" s="163" t="s">
        <v>263</v>
      </c>
      <c r="K18" s="163" t="s">
        <v>263</v>
      </c>
      <c r="L18" s="163" t="s">
        <v>263</v>
      </c>
      <c r="M18" s="163" t="s">
        <v>263</v>
      </c>
      <c r="N18" s="165" t="str">
        <f t="shared" si="0"/>
        <v>No es Riesgo de Corrupción</v>
      </c>
    </row>
  </sheetData>
  <mergeCells count="11">
    <mergeCell ref="A6:C6"/>
    <mergeCell ref="D6:N6"/>
    <mergeCell ref="A7:C7"/>
    <mergeCell ref="D7:I7"/>
    <mergeCell ref="J7:N7"/>
    <mergeCell ref="A1:C4"/>
    <mergeCell ref="D1:M4"/>
    <mergeCell ref="N1:N2"/>
    <mergeCell ref="N3:N4"/>
    <mergeCell ref="A5:C5"/>
    <mergeCell ref="D5:N5"/>
  </mergeCells>
  <dataValidations count="1">
    <dataValidation type="list" allowBlank="1" showInputMessage="1" showErrorMessage="1" sqref="J9:M18" xr:uid="{00000000-0002-0000-4000-000000000000}">
      <formula1>"SI,NO"</formula1>
    </dataValidation>
  </dataValidations>
  <pageMargins left="0.11811023622047245" right="0.11811023622047245" top="1.1417322834645669" bottom="0.19685039370078741" header="0.31496062992125984" footer="0.31496062992125984"/>
  <pageSetup scale="79" orientation="landscape" horizontalDpi="1200" verticalDpi="1200" r:id="rId1"/>
  <headerFooter>
    <oddHeader>&amp;L&amp;G&amp;C
&amp;"-,Negrita"Matriz de Riesgos</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000-000001000000}">
          <x14:formula1>
            <xm:f>'C:\Users\sgomez.UPME\Documents\UPME 2020\Documents\Mapas de riesgos\[Mapa de riesgos. Direccionamiento Estratégico.xlsx]Datos'!#REF!</xm:f>
          </x14:formula1>
          <xm:sqref>A9:C18 G9:G18</xm:sqref>
        </x14:dataValidation>
      </x14:dataValidation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AC16"/>
  <sheetViews>
    <sheetView showGridLines="0" showWhiteSpace="0" topLeftCell="M13" zoomScale="70" zoomScaleNormal="70" zoomScaleSheetLayoutView="85" zoomScalePageLayoutView="70" workbookViewId="0">
      <selection activeCell="Y15" sqref="Y15"/>
    </sheetView>
  </sheetViews>
  <sheetFormatPr baseColWidth="10" defaultRowHeight="15" x14ac:dyDescent="0.25"/>
  <cols>
    <col min="1" max="1" width="4.75" style="168" customWidth="1"/>
    <col min="2" max="2" width="30" style="151" customWidth="1"/>
    <col min="3" max="3" width="56" style="202" customWidth="1"/>
    <col min="4" max="4" width="26.25" style="203" customWidth="1"/>
    <col min="5" max="5" width="3.625" style="168" customWidth="1"/>
    <col min="6" max="6" width="17.25" style="168" customWidth="1"/>
    <col min="7" max="7" width="12.875" style="168" customWidth="1"/>
    <col min="8" max="8" width="5" style="168" customWidth="1"/>
    <col min="9" max="9" width="14" style="151" customWidth="1"/>
    <col min="10" max="10" width="8.375" style="151" customWidth="1"/>
    <col min="11" max="11" width="41.125" style="205" customWidth="1"/>
    <col min="12" max="12" width="47.875" style="151" customWidth="1"/>
    <col min="13" max="13" width="13.75" style="151" customWidth="1"/>
    <col min="14" max="14" width="15" style="151" customWidth="1"/>
    <col min="15" max="15" width="19.25" style="151" customWidth="1"/>
    <col min="16" max="16" width="18.875" style="151" customWidth="1"/>
    <col min="17" max="17" width="12" style="151" customWidth="1"/>
    <col min="18" max="18" width="12.625" style="151" customWidth="1"/>
    <col min="19" max="19" width="13.625" style="168" customWidth="1"/>
    <col min="20" max="20" width="13.625" style="151" customWidth="1"/>
    <col min="21" max="21" width="17.5" style="151" customWidth="1"/>
    <col min="22" max="22" width="12.125" style="151" customWidth="1"/>
    <col min="23" max="23" width="13.875" style="151" customWidth="1"/>
    <col min="24" max="24" width="12.875" style="151" customWidth="1"/>
    <col min="25" max="25" width="35.75" style="151" customWidth="1"/>
    <col min="26" max="26" width="24.25" style="151" customWidth="1"/>
    <col min="27" max="28" width="10.875" style="151" customWidth="1"/>
    <col min="29" max="29" width="34.375" style="151" customWidth="1"/>
    <col min="30" max="16384" width="11" style="151"/>
  </cols>
  <sheetData>
    <row r="1" spans="1:29" ht="15" customHeight="1" x14ac:dyDescent="0.25">
      <c r="A1" s="1128"/>
      <c r="B1" s="1128"/>
      <c r="C1" s="1128"/>
      <c r="D1" s="1545" t="s">
        <v>55</v>
      </c>
      <c r="E1" s="1546"/>
      <c r="F1" s="1546"/>
      <c r="G1" s="1546"/>
      <c r="H1" s="1546"/>
      <c r="I1" s="1546"/>
      <c r="J1" s="1546"/>
      <c r="K1" s="1546"/>
      <c r="L1" s="1546"/>
      <c r="M1" s="1546"/>
      <c r="N1" s="1546"/>
      <c r="O1" s="1546"/>
      <c r="P1" s="1546"/>
      <c r="Q1" s="1546"/>
      <c r="R1" s="1546"/>
      <c r="S1" s="1546"/>
      <c r="T1" s="1546"/>
      <c r="U1" s="1546"/>
      <c r="V1" s="1546"/>
      <c r="W1" s="1546"/>
      <c r="X1" s="1546"/>
      <c r="Y1" s="1546"/>
      <c r="Z1" s="1546"/>
      <c r="AA1" s="1546"/>
      <c r="AB1" s="1547"/>
      <c r="AC1" s="1130" t="s">
        <v>35</v>
      </c>
    </row>
    <row r="2" spans="1:29" ht="15" customHeight="1" x14ac:dyDescent="0.25">
      <c r="A2" s="1128"/>
      <c r="B2" s="1128"/>
      <c r="C2" s="1128"/>
      <c r="D2" s="1548"/>
      <c r="E2" s="1549"/>
      <c r="F2" s="1549"/>
      <c r="G2" s="1549"/>
      <c r="H2" s="1549"/>
      <c r="I2" s="1549"/>
      <c r="J2" s="1549"/>
      <c r="K2" s="1549"/>
      <c r="L2" s="1549"/>
      <c r="M2" s="1549"/>
      <c r="N2" s="1549"/>
      <c r="O2" s="1549"/>
      <c r="P2" s="1549"/>
      <c r="Q2" s="1549"/>
      <c r="R2" s="1549"/>
      <c r="S2" s="1549"/>
      <c r="T2" s="1549"/>
      <c r="U2" s="1549"/>
      <c r="V2" s="1549"/>
      <c r="W2" s="1549"/>
      <c r="X2" s="1549"/>
      <c r="Y2" s="1549"/>
      <c r="Z2" s="1549"/>
      <c r="AA2" s="1549"/>
      <c r="AB2" s="1550"/>
      <c r="AC2" s="1130"/>
    </row>
    <row r="3" spans="1:29" ht="15" customHeight="1" x14ac:dyDescent="0.25">
      <c r="A3" s="1128"/>
      <c r="B3" s="1128"/>
      <c r="C3" s="1128"/>
      <c r="D3" s="1548"/>
      <c r="E3" s="1549"/>
      <c r="F3" s="1549"/>
      <c r="G3" s="1549"/>
      <c r="H3" s="1549"/>
      <c r="I3" s="1549"/>
      <c r="J3" s="1549"/>
      <c r="K3" s="1549"/>
      <c r="L3" s="1549"/>
      <c r="M3" s="1549"/>
      <c r="N3" s="1549"/>
      <c r="O3" s="1549"/>
      <c r="P3" s="1549"/>
      <c r="Q3" s="1549"/>
      <c r="R3" s="1549"/>
      <c r="S3" s="1549"/>
      <c r="T3" s="1549"/>
      <c r="U3" s="1549"/>
      <c r="V3" s="1549"/>
      <c r="W3" s="1549"/>
      <c r="X3" s="1549"/>
      <c r="Y3" s="1549"/>
      <c r="Z3" s="1549"/>
      <c r="AA3" s="1549"/>
      <c r="AB3" s="1550"/>
      <c r="AC3" s="1130" t="s">
        <v>56</v>
      </c>
    </row>
    <row r="4" spans="1:29" ht="15.75" customHeight="1" thickBot="1" x14ac:dyDescent="0.3">
      <c r="A4" s="1128"/>
      <c r="B4" s="1128"/>
      <c r="C4" s="1128"/>
      <c r="D4" s="1551"/>
      <c r="E4" s="1552"/>
      <c r="F4" s="1552"/>
      <c r="G4" s="1552"/>
      <c r="H4" s="1552"/>
      <c r="I4" s="1552"/>
      <c r="J4" s="1552"/>
      <c r="K4" s="1552"/>
      <c r="L4" s="1552"/>
      <c r="M4" s="1552"/>
      <c r="N4" s="1552"/>
      <c r="O4" s="1552"/>
      <c r="P4" s="1552"/>
      <c r="Q4" s="1552"/>
      <c r="R4" s="1552"/>
      <c r="S4" s="1552"/>
      <c r="T4" s="1552"/>
      <c r="U4" s="1552"/>
      <c r="V4" s="1552"/>
      <c r="W4" s="1552"/>
      <c r="X4" s="1552"/>
      <c r="Y4" s="1552"/>
      <c r="Z4" s="1552"/>
      <c r="AA4" s="1552"/>
      <c r="AB4" s="1553"/>
      <c r="AC4" s="1130"/>
    </row>
    <row r="5" spans="1:29" ht="18.75" customHeight="1" thickBot="1" x14ac:dyDescent="0.3">
      <c r="A5" s="1131" t="s">
        <v>57</v>
      </c>
      <c r="B5" s="1132"/>
      <c r="C5" s="1132"/>
      <c r="D5" s="1132"/>
      <c r="E5" s="1132"/>
      <c r="F5" s="1132"/>
      <c r="G5" s="1132"/>
      <c r="H5" s="1132"/>
      <c r="I5" s="1133"/>
      <c r="J5" s="169"/>
      <c r="K5" s="1134" t="s">
        <v>58</v>
      </c>
      <c r="L5" s="1134"/>
      <c r="M5" s="1134"/>
      <c r="N5" s="1134"/>
      <c r="O5" s="1134"/>
      <c r="P5" s="1135"/>
      <c r="Q5" s="1136" t="s">
        <v>59</v>
      </c>
      <c r="R5" s="1136"/>
      <c r="S5" s="1136"/>
      <c r="T5" s="1136"/>
      <c r="U5" s="1136"/>
      <c r="V5" s="1136"/>
      <c r="W5" s="1136"/>
      <c r="X5" s="1136"/>
      <c r="Y5" s="1137" t="s">
        <v>60</v>
      </c>
      <c r="Z5" s="1136"/>
      <c r="AA5" s="1136"/>
      <c r="AB5" s="1136"/>
      <c r="AC5" s="1138"/>
    </row>
    <row r="6" spans="1:29" s="182" customFormat="1" ht="51.75" thickBot="1" x14ac:dyDescent="0.25">
      <c r="A6" s="479" t="s">
        <v>44</v>
      </c>
      <c r="B6" s="404" t="s">
        <v>64</v>
      </c>
      <c r="C6" s="404" t="s">
        <v>65</v>
      </c>
      <c r="D6" s="480" t="s">
        <v>66</v>
      </c>
      <c r="E6" s="404" t="s">
        <v>67</v>
      </c>
      <c r="F6" s="404" t="s">
        <v>68</v>
      </c>
      <c r="G6" s="480" t="s">
        <v>69</v>
      </c>
      <c r="H6" s="480" t="s">
        <v>70</v>
      </c>
      <c r="I6" s="405" t="s">
        <v>71</v>
      </c>
      <c r="J6" s="481" t="s">
        <v>72</v>
      </c>
      <c r="K6" s="403" t="s">
        <v>73</v>
      </c>
      <c r="L6" s="404" t="s">
        <v>74</v>
      </c>
      <c r="M6" s="482" t="s">
        <v>75</v>
      </c>
      <c r="N6" s="404" t="s">
        <v>76</v>
      </c>
      <c r="O6" s="404" t="s">
        <v>77</v>
      </c>
      <c r="P6" s="405" t="s">
        <v>78</v>
      </c>
      <c r="Q6" s="403" t="s">
        <v>79</v>
      </c>
      <c r="R6" s="404" t="s">
        <v>80</v>
      </c>
      <c r="S6" s="404" t="s">
        <v>67</v>
      </c>
      <c r="T6" s="404" t="s">
        <v>70</v>
      </c>
      <c r="U6" s="404" t="s">
        <v>81</v>
      </c>
      <c r="V6" s="172" t="s">
        <v>82</v>
      </c>
      <c r="W6" s="172" t="s">
        <v>83</v>
      </c>
      <c r="X6" s="180" t="s">
        <v>84</v>
      </c>
      <c r="Y6" s="479" t="s">
        <v>85</v>
      </c>
      <c r="Z6" s="404" t="s">
        <v>86</v>
      </c>
      <c r="AA6" s="404" t="s">
        <v>87</v>
      </c>
      <c r="AB6" s="404" t="s">
        <v>88</v>
      </c>
      <c r="AC6" s="405" t="s">
        <v>89</v>
      </c>
    </row>
    <row r="7" spans="1:29" s="192" customFormat="1" ht="122.25" customHeight="1" x14ac:dyDescent="0.2">
      <c r="A7" s="483" t="e">
        <f>#REF!</f>
        <v>#REF!</v>
      </c>
      <c r="B7" s="484" t="e">
        <f>#REF!</f>
        <v>#REF!</v>
      </c>
      <c r="C7" s="484" t="e">
        <f>#REF!</f>
        <v>#REF!</v>
      </c>
      <c r="D7" s="485" t="s">
        <v>210</v>
      </c>
      <c r="E7" s="486">
        <f>IF(D7="Selecciona un descriptor de frecuencia."," ",IF(D7="","",VLOOKUP(D7,[10]Datos!$G$8:$J$12,2,FALSE)))</f>
        <v>3</v>
      </c>
      <c r="F7" s="486" t="str">
        <f>IF(D7="Selecciona un descriptor de frecuencia."," ",IF(D7="","",VLOOKUP(D7,[10]Datos!$G$8:$J$12,3,FALSE)))</f>
        <v>Posible</v>
      </c>
      <c r="G7" s="485" t="s">
        <v>184</v>
      </c>
      <c r="H7" s="486">
        <f>IF(G7="Selecciona un descriptor de impacto."," ",IF(G7="","",VLOOKUP(G7,[10]Datos!$K$8:$L$12,2,FALSE)))</f>
        <v>5</v>
      </c>
      <c r="I7" s="487" t="str">
        <f>IF(D7="Selecciona un descriptor de frecuencia."," ",IF(G7="Selecciona un descriptor de impacto."," ",IF(E7+H7=" ","",IF(E7="","",VLOOKUP(E7,[10]Datos!$U$8:$Z$12,MATCH(H7,[10]Datos!$V$7:$Z$7,0)+1,FALSE)))))</f>
        <v>EXTREMO</v>
      </c>
      <c r="J7" s="488" t="s">
        <v>122</v>
      </c>
      <c r="K7" s="489" t="s">
        <v>913</v>
      </c>
      <c r="L7" s="489" t="s">
        <v>913</v>
      </c>
      <c r="M7" s="490">
        <f>[10]Controles!T9</f>
        <v>0</v>
      </c>
      <c r="N7" s="490" t="str">
        <f>[10]Controles!AB9</f>
        <v>SI</v>
      </c>
      <c r="O7" s="491">
        <f>[10]Controles!W9</f>
        <v>0</v>
      </c>
      <c r="P7" s="492">
        <f>[10]Controles!X9</f>
        <v>0</v>
      </c>
      <c r="Q7" s="493">
        <f t="shared" ref="Q7:Q16" si="0">SUM(O7:O7)</f>
        <v>0</v>
      </c>
      <c r="R7" s="494">
        <f t="shared" ref="R7:R16" si="1">SUM(P7:P7)</f>
        <v>0</v>
      </c>
      <c r="S7" s="495">
        <f>IF(D7="Selecciona un descriptor de frecuencia."," ",IF(ROUNDUP(E7-Q7,0)&lt;0,1,ROUNDUP(E7-Q7,0)))</f>
        <v>3</v>
      </c>
      <c r="T7" s="495">
        <f>IF(G7="Selecciona un descriptor de impacto."," ",IF(ROUNDUP(H7-R7,0)&lt;0,1,ROUNDUP(H7-R7,0)))</f>
        <v>5</v>
      </c>
      <c r="U7" s="494" t="str">
        <f>IF(D7="Selecciona un descriptor de frecuencia."," ",VLOOKUP(S7,[10]Datos!$H$8:$I$12,2,FALSE))</f>
        <v>Posible</v>
      </c>
      <c r="V7" s="186" t="str">
        <f>IF(G7="Selecciona un descriptor de impacto."," ",VLOOKUP(T7,[10]Datos!$L$8:$M$12,2,FALSE))</f>
        <v>Catastrófico</v>
      </c>
      <c r="W7" s="471" t="str">
        <f>IF(S7=" "," ",VLOOKUP(S7,[10]Datos!$U$8:$Z$12,MATCH(T7,[10]Datos!$V$7:$Z$7,0)+1,FALSE))</f>
        <v>EXTREMO</v>
      </c>
      <c r="X7" s="219" t="s">
        <v>202</v>
      </c>
      <c r="Y7" s="496" t="s">
        <v>914</v>
      </c>
      <c r="Z7" s="497" t="s">
        <v>915</v>
      </c>
      <c r="AA7" s="498">
        <v>44200</v>
      </c>
      <c r="AB7" s="498">
        <v>44561</v>
      </c>
      <c r="AC7" s="499" t="s">
        <v>916</v>
      </c>
    </row>
    <row r="8" spans="1:29" s="199" customFormat="1" ht="99" customHeight="1" x14ac:dyDescent="0.2">
      <c r="A8" s="500" t="e">
        <f>#REF!</f>
        <v>#REF!</v>
      </c>
      <c r="B8" s="501" t="e">
        <f>#REF!</f>
        <v>#REF!</v>
      </c>
      <c r="C8" s="501" t="e">
        <f>#REF!</f>
        <v>#REF!</v>
      </c>
      <c r="D8" s="502" t="s">
        <v>223</v>
      </c>
      <c r="E8" s="503">
        <f>IF(D8="Selecciona un descriptor de frecuencia."," ",IF(D8="","",VLOOKUP(D8,[10]Datos!$G$8:$J$12,2,FALSE)))</f>
        <v>2</v>
      </c>
      <c r="F8" s="503" t="str">
        <f>IF(D8="Selecciona un descriptor de frecuencia."," ",IF(D8="","",VLOOKUP(D8,[10]Datos!$G$8:$J$12,3,FALSE)))</f>
        <v>Improbable</v>
      </c>
      <c r="G8" s="502" t="s">
        <v>199</v>
      </c>
      <c r="H8" s="504">
        <f>IF(G8="","",VLOOKUP(G8,[10]Datos!$K$8:$L$12,2,FALSE))</f>
        <v>4</v>
      </c>
      <c r="I8" s="505" t="str">
        <f>IF(D8="Selecciona un descriptor de frecuencia."," ",IF(G8="Selecciona un descriptor de impacto."," ",IF(E8+H8=" ","",IF(E8="","",VLOOKUP(E8,[10]Datos!$U$8:$Z$12,MATCH(H8,[10]Datos!$V$7:$Z$7,0)+1,FALSE)))))</f>
        <v>ALTO</v>
      </c>
      <c r="J8" s="506" t="s">
        <v>122</v>
      </c>
      <c r="K8" s="507" t="s">
        <v>917</v>
      </c>
      <c r="L8" s="196" t="s">
        <v>918</v>
      </c>
      <c r="M8" s="185">
        <f>[10]Controles!T10</f>
        <v>100</v>
      </c>
      <c r="N8" s="185" t="str">
        <f>[10]Controles!AB10</f>
        <v>No</v>
      </c>
      <c r="O8" s="186">
        <f>[10]Controles!W10</f>
        <v>1</v>
      </c>
      <c r="P8" s="508">
        <f>[10]Controles!X10</f>
        <v>1</v>
      </c>
      <c r="Q8" s="509">
        <f t="shared" si="0"/>
        <v>1</v>
      </c>
      <c r="R8" s="510">
        <f t="shared" si="1"/>
        <v>1</v>
      </c>
      <c r="S8" s="511">
        <f t="shared" ref="S8:S16" si="2">IF(D8="Selecciona un descriptor de frecuencia."," ",IF(ROUNDUP(E8-Q8,0)&lt;0,1,ROUNDUP(E8-Q8,0)))</f>
        <v>1</v>
      </c>
      <c r="T8" s="511">
        <f t="shared" ref="T8:T16" si="3">IF(G8="Selecciona un descriptor de impacto."," ",IF(ROUNDUP(H8-R8,0)&lt;0,1,ROUNDUP(H8-R8,0)))</f>
        <v>3</v>
      </c>
      <c r="U8" s="512" t="str">
        <f>IF(D8="Selecciona un descriptor de frecuencia."," ",VLOOKUP(S8,[10]Datos!$H$8:$I$12,2,FALSE))</f>
        <v>Rara vez</v>
      </c>
      <c r="V8" s="186" t="str">
        <f>IF(G8="Selecciona un descriptor de impacto."," ",VLOOKUP(T8,[10]Datos!$L$8:$M$12,2,FALSE))</f>
        <v>Moderado</v>
      </c>
      <c r="W8" s="471" t="str">
        <f>IF(S8=" "," ",VLOOKUP(S8,[10]Datos!$U$8:$Z$12,MATCH(T8,[10]Datos!$V$7:$Z$7,0)+1,FALSE))</f>
        <v>MODERADO</v>
      </c>
      <c r="X8" s="219" t="s">
        <v>202</v>
      </c>
      <c r="Y8" s="513" t="s">
        <v>919</v>
      </c>
      <c r="Z8" s="497" t="s">
        <v>920</v>
      </c>
      <c r="AA8" s="188">
        <v>44277</v>
      </c>
      <c r="AB8" s="188">
        <v>44561</v>
      </c>
      <c r="AC8" s="201" t="s">
        <v>921</v>
      </c>
    </row>
    <row r="9" spans="1:29" s="192" customFormat="1" ht="118.5" customHeight="1" x14ac:dyDescent="0.2">
      <c r="A9" s="500" t="e">
        <f>#REF!</f>
        <v>#REF!</v>
      </c>
      <c r="B9" s="501" t="e">
        <f>#REF!</f>
        <v>#REF!</v>
      </c>
      <c r="C9" s="501" t="e">
        <f>#REF!</f>
        <v>#REF!</v>
      </c>
      <c r="D9" s="502" t="s">
        <v>196</v>
      </c>
      <c r="E9" s="503">
        <f>IF(D9="Selecciona un descriptor de frecuencia."," ",IF(D9="","",VLOOKUP(D9,[10]Datos!$G$8:$J$12,2,FALSE)))</f>
        <v>4</v>
      </c>
      <c r="F9" s="503" t="str">
        <f>IF(D9="Selecciona un descriptor de frecuencia."," ",IF(D9="","",VLOOKUP(D9,[10]Datos!$G$8:$J$12,3,FALSE)))</f>
        <v>Probable</v>
      </c>
      <c r="G9" s="502" t="s">
        <v>199</v>
      </c>
      <c r="H9" s="504">
        <f>IF(G9="","",VLOOKUP(G9,[10]Datos!$K$8:$L$12,2,FALSE))</f>
        <v>4</v>
      </c>
      <c r="I9" s="505" t="str">
        <f>IF(D9="Selecciona un descriptor de frecuencia."," ",IF(G9="Selecciona un descriptor de impacto."," ",IF(E9+H9=" ","",IF(E9="","",VLOOKUP(E9,[10]Datos!$U$8:$Z$12,MATCH(H9,[10]Datos!$V$7:$Z$7,0)+1,FALSE)))))</f>
        <v>EXTREMO</v>
      </c>
      <c r="J9" s="506" t="s">
        <v>263</v>
      </c>
      <c r="K9" s="507" t="s">
        <v>922</v>
      </c>
      <c r="L9" s="183" t="s">
        <v>923</v>
      </c>
      <c r="M9" s="185">
        <f>[10]Controles!T11</f>
        <v>100</v>
      </c>
      <c r="N9" s="185" t="str">
        <f>[10]Controles!AB11</f>
        <v>No</v>
      </c>
      <c r="O9" s="186">
        <f>[10]Controles!W11</f>
        <v>1</v>
      </c>
      <c r="P9" s="508">
        <f>[10]Controles!X11</f>
        <v>0</v>
      </c>
      <c r="Q9" s="509">
        <f t="shared" si="0"/>
        <v>1</v>
      </c>
      <c r="R9" s="510">
        <f t="shared" si="1"/>
        <v>0</v>
      </c>
      <c r="S9" s="511">
        <f t="shared" si="2"/>
        <v>3</v>
      </c>
      <c r="T9" s="511">
        <f t="shared" si="3"/>
        <v>4</v>
      </c>
      <c r="U9" s="512" t="str">
        <f>IF(D9="Selecciona un descriptor de frecuencia."," ",VLOOKUP(S9,[10]Datos!$H$8:$I$12,2,FALSE))</f>
        <v>Posible</v>
      </c>
      <c r="V9" s="186" t="str">
        <f>IF(G9="Selecciona un descriptor de impacto."," ",VLOOKUP(T9,[10]Datos!$L$8:$M$12,2,FALSE))</f>
        <v>Mayor</v>
      </c>
      <c r="W9" s="471" t="str">
        <f>IF(S9=" "," ",VLOOKUP(S9,[10]Datos!$U$8:$Z$12,MATCH(T9,[10]Datos!$V$7:$Z$7,0)+1,FALSE))</f>
        <v>EXTREMO</v>
      </c>
      <c r="X9" s="219" t="s">
        <v>202</v>
      </c>
      <c r="Y9" s="514" t="s">
        <v>924</v>
      </c>
      <c r="Z9" s="497" t="s">
        <v>915</v>
      </c>
      <c r="AA9" s="188">
        <v>44211</v>
      </c>
      <c r="AB9" s="188">
        <v>44285</v>
      </c>
      <c r="AC9" s="201" t="s">
        <v>363</v>
      </c>
    </row>
    <row r="10" spans="1:29" s="192" customFormat="1" ht="97.5" customHeight="1" x14ac:dyDescent="0.2">
      <c r="A10" s="500" t="e">
        <f>#REF!</f>
        <v>#REF!</v>
      </c>
      <c r="B10" s="501" t="e">
        <f>#REF!</f>
        <v>#REF!</v>
      </c>
      <c r="C10" s="501" t="e">
        <f>#REF!</f>
        <v>#REF!</v>
      </c>
      <c r="D10" s="502" t="s">
        <v>196</v>
      </c>
      <c r="E10" s="503">
        <f>IF(D10="Selecciona un descriptor de frecuencia."," ",IF(D10="","",VLOOKUP(D10,[10]Datos!$G$8:$J$12,2,FALSE)))</f>
        <v>4</v>
      </c>
      <c r="F10" s="503" t="str">
        <f>IF(D10="Selecciona un descriptor de frecuencia."," ",IF(D10="","",VLOOKUP(D10,[10]Datos!$G$8:$J$12,3,FALSE)))</f>
        <v>Probable</v>
      </c>
      <c r="G10" s="502" t="s">
        <v>199</v>
      </c>
      <c r="H10" s="504">
        <f>IF(G10="","",VLOOKUP(G10,[10]Datos!$K$8:$L$12,2,FALSE))</f>
        <v>4</v>
      </c>
      <c r="I10" s="505" t="str">
        <f>IF(D10="Selecciona un descriptor de frecuencia."," ",IF(G10="Selecciona un descriptor de impacto."," ",IF(E10+H10=" ","",IF(E10="","",VLOOKUP(E10,[10]Datos!$U$8:$Z$12,MATCH(H10,[10]Datos!$V$7:$Z$7,0)+1,FALSE)))))</f>
        <v>EXTREMO</v>
      </c>
      <c r="J10" s="506"/>
      <c r="K10" s="507" t="s">
        <v>925</v>
      </c>
      <c r="L10" s="515" t="s">
        <v>926</v>
      </c>
      <c r="M10" s="185">
        <f>[10]Controles!T12</f>
        <v>100</v>
      </c>
      <c r="N10" s="185" t="str">
        <f>[10]Controles!AB12</f>
        <v>No</v>
      </c>
      <c r="O10" s="186">
        <f>[10]Controles!W12</f>
        <v>1</v>
      </c>
      <c r="P10" s="508">
        <f>[10]Controles!X12</f>
        <v>1</v>
      </c>
      <c r="Q10" s="509">
        <f t="shared" si="0"/>
        <v>1</v>
      </c>
      <c r="R10" s="510">
        <f t="shared" si="1"/>
        <v>1</v>
      </c>
      <c r="S10" s="511">
        <f t="shared" si="2"/>
        <v>3</v>
      </c>
      <c r="T10" s="511">
        <f t="shared" si="3"/>
        <v>3</v>
      </c>
      <c r="U10" s="512" t="str">
        <f>IF(D10="Selecciona un descriptor de frecuencia."," ",VLOOKUP(S10,[10]Datos!$H$8:$I$12,2,FALSE))</f>
        <v>Posible</v>
      </c>
      <c r="V10" s="186" t="str">
        <f>IF(G10="Selecciona un descriptor de impacto."," ",VLOOKUP(T10,[10]Datos!$L$8:$M$12,2,FALSE))</f>
        <v>Moderado</v>
      </c>
      <c r="W10" s="471" t="str">
        <f>IF(S10=" "," ",VLOOKUP(S10,[10]Datos!$U$8:$Z$12,MATCH(T10,[10]Datos!$V$7:$Z$7,0)+1,FALSE))</f>
        <v>ALTO</v>
      </c>
      <c r="X10" s="219" t="s">
        <v>202</v>
      </c>
      <c r="Y10" s="514" t="s">
        <v>927</v>
      </c>
      <c r="Z10" s="497" t="s">
        <v>928</v>
      </c>
      <c r="AA10" s="188">
        <v>44211</v>
      </c>
      <c r="AB10" s="188">
        <v>44377</v>
      </c>
      <c r="AC10" s="516" t="s">
        <v>929</v>
      </c>
    </row>
    <row r="11" spans="1:29" s="192" customFormat="1" ht="80.25" customHeight="1" x14ac:dyDescent="0.2">
      <c r="A11" s="517" t="e">
        <f>#REF!</f>
        <v>#REF!</v>
      </c>
      <c r="B11" s="501" t="e">
        <f>#REF!</f>
        <v>#REF!</v>
      </c>
      <c r="C11" s="501" t="e">
        <f>#REF!</f>
        <v>#REF!</v>
      </c>
      <c r="D11" s="502" t="s">
        <v>196</v>
      </c>
      <c r="E11" s="503">
        <f>IF(D11="Selecciona un descriptor de frecuencia."," ",IF(D11="","",VLOOKUP(D11,[10]Datos!$G$8:$J$12,2,FALSE)))</f>
        <v>4</v>
      </c>
      <c r="F11" s="503" t="str">
        <f>IF(D11="Selecciona un descriptor de frecuencia."," ",IF(D11="","",VLOOKUP(D11,[10]Datos!$G$8:$J$12,3,FALSE)))</f>
        <v>Probable</v>
      </c>
      <c r="G11" s="502" t="s">
        <v>199</v>
      </c>
      <c r="H11" s="504">
        <f>IF(G11="","",VLOOKUP(G11,[10]Datos!$K$8:$L$12,2,FALSE))</f>
        <v>4</v>
      </c>
      <c r="I11" s="505" t="str">
        <f>IF(D11="Selecciona un descriptor de frecuencia."," ",IF(G11="Selecciona un descriptor de impacto."," ",IF(E11+H11=" ","",IF(E11="","",VLOOKUP(E11,[10]Datos!$U$8:$Z$12,MATCH(H11,[10]Datos!$V$7:$Z$7,0)+1,FALSE)))))</f>
        <v>EXTREMO</v>
      </c>
      <c r="J11" s="506"/>
      <c r="K11" s="507" t="s">
        <v>930</v>
      </c>
      <c r="L11" s="184" t="s">
        <v>931</v>
      </c>
      <c r="M11" s="185">
        <f>[10]Controles!T13</f>
        <v>85</v>
      </c>
      <c r="N11" s="185" t="str">
        <f>[10]Controles!AB13</f>
        <v>SI</v>
      </c>
      <c r="O11" s="186">
        <f>[10]Controles!W13</f>
        <v>0.85</v>
      </c>
      <c r="P11" s="508">
        <f>[10]Controles!X13</f>
        <v>0.85</v>
      </c>
      <c r="Q11" s="509">
        <f t="shared" si="0"/>
        <v>0.85</v>
      </c>
      <c r="R11" s="510">
        <f t="shared" si="1"/>
        <v>0.85</v>
      </c>
      <c r="S11" s="511">
        <f t="shared" si="2"/>
        <v>4</v>
      </c>
      <c r="T11" s="511">
        <f t="shared" si="3"/>
        <v>4</v>
      </c>
      <c r="U11" s="512" t="str">
        <f>IF(D11="Selecciona un descriptor de frecuencia."," ",VLOOKUP(S11,[10]Datos!$H$8:$I$12,2,FALSE))</f>
        <v>Probable</v>
      </c>
      <c r="V11" s="186" t="str">
        <f>IF(G11="Selecciona un descriptor de impacto."," ",VLOOKUP(T11,[10]Datos!$L$8:$M$12,2,FALSE))</f>
        <v>Mayor</v>
      </c>
      <c r="W11" s="471" t="str">
        <f>IF(S11=" "," ",VLOOKUP(S11,[10]Datos!$U$8:$Z$12,MATCH(T11,[10]Datos!$V$7:$Z$7,0)+1,FALSE))</f>
        <v>EXTREMO</v>
      </c>
      <c r="X11" s="219" t="s">
        <v>202</v>
      </c>
      <c r="Y11" s="514" t="s">
        <v>932</v>
      </c>
      <c r="Z11" s="497" t="s">
        <v>933</v>
      </c>
      <c r="AA11" s="498">
        <v>44200</v>
      </c>
      <c r="AB11" s="498">
        <v>44561</v>
      </c>
      <c r="AC11" s="516" t="s">
        <v>934</v>
      </c>
    </row>
    <row r="12" spans="1:29" s="192" customFormat="1" ht="141.75" customHeight="1" x14ac:dyDescent="0.2">
      <c r="A12" s="500" t="e">
        <f>#REF!</f>
        <v>#REF!</v>
      </c>
      <c r="B12" s="501" t="e">
        <f>#REF!</f>
        <v>#REF!</v>
      </c>
      <c r="C12" s="501" t="e">
        <f>#REF!</f>
        <v>#REF!</v>
      </c>
      <c r="D12" s="502" t="s">
        <v>210</v>
      </c>
      <c r="E12" s="503">
        <f>IF(D12="Selecciona un descriptor de frecuencia."," ",IF(D12="","",VLOOKUP(D12,[10]Datos!$G$8:$J$12,2,FALSE)))</f>
        <v>3</v>
      </c>
      <c r="F12" s="503" t="str">
        <f>IF(D12="Selecciona un descriptor de frecuencia."," ",IF(D12="","",VLOOKUP(D12,[10]Datos!$G$8:$J$12,3,FALSE)))</f>
        <v>Posible</v>
      </c>
      <c r="G12" s="502" t="s">
        <v>199</v>
      </c>
      <c r="H12" s="504">
        <f>IF(G12="","",VLOOKUP(G12,[10]Datos!$K$8:$L$12,2,FALSE))</f>
        <v>4</v>
      </c>
      <c r="I12" s="505" t="str">
        <f>IF(D12="Selecciona un descriptor de frecuencia."," ",IF(G12="Selecciona un descriptor de impacto."," ",IF(E12+H12=" ","",IF(E12="","",VLOOKUP(E12,[10]Datos!$U$8:$Z$12,MATCH(H12,[10]Datos!$V$7:$Z$7,0)+1,FALSE)))))</f>
        <v>EXTREMO</v>
      </c>
      <c r="J12" s="506"/>
      <c r="K12" s="507" t="s">
        <v>935</v>
      </c>
      <c r="L12" s="184" t="s">
        <v>936</v>
      </c>
      <c r="M12" s="185">
        <f>[10]Controles!T14</f>
        <v>100</v>
      </c>
      <c r="N12" s="185" t="str">
        <f>[10]Controles!AB14</f>
        <v>No</v>
      </c>
      <c r="O12" s="186">
        <f>[10]Controles!W14</f>
        <v>1</v>
      </c>
      <c r="P12" s="508">
        <f>[10]Controles!X14</f>
        <v>0</v>
      </c>
      <c r="Q12" s="509">
        <f t="shared" si="0"/>
        <v>1</v>
      </c>
      <c r="R12" s="510">
        <f t="shared" si="1"/>
        <v>0</v>
      </c>
      <c r="S12" s="511">
        <f t="shared" si="2"/>
        <v>2</v>
      </c>
      <c r="T12" s="511">
        <f t="shared" si="3"/>
        <v>4</v>
      </c>
      <c r="U12" s="512" t="str">
        <f>IF(D12="Selecciona un descriptor de frecuencia."," ",VLOOKUP(S12,[10]Datos!$H$8:$I$12,2,FALSE))</f>
        <v>Improbable</v>
      </c>
      <c r="V12" s="186" t="str">
        <f>IF(G12="Selecciona un descriptor de impacto."," ",VLOOKUP(T12,[10]Datos!$L$8:$M$12,2,FALSE))</f>
        <v>Mayor</v>
      </c>
      <c r="W12" s="471" t="str">
        <f>IF(S12=" "," ",VLOOKUP(S12,[10]Datos!$U$8:$Z$12,MATCH(T12,[10]Datos!$V$7:$Z$7,0)+1,FALSE))</f>
        <v>ALTO</v>
      </c>
      <c r="X12" s="219" t="s">
        <v>202</v>
      </c>
      <c r="Y12" s="507" t="s">
        <v>937</v>
      </c>
      <c r="Z12" s="497" t="s">
        <v>928</v>
      </c>
      <c r="AA12" s="498">
        <v>44211</v>
      </c>
      <c r="AB12" s="498">
        <v>44377</v>
      </c>
      <c r="AC12" s="516" t="s">
        <v>938</v>
      </c>
    </row>
    <row r="13" spans="1:29" s="192" customFormat="1" ht="78" customHeight="1" x14ac:dyDescent="0.2">
      <c r="A13" s="500" t="e">
        <f>#REF!</f>
        <v>#REF!</v>
      </c>
      <c r="B13" s="501" t="e">
        <f>#REF!</f>
        <v>#REF!</v>
      </c>
      <c r="C13" s="501" t="e">
        <f>#REF!</f>
        <v>#REF!</v>
      </c>
      <c r="D13" s="502" t="s">
        <v>223</v>
      </c>
      <c r="E13" s="503">
        <f>IF(D13="Selecciona un descriptor de frecuencia."," ",IF(D13="","",VLOOKUP(D13,[10]Datos!$G$8:$J$12,2,FALSE)))</f>
        <v>2</v>
      </c>
      <c r="F13" s="503" t="str">
        <f>IF(D13="Selecciona un descriptor de frecuencia."," ",IF(D13="","",VLOOKUP(D13,[10]Datos!$G$8:$J$12,3,FALSE)))</f>
        <v>Improbable</v>
      </c>
      <c r="G13" s="502" t="s">
        <v>184</v>
      </c>
      <c r="H13" s="504">
        <f>IF(G13="","",VLOOKUP(G13,[10]Datos!$K$8:$L$12,2,FALSE))</f>
        <v>5</v>
      </c>
      <c r="I13" s="505" t="str">
        <f>IF(D13="Selecciona un descriptor de frecuencia."," ",IF(G13="Selecciona un descriptor de impacto."," ",IF(E13+H13=" ","",IF(E13="","",VLOOKUP(E13,[10]Datos!$U$8:$Z$12,MATCH(H13,[10]Datos!$V$7:$Z$7,0)+1,FALSE)))))</f>
        <v>EXTREMO</v>
      </c>
      <c r="J13" s="506"/>
      <c r="K13" s="507" t="s">
        <v>939</v>
      </c>
      <c r="L13" s="184" t="s">
        <v>940</v>
      </c>
      <c r="M13" s="185">
        <f>[10]Controles!T15</f>
        <v>100</v>
      </c>
      <c r="N13" s="185" t="str">
        <f>[10]Controles!AB15</f>
        <v>No</v>
      </c>
      <c r="O13" s="186">
        <f>[10]Controles!W15</f>
        <v>1</v>
      </c>
      <c r="P13" s="508">
        <f>[10]Controles!X15</f>
        <v>1</v>
      </c>
      <c r="Q13" s="509">
        <f t="shared" si="0"/>
        <v>1</v>
      </c>
      <c r="R13" s="510">
        <f t="shared" si="1"/>
        <v>1</v>
      </c>
      <c r="S13" s="511">
        <f t="shared" si="2"/>
        <v>1</v>
      </c>
      <c r="T13" s="511">
        <f t="shared" si="3"/>
        <v>4</v>
      </c>
      <c r="U13" s="512" t="str">
        <f>IF(D13="Selecciona un descriptor de frecuencia."," ",VLOOKUP(S13,[10]Datos!$H$8:$I$12,2,FALSE))</f>
        <v>Rara vez</v>
      </c>
      <c r="V13" s="186" t="str">
        <f>IF(G13="Selecciona un descriptor de impacto."," ",VLOOKUP(T13,[10]Datos!$L$8:$M$12,2,FALSE))</f>
        <v>Mayor</v>
      </c>
      <c r="W13" s="471" t="str">
        <f>IF(S13=" "," ",VLOOKUP(S13,[10]Datos!$U$8:$Z$12,MATCH(T13,[10]Datos!$V$7:$Z$7,0)+1,FALSE))</f>
        <v>ALTO</v>
      </c>
      <c r="X13" s="219" t="s">
        <v>202</v>
      </c>
      <c r="Y13" s="518" t="s">
        <v>941</v>
      </c>
      <c r="Z13" s="497" t="s">
        <v>942</v>
      </c>
      <c r="AA13" s="498">
        <v>44211</v>
      </c>
      <c r="AB13" s="498">
        <v>44560</v>
      </c>
      <c r="AC13" s="516" t="s">
        <v>943</v>
      </c>
    </row>
    <row r="14" spans="1:29" s="192" customFormat="1" ht="65.25" customHeight="1" x14ac:dyDescent="0.2">
      <c r="A14" s="500" t="e">
        <f>#REF!</f>
        <v>#REF!</v>
      </c>
      <c r="B14" s="501" t="e">
        <f>#REF!</f>
        <v>#REF!</v>
      </c>
      <c r="C14" s="501" t="e">
        <f>#REF!</f>
        <v>#REF!</v>
      </c>
      <c r="D14" s="502" t="s">
        <v>223</v>
      </c>
      <c r="E14" s="503">
        <f>IF(D14="Selecciona un descriptor de frecuencia."," ",IF(D14="","",VLOOKUP(D14,[10]Datos!$G$8:$J$12,2,FALSE)))</f>
        <v>2</v>
      </c>
      <c r="F14" s="503" t="str">
        <f>IF(D14="Selecciona un descriptor de frecuencia."," ",IF(D14="","",VLOOKUP(D14,[10]Datos!$G$8:$J$12,3,FALSE)))</f>
        <v>Improbable</v>
      </c>
      <c r="G14" s="502" t="s">
        <v>204</v>
      </c>
      <c r="H14" s="504">
        <f>IF(G14="","",VLOOKUP(G14,[10]Datos!$K$8:$L$12,2,FALSE))</f>
        <v>3</v>
      </c>
      <c r="I14" s="505" t="str">
        <f>IF(D14="Selecciona un descriptor de frecuencia."," ",IF(G14="Selecciona un descriptor de impacto."," ",IF(E14+H14=" ","",IF(E14="","",VLOOKUP(E14,[10]Datos!$U$8:$Z$12,MATCH(H14,[10]Datos!$V$7:$Z$7,0)+1,FALSE)))))</f>
        <v>MODERADO</v>
      </c>
      <c r="J14" s="506"/>
      <c r="K14" s="507" t="s">
        <v>944</v>
      </c>
      <c r="L14" s="184" t="s">
        <v>945</v>
      </c>
      <c r="M14" s="185">
        <f>[10]Controles!T16</f>
        <v>100</v>
      </c>
      <c r="N14" s="185" t="str">
        <f>[10]Controles!AB16</f>
        <v>No</v>
      </c>
      <c r="O14" s="186">
        <f>[10]Controles!W16</f>
        <v>1</v>
      </c>
      <c r="P14" s="508">
        <f>[10]Controles!X16</f>
        <v>1</v>
      </c>
      <c r="Q14" s="509">
        <f t="shared" si="0"/>
        <v>1</v>
      </c>
      <c r="R14" s="510">
        <f t="shared" si="1"/>
        <v>1</v>
      </c>
      <c r="S14" s="511">
        <f t="shared" si="2"/>
        <v>1</v>
      </c>
      <c r="T14" s="511">
        <f t="shared" si="3"/>
        <v>2</v>
      </c>
      <c r="U14" s="512" t="str">
        <f>IF(D14="Selecciona un descriptor de frecuencia."," ",VLOOKUP(S14,[10]Datos!$H$8:$I$12,2,FALSE))</f>
        <v>Rara vez</v>
      </c>
      <c r="V14" s="186" t="str">
        <f>IF(G14="Selecciona un descriptor de impacto."," ",VLOOKUP(T14,[10]Datos!$L$8:$M$12,2,FALSE))</f>
        <v>Menor</v>
      </c>
      <c r="W14" s="471" t="str">
        <f>IF(S14=" "," ",VLOOKUP(S14,[10]Datos!$U$8:$Z$12,MATCH(T14,[10]Datos!$V$7:$Z$7,0)+1,FALSE))</f>
        <v>BAJO</v>
      </c>
      <c r="X14" s="219" t="s">
        <v>202</v>
      </c>
      <c r="Y14" s="518" t="s">
        <v>946</v>
      </c>
      <c r="Z14" s="497" t="s">
        <v>915</v>
      </c>
      <c r="AA14" s="188">
        <v>44200</v>
      </c>
      <c r="AB14" s="188">
        <v>44227</v>
      </c>
      <c r="AC14" s="516" t="s">
        <v>947</v>
      </c>
    </row>
    <row r="15" spans="1:29" s="192" customFormat="1" ht="140.25" customHeight="1" x14ac:dyDescent="0.2">
      <c r="A15" s="500" t="e">
        <f>#REF!</f>
        <v>#REF!</v>
      </c>
      <c r="B15" s="501" t="e">
        <f>#REF!</f>
        <v>#REF!</v>
      </c>
      <c r="C15" s="501" t="e">
        <f>#REF!</f>
        <v>#REF!</v>
      </c>
      <c r="D15" s="502" t="s">
        <v>223</v>
      </c>
      <c r="E15" s="503">
        <f>IF(D15="Selecciona un descriptor de frecuencia."," ",IF(D15="","",VLOOKUP(D15,[10]Datos!$G$8:$J$12,2,FALSE)))</f>
        <v>2</v>
      </c>
      <c r="F15" s="503" t="str">
        <f>IF(D15="Selecciona un descriptor de frecuencia."," ",IF(D15="","",VLOOKUP(D15,[10]Datos!$G$8:$J$12,3,FALSE)))</f>
        <v>Improbable</v>
      </c>
      <c r="G15" s="502" t="s">
        <v>199</v>
      </c>
      <c r="H15" s="504">
        <f>IF(G15="","",VLOOKUP(G15,[10]Datos!$K$8:$L$12,2,FALSE))</f>
        <v>4</v>
      </c>
      <c r="I15" s="505" t="str">
        <f>IF(D15="Selecciona un descriptor de frecuencia."," ",IF(G15="Selecciona un descriptor de impacto."," ",IF(E15+H15=" ","",IF(E15="","",VLOOKUP(E15,[10]Datos!$U$8:$Z$12,MATCH(H15,[10]Datos!$V$7:$Z$7,0)+1,FALSE)))))</f>
        <v>ALTO</v>
      </c>
      <c r="J15" s="506"/>
      <c r="K15" s="507" t="s">
        <v>948</v>
      </c>
      <c r="L15" s="515" t="s">
        <v>926</v>
      </c>
      <c r="M15" s="185">
        <f>[10]Controles!T17</f>
        <v>100</v>
      </c>
      <c r="N15" s="185" t="str">
        <f>[10]Controles!AB17</f>
        <v>No</v>
      </c>
      <c r="O15" s="186">
        <f>[10]Controles!W17</f>
        <v>1</v>
      </c>
      <c r="P15" s="508">
        <f>[10]Controles!X17</f>
        <v>1</v>
      </c>
      <c r="Q15" s="509">
        <f t="shared" si="0"/>
        <v>1</v>
      </c>
      <c r="R15" s="510">
        <f t="shared" si="1"/>
        <v>1</v>
      </c>
      <c r="S15" s="511">
        <f t="shared" si="2"/>
        <v>1</v>
      </c>
      <c r="T15" s="511">
        <f t="shared" si="3"/>
        <v>3</v>
      </c>
      <c r="U15" s="512" t="str">
        <f>IF(D15="Selecciona un descriptor de frecuencia."," ",VLOOKUP(S15,[10]Datos!$H$8:$I$12,2,FALSE))</f>
        <v>Rara vez</v>
      </c>
      <c r="V15" s="186" t="str">
        <f>IF(G15="Selecciona un descriptor de impacto."," ",VLOOKUP(T15,[10]Datos!$L$8:$M$12,2,FALSE))</f>
        <v>Moderado</v>
      </c>
      <c r="W15" s="471" t="str">
        <f>IF(S15=" "," ",VLOOKUP(S15,[10]Datos!$U$8:$Z$12,MATCH(T15,[10]Datos!$V$7:$Z$7,0)+1,FALSE))</f>
        <v>MODERADO</v>
      </c>
      <c r="X15" s="219" t="s">
        <v>202</v>
      </c>
      <c r="Y15" s="518" t="s">
        <v>949</v>
      </c>
      <c r="Z15" s="497" t="s">
        <v>915</v>
      </c>
      <c r="AA15" s="188">
        <v>44211</v>
      </c>
      <c r="AB15" s="188">
        <v>44301</v>
      </c>
      <c r="AC15" s="516" t="s">
        <v>950</v>
      </c>
    </row>
    <row r="16" spans="1:29" s="192" customFormat="1" ht="141" customHeight="1" x14ac:dyDescent="0.2">
      <c r="A16" s="519" t="e">
        <f>#REF!</f>
        <v>#REF!</v>
      </c>
      <c r="B16" s="470" t="e">
        <f>#REF!</f>
        <v>#REF!</v>
      </c>
      <c r="C16" s="520" t="e">
        <f>#REF!</f>
        <v>#REF!</v>
      </c>
      <c r="D16" s="502" t="s">
        <v>223</v>
      </c>
      <c r="E16" s="503">
        <f>IF(D16="Selecciona un descriptor de frecuencia."," ",IF(D16="","",VLOOKUP(D16,[10]Datos!$G$8:$J$12,2,FALSE)))</f>
        <v>2</v>
      </c>
      <c r="F16" s="503" t="str">
        <f>IF(D16="Selecciona un descriptor de frecuencia."," ",IF(D16="","",VLOOKUP(D16,[10]Datos!$G$8:$J$12,3,FALSE)))</f>
        <v>Improbable</v>
      </c>
      <c r="G16" s="502" t="s">
        <v>184</v>
      </c>
      <c r="H16" s="473">
        <f>IF(G16="","",VLOOKUP(G16,[10]Datos!$K$8:$L$12,2,FALSE))</f>
        <v>5</v>
      </c>
      <c r="I16" s="505" t="str">
        <f>IF(D16="Selecciona un descriptor de frecuencia."," ",IF(G16="Selecciona un descriptor de impacto."," ",IF(E16+H16=" ","",IF(E16="","",VLOOKUP(E16,[10]Datos!$U$8:$Z$12,MATCH(H16,[10]Datos!$V$7:$Z$7,0)+1,FALSE)))))</f>
        <v>EXTREMO</v>
      </c>
      <c r="J16" s="506"/>
      <c r="K16" s="507" t="s">
        <v>951</v>
      </c>
      <c r="L16" s="515" t="s">
        <v>926</v>
      </c>
      <c r="M16" s="185">
        <f>[10]Controles!T18</f>
        <v>100</v>
      </c>
      <c r="N16" s="185" t="str">
        <f>[10]Controles!AB18</f>
        <v>No</v>
      </c>
      <c r="O16" s="186">
        <f>[10]Controles!W18</f>
        <v>1</v>
      </c>
      <c r="P16" s="508">
        <f>[10]Controles!X18</f>
        <v>1</v>
      </c>
      <c r="Q16" s="509">
        <f t="shared" si="0"/>
        <v>1</v>
      </c>
      <c r="R16" s="510">
        <f t="shared" si="1"/>
        <v>1</v>
      </c>
      <c r="S16" s="511">
        <f t="shared" si="2"/>
        <v>1</v>
      </c>
      <c r="T16" s="511">
        <f t="shared" si="3"/>
        <v>4</v>
      </c>
      <c r="U16" s="512" t="str">
        <f>IF(D16="Selecciona un descriptor de frecuencia."," ",VLOOKUP(S16,[10]Datos!$H$8:$I$12,2,FALSE))</f>
        <v>Rara vez</v>
      </c>
      <c r="V16" s="186" t="str">
        <f>IF(G16="Selecciona un descriptor de impacto."," ",VLOOKUP(T16,[10]Datos!$L$8:$M$12,2,FALSE))</f>
        <v>Mayor</v>
      </c>
      <c r="W16" s="471" t="str">
        <f>IF(S16=" "," ",VLOOKUP(S16,[10]Datos!$U$8:$Z$12,MATCH(T16,[10]Datos!$V$7:$Z$7,0)+1,FALSE))</f>
        <v>ALTO</v>
      </c>
      <c r="X16" s="219" t="s">
        <v>202</v>
      </c>
      <c r="Y16" s="521" t="s">
        <v>952</v>
      </c>
      <c r="Z16" s="497" t="s">
        <v>915</v>
      </c>
      <c r="AA16" s="188">
        <v>44211</v>
      </c>
      <c r="AB16" s="188">
        <v>44285</v>
      </c>
      <c r="AC16" s="522" t="s">
        <v>953</v>
      </c>
    </row>
  </sheetData>
  <mergeCells count="8">
    <mergeCell ref="A1:C4"/>
    <mergeCell ref="D1:AB4"/>
    <mergeCell ref="AC1:AC2"/>
    <mergeCell ref="AC3:AC4"/>
    <mergeCell ref="A5:I5"/>
    <mergeCell ref="K5:P5"/>
    <mergeCell ref="Q5:X5"/>
    <mergeCell ref="Y5:AC5"/>
  </mergeCells>
  <conditionalFormatting sqref="I7:J16 W7:X16">
    <cfRule type="cellIs" dxfId="87" priority="3" operator="equal">
      <formula>"Extremo"</formula>
    </cfRule>
    <cfRule type="cellIs" dxfId="86" priority="4" operator="equal">
      <formula>"Moderado"</formula>
    </cfRule>
    <cfRule type="cellIs" dxfId="85" priority="5" operator="equal">
      <formula>"Bajo"</formula>
    </cfRule>
    <cfRule type="cellIs" dxfId="84" priority="6" operator="equal">
      <formula>"Alto"</formula>
    </cfRule>
  </conditionalFormatting>
  <conditionalFormatting sqref="AA13:AB13">
    <cfRule type="timePeriod" dxfId="83" priority="2" timePeriod="lastMonth">
      <formula>AND(MONTH(AA13)=MONTH(EDATE(TODAY(),0-1)),YEAR(AA13)=YEAR(EDATE(TODAY(),0-1)))</formula>
    </cfRule>
  </conditionalFormatting>
  <conditionalFormatting sqref="AA12">
    <cfRule type="timePeriod" dxfId="82" priority="1" timePeriod="lastMonth">
      <formula>AND(MONTH(AA12)=MONTH(EDATE(TODAY(),0-1)),YEAR(AA12)=YEAR(EDATE(TODAY(),0-1)))</formula>
    </cfRule>
  </conditionalFormatting>
  <dataValidations count="1">
    <dataValidation type="list" allowBlank="1" showInputMessage="1" showErrorMessage="1" sqref="J7:J16" xr:uid="{00000000-0002-0000-4100-000000000000}">
      <formula1>"SI,NO"</formula1>
    </dataValidation>
  </dataValidations>
  <pageMargins left="7.874015748031496E-2" right="7.874015748031496E-2" top="1.1417322834645669" bottom="0.15748031496062992" header="0.31496062992125984" footer="0.31496062992125984"/>
  <pageSetup scale="38" orientation="landscape" horizontalDpi="1200" verticalDpi="1200" r:id="rId1"/>
  <headerFooter>
    <oddHeader>&amp;L&amp;G&amp;C
&amp;"-,Negrita"Matriz de Riesgos</oddHeader>
  </headerFooter>
  <rowBreaks count="4" manualBreakCount="4">
    <brk id="8" max="16383" man="1"/>
    <brk id="10" max="16383" man="1"/>
    <brk id="12" max="16383" man="1"/>
    <brk id="14" max="16383" man="1"/>
  </rowBreaks>
  <colBreaks count="1" manualBreakCount="1">
    <brk id="16" max="1048575" man="1"/>
  </col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100-000001000000}">
          <x14:formula1>
            <xm:f>'C:\Users\sgomez.UPME\Documents\UPME 2020\Documents\Mapas de riesgos\[Mapa de riesgos. Direccionamiento Estratégico.xlsx]Datos'!#REF!</xm:f>
          </x14:formula1>
          <xm:sqref>G7:G16 X7:X16 D7:D16</xm:sqref>
        </x14:dataValidation>
      </x14:dataValidations>
    </ext>
  </extLs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BEAE25"/>
  </sheetPr>
  <dimension ref="A1:X16"/>
  <sheetViews>
    <sheetView showGridLines="0" view="pageBreakPreview" topLeftCell="A13" zoomScale="115" zoomScaleNormal="100" zoomScaleSheetLayoutView="115" workbookViewId="0">
      <selection activeCell="E17" sqref="E17"/>
    </sheetView>
  </sheetViews>
  <sheetFormatPr baseColWidth="10" defaultRowHeight="15" x14ac:dyDescent="0.25"/>
  <cols>
    <col min="1" max="1" width="5.625" style="151" customWidth="1"/>
    <col min="2" max="2" width="21.625" style="151" customWidth="1"/>
    <col min="3" max="3" width="15.75" style="151" customWidth="1"/>
    <col min="4" max="4" width="17.875" style="151" customWidth="1"/>
    <col min="5" max="11" width="16.625" style="151" customWidth="1"/>
    <col min="12" max="12" width="21.375" style="151" customWidth="1"/>
    <col min="13" max="14" width="16.625" style="151" customWidth="1"/>
    <col min="15" max="15" width="18.5" style="151" customWidth="1"/>
    <col min="16" max="16" width="16.625" style="151" customWidth="1"/>
    <col min="17" max="23" width="13.75" style="151" customWidth="1"/>
    <col min="24" max="24" width="9.125" style="168" bestFit="1" customWidth="1"/>
    <col min="25" max="26" width="25.625" style="151" customWidth="1"/>
    <col min="27" max="16384" width="11" style="151"/>
  </cols>
  <sheetData>
    <row r="1" spans="1:24" ht="15" customHeight="1" x14ac:dyDescent="0.25">
      <c r="A1" s="1144"/>
      <c r="B1" s="1145"/>
      <c r="C1" s="1145"/>
      <c r="D1" s="1146"/>
      <c r="E1" s="1149" t="s">
        <v>0</v>
      </c>
      <c r="F1" s="1150"/>
      <c r="G1" s="1150"/>
      <c r="H1" s="1150"/>
      <c r="I1" s="1150"/>
      <c r="J1" s="1150"/>
      <c r="K1" s="1150"/>
      <c r="L1" s="1150"/>
      <c r="M1" s="1150"/>
      <c r="N1" s="1150"/>
      <c r="O1" s="1150"/>
      <c r="P1" s="1150"/>
      <c r="Q1" s="1150"/>
      <c r="R1" s="1150"/>
      <c r="S1" s="1150"/>
      <c r="T1" s="1151"/>
      <c r="U1" s="1155" t="s">
        <v>98</v>
      </c>
      <c r="V1" s="1156"/>
      <c r="W1" s="1156"/>
      <c r="X1" s="1157"/>
    </row>
    <row r="2" spans="1:24" ht="15" customHeight="1" x14ac:dyDescent="0.25">
      <c r="A2" s="1147"/>
      <c r="B2" s="1148"/>
      <c r="C2" s="1148"/>
      <c r="D2" s="1096"/>
      <c r="E2" s="1152"/>
      <c r="F2" s="1153"/>
      <c r="G2" s="1153"/>
      <c r="H2" s="1153"/>
      <c r="I2" s="1153"/>
      <c r="J2" s="1153"/>
      <c r="K2" s="1153"/>
      <c r="L2" s="1153"/>
      <c r="M2" s="1153"/>
      <c r="N2" s="1153"/>
      <c r="O2" s="1153"/>
      <c r="P2" s="1153"/>
      <c r="Q2" s="1153"/>
      <c r="R2" s="1153"/>
      <c r="S2" s="1153"/>
      <c r="T2" s="1154"/>
      <c r="U2" s="1158"/>
      <c r="V2" s="1159"/>
      <c r="W2" s="1159"/>
      <c r="X2" s="1160"/>
    </row>
    <row r="3" spans="1:24" ht="15" customHeight="1" x14ac:dyDescent="0.25">
      <c r="A3" s="1147"/>
      <c r="B3" s="1148"/>
      <c r="C3" s="1148"/>
      <c r="D3" s="1096"/>
      <c r="E3" s="1152"/>
      <c r="F3" s="1153"/>
      <c r="G3" s="1153"/>
      <c r="H3" s="1153"/>
      <c r="I3" s="1153"/>
      <c r="J3" s="1153"/>
      <c r="K3" s="1153"/>
      <c r="L3" s="1153"/>
      <c r="M3" s="1153"/>
      <c r="N3" s="1153"/>
      <c r="O3" s="1153"/>
      <c r="P3" s="1153"/>
      <c r="Q3" s="1153"/>
      <c r="R3" s="1153"/>
      <c r="S3" s="1153"/>
      <c r="T3" s="1154"/>
      <c r="U3" s="1155" t="s">
        <v>367</v>
      </c>
      <c r="V3" s="1156"/>
      <c r="W3" s="1156"/>
      <c r="X3" s="1156"/>
    </row>
    <row r="4" spans="1:24" ht="15" customHeight="1" x14ac:dyDescent="0.25">
      <c r="A4" s="1147"/>
      <c r="B4" s="1148"/>
      <c r="C4" s="1148"/>
      <c r="D4" s="1096"/>
      <c r="E4" s="1152"/>
      <c r="F4" s="1153"/>
      <c r="G4" s="1153"/>
      <c r="H4" s="1153"/>
      <c r="I4" s="1153"/>
      <c r="J4" s="1153"/>
      <c r="K4" s="1153"/>
      <c r="L4" s="1153"/>
      <c r="M4" s="1153"/>
      <c r="N4" s="1153"/>
      <c r="O4" s="1153"/>
      <c r="P4" s="1153"/>
      <c r="Q4" s="1153"/>
      <c r="R4" s="1153"/>
      <c r="S4" s="1153"/>
      <c r="T4" s="1154"/>
      <c r="U4" s="1161"/>
      <c r="V4" s="1162"/>
      <c r="W4" s="1162"/>
      <c r="X4" s="1162"/>
    </row>
    <row r="5" spans="1:24" ht="15" customHeight="1" x14ac:dyDescent="0.25">
      <c r="A5" s="1163" t="s">
        <v>100</v>
      </c>
      <c r="B5" s="1163"/>
      <c r="C5" s="1163"/>
      <c r="D5" s="1164"/>
      <c r="E5" s="1118" t="s">
        <v>101</v>
      </c>
      <c r="F5" s="1119"/>
      <c r="G5" s="1119"/>
      <c r="H5" s="1119"/>
      <c r="I5" s="1119"/>
      <c r="J5" s="1119"/>
      <c r="K5" s="1119"/>
      <c r="L5" s="1119"/>
      <c r="M5" s="1119"/>
      <c r="N5" s="1119"/>
      <c r="O5" s="1119"/>
      <c r="P5" s="1119"/>
      <c r="Q5" s="1119"/>
      <c r="R5" s="1119"/>
      <c r="S5" s="1119"/>
      <c r="T5" s="1119"/>
      <c r="U5" s="1119"/>
      <c r="V5" s="1119"/>
      <c r="W5" s="1119"/>
      <c r="X5" s="1120"/>
    </row>
    <row r="6" spans="1:24" s="209" customFormat="1" ht="114.75" customHeight="1" x14ac:dyDescent="0.2">
      <c r="A6" s="157" t="s">
        <v>44</v>
      </c>
      <c r="B6" s="208" t="s">
        <v>64</v>
      </c>
      <c r="C6" s="208" t="s">
        <v>70</v>
      </c>
      <c r="D6" s="208" t="s">
        <v>69</v>
      </c>
      <c r="E6" s="157" t="s">
        <v>102</v>
      </c>
      <c r="F6" s="157" t="s">
        <v>103</v>
      </c>
      <c r="G6" s="157" t="s">
        <v>104</v>
      </c>
      <c r="H6" s="157" t="s">
        <v>954</v>
      </c>
      <c r="I6" s="208" t="s">
        <v>106</v>
      </c>
      <c r="J6" s="208" t="s">
        <v>107</v>
      </c>
      <c r="K6" s="208" t="s">
        <v>108</v>
      </c>
      <c r="L6" s="208" t="s">
        <v>793</v>
      </c>
      <c r="M6" s="208" t="s">
        <v>110</v>
      </c>
      <c r="N6" s="208" t="s">
        <v>111</v>
      </c>
      <c r="O6" s="208" t="s">
        <v>112</v>
      </c>
      <c r="P6" s="208" t="s">
        <v>113</v>
      </c>
      <c r="Q6" s="208" t="s">
        <v>114</v>
      </c>
      <c r="R6" s="208" t="s">
        <v>115</v>
      </c>
      <c r="S6" s="208" t="s">
        <v>116</v>
      </c>
      <c r="T6" s="208" t="s">
        <v>117</v>
      </c>
      <c r="U6" s="208" t="s">
        <v>118</v>
      </c>
      <c r="V6" s="208" t="s">
        <v>119</v>
      </c>
      <c r="W6" s="208" t="s">
        <v>120</v>
      </c>
      <c r="X6" s="208" t="s">
        <v>121</v>
      </c>
    </row>
    <row r="7" spans="1:24" s="315" customFormat="1" ht="111" customHeight="1" x14ac:dyDescent="0.2">
      <c r="A7" s="210" t="e">
        <f>#REF!</f>
        <v>#REF!</v>
      </c>
      <c r="B7" s="210" t="e">
        <f>#REF!</f>
        <v>#REF!</v>
      </c>
      <c r="C7" s="165" t="str">
        <f>IF(D7="PENDIENTE EVALUAR EL IMPACTO","PENDIENTE EVALUAR EL IMPACTO COLUMNAS H-W",VLOOKUP(D7,[10]Datos!$K$8:$L$12,2,FALSE))</f>
        <v>PENDIENTE EVALUAR EL IMPACTO COLUMNAS H-W</v>
      </c>
      <c r="D7" s="165" t="str">
        <f>IF(X7=0,"PENDIENTE EVALUAR EL IMPACTO",IF(X7&lt;=5,"MODERADO",IF(X7&lt;=11,"MAYOR","CATASTRÓFICO")))</f>
        <v>PENDIENTE EVALUAR EL IMPACTO</v>
      </c>
      <c r="E7" s="313"/>
      <c r="F7" s="313"/>
      <c r="G7" s="313"/>
      <c r="H7" s="313"/>
      <c r="I7" s="314"/>
      <c r="J7" s="314"/>
      <c r="K7" s="314"/>
      <c r="L7" s="314"/>
      <c r="M7" s="314"/>
      <c r="N7" s="314"/>
      <c r="O7" s="314"/>
      <c r="P7" s="314"/>
      <c r="Q7" s="314"/>
      <c r="R7" s="314"/>
      <c r="S7" s="314"/>
      <c r="T7" s="314"/>
      <c r="U7" s="314"/>
      <c r="V7" s="314"/>
      <c r="W7" s="314"/>
      <c r="X7" s="211">
        <f>COUNTIF(E7:W7,"SI")</f>
        <v>0</v>
      </c>
    </row>
    <row r="8" spans="1:24" ht="84.75" customHeight="1" x14ac:dyDescent="0.25">
      <c r="A8" s="210" t="e">
        <f>#REF!</f>
        <v>#REF!</v>
      </c>
      <c r="B8" s="210" t="e">
        <f>#REF!</f>
        <v>#REF!</v>
      </c>
      <c r="C8" s="165">
        <f>IF(D8="PENDIENTE EVALUAR EL IMPACTO","PENDIENTE EVALUAR EL IMPACTO COLUMNAS H-W",VLOOKUP(D8,[10]Datos!$K$8:$L$12,2,FALSE))</f>
        <v>4</v>
      </c>
      <c r="D8" s="210" t="str">
        <f>IF(X8=0,"PENDIENTE EVALUAR EL IMPACTO",IF(X8&lt;=5,"MODERADO",IF(X8&lt;=11,"MAYOR","CATASTRÓFICO")))</f>
        <v>MAYOR</v>
      </c>
      <c r="E8" s="523" t="s">
        <v>122</v>
      </c>
      <c r="F8" s="523" t="s">
        <v>122</v>
      </c>
      <c r="G8" s="523" t="s">
        <v>122</v>
      </c>
      <c r="H8" s="523"/>
      <c r="I8" s="163" t="s">
        <v>122</v>
      </c>
      <c r="J8" s="163"/>
      <c r="K8" s="163"/>
      <c r="L8" s="163" t="s">
        <v>122</v>
      </c>
      <c r="M8" s="163" t="s">
        <v>122</v>
      </c>
      <c r="N8" s="163"/>
      <c r="O8" s="163"/>
      <c r="P8" s="163" t="s">
        <v>122</v>
      </c>
      <c r="Q8" s="163"/>
      <c r="R8" s="163"/>
      <c r="S8" s="163" t="s">
        <v>122</v>
      </c>
      <c r="T8" s="163"/>
      <c r="U8" s="163" t="s">
        <v>122</v>
      </c>
      <c r="V8" s="163"/>
      <c r="W8" s="163" t="s">
        <v>122</v>
      </c>
      <c r="X8" s="211">
        <f t="shared" ref="X8:X16" si="0">COUNTIF(E8:W8,"SI")</f>
        <v>10</v>
      </c>
    </row>
    <row r="9" spans="1:24" ht="72.75" customHeight="1" x14ac:dyDescent="0.25">
      <c r="A9" s="210" t="e">
        <f>#REF!</f>
        <v>#REF!</v>
      </c>
      <c r="B9" s="210" t="e">
        <f>#REF!</f>
        <v>#REF!</v>
      </c>
      <c r="C9" s="165" t="str">
        <f>IF(D9="PENDIENTE EVALUAR EL IMPACTO","PENDIENTE EVALUAR EL IMPACTO COLUMNAS H-W",VLOOKUP(D9,[10]Datos!$K$8:$L$12,2,FALSE))</f>
        <v>PENDIENTE EVALUAR EL IMPACTO COLUMNAS H-W</v>
      </c>
      <c r="D9" s="210" t="str">
        <f t="shared" ref="D9:D16" si="1">IF(X9=0,"PENDIENTE EVALUAR EL IMPACTO",IF(X9&lt;=5,"MODERADO",IF(X9&lt;=11,"MAYOR","CATASTRÓFICO")))</f>
        <v>PENDIENTE EVALUAR EL IMPACTO</v>
      </c>
      <c r="E9" s="524"/>
      <c r="F9" s="524"/>
      <c r="G9" s="524"/>
      <c r="H9" s="524"/>
      <c r="I9" s="524"/>
      <c r="J9" s="524"/>
      <c r="K9" s="524"/>
      <c r="L9" s="524"/>
      <c r="M9" s="524"/>
      <c r="N9" s="524"/>
      <c r="O9" s="524"/>
      <c r="P9" s="524"/>
      <c r="Q9" s="524"/>
      <c r="R9" s="524"/>
      <c r="S9" s="524"/>
      <c r="T9" s="524"/>
      <c r="U9" s="524"/>
      <c r="V9" s="524"/>
      <c r="W9" s="524"/>
      <c r="X9" s="211">
        <f t="shared" si="0"/>
        <v>0</v>
      </c>
    </row>
    <row r="10" spans="1:24" ht="105" customHeight="1" x14ac:dyDescent="0.25">
      <c r="A10" s="210" t="e">
        <f>#REF!</f>
        <v>#REF!</v>
      </c>
      <c r="B10" s="210" t="e">
        <f>#REF!</f>
        <v>#REF!</v>
      </c>
      <c r="C10" s="165" t="str">
        <f>IF(D10="PENDIENTE EVALUAR EL IMPACTO","PENDIENTE EVALUAR EL IMPACTO COLUMNAS H-W",VLOOKUP(D10,[10]Datos!$K$8:$L$12,2,FALSE))</f>
        <v>PENDIENTE EVALUAR EL IMPACTO COLUMNAS H-W</v>
      </c>
      <c r="D10" s="210" t="str">
        <f t="shared" si="1"/>
        <v>PENDIENTE EVALUAR EL IMPACTO</v>
      </c>
      <c r="E10" s="524"/>
      <c r="F10" s="524"/>
      <c r="G10" s="524"/>
      <c r="H10" s="524"/>
      <c r="I10" s="524"/>
      <c r="J10" s="524"/>
      <c r="K10" s="524"/>
      <c r="L10" s="524"/>
      <c r="M10" s="524"/>
      <c r="N10" s="524"/>
      <c r="O10" s="524"/>
      <c r="P10" s="524"/>
      <c r="Q10" s="524"/>
      <c r="R10" s="524"/>
      <c r="S10" s="524"/>
      <c r="T10" s="524"/>
      <c r="U10" s="524"/>
      <c r="V10" s="524"/>
      <c r="W10" s="524"/>
      <c r="X10" s="211">
        <f t="shared" si="0"/>
        <v>0</v>
      </c>
    </row>
    <row r="11" spans="1:24" ht="60" x14ac:dyDescent="0.25">
      <c r="A11" s="210" t="e">
        <f>#REF!</f>
        <v>#REF!</v>
      </c>
      <c r="B11" s="210" t="e">
        <f>#REF!</f>
        <v>#REF!</v>
      </c>
      <c r="C11" s="165" t="str">
        <f>IF(D11="PENDIENTE EVALUAR EL IMPACTO","PENDIENTE EVALUAR EL IMPACTO COLUMNAS H-W",VLOOKUP(D11,[10]Datos!$K$8:$L$12,2,FALSE))</f>
        <v>PENDIENTE EVALUAR EL IMPACTO COLUMNAS H-W</v>
      </c>
      <c r="D11" s="210" t="str">
        <f t="shared" si="1"/>
        <v>PENDIENTE EVALUAR EL IMPACTO</v>
      </c>
      <c r="E11" s="524"/>
      <c r="F11" s="524"/>
      <c r="G11" s="524"/>
      <c r="H11" s="524"/>
      <c r="I11" s="524"/>
      <c r="J11" s="524"/>
      <c r="K11" s="524"/>
      <c r="L11" s="524"/>
      <c r="M11" s="524"/>
      <c r="N11" s="524"/>
      <c r="O11" s="524"/>
      <c r="P11" s="524"/>
      <c r="Q11" s="524"/>
      <c r="R11" s="524"/>
      <c r="S11" s="524"/>
      <c r="T11" s="524"/>
      <c r="U11" s="524"/>
      <c r="V11" s="524"/>
      <c r="W11" s="524"/>
      <c r="X11" s="211">
        <f t="shared" si="0"/>
        <v>0</v>
      </c>
    </row>
    <row r="12" spans="1:24" ht="60" x14ac:dyDescent="0.25">
      <c r="A12" s="210" t="e">
        <f>#REF!</f>
        <v>#REF!</v>
      </c>
      <c r="B12" s="210" t="e">
        <f>#REF!</f>
        <v>#REF!</v>
      </c>
      <c r="C12" s="165" t="str">
        <f>IF(D12="PENDIENTE EVALUAR EL IMPACTO","PENDIENTE EVALUAR EL IMPACTO COLUMNAS H-W",VLOOKUP(D12,[10]Datos!$K$8:$L$12,2,FALSE))</f>
        <v>PENDIENTE EVALUAR EL IMPACTO COLUMNAS H-W</v>
      </c>
      <c r="D12" s="210" t="str">
        <f t="shared" si="1"/>
        <v>PENDIENTE EVALUAR EL IMPACTO</v>
      </c>
      <c r="E12" s="524"/>
      <c r="F12" s="524"/>
      <c r="G12" s="524"/>
      <c r="H12" s="524"/>
      <c r="I12" s="524"/>
      <c r="J12" s="524"/>
      <c r="K12" s="524"/>
      <c r="L12" s="524"/>
      <c r="M12" s="524"/>
      <c r="N12" s="524"/>
      <c r="O12" s="524"/>
      <c r="P12" s="524"/>
      <c r="Q12" s="524"/>
      <c r="R12" s="524"/>
      <c r="S12" s="524"/>
      <c r="T12" s="524"/>
      <c r="U12" s="524"/>
      <c r="V12" s="524"/>
      <c r="W12" s="524"/>
      <c r="X12" s="211">
        <f t="shared" si="0"/>
        <v>0</v>
      </c>
    </row>
    <row r="13" spans="1:24" x14ac:dyDescent="0.25">
      <c r="A13" s="210" t="e">
        <f>#REF!</f>
        <v>#REF!</v>
      </c>
      <c r="B13" s="210" t="e">
        <f>#REF!</f>
        <v>#REF!</v>
      </c>
      <c r="C13" s="165">
        <f>IF(D13="PENDIENTE EVALUAR EL IMPACTO","PENDIENTE EVALUAR EL IMPACTO COLUMNAS H-W",VLOOKUP(D13,[10]Datos!$K$8:$L$12,2,FALSE))</f>
        <v>5</v>
      </c>
      <c r="D13" s="210" t="str">
        <f t="shared" si="1"/>
        <v>CATASTRÓFICO</v>
      </c>
      <c r="E13" s="524" t="s">
        <v>122</v>
      </c>
      <c r="F13" s="524" t="s">
        <v>122</v>
      </c>
      <c r="G13" s="524" t="s">
        <v>122</v>
      </c>
      <c r="H13" s="524" t="s">
        <v>122</v>
      </c>
      <c r="I13" s="524" t="s">
        <v>122</v>
      </c>
      <c r="J13" s="524" t="s">
        <v>263</v>
      </c>
      <c r="K13" s="524" t="s">
        <v>122</v>
      </c>
      <c r="L13" s="524" t="s">
        <v>263</v>
      </c>
      <c r="M13" s="524" t="s">
        <v>122</v>
      </c>
      <c r="N13" s="524" t="s">
        <v>122</v>
      </c>
      <c r="O13" s="524" t="s">
        <v>122</v>
      </c>
      <c r="P13" s="524" t="s">
        <v>122</v>
      </c>
      <c r="Q13" s="524" t="s">
        <v>122</v>
      </c>
      <c r="R13" s="524" t="s">
        <v>263</v>
      </c>
      <c r="S13" s="524" t="s">
        <v>122</v>
      </c>
      <c r="T13" s="524" t="s">
        <v>263</v>
      </c>
      <c r="U13" s="524" t="s">
        <v>263</v>
      </c>
      <c r="V13" s="524" t="s">
        <v>122</v>
      </c>
      <c r="W13" s="524" t="s">
        <v>263</v>
      </c>
      <c r="X13" s="211">
        <f t="shared" si="0"/>
        <v>13</v>
      </c>
    </row>
    <row r="14" spans="1:24" ht="60" x14ac:dyDescent="0.25">
      <c r="A14" s="210" t="e">
        <f>#REF!</f>
        <v>#REF!</v>
      </c>
      <c r="B14" s="210" t="e">
        <f>#REF!</f>
        <v>#REF!</v>
      </c>
      <c r="C14" s="165" t="str">
        <f>IF(D14="PENDIENTE EVALUAR EL IMPACTO","PENDIENTE EVALUAR EL IMPACTO COLUMNAS H-W",VLOOKUP(D14,[10]Datos!$K$8:$L$12,2,FALSE))</f>
        <v>PENDIENTE EVALUAR EL IMPACTO COLUMNAS H-W</v>
      </c>
      <c r="D14" s="210" t="str">
        <f t="shared" si="1"/>
        <v>PENDIENTE EVALUAR EL IMPACTO</v>
      </c>
      <c r="E14" s="524"/>
      <c r="F14" s="524"/>
      <c r="G14" s="524"/>
      <c r="H14" s="524"/>
      <c r="I14" s="524"/>
      <c r="J14" s="524"/>
      <c r="K14" s="524"/>
      <c r="L14" s="524"/>
      <c r="M14" s="524"/>
      <c r="N14" s="524"/>
      <c r="O14" s="524"/>
      <c r="P14" s="524"/>
      <c r="Q14" s="524"/>
      <c r="R14" s="524"/>
      <c r="S14" s="524"/>
      <c r="T14" s="524"/>
      <c r="U14" s="524"/>
      <c r="V14" s="524"/>
      <c r="W14" s="524"/>
      <c r="X14" s="211">
        <f t="shared" si="0"/>
        <v>0</v>
      </c>
    </row>
    <row r="15" spans="1:24" ht="60" x14ac:dyDescent="0.25">
      <c r="A15" s="210" t="e">
        <f>#REF!</f>
        <v>#REF!</v>
      </c>
      <c r="B15" s="210" t="e">
        <f>#REF!</f>
        <v>#REF!</v>
      </c>
      <c r="C15" s="165" t="str">
        <f>IF(D15="PENDIENTE EVALUAR EL IMPACTO","PENDIENTE EVALUAR EL IMPACTO COLUMNAS H-W",VLOOKUP(D15,[10]Datos!$K$8:$L$12,2,FALSE))</f>
        <v>PENDIENTE EVALUAR EL IMPACTO COLUMNAS H-W</v>
      </c>
      <c r="D15" s="210" t="str">
        <f t="shared" si="1"/>
        <v>PENDIENTE EVALUAR EL IMPACTO</v>
      </c>
      <c r="E15" s="524"/>
      <c r="F15" s="524"/>
      <c r="G15" s="524"/>
      <c r="H15" s="524"/>
      <c r="I15" s="524"/>
      <c r="J15" s="524"/>
      <c r="K15" s="524"/>
      <c r="L15" s="524"/>
      <c r="M15" s="524"/>
      <c r="N15" s="524"/>
      <c r="O15" s="524"/>
      <c r="P15" s="524"/>
      <c r="Q15" s="524"/>
      <c r="R15" s="524"/>
      <c r="S15" s="524"/>
      <c r="T15" s="524"/>
      <c r="U15" s="524"/>
      <c r="V15" s="524"/>
      <c r="W15" s="524"/>
      <c r="X15" s="211">
        <f t="shared" si="0"/>
        <v>0</v>
      </c>
    </row>
    <row r="16" spans="1:24" ht="87.75" customHeight="1" x14ac:dyDescent="0.25">
      <c r="A16" s="210" t="e">
        <f>#REF!</f>
        <v>#REF!</v>
      </c>
      <c r="B16" s="210" t="e">
        <f>#REF!</f>
        <v>#REF!</v>
      </c>
      <c r="C16" s="165">
        <f>IF(D16="PENDIENTE EVALUAR EL IMPACTO","PENDIENTE EVALUAR EL IMPACTO COLUMNAS H-W",VLOOKUP(D16,[10]Datos!$K$8:$L$12,2,FALSE))</f>
        <v>5</v>
      </c>
      <c r="D16" s="210" t="str">
        <f t="shared" si="1"/>
        <v>CATASTRÓFICO</v>
      </c>
      <c r="E16" s="524" t="s">
        <v>122</v>
      </c>
      <c r="F16" s="524" t="s">
        <v>122</v>
      </c>
      <c r="G16" s="524" t="s">
        <v>122</v>
      </c>
      <c r="H16" s="524" t="s">
        <v>122</v>
      </c>
      <c r="I16" s="524" t="s">
        <v>122</v>
      </c>
      <c r="J16" s="524" t="s">
        <v>263</v>
      </c>
      <c r="K16" s="524" t="s">
        <v>122</v>
      </c>
      <c r="L16" s="524" t="s">
        <v>263</v>
      </c>
      <c r="M16" s="524" t="s">
        <v>122</v>
      </c>
      <c r="N16" s="524" t="s">
        <v>122</v>
      </c>
      <c r="O16" s="524" t="s">
        <v>122</v>
      </c>
      <c r="P16" s="524" t="s">
        <v>122</v>
      </c>
      <c r="Q16" s="524" t="s">
        <v>122</v>
      </c>
      <c r="R16" s="524" t="s">
        <v>263</v>
      </c>
      <c r="S16" s="524" t="s">
        <v>122</v>
      </c>
      <c r="T16" s="524" t="s">
        <v>263</v>
      </c>
      <c r="U16" s="524" t="s">
        <v>263</v>
      </c>
      <c r="V16" s="524" t="s">
        <v>122</v>
      </c>
      <c r="W16" s="524" t="s">
        <v>263</v>
      </c>
      <c r="X16" s="211">
        <f t="shared" si="0"/>
        <v>13</v>
      </c>
    </row>
  </sheetData>
  <mergeCells count="6">
    <mergeCell ref="A1:D4"/>
    <mergeCell ref="E1:T4"/>
    <mergeCell ref="U1:X2"/>
    <mergeCell ref="U3:X4"/>
    <mergeCell ref="A5:D5"/>
    <mergeCell ref="E5:X5"/>
  </mergeCells>
  <dataValidations count="1">
    <dataValidation type="list" allowBlank="1" showInputMessage="1" showErrorMessage="1" sqref="E7:W16" xr:uid="{00000000-0002-0000-4200-000000000000}">
      <formula1>"SI,NO"</formula1>
    </dataValidation>
  </dataValidations>
  <pageMargins left="0.51181102362204722" right="0.70866141732283472" top="1.1417322834645669" bottom="0.74803149606299213" header="0.31496062992125984" footer="0.31496062992125984"/>
  <pageSetup scale="35" orientation="landscape" horizontalDpi="1200" verticalDpi="1200" r:id="rId1"/>
  <headerFooter>
    <oddHeader>&amp;L&amp;G&amp;C
&amp;"-,Negrita"Matriz de Riesgos</oddHeader>
  </headerFooter>
  <colBreaks count="1" manualBreakCount="1">
    <brk id="4" max="1048575" man="1"/>
  </colBreaks>
  <drawing r:id="rId2"/>
  <legacyDrawing r:id="rId3"/>
  <legacyDrawingHF r:id="rId4"/>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AD18"/>
  <sheetViews>
    <sheetView topLeftCell="I16" zoomScaleNormal="100" zoomScaleSheetLayoutView="160" workbookViewId="0">
      <selection activeCell="K18" sqref="K18"/>
    </sheetView>
  </sheetViews>
  <sheetFormatPr baseColWidth="10" defaultColWidth="10" defaultRowHeight="12.75" x14ac:dyDescent="0.2"/>
  <cols>
    <col min="1" max="1" width="6.625" style="212" customWidth="1"/>
    <col min="2" max="2" width="40.375" style="212" customWidth="1"/>
    <col min="3" max="3" width="51.625" style="212" customWidth="1"/>
    <col min="4" max="4" width="22" style="182" customWidth="1"/>
    <col min="5" max="5" width="38" style="182" customWidth="1"/>
    <col min="6" max="10" width="21.75" style="212" customWidth="1"/>
    <col min="11" max="11" width="33.875" style="212" customWidth="1"/>
    <col min="12" max="12" width="21.75" style="212" customWidth="1"/>
    <col min="13" max="17" width="19.25" style="226" hidden="1" customWidth="1"/>
    <col min="18" max="18" width="22.625" style="226" hidden="1" customWidth="1"/>
    <col min="19" max="19" width="19.25" style="226" hidden="1" customWidth="1"/>
    <col min="20" max="20" width="8" style="226" customWidth="1"/>
    <col min="21" max="22" width="18.125" style="226" customWidth="1"/>
    <col min="23" max="23" width="17.75" style="226" hidden="1" customWidth="1"/>
    <col min="24" max="24" width="16.25" style="226" hidden="1" customWidth="1"/>
    <col min="25" max="25" width="15.25" style="226" customWidth="1"/>
    <col min="26" max="26" width="18.875" style="226" customWidth="1"/>
    <col min="27" max="27" width="15.625" style="226" customWidth="1"/>
    <col min="28" max="28" width="23.125" style="226" customWidth="1"/>
    <col min="29" max="29" width="22.25" style="227" customWidth="1"/>
    <col min="30" max="30" width="26.5" style="227" customWidth="1"/>
    <col min="31" max="16384" width="10" style="212"/>
  </cols>
  <sheetData>
    <row r="1" spans="1:30" ht="15.75" customHeight="1" x14ac:dyDescent="0.2">
      <c r="A1" s="1165"/>
      <c r="B1" s="1165"/>
      <c r="C1" s="1165"/>
      <c r="D1" s="1166" t="s">
        <v>0</v>
      </c>
      <c r="E1" s="1166"/>
      <c r="F1" s="1166"/>
      <c r="G1" s="1166"/>
      <c r="H1" s="1166"/>
      <c r="I1" s="1166"/>
      <c r="J1" s="1166"/>
      <c r="K1" s="1166"/>
      <c r="L1" s="1166"/>
      <c r="M1" s="1166"/>
      <c r="N1" s="1166"/>
      <c r="O1" s="1166"/>
      <c r="P1" s="1166"/>
      <c r="Q1" s="1166"/>
      <c r="R1" s="1166"/>
      <c r="S1" s="1166"/>
      <c r="T1" s="1166"/>
      <c r="U1" s="1166"/>
      <c r="V1" s="1166"/>
      <c r="W1" s="1166"/>
      <c r="X1" s="1166"/>
      <c r="Y1" s="1166"/>
      <c r="Z1" s="1166"/>
      <c r="AA1" s="1166"/>
      <c r="AB1" s="1166"/>
      <c r="AC1" s="1167" t="s">
        <v>128</v>
      </c>
      <c r="AD1" s="1167"/>
    </row>
    <row r="2" spans="1:30" ht="15.75" customHeight="1" x14ac:dyDescent="0.2">
      <c r="A2" s="1165"/>
      <c r="B2" s="1165"/>
      <c r="C2" s="1165"/>
      <c r="D2" s="1166"/>
      <c r="E2" s="1166"/>
      <c r="F2" s="1166"/>
      <c r="G2" s="1166"/>
      <c r="H2" s="1166"/>
      <c r="I2" s="1166"/>
      <c r="J2" s="1166"/>
      <c r="K2" s="1166"/>
      <c r="L2" s="1166"/>
      <c r="M2" s="1166"/>
      <c r="N2" s="1166"/>
      <c r="O2" s="1166"/>
      <c r="P2" s="1166"/>
      <c r="Q2" s="1166"/>
      <c r="R2" s="1166"/>
      <c r="S2" s="1166"/>
      <c r="T2" s="1166"/>
      <c r="U2" s="1166"/>
      <c r="V2" s="1166"/>
      <c r="W2" s="1166"/>
      <c r="X2" s="1166"/>
      <c r="Y2" s="1166"/>
      <c r="Z2" s="1166"/>
      <c r="AA2" s="1166"/>
      <c r="AB2" s="1166"/>
      <c r="AC2" s="1167"/>
      <c r="AD2" s="1167"/>
    </row>
    <row r="3" spans="1:30" ht="15.75" customHeight="1" x14ac:dyDescent="0.2">
      <c r="A3" s="1165"/>
      <c r="B3" s="1165"/>
      <c r="C3" s="1165"/>
      <c r="D3" s="1166"/>
      <c r="E3" s="1166"/>
      <c r="F3" s="1166"/>
      <c r="G3" s="1166"/>
      <c r="H3" s="1166"/>
      <c r="I3" s="1166"/>
      <c r="J3" s="1166"/>
      <c r="K3" s="1166"/>
      <c r="L3" s="1166"/>
      <c r="M3" s="1166"/>
      <c r="N3" s="1166"/>
      <c r="O3" s="1166"/>
      <c r="P3" s="1166"/>
      <c r="Q3" s="1166"/>
      <c r="R3" s="1166"/>
      <c r="S3" s="1166"/>
      <c r="T3" s="1166"/>
      <c r="U3" s="1166"/>
      <c r="V3" s="1166"/>
      <c r="W3" s="1166"/>
      <c r="X3" s="1166"/>
      <c r="Y3" s="1166"/>
      <c r="Z3" s="1166"/>
      <c r="AA3" s="1166"/>
      <c r="AB3" s="1166"/>
      <c r="AC3" s="1167" t="s">
        <v>2</v>
      </c>
      <c r="AD3" s="1167"/>
    </row>
    <row r="4" spans="1:30" ht="15.75" customHeight="1" x14ac:dyDescent="0.2">
      <c r="A4" s="1165"/>
      <c r="B4" s="1165"/>
      <c r="C4" s="1165"/>
      <c r="D4" s="1166"/>
      <c r="E4" s="1166"/>
      <c r="F4" s="1166"/>
      <c r="G4" s="1166"/>
      <c r="H4" s="1166"/>
      <c r="I4" s="1166"/>
      <c r="J4" s="1166"/>
      <c r="K4" s="1166"/>
      <c r="L4" s="1166"/>
      <c r="M4" s="1166"/>
      <c r="N4" s="1166"/>
      <c r="O4" s="1166"/>
      <c r="P4" s="1166"/>
      <c r="Q4" s="1166"/>
      <c r="R4" s="1166"/>
      <c r="S4" s="1166"/>
      <c r="T4" s="1166"/>
      <c r="U4" s="1166"/>
      <c r="V4" s="1166"/>
      <c r="W4" s="1166"/>
      <c r="X4" s="1166"/>
      <c r="Y4" s="1166"/>
      <c r="Z4" s="1166"/>
      <c r="AA4" s="1166"/>
      <c r="AB4" s="1166"/>
      <c r="AC4" s="1167"/>
      <c r="AD4" s="1167"/>
    </row>
    <row r="5" spans="1:30" ht="15.75" customHeight="1" x14ac:dyDescent="0.2">
      <c r="A5" s="1112" t="s">
        <v>36</v>
      </c>
      <c r="B5" s="1113"/>
      <c r="C5" s="1114"/>
      <c r="D5" s="1168" t="s">
        <v>955</v>
      </c>
      <c r="E5" s="1169"/>
      <c r="F5" s="1169"/>
      <c r="G5" s="1169"/>
      <c r="H5" s="1169"/>
      <c r="I5" s="1169"/>
      <c r="J5" s="1169"/>
      <c r="K5" s="1169"/>
      <c r="L5" s="1169"/>
      <c r="M5" s="1169"/>
      <c r="N5" s="1169"/>
      <c r="O5" s="1169"/>
      <c r="P5" s="1169"/>
      <c r="Q5" s="1169"/>
      <c r="R5" s="1169"/>
      <c r="S5" s="1169"/>
      <c r="T5" s="1169"/>
      <c r="U5" s="1169"/>
      <c r="V5" s="1169"/>
      <c r="W5" s="1169"/>
      <c r="X5" s="1169"/>
      <c r="Y5" s="1169"/>
      <c r="Z5" s="1169"/>
      <c r="AA5" s="1169"/>
      <c r="AB5" s="1169"/>
      <c r="AC5" s="1169"/>
      <c r="AD5" s="1169"/>
    </row>
    <row r="6" spans="1:30" ht="45" customHeight="1" thickBot="1" x14ac:dyDescent="0.25">
      <c r="A6" s="1112" t="s">
        <v>37</v>
      </c>
      <c r="B6" s="1113"/>
      <c r="C6" s="1114"/>
      <c r="D6" s="1554" t="s">
        <v>955</v>
      </c>
      <c r="E6" s="1555"/>
      <c r="F6" s="1555"/>
      <c r="G6" s="1555"/>
      <c r="H6" s="1555"/>
      <c r="I6" s="1555"/>
      <c r="J6" s="1555"/>
      <c r="K6" s="1555"/>
      <c r="L6" s="1555"/>
      <c r="M6" s="1555"/>
      <c r="N6" s="1555"/>
      <c r="O6" s="1555"/>
      <c r="P6" s="1555"/>
      <c r="Q6" s="1555"/>
      <c r="R6" s="1555"/>
      <c r="S6" s="1555"/>
      <c r="T6" s="1555"/>
      <c r="U6" s="1555"/>
      <c r="V6" s="1555"/>
      <c r="W6" s="1555"/>
      <c r="X6" s="1555"/>
      <c r="Y6" s="1555"/>
      <c r="Z6" s="1555"/>
      <c r="AA6" s="1555"/>
      <c r="AB6" s="1555"/>
      <c r="AC6" s="1555"/>
      <c r="AD6" s="1555"/>
    </row>
    <row r="7" spans="1:30" ht="15" customHeight="1" x14ac:dyDescent="0.2">
      <c r="A7" s="1170" t="s">
        <v>129</v>
      </c>
      <c r="B7" s="1171"/>
      <c r="C7" s="1171"/>
      <c r="D7" s="1171"/>
      <c r="E7" s="1171"/>
      <c r="F7" s="1171"/>
      <c r="G7" s="1171"/>
      <c r="H7" s="1171"/>
      <c r="I7" s="1171"/>
      <c r="J7" s="1171"/>
      <c r="K7" s="1171"/>
      <c r="L7" s="1171"/>
      <c r="M7" s="1171" t="s">
        <v>75</v>
      </c>
      <c r="N7" s="1171"/>
      <c r="O7" s="1171"/>
      <c r="P7" s="1171"/>
      <c r="Q7" s="1171"/>
      <c r="R7" s="1171"/>
      <c r="S7" s="1171"/>
      <c r="T7" s="1171"/>
      <c r="U7" s="1171"/>
      <c r="V7" s="1171"/>
      <c r="W7" s="1171"/>
      <c r="X7" s="1171"/>
      <c r="Y7" s="1171"/>
      <c r="Z7" s="1172" t="s">
        <v>130</v>
      </c>
      <c r="AA7" s="1172"/>
      <c r="AB7" s="1172"/>
      <c r="AC7" s="1173" t="s">
        <v>131</v>
      </c>
      <c r="AD7" s="1174"/>
    </row>
    <row r="8" spans="1:30" ht="51" x14ac:dyDescent="0.2">
      <c r="A8" s="213" t="s">
        <v>44</v>
      </c>
      <c r="B8" s="214" t="s">
        <v>64</v>
      </c>
      <c r="C8" s="214" t="s">
        <v>132</v>
      </c>
      <c r="D8" s="214" t="s">
        <v>73</v>
      </c>
      <c r="E8" s="214" t="s">
        <v>133</v>
      </c>
      <c r="F8" s="214" t="s">
        <v>134</v>
      </c>
      <c r="G8" s="214" t="s">
        <v>135</v>
      </c>
      <c r="H8" s="214" t="s">
        <v>136</v>
      </c>
      <c r="I8" s="214" t="s">
        <v>137</v>
      </c>
      <c r="J8" s="214" t="s">
        <v>138</v>
      </c>
      <c r="K8" s="214" t="s">
        <v>139</v>
      </c>
      <c r="L8" s="214" t="s">
        <v>140</v>
      </c>
      <c r="M8" s="214" t="s">
        <v>134</v>
      </c>
      <c r="N8" s="214" t="s">
        <v>135</v>
      </c>
      <c r="O8" s="214" t="s">
        <v>141</v>
      </c>
      <c r="P8" s="214" t="s">
        <v>137</v>
      </c>
      <c r="Q8" s="214" t="s">
        <v>138</v>
      </c>
      <c r="R8" s="214" t="s">
        <v>139</v>
      </c>
      <c r="S8" s="214" t="s">
        <v>140</v>
      </c>
      <c r="T8" s="215" t="s">
        <v>121</v>
      </c>
      <c r="U8" s="214" t="s">
        <v>142</v>
      </c>
      <c r="V8" s="214" t="s">
        <v>143</v>
      </c>
      <c r="W8" s="214" t="s">
        <v>142</v>
      </c>
      <c r="X8" s="214" t="s">
        <v>143</v>
      </c>
      <c r="Y8" s="214" t="s">
        <v>144</v>
      </c>
      <c r="Z8" s="214" t="s">
        <v>145</v>
      </c>
      <c r="AA8" s="214" t="s">
        <v>146</v>
      </c>
      <c r="AB8" s="214" t="s">
        <v>76</v>
      </c>
      <c r="AC8" s="214" t="s">
        <v>147</v>
      </c>
      <c r="AD8" s="216" t="s">
        <v>148</v>
      </c>
    </row>
    <row r="9" spans="1:30" s="192" customFormat="1" ht="114" customHeight="1" x14ac:dyDescent="0.2">
      <c r="A9" s="476" t="e">
        <f>#REF!</f>
        <v>#REF!</v>
      </c>
      <c r="B9" s="316" t="e">
        <f>#REF!</f>
        <v>#REF!</v>
      </c>
      <c r="C9" s="525" t="e">
        <f>#REF!</f>
        <v>#REF!</v>
      </c>
      <c r="D9" s="316" t="str">
        <f>'[10]Analisis Riesgo'!K7</f>
        <v>No se identifica control.</v>
      </c>
      <c r="E9" s="316" t="str">
        <f>'[10]Analisis Riesgo'!L7</f>
        <v>No se identifica control.</v>
      </c>
      <c r="F9" s="218" t="s">
        <v>833</v>
      </c>
      <c r="G9" s="218" t="s">
        <v>834</v>
      </c>
      <c r="H9" s="218" t="s">
        <v>867</v>
      </c>
      <c r="I9" s="218" t="s">
        <v>868</v>
      </c>
      <c r="J9" s="218" t="s">
        <v>869</v>
      </c>
      <c r="K9" s="219" t="s">
        <v>870</v>
      </c>
      <c r="L9" s="218" t="s">
        <v>871</v>
      </c>
      <c r="M9" s="185">
        <f>IF(F9="Asignado", 15,0)</f>
        <v>0</v>
      </c>
      <c r="N9" s="185">
        <f>IF(G9="Adecuado",15,0)</f>
        <v>0</v>
      </c>
      <c r="O9" s="185">
        <f t="shared" ref="O9:O18" si="0">IF(H9="Oportuna",15,0)</f>
        <v>0</v>
      </c>
      <c r="P9" s="185">
        <f t="shared" ref="P9:P18" si="1">IF(I9="Prevenir",15,IF(I9="Detectar",10,0))</f>
        <v>0</v>
      </c>
      <c r="Q9" s="185">
        <f t="shared" ref="Q9:Q18" si="2">IF(J9="Confiable", 15,0)</f>
        <v>0</v>
      </c>
      <c r="R9" s="185">
        <f t="shared" ref="R9:R18" si="3">IF(K9="Se invesigan y resuelven oportunamente",15,0)</f>
        <v>0</v>
      </c>
      <c r="S9" s="185">
        <f t="shared" ref="S9:S18" si="4">IF(L9="Completa",10,IF(L9="Incompleta",5,0))</f>
        <v>0</v>
      </c>
      <c r="T9" s="185">
        <f t="shared" ref="T9:T18" si="5">SUM(M9:S9)</f>
        <v>0</v>
      </c>
      <c r="U9" s="218" t="s">
        <v>263</v>
      </c>
      <c r="V9" s="218" t="s">
        <v>263</v>
      </c>
      <c r="W9" s="185">
        <f t="shared" ref="W9:W18" si="6">IF(U9="SI",1,0)*T9/100</f>
        <v>0</v>
      </c>
      <c r="X9" s="185">
        <f t="shared" ref="X9:X18" si="7">IF(V9="SI",1,0)*T9/100</f>
        <v>0</v>
      </c>
      <c r="Y9" s="185" t="str">
        <f t="shared" ref="Y9:Y18" si="8">IF(W9&gt;=0.96,"Fuerte",IF(W9&gt;=0.86,"Moderado","Debil"))</f>
        <v>Debil</v>
      </c>
      <c r="Z9" s="218" t="s">
        <v>872</v>
      </c>
      <c r="AA9" s="185" t="str">
        <f t="shared" ref="AA9:AA18" si="9">IF(Z9="Siempre se ejecuta","Fuerte",IF(Z9="Algunas veces se ejecuta","Moderado","Debil"))</f>
        <v>Debil</v>
      </c>
      <c r="AB9" s="185" t="str">
        <f>IF(Y9="Fuerte",IF(AA9="Fuerte","No","SI"),"SI")</f>
        <v>SI</v>
      </c>
      <c r="AC9" s="220"/>
      <c r="AD9" s="221"/>
    </row>
    <row r="10" spans="1:30" s="192" customFormat="1" ht="99.75" x14ac:dyDescent="0.2">
      <c r="A10" s="476" t="e">
        <f>#REF!</f>
        <v>#REF!</v>
      </c>
      <c r="B10" s="316" t="e">
        <f>#REF!</f>
        <v>#REF!</v>
      </c>
      <c r="C10" s="526" t="e">
        <f>#REF!</f>
        <v>#REF!</v>
      </c>
      <c r="D10" s="316" t="str">
        <f>'[10]Analisis Riesgo'!K8</f>
        <v xml:space="preserve">Espacios en el comité de dirección </v>
      </c>
      <c r="E10" s="316" t="str">
        <f>'[10]Analisis Riesgo'!L8</f>
        <v>El comité de dirección es la instancia de para conocer, analizar, estudiar, recomendar, asesorar y decidir respecto de la formulación de políticas, normas, conceptos y procedimientos tanto para la administración de recursos humanos, fisicos y financieros de la unidad.</v>
      </c>
      <c r="F10" s="218" t="s">
        <v>296</v>
      </c>
      <c r="G10" s="218" t="s">
        <v>299</v>
      </c>
      <c r="H10" s="218" t="s">
        <v>300</v>
      </c>
      <c r="I10" s="218" t="s">
        <v>301</v>
      </c>
      <c r="J10" s="218" t="s">
        <v>302</v>
      </c>
      <c r="K10" s="219" t="s">
        <v>368</v>
      </c>
      <c r="L10" s="218" t="s">
        <v>304</v>
      </c>
      <c r="M10" s="185">
        <f t="shared" ref="M10:M18" si="10">IF(F10="Asignado", 15,0)</f>
        <v>15</v>
      </c>
      <c r="N10" s="185">
        <f t="shared" ref="N10:N18" si="11">IF(G10="Adecuado",15,0)</f>
        <v>15</v>
      </c>
      <c r="O10" s="185">
        <f t="shared" si="0"/>
        <v>15</v>
      </c>
      <c r="P10" s="185">
        <f t="shared" si="1"/>
        <v>15</v>
      </c>
      <c r="Q10" s="185">
        <f t="shared" si="2"/>
        <v>15</v>
      </c>
      <c r="R10" s="185">
        <f t="shared" si="3"/>
        <v>15</v>
      </c>
      <c r="S10" s="185">
        <f t="shared" si="4"/>
        <v>10</v>
      </c>
      <c r="T10" s="185">
        <f t="shared" si="5"/>
        <v>100</v>
      </c>
      <c r="U10" s="218" t="s">
        <v>122</v>
      </c>
      <c r="V10" s="218" t="s">
        <v>122</v>
      </c>
      <c r="W10" s="185">
        <f t="shared" si="6"/>
        <v>1</v>
      </c>
      <c r="X10" s="185">
        <f t="shared" si="7"/>
        <v>1</v>
      </c>
      <c r="Y10" s="185" t="str">
        <f t="shared" si="8"/>
        <v>Fuerte</v>
      </c>
      <c r="Z10" s="218" t="s">
        <v>305</v>
      </c>
      <c r="AA10" s="185" t="str">
        <f t="shared" si="9"/>
        <v>Fuerte</v>
      </c>
      <c r="AB10" s="185" t="str">
        <f t="shared" ref="AB10:AB18" si="12">IF(Y10="Fuerte",IF(AA10="Fuerte","No","SI"),"SI")</f>
        <v>No</v>
      </c>
      <c r="AC10" s="223"/>
      <c r="AD10" s="221"/>
    </row>
    <row r="11" spans="1:30" s="192" customFormat="1" ht="99" customHeight="1" x14ac:dyDescent="0.2">
      <c r="A11" s="476" t="e">
        <f>#REF!</f>
        <v>#REF!</v>
      </c>
      <c r="B11" s="316" t="e">
        <f>#REF!</f>
        <v>#REF!</v>
      </c>
      <c r="C11" s="526" t="e">
        <f>#REF!</f>
        <v>#REF!</v>
      </c>
      <c r="D11" s="316" t="str">
        <f>'[10]Analisis Riesgo'!K9</f>
        <v>Matriz de Acuerdos de gestión sectoriales.</v>
      </c>
      <c r="E11" s="316" t="str">
        <f>'[10]Analisis Riesgo'!L9</f>
        <v xml:space="preserve">El relacionamiento entre la UPME y las entidades sectoriales es parcialmente
articulado para la planeación y gestión del sector minero energético en el territorio.
Progresiva participación de la UPME propiciando acuerdos del SME con los
otros sectores para el relacionamiento territorial. </v>
      </c>
      <c r="F11" s="218" t="s">
        <v>296</v>
      </c>
      <c r="G11" s="218" t="s">
        <v>299</v>
      </c>
      <c r="H11" s="218" t="s">
        <v>300</v>
      </c>
      <c r="I11" s="218" t="s">
        <v>301</v>
      </c>
      <c r="J11" s="218" t="s">
        <v>302</v>
      </c>
      <c r="K11" s="219" t="s">
        <v>368</v>
      </c>
      <c r="L11" s="218" t="s">
        <v>304</v>
      </c>
      <c r="M11" s="185">
        <f t="shared" si="10"/>
        <v>15</v>
      </c>
      <c r="N11" s="185">
        <f t="shared" si="11"/>
        <v>15</v>
      </c>
      <c r="O11" s="185">
        <f t="shared" si="0"/>
        <v>15</v>
      </c>
      <c r="P11" s="185">
        <f t="shared" si="1"/>
        <v>15</v>
      </c>
      <c r="Q11" s="185">
        <f t="shared" si="2"/>
        <v>15</v>
      </c>
      <c r="R11" s="185">
        <f t="shared" si="3"/>
        <v>15</v>
      </c>
      <c r="S11" s="185">
        <f t="shared" si="4"/>
        <v>10</v>
      </c>
      <c r="T11" s="185">
        <f t="shared" si="5"/>
        <v>100</v>
      </c>
      <c r="U11" s="218" t="s">
        <v>122</v>
      </c>
      <c r="V11" s="218" t="s">
        <v>263</v>
      </c>
      <c r="W11" s="185">
        <f t="shared" si="6"/>
        <v>1</v>
      </c>
      <c r="X11" s="185">
        <f t="shared" si="7"/>
        <v>0</v>
      </c>
      <c r="Y11" s="185" t="str">
        <f t="shared" si="8"/>
        <v>Fuerte</v>
      </c>
      <c r="Z11" s="218" t="s">
        <v>305</v>
      </c>
      <c r="AA11" s="185" t="str">
        <f t="shared" si="9"/>
        <v>Fuerte</v>
      </c>
      <c r="AB11" s="185" t="str">
        <f t="shared" si="12"/>
        <v>No</v>
      </c>
      <c r="AC11" s="224"/>
      <c r="AD11" s="221"/>
    </row>
    <row r="12" spans="1:30" s="192" customFormat="1" ht="99.75" x14ac:dyDescent="0.2">
      <c r="A12" s="476" t="e">
        <f>#REF!</f>
        <v>#REF!</v>
      </c>
      <c r="B12" s="316" t="e">
        <f>#REF!</f>
        <v>#REF!</v>
      </c>
      <c r="C12" s="526" t="e">
        <f>#REF!</f>
        <v>#REF!</v>
      </c>
      <c r="D12" s="316" t="str">
        <f>'[10]Analisis Riesgo'!K10</f>
        <v>Procedimiento de formulación, ejecución y seguimiento de Proyectos de Inversión.
Seguimiento a los acuerdos de gestión en comité de dirección.</v>
      </c>
      <c r="E12" s="316" t="str">
        <f>'[10]Analisis Riesgo'!L10</f>
        <v xml:space="preserve">Procedimieno que permite presentar e inscribir proyectos de inversión viables, que cumplan con los requisitos legales y normativos exigidos, para obtener financiamiento del Presupuesto General de la Nación, y poder desarrollarlos en el marco de Art 5° del Decreto 2844 de 2010 </v>
      </c>
      <c r="F12" s="218" t="s">
        <v>296</v>
      </c>
      <c r="G12" s="218" t="s">
        <v>299</v>
      </c>
      <c r="H12" s="218" t="s">
        <v>300</v>
      </c>
      <c r="I12" s="218" t="s">
        <v>301</v>
      </c>
      <c r="J12" s="218" t="s">
        <v>302</v>
      </c>
      <c r="K12" s="219" t="s">
        <v>368</v>
      </c>
      <c r="L12" s="218" t="s">
        <v>304</v>
      </c>
      <c r="M12" s="185">
        <f t="shared" si="10"/>
        <v>15</v>
      </c>
      <c r="N12" s="185">
        <f t="shared" si="11"/>
        <v>15</v>
      </c>
      <c r="O12" s="185">
        <f t="shared" si="0"/>
        <v>15</v>
      </c>
      <c r="P12" s="185">
        <f t="shared" si="1"/>
        <v>15</v>
      </c>
      <c r="Q12" s="185">
        <f t="shared" si="2"/>
        <v>15</v>
      </c>
      <c r="R12" s="185">
        <f t="shared" si="3"/>
        <v>15</v>
      </c>
      <c r="S12" s="185">
        <f t="shared" si="4"/>
        <v>10</v>
      </c>
      <c r="T12" s="185">
        <f t="shared" si="5"/>
        <v>100</v>
      </c>
      <c r="U12" s="218" t="s">
        <v>122</v>
      </c>
      <c r="V12" s="218" t="s">
        <v>122</v>
      </c>
      <c r="W12" s="185">
        <f t="shared" si="6"/>
        <v>1</v>
      </c>
      <c r="X12" s="185">
        <f t="shared" si="7"/>
        <v>1</v>
      </c>
      <c r="Y12" s="185" t="str">
        <f t="shared" si="8"/>
        <v>Fuerte</v>
      </c>
      <c r="Z12" s="218" t="s">
        <v>305</v>
      </c>
      <c r="AA12" s="185" t="str">
        <f t="shared" si="9"/>
        <v>Fuerte</v>
      </c>
      <c r="AB12" s="185" t="str">
        <f t="shared" si="12"/>
        <v>No</v>
      </c>
      <c r="AC12" s="222"/>
      <c r="AD12" s="221"/>
    </row>
    <row r="13" spans="1:30" s="192" customFormat="1" ht="42.75" customHeight="1" x14ac:dyDescent="0.2">
      <c r="A13" s="476" t="e">
        <f>#REF!</f>
        <v>#REF!</v>
      </c>
      <c r="B13" s="316" t="e">
        <f>#REF!</f>
        <v>#REF!</v>
      </c>
      <c r="C13" s="526" t="e">
        <f>#REF!</f>
        <v>#REF!</v>
      </c>
      <c r="D13" s="316" t="str">
        <f>'[10]Analisis Riesgo'!K11</f>
        <v>Autodiagnósticos MIPG y Comité de Gestión y Desempeño Institucional.</v>
      </c>
      <c r="E13" s="316" t="str">
        <f>'[10]Analisis Riesgo'!L11</f>
        <v>Herramienta de autodiagnóstico que permite a cada entidad pública desarrollar su propio ejercicio de valoración del estado de cada una de las dimensiones en las cuales se estructura MIPG.</v>
      </c>
      <c r="F13" s="218" t="s">
        <v>833</v>
      </c>
      <c r="G13" s="218" t="s">
        <v>299</v>
      </c>
      <c r="H13" s="218" t="s">
        <v>300</v>
      </c>
      <c r="I13" s="218" t="s">
        <v>301</v>
      </c>
      <c r="J13" s="218" t="s">
        <v>302</v>
      </c>
      <c r="K13" s="219" t="s">
        <v>368</v>
      </c>
      <c r="L13" s="218" t="s">
        <v>304</v>
      </c>
      <c r="M13" s="185">
        <f t="shared" si="10"/>
        <v>0</v>
      </c>
      <c r="N13" s="185">
        <f t="shared" si="11"/>
        <v>15</v>
      </c>
      <c r="O13" s="185">
        <f t="shared" si="0"/>
        <v>15</v>
      </c>
      <c r="P13" s="185">
        <f t="shared" si="1"/>
        <v>15</v>
      </c>
      <c r="Q13" s="185">
        <f t="shared" si="2"/>
        <v>15</v>
      </c>
      <c r="R13" s="185">
        <f t="shared" si="3"/>
        <v>15</v>
      </c>
      <c r="S13" s="185">
        <f t="shared" si="4"/>
        <v>10</v>
      </c>
      <c r="T13" s="185">
        <f t="shared" si="5"/>
        <v>85</v>
      </c>
      <c r="U13" s="218" t="s">
        <v>122</v>
      </c>
      <c r="V13" s="218" t="s">
        <v>122</v>
      </c>
      <c r="W13" s="185">
        <f t="shared" si="6"/>
        <v>0.85</v>
      </c>
      <c r="X13" s="185">
        <f t="shared" si="7"/>
        <v>0.85</v>
      </c>
      <c r="Y13" s="185" t="str">
        <f t="shared" si="8"/>
        <v>Debil</v>
      </c>
      <c r="Z13" s="218" t="s">
        <v>305</v>
      </c>
      <c r="AA13" s="185" t="str">
        <f t="shared" si="9"/>
        <v>Fuerte</v>
      </c>
      <c r="AB13" s="185" t="str">
        <f t="shared" si="12"/>
        <v>SI</v>
      </c>
      <c r="AC13" s="222"/>
      <c r="AD13" s="221"/>
    </row>
    <row r="14" spans="1:30" s="192" customFormat="1" ht="42.75" customHeight="1" x14ac:dyDescent="0.2">
      <c r="A14" s="476" t="e">
        <f>#REF!</f>
        <v>#REF!</v>
      </c>
      <c r="B14" s="316" t="e">
        <f>#REF!</f>
        <v>#REF!</v>
      </c>
      <c r="C14" s="526" t="e">
        <f>#REF!</f>
        <v>#REF!</v>
      </c>
      <c r="D14" s="316" t="str">
        <f>'[10]Analisis Riesgo'!K12</f>
        <v xml:space="preserve">Fichas técnicas de contratos </v>
      </c>
      <c r="E14" s="316" t="str">
        <f>'[10]Analisis Riesgo'!L12</f>
        <v>“Formato” en el que se detallan todas las
características del bien y/o servicio a adquirir y dentro del cual se incluyen, entre otros, la composición,
características físicas y técnicas, modos de uso, códigos de las actividades, legislación aplicable, obligaciones
generales y/o específicas, plazo y forma de pago del bien y/o servicio, matriz de riesgos, lugar y plazo de
ejecución y forma de pago.</v>
      </c>
      <c r="F14" s="218" t="s">
        <v>296</v>
      </c>
      <c r="G14" s="218" t="s">
        <v>299</v>
      </c>
      <c r="H14" s="218" t="s">
        <v>300</v>
      </c>
      <c r="I14" s="218" t="s">
        <v>301</v>
      </c>
      <c r="J14" s="218" t="s">
        <v>302</v>
      </c>
      <c r="K14" s="219" t="s">
        <v>368</v>
      </c>
      <c r="L14" s="218" t="s">
        <v>304</v>
      </c>
      <c r="M14" s="185">
        <f t="shared" si="10"/>
        <v>15</v>
      </c>
      <c r="N14" s="185">
        <f t="shared" si="11"/>
        <v>15</v>
      </c>
      <c r="O14" s="185">
        <f t="shared" si="0"/>
        <v>15</v>
      </c>
      <c r="P14" s="185">
        <f t="shared" si="1"/>
        <v>15</v>
      </c>
      <c r="Q14" s="185">
        <f t="shared" si="2"/>
        <v>15</v>
      </c>
      <c r="R14" s="185">
        <f t="shared" si="3"/>
        <v>15</v>
      </c>
      <c r="S14" s="185">
        <f t="shared" si="4"/>
        <v>10</v>
      </c>
      <c r="T14" s="185">
        <f t="shared" si="5"/>
        <v>100</v>
      </c>
      <c r="U14" s="218" t="s">
        <v>122</v>
      </c>
      <c r="V14" s="218" t="s">
        <v>263</v>
      </c>
      <c r="W14" s="185">
        <f t="shared" si="6"/>
        <v>1</v>
      </c>
      <c r="X14" s="185">
        <f t="shared" si="7"/>
        <v>0</v>
      </c>
      <c r="Y14" s="185" t="str">
        <f t="shared" si="8"/>
        <v>Fuerte</v>
      </c>
      <c r="Z14" s="218" t="s">
        <v>305</v>
      </c>
      <c r="AA14" s="185" t="str">
        <f t="shared" si="9"/>
        <v>Fuerte</v>
      </c>
      <c r="AB14" s="185" t="str">
        <f t="shared" si="12"/>
        <v>No</v>
      </c>
      <c r="AC14" s="220"/>
      <c r="AD14" s="527"/>
    </row>
    <row r="15" spans="1:30" s="192" customFormat="1" ht="82.5" customHeight="1" x14ac:dyDescent="0.2">
      <c r="A15" s="476" t="e">
        <f>#REF!</f>
        <v>#REF!</v>
      </c>
      <c r="B15" s="316" t="e">
        <f>#REF!</f>
        <v>#REF!</v>
      </c>
      <c r="C15" s="526" t="e">
        <f>#REF!</f>
        <v>#REF!</v>
      </c>
      <c r="D15" s="316" t="str">
        <f>'[10]Analisis Riesgo'!K13</f>
        <v>Visto bueno de actividades del grupo interno de planeación, Visto bueno del comité de contratos y Visto bueno de solicitud de CDP</v>
      </c>
      <c r="E15" s="316" t="str">
        <f>'[10]Analisis Riesgo'!L13</f>
        <v>Se dispone de diferentes instancias de acuerdo a la competencia y actividades de las diferentes entidades de la entidad, los vistos buenos relacionados involucran proceos como gestión contractual, planeación, gestión financiera, entre otros</v>
      </c>
      <c r="F15" s="218" t="s">
        <v>296</v>
      </c>
      <c r="G15" s="218" t="s">
        <v>299</v>
      </c>
      <c r="H15" s="218" t="s">
        <v>300</v>
      </c>
      <c r="I15" s="218" t="s">
        <v>301</v>
      </c>
      <c r="J15" s="218" t="s">
        <v>302</v>
      </c>
      <c r="K15" s="219" t="s">
        <v>368</v>
      </c>
      <c r="L15" s="218" t="s">
        <v>304</v>
      </c>
      <c r="M15" s="185">
        <f t="shared" si="10"/>
        <v>15</v>
      </c>
      <c r="N15" s="185">
        <f t="shared" si="11"/>
        <v>15</v>
      </c>
      <c r="O15" s="185">
        <f t="shared" si="0"/>
        <v>15</v>
      </c>
      <c r="P15" s="185">
        <f t="shared" si="1"/>
        <v>15</v>
      </c>
      <c r="Q15" s="185">
        <f t="shared" si="2"/>
        <v>15</v>
      </c>
      <c r="R15" s="185">
        <f t="shared" si="3"/>
        <v>15</v>
      </c>
      <c r="S15" s="185">
        <f t="shared" si="4"/>
        <v>10</v>
      </c>
      <c r="T15" s="185">
        <f t="shared" si="5"/>
        <v>100</v>
      </c>
      <c r="U15" s="218" t="s">
        <v>122</v>
      </c>
      <c r="V15" s="218" t="s">
        <v>122</v>
      </c>
      <c r="W15" s="185">
        <f t="shared" si="6"/>
        <v>1</v>
      </c>
      <c r="X15" s="185">
        <f t="shared" si="7"/>
        <v>1</v>
      </c>
      <c r="Y15" s="185" t="str">
        <f t="shared" si="8"/>
        <v>Fuerte</v>
      </c>
      <c r="Z15" s="218" t="s">
        <v>305</v>
      </c>
      <c r="AA15" s="185" t="str">
        <f t="shared" si="9"/>
        <v>Fuerte</v>
      </c>
      <c r="AB15" s="185" t="str">
        <f t="shared" si="12"/>
        <v>No</v>
      </c>
      <c r="AC15" s="528"/>
      <c r="AD15" s="221"/>
    </row>
    <row r="16" spans="1:30" s="192" customFormat="1" ht="85.5" x14ac:dyDescent="0.2">
      <c r="A16" s="476" t="e">
        <f>#REF!</f>
        <v>#REF!</v>
      </c>
      <c r="B16" s="316" t="e">
        <f>#REF!</f>
        <v>#REF!</v>
      </c>
      <c r="C16" s="526" t="e">
        <f>#REF!</f>
        <v>#REF!</v>
      </c>
      <c r="D16" s="316" t="str">
        <f>'[10]Analisis Riesgo'!K14</f>
        <v>Formato para identificación de necesidades de contratación para la elaboración del Plan Anual de Adquisiciones.</v>
      </c>
      <c r="E16" s="316" t="str">
        <f>'[10]Analisis Riesgo'!L14</f>
        <v>El formato de identificación de necesidades permite estandarizar el modo en que se recibe la información relacionada a una adquisición, con esto se puede realizar una viabilización y planificación objetiva.</v>
      </c>
      <c r="F16" s="218" t="s">
        <v>296</v>
      </c>
      <c r="G16" s="218" t="s">
        <v>299</v>
      </c>
      <c r="H16" s="218" t="s">
        <v>300</v>
      </c>
      <c r="I16" s="218" t="s">
        <v>301</v>
      </c>
      <c r="J16" s="218" t="s">
        <v>302</v>
      </c>
      <c r="K16" s="219" t="s">
        <v>368</v>
      </c>
      <c r="L16" s="218" t="s">
        <v>304</v>
      </c>
      <c r="M16" s="185">
        <f t="shared" si="10"/>
        <v>15</v>
      </c>
      <c r="N16" s="185">
        <f t="shared" si="11"/>
        <v>15</v>
      </c>
      <c r="O16" s="185">
        <f t="shared" si="0"/>
        <v>15</v>
      </c>
      <c r="P16" s="185">
        <f t="shared" si="1"/>
        <v>15</v>
      </c>
      <c r="Q16" s="185">
        <f t="shared" si="2"/>
        <v>15</v>
      </c>
      <c r="R16" s="185">
        <f t="shared" si="3"/>
        <v>15</v>
      </c>
      <c r="S16" s="185">
        <f t="shared" si="4"/>
        <v>10</v>
      </c>
      <c r="T16" s="185">
        <f t="shared" si="5"/>
        <v>100</v>
      </c>
      <c r="U16" s="218" t="s">
        <v>122</v>
      </c>
      <c r="V16" s="218" t="s">
        <v>122</v>
      </c>
      <c r="W16" s="185">
        <f t="shared" si="6"/>
        <v>1</v>
      </c>
      <c r="X16" s="185">
        <f t="shared" si="7"/>
        <v>1</v>
      </c>
      <c r="Y16" s="185" t="str">
        <f t="shared" si="8"/>
        <v>Fuerte</v>
      </c>
      <c r="Z16" s="218" t="s">
        <v>305</v>
      </c>
      <c r="AA16" s="185" t="str">
        <f t="shared" si="9"/>
        <v>Fuerte</v>
      </c>
      <c r="AB16" s="185" t="str">
        <f t="shared" si="12"/>
        <v>No</v>
      </c>
      <c r="AC16" s="222"/>
      <c r="AD16" s="529"/>
    </row>
    <row r="17" spans="1:30" s="192" customFormat="1" ht="99.75" customHeight="1" x14ac:dyDescent="0.2">
      <c r="A17" s="476" t="e">
        <f>#REF!</f>
        <v>#REF!</v>
      </c>
      <c r="B17" s="316" t="e">
        <f>#REF!</f>
        <v>#REF!</v>
      </c>
      <c r="C17" s="526" t="e">
        <f>#REF!</f>
        <v>#REF!</v>
      </c>
      <c r="D17" s="316" t="str">
        <f>'[10]Analisis Riesgo'!K15</f>
        <v>Procedimiento de Gestión de proyectos de inversión y Socialización de la estructura y metodología para la formulación de proyectos de inversión.</v>
      </c>
      <c r="E17" s="316" t="str">
        <f>'[10]Analisis Riesgo'!L15</f>
        <v xml:space="preserve">Procedimieno que permite presentar e inscribir proyectos de inversión viables, que cumplan con los requisitos legales y normativos exigidos, para obtener financiamiento del Presupuesto General de la Nación, y poder desarrollarlos en el marco de Art 5° del Decreto 2844 de 2010 </v>
      </c>
      <c r="F17" s="218" t="s">
        <v>296</v>
      </c>
      <c r="G17" s="218" t="s">
        <v>299</v>
      </c>
      <c r="H17" s="218" t="s">
        <v>300</v>
      </c>
      <c r="I17" s="218" t="s">
        <v>301</v>
      </c>
      <c r="J17" s="218" t="s">
        <v>302</v>
      </c>
      <c r="K17" s="219" t="s">
        <v>368</v>
      </c>
      <c r="L17" s="218" t="s">
        <v>304</v>
      </c>
      <c r="M17" s="185">
        <f t="shared" si="10"/>
        <v>15</v>
      </c>
      <c r="N17" s="185">
        <f t="shared" si="11"/>
        <v>15</v>
      </c>
      <c r="O17" s="185">
        <f t="shared" si="0"/>
        <v>15</v>
      </c>
      <c r="P17" s="185">
        <f t="shared" si="1"/>
        <v>15</v>
      </c>
      <c r="Q17" s="185">
        <f t="shared" si="2"/>
        <v>15</v>
      </c>
      <c r="R17" s="185">
        <f t="shared" si="3"/>
        <v>15</v>
      </c>
      <c r="S17" s="185">
        <f t="shared" si="4"/>
        <v>10</v>
      </c>
      <c r="T17" s="185">
        <f t="shared" si="5"/>
        <v>100</v>
      </c>
      <c r="U17" s="218" t="s">
        <v>122</v>
      </c>
      <c r="V17" s="218" t="s">
        <v>122</v>
      </c>
      <c r="W17" s="185">
        <f t="shared" si="6"/>
        <v>1</v>
      </c>
      <c r="X17" s="185">
        <f t="shared" si="7"/>
        <v>1</v>
      </c>
      <c r="Y17" s="185" t="str">
        <f t="shared" si="8"/>
        <v>Fuerte</v>
      </c>
      <c r="Z17" s="218" t="s">
        <v>305</v>
      </c>
      <c r="AA17" s="185" t="str">
        <f t="shared" si="9"/>
        <v>Fuerte</v>
      </c>
      <c r="AB17" s="185" t="str">
        <f t="shared" si="12"/>
        <v>No</v>
      </c>
      <c r="AC17" s="222"/>
      <c r="AD17" s="221"/>
    </row>
    <row r="18" spans="1:30" s="192" customFormat="1" ht="99.75" x14ac:dyDescent="0.2">
      <c r="A18" s="476" t="e">
        <f>#REF!</f>
        <v>#REF!</v>
      </c>
      <c r="B18" s="316" t="e">
        <f>#REF!</f>
        <v>#REF!</v>
      </c>
      <c r="C18" s="526" t="e">
        <f>#REF!</f>
        <v>#REF!</v>
      </c>
      <c r="D18" s="316" t="str">
        <f>'[10]Analisis Riesgo'!K16</f>
        <v>Procedimiento de formulación, ejecución y seguimiento de Proyectos de Inversión</v>
      </c>
      <c r="E18" s="316" t="str">
        <f>'[10]Analisis Riesgo'!L16</f>
        <v xml:space="preserve">Procedimieno que permite presentar e inscribir proyectos de inversión viables, que cumplan con los requisitos legales y normativos exigidos, para obtener financiamiento del Presupuesto General de la Nación, y poder desarrollarlos en el marco de Art 5° del Decreto 2844 de 2010 </v>
      </c>
      <c r="F18" s="218" t="s">
        <v>296</v>
      </c>
      <c r="G18" s="218" t="s">
        <v>299</v>
      </c>
      <c r="H18" s="218" t="s">
        <v>300</v>
      </c>
      <c r="I18" s="218" t="s">
        <v>301</v>
      </c>
      <c r="J18" s="218" t="s">
        <v>302</v>
      </c>
      <c r="K18" s="219" t="s">
        <v>368</v>
      </c>
      <c r="L18" s="218" t="s">
        <v>304</v>
      </c>
      <c r="M18" s="185">
        <f t="shared" si="10"/>
        <v>15</v>
      </c>
      <c r="N18" s="185">
        <f t="shared" si="11"/>
        <v>15</v>
      </c>
      <c r="O18" s="185">
        <f t="shared" si="0"/>
        <v>15</v>
      </c>
      <c r="P18" s="185">
        <f t="shared" si="1"/>
        <v>15</v>
      </c>
      <c r="Q18" s="185">
        <f t="shared" si="2"/>
        <v>15</v>
      </c>
      <c r="R18" s="185">
        <f t="shared" si="3"/>
        <v>15</v>
      </c>
      <c r="S18" s="185">
        <f t="shared" si="4"/>
        <v>10</v>
      </c>
      <c r="T18" s="185">
        <f t="shared" si="5"/>
        <v>100</v>
      </c>
      <c r="U18" s="218" t="s">
        <v>122</v>
      </c>
      <c r="V18" s="218" t="s">
        <v>122</v>
      </c>
      <c r="W18" s="185">
        <f t="shared" si="6"/>
        <v>1</v>
      </c>
      <c r="X18" s="185">
        <f t="shared" si="7"/>
        <v>1</v>
      </c>
      <c r="Y18" s="185" t="str">
        <f t="shared" si="8"/>
        <v>Fuerte</v>
      </c>
      <c r="Z18" s="218" t="s">
        <v>305</v>
      </c>
      <c r="AA18" s="185" t="str">
        <f t="shared" si="9"/>
        <v>Fuerte</v>
      </c>
      <c r="AB18" s="185" t="str">
        <f t="shared" si="12"/>
        <v>No</v>
      </c>
      <c r="AC18" s="222"/>
      <c r="AD18" s="530"/>
    </row>
  </sheetData>
  <mergeCells count="12">
    <mergeCell ref="A6:C6"/>
    <mergeCell ref="D6:AD6"/>
    <mergeCell ref="A7:L7"/>
    <mergeCell ref="M7:Y7"/>
    <mergeCell ref="Z7:AB7"/>
    <mergeCell ref="AC7:AD7"/>
    <mergeCell ref="A1:C4"/>
    <mergeCell ref="D1:AB4"/>
    <mergeCell ref="AC1:AD2"/>
    <mergeCell ref="AC3:AD4"/>
    <mergeCell ref="A5:C5"/>
    <mergeCell ref="D5:AD5"/>
  </mergeCells>
  <dataValidations count="18">
    <dataValidation type="list" allowBlank="1" showInputMessage="1" showErrorMessage="1" sqref="Z10:Z18" xr:uid="{00000000-0002-0000-4300-000000000000}">
      <formula1>"Siempre se ejecuta,Algunas veces se ejecuta,No se ejecuta"</formula1>
    </dataValidation>
    <dataValidation type="list" allowBlank="1" showInputMessage="1" showErrorMessage="1" sqref="F10:F18" xr:uid="{00000000-0002-0000-4300-000001000000}">
      <formula1>"Asignado, No asignado"</formula1>
    </dataValidation>
    <dataValidation type="list" allowBlank="1" showInputMessage="1" showErrorMessage="1" sqref="G10:G18" xr:uid="{00000000-0002-0000-4300-000002000000}">
      <formula1>"Adecuado, Inadecuado"</formula1>
    </dataValidation>
    <dataValidation type="list" allowBlank="1" showInputMessage="1" showErrorMessage="1" sqref="H10:H18" xr:uid="{00000000-0002-0000-4300-000003000000}">
      <formula1>"Oportuna, Inoportuna"</formula1>
    </dataValidation>
    <dataValidation type="list" allowBlank="1" showInputMessage="1" showErrorMessage="1" sqref="I10:I18" xr:uid="{00000000-0002-0000-4300-000004000000}">
      <formula1>"Prevenir, Detectar, No es un control"</formula1>
    </dataValidation>
    <dataValidation type="list" allowBlank="1" showInputMessage="1" showErrorMessage="1" sqref="J10:J18" xr:uid="{00000000-0002-0000-4300-000005000000}">
      <formula1>"Confiable, No Confiable"</formula1>
    </dataValidation>
    <dataValidation type="list" allowBlank="1" showInputMessage="1" showErrorMessage="1" sqref="K10:K18" xr:uid="{00000000-0002-0000-4300-000006000000}">
      <formula1>"Se invesigan y resuelven oportunamente, No se investigan y resuelven oportunamente"</formula1>
    </dataValidation>
    <dataValidation type="list" allowBlank="1" showInputMessage="1" showErrorMessage="1" sqref="L10:L18" xr:uid="{00000000-0002-0000-4300-000007000000}">
      <formula1>"Completa, Incompleta, No existe"</formula1>
    </dataValidation>
    <dataValidation type="list" allowBlank="1" showInputMessage="1" showErrorMessage="1" sqref="U10:V18" xr:uid="{00000000-0002-0000-4300-000008000000}">
      <formula1>"SI, NO"</formula1>
    </dataValidation>
    <dataValidation type="list" allowBlank="1" showInputMessage="1" showErrorMessage="1" sqref="Z9" xr:uid="{00000000-0002-0000-4300-000009000000}">
      <formula1>"Siempre se ejecuta,Algunas veces se ejecuta,No se ejecuta,Seleccione"</formula1>
    </dataValidation>
    <dataValidation type="list" allowBlank="1" showInputMessage="1" showErrorMessage="1" sqref="U9:V9" xr:uid="{00000000-0002-0000-4300-00000A000000}">
      <formula1>"SI, NO,Seleccione"</formula1>
    </dataValidation>
    <dataValidation type="list" allowBlank="1" showInputMessage="1" showErrorMessage="1" sqref="L9" xr:uid="{00000000-0002-0000-4300-00000B000000}">
      <formula1>"Completa, Incompleta, No existe,Seleccione"</formula1>
    </dataValidation>
    <dataValidation type="list" allowBlank="1" showInputMessage="1" showErrorMessage="1" sqref="K9" xr:uid="{00000000-0002-0000-4300-00000C000000}">
      <formula1>"Se investigan y resuelven oportunamente, No se investigan y resuelven oportunamente,Seleccione"</formula1>
    </dataValidation>
    <dataValidation type="list" allowBlank="1" showInputMessage="1" showErrorMessage="1" sqref="J9" xr:uid="{00000000-0002-0000-4300-00000D000000}">
      <formula1>"Confiable, No Confiable,Seleccione"</formula1>
    </dataValidation>
    <dataValidation type="list" allowBlank="1" showInputMessage="1" showErrorMessage="1" sqref="I9" xr:uid="{00000000-0002-0000-4300-00000E000000}">
      <formula1>"Prevenir, Detectar, No es un control,Seleccione"</formula1>
    </dataValidation>
    <dataValidation type="list" allowBlank="1" showInputMessage="1" showErrorMessage="1" sqref="H9" xr:uid="{00000000-0002-0000-4300-00000F000000}">
      <formula1>"Oportuna, Inoportuna,Seleccione"</formula1>
    </dataValidation>
    <dataValidation type="list" allowBlank="1" showInputMessage="1" showErrorMessage="1" sqref="G9" xr:uid="{00000000-0002-0000-4300-000010000000}">
      <formula1>"Adecuado, Inadecuado,Seleccione"</formula1>
    </dataValidation>
    <dataValidation type="list" allowBlank="1" showInputMessage="1" showErrorMessage="1" sqref="F9" xr:uid="{00000000-0002-0000-4300-000011000000}">
      <formula1>"Asignado, No asignado, Seleccione"</formula1>
    </dataValidation>
  </dataValidations>
  <pageMargins left="0.11811023622047245" right="0.11811023622047245" top="1.1417322834645669" bottom="0.74803149606299213" header="0.31496062992125984" footer="0.31496062992125984"/>
  <pageSetup scale="36" orientation="landscape" horizontalDpi="1200" verticalDpi="1200" r:id="rId1"/>
  <headerFooter>
    <oddHeader>&amp;L&amp;G&amp;C
&amp;"-,Negrita"Matriz de Riesgos</oddHeader>
  </headerFooter>
  <rowBreaks count="4" manualBreakCount="4">
    <brk id="10" max="16383" man="1"/>
    <brk id="12" max="16383" man="1"/>
    <brk id="14" max="16383" man="1"/>
    <brk id="17" max="16383" man="1"/>
  </rowBreaks>
  <colBreaks count="1" manualBreakCount="1">
    <brk id="12" max="1048575" man="1"/>
  </colBreaks>
  <drawing r:id="rId2"/>
  <legacyDrawingHF r:id="rId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X14"/>
  <sheetViews>
    <sheetView zoomScale="55" zoomScaleNormal="55" workbookViewId="0">
      <selection activeCell="L5" sqref="L5:Q5"/>
    </sheetView>
  </sheetViews>
  <sheetFormatPr baseColWidth="10" defaultRowHeight="15" x14ac:dyDescent="0.2"/>
  <cols>
    <col min="1" max="1" width="3.625" style="719" customWidth="1"/>
    <col min="2" max="2" width="26.625" style="719" customWidth="1"/>
    <col min="3" max="3" width="60.5" style="719" customWidth="1"/>
    <col min="4" max="4" width="38.5" style="719" customWidth="1"/>
    <col min="5" max="5" width="20.5" style="719" customWidth="1"/>
    <col min="6" max="6" width="25.875" style="719" customWidth="1"/>
    <col min="7" max="7" width="23" style="719" customWidth="1"/>
    <col min="8" max="10" width="19.375" style="719" customWidth="1"/>
    <col min="11" max="11" width="18.25" style="719" customWidth="1"/>
    <col min="12" max="12" width="53.125" style="719" customWidth="1"/>
    <col min="13" max="13" width="27.25" style="719" customWidth="1"/>
    <col min="14" max="15" width="15.75" style="719" customWidth="1"/>
    <col min="16" max="16" width="27.25" style="719" customWidth="1"/>
    <col min="17" max="22" width="25.75" style="719" customWidth="1"/>
    <col min="23" max="23" width="33.5" style="719" customWidth="1"/>
    <col min="24" max="24" width="45.625" style="719" customWidth="1"/>
    <col min="25" max="16384" width="11" style="719"/>
  </cols>
  <sheetData>
    <row r="1" spans="1:24" ht="40.5" customHeight="1" x14ac:dyDescent="0.2">
      <c r="A1" s="1556"/>
      <c r="B1" s="1556"/>
      <c r="C1" s="1556"/>
      <c r="D1" s="1180" t="s">
        <v>314</v>
      </c>
      <c r="E1" s="1181"/>
      <c r="F1" s="1181"/>
      <c r="G1" s="1181"/>
      <c r="H1" s="1181"/>
      <c r="I1" s="1181"/>
      <c r="J1" s="1181"/>
      <c r="K1" s="1181"/>
      <c r="L1" s="1181"/>
      <c r="M1" s="1181"/>
      <c r="N1" s="1181"/>
      <c r="O1" s="1181"/>
      <c r="P1" s="1181"/>
      <c r="Q1" s="1181"/>
      <c r="R1" s="1181"/>
      <c r="S1" s="1181"/>
      <c r="T1" s="1181"/>
      <c r="U1" s="1181"/>
      <c r="V1" s="1182"/>
      <c r="W1" s="717" t="s">
        <v>315</v>
      </c>
      <c r="X1" s="718"/>
    </row>
    <row r="2" spans="1:24" ht="40.5" customHeight="1" x14ac:dyDescent="0.2">
      <c r="A2" s="1556"/>
      <c r="B2" s="1556"/>
      <c r="C2" s="1556"/>
      <c r="D2" s="1183"/>
      <c r="E2" s="1184"/>
      <c r="F2" s="1184"/>
      <c r="G2" s="1184"/>
      <c r="H2" s="1184"/>
      <c r="I2" s="1184"/>
      <c r="J2" s="1184"/>
      <c r="K2" s="1184"/>
      <c r="L2" s="1184"/>
      <c r="M2" s="1184"/>
      <c r="N2" s="1184"/>
      <c r="O2" s="1184"/>
      <c r="P2" s="1184"/>
      <c r="Q2" s="1184"/>
      <c r="R2" s="1184"/>
      <c r="S2" s="1184"/>
      <c r="T2" s="1184"/>
      <c r="U2" s="1184"/>
      <c r="V2" s="1185"/>
      <c r="W2" s="717" t="s">
        <v>316</v>
      </c>
      <c r="X2" s="718"/>
    </row>
    <row r="3" spans="1:24" ht="30" x14ac:dyDescent="0.2">
      <c r="A3" s="1557" t="s">
        <v>57</v>
      </c>
      <c r="B3" s="1558"/>
      <c r="C3" s="1558"/>
      <c r="D3" s="1558"/>
      <c r="E3" s="1558"/>
      <c r="F3" s="1558"/>
      <c r="G3" s="1559"/>
      <c r="H3" s="1560"/>
      <c r="I3" s="1560"/>
      <c r="J3" s="1560"/>
      <c r="K3" s="1560"/>
      <c r="L3" s="1561" t="s">
        <v>60</v>
      </c>
      <c r="M3" s="1560"/>
      <c r="N3" s="1560"/>
      <c r="O3" s="1560"/>
      <c r="P3" s="1562"/>
      <c r="Q3" s="1563" t="s">
        <v>61</v>
      </c>
      <c r="R3" s="1564"/>
      <c r="S3" s="1564"/>
      <c r="T3" s="1564"/>
      <c r="U3" s="1564"/>
      <c r="V3" s="1565"/>
      <c r="W3" s="720" t="s">
        <v>62</v>
      </c>
      <c r="X3" s="720" t="s">
        <v>63</v>
      </c>
    </row>
    <row r="4" spans="1:24" ht="38.25" x14ac:dyDescent="0.2">
      <c r="A4" s="536" t="s">
        <v>44</v>
      </c>
      <c r="B4" s="537" t="s">
        <v>64</v>
      </c>
      <c r="C4" s="537" t="s">
        <v>65</v>
      </c>
      <c r="D4" s="537" t="s">
        <v>317</v>
      </c>
      <c r="E4" s="537" t="s">
        <v>68</v>
      </c>
      <c r="F4" s="537" t="s">
        <v>69</v>
      </c>
      <c r="G4" s="538" t="s">
        <v>71</v>
      </c>
      <c r="H4" s="537" t="s">
        <v>81</v>
      </c>
      <c r="I4" s="537" t="s">
        <v>82</v>
      </c>
      <c r="J4" s="537" t="s">
        <v>83</v>
      </c>
      <c r="K4" s="539" t="s">
        <v>84</v>
      </c>
      <c r="L4" s="536" t="s">
        <v>85</v>
      </c>
      <c r="M4" s="537" t="s">
        <v>86</v>
      </c>
      <c r="N4" s="537" t="s">
        <v>87</v>
      </c>
      <c r="O4" s="537" t="s">
        <v>88</v>
      </c>
      <c r="P4" s="538" t="s">
        <v>89</v>
      </c>
      <c r="Q4" s="536" t="s">
        <v>90</v>
      </c>
      <c r="R4" s="537" t="s">
        <v>91</v>
      </c>
      <c r="S4" s="537" t="s">
        <v>92</v>
      </c>
      <c r="T4" s="537" t="s">
        <v>91</v>
      </c>
      <c r="U4" s="537" t="s">
        <v>93</v>
      </c>
      <c r="V4" s="538" t="s">
        <v>91</v>
      </c>
      <c r="W4" s="540" t="s">
        <v>94</v>
      </c>
      <c r="X4" s="540" t="s">
        <v>95</v>
      </c>
    </row>
    <row r="5" spans="1:24" ht="165" customHeight="1" x14ac:dyDescent="0.2">
      <c r="A5" s="721">
        <v>1</v>
      </c>
      <c r="B5" s="721" t="str">
        <f>+'[10]Identificación del Riesgo'!E9</f>
        <v>Formulación de la planeación integral minero energética sin contemplar variables estratégicas.</v>
      </c>
      <c r="C5" s="721" t="str">
        <f>+'[10]Identificación del Riesgo'!H9</f>
        <v>Desconocimiento de la oferta de valor de la entidad 
en territorio.
Baja participación de los grupos de interés en la fase de planeación.
Insuficiente capacidad de reacción institucional para incorporar en la planificación las nuevas funciones hacia la entidad.
Falta de apropiación de los servidores publicos sobre su aporte al cumplimiento de metas institucionales.</v>
      </c>
      <c r="D5" s="721" t="str">
        <f>+'[10]Identificación del Riesgo'!I9</f>
        <v>Cambios en la priorización de actividades que afecten la financiación de aquellas no programadas .</v>
      </c>
      <c r="E5" s="721" t="str">
        <f>+'[10]Analisis Riesgo'!F7</f>
        <v>Posible</v>
      </c>
      <c r="F5" s="721" t="str">
        <f>+'[10]Analisis Riesgo'!G7</f>
        <v>Catastrófico</v>
      </c>
      <c r="G5" s="722" t="str">
        <f>+'[10]Analisis Riesgo'!I7</f>
        <v>EXTREMO</v>
      </c>
      <c r="H5" s="723" t="str">
        <f>+'[10]Analisis Riesgo'!U7</f>
        <v>Posible</v>
      </c>
      <c r="I5" s="723" t="str">
        <f>+'[10]Analisis Riesgo'!V7</f>
        <v>Catastrófico</v>
      </c>
      <c r="J5" s="724" t="str">
        <f>+'[10]Analisis Riesgo'!W7</f>
        <v>EXTREMO</v>
      </c>
      <c r="K5" s="721" t="str">
        <f>+'[10]Analisis Riesgo'!X7</f>
        <v>Reducir el riesgo</v>
      </c>
      <c r="L5" s="725" t="s">
        <v>914</v>
      </c>
      <c r="M5" s="726" t="s">
        <v>915</v>
      </c>
      <c r="N5" s="727">
        <v>44200</v>
      </c>
      <c r="O5" s="727">
        <v>44561</v>
      </c>
      <c r="P5" s="728" t="s">
        <v>916</v>
      </c>
      <c r="Q5" s="729"/>
      <c r="R5" s="729"/>
      <c r="S5" s="729"/>
      <c r="T5" s="729"/>
      <c r="U5" s="729"/>
      <c r="V5" s="729"/>
      <c r="W5" s="729"/>
      <c r="X5" s="729"/>
    </row>
    <row r="6" spans="1:24" ht="154.5" customHeight="1" x14ac:dyDescent="0.2">
      <c r="A6" s="721">
        <v>2</v>
      </c>
      <c r="B6" s="721" t="str">
        <f>+'[10]Identificación del Riesgo'!E10</f>
        <v>Generación de impactos poco significativos en el cumplimiento de las metas sectoriales y Plan Nacional de Desarrollo</v>
      </c>
      <c r="C6" s="721" t="str">
        <f>+'[10]Identificación del Riesgo'!H10</f>
        <v>Dificultades en la articulación interinstitucional con  entidades y agremiaciones de los territorios.</v>
      </c>
      <c r="D6" s="721" t="str">
        <f>+'[10]Identificación del Riesgo'!I10</f>
        <v>Pérdida de credibilidad en el sector que conlleve a 
Insuficiencia de los recursos económicos para el desarrollo del Plan estratégico Institucional.</v>
      </c>
      <c r="E6" s="721" t="str">
        <f>+'[10]Analisis Riesgo'!F8</f>
        <v>Improbable</v>
      </c>
      <c r="F6" s="721" t="str">
        <f>+'[10]Analisis Riesgo'!G8</f>
        <v>Mayor</v>
      </c>
      <c r="G6" s="730" t="str">
        <f>+'[10]Analisis Riesgo'!I8</f>
        <v>ALTO</v>
      </c>
      <c r="H6" s="723" t="str">
        <f>+'[10]Analisis Riesgo'!U8</f>
        <v>Rara vez</v>
      </c>
      <c r="I6" s="723" t="str">
        <f>+'[10]Analisis Riesgo'!V8</f>
        <v>Moderado</v>
      </c>
      <c r="J6" s="731" t="str">
        <f>+'[10]Analisis Riesgo'!W8</f>
        <v>MODERADO</v>
      </c>
      <c r="K6" s="721" t="str">
        <f>+'[10]Analisis Riesgo'!X8</f>
        <v>Reducir el riesgo</v>
      </c>
      <c r="L6" s="732" t="s">
        <v>919</v>
      </c>
      <c r="M6" s="726" t="s">
        <v>920</v>
      </c>
      <c r="N6" s="709">
        <v>44277</v>
      </c>
      <c r="O6" s="709">
        <v>44561</v>
      </c>
      <c r="P6" s="733" t="s">
        <v>921</v>
      </c>
      <c r="Q6" s="729"/>
      <c r="R6" s="729"/>
      <c r="S6" s="729"/>
      <c r="T6" s="729"/>
      <c r="U6" s="729"/>
      <c r="V6" s="729"/>
      <c r="W6" s="729"/>
      <c r="X6" s="729"/>
    </row>
    <row r="7" spans="1:24" ht="111" customHeight="1" x14ac:dyDescent="0.2">
      <c r="A7" s="721">
        <v>3</v>
      </c>
      <c r="B7" s="721" t="str">
        <f>+'[10]Identificación del Riesgo'!E11</f>
        <v>Vulnerabilidad institucional para llevar a cabo actividades en el marco de emergencias sanitarias y económicas que se presenten para asegurar la continuidad del negocio.</v>
      </c>
      <c r="C7" s="721" t="str">
        <f>+'[10]Identificación del Riesgo'!H11</f>
        <v xml:space="preserve">Afectaciones a las actividades planeadas desde el rubro de inversión que se han visto afectadas por la reducción en tiempos de ejecución y restricciones de los desplazamientos.
</v>
      </c>
      <c r="D7" s="721" t="str">
        <f>+'[10]Identificación del Riesgo'!I11</f>
        <v>Reducción de alcances en diferentes proyectos que afectan la misionalidad de la entidad.</v>
      </c>
      <c r="E7" s="721" t="str">
        <f>+'[10]Analisis Riesgo'!F9</f>
        <v>Probable</v>
      </c>
      <c r="F7" s="721" t="str">
        <f>+'[10]Analisis Riesgo'!G9</f>
        <v>Mayor</v>
      </c>
      <c r="G7" s="722" t="str">
        <f>+'[10]Analisis Riesgo'!I9</f>
        <v>EXTREMO</v>
      </c>
      <c r="H7" s="723" t="str">
        <f>+'[10]Analisis Riesgo'!U9</f>
        <v>Posible</v>
      </c>
      <c r="I7" s="723" t="str">
        <f>+'[10]Analisis Riesgo'!V9</f>
        <v>Mayor</v>
      </c>
      <c r="J7" s="724" t="str">
        <f>+'[10]Analisis Riesgo'!W9</f>
        <v>EXTREMO</v>
      </c>
      <c r="K7" s="721" t="str">
        <f>+'[10]Analisis Riesgo'!X9</f>
        <v>Reducir el riesgo</v>
      </c>
      <c r="L7" s="734" t="s">
        <v>924</v>
      </c>
      <c r="M7" s="726" t="s">
        <v>915</v>
      </c>
      <c r="N7" s="709">
        <v>44211</v>
      </c>
      <c r="O7" s="709">
        <v>44285</v>
      </c>
      <c r="P7" s="733" t="s">
        <v>363</v>
      </c>
      <c r="Q7" s="729"/>
      <c r="R7" s="729"/>
      <c r="S7" s="729"/>
      <c r="T7" s="729"/>
      <c r="U7" s="729"/>
      <c r="V7" s="729"/>
      <c r="W7" s="729"/>
      <c r="X7" s="729"/>
    </row>
    <row r="8" spans="1:24" ht="69.75" customHeight="1" x14ac:dyDescent="0.2">
      <c r="A8" s="721">
        <v>4</v>
      </c>
      <c r="B8" s="721" t="str">
        <f>+'[10]Identificación del Riesgo'!E12</f>
        <v>Demoras en la ejecución de las actividades programadas de los proyectos de inversión.</v>
      </c>
      <c r="C8" s="721" t="str">
        <f>+'[10]Identificación del Riesgo'!H12</f>
        <v>Los procedimientos actuales no tienen en cuenta de manera integral los aspectos legales, regulatorios y socio-ambientales en la fase de planeación para el desarrollo las actividades dentro de los tiempos establecidos.</v>
      </c>
      <c r="D8" s="721" t="str">
        <f>+'[10]Identificación del Riesgo'!I12</f>
        <v>Falta de credibilidad en el sector.</v>
      </c>
      <c r="E8" s="721" t="str">
        <f>+'[10]Analisis Riesgo'!F10</f>
        <v>Probable</v>
      </c>
      <c r="F8" s="721" t="str">
        <f>+'[10]Analisis Riesgo'!G10</f>
        <v>Mayor</v>
      </c>
      <c r="G8" s="722" t="str">
        <f>+'[10]Analisis Riesgo'!I10</f>
        <v>EXTREMO</v>
      </c>
      <c r="H8" s="723" t="str">
        <f>+'[10]Analisis Riesgo'!U10</f>
        <v>Posible</v>
      </c>
      <c r="I8" s="723" t="str">
        <f>+'[10]Analisis Riesgo'!V10</f>
        <v>Moderado</v>
      </c>
      <c r="J8" s="735" t="str">
        <f>+'[10]Analisis Riesgo'!W10</f>
        <v>ALTO</v>
      </c>
      <c r="K8" s="721" t="str">
        <f>+'[10]Analisis Riesgo'!X10</f>
        <v>Reducir el riesgo</v>
      </c>
      <c r="L8" s="734" t="s">
        <v>927</v>
      </c>
      <c r="M8" s="726" t="s">
        <v>928</v>
      </c>
      <c r="N8" s="709">
        <v>44211</v>
      </c>
      <c r="O8" s="709">
        <v>44377</v>
      </c>
      <c r="P8" s="736" t="s">
        <v>929</v>
      </c>
      <c r="Q8" s="729"/>
      <c r="R8" s="729"/>
      <c r="S8" s="729"/>
      <c r="T8" s="729"/>
      <c r="U8" s="729"/>
      <c r="V8" s="729"/>
      <c r="W8" s="729"/>
      <c r="X8" s="729"/>
    </row>
    <row r="9" spans="1:24" ht="72.75" customHeight="1" x14ac:dyDescent="0.2">
      <c r="A9" s="721">
        <v>5</v>
      </c>
      <c r="B9" s="721" t="str">
        <f>+'[10]Identificación del Riesgo'!E13</f>
        <v>Obtener resultados en el FURAG que no evidencien la mejora continua en la entidad.</v>
      </c>
      <c r="C9" s="721" t="str">
        <f>+'[10]Identificación del Riesgo'!H13</f>
        <v>Falta de apropiación interna ante los Cambios metodológicos y reglamentarios en el marco del Modelo Integrado de Planeación y Gestión.
Demoras por parte de los procesos al momento de reportar información para los seguimientos.</v>
      </c>
      <c r="D9" s="721" t="str">
        <f>+'[10]Identificación del Riesgo'!I13</f>
        <v>Falta de credibilidad en el sector.
Hallazgos disciplinarios.
Hallazgos de control interno.</v>
      </c>
      <c r="E9" s="721" t="str">
        <f>+'[10]Analisis Riesgo'!F11</f>
        <v>Probable</v>
      </c>
      <c r="F9" s="721" t="str">
        <f>+'[10]Analisis Riesgo'!G11</f>
        <v>Mayor</v>
      </c>
      <c r="G9" s="722" t="str">
        <f>+'[10]Analisis Riesgo'!I11</f>
        <v>EXTREMO</v>
      </c>
      <c r="H9" s="723" t="str">
        <f>+'[10]Analisis Riesgo'!U11</f>
        <v>Probable</v>
      </c>
      <c r="I9" s="723" t="str">
        <f>+'[10]Analisis Riesgo'!V11</f>
        <v>Mayor</v>
      </c>
      <c r="J9" s="724" t="str">
        <f>+'[10]Analisis Riesgo'!W11</f>
        <v>EXTREMO</v>
      </c>
      <c r="K9" s="721" t="str">
        <f>+'[10]Analisis Riesgo'!X11</f>
        <v>Reducir el riesgo</v>
      </c>
      <c r="L9" s="734" t="s">
        <v>932</v>
      </c>
      <c r="M9" s="726" t="s">
        <v>933</v>
      </c>
      <c r="N9" s="727">
        <v>44200</v>
      </c>
      <c r="O9" s="727">
        <v>44561</v>
      </c>
      <c r="P9" s="736" t="s">
        <v>934</v>
      </c>
      <c r="Q9" s="729"/>
      <c r="R9" s="729"/>
      <c r="S9" s="729"/>
      <c r="T9" s="729"/>
      <c r="U9" s="729"/>
      <c r="V9" s="729"/>
      <c r="W9" s="729"/>
      <c r="X9" s="729"/>
    </row>
    <row r="10" spans="1:24" ht="109.5" customHeight="1" x14ac:dyDescent="0.2">
      <c r="A10" s="721">
        <v>6</v>
      </c>
      <c r="B10" s="721" t="str">
        <f>+'[10]Identificación del Riesgo'!E14</f>
        <v>Incumplimiento de objetivos institucionales y sectoriales aplicables.</v>
      </c>
      <c r="C10" s="721" t="str">
        <f>+'[10]Identificación del Riesgo'!H14</f>
        <v>Falta de apropiación de la planeación estratégica por parte de todos los Servidores Públicos de la entidad.
Falta de tableros de control que permitan realizar seguimientos oportunos a la planeación estratégica institucional.
Diferencias en la presentación de la información a partir de la misma fuente para la articulación de los reportes de la gestión presupuestal.</v>
      </c>
      <c r="D10" s="721" t="str">
        <f>+'[10]Identificación del Riesgo'!I14</f>
        <v>Falta de credibilidad en el sector.
Hallazgos disciplinarios.
Hallazgos de control interno.</v>
      </c>
      <c r="E10" s="721" t="str">
        <f>+'[10]Analisis Riesgo'!F12</f>
        <v>Posible</v>
      </c>
      <c r="F10" s="721" t="str">
        <f>+'[10]Analisis Riesgo'!G12</f>
        <v>Mayor</v>
      </c>
      <c r="G10" s="722" t="str">
        <f>+'[10]Analisis Riesgo'!I12</f>
        <v>EXTREMO</v>
      </c>
      <c r="H10" s="723" t="str">
        <f>+'[10]Analisis Riesgo'!U12</f>
        <v>Improbable</v>
      </c>
      <c r="I10" s="723" t="str">
        <f>+'[10]Analisis Riesgo'!V12</f>
        <v>Mayor</v>
      </c>
      <c r="J10" s="735" t="str">
        <f>+'[10]Analisis Riesgo'!W12</f>
        <v>ALTO</v>
      </c>
      <c r="K10" s="721" t="str">
        <f>+'[10]Analisis Riesgo'!X12</f>
        <v>Reducir el riesgo</v>
      </c>
      <c r="L10" s="737" t="s">
        <v>937</v>
      </c>
      <c r="M10" s="726" t="s">
        <v>928</v>
      </c>
      <c r="N10" s="727">
        <v>44211</v>
      </c>
      <c r="O10" s="727">
        <v>44377</v>
      </c>
      <c r="P10" s="736" t="s">
        <v>938</v>
      </c>
      <c r="Q10" s="729"/>
      <c r="R10" s="729"/>
      <c r="S10" s="729"/>
      <c r="T10" s="729"/>
      <c r="U10" s="729"/>
      <c r="V10" s="729"/>
      <c r="W10" s="729"/>
      <c r="X10" s="729"/>
    </row>
    <row r="11" spans="1:24" ht="76.5" customHeight="1" x14ac:dyDescent="0.2">
      <c r="A11" s="721">
        <v>7</v>
      </c>
      <c r="B11" s="721" t="str">
        <f>+'[10]Identificación del Riesgo'!E15</f>
        <v>Destinación inadecuada de recursos.</v>
      </c>
      <c r="C11" s="721" t="str">
        <f>+'[10]Identificación del Riesgo'!H15</f>
        <v>Ausencia de controles de verificación sobre la información de acciónes, actividades, productos y proyecto de inversión.</v>
      </c>
      <c r="D11" s="721" t="str">
        <f>+'[10]Identificación del Riesgo'!I15</f>
        <v>Hallazgos disciplinarios y fiscales.
Incumplimiento de principios de económicos.</v>
      </c>
      <c r="E11" s="721" t="str">
        <f>+'[10]Analisis Riesgo'!F13</f>
        <v>Improbable</v>
      </c>
      <c r="F11" s="721" t="str">
        <f>+'[10]Analisis Riesgo'!G13</f>
        <v>Catastrófico</v>
      </c>
      <c r="G11" s="722" t="str">
        <f>+'[10]Analisis Riesgo'!I13</f>
        <v>EXTREMO</v>
      </c>
      <c r="H11" s="723" t="str">
        <f>+'[10]Analisis Riesgo'!U13</f>
        <v>Rara vez</v>
      </c>
      <c r="I11" s="723" t="str">
        <f>+'[10]Analisis Riesgo'!V13</f>
        <v>Mayor</v>
      </c>
      <c r="J11" s="724" t="s">
        <v>150</v>
      </c>
      <c r="K11" s="721" t="str">
        <f>+'[10]Analisis Riesgo'!X13</f>
        <v>Reducir el riesgo</v>
      </c>
      <c r="L11" s="738" t="s">
        <v>941</v>
      </c>
      <c r="M11" s="726" t="s">
        <v>942</v>
      </c>
      <c r="N11" s="727">
        <v>44211</v>
      </c>
      <c r="O11" s="727">
        <v>44560</v>
      </c>
      <c r="P11" s="736" t="s">
        <v>943</v>
      </c>
      <c r="Q11" s="729"/>
      <c r="R11" s="729"/>
      <c r="S11" s="729"/>
      <c r="T11" s="729"/>
      <c r="U11" s="729"/>
      <c r="V11" s="729"/>
      <c r="W11" s="729"/>
      <c r="X11" s="729"/>
    </row>
    <row r="12" spans="1:24" ht="75.75" customHeight="1" x14ac:dyDescent="0.2">
      <c r="A12" s="721">
        <v>8</v>
      </c>
      <c r="B12" s="721" t="str">
        <f>+'[10]Identificación del Riesgo'!E16</f>
        <v>Publicar el Plan Anual de Adquisiciones fuera del plazo establecido.</v>
      </c>
      <c r="C12" s="721" t="str">
        <f>+'[10]Identificación del Riesgo'!H16</f>
        <v>No planificar adecuadamente las instancias para la identificación de necesidades de las dependencias que posteriormente serán objetos contractuales.</v>
      </c>
      <c r="D12" s="721" t="str">
        <f>+'[10]Identificación del Riesgo'!I16</f>
        <v>Incumplimiento del manual de contratación.
No brindar la información con principios de transparencia.
Hallazgos disciplinarios</v>
      </c>
      <c r="E12" s="721" t="str">
        <f>+'[10]Analisis Riesgo'!F14</f>
        <v>Improbable</v>
      </c>
      <c r="F12" s="721" t="str">
        <f>+'[10]Analisis Riesgo'!G14</f>
        <v>Moderado</v>
      </c>
      <c r="G12" s="739" t="str">
        <f>+'[10]Analisis Riesgo'!I14</f>
        <v>MODERADO</v>
      </c>
      <c r="H12" s="723" t="str">
        <f>+'[10]Analisis Riesgo'!U14</f>
        <v>Rara vez</v>
      </c>
      <c r="I12" s="723" t="str">
        <f>+'[10]Analisis Riesgo'!V14</f>
        <v>Menor</v>
      </c>
      <c r="J12" s="740" t="str">
        <f>+'[10]Analisis Riesgo'!W14</f>
        <v>BAJO</v>
      </c>
      <c r="K12" s="721" t="str">
        <f>+'[10]Analisis Riesgo'!X14</f>
        <v>Reducir el riesgo</v>
      </c>
      <c r="L12" s="738" t="s">
        <v>946</v>
      </c>
      <c r="M12" s="726" t="s">
        <v>915</v>
      </c>
      <c r="N12" s="709">
        <v>44200</v>
      </c>
      <c r="O12" s="709">
        <v>44227</v>
      </c>
      <c r="P12" s="736" t="s">
        <v>947</v>
      </c>
      <c r="Q12" s="729"/>
      <c r="R12" s="729"/>
      <c r="S12" s="729"/>
      <c r="T12" s="729"/>
      <c r="U12" s="729"/>
      <c r="V12" s="729"/>
      <c r="W12" s="729"/>
      <c r="X12" s="729"/>
    </row>
    <row r="13" spans="1:24" ht="161.25" customHeight="1" x14ac:dyDescent="0.2">
      <c r="A13" s="721">
        <v>9</v>
      </c>
      <c r="B13" s="721" t="str">
        <f>+'[10]Identificación del Riesgo'!E17</f>
        <v>Formular proyectos de inversión que no resuelvan los problemas que lo originan.</v>
      </c>
      <c r="C13" s="721" t="str">
        <f>+'[10]Identificación del Riesgo'!H17</f>
        <v>No desarrollar adecuadamente la metodología del marco lógico en la formulación del problema y definición del objetivo del proyecto.
No formular ni gestionar adecuadamente los productos o entregables de los proyectos de inversión.
No gestionar adecuadamente el seguimiento a los proyectos de inversión.
No estructurar adecuadamente el proyecto en la herramienta SUIFP</v>
      </c>
      <c r="D13" s="721" t="str">
        <f>+'[10]Identificación del Riesgo'!I17</f>
        <v>Conceptos previos.
No validación Sectorial.
Destinación indebida de recursos.</v>
      </c>
      <c r="E13" s="721" t="str">
        <f>+'[10]Analisis Riesgo'!F15</f>
        <v>Improbable</v>
      </c>
      <c r="F13" s="721" t="str">
        <f>+'[10]Analisis Riesgo'!G15</f>
        <v>Mayor</v>
      </c>
      <c r="G13" s="730" t="str">
        <f>+'[10]Analisis Riesgo'!I15</f>
        <v>ALTO</v>
      </c>
      <c r="H13" s="723" t="str">
        <f>+'[10]Analisis Riesgo'!U15</f>
        <v>Rara vez</v>
      </c>
      <c r="I13" s="723" t="str">
        <f>+'[10]Analisis Riesgo'!V15</f>
        <v>Moderado</v>
      </c>
      <c r="J13" s="731" t="str">
        <f>+'[10]Analisis Riesgo'!W15</f>
        <v>MODERADO</v>
      </c>
      <c r="K13" s="721" t="str">
        <f>+'[10]Analisis Riesgo'!X15</f>
        <v>Reducir el riesgo</v>
      </c>
      <c r="L13" s="738" t="s">
        <v>949</v>
      </c>
      <c r="M13" s="726" t="s">
        <v>915</v>
      </c>
      <c r="N13" s="709">
        <v>44211</v>
      </c>
      <c r="O13" s="709">
        <v>44301</v>
      </c>
      <c r="P13" s="736" t="s">
        <v>950</v>
      </c>
      <c r="Q13" s="729"/>
      <c r="R13" s="729"/>
      <c r="S13" s="729"/>
      <c r="T13" s="729"/>
      <c r="U13" s="729"/>
      <c r="V13" s="729"/>
      <c r="W13" s="729"/>
      <c r="X13" s="729"/>
    </row>
    <row r="14" spans="1:24" ht="99.75" x14ac:dyDescent="0.2">
      <c r="A14" s="719">
        <v>10</v>
      </c>
      <c r="B14" s="721" t="str">
        <f>+'[10]Identificación del Riesgo'!E18</f>
        <v xml:space="preserve">Omisión intensionada de información de plan anual de adquisiciones y actividades de proyectos de inversión dirigidas a las partes interesadas internas y externas </v>
      </c>
      <c r="C14" s="721" t="str">
        <f>+'[10]Identificación del Riesgo'!H18</f>
        <v>Falta de verificación de aspectos de completitud y exactitud en el contenido de la información divulgada.
Inadecuada segregación de funciones de verificación.
Desconocimiento de roles.</v>
      </c>
      <c r="D14" s="721" t="str">
        <f>+'[10]Identificación del Riesgo'!I18</f>
        <v>Investigaciones disciplinarias y penales.</v>
      </c>
      <c r="E14" s="721" t="str">
        <f>+'[10]Analisis Riesgo'!F16</f>
        <v>Improbable</v>
      </c>
      <c r="F14" s="721" t="str">
        <f>+'[10]Analisis Riesgo'!G16</f>
        <v>Catastrófico</v>
      </c>
      <c r="G14" s="722" t="str">
        <f>+'[10]Analisis Riesgo'!I16</f>
        <v>EXTREMO</v>
      </c>
      <c r="H14" s="723" t="str">
        <f>+'[10]Analisis Riesgo'!U16</f>
        <v>Rara vez</v>
      </c>
      <c r="I14" s="723" t="str">
        <f>+'[10]Analisis Riesgo'!V16</f>
        <v>Mayor</v>
      </c>
      <c r="J14" s="735" t="str">
        <f>+'[10]Analisis Riesgo'!W16</f>
        <v>ALTO</v>
      </c>
      <c r="K14" s="721" t="str">
        <f>+'[10]Analisis Riesgo'!X16</f>
        <v>Reducir el riesgo</v>
      </c>
      <c r="L14" s="741" t="s">
        <v>952</v>
      </c>
      <c r="M14" s="726" t="s">
        <v>915</v>
      </c>
      <c r="N14" s="709">
        <v>44211</v>
      </c>
      <c r="O14" s="709">
        <v>44285</v>
      </c>
      <c r="P14" s="742" t="s">
        <v>953</v>
      </c>
      <c r="Q14" s="729"/>
      <c r="R14" s="729"/>
      <c r="S14" s="729"/>
      <c r="T14" s="729"/>
      <c r="U14" s="729"/>
      <c r="V14" s="729"/>
      <c r="W14" s="729"/>
      <c r="X14" s="729"/>
    </row>
  </sheetData>
  <mergeCells count="6">
    <mergeCell ref="A1:C2"/>
    <mergeCell ref="D1:V2"/>
    <mergeCell ref="A3:G3"/>
    <mergeCell ref="H3:K3"/>
    <mergeCell ref="L3:P3"/>
    <mergeCell ref="Q3:V3"/>
  </mergeCells>
  <conditionalFormatting sqref="N11:O11">
    <cfRule type="timePeriod" dxfId="81" priority="2" timePeriod="lastMonth">
      <formula>AND(MONTH(N11)=MONTH(EDATE(TODAY(),0-1)),YEAR(N11)=YEAR(EDATE(TODAY(),0-1)))</formula>
    </cfRule>
  </conditionalFormatting>
  <conditionalFormatting sqref="N10">
    <cfRule type="timePeriod" dxfId="80" priority="1" timePeriod="lastMonth">
      <formula>AND(MONTH(N10)=MONTH(EDATE(TODAY(),0-1)),YEAR(N10)=YEAR(EDATE(TODAY(),0-1)))</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D963"/>
  <sheetViews>
    <sheetView showGridLines="0" zoomScale="85" zoomScaleNormal="85" workbookViewId="0">
      <selection activeCell="V22" sqref="V22"/>
    </sheetView>
  </sheetViews>
  <sheetFormatPr baseColWidth="10" defaultColWidth="12.625" defaultRowHeight="15" customHeight="1" x14ac:dyDescent="0.2"/>
  <cols>
    <col min="1" max="1" width="6.625" customWidth="1"/>
    <col min="2" max="2" width="16.75" customWidth="1"/>
    <col min="3" max="3" width="33.25" customWidth="1"/>
    <col min="4" max="4" width="28.875" customWidth="1"/>
    <col min="5" max="5" width="55.5" customWidth="1"/>
    <col min="6" max="10" width="21.75" hidden="1" customWidth="1"/>
    <col min="11" max="11" width="33.875" hidden="1" customWidth="1"/>
    <col min="12" max="12" width="21.75" hidden="1" customWidth="1"/>
    <col min="13" max="17" width="19.25" hidden="1" customWidth="1"/>
    <col min="18" max="18" width="22.625" hidden="1" customWidth="1"/>
    <col min="19" max="19" width="19.25" hidden="1" customWidth="1"/>
    <col min="20" max="20" width="8" customWidth="1"/>
    <col min="21" max="22" width="18.125" customWidth="1"/>
    <col min="23" max="23" width="17.75" hidden="1" customWidth="1"/>
    <col min="24" max="24" width="16.25" hidden="1" customWidth="1"/>
    <col min="25" max="25" width="15.25" customWidth="1"/>
    <col min="26" max="26" width="18.875" customWidth="1"/>
    <col min="27" max="27" width="15.625" customWidth="1"/>
    <col min="28" max="28" width="23.125" customWidth="1"/>
    <col min="29" max="29" width="22.25" customWidth="1"/>
    <col min="30" max="30" width="26.5" customWidth="1"/>
  </cols>
  <sheetData>
    <row r="1" spans="1:30" ht="15.75" customHeight="1" x14ac:dyDescent="0.2">
      <c r="A1" s="1033"/>
      <c r="B1" s="930"/>
      <c r="C1" s="931"/>
      <c r="D1" s="1016" t="s">
        <v>0</v>
      </c>
      <c r="E1" s="930"/>
      <c r="F1" s="930"/>
      <c r="G1" s="930"/>
      <c r="H1" s="930"/>
      <c r="I1" s="930"/>
      <c r="J1" s="930"/>
      <c r="K1" s="930"/>
      <c r="L1" s="930"/>
      <c r="M1" s="930"/>
      <c r="N1" s="930"/>
      <c r="O1" s="930"/>
      <c r="P1" s="930"/>
      <c r="Q1" s="930"/>
      <c r="R1" s="930"/>
      <c r="S1" s="930"/>
      <c r="T1" s="930"/>
      <c r="U1" s="930"/>
      <c r="V1" s="930"/>
      <c r="W1" s="930"/>
      <c r="X1" s="930"/>
      <c r="Y1" s="930"/>
      <c r="Z1" s="930"/>
      <c r="AA1" s="930"/>
      <c r="AB1" s="931"/>
      <c r="AC1" s="1034" t="s">
        <v>128</v>
      </c>
      <c r="AD1" s="931"/>
    </row>
    <row r="2" spans="1:30" ht="15.75" customHeight="1" x14ac:dyDescent="0.2">
      <c r="A2" s="932"/>
      <c r="B2" s="933"/>
      <c r="C2" s="934"/>
      <c r="D2" s="932"/>
      <c r="E2" s="933"/>
      <c r="F2" s="933"/>
      <c r="G2" s="933"/>
      <c r="H2" s="933"/>
      <c r="I2" s="933"/>
      <c r="J2" s="933"/>
      <c r="K2" s="933"/>
      <c r="L2" s="933"/>
      <c r="M2" s="933"/>
      <c r="N2" s="933"/>
      <c r="O2" s="933"/>
      <c r="P2" s="933"/>
      <c r="Q2" s="933"/>
      <c r="R2" s="933"/>
      <c r="S2" s="933"/>
      <c r="T2" s="933"/>
      <c r="U2" s="933"/>
      <c r="V2" s="933"/>
      <c r="W2" s="933"/>
      <c r="X2" s="933"/>
      <c r="Y2" s="933"/>
      <c r="Z2" s="933"/>
      <c r="AA2" s="933"/>
      <c r="AB2" s="934"/>
      <c r="AC2" s="935"/>
      <c r="AD2" s="937"/>
    </row>
    <row r="3" spans="1:30" ht="15.75" customHeight="1" x14ac:dyDescent="0.2">
      <c r="A3" s="932"/>
      <c r="B3" s="933"/>
      <c r="C3" s="934"/>
      <c r="D3" s="932"/>
      <c r="E3" s="933"/>
      <c r="F3" s="933"/>
      <c r="G3" s="933"/>
      <c r="H3" s="933"/>
      <c r="I3" s="933"/>
      <c r="J3" s="933"/>
      <c r="K3" s="933"/>
      <c r="L3" s="933"/>
      <c r="M3" s="933"/>
      <c r="N3" s="933"/>
      <c r="O3" s="933"/>
      <c r="P3" s="933"/>
      <c r="Q3" s="933"/>
      <c r="R3" s="933"/>
      <c r="S3" s="933"/>
      <c r="T3" s="933"/>
      <c r="U3" s="933"/>
      <c r="V3" s="933"/>
      <c r="W3" s="933"/>
      <c r="X3" s="933"/>
      <c r="Y3" s="933"/>
      <c r="Z3" s="933"/>
      <c r="AA3" s="933"/>
      <c r="AB3" s="934"/>
      <c r="AC3" s="1034" t="s">
        <v>2</v>
      </c>
      <c r="AD3" s="931"/>
    </row>
    <row r="4" spans="1:30" ht="15.75" customHeight="1" x14ac:dyDescent="0.2">
      <c r="A4" s="935"/>
      <c r="B4" s="936"/>
      <c r="C4" s="937"/>
      <c r="D4" s="935"/>
      <c r="E4" s="936"/>
      <c r="F4" s="936"/>
      <c r="G4" s="936"/>
      <c r="H4" s="936"/>
      <c r="I4" s="936"/>
      <c r="J4" s="936"/>
      <c r="K4" s="936"/>
      <c r="L4" s="936"/>
      <c r="M4" s="936"/>
      <c r="N4" s="936"/>
      <c r="O4" s="936"/>
      <c r="P4" s="936"/>
      <c r="Q4" s="936"/>
      <c r="R4" s="936"/>
      <c r="S4" s="936"/>
      <c r="T4" s="936"/>
      <c r="U4" s="936"/>
      <c r="V4" s="936"/>
      <c r="W4" s="936"/>
      <c r="X4" s="936"/>
      <c r="Y4" s="936"/>
      <c r="Z4" s="936"/>
      <c r="AA4" s="936"/>
      <c r="AB4" s="937"/>
      <c r="AC4" s="935"/>
      <c r="AD4" s="937"/>
    </row>
    <row r="5" spans="1:30" ht="15.75" customHeight="1" x14ac:dyDescent="0.2">
      <c r="A5" s="964" t="s">
        <v>36</v>
      </c>
      <c r="B5" s="951"/>
      <c r="C5" s="952"/>
      <c r="D5" s="1035" t="str">
        <f t="array" ref="D5">+'Identificación del Riesgo'!D5:N5</f>
        <v>GESTIÓN DE CONCEPTOS TÉCNICOS</v>
      </c>
      <c r="E5" s="951"/>
      <c r="F5" s="951"/>
      <c r="G5" s="951"/>
      <c r="H5" s="951"/>
      <c r="I5" s="951"/>
      <c r="J5" s="951"/>
      <c r="K5" s="951"/>
      <c r="L5" s="951"/>
      <c r="M5" s="951"/>
      <c r="N5" s="951"/>
      <c r="O5" s="951"/>
      <c r="P5" s="951"/>
      <c r="Q5" s="951"/>
      <c r="R5" s="951"/>
      <c r="S5" s="951"/>
      <c r="T5" s="951"/>
      <c r="U5" s="951"/>
      <c r="V5" s="951"/>
      <c r="W5" s="951"/>
      <c r="X5" s="951"/>
      <c r="Y5" s="951"/>
      <c r="Z5" s="951"/>
      <c r="AA5" s="951"/>
      <c r="AB5" s="951"/>
      <c r="AC5" s="951"/>
      <c r="AD5" s="951"/>
    </row>
    <row r="6" spans="1:30" ht="15.75" customHeight="1" x14ac:dyDescent="0.2">
      <c r="A6" s="964" t="s">
        <v>37</v>
      </c>
      <c r="B6" s="951"/>
      <c r="C6" s="952"/>
      <c r="D6" s="1035" t="str">
        <f t="array" ref="D6">+'Identificación del Riesgo'!D6:N6</f>
        <v>Expedir certificados para que quienes inviertan en fuentes no convencionales de energía y  gestión eficiente de energía accedan a los incentivos tributarios definidos en la ley.</v>
      </c>
      <c r="E6" s="951"/>
      <c r="F6" s="951"/>
      <c r="G6" s="951"/>
      <c r="H6" s="951"/>
      <c r="I6" s="951"/>
      <c r="J6" s="951"/>
      <c r="K6" s="951"/>
      <c r="L6" s="951"/>
      <c r="M6" s="951"/>
      <c r="N6" s="951"/>
      <c r="O6" s="951"/>
      <c r="P6" s="951"/>
      <c r="Q6" s="951"/>
      <c r="R6" s="951"/>
      <c r="S6" s="951"/>
      <c r="T6" s="951"/>
      <c r="U6" s="951"/>
      <c r="V6" s="951"/>
      <c r="W6" s="951"/>
      <c r="X6" s="951"/>
      <c r="Y6" s="951"/>
      <c r="Z6" s="951"/>
      <c r="AA6" s="951"/>
      <c r="AB6" s="951"/>
      <c r="AC6" s="951"/>
      <c r="AD6" s="951"/>
    </row>
    <row r="7" spans="1:30" ht="15" customHeight="1" x14ac:dyDescent="0.2">
      <c r="A7" s="1036" t="s">
        <v>129</v>
      </c>
      <c r="B7" s="1037"/>
      <c r="C7" s="1037"/>
      <c r="D7" s="1037"/>
      <c r="E7" s="1037"/>
      <c r="F7" s="1037"/>
      <c r="G7" s="1037"/>
      <c r="H7" s="1037"/>
      <c r="I7" s="1037"/>
      <c r="J7" s="1037"/>
      <c r="K7" s="1037"/>
      <c r="L7" s="956"/>
      <c r="M7" s="1038" t="s">
        <v>75</v>
      </c>
      <c r="N7" s="1037"/>
      <c r="O7" s="1037"/>
      <c r="P7" s="1037"/>
      <c r="Q7" s="1037"/>
      <c r="R7" s="1037"/>
      <c r="S7" s="1037"/>
      <c r="T7" s="1037"/>
      <c r="U7" s="1037"/>
      <c r="V7" s="1037"/>
      <c r="W7" s="1037"/>
      <c r="X7" s="1037"/>
      <c r="Y7" s="956"/>
      <c r="Z7" s="1039" t="s">
        <v>130</v>
      </c>
      <c r="AA7" s="1037"/>
      <c r="AB7" s="956"/>
      <c r="AC7" s="1040" t="s">
        <v>131</v>
      </c>
      <c r="AD7" s="1041"/>
    </row>
    <row r="8" spans="1:30" ht="52.5" customHeight="1" x14ac:dyDescent="0.2">
      <c r="A8" s="47" t="s">
        <v>44</v>
      </c>
      <c r="B8" s="48" t="s">
        <v>64</v>
      </c>
      <c r="C8" s="48" t="s">
        <v>132</v>
      </c>
      <c r="D8" s="48" t="s">
        <v>73</v>
      </c>
      <c r="E8" s="48" t="s">
        <v>133</v>
      </c>
      <c r="F8" s="48" t="s">
        <v>134</v>
      </c>
      <c r="G8" s="48" t="s">
        <v>135</v>
      </c>
      <c r="H8" s="48" t="s">
        <v>136</v>
      </c>
      <c r="I8" s="48" t="s">
        <v>137</v>
      </c>
      <c r="J8" s="48" t="s">
        <v>138</v>
      </c>
      <c r="K8" s="48" t="s">
        <v>139</v>
      </c>
      <c r="L8" s="48" t="s">
        <v>140</v>
      </c>
      <c r="M8" s="48" t="s">
        <v>134</v>
      </c>
      <c r="N8" s="48" t="s">
        <v>135</v>
      </c>
      <c r="O8" s="48" t="s">
        <v>141</v>
      </c>
      <c r="P8" s="48" t="s">
        <v>137</v>
      </c>
      <c r="Q8" s="48" t="s">
        <v>138</v>
      </c>
      <c r="R8" s="48" t="s">
        <v>139</v>
      </c>
      <c r="S8" s="48" t="s">
        <v>140</v>
      </c>
      <c r="T8" s="49" t="s">
        <v>121</v>
      </c>
      <c r="U8" s="48" t="s">
        <v>142</v>
      </c>
      <c r="V8" s="48" t="s">
        <v>143</v>
      </c>
      <c r="W8" s="48" t="s">
        <v>142</v>
      </c>
      <c r="X8" s="48" t="s">
        <v>143</v>
      </c>
      <c r="Y8" s="48" t="s">
        <v>144</v>
      </c>
      <c r="Z8" s="48" t="s">
        <v>145</v>
      </c>
      <c r="AA8" s="48" t="s">
        <v>146</v>
      </c>
      <c r="AB8" s="48" t="s">
        <v>76</v>
      </c>
      <c r="AC8" s="48" t="s">
        <v>147</v>
      </c>
      <c r="AD8" s="50" t="s">
        <v>148</v>
      </c>
    </row>
    <row r="9" spans="1:30" ht="57" x14ac:dyDescent="0.2">
      <c r="A9" s="1042">
        <f>'Identificación del Riesgo'!D9</f>
        <v>1</v>
      </c>
      <c r="B9" s="1044" t="str">
        <f>'Identificación del Riesgo'!E9</f>
        <v>Inorportunidad en la expedicción de respuestas y certificados certificados.</v>
      </c>
      <c r="C9" s="1044" t="str">
        <f>'Identificación del Riesgo'!H9</f>
        <v>-Falta de personal para la evaluación de solicitudes.
-Exceso de solicitudes.
-Falta de automatización en el procedimiento.
-Reprocesos por mala información y errado diligenciamiento de los formatos.
-Cambios normativos.</v>
      </c>
      <c r="D9" s="122" t="str">
        <f>'Analisis Riesgo'!K7</f>
        <v>Realizar solcitud de recursos para la contratación de personal.</v>
      </c>
      <c r="E9" s="123" t="str">
        <f>'Analisis Riesgo'!L7</f>
        <v>Se realiza solicitud de recursos para la contratación de personal cuando se estima no contar con la capacidad interna  buscando aumentar la capacidad para llevar a cabo los procesos de evaluación en los tiempos definidos.</v>
      </c>
      <c r="F9" s="51" t="s">
        <v>296</v>
      </c>
      <c r="G9" s="51" t="s">
        <v>299</v>
      </c>
      <c r="H9" s="51" t="s">
        <v>300</v>
      </c>
      <c r="I9" s="51" t="s">
        <v>301</v>
      </c>
      <c r="J9" s="51" t="s">
        <v>302</v>
      </c>
      <c r="K9" s="124" t="s">
        <v>303</v>
      </c>
      <c r="L9" s="51" t="s">
        <v>304</v>
      </c>
      <c r="M9" s="25">
        <f t="shared" ref="M9:M18" si="0">IF(F9="Asignado", 15,0)</f>
        <v>15</v>
      </c>
      <c r="N9" s="25">
        <f t="shared" ref="N9:N18" si="1">IF(G9="Adecuado",15,0)</f>
        <v>15</v>
      </c>
      <c r="O9" s="25">
        <f t="shared" ref="O9:O18" si="2">IF(H9="Oportuna",15,0)</f>
        <v>15</v>
      </c>
      <c r="P9" s="25">
        <f t="shared" ref="P9:P18" si="3">IF(I9="Prevenir",15,IF(I9="Detectar",10,0))</f>
        <v>15</v>
      </c>
      <c r="Q9" s="25">
        <f t="shared" ref="Q9:Q18" si="4">IF(J9="Confiable", 15,0)</f>
        <v>15</v>
      </c>
      <c r="R9" s="25">
        <f>IF(K9="Se investigan y resuelven oportunamente",15,0)</f>
        <v>15</v>
      </c>
      <c r="S9" s="25">
        <f t="shared" ref="S9:S18" si="5">IF(L9="Completa",10,IF(L9="Incompleta",5,0))</f>
        <v>10</v>
      </c>
      <c r="T9" s="25">
        <f t="shared" ref="T9:T22" si="6">SUM(M9:S9)</f>
        <v>100</v>
      </c>
      <c r="U9" s="51" t="s">
        <v>263</v>
      </c>
      <c r="V9" s="51" t="s">
        <v>122</v>
      </c>
      <c r="W9" s="25">
        <f t="shared" ref="W9:W22" si="7">IF(U9="SI",1,0)*T9/100</f>
        <v>0</v>
      </c>
      <c r="X9" s="25">
        <f t="shared" ref="X9:X22" si="8">IF(V9="SI",1,0)*T9/100</f>
        <v>1</v>
      </c>
      <c r="Y9" s="25" t="str">
        <f t="shared" ref="Y9:Y22" si="9">IF(W9&gt;=0.96,"Fuerte",IF(W9&gt;=0.86,"Moderado","Debil"))</f>
        <v>Debil</v>
      </c>
      <c r="Z9" s="51" t="s">
        <v>305</v>
      </c>
      <c r="AA9" s="25" t="str">
        <f t="shared" ref="AA9:AA22" si="10">IF(Z9="Siempre se ejecuta","Fuerte",IF(Z9="Algunas veces se ejecuta","Moderado","Debil"))</f>
        <v>Fuerte</v>
      </c>
      <c r="AB9" s="25" t="str">
        <f t="shared" ref="AB9:AB22" si="11">IF(Y9="Fuerte",IF(AA9="Fuerte","No","SI"),"SI")</f>
        <v>SI</v>
      </c>
      <c r="AC9" s="52"/>
      <c r="AD9" s="53"/>
    </row>
    <row r="10" spans="1:30" ht="71.25" x14ac:dyDescent="0.2">
      <c r="A10" s="1043"/>
      <c r="B10" s="1029"/>
      <c r="C10" s="1029"/>
      <c r="D10" s="122" t="str">
        <f>'Analisis Riesgo'!K8</f>
        <v>Efectuar la evaluación en el orden de ingreso de las solicitudes</v>
      </c>
      <c r="E10" s="123" t="str">
        <f>'Analisis Riesgo'!L8</f>
        <v>Se ha establecido al interior del Grupo de Incentivos tributarios de la Subdirección de Demanda, que las solicitudes sean evaluadas en orden de ingreso con el propósito que de acuerdo a la capacidad del procesos se atiendan y no se acumulen evitando de esta forma posibles incumplimientos en oportunidad.</v>
      </c>
      <c r="F10" s="51" t="s">
        <v>296</v>
      </c>
      <c r="G10" s="51" t="s">
        <v>299</v>
      </c>
      <c r="H10" s="51" t="s">
        <v>300</v>
      </c>
      <c r="I10" s="51" t="s">
        <v>301</v>
      </c>
      <c r="J10" s="51" t="s">
        <v>302</v>
      </c>
      <c r="K10" s="124" t="s">
        <v>303</v>
      </c>
      <c r="L10" s="51" t="s">
        <v>304</v>
      </c>
      <c r="M10" s="25">
        <f t="shared" si="0"/>
        <v>15</v>
      </c>
      <c r="N10" s="25">
        <f t="shared" si="1"/>
        <v>15</v>
      </c>
      <c r="O10" s="25">
        <f t="shared" si="2"/>
        <v>15</v>
      </c>
      <c r="P10" s="25">
        <f t="shared" si="3"/>
        <v>15</v>
      </c>
      <c r="Q10" s="25">
        <f t="shared" si="4"/>
        <v>15</v>
      </c>
      <c r="R10" s="25">
        <f t="shared" ref="R10:R18" si="12">IF(K10="Se investigan y resuelven oportunamente",15,0)</f>
        <v>15</v>
      </c>
      <c r="S10" s="25">
        <f t="shared" si="5"/>
        <v>10</v>
      </c>
      <c r="T10" s="25">
        <f t="shared" si="6"/>
        <v>100</v>
      </c>
      <c r="U10" s="51" t="s">
        <v>122</v>
      </c>
      <c r="V10" s="51" t="s">
        <v>263</v>
      </c>
      <c r="W10" s="25">
        <f t="shared" si="7"/>
        <v>1</v>
      </c>
      <c r="X10" s="25">
        <f t="shared" si="8"/>
        <v>0</v>
      </c>
      <c r="Y10" s="25" t="str">
        <f t="shared" si="9"/>
        <v>Fuerte</v>
      </c>
      <c r="Z10" s="51" t="s">
        <v>305</v>
      </c>
      <c r="AA10" s="25" t="str">
        <f t="shared" si="10"/>
        <v>Fuerte</v>
      </c>
      <c r="AB10" s="25" t="str">
        <f t="shared" si="11"/>
        <v>No</v>
      </c>
      <c r="AC10" s="52"/>
      <c r="AD10" s="53"/>
    </row>
    <row r="11" spans="1:30" ht="71.25" x14ac:dyDescent="0.2">
      <c r="A11" s="1043"/>
      <c r="B11" s="1029"/>
      <c r="C11" s="1029"/>
      <c r="D11" s="122" t="str">
        <f>'Analisis Riesgo'!K9</f>
        <v>Identificación de necesidades de automatización del proceso de expedición de certificados..</v>
      </c>
      <c r="E11" s="123" t="str">
        <f>'Analisis Riesgo'!L9</f>
        <v>Se ha realizado la identificación de necesidades de automatización, esto con el propósito de contar con herramientas tecnológicas que permitan disminuir cargas operativas que reducen la capacidad interna del grupo de trabajo de incentivos tributarios.</v>
      </c>
      <c r="F11" s="51" t="s">
        <v>296</v>
      </c>
      <c r="G11" s="51" t="s">
        <v>299</v>
      </c>
      <c r="H11" s="51" t="s">
        <v>300</v>
      </c>
      <c r="I11" s="51" t="s">
        <v>301</v>
      </c>
      <c r="J11" s="51" t="s">
        <v>302</v>
      </c>
      <c r="K11" s="124" t="s">
        <v>303</v>
      </c>
      <c r="L11" s="51" t="s">
        <v>304</v>
      </c>
      <c r="M11" s="25">
        <f t="shared" si="0"/>
        <v>15</v>
      </c>
      <c r="N11" s="25">
        <f t="shared" si="1"/>
        <v>15</v>
      </c>
      <c r="O11" s="25">
        <f t="shared" si="2"/>
        <v>15</v>
      </c>
      <c r="P11" s="25">
        <f t="shared" si="3"/>
        <v>15</v>
      </c>
      <c r="Q11" s="25">
        <f t="shared" si="4"/>
        <v>15</v>
      </c>
      <c r="R11" s="25">
        <f t="shared" si="12"/>
        <v>15</v>
      </c>
      <c r="S11" s="25">
        <f t="shared" si="5"/>
        <v>10</v>
      </c>
      <c r="T11" s="25">
        <f t="shared" si="6"/>
        <v>100</v>
      </c>
      <c r="U11" s="51" t="s">
        <v>122</v>
      </c>
      <c r="V11" s="51" t="s">
        <v>122</v>
      </c>
      <c r="W11" s="25">
        <f t="shared" si="7"/>
        <v>1</v>
      </c>
      <c r="X11" s="25">
        <f t="shared" si="8"/>
        <v>1</v>
      </c>
      <c r="Y11" s="25" t="str">
        <f t="shared" si="9"/>
        <v>Fuerte</v>
      </c>
      <c r="Z11" s="51" t="s">
        <v>305</v>
      </c>
      <c r="AA11" s="25" t="str">
        <f t="shared" si="10"/>
        <v>Fuerte</v>
      </c>
      <c r="AB11" s="25" t="str">
        <f t="shared" si="11"/>
        <v>No</v>
      </c>
      <c r="AC11" s="52"/>
      <c r="AD11" s="53"/>
    </row>
    <row r="12" spans="1:30" ht="85.5" x14ac:dyDescent="0.2">
      <c r="A12" s="1043"/>
      <c r="B12" s="1029"/>
      <c r="C12" s="1029"/>
      <c r="D12" s="122" t="str">
        <f>'Analisis Riesgo'!K10</f>
        <v>Establecer y aplicar lineamientos y procedimientos documentado para la evaluación de las solicitudes.</v>
      </c>
      <c r="E12" s="123" t="str">
        <f>'Analisis Riesgo'!L10</f>
        <v xml:space="preserve">La UPME ha definido lineamientos a través de las Resoluciones y procedimientos en los que ha determinado los pasos de la evaluación, los criterios de evaluación y los tiempos que se deben surtir en cada etapa. Con esto se da claridad a los usuarios y evaluadores del cumplimiento de los tiempos y responsabilidades frente a la información y la evaluación. </v>
      </c>
      <c r="F12" s="51" t="s">
        <v>296</v>
      </c>
      <c r="G12" s="51" t="s">
        <v>299</v>
      </c>
      <c r="H12" s="51" t="s">
        <v>300</v>
      </c>
      <c r="I12" s="51" t="s">
        <v>301</v>
      </c>
      <c r="J12" s="51" t="s">
        <v>302</v>
      </c>
      <c r="K12" s="124" t="s">
        <v>303</v>
      </c>
      <c r="L12" s="51" t="s">
        <v>304</v>
      </c>
      <c r="M12" s="25">
        <f t="shared" si="0"/>
        <v>15</v>
      </c>
      <c r="N12" s="25">
        <f t="shared" si="1"/>
        <v>15</v>
      </c>
      <c r="O12" s="25">
        <f t="shared" si="2"/>
        <v>15</v>
      </c>
      <c r="P12" s="25">
        <f t="shared" si="3"/>
        <v>15</v>
      </c>
      <c r="Q12" s="25">
        <f t="shared" si="4"/>
        <v>15</v>
      </c>
      <c r="R12" s="25">
        <f t="shared" si="12"/>
        <v>15</v>
      </c>
      <c r="S12" s="25">
        <f t="shared" si="5"/>
        <v>10</v>
      </c>
      <c r="T12" s="25">
        <f t="shared" si="6"/>
        <v>100</v>
      </c>
      <c r="U12" s="51" t="s">
        <v>122</v>
      </c>
      <c r="V12" s="51" t="s">
        <v>263</v>
      </c>
      <c r="W12" s="25">
        <f t="shared" si="7"/>
        <v>1</v>
      </c>
      <c r="X12" s="25">
        <f t="shared" si="8"/>
        <v>0</v>
      </c>
      <c r="Y12" s="25" t="str">
        <f t="shared" si="9"/>
        <v>Fuerte</v>
      </c>
      <c r="Z12" s="51" t="s">
        <v>305</v>
      </c>
      <c r="AA12" s="25" t="str">
        <f t="shared" si="10"/>
        <v>Fuerte</v>
      </c>
      <c r="AB12" s="25" t="str">
        <f t="shared" si="11"/>
        <v>No</v>
      </c>
      <c r="AC12" s="52"/>
      <c r="AD12" s="53"/>
    </row>
    <row r="13" spans="1:30" ht="57" customHeight="1" x14ac:dyDescent="0.2">
      <c r="A13" s="1043"/>
      <c r="B13" s="1029"/>
      <c r="C13" s="1029"/>
      <c r="D13" s="122" t="str">
        <f>'Analisis Riesgo'!K11</f>
        <v>Comunicar los tiempos y etapas del proceso de evaluación de las solicitudes.</v>
      </c>
      <c r="E13" s="123" t="str">
        <f>'Analisis Riesgo'!L11</f>
        <v>Se cuenta con micrositio en el cual se publica de manera gráfica y didactica los pasos que se surten en el proceso de evaluación de solicitudes.</v>
      </c>
      <c r="F13" s="51" t="s">
        <v>296</v>
      </c>
      <c r="G13" s="51" t="s">
        <v>299</v>
      </c>
      <c r="H13" s="51" t="s">
        <v>300</v>
      </c>
      <c r="I13" s="51" t="s">
        <v>301</v>
      </c>
      <c r="J13" s="51" t="s">
        <v>302</v>
      </c>
      <c r="K13" s="124" t="s">
        <v>303</v>
      </c>
      <c r="L13" s="51" t="s">
        <v>304</v>
      </c>
      <c r="M13" s="25">
        <f t="shared" si="0"/>
        <v>15</v>
      </c>
      <c r="N13" s="25">
        <f t="shared" si="1"/>
        <v>15</v>
      </c>
      <c r="O13" s="25">
        <f t="shared" si="2"/>
        <v>15</v>
      </c>
      <c r="P13" s="25">
        <f t="shared" si="3"/>
        <v>15</v>
      </c>
      <c r="Q13" s="25">
        <f t="shared" si="4"/>
        <v>15</v>
      </c>
      <c r="R13" s="25">
        <f t="shared" si="12"/>
        <v>15</v>
      </c>
      <c r="S13" s="25">
        <f t="shared" si="5"/>
        <v>10</v>
      </c>
      <c r="T13" s="25">
        <f t="shared" si="6"/>
        <v>100</v>
      </c>
      <c r="U13" s="51" t="s">
        <v>122</v>
      </c>
      <c r="V13" s="51" t="s">
        <v>122</v>
      </c>
      <c r="W13" s="25">
        <f t="shared" si="7"/>
        <v>1</v>
      </c>
      <c r="X13" s="25">
        <f t="shared" si="8"/>
        <v>1</v>
      </c>
      <c r="Y13" s="25" t="str">
        <f t="shared" si="9"/>
        <v>Fuerte</v>
      </c>
      <c r="Z13" s="51" t="s">
        <v>305</v>
      </c>
      <c r="AA13" s="25" t="str">
        <f t="shared" si="10"/>
        <v>Fuerte</v>
      </c>
      <c r="AB13" s="25" t="str">
        <f t="shared" si="11"/>
        <v>No</v>
      </c>
      <c r="AC13" s="52"/>
      <c r="AD13" s="53"/>
    </row>
    <row r="14" spans="1:30" ht="71.25" x14ac:dyDescent="0.2">
      <c r="A14" s="1045"/>
      <c r="B14" s="961"/>
      <c r="C14" s="961"/>
      <c r="D14" s="122" t="str">
        <f>'Analisis Riesgo'!K12</f>
        <v>Mesas de trabajo para la revisión y  formulación de politicas y conceptos técnicos.</v>
      </c>
      <c r="E14" s="123" t="str">
        <f>'Analisis Riesgo'!L12</f>
        <v>Se ha establecido contar con mesas técnicas de trabajo mediante lascuales se revisa y realiza seguimiento a la formulación de lineamentos y a los conceptos técnicos relacionados con las solicitudes de beneficios tributarios prestadas por los usuarios.</v>
      </c>
      <c r="F14" s="51" t="s">
        <v>296</v>
      </c>
      <c r="G14" s="51" t="s">
        <v>299</v>
      </c>
      <c r="H14" s="51" t="s">
        <v>300</v>
      </c>
      <c r="I14" s="51" t="s">
        <v>301</v>
      </c>
      <c r="J14" s="51" t="s">
        <v>302</v>
      </c>
      <c r="K14" s="124" t="s">
        <v>303</v>
      </c>
      <c r="L14" s="51" t="s">
        <v>304</v>
      </c>
      <c r="M14" s="25">
        <f t="shared" si="0"/>
        <v>15</v>
      </c>
      <c r="N14" s="25">
        <f t="shared" si="1"/>
        <v>15</v>
      </c>
      <c r="O14" s="25">
        <f t="shared" si="2"/>
        <v>15</v>
      </c>
      <c r="P14" s="25">
        <f t="shared" si="3"/>
        <v>15</v>
      </c>
      <c r="Q14" s="25">
        <f t="shared" si="4"/>
        <v>15</v>
      </c>
      <c r="R14" s="25">
        <f t="shared" si="12"/>
        <v>15</v>
      </c>
      <c r="S14" s="25">
        <f t="shared" si="5"/>
        <v>10</v>
      </c>
      <c r="T14" s="25">
        <f t="shared" si="6"/>
        <v>100</v>
      </c>
      <c r="U14" s="51" t="s">
        <v>122</v>
      </c>
      <c r="V14" s="51" t="s">
        <v>263</v>
      </c>
      <c r="W14" s="25">
        <f t="shared" si="7"/>
        <v>1</v>
      </c>
      <c r="X14" s="25">
        <f t="shared" si="8"/>
        <v>0</v>
      </c>
      <c r="Y14" s="25" t="str">
        <f t="shared" si="9"/>
        <v>Fuerte</v>
      </c>
      <c r="Z14" s="51" t="s">
        <v>305</v>
      </c>
      <c r="AA14" s="25" t="str">
        <f t="shared" si="10"/>
        <v>Fuerte</v>
      </c>
      <c r="AB14" s="25" t="str">
        <f t="shared" si="11"/>
        <v>No</v>
      </c>
      <c r="AC14" s="52"/>
      <c r="AD14" s="53"/>
    </row>
    <row r="15" spans="1:30" ht="142.5" x14ac:dyDescent="0.2">
      <c r="A15" s="1042">
        <f>'Identificación del Riesgo'!D10</f>
        <v>2</v>
      </c>
      <c r="B15" s="1048" t="str">
        <f>'Identificación del Riesgo'!E10</f>
        <v>Posibilidad de recibir o solicitar cualquier dadiva o beneficio a nombre propio o de terceros a través del manejo discrecional de las solicitudes</v>
      </c>
      <c r="C15" s="1048" t="str">
        <f>'Identificación del Riesgo'!H10</f>
        <v>- Presion por parte de los solicitantes interesados en los beneficios tributarios.
-Instrucción indebida de un superior jerarquico en la entidad.
-Presion indebida por otras instancias de gobierno.
- Interacciones entre el evaluador y el solicitante generadas por inadecuada definición de los procesos.</v>
      </c>
      <c r="D15" s="122" t="str">
        <f>'Analisis Riesgo'!K13</f>
        <v>Base de datos de solcitudes.</v>
      </c>
      <c r="E15" s="123" t="str">
        <f>'Analisis Riesgo'!L13</f>
        <v>Se cuenta con base de datos en la que se registran las entradas de solicitudes, esta herramienta llevar un control del estado de las evaluaciones de fuentes no convencionales o de gestión eficiente de la energía. Este control tiene como propósito llevar un matriz de control para llevar el record de solicitudes, la fecha de la solicitud, el número de radicado y el estado de la evaluación. Es alimentada por los Profesionales del Grupo de Incentivos Tributarios y cuenta con un seguimiento trimestral por el Subdirector de Demanda que es plasmada en el seguimiento del plan de acción anual</v>
      </c>
      <c r="F15" s="51" t="s">
        <v>296</v>
      </c>
      <c r="G15" s="51" t="s">
        <v>299</v>
      </c>
      <c r="H15" s="51" t="s">
        <v>300</v>
      </c>
      <c r="I15" s="51" t="s">
        <v>301</v>
      </c>
      <c r="J15" s="51" t="s">
        <v>302</v>
      </c>
      <c r="K15" s="124" t="s">
        <v>303</v>
      </c>
      <c r="L15" s="51" t="s">
        <v>304</v>
      </c>
      <c r="M15" s="25">
        <f t="shared" si="0"/>
        <v>15</v>
      </c>
      <c r="N15" s="25">
        <f t="shared" si="1"/>
        <v>15</v>
      </c>
      <c r="O15" s="25">
        <f t="shared" si="2"/>
        <v>15</v>
      </c>
      <c r="P15" s="25">
        <f t="shared" si="3"/>
        <v>15</v>
      </c>
      <c r="Q15" s="25">
        <f t="shared" si="4"/>
        <v>15</v>
      </c>
      <c r="R15" s="25">
        <f t="shared" si="12"/>
        <v>15</v>
      </c>
      <c r="S15" s="25">
        <f t="shared" si="5"/>
        <v>10</v>
      </c>
      <c r="T15" s="25">
        <f t="shared" si="6"/>
        <v>100</v>
      </c>
      <c r="U15" s="51" t="s">
        <v>122</v>
      </c>
      <c r="V15" s="51" t="s">
        <v>263</v>
      </c>
      <c r="W15" s="25">
        <f t="shared" si="7"/>
        <v>1</v>
      </c>
      <c r="X15" s="25">
        <f t="shared" si="8"/>
        <v>0</v>
      </c>
      <c r="Y15" s="25" t="str">
        <f t="shared" si="9"/>
        <v>Fuerte</v>
      </c>
      <c r="Z15" s="51" t="s">
        <v>305</v>
      </c>
      <c r="AA15" s="25" t="str">
        <f t="shared" si="10"/>
        <v>Fuerte</v>
      </c>
      <c r="AB15" s="25" t="str">
        <f t="shared" si="11"/>
        <v>No</v>
      </c>
      <c r="AC15" s="52"/>
      <c r="AD15" s="53"/>
    </row>
    <row r="16" spans="1:30" ht="71.25" x14ac:dyDescent="0.2">
      <c r="A16" s="1046"/>
      <c r="B16" s="1049"/>
      <c r="C16" s="1049"/>
      <c r="D16" s="122" t="str">
        <f>'Analisis Riesgo'!K14</f>
        <v>Efectuar la evaluación en el orden de ingreso de las solicitudes</v>
      </c>
      <c r="E16" s="123" t="str">
        <f>'Analisis Riesgo'!L14</f>
        <v>Se ha establecido al interior del Grupo de Incentivos Tributarios de la Subdirección de Demanda, que las solicitudes sean evaluadas en orden de ingreso con el propósito que de acuerdo a la capacidad del procesos se atiendan y no se acumulen evitando de esta forma posibles incumplimientos en oportunidad.</v>
      </c>
      <c r="F16" s="51" t="s">
        <v>296</v>
      </c>
      <c r="G16" s="51" t="s">
        <v>299</v>
      </c>
      <c r="H16" s="51" t="s">
        <v>300</v>
      </c>
      <c r="I16" s="51" t="s">
        <v>301</v>
      </c>
      <c r="J16" s="51" t="s">
        <v>302</v>
      </c>
      <c r="K16" s="124" t="s">
        <v>303</v>
      </c>
      <c r="L16" s="51" t="s">
        <v>304</v>
      </c>
      <c r="M16" s="25">
        <f t="shared" si="0"/>
        <v>15</v>
      </c>
      <c r="N16" s="25">
        <f t="shared" si="1"/>
        <v>15</v>
      </c>
      <c r="O16" s="25">
        <f t="shared" si="2"/>
        <v>15</v>
      </c>
      <c r="P16" s="25">
        <f t="shared" si="3"/>
        <v>15</v>
      </c>
      <c r="Q16" s="25">
        <f t="shared" si="4"/>
        <v>15</v>
      </c>
      <c r="R16" s="25">
        <f t="shared" si="12"/>
        <v>15</v>
      </c>
      <c r="S16" s="25">
        <f t="shared" si="5"/>
        <v>10</v>
      </c>
      <c r="T16" s="25">
        <f t="shared" si="6"/>
        <v>100</v>
      </c>
      <c r="U16" s="51" t="s">
        <v>122</v>
      </c>
      <c r="V16" s="51" t="s">
        <v>263</v>
      </c>
      <c r="W16" s="25">
        <f t="shared" si="7"/>
        <v>1</v>
      </c>
      <c r="X16" s="25">
        <f t="shared" si="8"/>
        <v>0</v>
      </c>
      <c r="Y16" s="25" t="str">
        <f t="shared" si="9"/>
        <v>Fuerte</v>
      </c>
      <c r="Z16" s="51" t="s">
        <v>305</v>
      </c>
      <c r="AA16" s="25" t="str">
        <f t="shared" si="10"/>
        <v>Fuerte</v>
      </c>
      <c r="AB16" s="25" t="str">
        <f t="shared" si="11"/>
        <v>No</v>
      </c>
      <c r="AC16" s="52"/>
      <c r="AD16" s="53"/>
    </row>
    <row r="17" spans="1:30" ht="99.75" x14ac:dyDescent="0.2">
      <c r="A17" s="1046"/>
      <c r="B17" s="1049"/>
      <c r="C17" s="1049"/>
      <c r="D17" s="122" t="str">
        <f>'Analisis Riesgo'!K15</f>
        <v>Formalidad en el registro de entradas y salidas en Orfeo.</v>
      </c>
      <c r="E17" s="123" t="str">
        <f>'Analisis Riesgo'!L15</f>
        <v>Se utiliza la herramienta Orfeo como el canal para tramitar las solicitudes, las respuestas, las solicitudes de información y la expedición de certificados. Así se garantiza la documentación quede formalmente documentada en el Sistema de Gestión Documental de la entidad. Este control permite evidenciar el registro del tiempo de las entradas y salidas de información en la interacción entre los solicitantes y la UPME.</v>
      </c>
      <c r="F17" s="51" t="s">
        <v>296</v>
      </c>
      <c r="G17" s="51" t="s">
        <v>299</v>
      </c>
      <c r="H17" s="51" t="s">
        <v>300</v>
      </c>
      <c r="I17" s="51" t="s">
        <v>301</v>
      </c>
      <c r="J17" s="51" t="s">
        <v>302</v>
      </c>
      <c r="K17" s="124" t="s">
        <v>303</v>
      </c>
      <c r="L17" s="51" t="s">
        <v>304</v>
      </c>
      <c r="M17" s="25">
        <f t="shared" si="0"/>
        <v>15</v>
      </c>
      <c r="N17" s="25">
        <f t="shared" si="1"/>
        <v>15</v>
      </c>
      <c r="O17" s="25">
        <f t="shared" si="2"/>
        <v>15</v>
      </c>
      <c r="P17" s="25">
        <f t="shared" si="3"/>
        <v>15</v>
      </c>
      <c r="Q17" s="25">
        <f t="shared" si="4"/>
        <v>15</v>
      </c>
      <c r="R17" s="25">
        <f t="shared" si="12"/>
        <v>15</v>
      </c>
      <c r="S17" s="25">
        <f t="shared" si="5"/>
        <v>10</v>
      </c>
      <c r="T17" s="25">
        <f t="shared" si="6"/>
        <v>100</v>
      </c>
      <c r="U17" s="51" t="s">
        <v>263</v>
      </c>
      <c r="V17" s="51" t="s">
        <v>122</v>
      </c>
      <c r="W17" s="25">
        <f t="shared" si="7"/>
        <v>0</v>
      </c>
      <c r="X17" s="25">
        <f t="shared" si="8"/>
        <v>1</v>
      </c>
      <c r="Y17" s="25" t="str">
        <f t="shared" si="9"/>
        <v>Debil</v>
      </c>
      <c r="Z17" s="51" t="s">
        <v>305</v>
      </c>
      <c r="AA17" s="25" t="str">
        <f t="shared" si="10"/>
        <v>Fuerte</v>
      </c>
      <c r="AB17" s="25" t="str">
        <f t="shared" si="11"/>
        <v>SI</v>
      </c>
      <c r="AC17" s="52"/>
      <c r="AD17" s="53"/>
    </row>
    <row r="18" spans="1:30" ht="57" x14ac:dyDescent="0.2">
      <c r="A18" s="1046"/>
      <c r="B18" s="1049"/>
      <c r="C18" s="1049"/>
      <c r="D18" s="122" t="str">
        <f>'Analisis Riesgo'!K16</f>
        <v>Contar con la herramienta de consulta del estado de la solicitud.</v>
      </c>
      <c r="E18" s="123" t="str">
        <f>'Analisis Riesgo'!L16</f>
        <v>Es un mecanismo de transparencia de información que permite reducir la interacción directa entre evaluador y solicitante. Mediante este mecanismo el solicitante puede conocer el estado de su solicitud.</v>
      </c>
      <c r="F18" s="51" t="s">
        <v>296</v>
      </c>
      <c r="G18" s="51" t="s">
        <v>299</v>
      </c>
      <c r="H18" s="51" t="s">
        <v>300</v>
      </c>
      <c r="I18" s="51" t="s">
        <v>301</v>
      </c>
      <c r="J18" s="51" t="s">
        <v>302</v>
      </c>
      <c r="K18" s="124" t="s">
        <v>303</v>
      </c>
      <c r="L18" s="51" t="s">
        <v>304</v>
      </c>
      <c r="M18" s="25">
        <f t="shared" si="0"/>
        <v>15</v>
      </c>
      <c r="N18" s="25">
        <f t="shared" si="1"/>
        <v>15</v>
      </c>
      <c r="O18" s="25">
        <f t="shared" si="2"/>
        <v>15</v>
      </c>
      <c r="P18" s="25">
        <f t="shared" si="3"/>
        <v>15</v>
      </c>
      <c r="Q18" s="25">
        <f t="shared" si="4"/>
        <v>15</v>
      </c>
      <c r="R18" s="25">
        <f t="shared" si="12"/>
        <v>15</v>
      </c>
      <c r="S18" s="25">
        <f t="shared" si="5"/>
        <v>10</v>
      </c>
      <c r="T18" s="25">
        <f t="shared" si="6"/>
        <v>100</v>
      </c>
      <c r="U18" s="51" t="s">
        <v>122</v>
      </c>
      <c r="V18" s="51" t="s">
        <v>263</v>
      </c>
      <c r="W18" s="25">
        <f t="shared" si="7"/>
        <v>1</v>
      </c>
      <c r="X18" s="25">
        <f t="shared" si="8"/>
        <v>0</v>
      </c>
      <c r="Y18" s="25" t="str">
        <f t="shared" si="9"/>
        <v>Fuerte</v>
      </c>
      <c r="Z18" s="51" t="s">
        <v>305</v>
      </c>
      <c r="AA18" s="25" t="str">
        <f t="shared" si="10"/>
        <v>Fuerte</v>
      </c>
      <c r="AB18" s="25" t="str">
        <f t="shared" si="11"/>
        <v>No</v>
      </c>
      <c r="AC18" s="52"/>
      <c r="AD18" s="53"/>
    </row>
    <row r="19" spans="1:30" s="101" customFormat="1" ht="99.75" x14ac:dyDescent="0.2">
      <c r="A19" s="1047"/>
      <c r="B19" s="1050"/>
      <c r="C19" s="1050"/>
      <c r="D19" s="122" t="str">
        <f>'Analisis Riesgo'!K17</f>
        <v>Participar en las actividades de promoción del código de integridad del servidor público.</v>
      </c>
      <c r="E19" s="123" t="str">
        <f>'Analisis Riesgo'!L17</f>
        <v>Es un mecanismos en el que la entidad promueve el código de integridad y sus herramientas entre estas la identificación y declaración de conflictosde interés. Los servidores públicos deben participar en esta actividades, las cuales tienen como propósito sensibilizar y comprometer a los servidores a que apliquen la declaración de impedimento cuando existan conflictos de interés.</v>
      </c>
      <c r="F19" s="51" t="s">
        <v>296</v>
      </c>
      <c r="G19" s="51" t="s">
        <v>299</v>
      </c>
      <c r="H19" s="51" t="s">
        <v>300</v>
      </c>
      <c r="I19" s="51" t="s">
        <v>301</v>
      </c>
      <c r="J19" s="51" t="s">
        <v>302</v>
      </c>
      <c r="K19" s="124" t="s">
        <v>303</v>
      </c>
      <c r="L19" s="51" t="s">
        <v>304</v>
      </c>
      <c r="M19" s="25">
        <f t="shared" ref="M19:M22" si="13">IF(F19="Asignado", 15,0)</f>
        <v>15</v>
      </c>
      <c r="N19" s="25">
        <f t="shared" ref="N19:N22" si="14">IF(G19="Adecuado",15,0)</f>
        <v>15</v>
      </c>
      <c r="O19" s="25">
        <f t="shared" ref="O19:O22" si="15">IF(H19="Oportuna",15,0)</f>
        <v>15</v>
      </c>
      <c r="P19" s="25">
        <f t="shared" ref="P19:P22" si="16">IF(I19="Prevenir",15,IF(I19="Detectar",10,0))</f>
        <v>15</v>
      </c>
      <c r="Q19" s="25">
        <f t="shared" ref="Q19:Q22" si="17">IF(J19="Confiable", 15,0)</f>
        <v>15</v>
      </c>
      <c r="R19" s="25">
        <f t="shared" ref="R19:R22" si="18">IF(K19="Se investigan y resuelven oportunamente",15,0)</f>
        <v>15</v>
      </c>
      <c r="S19" s="25">
        <f t="shared" ref="S19:S22" si="19">IF(L19="Completa",10,IF(L19="Incompleta",5,0))</f>
        <v>10</v>
      </c>
      <c r="T19" s="25">
        <f t="shared" si="6"/>
        <v>100</v>
      </c>
      <c r="U19" s="51" t="s">
        <v>122</v>
      </c>
      <c r="V19" s="51" t="s">
        <v>263</v>
      </c>
      <c r="W19" s="25"/>
      <c r="X19" s="25"/>
      <c r="Y19" s="25" t="str">
        <f t="shared" si="9"/>
        <v>Debil</v>
      </c>
      <c r="Z19" s="51" t="s">
        <v>305</v>
      </c>
      <c r="AA19" s="25" t="str">
        <f t="shared" ref="AA19" si="20">IF(Z19="Siempre se ejecuta","Fuerte",IF(Z19="Algunas veces se ejecuta","Moderado","Debil"))</f>
        <v>Fuerte</v>
      </c>
      <c r="AB19" s="25" t="str">
        <f t="shared" ref="AB19" si="21">IF(Y19="Fuerte",IF(AA19="Fuerte","No","SI"),"SI")</f>
        <v>SI</v>
      </c>
      <c r="AC19" s="52"/>
      <c r="AD19" s="53"/>
    </row>
    <row r="20" spans="1:30" ht="128.25" x14ac:dyDescent="0.2">
      <c r="A20" s="1042">
        <f>'Identificación del Riesgo'!D11</f>
        <v>3</v>
      </c>
      <c r="B20" s="1044" t="str">
        <f>'Identificación del Riesgo'!E11</f>
        <v>Entrega errada de información relacionada a los beneficios tributarios.</v>
      </c>
      <c r="C20" s="1044" t="str">
        <f>'Identificación del Riesgo'!H11</f>
        <v>- Falta de claridad y/o carencia de la politica y protocolos de atención al usuario.
- Inadecuada definición de los mecanismos de comunicación y atenión de las solicitudes.
- Incertidumbre en los tiempos de respuesta.
- Fallas de comunicación con los usuarios.
- Improvisación en la atención presonalizada de usuarios.
- Inadecuados tiempos de atención.</v>
      </c>
      <c r="D20" s="122" t="str">
        <f>'Analisis Riesgo'!K18</f>
        <v>Aplicar los niveles de autorización determinados para la emisión de información en la UPME.</v>
      </c>
      <c r="E20" s="123" t="str">
        <f>'Analisis Riesgo'!L18</f>
        <v>La UPME ha establecido como protocolo dado su estructura organicaa una estructura funcional en la que los servidores no pueden entregar información, sin la revisión de la información a entregarse donde es fundamental los niveles de autorización definidos para ellos. Este contro lbuscca garantizar que no se entregue información errada o fuera de las funciones determinadas para la UPME, toda información que sale de la organización es verificada por el Coordinador del Grupo y el Subdirector de la dependencia.</v>
      </c>
      <c r="F20" s="51" t="s">
        <v>296</v>
      </c>
      <c r="G20" s="51" t="s">
        <v>299</v>
      </c>
      <c r="H20" s="51" t="s">
        <v>300</v>
      </c>
      <c r="I20" s="51" t="s">
        <v>301</v>
      </c>
      <c r="J20" s="51" t="s">
        <v>302</v>
      </c>
      <c r="K20" s="124" t="s">
        <v>303</v>
      </c>
      <c r="L20" s="51" t="s">
        <v>304</v>
      </c>
      <c r="M20" s="25">
        <f t="shared" si="13"/>
        <v>15</v>
      </c>
      <c r="N20" s="25">
        <f t="shared" si="14"/>
        <v>15</v>
      </c>
      <c r="O20" s="25">
        <f t="shared" si="15"/>
        <v>15</v>
      </c>
      <c r="P20" s="25">
        <f t="shared" si="16"/>
        <v>15</v>
      </c>
      <c r="Q20" s="25">
        <f t="shared" si="17"/>
        <v>15</v>
      </c>
      <c r="R20" s="25">
        <f t="shared" si="18"/>
        <v>15</v>
      </c>
      <c r="S20" s="25">
        <f t="shared" si="19"/>
        <v>10</v>
      </c>
      <c r="T20" s="25">
        <f t="shared" si="6"/>
        <v>100</v>
      </c>
      <c r="U20" s="51" t="s">
        <v>122</v>
      </c>
      <c r="V20" s="51" t="s">
        <v>263</v>
      </c>
      <c r="W20" s="25">
        <f t="shared" si="7"/>
        <v>1</v>
      </c>
      <c r="X20" s="25">
        <f t="shared" si="8"/>
        <v>0</v>
      </c>
      <c r="Y20" s="25" t="str">
        <f>IF(W20&gt;=0.96,"Fuerte",IF(W20&gt;=0.86,"Moderado","Debil"))</f>
        <v>Fuerte</v>
      </c>
      <c r="Z20" s="51" t="s">
        <v>305</v>
      </c>
      <c r="AA20" s="25" t="str">
        <f t="shared" si="10"/>
        <v>Fuerte</v>
      </c>
      <c r="AB20" s="25" t="str">
        <f t="shared" si="11"/>
        <v>No</v>
      </c>
      <c r="AC20" s="54"/>
      <c r="AD20" s="53"/>
    </row>
    <row r="21" spans="1:30" ht="99.75" x14ac:dyDescent="0.2">
      <c r="A21" s="1043"/>
      <c r="B21" s="1029"/>
      <c r="C21" s="1029"/>
      <c r="D21" s="122" t="str">
        <f>'Analisis Riesgo'!K19</f>
        <v>Aplicar mecanismos formales para la atención de usuarios.</v>
      </c>
      <c r="E21" s="123" t="str">
        <f>'Analisis Riesgo'!L19</f>
        <v>En el caso de inquietudes o necesidades de atención por parte de promotores que buscan acceder a los beneficios tributarios, se han definido protocolos formales de atención los cuales deben ser autorizados por el Subdirector de Demanda. Para ello se deben registrar los registros correspondientes de la atención y en los que la atención es explicativa y no debe existir compromisos por parte de la entidad</v>
      </c>
      <c r="F21" s="51" t="s">
        <v>296</v>
      </c>
      <c r="G21" s="51" t="s">
        <v>299</v>
      </c>
      <c r="H21" s="51" t="s">
        <v>300</v>
      </c>
      <c r="I21" s="51" t="s">
        <v>301</v>
      </c>
      <c r="J21" s="51" t="s">
        <v>302</v>
      </c>
      <c r="K21" s="124" t="s">
        <v>303</v>
      </c>
      <c r="L21" s="51" t="s">
        <v>304</v>
      </c>
      <c r="M21" s="25">
        <f t="shared" si="13"/>
        <v>15</v>
      </c>
      <c r="N21" s="25">
        <f t="shared" si="14"/>
        <v>15</v>
      </c>
      <c r="O21" s="25">
        <f t="shared" si="15"/>
        <v>15</v>
      </c>
      <c r="P21" s="25">
        <f t="shared" si="16"/>
        <v>15</v>
      </c>
      <c r="Q21" s="25">
        <f t="shared" si="17"/>
        <v>15</v>
      </c>
      <c r="R21" s="25">
        <f t="shared" si="18"/>
        <v>15</v>
      </c>
      <c r="S21" s="25">
        <f t="shared" si="19"/>
        <v>10</v>
      </c>
      <c r="T21" s="25">
        <f t="shared" si="6"/>
        <v>100</v>
      </c>
      <c r="U21" s="51" t="s">
        <v>122</v>
      </c>
      <c r="V21" s="51" t="s">
        <v>263</v>
      </c>
      <c r="W21" s="25">
        <f t="shared" si="7"/>
        <v>1</v>
      </c>
      <c r="X21" s="25">
        <f t="shared" si="8"/>
        <v>0</v>
      </c>
      <c r="Y21" s="25" t="str">
        <f t="shared" si="9"/>
        <v>Fuerte</v>
      </c>
      <c r="Z21" s="51" t="s">
        <v>305</v>
      </c>
      <c r="AA21" s="25" t="str">
        <f t="shared" si="10"/>
        <v>Fuerte</v>
      </c>
      <c r="AB21" s="25" t="str">
        <f t="shared" si="11"/>
        <v>No</v>
      </c>
      <c r="AC21" s="55"/>
      <c r="AD21" s="53"/>
    </row>
    <row r="22" spans="1:30" ht="52.5" customHeight="1" x14ac:dyDescent="0.2">
      <c r="A22" s="1043"/>
      <c r="B22" s="1029"/>
      <c r="C22" s="1029"/>
      <c r="D22" s="122" t="str">
        <f>'Analisis Riesgo'!K20</f>
        <v>Comunicar los tiempos y etapas del proceso de evaluación de las solicitudes.</v>
      </c>
      <c r="E22" s="123" t="str">
        <f>'Analisis Riesgo'!L20</f>
        <v>Se cuenta con micrositio en el cual se publica de manera gráfica y didactica los pasos que se surten en el proceso de evaluación de solicitudes.</v>
      </c>
      <c r="F22" s="51" t="s">
        <v>296</v>
      </c>
      <c r="G22" s="51" t="s">
        <v>299</v>
      </c>
      <c r="H22" s="51" t="s">
        <v>300</v>
      </c>
      <c r="I22" s="51" t="s">
        <v>301</v>
      </c>
      <c r="J22" s="51" t="s">
        <v>302</v>
      </c>
      <c r="K22" s="124" t="s">
        <v>303</v>
      </c>
      <c r="L22" s="51" t="s">
        <v>304</v>
      </c>
      <c r="M22" s="25">
        <f t="shared" si="13"/>
        <v>15</v>
      </c>
      <c r="N22" s="25">
        <f t="shared" si="14"/>
        <v>15</v>
      </c>
      <c r="O22" s="25">
        <f t="shared" si="15"/>
        <v>15</v>
      </c>
      <c r="P22" s="25">
        <f t="shared" si="16"/>
        <v>15</v>
      </c>
      <c r="Q22" s="25">
        <f t="shared" si="17"/>
        <v>15</v>
      </c>
      <c r="R22" s="25">
        <f t="shared" si="18"/>
        <v>15</v>
      </c>
      <c r="S22" s="25">
        <f t="shared" si="19"/>
        <v>10</v>
      </c>
      <c r="T22" s="25">
        <f t="shared" si="6"/>
        <v>100</v>
      </c>
      <c r="U22" s="51" t="s">
        <v>263</v>
      </c>
      <c r="V22" s="51" t="s">
        <v>122</v>
      </c>
      <c r="W22" s="25">
        <f t="shared" si="7"/>
        <v>0</v>
      </c>
      <c r="X22" s="25">
        <f t="shared" si="8"/>
        <v>1</v>
      </c>
      <c r="Y22" s="25" t="str">
        <f t="shared" si="9"/>
        <v>Debil</v>
      </c>
      <c r="Z22" s="51" t="s">
        <v>305</v>
      </c>
      <c r="AA22" s="25" t="str">
        <f t="shared" si="10"/>
        <v>Fuerte</v>
      </c>
      <c r="AB22" s="25" t="str">
        <f t="shared" si="11"/>
        <v>SI</v>
      </c>
      <c r="AC22" s="55"/>
      <c r="AD22" s="53"/>
    </row>
    <row r="23" spans="1:30" ht="12.75" customHeight="1" x14ac:dyDescent="0.2">
      <c r="A23" s="56"/>
      <c r="B23" s="56"/>
      <c r="C23" s="56"/>
      <c r="D23" s="57"/>
      <c r="E23" s="57"/>
      <c r="F23" s="56"/>
      <c r="G23" s="56"/>
      <c r="H23" s="56"/>
      <c r="I23" s="56"/>
      <c r="J23" s="56"/>
      <c r="K23" s="56"/>
      <c r="L23" s="56"/>
      <c r="M23" s="58"/>
      <c r="N23" s="58"/>
      <c r="O23" s="58"/>
      <c r="P23" s="58"/>
      <c r="Q23" s="58"/>
      <c r="R23" s="58"/>
      <c r="S23" s="58"/>
      <c r="T23" s="58"/>
      <c r="U23" s="58"/>
      <c r="V23" s="58"/>
      <c r="W23" s="58"/>
      <c r="X23" s="58"/>
      <c r="Y23" s="58"/>
      <c r="Z23" s="58"/>
      <c r="AA23" s="58"/>
      <c r="AB23" s="58"/>
      <c r="AC23" s="59"/>
      <c r="AD23" s="59"/>
    </row>
    <row r="24" spans="1:30" ht="12.75" customHeight="1" x14ac:dyDescent="0.2">
      <c r="A24" s="56"/>
      <c r="B24" s="56"/>
      <c r="C24" s="56"/>
      <c r="D24" s="57"/>
      <c r="E24" s="57"/>
      <c r="F24" s="56"/>
      <c r="G24" s="56"/>
      <c r="H24" s="56"/>
      <c r="I24" s="56"/>
      <c r="J24" s="56"/>
      <c r="K24" s="56"/>
      <c r="L24" s="56"/>
      <c r="M24" s="58"/>
      <c r="N24" s="58"/>
      <c r="O24" s="58"/>
      <c r="P24" s="58"/>
      <c r="Q24" s="58"/>
      <c r="R24" s="58"/>
      <c r="S24" s="58"/>
      <c r="T24" s="58"/>
      <c r="U24" s="58"/>
      <c r="V24" s="58"/>
      <c r="W24" s="58"/>
      <c r="X24" s="58"/>
      <c r="Y24" s="58"/>
      <c r="Z24" s="58"/>
      <c r="AA24" s="58"/>
      <c r="AB24" s="58"/>
      <c r="AC24" s="59"/>
      <c r="AD24" s="59"/>
    </row>
    <row r="25" spans="1:30" ht="12.75" customHeight="1" x14ac:dyDescent="0.2">
      <c r="A25" s="56"/>
      <c r="B25" s="56"/>
      <c r="C25" s="56"/>
      <c r="D25" s="57"/>
      <c r="E25" s="57"/>
      <c r="F25" s="56"/>
      <c r="G25" s="56"/>
      <c r="H25" s="56"/>
      <c r="I25" s="56"/>
      <c r="J25" s="56"/>
      <c r="K25" s="56"/>
      <c r="L25" s="56"/>
      <c r="M25" s="58"/>
      <c r="N25" s="58"/>
      <c r="O25" s="58"/>
      <c r="P25" s="58"/>
      <c r="Q25" s="58"/>
      <c r="R25" s="58"/>
      <c r="S25" s="58"/>
      <c r="T25" s="58"/>
      <c r="U25" s="58"/>
      <c r="V25" s="58"/>
      <c r="W25" s="58"/>
      <c r="X25" s="58"/>
      <c r="Y25" s="58"/>
      <c r="Z25" s="58"/>
      <c r="AA25" s="58"/>
      <c r="AB25" s="58"/>
      <c r="AC25" s="59"/>
      <c r="AD25" s="59"/>
    </row>
    <row r="26" spans="1:30" ht="12.75" customHeight="1" x14ac:dyDescent="0.2">
      <c r="A26" s="56"/>
      <c r="B26" s="56"/>
      <c r="C26" s="56"/>
      <c r="D26" s="57"/>
      <c r="E26" s="57"/>
      <c r="F26" s="56"/>
      <c r="G26" s="56"/>
      <c r="H26" s="56"/>
      <c r="I26" s="56"/>
      <c r="J26" s="56"/>
      <c r="K26" s="56"/>
      <c r="L26" s="56"/>
      <c r="M26" s="58"/>
      <c r="N26" s="58"/>
      <c r="O26" s="58"/>
      <c r="P26" s="58"/>
      <c r="Q26" s="58"/>
      <c r="R26" s="58"/>
      <c r="S26" s="58"/>
      <c r="T26" s="58"/>
      <c r="U26" s="58"/>
      <c r="V26" s="58"/>
      <c r="W26" s="58"/>
      <c r="X26" s="58"/>
      <c r="Y26" s="58"/>
      <c r="Z26" s="58"/>
      <c r="AA26" s="58"/>
      <c r="AB26" s="58"/>
      <c r="AC26" s="59"/>
      <c r="AD26" s="59"/>
    </row>
    <row r="27" spans="1:30" ht="12.75" customHeight="1" x14ac:dyDescent="0.2">
      <c r="A27" s="56"/>
      <c r="B27" s="56"/>
      <c r="C27" s="56"/>
      <c r="D27" s="57"/>
      <c r="E27" s="57"/>
      <c r="F27" s="56"/>
      <c r="G27" s="56"/>
      <c r="H27" s="56"/>
      <c r="I27" s="56"/>
      <c r="J27" s="56"/>
      <c r="K27" s="56"/>
      <c r="L27" s="56"/>
      <c r="M27" s="58"/>
      <c r="N27" s="58"/>
      <c r="O27" s="58"/>
      <c r="P27" s="58"/>
      <c r="Q27" s="58"/>
      <c r="R27" s="58"/>
      <c r="S27" s="58"/>
      <c r="T27" s="58"/>
      <c r="U27" s="58"/>
      <c r="V27" s="58"/>
      <c r="W27" s="58"/>
      <c r="X27" s="58"/>
      <c r="Y27" s="58"/>
      <c r="Z27" s="58"/>
      <c r="AA27" s="58"/>
      <c r="AB27" s="58"/>
      <c r="AC27" s="59"/>
      <c r="AD27" s="59"/>
    </row>
    <row r="28" spans="1:30" ht="12.75" customHeight="1" x14ac:dyDescent="0.2">
      <c r="A28" s="56"/>
      <c r="B28" s="56"/>
      <c r="C28" s="56"/>
      <c r="D28" s="57"/>
      <c r="E28" s="57"/>
      <c r="F28" s="56"/>
      <c r="G28" s="56"/>
      <c r="H28" s="56"/>
      <c r="I28" s="56"/>
      <c r="J28" s="56"/>
      <c r="K28" s="56"/>
      <c r="L28" s="56"/>
      <c r="M28" s="58"/>
      <c r="N28" s="58"/>
      <c r="O28" s="58"/>
      <c r="P28" s="58"/>
      <c r="Q28" s="58"/>
      <c r="R28" s="58"/>
      <c r="S28" s="58"/>
      <c r="T28" s="58"/>
      <c r="U28" s="58"/>
      <c r="V28" s="58"/>
      <c r="W28" s="58"/>
      <c r="X28" s="58"/>
      <c r="Y28" s="58"/>
      <c r="Z28" s="58"/>
      <c r="AA28" s="58"/>
      <c r="AB28" s="58"/>
      <c r="AC28" s="59"/>
      <c r="AD28" s="59"/>
    </row>
    <row r="29" spans="1:30" ht="12.75" customHeight="1" x14ac:dyDescent="0.2">
      <c r="A29" s="56"/>
      <c r="B29" s="56"/>
      <c r="C29" s="56"/>
      <c r="D29" s="57"/>
      <c r="E29" s="57"/>
      <c r="F29" s="56"/>
      <c r="G29" s="56"/>
      <c r="H29" s="56"/>
      <c r="I29" s="56"/>
      <c r="J29" s="56"/>
      <c r="K29" s="56"/>
      <c r="L29" s="56"/>
      <c r="M29" s="58"/>
      <c r="N29" s="58"/>
      <c r="O29" s="58"/>
      <c r="P29" s="58"/>
      <c r="Q29" s="58"/>
      <c r="R29" s="58"/>
      <c r="S29" s="58"/>
      <c r="T29" s="58"/>
      <c r="U29" s="58"/>
      <c r="V29" s="58"/>
      <c r="W29" s="58"/>
      <c r="X29" s="58"/>
      <c r="Y29" s="58"/>
      <c r="Z29" s="58"/>
      <c r="AA29" s="58"/>
      <c r="AB29" s="58"/>
      <c r="AC29" s="59"/>
      <c r="AD29" s="59"/>
    </row>
    <row r="30" spans="1:30" ht="12.75" customHeight="1" x14ac:dyDescent="0.2">
      <c r="A30" s="56"/>
      <c r="B30" s="56"/>
      <c r="C30" s="56"/>
      <c r="D30" s="57"/>
      <c r="E30" s="57"/>
      <c r="F30" s="56"/>
      <c r="G30" s="56"/>
      <c r="H30" s="56"/>
      <c r="I30" s="56"/>
      <c r="J30" s="56"/>
      <c r="K30" s="56"/>
      <c r="L30" s="56"/>
      <c r="M30" s="58"/>
      <c r="N30" s="58"/>
      <c r="O30" s="58"/>
      <c r="P30" s="58"/>
      <c r="Q30" s="58"/>
      <c r="R30" s="58"/>
      <c r="S30" s="58"/>
      <c r="T30" s="58"/>
      <c r="U30" s="58"/>
      <c r="V30" s="58"/>
      <c r="W30" s="58"/>
      <c r="X30" s="58"/>
      <c r="Y30" s="58"/>
      <c r="Z30" s="58"/>
      <c r="AA30" s="58"/>
      <c r="AB30" s="58"/>
      <c r="AC30" s="59"/>
      <c r="AD30" s="59"/>
    </row>
    <row r="31" spans="1:30" ht="12.75" customHeight="1" x14ac:dyDescent="0.2">
      <c r="A31" s="56"/>
      <c r="B31" s="56"/>
      <c r="C31" s="56"/>
      <c r="D31" s="57"/>
      <c r="E31" s="57"/>
      <c r="F31" s="56"/>
      <c r="G31" s="56"/>
      <c r="H31" s="56"/>
      <c r="I31" s="56"/>
      <c r="J31" s="56"/>
      <c r="K31" s="56"/>
      <c r="L31" s="56"/>
      <c r="M31" s="58"/>
      <c r="N31" s="58"/>
      <c r="O31" s="58"/>
      <c r="P31" s="58"/>
      <c r="Q31" s="58"/>
      <c r="R31" s="58"/>
      <c r="S31" s="58"/>
      <c r="T31" s="58"/>
      <c r="U31" s="58"/>
      <c r="V31" s="58"/>
      <c r="W31" s="58"/>
      <c r="X31" s="58"/>
      <c r="Y31" s="58"/>
      <c r="Z31" s="58"/>
      <c r="AA31" s="58"/>
      <c r="AB31" s="58"/>
      <c r="AC31" s="59"/>
      <c r="AD31" s="59"/>
    </row>
    <row r="32" spans="1:30" ht="12.75" customHeight="1" x14ac:dyDescent="0.2">
      <c r="A32" s="56"/>
      <c r="B32" s="56"/>
      <c r="C32" s="56"/>
      <c r="D32" s="57"/>
      <c r="E32" s="57"/>
      <c r="F32" s="56"/>
      <c r="G32" s="56"/>
      <c r="H32" s="56"/>
      <c r="I32" s="56"/>
      <c r="J32" s="56"/>
      <c r="K32" s="56"/>
      <c r="L32" s="56"/>
      <c r="M32" s="58"/>
      <c r="N32" s="58"/>
      <c r="O32" s="58"/>
      <c r="P32" s="58"/>
      <c r="Q32" s="58"/>
      <c r="R32" s="58"/>
      <c r="S32" s="58"/>
      <c r="T32" s="58"/>
      <c r="U32" s="58"/>
      <c r="V32" s="58"/>
      <c r="W32" s="58"/>
      <c r="X32" s="58"/>
      <c r="Y32" s="58"/>
      <c r="Z32" s="58"/>
      <c r="AA32" s="58"/>
      <c r="AB32" s="58"/>
      <c r="AC32" s="59"/>
      <c r="AD32" s="59"/>
    </row>
    <row r="33" spans="1:30" ht="12.75" customHeight="1" x14ac:dyDescent="0.2">
      <c r="A33" s="56"/>
      <c r="B33" s="56"/>
      <c r="C33" s="56"/>
      <c r="D33" s="57"/>
      <c r="E33" s="57"/>
      <c r="F33" s="56"/>
      <c r="G33" s="56"/>
      <c r="H33" s="56"/>
      <c r="I33" s="56"/>
      <c r="J33" s="56"/>
      <c r="K33" s="56"/>
      <c r="L33" s="56"/>
      <c r="M33" s="58"/>
      <c r="N33" s="58"/>
      <c r="O33" s="58"/>
      <c r="P33" s="58"/>
      <c r="Q33" s="58"/>
      <c r="R33" s="58"/>
      <c r="S33" s="58"/>
      <c r="T33" s="58"/>
      <c r="U33" s="58"/>
      <c r="V33" s="58"/>
      <c r="W33" s="58"/>
      <c r="X33" s="58"/>
      <c r="Y33" s="58"/>
      <c r="Z33" s="58"/>
      <c r="AA33" s="58"/>
      <c r="AB33" s="58"/>
      <c r="AC33" s="59"/>
      <c r="AD33" s="59"/>
    </row>
    <row r="34" spans="1:30" ht="12.75" customHeight="1" x14ac:dyDescent="0.2">
      <c r="A34" s="56"/>
      <c r="B34" s="56"/>
      <c r="C34" s="56"/>
      <c r="D34" s="57"/>
      <c r="E34" s="57"/>
      <c r="F34" s="56"/>
      <c r="G34" s="56"/>
      <c r="H34" s="56"/>
      <c r="I34" s="56"/>
      <c r="J34" s="56"/>
      <c r="K34" s="56"/>
      <c r="L34" s="56"/>
      <c r="M34" s="58"/>
      <c r="N34" s="58"/>
      <c r="O34" s="58"/>
      <c r="P34" s="58"/>
      <c r="Q34" s="58"/>
      <c r="R34" s="58"/>
      <c r="S34" s="58"/>
      <c r="T34" s="58"/>
      <c r="U34" s="58"/>
      <c r="V34" s="58"/>
      <c r="W34" s="58"/>
      <c r="X34" s="58"/>
      <c r="Y34" s="58"/>
      <c r="Z34" s="58"/>
      <c r="AA34" s="58"/>
      <c r="AB34" s="58"/>
      <c r="AC34" s="59"/>
      <c r="AD34" s="59"/>
    </row>
    <row r="35" spans="1:30" ht="12.75" customHeight="1" x14ac:dyDescent="0.2">
      <c r="A35" s="56"/>
      <c r="B35" s="56"/>
      <c r="C35" s="56"/>
      <c r="D35" s="57"/>
      <c r="E35" s="57"/>
      <c r="F35" s="56"/>
      <c r="G35" s="56"/>
      <c r="H35" s="56"/>
      <c r="I35" s="56"/>
      <c r="J35" s="56"/>
      <c r="K35" s="56"/>
      <c r="L35" s="56"/>
      <c r="M35" s="58"/>
      <c r="N35" s="58"/>
      <c r="O35" s="58"/>
      <c r="P35" s="58"/>
      <c r="Q35" s="58"/>
      <c r="R35" s="58"/>
      <c r="S35" s="58"/>
      <c r="T35" s="58"/>
      <c r="U35" s="58"/>
      <c r="V35" s="58"/>
      <c r="W35" s="58"/>
      <c r="X35" s="58"/>
      <c r="Y35" s="58"/>
      <c r="Z35" s="58"/>
      <c r="AA35" s="58"/>
      <c r="AB35" s="58"/>
      <c r="AC35" s="59"/>
      <c r="AD35" s="59"/>
    </row>
    <row r="36" spans="1:30" ht="12.75" customHeight="1" x14ac:dyDescent="0.2">
      <c r="A36" s="56"/>
      <c r="B36" s="56"/>
      <c r="C36" s="56"/>
      <c r="D36" s="57"/>
      <c r="E36" s="57"/>
      <c r="F36" s="56"/>
      <c r="G36" s="56"/>
      <c r="H36" s="56"/>
      <c r="I36" s="56"/>
      <c r="J36" s="56"/>
      <c r="K36" s="56"/>
      <c r="L36" s="56"/>
      <c r="M36" s="58"/>
      <c r="N36" s="58"/>
      <c r="O36" s="58"/>
      <c r="P36" s="58"/>
      <c r="Q36" s="58"/>
      <c r="R36" s="58"/>
      <c r="S36" s="58"/>
      <c r="T36" s="58"/>
      <c r="U36" s="58"/>
      <c r="V36" s="58"/>
      <c r="W36" s="58"/>
      <c r="X36" s="58"/>
      <c r="Y36" s="58"/>
      <c r="Z36" s="58"/>
      <c r="AA36" s="58"/>
      <c r="AB36" s="58"/>
      <c r="AC36" s="59"/>
      <c r="AD36" s="59"/>
    </row>
    <row r="37" spans="1:30" ht="12.75" customHeight="1" x14ac:dyDescent="0.2">
      <c r="A37" s="56"/>
      <c r="B37" s="56"/>
      <c r="C37" s="56"/>
      <c r="D37" s="57"/>
      <c r="E37" s="57"/>
      <c r="F37" s="56"/>
      <c r="G37" s="56"/>
      <c r="H37" s="56"/>
      <c r="I37" s="56"/>
      <c r="J37" s="56"/>
      <c r="K37" s="56"/>
      <c r="L37" s="56"/>
      <c r="M37" s="58"/>
      <c r="N37" s="58"/>
      <c r="O37" s="58"/>
      <c r="P37" s="58"/>
      <c r="Q37" s="58"/>
      <c r="R37" s="58"/>
      <c r="S37" s="58"/>
      <c r="T37" s="58"/>
      <c r="U37" s="58"/>
      <c r="V37" s="58"/>
      <c r="W37" s="58"/>
      <c r="X37" s="58"/>
      <c r="Y37" s="58"/>
      <c r="Z37" s="58"/>
      <c r="AA37" s="58"/>
      <c r="AB37" s="58"/>
      <c r="AC37" s="59"/>
      <c r="AD37" s="59"/>
    </row>
    <row r="38" spans="1:30" ht="12.75" customHeight="1" x14ac:dyDescent="0.2">
      <c r="A38" s="56"/>
      <c r="B38" s="56"/>
      <c r="C38" s="56"/>
      <c r="D38" s="57"/>
      <c r="E38" s="57"/>
      <c r="F38" s="56"/>
      <c r="G38" s="56"/>
      <c r="H38" s="56"/>
      <c r="I38" s="56"/>
      <c r="J38" s="56"/>
      <c r="K38" s="56"/>
      <c r="L38" s="56"/>
      <c r="M38" s="58"/>
      <c r="N38" s="58"/>
      <c r="O38" s="58"/>
      <c r="P38" s="58"/>
      <c r="Q38" s="58"/>
      <c r="R38" s="58"/>
      <c r="S38" s="58"/>
      <c r="T38" s="58"/>
      <c r="U38" s="58"/>
      <c r="V38" s="58"/>
      <c r="W38" s="58"/>
      <c r="X38" s="58"/>
      <c r="Y38" s="58"/>
      <c r="Z38" s="58"/>
      <c r="AA38" s="58"/>
      <c r="AB38" s="58"/>
      <c r="AC38" s="59"/>
      <c r="AD38" s="59"/>
    </row>
    <row r="39" spans="1:30" ht="12.75" customHeight="1" x14ac:dyDescent="0.2">
      <c r="A39" s="56"/>
      <c r="B39" s="56"/>
      <c r="C39" s="56"/>
      <c r="D39" s="57"/>
      <c r="E39" s="57"/>
      <c r="F39" s="56"/>
      <c r="G39" s="56"/>
      <c r="H39" s="56"/>
      <c r="I39" s="56"/>
      <c r="J39" s="56"/>
      <c r="K39" s="56"/>
      <c r="L39" s="56"/>
      <c r="M39" s="58"/>
      <c r="N39" s="58"/>
      <c r="O39" s="58"/>
      <c r="P39" s="58"/>
      <c r="Q39" s="58"/>
      <c r="R39" s="58"/>
      <c r="S39" s="58"/>
      <c r="T39" s="58"/>
      <c r="U39" s="58"/>
      <c r="V39" s="58"/>
      <c r="W39" s="58"/>
      <c r="X39" s="58"/>
      <c r="Y39" s="58"/>
      <c r="Z39" s="58"/>
      <c r="AA39" s="58"/>
      <c r="AB39" s="58"/>
      <c r="AC39" s="59"/>
      <c r="AD39" s="59"/>
    </row>
    <row r="40" spans="1:30" ht="12.75" customHeight="1" x14ac:dyDescent="0.2">
      <c r="A40" s="56"/>
      <c r="B40" s="56"/>
      <c r="C40" s="56"/>
      <c r="D40" s="57"/>
      <c r="E40" s="57"/>
      <c r="F40" s="56"/>
      <c r="G40" s="56"/>
      <c r="H40" s="56"/>
      <c r="I40" s="56"/>
      <c r="J40" s="56"/>
      <c r="K40" s="56"/>
      <c r="L40" s="56"/>
      <c r="M40" s="58"/>
      <c r="N40" s="58"/>
      <c r="O40" s="58"/>
      <c r="P40" s="58"/>
      <c r="Q40" s="58"/>
      <c r="R40" s="58"/>
      <c r="S40" s="58"/>
      <c r="T40" s="58"/>
      <c r="U40" s="58"/>
      <c r="V40" s="58"/>
      <c r="W40" s="58"/>
      <c r="X40" s="58"/>
      <c r="Y40" s="58"/>
      <c r="Z40" s="58"/>
      <c r="AA40" s="58"/>
      <c r="AB40" s="58"/>
      <c r="AC40" s="59"/>
      <c r="AD40" s="59"/>
    </row>
    <row r="41" spans="1:30" ht="12.75" customHeight="1" x14ac:dyDescent="0.2">
      <c r="A41" s="56"/>
      <c r="B41" s="56"/>
      <c r="C41" s="56"/>
      <c r="D41" s="57"/>
      <c r="E41" s="57"/>
      <c r="F41" s="56"/>
      <c r="G41" s="56"/>
      <c r="H41" s="56"/>
      <c r="I41" s="56"/>
      <c r="J41" s="56"/>
      <c r="K41" s="56"/>
      <c r="L41" s="56"/>
      <c r="M41" s="58"/>
      <c r="N41" s="58"/>
      <c r="O41" s="58"/>
      <c r="P41" s="58"/>
      <c r="Q41" s="58"/>
      <c r="R41" s="58"/>
      <c r="S41" s="58"/>
      <c r="T41" s="58"/>
      <c r="U41" s="58"/>
      <c r="V41" s="58"/>
      <c r="W41" s="58"/>
      <c r="X41" s="58"/>
      <c r="Y41" s="58"/>
      <c r="Z41" s="58"/>
      <c r="AA41" s="58"/>
      <c r="AB41" s="58"/>
      <c r="AC41" s="59"/>
      <c r="AD41" s="59"/>
    </row>
    <row r="42" spans="1:30" ht="12.75" customHeight="1" x14ac:dyDescent="0.2">
      <c r="A42" s="56"/>
      <c r="B42" s="56"/>
      <c r="C42" s="56"/>
      <c r="D42" s="57"/>
      <c r="E42" s="57"/>
      <c r="F42" s="56"/>
      <c r="G42" s="56"/>
      <c r="H42" s="56"/>
      <c r="I42" s="56"/>
      <c r="J42" s="56"/>
      <c r="K42" s="56"/>
      <c r="L42" s="56"/>
      <c r="M42" s="58"/>
      <c r="N42" s="58"/>
      <c r="O42" s="58"/>
      <c r="P42" s="58"/>
      <c r="Q42" s="58"/>
      <c r="R42" s="58"/>
      <c r="S42" s="58"/>
      <c r="T42" s="58"/>
      <c r="U42" s="58"/>
      <c r="V42" s="58"/>
      <c r="W42" s="58"/>
      <c r="X42" s="58"/>
      <c r="Y42" s="58"/>
      <c r="Z42" s="58"/>
      <c r="AA42" s="58"/>
      <c r="AB42" s="58"/>
      <c r="AC42" s="59"/>
      <c r="AD42" s="59"/>
    </row>
    <row r="43" spans="1:30" ht="12.75" customHeight="1" x14ac:dyDescent="0.2">
      <c r="A43" s="56"/>
      <c r="B43" s="56"/>
      <c r="C43" s="56"/>
      <c r="D43" s="57"/>
      <c r="E43" s="57"/>
      <c r="F43" s="56"/>
      <c r="G43" s="56"/>
      <c r="H43" s="56"/>
      <c r="I43" s="56"/>
      <c r="J43" s="56"/>
      <c r="K43" s="56"/>
      <c r="L43" s="56"/>
      <c r="M43" s="58"/>
      <c r="N43" s="58"/>
      <c r="O43" s="58"/>
      <c r="P43" s="58"/>
      <c r="Q43" s="58"/>
      <c r="R43" s="58"/>
      <c r="S43" s="58"/>
      <c r="T43" s="58"/>
      <c r="U43" s="58"/>
      <c r="V43" s="58"/>
      <c r="W43" s="58"/>
      <c r="X43" s="58"/>
      <c r="Y43" s="58"/>
      <c r="Z43" s="58"/>
      <c r="AA43" s="58"/>
      <c r="AB43" s="58"/>
      <c r="AC43" s="59"/>
      <c r="AD43" s="59"/>
    </row>
    <row r="44" spans="1:30" ht="12.75" customHeight="1" x14ac:dyDescent="0.2">
      <c r="A44" s="56"/>
      <c r="B44" s="56"/>
      <c r="C44" s="56"/>
      <c r="D44" s="57"/>
      <c r="E44" s="57"/>
      <c r="F44" s="56"/>
      <c r="G44" s="56"/>
      <c r="H44" s="56"/>
      <c r="I44" s="56"/>
      <c r="J44" s="56"/>
      <c r="K44" s="56"/>
      <c r="L44" s="56"/>
      <c r="M44" s="58"/>
      <c r="N44" s="58"/>
      <c r="O44" s="58"/>
      <c r="P44" s="58"/>
      <c r="Q44" s="58"/>
      <c r="R44" s="58"/>
      <c r="S44" s="58"/>
      <c r="T44" s="58"/>
      <c r="U44" s="58"/>
      <c r="V44" s="58"/>
      <c r="W44" s="58"/>
      <c r="X44" s="58"/>
      <c r="Y44" s="58"/>
      <c r="Z44" s="58"/>
      <c r="AA44" s="58"/>
      <c r="AB44" s="58"/>
      <c r="AC44" s="59"/>
      <c r="AD44" s="59"/>
    </row>
    <row r="45" spans="1:30" ht="12.75" customHeight="1" x14ac:dyDescent="0.2">
      <c r="A45" s="56"/>
      <c r="B45" s="56"/>
      <c r="C45" s="56"/>
      <c r="D45" s="57"/>
      <c r="E45" s="57"/>
      <c r="F45" s="56"/>
      <c r="G45" s="56"/>
      <c r="H45" s="56"/>
      <c r="I45" s="56"/>
      <c r="J45" s="56"/>
      <c r="K45" s="56"/>
      <c r="L45" s="56"/>
      <c r="M45" s="58"/>
      <c r="N45" s="58"/>
      <c r="O45" s="58"/>
      <c r="P45" s="58"/>
      <c r="Q45" s="58"/>
      <c r="R45" s="58"/>
      <c r="S45" s="58"/>
      <c r="T45" s="58"/>
      <c r="U45" s="58"/>
      <c r="V45" s="58"/>
      <c r="W45" s="58"/>
      <c r="X45" s="58"/>
      <c r="Y45" s="58"/>
      <c r="Z45" s="58"/>
      <c r="AA45" s="58"/>
      <c r="AB45" s="58"/>
      <c r="AC45" s="59"/>
      <c r="AD45" s="59"/>
    </row>
    <row r="46" spans="1:30" ht="12.75" customHeight="1" x14ac:dyDescent="0.2">
      <c r="A46" s="56"/>
      <c r="B46" s="56"/>
      <c r="C46" s="56"/>
      <c r="D46" s="57"/>
      <c r="E46" s="57"/>
      <c r="F46" s="56"/>
      <c r="G46" s="56"/>
      <c r="H46" s="56"/>
      <c r="I46" s="56"/>
      <c r="J46" s="56"/>
      <c r="K46" s="56"/>
      <c r="L46" s="56"/>
      <c r="M46" s="58"/>
      <c r="N46" s="58"/>
      <c r="O46" s="58"/>
      <c r="P46" s="58"/>
      <c r="Q46" s="58"/>
      <c r="R46" s="58"/>
      <c r="S46" s="58"/>
      <c r="T46" s="58"/>
      <c r="U46" s="58"/>
      <c r="V46" s="58"/>
      <c r="W46" s="58"/>
      <c r="X46" s="58"/>
      <c r="Y46" s="58"/>
      <c r="Z46" s="58"/>
      <c r="AA46" s="58"/>
      <c r="AB46" s="58"/>
      <c r="AC46" s="59"/>
      <c r="AD46" s="59"/>
    </row>
    <row r="47" spans="1:30" ht="12.75" customHeight="1" x14ac:dyDescent="0.2">
      <c r="A47" s="56"/>
      <c r="B47" s="56"/>
      <c r="C47" s="56"/>
      <c r="D47" s="57"/>
      <c r="E47" s="57"/>
      <c r="F47" s="56"/>
      <c r="G47" s="56"/>
      <c r="H47" s="56"/>
      <c r="I47" s="56"/>
      <c r="J47" s="56"/>
      <c r="K47" s="56"/>
      <c r="L47" s="56"/>
      <c r="M47" s="58"/>
      <c r="N47" s="58"/>
      <c r="O47" s="58"/>
      <c r="P47" s="58"/>
      <c r="Q47" s="58"/>
      <c r="R47" s="58"/>
      <c r="S47" s="58"/>
      <c r="T47" s="58"/>
      <c r="U47" s="58"/>
      <c r="V47" s="58"/>
      <c r="W47" s="58"/>
      <c r="X47" s="58"/>
      <c r="Y47" s="58"/>
      <c r="Z47" s="58"/>
      <c r="AA47" s="58"/>
      <c r="AB47" s="58"/>
      <c r="AC47" s="59"/>
      <c r="AD47" s="59"/>
    </row>
    <row r="48" spans="1:30" ht="12.75" customHeight="1" x14ac:dyDescent="0.2">
      <c r="A48" s="56"/>
      <c r="B48" s="56"/>
      <c r="C48" s="56"/>
      <c r="D48" s="57"/>
      <c r="E48" s="57"/>
      <c r="F48" s="56"/>
      <c r="G48" s="56"/>
      <c r="H48" s="56"/>
      <c r="I48" s="56"/>
      <c r="J48" s="56"/>
      <c r="K48" s="56"/>
      <c r="L48" s="56"/>
      <c r="M48" s="58"/>
      <c r="N48" s="58"/>
      <c r="O48" s="58"/>
      <c r="P48" s="58"/>
      <c r="Q48" s="58"/>
      <c r="R48" s="58"/>
      <c r="S48" s="58"/>
      <c r="T48" s="58"/>
      <c r="U48" s="58"/>
      <c r="V48" s="58"/>
      <c r="W48" s="58"/>
      <c r="X48" s="58"/>
      <c r="Y48" s="58"/>
      <c r="Z48" s="58"/>
      <c r="AA48" s="58"/>
      <c r="AB48" s="58"/>
      <c r="AC48" s="59"/>
      <c r="AD48" s="59"/>
    </row>
    <row r="49" spans="1:30" ht="12.75" customHeight="1" x14ac:dyDescent="0.2">
      <c r="A49" s="56"/>
      <c r="B49" s="56"/>
      <c r="C49" s="56"/>
      <c r="D49" s="57"/>
      <c r="E49" s="57"/>
      <c r="F49" s="56"/>
      <c r="G49" s="56"/>
      <c r="H49" s="56"/>
      <c r="I49" s="56"/>
      <c r="J49" s="56"/>
      <c r="K49" s="56"/>
      <c r="L49" s="56"/>
      <c r="M49" s="58"/>
      <c r="N49" s="58"/>
      <c r="O49" s="58"/>
      <c r="P49" s="58"/>
      <c r="Q49" s="58"/>
      <c r="R49" s="58"/>
      <c r="S49" s="58"/>
      <c r="T49" s="58"/>
      <c r="U49" s="58"/>
      <c r="V49" s="58"/>
      <c r="W49" s="58"/>
      <c r="X49" s="58"/>
      <c r="Y49" s="58"/>
      <c r="Z49" s="58"/>
      <c r="AA49" s="58"/>
      <c r="AB49" s="58"/>
      <c r="AC49" s="59"/>
      <c r="AD49" s="59"/>
    </row>
    <row r="50" spans="1:30" ht="12.75" customHeight="1" x14ac:dyDescent="0.2">
      <c r="A50" s="56"/>
      <c r="B50" s="56"/>
      <c r="C50" s="56"/>
      <c r="D50" s="57"/>
      <c r="E50" s="57"/>
      <c r="F50" s="56"/>
      <c r="G50" s="56"/>
      <c r="H50" s="56"/>
      <c r="I50" s="56"/>
      <c r="J50" s="56"/>
      <c r="K50" s="56"/>
      <c r="L50" s="56"/>
      <c r="M50" s="58"/>
      <c r="N50" s="58"/>
      <c r="O50" s="58"/>
      <c r="P50" s="58"/>
      <c r="Q50" s="58"/>
      <c r="R50" s="58"/>
      <c r="S50" s="58"/>
      <c r="T50" s="58"/>
      <c r="U50" s="58"/>
      <c r="V50" s="58"/>
      <c r="W50" s="58"/>
      <c r="X50" s="58"/>
      <c r="Y50" s="58"/>
      <c r="Z50" s="58"/>
      <c r="AA50" s="58"/>
      <c r="AB50" s="58"/>
      <c r="AC50" s="59"/>
      <c r="AD50" s="59"/>
    </row>
    <row r="51" spans="1:30" ht="12.75" customHeight="1" x14ac:dyDescent="0.2">
      <c r="A51" s="56"/>
      <c r="B51" s="56"/>
      <c r="C51" s="56"/>
      <c r="D51" s="57"/>
      <c r="E51" s="57"/>
      <c r="F51" s="56"/>
      <c r="G51" s="56"/>
      <c r="H51" s="56"/>
      <c r="I51" s="56"/>
      <c r="J51" s="56"/>
      <c r="K51" s="56"/>
      <c r="L51" s="56"/>
      <c r="M51" s="58"/>
      <c r="N51" s="58"/>
      <c r="O51" s="58"/>
      <c r="P51" s="58"/>
      <c r="Q51" s="58"/>
      <c r="R51" s="58"/>
      <c r="S51" s="58"/>
      <c r="T51" s="58"/>
      <c r="U51" s="58"/>
      <c r="V51" s="58"/>
      <c r="W51" s="58"/>
      <c r="X51" s="58"/>
      <c r="Y51" s="58"/>
      <c r="Z51" s="58"/>
      <c r="AA51" s="58"/>
      <c r="AB51" s="58"/>
      <c r="AC51" s="59"/>
      <c r="AD51" s="59"/>
    </row>
    <row r="52" spans="1:30" ht="12.75" customHeight="1" x14ac:dyDescent="0.2">
      <c r="A52" s="56"/>
      <c r="B52" s="56"/>
      <c r="C52" s="56"/>
      <c r="D52" s="57"/>
      <c r="E52" s="57"/>
      <c r="F52" s="56"/>
      <c r="G52" s="56"/>
      <c r="H52" s="56"/>
      <c r="I52" s="56"/>
      <c r="J52" s="56"/>
      <c r="K52" s="56"/>
      <c r="L52" s="56"/>
      <c r="M52" s="58"/>
      <c r="N52" s="58"/>
      <c r="O52" s="58"/>
      <c r="P52" s="58"/>
      <c r="Q52" s="58"/>
      <c r="R52" s="58"/>
      <c r="S52" s="58"/>
      <c r="T52" s="58"/>
      <c r="U52" s="58"/>
      <c r="V52" s="58"/>
      <c r="W52" s="58"/>
      <c r="X52" s="58"/>
      <c r="Y52" s="58"/>
      <c r="Z52" s="58"/>
      <c r="AA52" s="58"/>
      <c r="AB52" s="58"/>
      <c r="AC52" s="59"/>
      <c r="AD52" s="59"/>
    </row>
    <row r="53" spans="1:30" ht="12.75" customHeight="1" x14ac:dyDescent="0.2">
      <c r="A53" s="56"/>
      <c r="B53" s="56"/>
      <c r="C53" s="56"/>
      <c r="D53" s="57"/>
      <c r="E53" s="57"/>
      <c r="F53" s="56"/>
      <c r="G53" s="56"/>
      <c r="H53" s="56"/>
      <c r="I53" s="56"/>
      <c r="J53" s="56"/>
      <c r="K53" s="56"/>
      <c r="L53" s="56"/>
      <c r="M53" s="58"/>
      <c r="N53" s="58"/>
      <c r="O53" s="58"/>
      <c r="P53" s="58"/>
      <c r="Q53" s="58"/>
      <c r="R53" s="58"/>
      <c r="S53" s="58"/>
      <c r="T53" s="58"/>
      <c r="U53" s="58"/>
      <c r="V53" s="58"/>
      <c r="W53" s="58"/>
      <c r="X53" s="58"/>
      <c r="Y53" s="58"/>
      <c r="Z53" s="58"/>
      <c r="AA53" s="58"/>
      <c r="AB53" s="58"/>
      <c r="AC53" s="59"/>
      <c r="AD53" s="59"/>
    </row>
    <row r="54" spans="1:30" ht="12.75" customHeight="1" x14ac:dyDescent="0.2">
      <c r="A54" s="56"/>
      <c r="B54" s="56"/>
      <c r="C54" s="56"/>
      <c r="D54" s="57"/>
      <c r="E54" s="57"/>
      <c r="F54" s="56"/>
      <c r="G54" s="56"/>
      <c r="H54" s="56"/>
      <c r="I54" s="56"/>
      <c r="J54" s="56"/>
      <c r="K54" s="56"/>
      <c r="L54" s="56"/>
      <c r="M54" s="58"/>
      <c r="N54" s="58"/>
      <c r="O54" s="58"/>
      <c r="P54" s="58"/>
      <c r="Q54" s="58"/>
      <c r="R54" s="58"/>
      <c r="S54" s="58"/>
      <c r="T54" s="58"/>
      <c r="U54" s="58"/>
      <c r="V54" s="58"/>
      <c r="W54" s="58"/>
      <c r="X54" s="58"/>
      <c r="Y54" s="58"/>
      <c r="Z54" s="58"/>
      <c r="AA54" s="58"/>
      <c r="AB54" s="58"/>
      <c r="AC54" s="59"/>
      <c r="AD54" s="59"/>
    </row>
    <row r="55" spans="1:30" ht="12.75" customHeight="1" x14ac:dyDescent="0.2">
      <c r="A55" s="56"/>
      <c r="B55" s="56"/>
      <c r="C55" s="56"/>
      <c r="D55" s="57"/>
      <c r="E55" s="57"/>
      <c r="F55" s="56"/>
      <c r="G55" s="56"/>
      <c r="H55" s="56"/>
      <c r="I55" s="56"/>
      <c r="J55" s="56"/>
      <c r="K55" s="56"/>
      <c r="L55" s="56"/>
      <c r="M55" s="58"/>
      <c r="N55" s="58"/>
      <c r="O55" s="58"/>
      <c r="P55" s="58"/>
      <c r="Q55" s="58"/>
      <c r="R55" s="58"/>
      <c r="S55" s="58"/>
      <c r="T55" s="58"/>
      <c r="U55" s="58"/>
      <c r="V55" s="58"/>
      <c r="W55" s="58"/>
      <c r="X55" s="58"/>
      <c r="Y55" s="58"/>
      <c r="Z55" s="58"/>
      <c r="AA55" s="58"/>
      <c r="AB55" s="58"/>
      <c r="AC55" s="59"/>
      <c r="AD55" s="59"/>
    </row>
    <row r="56" spans="1:30" ht="12.75" customHeight="1" x14ac:dyDescent="0.2">
      <c r="A56" s="56"/>
      <c r="B56" s="56"/>
      <c r="C56" s="56"/>
      <c r="D56" s="57"/>
      <c r="E56" s="57"/>
      <c r="F56" s="56"/>
      <c r="G56" s="56"/>
      <c r="H56" s="56"/>
      <c r="I56" s="56"/>
      <c r="J56" s="56"/>
      <c r="K56" s="56"/>
      <c r="L56" s="56"/>
      <c r="M56" s="58"/>
      <c r="N56" s="58"/>
      <c r="O56" s="58"/>
      <c r="P56" s="58"/>
      <c r="Q56" s="58"/>
      <c r="R56" s="58"/>
      <c r="S56" s="58"/>
      <c r="T56" s="58"/>
      <c r="U56" s="58"/>
      <c r="V56" s="58"/>
      <c r="W56" s="58"/>
      <c r="X56" s="58"/>
      <c r="Y56" s="58"/>
      <c r="Z56" s="58"/>
      <c r="AA56" s="58"/>
      <c r="AB56" s="58"/>
      <c r="AC56" s="59"/>
      <c r="AD56" s="59"/>
    </row>
    <row r="57" spans="1:30" ht="12.75" customHeight="1" x14ac:dyDescent="0.2">
      <c r="A57" s="56"/>
      <c r="B57" s="56"/>
      <c r="C57" s="56"/>
      <c r="D57" s="57"/>
      <c r="E57" s="57"/>
      <c r="F57" s="56"/>
      <c r="G57" s="56"/>
      <c r="H57" s="56"/>
      <c r="I57" s="56"/>
      <c r="J57" s="56"/>
      <c r="K57" s="56"/>
      <c r="L57" s="56"/>
      <c r="M57" s="58"/>
      <c r="N57" s="58"/>
      <c r="O57" s="58"/>
      <c r="P57" s="58"/>
      <c r="Q57" s="58"/>
      <c r="R57" s="58"/>
      <c r="S57" s="58"/>
      <c r="T57" s="58"/>
      <c r="U57" s="58"/>
      <c r="V57" s="58"/>
      <c r="W57" s="58"/>
      <c r="X57" s="58"/>
      <c r="Y57" s="58"/>
      <c r="Z57" s="58"/>
      <c r="AA57" s="58"/>
      <c r="AB57" s="58"/>
      <c r="AC57" s="59"/>
      <c r="AD57" s="59"/>
    </row>
    <row r="58" spans="1:30" ht="12.75" customHeight="1" x14ac:dyDescent="0.2">
      <c r="A58" s="56"/>
      <c r="B58" s="56"/>
      <c r="C58" s="56"/>
      <c r="D58" s="57"/>
      <c r="E58" s="57"/>
      <c r="F58" s="56"/>
      <c r="G58" s="56"/>
      <c r="H58" s="56"/>
      <c r="I58" s="56"/>
      <c r="J58" s="56"/>
      <c r="K58" s="56"/>
      <c r="L58" s="56"/>
      <c r="M58" s="58"/>
      <c r="N58" s="58"/>
      <c r="O58" s="58"/>
      <c r="P58" s="58"/>
      <c r="Q58" s="58"/>
      <c r="R58" s="58"/>
      <c r="S58" s="58"/>
      <c r="T58" s="58"/>
      <c r="U58" s="58"/>
      <c r="V58" s="58"/>
      <c r="W58" s="58"/>
      <c r="X58" s="58"/>
      <c r="Y58" s="58"/>
      <c r="Z58" s="58"/>
      <c r="AA58" s="58"/>
      <c r="AB58" s="58"/>
      <c r="AC58" s="59"/>
      <c r="AD58" s="59"/>
    </row>
    <row r="59" spans="1:30" ht="12.75" customHeight="1" x14ac:dyDescent="0.2">
      <c r="A59" s="56"/>
      <c r="B59" s="56"/>
      <c r="C59" s="56"/>
      <c r="D59" s="57"/>
      <c r="E59" s="57"/>
      <c r="F59" s="56"/>
      <c r="G59" s="56"/>
      <c r="H59" s="56"/>
      <c r="I59" s="56"/>
      <c r="J59" s="56"/>
      <c r="K59" s="56"/>
      <c r="L59" s="56"/>
      <c r="M59" s="58"/>
      <c r="N59" s="58"/>
      <c r="O59" s="58"/>
      <c r="P59" s="58"/>
      <c r="Q59" s="58"/>
      <c r="R59" s="58"/>
      <c r="S59" s="58"/>
      <c r="T59" s="58"/>
      <c r="U59" s="58"/>
      <c r="V59" s="58"/>
      <c r="W59" s="58"/>
      <c r="X59" s="58"/>
      <c r="Y59" s="58"/>
      <c r="Z59" s="58"/>
      <c r="AA59" s="58"/>
      <c r="AB59" s="58"/>
      <c r="AC59" s="59"/>
      <c r="AD59" s="59"/>
    </row>
    <row r="60" spans="1:30" ht="12.75" customHeight="1" x14ac:dyDescent="0.2">
      <c r="A60" s="56"/>
      <c r="B60" s="56"/>
      <c r="C60" s="56"/>
      <c r="D60" s="57"/>
      <c r="E60" s="57"/>
      <c r="F60" s="56"/>
      <c r="G60" s="56"/>
      <c r="H60" s="56"/>
      <c r="I60" s="56"/>
      <c r="J60" s="56"/>
      <c r="K60" s="56"/>
      <c r="L60" s="56"/>
      <c r="M60" s="58"/>
      <c r="N60" s="58"/>
      <c r="O60" s="58"/>
      <c r="P60" s="58"/>
      <c r="Q60" s="58"/>
      <c r="R60" s="58"/>
      <c r="S60" s="58"/>
      <c r="T60" s="58"/>
      <c r="U60" s="58"/>
      <c r="V60" s="58"/>
      <c r="W60" s="58"/>
      <c r="X60" s="58"/>
      <c r="Y60" s="58"/>
      <c r="Z60" s="58"/>
      <c r="AA60" s="58"/>
      <c r="AB60" s="58"/>
      <c r="AC60" s="59"/>
      <c r="AD60" s="59"/>
    </row>
    <row r="61" spans="1:30" ht="12.75" customHeight="1" x14ac:dyDescent="0.2">
      <c r="A61" s="56"/>
      <c r="B61" s="56"/>
      <c r="C61" s="56"/>
      <c r="D61" s="57"/>
      <c r="E61" s="57"/>
      <c r="F61" s="56"/>
      <c r="G61" s="56"/>
      <c r="H61" s="56"/>
      <c r="I61" s="56"/>
      <c r="J61" s="56"/>
      <c r="K61" s="56"/>
      <c r="L61" s="56"/>
      <c r="M61" s="58"/>
      <c r="N61" s="58"/>
      <c r="O61" s="58"/>
      <c r="P61" s="58"/>
      <c r="Q61" s="58"/>
      <c r="R61" s="58"/>
      <c r="S61" s="58"/>
      <c r="T61" s="58"/>
      <c r="U61" s="58"/>
      <c r="V61" s="58"/>
      <c r="W61" s="58"/>
      <c r="X61" s="58"/>
      <c r="Y61" s="58"/>
      <c r="Z61" s="58"/>
      <c r="AA61" s="58"/>
      <c r="AB61" s="58"/>
      <c r="AC61" s="59"/>
      <c r="AD61" s="59"/>
    </row>
    <row r="62" spans="1:30" ht="12.75" customHeight="1" x14ac:dyDescent="0.2">
      <c r="A62" s="56"/>
      <c r="B62" s="56"/>
      <c r="C62" s="56"/>
      <c r="D62" s="57"/>
      <c r="E62" s="57"/>
      <c r="F62" s="56"/>
      <c r="G62" s="56"/>
      <c r="H62" s="56"/>
      <c r="I62" s="56"/>
      <c r="J62" s="56"/>
      <c r="K62" s="56"/>
      <c r="L62" s="56"/>
      <c r="M62" s="58"/>
      <c r="N62" s="58"/>
      <c r="O62" s="58"/>
      <c r="P62" s="58"/>
      <c r="Q62" s="58"/>
      <c r="R62" s="58"/>
      <c r="S62" s="58"/>
      <c r="T62" s="58"/>
      <c r="U62" s="58"/>
      <c r="V62" s="58"/>
      <c r="W62" s="58"/>
      <c r="X62" s="58"/>
      <c r="Y62" s="58"/>
      <c r="Z62" s="58"/>
      <c r="AA62" s="58"/>
      <c r="AB62" s="58"/>
      <c r="AC62" s="59"/>
      <c r="AD62" s="59"/>
    </row>
    <row r="63" spans="1:30" ht="12.75" customHeight="1" x14ac:dyDescent="0.2">
      <c r="A63" s="56"/>
      <c r="B63" s="56"/>
      <c r="C63" s="56"/>
      <c r="D63" s="57"/>
      <c r="E63" s="57"/>
      <c r="F63" s="56"/>
      <c r="G63" s="56"/>
      <c r="H63" s="56"/>
      <c r="I63" s="56"/>
      <c r="J63" s="56"/>
      <c r="K63" s="56"/>
      <c r="L63" s="56"/>
      <c r="M63" s="58"/>
      <c r="N63" s="58"/>
      <c r="O63" s="58"/>
      <c r="P63" s="58"/>
      <c r="Q63" s="58"/>
      <c r="R63" s="58"/>
      <c r="S63" s="58"/>
      <c r="T63" s="58"/>
      <c r="U63" s="58"/>
      <c r="V63" s="58"/>
      <c r="W63" s="58"/>
      <c r="X63" s="58"/>
      <c r="Y63" s="58"/>
      <c r="Z63" s="58"/>
      <c r="AA63" s="58"/>
      <c r="AB63" s="58"/>
      <c r="AC63" s="59"/>
      <c r="AD63" s="59"/>
    </row>
    <row r="64" spans="1:30" ht="12.75" customHeight="1" x14ac:dyDescent="0.2">
      <c r="A64" s="56"/>
      <c r="B64" s="56"/>
      <c r="C64" s="56"/>
      <c r="D64" s="57"/>
      <c r="E64" s="57"/>
      <c r="F64" s="56"/>
      <c r="G64" s="56"/>
      <c r="H64" s="56"/>
      <c r="I64" s="56"/>
      <c r="J64" s="56"/>
      <c r="K64" s="56"/>
      <c r="L64" s="56"/>
      <c r="M64" s="58"/>
      <c r="N64" s="58"/>
      <c r="O64" s="58"/>
      <c r="P64" s="58"/>
      <c r="Q64" s="58"/>
      <c r="R64" s="58"/>
      <c r="S64" s="58"/>
      <c r="T64" s="58"/>
      <c r="U64" s="58"/>
      <c r="V64" s="58"/>
      <c r="W64" s="58"/>
      <c r="X64" s="58"/>
      <c r="Y64" s="58"/>
      <c r="Z64" s="58"/>
      <c r="AA64" s="58"/>
      <c r="AB64" s="58"/>
      <c r="AC64" s="59"/>
      <c r="AD64" s="59"/>
    </row>
    <row r="65" spans="1:30" ht="12.75" customHeight="1" x14ac:dyDescent="0.2">
      <c r="A65" s="56"/>
      <c r="B65" s="56"/>
      <c r="C65" s="56"/>
      <c r="D65" s="57"/>
      <c r="E65" s="57"/>
      <c r="F65" s="56"/>
      <c r="G65" s="56"/>
      <c r="H65" s="56"/>
      <c r="I65" s="56"/>
      <c r="J65" s="56"/>
      <c r="K65" s="56"/>
      <c r="L65" s="56"/>
      <c r="M65" s="58"/>
      <c r="N65" s="58"/>
      <c r="O65" s="58"/>
      <c r="P65" s="58"/>
      <c r="Q65" s="58"/>
      <c r="R65" s="58"/>
      <c r="S65" s="58"/>
      <c r="T65" s="58"/>
      <c r="U65" s="58"/>
      <c r="V65" s="58"/>
      <c r="W65" s="58"/>
      <c r="X65" s="58"/>
      <c r="Y65" s="58"/>
      <c r="Z65" s="58"/>
      <c r="AA65" s="58"/>
      <c r="AB65" s="58"/>
      <c r="AC65" s="59"/>
      <c r="AD65" s="59"/>
    </row>
    <row r="66" spans="1:30" ht="12.75" customHeight="1" x14ac:dyDescent="0.2">
      <c r="A66" s="56"/>
      <c r="B66" s="56"/>
      <c r="C66" s="56"/>
      <c r="D66" s="57"/>
      <c r="E66" s="57"/>
      <c r="F66" s="56"/>
      <c r="G66" s="56"/>
      <c r="H66" s="56"/>
      <c r="I66" s="56"/>
      <c r="J66" s="56"/>
      <c r="K66" s="56"/>
      <c r="L66" s="56"/>
      <c r="M66" s="58"/>
      <c r="N66" s="58"/>
      <c r="O66" s="58"/>
      <c r="P66" s="58"/>
      <c r="Q66" s="58"/>
      <c r="R66" s="58"/>
      <c r="S66" s="58"/>
      <c r="T66" s="58"/>
      <c r="U66" s="58"/>
      <c r="V66" s="58"/>
      <c r="W66" s="58"/>
      <c r="X66" s="58"/>
      <c r="Y66" s="58"/>
      <c r="Z66" s="58"/>
      <c r="AA66" s="58"/>
      <c r="AB66" s="58"/>
      <c r="AC66" s="59"/>
      <c r="AD66" s="59"/>
    </row>
    <row r="67" spans="1:30" ht="12.75" customHeight="1" x14ac:dyDescent="0.2">
      <c r="A67" s="56"/>
      <c r="B67" s="56"/>
      <c r="C67" s="56"/>
      <c r="D67" s="57"/>
      <c r="E67" s="57"/>
      <c r="F67" s="56"/>
      <c r="G67" s="56"/>
      <c r="H67" s="56"/>
      <c r="I67" s="56"/>
      <c r="J67" s="56"/>
      <c r="K67" s="56"/>
      <c r="L67" s="56"/>
      <c r="M67" s="58"/>
      <c r="N67" s="58"/>
      <c r="O67" s="58"/>
      <c r="P67" s="58"/>
      <c r="Q67" s="58"/>
      <c r="R67" s="58"/>
      <c r="S67" s="58"/>
      <c r="T67" s="58"/>
      <c r="U67" s="58"/>
      <c r="V67" s="58"/>
      <c r="W67" s="58"/>
      <c r="X67" s="58"/>
      <c r="Y67" s="58"/>
      <c r="Z67" s="58"/>
      <c r="AA67" s="58"/>
      <c r="AB67" s="58"/>
      <c r="AC67" s="59"/>
      <c r="AD67" s="59"/>
    </row>
    <row r="68" spans="1:30" ht="12.75" customHeight="1" x14ac:dyDescent="0.2">
      <c r="A68" s="56"/>
      <c r="B68" s="56"/>
      <c r="C68" s="56"/>
      <c r="D68" s="57"/>
      <c r="E68" s="57"/>
      <c r="F68" s="56"/>
      <c r="G68" s="56"/>
      <c r="H68" s="56"/>
      <c r="I68" s="56"/>
      <c r="J68" s="56"/>
      <c r="K68" s="56"/>
      <c r="L68" s="56"/>
      <c r="M68" s="58"/>
      <c r="N68" s="58"/>
      <c r="O68" s="58"/>
      <c r="P68" s="58"/>
      <c r="Q68" s="58"/>
      <c r="R68" s="58"/>
      <c r="S68" s="58"/>
      <c r="T68" s="58"/>
      <c r="U68" s="58"/>
      <c r="V68" s="58"/>
      <c r="W68" s="58"/>
      <c r="X68" s="58"/>
      <c r="Y68" s="58"/>
      <c r="Z68" s="58"/>
      <c r="AA68" s="58"/>
      <c r="AB68" s="58"/>
      <c r="AC68" s="59"/>
      <c r="AD68" s="59"/>
    </row>
    <row r="69" spans="1:30" ht="12.75" customHeight="1" x14ac:dyDescent="0.2">
      <c r="A69" s="56"/>
      <c r="B69" s="56"/>
      <c r="C69" s="56"/>
      <c r="D69" s="57"/>
      <c r="E69" s="57"/>
      <c r="F69" s="56"/>
      <c r="G69" s="56"/>
      <c r="H69" s="56"/>
      <c r="I69" s="56"/>
      <c r="J69" s="56"/>
      <c r="K69" s="56"/>
      <c r="L69" s="56"/>
      <c r="M69" s="58"/>
      <c r="N69" s="58"/>
      <c r="O69" s="58"/>
      <c r="P69" s="58"/>
      <c r="Q69" s="58"/>
      <c r="R69" s="58"/>
      <c r="S69" s="58"/>
      <c r="T69" s="58"/>
      <c r="U69" s="58"/>
      <c r="V69" s="58"/>
      <c r="W69" s="58"/>
      <c r="X69" s="58"/>
      <c r="Y69" s="58"/>
      <c r="Z69" s="58"/>
      <c r="AA69" s="58"/>
      <c r="AB69" s="58"/>
      <c r="AC69" s="59"/>
      <c r="AD69" s="59"/>
    </row>
    <row r="70" spans="1:30" ht="12.75" customHeight="1" x14ac:dyDescent="0.2">
      <c r="A70" s="56"/>
      <c r="B70" s="56"/>
      <c r="C70" s="56"/>
      <c r="D70" s="57"/>
      <c r="E70" s="57"/>
      <c r="F70" s="56"/>
      <c r="G70" s="56"/>
      <c r="H70" s="56"/>
      <c r="I70" s="56"/>
      <c r="J70" s="56"/>
      <c r="K70" s="56"/>
      <c r="L70" s="56"/>
      <c r="M70" s="58"/>
      <c r="N70" s="58"/>
      <c r="O70" s="58"/>
      <c r="P70" s="58"/>
      <c r="Q70" s="58"/>
      <c r="R70" s="58"/>
      <c r="S70" s="58"/>
      <c r="T70" s="58"/>
      <c r="U70" s="58"/>
      <c r="V70" s="58"/>
      <c r="W70" s="58"/>
      <c r="X70" s="58"/>
      <c r="Y70" s="58"/>
      <c r="Z70" s="58"/>
      <c r="AA70" s="58"/>
      <c r="AB70" s="58"/>
      <c r="AC70" s="59"/>
      <c r="AD70" s="59"/>
    </row>
    <row r="71" spans="1:30" ht="12.75" customHeight="1" x14ac:dyDescent="0.2">
      <c r="A71" s="56"/>
      <c r="B71" s="56"/>
      <c r="C71" s="56"/>
      <c r="D71" s="57"/>
      <c r="E71" s="57"/>
      <c r="F71" s="56"/>
      <c r="G71" s="56"/>
      <c r="H71" s="56"/>
      <c r="I71" s="56"/>
      <c r="J71" s="56"/>
      <c r="K71" s="56"/>
      <c r="L71" s="56"/>
      <c r="M71" s="58"/>
      <c r="N71" s="58"/>
      <c r="O71" s="58"/>
      <c r="P71" s="58"/>
      <c r="Q71" s="58"/>
      <c r="R71" s="58"/>
      <c r="S71" s="58"/>
      <c r="T71" s="58"/>
      <c r="U71" s="58"/>
      <c r="V71" s="58"/>
      <c r="W71" s="58"/>
      <c r="X71" s="58"/>
      <c r="Y71" s="58"/>
      <c r="Z71" s="58"/>
      <c r="AA71" s="58"/>
      <c r="AB71" s="58"/>
      <c r="AC71" s="59"/>
      <c r="AD71" s="59"/>
    </row>
    <row r="72" spans="1:30" ht="12.75" customHeight="1" x14ac:dyDescent="0.2">
      <c r="A72" s="56"/>
      <c r="B72" s="56"/>
      <c r="C72" s="56"/>
      <c r="D72" s="57"/>
      <c r="E72" s="57"/>
      <c r="F72" s="56"/>
      <c r="G72" s="56"/>
      <c r="H72" s="56"/>
      <c r="I72" s="56"/>
      <c r="J72" s="56"/>
      <c r="K72" s="56"/>
      <c r="L72" s="56"/>
      <c r="M72" s="58"/>
      <c r="N72" s="58"/>
      <c r="O72" s="58"/>
      <c r="P72" s="58"/>
      <c r="Q72" s="58"/>
      <c r="R72" s="58"/>
      <c r="S72" s="58"/>
      <c r="T72" s="58"/>
      <c r="U72" s="58"/>
      <c r="V72" s="58"/>
      <c r="W72" s="58"/>
      <c r="X72" s="58"/>
      <c r="Y72" s="58"/>
      <c r="Z72" s="58"/>
      <c r="AA72" s="58"/>
      <c r="AB72" s="58"/>
      <c r="AC72" s="59"/>
      <c r="AD72" s="59"/>
    </row>
    <row r="73" spans="1:30" ht="12.75" customHeight="1" x14ac:dyDescent="0.2">
      <c r="A73" s="56"/>
      <c r="B73" s="56"/>
      <c r="C73" s="56"/>
      <c r="D73" s="57"/>
      <c r="E73" s="57"/>
      <c r="F73" s="56"/>
      <c r="G73" s="56"/>
      <c r="H73" s="56"/>
      <c r="I73" s="56"/>
      <c r="J73" s="56"/>
      <c r="K73" s="56"/>
      <c r="L73" s="56"/>
      <c r="M73" s="58"/>
      <c r="N73" s="58"/>
      <c r="O73" s="58"/>
      <c r="P73" s="58"/>
      <c r="Q73" s="58"/>
      <c r="R73" s="58"/>
      <c r="S73" s="58"/>
      <c r="T73" s="58"/>
      <c r="U73" s="58"/>
      <c r="V73" s="58"/>
      <c r="W73" s="58"/>
      <c r="X73" s="58"/>
      <c r="Y73" s="58"/>
      <c r="Z73" s="58"/>
      <c r="AA73" s="58"/>
      <c r="AB73" s="58"/>
      <c r="AC73" s="59"/>
      <c r="AD73" s="59"/>
    </row>
    <row r="74" spans="1:30" ht="12.75" customHeight="1" x14ac:dyDescent="0.2">
      <c r="A74" s="56"/>
      <c r="B74" s="56"/>
      <c r="C74" s="56"/>
      <c r="D74" s="57"/>
      <c r="E74" s="57"/>
      <c r="F74" s="56"/>
      <c r="G74" s="56"/>
      <c r="H74" s="56"/>
      <c r="I74" s="56"/>
      <c r="J74" s="56"/>
      <c r="K74" s="56"/>
      <c r="L74" s="56"/>
      <c r="M74" s="58"/>
      <c r="N74" s="58"/>
      <c r="O74" s="58"/>
      <c r="P74" s="58"/>
      <c r="Q74" s="58"/>
      <c r="R74" s="58"/>
      <c r="S74" s="58"/>
      <c r="T74" s="58"/>
      <c r="U74" s="58"/>
      <c r="V74" s="58"/>
      <c r="W74" s="58"/>
      <c r="X74" s="58"/>
      <c r="Y74" s="58"/>
      <c r="Z74" s="58"/>
      <c r="AA74" s="58"/>
      <c r="AB74" s="58"/>
      <c r="AC74" s="59"/>
      <c r="AD74" s="59"/>
    </row>
    <row r="75" spans="1:30" ht="12.75" customHeight="1" x14ac:dyDescent="0.2">
      <c r="A75" s="56"/>
      <c r="B75" s="56"/>
      <c r="C75" s="56"/>
      <c r="D75" s="57"/>
      <c r="E75" s="57"/>
      <c r="F75" s="56"/>
      <c r="G75" s="56"/>
      <c r="H75" s="56"/>
      <c r="I75" s="56"/>
      <c r="J75" s="56"/>
      <c r="K75" s="56"/>
      <c r="L75" s="56"/>
      <c r="M75" s="58"/>
      <c r="N75" s="58"/>
      <c r="O75" s="58"/>
      <c r="P75" s="58"/>
      <c r="Q75" s="58"/>
      <c r="R75" s="58"/>
      <c r="S75" s="58"/>
      <c r="T75" s="58"/>
      <c r="U75" s="58"/>
      <c r="V75" s="58"/>
      <c r="W75" s="58"/>
      <c r="X75" s="58"/>
      <c r="Y75" s="58"/>
      <c r="Z75" s="58"/>
      <c r="AA75" s="58"/>
      <c r="AB75" s="58"/>
      <c r="AC75" s="59"/>
      <c r="AD75" s="59"/>
    </row>
    <row r="76" spans="1:30" ht="12.75" customHeight="1" x14ac:dyDescent="0.2">
      <c r="A76" s="56"/>
      <c r="B76" s="56"/>
      <c r="C76" s="56"/>
      <c r="D76" s="57"/>
      <c r="E76" s="57"/>
      <c r="F76" s="56"/>
      <c r="G76" s="56"/>
      <c r="H76" s="56"/>
      <c r="I76" s="56"/>
      <c r="J76" s="56"/>
      <c r="K76" s="56"/>
      <c r="L76" s="56"/>
      <c r="M76" s="58"/>
      <c r="N76" s="58"/>
      <c r="O76" s="58"/>
      <c r="P76" s="58"/>
      <c r="Q76" s="58"/>
      <c r="R76" s="58"/>
      <c r="S76" s="58"/>
      <c r="T76" s="58"/>
      <c r="U76" s="58"/>
      <c r="V76" s="58"/>
      <c r="W76" s="58"/>
      <c r="X76" s="58"/>
      <c r="Y76" s="58"/>
      <c r="Z76" s="58"/>
      <c r="AA76" s="58"/>
      <c r="AB76" s="58"/>
      <c r="AC76" s="59"/>
      <c r="AD76" s="59"/>
    </row>
    <row r="77" spans="1:30" ht="12.75" customHeight="1" x14ac:dyDescent="0.2">
      <c r="A77" s="56"/>
      <c r="B77" s="56"/>
      <c r="C77" s="56"/>
      <c r="D77" s="57"/>
      <c r="E77" s="57"/>
      <c r="F77" s="56"/>
      <c r="G77" s="56"/>
      <c r="H77" s="56"/>
      <c r="I77" s="56"/>
      <c r="J77" s="56"/>
      <c r="K77" s="56"/>
      <c r="L77" s="56"/>
      <c r="M77" s="58"/>
      <c r="N77" s="58"/>
      <c r="O77" s="58"/>
      <c r="P77" s="58"/>
      <c r="Q77" s="58"/>
      <c r="R77" s="58"/>
      <c r="S77" s="58"/>
      <c r="T77" s="58"/>
      <c r="U77" s="58"/>
      <c r="V77" s="58"/>
      <c r="W77" s="58"/>
      <c r="X77" s="58"/>
      <c r="Y77" s="58"/>
      <c r="Z77" s="58"/>
      <c r="AA77" s="58"/>
      <c r="AB77" s="58"/>
      <c r="AC77" s="59"/>
      <c r="AD77" s="59"/>
    </row>
    <row r="78" spans="1:30" ht="12.75" customHeight="1" x14ac:dyDescent="0.2">
      <c r="A78" s="56"/>
      <c r="B78" s="56"/>
      <c r="C78" s="56"/>
      <c r="D78" s="57"/>
      <c r="E78" s="57"/>
      <c r="F78" s="56"/>
      <c r="G78" s="56"/>
      <c r="H78" s="56"/>
      <c r="I78" s="56"/>
      <c r="J78" s="56"/>
      <c r="K78" s="56"/>
      <c r="L78" s="56"/>
      <c r="M78" s="58"/>
      <c r="N78" s="58"/>
      <c r="O78" s="58"/>
      <c r="P78" s="58"/>
      <c r="Q78" s="58"/>
      <c r="R78" s="58"/>
      <c r="S78" s="58"/>
      <c r="T78" s="58"/>
      <c r="U78" s="58"/>
      <c r="V78" s="58"/>
      <c r="W78" s="58"/>
      <c r="X78" s="58"/>
      <c r="Y78" s="58"/>
      <c r="Z78" s="58"/>
      <c r="AA78" s="58"/>
      <c r="AB78" s="58"/>
      <c r="AC78" s="59"/>
      <c r="AD78" s="59"/>
    </row>
    <row r="79" spans="1:30" ht="12.75" customHeight="1" x14ac:dyDescent="0.2">
      <c r="A79" s="56"/>
      <c r="B79" s="56"/>
      <c r="C79" s="56"/>
      <c r="D79" s="57"/>
      <c r="E79" s="57"/>
      <c r="F79" s="56"/>
      <c r="G79" s="56"/>
      <c r="H79" s="56"/>
      <c r="I79" s="56"/>
      <c r="J79" s="56"/>
      <c r="K79" s="56"/>
      <c r="L79" s="56"/>
      <c r="M79" s="58"/>
      <c r="N79" s="58"/>
      <c r="O79" s="58"/>
      <c r="P79" s="58"/>
      <c r="Q79" s="58"/>
      <c r="R79" s="58"/>
      <c r="S79" s="58"/>
      <c r="T79" s="58"/>
      <c r="U79" s="58"/>
      <c r="V79" s="58"/>
      <c r="W79" s="58"/>
      <c r="X79" s="58"/>
      <c r="Y79" s="58"/>
      <c r="Z79" s="58"/>
      <c r="AA79" s="58"/>
      <c r="AB79" s="58"/>
      <c r="AC79" s="59"/>
      <c r="AD79" s="59"/>
    </row>
    <row r="80" spans="1:30" ht="12.75" customHeight="1" x14ac:dyDescent="0.2">
      <c r="A80" s="56"/>
      <c r="B80" s="56"/>
      <c r="C80" s="56"/>
      <c r="D80" s="57"/>
      <c r="E80" s="57"/>
      <c r="F80" s="56"/>
      <c r="G80" s="56"/>
      <c r="H80" s="56"/>
      <c r="I80" s="56"/>
      <c r="J80" s="56"/>
      <c r="K80" s="56"/>
      <c r="L80" s="56"/>
      <c r="M80" s="58"/>
      <c r="N80" s="58"/>
      <c r="O80" s="58"/>
      <c r="P80" s="58"/>
      <c r="Q80" s="58"/>
      <c r="R80" s="58"/>
      <c r="S80" s="58"/>
      <c r="T80" s="58"/>
      <c r="U80" s="58"/>
      <c r="V80" s="58"/>
      <c r="W80" s="58"/>
      <c r="X80" s="58"/>
      <c r="Y80" s="58"/>
      <c r="Z80" s="58"/>
      <c r="AA80" s="58"/>
      <c r="AB80" s="58"/>
      <c r="AC80" s="59"/>
      <c r="AD80" s="59"/>
    </row>
    <row r="81" spans="1:30" ht="12.75" customHeight="1" x14ac:dyDescent="0.2">
      <c r="A81" s="56"/>
      <c r="B81" s="56"/>
      <c r="C81" s="56"/>
      <c r="D81" s="57"/>
      <c r="E81" s="57"/>
      <c r="F81" s="56"/>
      <c r="G81" s="56"/>
      <c r="H81" s="56"/>
      <c r="I81" s="56"/>
      <c r="J81" s="56"/>
      <c r="K81" s="56"/>
      <c r="L81" s="56"/>
      <c r="M81" s="58"/>
      <c r="N81" s="58"/>
      <c r="O81" s="58"/>
      <c r="P81" s="58"/>
      <c r="Q81" s="58"/>
      <c r="R81" s="58"/>
      <c r="S81" s="58"/>
      <c r="T81" s="58"/>
      <c r="U81" s="58"/>
      <c r="V81" s="58"/>
      <c r="W81" s="58"/>
      <c r="X81" s="58"/>
      <c r="Y81" s="58"/>
      <c r="Z81" s="58"/>
      <c r="AA81" s="58"/>
      <c r="AB81" s="58"/>
      <c r="AC81" s="59"/>
      <c r="AD81" s="59"/>
    </row>
    <row r="82" spans="1:30" ht="12.75" customHeight="1" x14ac:dyDescent="0.2">
      <c r="A82" s="56"/>
      <c r="B82" s="56"/>
      <c r="C82" s="56"/>
      <c r="D82" s="57"/>
      <c r="E82" s="57"/>
      <c r="F82" s="56"/>
      <c r="G82" s="56"/>
      <c r="H82" s="56"/>
      <c r="I82" s="56"/>
      <c r="J82" s="56"/>
      <c r="K82" s="56"/>
      <c r="L82" s="56"/>
      <c r="M82" s="58"/>
      <c r="N82" s="58"/>
      <c r="O82" s="58"/>
      <c r="P82" s="58"/>
      <c r="Q82" s="58"/>
      <c r="R82" s="58"/>
      <c r="S82" s="58"/>
      <c r="T82" s="58"/>
      <c r="U82" s="58"/>
      <c r="V82" s="58"/>
      <c r="W82" s="58"/>
      <c r="X82" s="58"/>
      <c r="Y82" s="58"/>
      <c r="Z82" s="58"/>
      <c r="AA82" s="58"/>
      <c r="AB82" s="58"/>
      <c r="AC82" s="59"/>
      <c r="AD82" s="59"/>
    </row>
    <row r="83" spans="1:30" ht="12.75" customHeight="1" x14ac:dyDescent="0.2">
      <c r="A83" s="56"/>
      <c r="B83" s="56"/>
      <c r="C83" s="56"/>
      <c r="D83" s="57"/>
      <c r="E83" s="57"/>
      <c r="F83" s="56"/>
      <c r="G83" s="56"/>
      <c r="H83" s="56"/>
      <c r="I83" s="56"/>
      <c r="J83" s="56"/>
      <c r="K83" s="56"/>
      <c r="L83" s="56"/>
      <c r="M83" s="58"/>
      <c r="N83" s="58"/>
      <c r="O83" s="58"/>
      <c r="P83" s="58"/>
      <c r="Q83" s="58"/>
      <c r="R83" s="58"/>
      <c r="S83" s="58"/>
      <c r="T83" s="58"/>
      <c r="U83" s="58"/>
      <c r="V83" s="58"/>
      <c r="W83" s="58"/>
      <c r="X83" s="58"/>
      <c r="Y83" s="58"/>
      <c r="Z83" s="58"/>
      <c r="AA83" s="58"/>
      <c r="AB83" s="58"/>
      <c r="AC83" s="59"/>
      <c r="AD83" s="59"/>
    </row>
    <row r="84" spans="1:30" ht="12.75" customHeight="1" x14ac:dyDescent="0.2">
      <c r="A84" s="56"/>
      <c r="B84" s="56"/>
      <c r="C84" s="56"/>
      <c r="D84" s="57"/>
      <c r="E84" s="57"/>
      <c r="F84" s="56"/>
      <c r="G84" s="56"/>
      <c r="H84" s="56"/>
      <c r="I84" s="56"/>
      <c r="J84" s="56"/>
      <c r="K84" s="56"/>
      <c r="L84" s="56"/>
      <c r="M84" s="58"/>
      <c r="N84" s="58"/>
      <c r="O84" s="58"/>
      <c r="P84" s="58"/>
      <c r="Q84" s="58"/>
      <c r="R84" s="58"/>
      <c r="S84" s="58"/>
      <c r="T84" s="58"/>
      <c r="U84" s="58"/>
      <c r="V84" s="58"/>
      <c r="W84" s="58"/>
      <c r="X84" s="58"/>
      <c r="Y84" s="58"/>
      <c r="Z84" s="58"/>
      <c r="AA84" s="58"/>
      <c r="AB84" s="58"/>
      <c r="AC84" s="59"/>
      <c r="AD84" s="59"/>
    </row>
    <row r="85" spans="1:30" ht="12.75" customHeight="1" x14ac:dyDescent="0.2">
      <c r="A85" s="56"/>
      <c r="B85" s="56"/>
      <c r="C85" s="56"/>
      <c r="D85" s="57"/>
      <c r="E85" s="57"/>
      <c r="F85" s="56"/>
      <c r="G85" s="56"/>
      <c r="H85" s="56"/>
      <c r="I85" s="56"/>
      <c r="J85" s="56"/>
      <c r="K85" s="56"/>
      <c r="L85" s="56"/>
      <c r="M85" s="58"/>
      <c r="N85" s="58"/>
      <c r="O85" s="58"/>
      <c r="P85" s="58"/>
      <c r="Q85" s="58"/>
      <c r="R85" s="58"/>
      <c r="S85" s="58"/>
      <c r="T85" s="58"/>
      <c r="U85" s="58"/>
      <c r="V85" s="58"/>
      <c r="W85" s="58"/>
      <c r="X85" s="58"/>
      <c r="Y85" s="58"/>
      <c r="Z85" s="58"/>
      <c r="AA85" s="58"/>
      <c r="AB85" s="58"/>
      <c r="AC85" s="59"/>
      <c r="AD85" s="59"/>
    </row>
    <row r="86" spans="1:30" ht="12.75" customHeight="1" x14ac:dyDescent="0.2">
      <c r="A86" s="56"/>
      <c r="B86" s="56"/>
      <c r="C86" s="56"/>
      <c r="D86" s="57"/>
      <c r="E86" s="57"/>
      <c r="F86" s="56"/>
      <c r="G86" s="56"/>
      <c r="H86" s="56"/>
      <c r="I86" s="56"/>
      <c r="J86" s="56"/>
      <c r="K86" s="56"/>
      <c r="L86" s="56"/>
      <c r="M86" s="58"/>
      <c r="N86" s="58"/>
      <c r="O86" s="58"/>
      <c r="P86" s="58"/>
      <c r="Q86" s="58"/>
      <c r="R86" s="58"/>
      <c r="S86" s="58"/>
      <c r="T86" s="58"/>
      <c r="U86" s="58"/>
      <c r="V86" s="58"/>
      <c r="W86" s="58"/>
      <c r="X86" s="58"/>
      <c r="Y86" s="58"/>
      <c r="Z86" s="58"/>
      <c r="AA86" s="58"/>
      <c r="AB86" s="58"/>
      <c r="AC86" s="59"/>
      <c r="AD86" s="59"/>
    </row>
    <row r="87" spans="1:30" ht="12.75" customHeight="1" x14ac:dyDescent="0.2">
      <c r="A87" s="56"/>
      <c r="B87" s="56"/>
      <c r="C87" s="56"/>
      <c r="D87" s="57"/>
      <c r="E87" s="57"/>
      <c r="F87" s="56"/>
      <c r="G87" s="56"/>
      <c r="H87" s="56"/>
      <c r="I87" s="56"/>
      <c r="J87" s="56"/>
      <c r="K87" s="56"/>
      <c r="L87" s="56"/>
      <c r="M87" s="58"/>
      <c r="N87" s="58"/>
      <c r="O87" s="58"/>
      <c r="P87" s="58"/>
      <c r="Q87" s="58"/>
      <c r="R87" s="58"/>
      <c r="S87" s="58"/>
      <c r="T87" s="58"/>
      <c r="U87" s="58"/>
      <c r="V87" s="58"/>
      <c r="W87" s="58"/>
      <c r="X87" s="58"/>
      <c r="Y87" s="58"/>
      <c r="Z87" s="58"/>
      <c r="AA87" s="58"/>
      <c r="AB87" s="58"/>
      <c r="AC87" s="59"/>
      <c r="AD87" s="59"/>
    </row>
    <row r="88" spans="1:30" ht="12.75" customHeight="1" x14ac:dyDescent="0.2">
      <c r="A88" s="56"/>
      <c r="B88" s="56"/>
      <c r="C88" s="56"/>
      <c r="D88" s="57"/>
      <c r="E88" s="57"/>
      <c r="F88" s="56"/>
      <c r="G88" s="56"/>
      <c r="H88" s="56"/>
      <c r="I88" s="56"/>
      <c r="J88" s="56"/>
      <c r="K88" s="56"/>
      <c r="L88" s="56"/>
      <c r="M88" s="58"/>
      <c r="N88" s="58"/>
      <c r="O88" s="58"/>
      <c r="P88" s="58"/>
      <c r="Q88" s="58"/>
      <c r="R88" s="58"/>
      <c r="S88" s="58"/>
      <c r="T88" s="58"/>
      <c r="U88" s="58"/>
      <c r="V88" s="58"/>
      <c r="W88" s="58"/>
      <c r="X88" s="58"/>
      <c r="Y88" s="58"/>
      <c r="Z88" s="58"/>
      <c r="AA88" s="58"/>
      <c r="AB88" s="58"/>
      <c r="AC88" s="59"/>
      <c r="AD88" s="59"/>
    </row>
    <row r="89" spans="1:30" ht="12.75" customHeight="1" x14ac:dyDescent="0.2">
      <c r="A89" s="56"/>
      <c r="B89" s="56"/>
      <c r="C89" s="56"/>
      <c r="D89" s="57"/>
      <c r="E89" s="57"/>
      <c r="F89" s="56"/>
      <c r="G89" s="56"/>
      <c r="H89" s="56"/>
      <c r="I89" s="56"/>
      <c r="J89" s="56"/>
      <c r="K89" s="56"/>
      <c r="L89" s="56"/>
      <c r="M89" s="58"/>
      <c r="N89" s="58"/>
      <c r="O89" s="58"/>
      <c r="P89" s="58"/>
      <c r="Q89" s="58"/>
      <c r="R89" s="58"/>
      <c r="S89" s="58"/>
      <c r="T89" s="58"/>
      <c r="U89" s="58"/>
      <c r="V89" s="58"/>
      <c r="W89" s="58"/>
      <c r="X89" s="58"/>
      <c r="Y89" s="58"/>
      <c r="Z89" s="58"/>
      <c r="AA89" s="58"/>
      <c r="AB89" s="58"/>
      <c r="AC89" s="59"/>
      <c r="AD89" s="59"/>
    </row>
    <row r="90" spans="1:30" ht="12.75" customHeight="1" x14ac:dyDescent="0.2">
      <c r="A90" s="56"/>
      <c r="B90" s="56"/>
      <c r="C90" s="56"/>
      <c r="D90" s="57"/>
      <c r="E90" s="57"/>
      <c r="F90" s="56"/>
      <c r="G90" s="56"/>
      <c r="H90" s="56"/>
      <c r="I90" s="56"/>
      <c r="J90" s="56"/>
      <c r="K90" s="56"/>
      <c r="L90" s="56"/>
      <c r="M90" s="58"/>
      <c r="N90" s="58"/>
      <c r="O90" s="58"/>
      <c r="P90" s="58"/>
      <c r="Q90" s="58"/>
      <c r="R90" s="58"/>
      <c r="S90" s="58"/>
      <c r="T90" s="58"/>
      <c r="U90" s="58"/>
      <c r="V90" s="58"/>
      <c r="W90" s="58"/>
      <c r="X90" s="58"/>
      <c r="Y90" s="58"/>
      <c r="Z90" s="58"/>
      <c r="AA90" s="58"/>
      <c r="AB90" s="58"/>
      <c r="AC90" s="59"/>
      <c r="AD90" s="59"/>
    </row>
    <row r="91" spans="1:30" ht="12.75" customHeight="1" x14ac:dyDescent="0.2">
      <c r="A91" s="56"/>
      <c r="B91" s="56"/>
      <c r="C91" s="56"/>
      <c r="D91" s="57"/>
      <c r="E91" s="57"/>
      <c r="F91" s="56"/>
      <c r="G91" s="56"/>
      <c r="H91" s="56"/>
      <c r="I91" s="56"/>
      <c r="J91" s="56"/>
      <c r="K91" s="56"/>
      <c r="L91" s="56"/>
      <c r="M91" s="58"/>
      <c r="N91" s="58"/>
      <c r="O91" s="58"/>
      <c r="P91" s="58"/>
      <c r="Q91" s="58"/>
      <c r="R91" s="58"/>
      <c r="S91" s="58"/>
      <c r="T91" s="58"/>
      <c r="U91" s="58"/>
      <c r="V91" s="58"/>
      <c r="W91" s="58"/>
      <c r="X91" s="58"/>
      <c r="Y91" s="58"/>
      <c r="Z91" s="58"/>
      <c r="AA91" s="58"/>
      <c r="AB91" s="58"/>
      <c r="AC91" s="59"/>
      <c r="AD91" s="59"/>
    </row>
    <row r="92" spans="1:30" ht="12.75" customHeight="1" x14ac:dyDescent="0.2">
      <c r="A92" s="56"/>
      <c r="B92" s="56"/>
      <c r="C92" s="56"/>
      <c r="D92" s="57"/>
      <c r="E92" s="57"/>
      <c r="F92" s="56"/>
      <c r="G92" s="56"/>
      <c r="H92" s="56"/>
      <c r="I92" s="56"/>
      <c r="J92" s="56"/>
      <c r="K92" s="56"/>
      <c r="L92" s="56"/>
      <c r="M92" s="58"/>
      <c r="N92" s="58"/>
      <c r="O92" s="58"/>
      <c r="P92" s="58"/>
      <c r="Q92" s="58"/>
      <c r="R92" s="58"/>
      <c r="S92" s="58"/>
      <c r="T92" s="58"/>
      <c r="U92" s="58"/>
      <c r="V92" s="58"/>
      <c r="W92" s="58"/>
      <c r="X92" s="58"/>
      <c r="Y92" s="58"/>
      <c r="Z92" s="58"/>
      <c r="AA92" s="58"/>
      <c r="AB92" s="58"/>
      <c r="AC92" s="59"/>
      <c r="AD92" s="59"/>
    </row>
    <row r="93" spans="1:30" ht="12.75" customHeight="1" x14ac:dyDescent="0.2">
      <c r="A93" s="56"/>
      <c r="B93" s="56"/>
      <c r="C93" s="56"/>
      <c r="D93" s="57"/>
      <c r="E93" s="57"/>
      <c r="F93" s="56"/>
      <c r="G93" s="56"/>
      <c r="H93" s="56"/>
      <c r="I93" s="56"/>
      <c r="J93" s="56"/>
      <c r="K93" s="56"/>
      <c r="L93" s="56"/>
      <c r="M93" s="58"/>
      <c r="N93" s="58"/>
      <c r="O93" s="58"/>
      <c r="P93" s="58"/>
      <c r="Q93" s="58"/>
      <c r="R93" s="58"/>
      <c r="S93" s="58"/>
      <c r="T93" s="58"/>
      <c r="U93" s="58"/>
      <c r="V93" s="58"/>
      <c r="W93" s="58"/>
      <c r="X93" s="58"/>
      <c r="Y93" s="58"/>
      <c r="Z93" s="58"/>
      <c r="AA93" s="58"/>
      <c r="AB93" s="58"/>
      <c r="AC93" s="59"/>
      <c r="AD93" s="59"/>
    </row>
    <row r="94" spans="1:30" ht="12.75" customHeight="1" x14ac:dyDescent="0.2">
      <c r="A94" s="56"/>
      <c r="B94" s="56"/>
      <c r="C94" s="56"/>
      <c r="D94" s="57"/>
      <c r="E94" s="57"/>
      <c r="F94" s="56"/>
      <c r="G94" s="56"/>
      <c r="H94" s="56"/>
      <c r="I94" s="56"/>
      <c r="J94" s="56"/>
      <c r="K94" s="56"/>
      <c r="L94" s="56"/>
      <c r="M94" s="58"/>
      <c r="N94" s="58"/>
      <c r="O94" s="58"/>
      <c r="P94" s="58"/>
      <c r="Q94" s="58"/>
      <c r="R94" s="58"/>
      <c r="S94" s="58"/>
      <c r="T94" s="58"/>
      <c r="U94" s="58"/>
      <c r="V94" s="58"/>
      <c r="W94" s="58"/>
      <c r="X94" s="58"/>
      <c r="Y94" s="58"/>
      <c r="Z94" s="58"/>
      <c r="AA94" s="58"/>
      <c r="AB94" s="58"/>
      <c r="AC94" s="59"/>
      <c r="AD94" s="59"/>
    </row>
    <row r="95" spans="1:30" ht="12.75" customHeight="1" x14ac:dyDescent="0.2">
      <c r="A95" s="56"/>
      <c r="B95" s="56"/>
      <c r="C95" s="56"/>
      <c r="D95" s="57"/>
      <c r="E95" s="57"/>
      <c r="F95" s="56"/>
      <c r="G95" s="56"/>
      <c r="H95" s="56"/>
      <c r="I95" s="56"/>
      <c r="J95" s="56"/>
      <c r="K95" s="56"/>
      <c r="L95" s="56"/>
      <c r="M95" s="58"/>
      <c r="N95" s="58"/>
      <c r="O95" s="58"/>
      <c r="P95" s="58"/>
      <c r="Q95" s="58"/>
      <c r="R95" s="58"/>
      <c r="S95" s="58"/>
      <c r="T95" s="58"/>
      <c r="U95" s="58"/>
      <c r="V95" s="58"/>
      <c r="W95" s="58"/>
      <c r="X95" s="58"/>
      <c r="Y95" s="58"/>
      <c r="Z95" s="58"/>
      <c r="AA95" s="58"/>
      <c r="AB95" s="58"/>
      <c r="AC95" s="59"/>
      <c r="AD95" s="59"/>
    </row>
    <row r="96" spans="1:30" ht="12.75" customHeight="1" x14ac:dyDescent="0.2">
      <c r="A96" s="56"/>
      <c r="B96" s="56"/>
      <c r="C96" s="56"/>
      <c r="D96" s="57"/>
      <c r="E96" s="57"/>
      <c r="F96" s="56"/>
      <c r="G96" s="56"/>
      <c r="H96" s="56"/>
      <c r="I96" s="56"/>
      <c r="J96" s="56"/>
      <c r="K96" s="56"/>
      <c r="L96" s="56"/>
      <c r="M96" s="58"/>
      <c r="N96" s="58"/>
      <c r="O96" s="58"/>
      <c r="P96" s="58"/>
      <c r="Q96" s="58"/>
      <c r="R96" s="58"/>
      <c r="S96" s="58"/>
      <c r="T96" s="58"/>
      <c r="U96" s="58"/>
      <c r="V96" s="58"/>
      <c r="W96" s="58"/>
      <c r="X96" s="58"/>
      <c r="Y96" s="58"/>
      <c r="Z96" s="58"/>
      <c r="AA96" s="58"/>
      <c r="AB96" s="58"/>
      <c r="AC96" s="59"/>
      <c r="AD96" s="59"/>
    </row>
    <row r="97" spans="1:30" ht="12.75" customHeight="1" x14ac:dyDescent="0.2">
      <c r="A97" s="56"/>
      <c r="B97" s="56"/>
      <c r="C97" s="56"/>
      <c r="D97" s="57"/>
      <c r="E97" s="57"/>
      <c r="F97" s="56"/>
      <c r="G97" s="56"/>
      <c r="H97" s="56"/>
      <c r="I97" s="56"/>
      <c r="J97" s="56"/>
      <c r="K97" s="56"/>
      <c r="L97" s="56"/>
      <c r="M97" s="58"/>
      <c r="N97" s="58"/>
      <c r="O97" s="58"/>
      <c r="P97" s="58"/>
      <c r="Q97" s="58"/>
      <c r="R97" s="58"/>
      <c r="S97" s="58"/>
      <c r="T97" s="58"/>
      <c r="U97" s="58"/>
      <c r="V97" s="58"/>
      <c r="W97" s="58"/>
      <c r="X97" s="58"/>
      <c r="Y97" s="58"/>
      <c r="Z97" s="58"/>
      <c r="AA97" s="58"/>
      <c r="AB97" s="58"/>
      <c r="AC97" s="59"/>
      <c r="AD97" s="59"/>
    </row>
    <row r="98" spans="1:30" ht="12.75" customHeight="1" x14ac:dyDescent="0.2">
      <c r="A98" s="56"/>
      <c r="B98" s="56"/>
      <c r="C98" s="56"/>
      <c r="D98" s="57"/>
      <c r="E98" s="57"/>
      <c r="F98" s="56"/>
      <c r="G98" s="56"/>
      <c r="H98" s="56"/>
      <c r="I98" s="56"/>
      <c r="J98" s="56"/>
      <c r="K98" s="56"/>
      <c r="L98" s="56"/>
      <c r="M98" s="58"/>
      <c r="N98" s="58"/>
      <c r="O98" s="58"/>
      <c r="P98" s="58"/>
      <c r="Q98" s="58"/>
      <c r="R98" s="58"/>
      <c r="S98" s="58"/>
      <c r="T98" s="58"/>
      <c r="U98" s="58"/>
      <c r="V98" s="58"/>
      <c r="W98" s="58"/>
      <c r="X98" s="58"/>
      <c r="Y98" s="58"/>
      <c r="Z98" s="58"/>
      <c r="AA98" s="58"/>
      <c r="AB98" s="58"/>
      <c r="AC98" s="59"/>
      <c r="AD98" s="59"/>
    </row>
    <row r="99" spans="1:30" ht="12.75" customHeight="1" x14ac:dyDescent="0.2">
      <c r="A99" s="56"/>
      <c r="B99" s="56"/>
      <c r="C99" s="56"/>
      <c r="D99" s="57"/>
      <c r="E99" s="57"/>
      <c r="F99" s="56"/>
      <c r="G99" s="56"/>
      <c r="H99" s="56"/>
      <c r="I99" s="56"/>
      <c r="J99" s="56"/>
      <c r="K99" s="56"/>
      <c r="L99" s="56"/>
      <c r="M99" s="58"/>
      <c r="N99" s="58"/>
      <c r="O99" s="58"/>
      <c r="P99" s="58"/>
      <c r="Q99" s="58"/>
      <c r="R99" s="58"/>
      <c r="S99" s="58"/>
      <c r="T99" s="58"/>
      <c r="U99" s="58"/>
      <c r="V99" s="58"/>
      <c r="W99" s="58"/>
      <c r="X99" s="58"/>
      <c r="Y99" s="58"/>
      <c r="Z99" s="58"/>
      <c r="AA99" s="58"/>
      <c r="AB99" s="58"/>
      <c r="AC99" s="59"/>
      <c r="AD99" s="59"/>
    </row>
    <row r="100" spans="1:30" ht="12.75" customHeight="1" x14ac:dyDescent="0.2">
      <c r="A100" s="56"/>
      <c r="B100" s="56"/>
      <c r="C100" s="56"/>
      <c r="D100" s="57"/>
      <c r="E100" s="57"/>
      <c r="F100" s="56"/>
      <c r="G100" s="56"/>
      <c r="H100" s="56"/>
      <c r="I100" s="56"/>
      <c r="J100" s="56"/>
      <c r="K100" s="56"/>
      <c r="L100" s="56"/>
      <c r="M100" s="58"/>
      <c r="N100" s="58"/>
      <c r="O100" s="58"/>
      <c r="P100" s="58"/>
      <c r="Q100" s="58"/>
      <c r="R100" s="58"/>
      <c r="S100" s="58"/>
      <c r="T100" s="58"/>
      <c r="U100" s="58"/>
      <c r="V100" s="58"/>
      <c r="W100" s="58"/>
      <c r="X100" s="58"/>
      <c r="Y100" s="58"/>
      <c r="Z100" s="58"/>
      <c r="AA100" s="58"/>
      <c r="AB100" s="58"/>
      <c r="AC100" s="59"/>
      <c r="AD100" s="59"/>
    </row>
    <row r="101" spans="1:30" ht="12.75" customHeight="1" x14ac:dyDescent="0.2">
      <c r="A101" s="56"/>
      <c r="B101" s="56"/>
      <c r="C101" s="56"/>
      <c r="D101" s="57"/>
      <c r="E101" s="57"/>
      <c r="F101" s="56"/>
      <c r="G101" s="56"/>
      <c r="H101" s="56"/>
      <c r="I101" s="56"/>
      <c r="J101" s="56"/>
      <c r="K101" s="56"/>
      <c r="L101" s="56"/>
      <c r="M101" s="58"/>
      <c r="N101" s="58"/>
      <c r="O101" s="58"/>
      <c r="P101" s="58"/>
      <c r="Q101" s="58"/>
      <c r="R101" s="58"/>
      <c r="S101" s="58"/>
      <c r="T101" s="58"/>
      <c r="U101" s="58"/>
      <c r="V101" s="58"/>
      <c r="W101" s="58"/>
      <c r="X101" s="58"/>
      <c r="Y101" s="58"/>
      <c r="Z101" s="58"/>
      <c r="AA101" s="58"/>
      <c r="AB101" s="58"/>
      <c r="AC101" s="59"/>
      <c r="AD101" s="59"/>
    </row>
    <row r="102" spans="1:30" ht="12.75" customHeight="1" x14ac:dyDescent="0.2">
      <c r="A102" s="56"/>
      <c r="B102" s="56"/>
      <c r="C102" s="56"/>
      <c r="D102" s="57"/>
      <c r="E102" s="57"/>
      <c r="F102" s="56"/>
      <c r="G102" s="56"/>
      <c r="H102" s="56"/>
      <c r="I102" s="56"/>
      <c r="J102" s="56"/>
      <c r="K102" s="56"/>
      <c r="L102" s="56"/>
      <c r="M102" s="58"/>
      <c r="N102" s="58"/>
      <c r="O102" s="58"/>
      <c r="P102" s="58"/>
      <c r="Q102" s="58"/>
      <c r="R102" s="58"/>
      <c r="S102" s="58"/>
      <c r="T102" s="58"/>
      <c r="U102" s="58"/>
      <c r="V102" s="58"/>
      <c r="W102" s="58"/>
      <c r="X102" s="58"/>
      <c r="Y102" s="58"/>
      <c r="Z102" s="58"/>
      <c r="AA102" s="58"/>
      <c r="AB102" s="58"/>
      <c r="AC102" s="59"/>
      <c r="AD102" s="59"/>
    </row>
    <row r="103" spans="1:30" ht="12.75" customHeight="1" x14ac:dyDescent="0.2">
      <c r="A103" s="56"/>
      <c r="B103" s="56"/>
      <c r="C103" s="56"/>
      <c r="D103" s="57"/>
      <c r="E103" s="57"/>
      <c r="F103" s="56"/>
      <c r="G103" s="56"/>
      <c r="H103" s="56"/>
      <c r="I103" s="56"/>
      <c r="J103" s="56"/>
      <c r="K103" s="56"/>
      <c r="L103" s="56"/>
      <c r="M103" s="58"/>
      <c r="N103" s="58"/>
      <c r="O103" s="58"/>
      <c r="P103" s="58"/>
      <c r="Q103" s="58"/>
      <c r="R103" s="58"/>
      <c r="S103" s="58"/>
      <c r="T103" s="58"/>
      <c r="U103" s="58"/>
      <c r="V103" s="58"/>
      <c r="W103" s="58"/>
      <c r="X103" s="58"/>
      <c r="Y103" s="58"/>
      <c r="Z103" s="58"/>
      <c r="AA103" s="58"/>
      <c r="AB103" s="58"/>
      <c r="AC103" s="59"/>
      <c r="AD103" s="59"/>
    </row>
    <row r="104" spans="1:30" ht="12.75" customHeight="1" x14ac:dyDescent="0.2">
      <c r="A104" s="56"/>
      <c r="B104" s="56"/>
      <c r="C104" s="56"/>
      <c r="D104" s="57"/>
      <c r="E104" s="57"/>
      <c r="F104" s="56"/>
      <c r="G104" s="56"/>
      <c r="H104" s="56"/>
      <c r="I104" s="56"/>
      <c r="J104" s="56"/>
      <c r="K104" s="56"/>
      <c r="L104" s="56"/>
      <c r="M104" s="58"/>
      <c r="N104" s="58"/>
      <c r="O104" s="58"/>
      <c r="P104" s="58"/>
      <c r="Q104" s="58"/>
      <c r="R104" s="58"/>
      <c r="S104" s="58"/>
      <c r="T104" s="58"/>
      <c r="U104" s="58"/>
      <c r="V104" s="58"/>
      <c r="W104" s="58"/>
      <c r="X104" s="58"/>
      <c r="Y104" s="58"/>
      <c r="Z104" s="58"/>
      <c r="AA104" s="58"/>
      <c r="AB104" s="58"/>
      <c r="AC104" s="59"/>
      <c r="AD104" s="59"/>
    </row>
    <row r="105" spans="1:30" ht="12.75" customHeight="1" x14ac:dyDescent="0.2">
      <c r="A105" s="56"/>
      <c r="B105" s="56"/>
      <c r="C105" s="56"/>
      <c r="D105" s="57"/>
      <c r="E105" s="57"/>
      <c r="F105" s="56"/>
      <c r="G105" s="56"/>
      <c r="H105" s="56"/>
      <c r="I105" s="56"/>
      <c r="J105" s="56"/>
      <c r="K105" s="56"/>
      <c r="L105" s="56"/>
      <c r="M105" s="58"/>
      <c r="N105" s="58"/>
      <c r="O105" s="58"/>
      <c r="P105" s="58"/>
      <c r="Q105" s="58"/>
      <c r="R105" s="58"/>
      <c r="S105" s="58"/>
      <c r="T105" s="58"/>
      <c r="U105" s="58"/>
      <c r="V105" s="58"/>
      <c r="W105" s="58"/>
      <c r="X105" s="58"/>
      <c r="Y105" s="58"/>
      <c r="Z105" s="58"/>
      <c r="AA105" s="58"/>
      <c r="AB105" s="58"/>
      <c r="AC105" s="59"/>
      <c r="AD105" s="59"/>
    </row>
    <row r="106" spans="1:30" ht="12.75" customHeight="1" x14ac:dyDescent="0.2">
      <c r="A106" s="56"/>
      <c r="B106" s="56"/>
      <c r="C106" s="56"/>
      <c r="D106" s="57"/>
      <c r="E106" s="57"/>
      <c r="F106" s="56"/>
      <c r="G106" s="56"/>
      <c r="H106" s="56"/>
      <c r="I106" s="56"/>
      <c r="J106" s="56"/>
      <c r="K106" s="56"/>
      <c r="L106" s="56"/>
      <c r="M106" s="58"/>
      <c r="N106" s="58"/>
      <c r="O106" s="58"/>
      <c r="P106" s="58"/>
      <c r="Q106" s="58"/>
      <c r="R106" s="58"/>
      <c r="S106" s="58"/>
      <c r="T106" s="58"/>
      <c r="U106" s="58"/>
      <c r="V106" s="58"/>
      <c r="W106" s="58"/>
      <c r="X106" s="58"/>
      <c r="Y106" s="58"/>
      <c r="Z106" s="58"/>
      <c r="AA106" s="58"/>
      <c r="AB106" s="58"/>
      <c r="AC106" s="59"/>
      <c r="AD106" s="59"/>
    </row>
    <row r="107" spans="1:30" ht="12.75" customHeight="1" x14ac:dyDescent="0.2">
      <c r="A107" s="56"/>
      <c r="B107" s="56"/>
      <c r="C107" s="56"/>
      <c r="D107" s="57"/>
      <c r="E107" s="57"/>
      <c r="F107" s="56"/>
      <c r="G107" s="56"/>
      <c r="H107" s="56"/>
      <c r="I107" s="56"/>
      <c r="J107" s="56"/>
      <c r="K107" s="56"/>
      <c r="L107" s="56"/>
      <c r="M107" s="58"/>
      <c r="N107" s="58"/>
      <c r="O107" s="58"/>
      <c r="P107" s="58"/>
      <c r="Q107" s="58"/>
      <c r="R107" s="58"/>
      <c r="S107" s="58"/>
      <c r="T107" s="58"/>
      <c r="U107" s="58"/>
      <c r="V107" s="58"/>
      <c r="W107" s="58"/>
      <c r="X107" s="58"/>
      <c r="Y107" s="58"/>
      <c r="Z107" s="58"/>
      <c r="AA107" s="58"/>
      <c r="AB107" s="58"/>
      <c r="AC107" s="59"/>
      <c r="AD107" s="59"/>
    </row>
    <row r="108" spans="1:30" ht="12.75" customHeight="1" x14ac:dyDescent="0.2">
      <c r="A108" s="56"/>
      <c r="B108" s="56"/>
      <c r="C108" s="56"/>
      <c r="D108" s="57"/>
      <c r="E108" s="57"/>
      <c r="F108" s="56"/>
      <c r="G108" s="56"/>
      <c r="H108" s="56"/>
      <c r="I108" s="56"/>
      <c r="J108" s="56"/>
      <c r="K108" s="56"/>
      <c r="L108" s="56"/>
      <c r="M108" s="58"/>
      <c r="N108" s="58"/>
      <c r="O108" s="58"/>
      <c r="P108" s="58"/>
      <c r="Q108" s="58"/>
      <c r="R108" s="58"/>
      <c r="S108" s="58"/>
      <c r="T108" s="58"/>
      <c r="U108" s="58"/>
      <c r="V108" s="58"/>
      <c r="W108" s="58"/>
      <c r="X108" s="58"/>
      <c r="Y108" s="58"/>
      <c r="Z108" s="58"/>
      <c r="AA108" s="58"/>
      <c r="AB108" s="58"/>
      <c r="AC108" s="59"/>
      <c r="AD108" s="59"/>
    </row>
    <row r="109" spans="1:30" ht="12.75" customHeight="1" x14ac:dyDescent="0.2">
      <c r="A109" s="56"/>
      <c r="B109" s="56"/>
      <c r="C109" s="56"/>
      <c r="D109" s="57"/>
      <c r="E109" s="57"/>
      <c r="F109" s="56"/>
      <c r="G109" s="56"/>
      <c r="H109" s="56"/>
      <c r="I109" s="56"/>
      <c r="J109" s="56"/>
      <c r="K109" s="56"/>
      <c r="L109" s="56"/>
      <c r="M109" s="58"/>
      <c r="N109" s="58"/>
      <c r="O109" s="58"/>
      <c r="P109" s="58"/>
      <c r="Q109" s="58"/>
      <c r="R109" s="58"/>
      <c r="S109" s="58"/>
      <c r="T109" s="58"/>
      <c r="U109" s="58"/>
      <c r="V109" s="58"/>
      <c r="W109" s="58"/>
      <c r="X109" s="58"/>
      <c r="Y109" s="58"/>
      <c r="Z109" s="58"/>
      <c r="AA109" s="58"/>
      <c r="AB109" s="58"/>
      <c r="AC109" s="59"/>
      <c r="AD109" s="59"/>
    </row>
    <row r="110" spans="1:30" ht="12.75" customHeight="1" x14ac:dyDescent="0.2">
      <c r="A110" s="56"/>
      <c r="B110" s="56"/>
      <c r="C110" s="56"/>
      <c r="D110" s="57"/>
      <c r="E110" s="57"/>
      <c r="F110" s="56"/>
      <c r="G110" s="56"/>
      <c r="H110" s="56"/>
      <c r="I110" s="56"/>
      <c r="J110" s="56"/>
      <c r="K110" s="56"/>
      <c r="L110" s="56"/>
      <c r="M110" s="58"/>
      <c r="N110" s="58"/>
      <c r="O110" s="58"/>
      <c r="P110" s="58"/>
      <c r="Q110" s="58"/>
      <c r="R110" s="58"/>
      <c r="S110" s="58"/>
      <c r="T110" s="58"/>
      <c r="U110" s="58"/>
      <c r="V110" s="58"/>
      <c r="W110" s="58"/>
      <c r="X110" s="58"/>
      <c r="Y110" s="58"/>
      <c r="Z110" s="58"/>
      <c r="AA110" s="58"/>
      <c r="AB110" s="58"/>
      <c r="AC110" s="59"/>
      <c r="AD110" s="59"/>
    </row>
    <row r="111" spans="1:30" ht="12.75" customHeight="1" x14ac:dyDescent="0.2">
      <c r="A111" s="56"/>
      <c r="B111" s="56"/>
      <c r="C111" s="56"/>
      <c r="D111" s="57"/>
      <c r="E111" s="57"/>
      <c r="F111" s="56"/>
      <c r="G111" s="56"/>
      <c r="H111" s="56"/>
      <c r="I111" s="56"/>
      <c r="J111" s="56"/>
      <c r="K111" s="56"/>
      <c r="L111" s="56"/>
      <c r="M111" s="58"/>
      <c r="N111" s="58"/>
      <c r="O111" s="58"/>
      <c r="P111" s="58"/>
      <c r="Q111" s="58"/>
      <c r="R111" s="58"/>
      <c r="S111" s="58"/>
      <c r="T111" s="58"/>
      <c r="U111" s="58"/>
      <c r="V111" s="58"/>
      <c r="W111" s="58"/>
      <c r="X111" s="58"/>
      <c r="Y111" s="58"/>
      <c r="Z111" s="58"/>
      <c r="AA111" s="58"/>
      <c r="AB111" s="58"/>
      <c r="AC111" s="59"/>
      <c r="AD111" s="59"/>
    </row>
    <row r="112" spans="1:30" ht="12.75" customHeight="1" x14ac:dyDescent="0.2">
      <c r="A112" s="56"/>
      <c r="B112" s="56"/>
      <c r="C112" s="56"/>
      <c r="D112" s="57"/>
      <c r="E112" s="57"/>
      <c r="F112" s="56"/>
      <c r="G112" s="56"/>
      <c r="H112" s="56"/>
      <c r="I112" s="56"/>
      <c r="J112" s="56"/>
      <c r="K112" s="56"/>
      <c r="L112" s="56"/>
      <c r="M112" s="58"/>
      <c r="N112" s="58"/>
      <c r="O112" s="58"/>
      <c r="P112" s="58"/>
      <c r="Q112" s="58"/>
      <c r="R112" s="58"/>
      <c r="S112" s="58"/>
      <c r="T112" s="58"/>
      <c r="U112" s="58"/>
      <c r="V112" s="58"/>
      <c r="W112" s="58"/>
      <c r="X112" s="58"/>
      <c r="Y112" s="58"/>
      <c r="Z112" s="58"/>
      <c r="AA112" s="58"/>
      <c r="AB112" s="58"/>
      <c r="AC112" s="59"/>
      <c r="AD112" s="59"/>
    </row>
    <row r="113" spans="1:30" ht="12.75" customHeight="1" x14ac:dyDescent="0.2">
      <c r="A113" s="56"/>
      <c r="B113" s="56"/>
      <c r="C113" s="56"/>
      <c r="D113" s="57"/>
      <c r="E113" s="57"/>
      <c r="F113" s="56"/>
      <c r="G113" s="56"/>
      <c r="H113" s="56"/>
      <c r="I113" s="56"/>
      <c r="J113" s="56"/>
      <c r="K113" s="56"/>
      <c r="L113" s="56"/>
      <c r="M113" s="58"/>
      <c r="N113" s="58"/>
      <c r="O113" s="58"/>
      <c r="P113" s="58"/>
      <c r="Q113" s="58"/>
      <c r="R113" s="58"/>
      <c r="S113" s="58"/>
      <c r="T113" s="58"/>
      <c r="U113" s="58"/>
      <c r="V113" s="58"/>
      <c r="W113" s="58"/>
      <c r="X113" s="58"/>
      <c r="Y113" s="58"/>
      <c r="Z113" s="58"/>
      <c r="AA113" s="58"/>
      <c r="AB113" s="58"/>
      <c r="AC113" s="59"/>
      <c r="AD113" s="59"/>
    </row>
    <row r="114" spans="1:30" ht="12.75" customHeight="1" x14ac:dyDescent="0.2">
      <c r="A114" s="56"/>
      <c r="B114" s="56"/>
      <c r="C114" s="56"/>
      <c r="D114" s="57"/>
      <c r="E114" s="57"/>
      <c r="F114" s="56"/>
      <c r="G114" s="56"/>
      <c r="H114" s="56"/>
      <c r="I114" s="56"/>
      <c r="J114" s="56"/>
      <c r="K114" s="56"/>
      <c r="L114" s="56"/>
      <c r="M114" s="58"/>
      <c r="N114" s="58"/>
      <c r="O114" s="58"/>
      <c r="P114" s="58"/>
      <c r="Q114" s="58"/>
      <c r="R114" s="58"/>
      <c r="S114" s="58"/>
      <c r="T114" s="58"/>
      <c r="U114" s="58"/>
      <c r="V114" s="58"/>
      <c r="W114" s="58"/>
      <c r="X114" s="58"/>
      <c r="Y114" s="58"/>
      <c r="Z114" s="58"/>
      <c r="AA114" s="58"/>
      <c r="AB114" s="58"/>
      <c r="AC114" s="59"/>
      <c r="AD114" s="59"/>
    </row>
    <row r="115" spans="1:30" ht="12.75" customHeight="1" x14ac:dyDescent="0.2">
      <c r="A115" s="56"/>
      <c r="B115" s="56"/>
      <c r="C115" s="56"/>
      <c r="D115" s="57"/>
      <c r="E115" s="57"/>
      <c r="F115" s="56"/>
      <c r="G115" s="56"/>
      <c r="H115" s="56"/>
      <c r="I115" s="56"/>
      <c r="J115" s="56"/>
      <c r="K115" s="56"/>
      <c r="L115" s="56"/>
      <c r="M115" s="58"/>
      <c r="N115" s="58"/>
      <c r="O115" s="58"/>
      <c r="P115" s="58"/>
      <c r="Q115" s="58"/>
      <c r="R115" s="58"/>
      <c r="S115" s="58"/>
      <c r="T115" s="58"/>
      <c r="U115" s="58"/>
      <c r="V115" s="58"/>
      <c r="W115" s="58"/>
      <c r="X115" s="58"/>
      <c r="Y115" s="58"/>
      <c r="Z115" s="58"/>
      <c r="AA115" s="58"/>
      <c r="AB115" s="58"/>
      <c r="AC115" s="59"/>
      <c r="AD115" s="59"/>
    </row>
    <row r="116" spans="1:30" ht="12.75" customHeight="1" x14ac:dyDescent="0.2">
      <c r="A116" s="56"/>
      <c r="B116" s="56"/>
      <c r="C116" s="56"/>
      <c r="D116" s="57"/>
      <c r="E116" s="57"/>
      <c r="F116" s="56"/>
      <c r="G116" s="56"/>
      <c r="H116" s="56"/>
      <c r="I116" s="56"/>
      <c r="J116" s="56"/>
      <c r="K116" s="56"/>
      <c r="L116" s="56"/>
      <c r="M116" s="58"/>
      <c r="N116" s="58"/>
      <c r="O116" s="58"/>
      <c r="P116" s="58"/>
      <c r="Q116" s="58"/>
      <c r="R116" s="58"/>
      <c r="S116" s="58"/>
      <c r="T116" s="58"/>
      <c r="U116" s="58"/>
      <c r="V116" s="58"/>
      <c r="W116" s="58"/>
      <c r="X116" s="58"/>
      <c r="Y116" s="58"/>
      <c r="Z116" s="58"/>
      <c r="AA116" s="58"/>
      <c r="AB116" s="58"/>
      <c r="AC116" s="59"/>
      <c r="AD116" s="59"/>
    </row>
    <row r="117" spans="1:30" ht="12.75" customHeight="1" x14ac:dyDescent="0.2">
      <c r="A117" s="56"/>
      <c r="B117" s="56"/>
      <c r="C117" s="56"/>
      <c r="D117" s="57"/>
      <c r="E117" s="57"/>
      <c r="F117" s="56"/>
      <c r="G117" s="56"/>
      <c r="H117" s="56"/>
      <c r="I117" s="56"/>
      <c r="J117" s="56"/>
      <c r="K117" s="56"/>
      <c r="L117" s="56"/>
      <c r="M117" s="58"/>
      <c r="N117" s="58"/>
      <c r="O117" s="58"/>
      <c r="P117" s="58"/>
      <c r="Q117" s="58"/>
      <c r="R117" s="58"/>
      <c r="S117" s="58"/>
      <c r="T117" s="58"/>
      <c r="U117" s="58"/>
      <c r="V117" s="58"/>
      <c r="W117" s="58"/>
      <c r="X117" s="58"/>
      <c r="Y117" s="58"/>
      <c r="Z117" s="58"/>
      <c r="AA117" s="58"/>
      <c r="AB117" s="58"/>
      <c r="AC117" s="59"/>
      <c r="AD117" s="59"/>
    </row>
    <row r="118" spans="1:30" ht="12.75" customHeight="1" x14ac:dyDescent="0.2">
      <c r="A118" s="56"/>
      <c r="B118" s="56"/>
      <c r="C118" s="56"/>
      <c r="D118" s="57"/>
      <c r="E118" s="57"/>
      <c r="F118" s="56"/>
      <c r="G118" s="56"/>
      <c r="H118" s="56"/>
      <c r="I118" s="56"/>
      <c r="J118" s="56"/>
      <c r="K118" s="56"/>
      <c r="L118" s="56"/>
      <c r="M118" s="58"/>
      <c r="N118" s="58"/>
      <c r="O118" s="58"/>
      <c r="P118" s="58"/>
      <c r="Q118" s="58"/>
      <c r="R118" s="58"/>
      <c r="S118" s="58"/>
      <c r="T118" s="58"/>
      <c r="U118" s="58"/>
      <c r="V118" s="58"/>
      <c r="W118" s="58"/>
      <c r="X118" s="58"/>
      <c r="Y118" s="58"/>
      <c r="Z118" s="58"/>
      <c r="AA118" s="58"/>
      <c r="AB118" s="58"/>
      <c r="AC118" s="59"/>
      <c r="AD118" s="59"/>
    </row>
    <row r="119" spans="1:30" ht="12.75" customHeight="1" x14ac:dyDescent="0.2">
      <c r="A119" s="56"/>
      <c r="B119" s="56"/>
      <c r="C119" s="56"/>
      <c r="D119" s="57"/>
      <c r="E119" s="57"/>
      <c r="F119" s="56"/>
      <c r="G119" s="56"/>
      <c r="H119" s="56"/>
      <c r="I119" s="56"/>
      <c r="J119" s="56"/>
      <c r="K119" s="56"/>
      <c r="L119" s="56"/>
      <c r="M119" s="58"/>
      <c r="N119" s="58"/>
      <c r="O119" s="58"/>
      <c r="P119" s="58"/>
      <c r="Q119" s="58"/>
      <c r="R119" s="58"/>
      <c r="S119" s="58"/>
      <c r="T119" s="58"/>
      <c r="U119" s="58"/>
      <c r="V119" s="58"/>
      <c r="W119" s="58"/>
      <c r="X119" s="58"/>
      <c r="Y119" s="58"/>
      <c r="Z119" s="58"/>
      <c r="AA119" s="58"/>
      <c r="AB119" s="58"/>
      <c r="AC119" s="59"/>
      <c r="AD119" s="59"/>
    </row>
    <row r="120" spans="1:30" ht="12.75" customHeight="1" x14ac:dyDescent="0.2">
      <c r="A120" s="56"/>
      <c r="B120" s="56"/>
      <c r="C120" s="56"/>
      <c r="D120" s="57"/>
      <c r="E120" s="57"/>
      <c r="F120" s="56"/>
      <c r="G120" s="56"/>
      <c r="H120" s="56"/>
      <c r="I120" s="56"/>
      <c r="J120" s="56"/>
      <c r="K120" s="56"/>
      <c r="L120" s="56"/>
      <c r="M120" s="58"/>
      <c r="N120" s="58"/>
      <c r="O120" s="58"/>
      <c r="P120" s="58"/>
      <c r="Q120" s="58"/>
      <c r="R120" s="58"/>
      <c r="S120" s="58"/>
      <c r="T120" s="58"/>
      <c r="U120" s="58"/>
      <c r="V120" s="58"/>
      <c r="W120" s="58"/>
      <c r="X120" s="58"/>
      <c r="Y120" s="58"/>
      <c r="Z120" s="58"/>
      <c r="AA120" s="58"/>
      <c r="AB120" s="58"/>
      <c r="AC120" s="59"/>
      <c r="AD120" s="59"/>
    </row>
    <row r="121" spans="1:30" ht="12.75" customHeight="1" x14ac:dyDescent="0.2">
      <c r="A121" s="56"/>
      <c r="B121" s="56"/>
      <c r="C121" s="56"/>
      <c r="D121" s="57"/>
      <c r="E121" s="57"/>
      <c r="F121" s="56"/>
      <c r="G121" s="56"/>
      <c r="H121" s="56"/>
      <c r="I121" s="56"/>
      <c r="J121" s="56"/>
      <c r="K121" s="56"/>
      <c r="L121" s="56"/>
      <c r="M121" s="58"/>
      <c r="N121" s="58"/>
      <c r="O121" s="58"/>
      <c r="P121" s="58"/>
      <c r="Q121" s="58"/>
      <c r="R121" s="58"/>
      <c r="S121" s="58"/>
      <c r="T121" s="58"/>
      <c r="U121" s="58"/>
      <c r="V121" s="58"/>
      <c r="W121" s="58"/>
      <c r="X121" s="58"/>
      <c r="Y121" s="58"/>
      <c r="Z121" s="58"/>
      <c r="AA121" s="58"/>
      <c r="AB121" s="58"/>
      <c r="AC121" s="59"/>
      <c r="AD121" s="59"/>
    </row>
    <row r="122" spans="1:30" ht="12.75" customHeight="1" x14ac:dyDescent="0.2">
      <c r="A122" s="56"/>
      <c r="B122" s="56"/>
      <c r="C122" s="56"/>
      <c r="D122" s="57"/>
      <c r="E122" s="57"/>
      <c r="F122" s="56"/>
      <c r="G122" s="56"/>
      <c r="H122" s="56"/>
      <c r="I122" s="56"/>
      <c r="J122" s="56"/>
      <c r="K122" s="56"/>
      <c r="L122" s="56"/>
      <c r="M122" s="58"/>
      <c r="N122" s="58"/>
      <c r="O122" s="58"/>
      <c r="P122" s="58"/>
      <c r="Q122" s="58"/>
      <c r="R122" s="58"/>
      <c r="S122" s="58"/>
      <c r="T122" s="58"/>
      <c r="U122" s="58"/>
      <c r="V122" s="58"/>
      <c r="W122" s="58"/>
      <c r="X122" s="58"/>
      <c r="Y122" s="58"/>
      <c r="Z122" s="58"/>
      <c r="AA122" s="58"/>
      <c r="AB122" s="58"/>
      <c r="AC122" s="59"/>
      <c r="AD122" s="59"/>
    </row>
    <row r="123" spans="1:30" ht="12.75" customHeight="1" x14ac:dyDescent="0.2">
      <c r="A123" s="56"/>
      <c r="B123" s="56"/>
      <c r="C123" s="56"/>
      <c r="D123" s="57"/>
      <c r="E123" s="57"/>
      <c r="F123" s="56"/>
      <c r="G123" s="56"/>
      <c r="H123" s="56"/>
      <c r="I123" s="56"/>
      <c r="J123" s="56"/>
      <c r="K123" s="56"/>
      <c r="L123" s="56"/>
      <c r="M123" s="58"/>
      <c r="N123" s="58"/>
      <c r="O123" s="58"/>
      <c r="P123" s="58"/>
      <c r="Q123" s="58"/>
      <c r="R123" s="58"/>
      <c r="S123" s="58"/>
      <c r="T123" s="58"/>
      <c r="U123" s="58"/>
      <c r="V123" s="58"/>
      <c r="W123" s="58"/>
      <c r="X123" s="58"/>
      <c r="Y123" s="58"/>
      <c r="Z123" s="58"/>
      <c r="AA123" s="58"/>
      <c r="AB123" s="58"/>
      <c r="AC123" s="59"/>
      <c r="AD123" s="59"/>
    </row>
    <row r="124" spans="1:30" ht="12.75" customHeight="1" x14ac:dyDescent="0.2">
      <c r="A124" s="56"/>
      <c r="B124" s="56"/>
      <c r="C124" s="56"/>
      <c r="D124" s="57"/>
      <c r="E124" s="57"/>
      <c r="F124" s="56"/>
      <c r="G124" s="56"/>
      <c r="H124" s="56"/>
      <c r="I124" s="56"/>
      <c r="J124" s="56"/>
      <c r="K124" s="56"/>
      <c r="L124" s="56"/>
      <c r="M124" s="58"/>
      <c r="N124" s="58"/>
      <c r="O124" s="58"/>
      <c r="P124" s="58"/>
      <c r="Q124" s="58"/>
      <c r="R124" s="58"/>
      <c r="S124" s="58"/>
      <c r="T124" s="58"/>
      <c r="U124" s="58"/>
      <c r="V124" s="58"/>
      <c r="W124" s="58"/>
      <c r="X124" s="58"/>
      <c r="Y124" s="58"/>
      <c r="Z124" s="58"/>
      <c r="AA124" s="58"/>
      <c r="AB124" s="58"/>
      <c r="AC124" s="59"/>
      <c r="AD124" s="59"/>
    </row>
    <row r="125" spans="1:30" ht="12.75" customHeight="1" x14ac:dyDescent="0.2">
      <c r="A125" s="56"/>
      <c r="B125" s="56"/>
      <c r="C125" s="56"/>
      <c r="D125" s="57"/>
      <c r="E125" s="57"/>
      <c r="F125" s="56"/>
      <c r="G125" s="56"/>
      <c r="H125" s="56"/>
      <c r="I125" s="56"/>
      <c r="J125" s="56"/>
      <c r="K125" s="56"/>
      <c r="L125" s="56"/>
      <c r="M125" s="58"/>
      <c r="N125" s="58"/>
      <c r="O125" s="58"/>
      <c r="P125" s="58"/>
      <c r="Q125" s="58"/>
      <c r="R125" s="58"/>
      <c r="S125" s="58"/>
      <c r="T125" s="58"/>
      <c r="U125" s="58"/>
      <c r="V125" s="58"/>
      <c r="W125" s="58"/>
      <c r="X125" s="58"/>
      <c r="Y125" s="58"/>
      <c r="Z125" s="58"/>
      <c r="AA125" s="58"/>
      <c r="AB125" s="58"/>
      <c r="AC125" s="59"/>
      <c r="AD125" s="59"/>
    </row>
    <row r="126" spans="1:30" ht="12.75" customHeight="1" x14ac:dyDescent="0.2">
      <c r="A126" s="56"/>
      <c r="B126" s="56"/>
      <c r="C126" s="56"/>
      <c r="D126" s="57"/>
      <c r="E126" s="57"/>
      <c r="F126" s="56"/>
      <c r="G126" s="56"/>
      <c r="H126" s="56"/>
      <c r="I126" s="56"/>
      <c r="J126" s="56"/>
      <c r="K126" s="56"/>
      <c r="L126" s="56"/>
      <c r="M126" s="58"/>
      <c r="N126" s="58"/>
      <c r="O126" s="58"/>
      <c r="P126" s="58"/>
      <c r="Q126" s="58"/>
      <c r="R126" s="58"/>
      <c r="S126" s="58"/>
      <c r="T126" s="58"/>
      <c r="U126" s="58"/>
      <c r="V126" s="58"/>
      <c r="W126" s="58"/>
      <c r="X126" s="58"/>
      <c r="Y126" s="58"/>
      <c r="Z126" s="58"/>
      <c r="AA126" s="58"/>
      <c r="AB126" s="58"/>
      <c r="AC126" s="59"/>
      <c r="AD126" s="59"/>
    </row>
    <row r="127" spans="1:30" ht="12.75" customHeight="1" x14ac:dyDescent="0.2">
      <c r="A127" s="56"/>
      <c r="B127" s="56"/>
      <c r="C127" s="56"/>
      <c r="D127" s="57"/>
      <c r="E127" s="57"/>
      <c r="F127" s="56"/>
      <c r="G127" s="56"/>
      <c r="H127" s="56"/>
      <c r="I127" s="56"/>
      <c r="J127" s="56"/>
      <c r="K127" s="56"/>
      <c r="L127" s="56"/>
      <c r="M127" s="58"/>
      <c r="N127" s="58"/>
      <c r="O127" s="58"/>
      <c r="P127" s="58"/>
      <c r="Q127" s="58"/>
      <c r="R127" s="58"/>
      <c r="S127" s="58"/>
      <c r="T127" s="58"/>
      <c r="U127" s="58"/>
      <c r="V127" s="58"/>
      <c r="W127" s="58"/>
      <c r="X127" s="58"/>
      <c r="Y127" s="58"/>
      <c r="Z127" s="58"/>
      <c r="AA127" s="58"/>
      <c r="AB127" s="58"/>
      <c r="AC127" s="59"/>
      <c r="AD127" s="59"/>
    </row>
    <row r="128" spans="1:30" ht="12.75" customHeight="1" x14ac:dyDescent="0.2">
      <c r="A128" s="56"/>
      <c r="B128" s="56"/>
      <c r="C128" s="56"/>
      <c r="D128" s="57"/>
      <c r="E128" s="57"/>
      <c r="F128" s="56"/>
      <c r="G128" s="56"/>
      <c r="H128" s="56"/>
      <c r="I128" s="56"/>
      <c r="J128" s="56"/>
      <c r="K128" s="56"/>
      <c r="L128" s="56"/>
      <c r="M128" s="58"/>
      <c r="N128" s="58"/>
      <c r="O128" s="58"/>
      <c r="P128" s="58"/>
      <c r="Q128" s="58"/>
      <c r="R128" s="58"/>
      <c r="S128" s="58"/>
      <c r="T128" s="58"/>
      <c r="U128" s="58"/>
      <c r="V128" s="58"/>
      <c r="W128" s="58"/>
      <c r="X128" s="58"/>
      <c r="Y128" s="58"/>
      <c r="Z128" s="58"/>
      <c r="AA128" s="58"/>
      <c r="AB128" s="58"/>
      <c r="AC128" s="59"/>
      <c r="AD128" s="59"/>
    </row>
    <row r="129" spans="1:30" ht="12.75" customHeight="1" x14ac:dyDescent="0.2">
      <c r="A129" s="56"/>
      <c r="B129" s="56"/>
      <c r="C129" s="56"/>
      <c r="D129" s="57"/>
      <c r="E129" s="57"/>
      <c r="F129" s="56"/>
      <c r="G129" s="56"/>
      <c r="H129" s="56"/>
      <c r="I129" s="56"/>
      <c r="J129" s="56"/>
      <c r="K129" s="56"/>
      <c r="L129" s="56"/>
      <c r="M129" s="58"/>
      <c r="N129" s="58"/>
      <c r="O129" s="58"/>
      <c r="P129" s="58"/>
      <c r="Q129" s="58"/>
      <c r="R129" s="58"/>
      <c r="S129" s="58"/>
      <c r="T129" s="58"/>
      <c r="U129" s="58"/>
      <c r="V129" s="58"/>
      <c r="W129" s="58"/>
      <c r="X129" s="58"/>
      <c r="Y129" s="58"/>
      <c r="Z129" s="58"/>
      <c r="AA129" s="58"/>
      <c r="AB129" s="58"/>
      <c r="AC129" s="59"/>
      <c r="AD129" s="59"/>
    </row>
    <row r="130" spans="1:30" ht="12.75" customHeight="1" x14ac:dyDescent="0.2">
      <c r="A130" s="56"/>
      <c r="B130" s="56"/>
      <c r="C130" s="56"/>
      <c r="D130" s="57"/>
      <c r="E130" s="57"/>
      <c r="F130" s="56"/>
      <c r="G130" s="56"/>
      <c r="H130" s="56"/>
      <c r="I130" s="56"/>
      <c r="J130" s="56"/>
      <c r="K130" s="56"/>
      <c r="L130" s="56"/>
      <c r="M130" s="58"/>
      <c r="N130" s="58"/>
      <c r="O130" s="58"/>
      <c r="P130" s="58"/>
      <c r="Q130" s="58"/>
      <c r="R130" s="58"/>
      <c r="S130" s="58"/>
      <c r="T130" s="58"/>
      <c r="U130" s="58"/>
      <c r="V130" s="58"/>
      <c r="W130" s="58"/>
      <c r="X130" s="58"/>
      <c r="Y130" s="58"/>
      <c r="Z130" s="58"/>
      <c r="AA130" s="58"/>
      <c r="AB130" s="58"/>
      <c r="AC130" s="59"/>
      <c r="AD130" s="59"/>
    </row>
    <row r="131" spans="1:30" ht="12.75" customHeight="1" x14ac:dyDescent="0.2">
      <c r="A131" s="56"/>
      <c r="B131" s="56"/>
      <c r="C131" s="56"/>
      <c r="D131" s="57"/>
      <c r="E131" s="57"/>
      <c r="F131" s="56"/>
      <c r="G131" s="56"/>
      <c r="H131" s="56"/>
      <c r="I131" s="56"/>
      <c r="J131" s="56"/>
      <c r="K131" s="56"/>
      <c r="L131" s="56"/>
      <c r="M131" s="58"/>
      <c r="N131" s="58"/>
      <c r="O131" s="58"/>
      <c r="P131" s="58"/>
      <c r="Q131" s="58"/>
      <c r="R131" s="58"/>
      <c r="S131" s="58"/>
      <c r="T131" s="58"/>
      <c r="U131" s="58"/>
      <c r="V131" s="58"/>
      <c r="W131" s="58"/>
      <c r="X131" s="58"/>
      <c r="Y131" s="58"/>
      <c r="Z131" s="58"/>
      <c r="AA131" s="58"/>
      <c r="AB131" s="58"/>
      <c r="AC131" s="59"/>
      <c r="AD131" s="59"/>
    </row>
    <row r="132" spans="1:30" ht="12.75" customHeight="1" x14ac:dyDescent="0.2">
      <c r="A132" s="56"/>
      <c r="B132" s="56"/>
      <c r="C132" s="56"/>
      <c r="D132" s="57"/>
      <c r="E132" s="57"/>
      <c r="F132" s="56"/>
      <c r="G132" s="56"/>
      <c r="H132" s="56"/>
      <c r="I132" s="56"/>
      <c r="J132" s="56"/>
      <c r="K132" s="56"/>
      <c r="L132" s="56"/>
      <c r="M132" s="58"/>
      <c r="N132" s="58"/>
      <c r="O132" s="58"/>
      <c r="P132" s="58"/>
      <c r="Q132" s="58"/>
      <c r="R132" s="58"/>
      <c r="S132" s="58"/>
      <c r="T132" s="58"/>
      <c r="U132" s="58"/>
      <c r="V132" s="58"/>
      <c r="W132" s="58"/>
      <c r="X132" s="58"/>
      <c r="Y132" s="58"/>
      <c r="Z132" s="58"/>
      <c r="AA132" s="58"/>
      <c r="AB132" s="58"/>
      <c r="AC132" s="59"/>
      <c r="AD132" s="59"/>
    </row>
    <row r="133" spans="1:30" ht="12.75" customHeight="1" x14ac:dyDescent="0.2">
      <c r="A133" s="56"/>
      <c r="B133" s="56"/>
      <c r="C133" s="56"/>
      <c r="D133" s="57"/>
      <c r="E133" s="57"/>
      <c r="F133" s="56"/>
      <c r="G133" s="56"/>
      <c r="H133" s="56"/>
      <c r="I133" s="56"/>
      <c r="J133" s="56"/>
      <c r="K133" s="56"/>
      <c r="L133" s="56"/>
      <c r="M133" s="58"/>
      <c r="N133" s="58"/>
      <c r="O133" s="58"/>
      <c r="P133" s="58"/>
      <c r="Q133" s="58"/>
      <c r="R133" s="58"/>
      <c r="S133" s="58"/>
      <c r="T133" s="58"/>
      <c r="U133" s="58"/>
      <c r="V133" s="58"/>
      <c r="W133" s="58"/>
      <c r="X133" s="58"/>
      <c r="Y133" s="58"/>
      <c r="Z133" s="58"/>
      <c r="AA133" s="58"/>
      <c r="AB133" s="58"/>
      <c r="AC133" s="59"/>
      <c r="AD133" s="59"/>
    </row>
    <row r="134" spans="1:30" ht="12.75" customHeight="1" x14ac:dyDescent="0.2">
      <c r="A134" s="56"/>
      <c r="B134" s="56"/>
      <c r="C134" s="56"/>
      <c r="D134" s="57"/>
      <c r="E134" s="57"/>
      <c r="F134" s="56"/>
      <c r="G134" s="56"/>
      <c r="H134" s="56"/>
      <c r="I134" s="56"/>
      <c r="J134" s="56"/>
      <c r="K134" s="56"/>
      <c r="L134" s="56"/>
      <c r="M134" s="58"/>
      <c r="N134" s="58"/>
      <c r="O134" s="58"/>
      <c r="P134" s="58"/>
      <c r="Q134" s="58"/>
      <c r="R134" s="58"/>
      <c r="S134" s="58"/>
      <c r="T134" s="58"/>
      <c r="U134" s="58"/>
      <c r="V134" s="58"/>
      <c r="W134" s="58"/>
      <c r="X134" s="58"/>
      <c r="Y134" s="58"/>
      <c r="Z134" s="58"/>
      <c r="AA134" s="58"/>
      <c r="AB134" s="58"/>
      <c r="AC134" s="59"/>
      <c r="AD134" s="59"/>
    </row>
    <row r="135" spans="1:30" ht="12.75" customHeight="1" x14ac:dyDescent="0.2">
      <c r="A135" s="56"/>
      <c r="B135" s="56"/>
      <c r="C135" s="56"/>
      <c r="D135" s="57"/>
      <c r="E135" s="57"/>
      <c r="F135" s="56"/>
      <c r="G135" s="56"/>
      <c r="H135" s="56"/>
      <c r="I135" s="56"/>
      <c r="J135" s="56"/>
      <c r="K135" s="56"/>
      <c r="L135" s="56"/>
      <c r="M135" s="58"/>
      <c r="N135" s="58"/>
      <c r="O135" s="58"/>
      <c r="P135" s="58"/>
      <c r="Q135" s="58"/>
      <c r="R135" s="58"/>
      <c r="S135" s="58"/>
      <c r="T135" s="58"/>
      <c r="U135" s="58"/>
      <c r="V135" s="58"/>
      <c r="W135" s="58"/>
      <c r="X135" s="58"/>
      <c r="Y135" s="58"/>
      <c r="Z135" s="58"/>
      <c r="AA135" s="58"/>
      <c r="AB135" s="58"/>
      <c r="AC135" s="59"/>
      <c r="AD135" s="59"/>
    </row>
    <row r="136" spans="1:30" ht="12.75" customHeight="1" x14ac:dyDescent="0.2">
      <c r="A136" s="56"/>
      <c r="B136" s="56"/>
      <c r="C136" s="56"/>
      <c r="D136" s="57"/>
      <c r="E136" s="57"/>
      <c r="F136" s="56"/>
      <c r="G136" s="56"/>
      <c r="H136" s="56"/>
      <c r="I136" s="56"/>
      <c r="J136" s="56"/>
      <c r="K136" s="56"/>
      <c r="L136" s="56"/>
      <c r="M136" s="58"/>
      <c r="N136" s="58"/>
      <c r="O136" s="58"/>
      <c r="P136" s="58"/>
      <c r="Q136" s="58"/>
      <c r="R136" s="58"/>
      <c r="S136" s="58"/>
      <c r="T136" s="58"/>
      <c r="U136" s="58"/>
      <c r="V136" s="58"/>
      <c r="W136" s="58"/>
      <c r="X136" s="58"/>
      <c r="Y136" s="58"/>
      <c r="Z136" s="58"/>
      <c r="AA136" s="58"/>
      <c r="AB136" s="58"/>
      <c r="AC136" s="59"/>
      <c r="AD136" s="59"/>
    </row>
    <row r="137" spans="1:30" ht="12.75" customHeight="1" x14ac:dyDescent="0.2">
      <c r="A137" s="56"/>
      <c r="B137" s="56"/>
      <c r="C137" s="56"/>
      <c r="D137" s="57"/>
      <c r="E137" s="57"/>
      <c r="F137" s="56"/>
      <c r="G137" s="56"/>
      <c r="H137" s="56"/>
      <c r="I137" s="56"/>
      <c r="J137" s="56"/>
      <c r="K137" s="56"/>
      <c r="L137" s="56"/>
      <c r="M137" s="58"/>
      <c r="N137" s="58"/>
      <c r="O137" s="58"/>
      <c r="P137" s="58"/>
      <c r="Q137" s="58"/>
      <c r="R137" s="58"/>
      <c r="S137" s="58"/>
      <c r="T137" s="58"/>
      <c r="U137" s="58"/>
      <c r="V137" s="58"/>
      <c r="W137" s="58"/>
      <c r="X137" s="58"/>
      <c r="Y137" s="58"/>
      <c r="Z137" s="58"/>
      <c r="AA137" s="58"/>
      <c r="AB137" s="58"/>
      <c r="AC137" s="59"/>
      <c r="AD137" s="59"/>
    </row>
    <row r="138" spans="1:30" ht="12.75" customHeight="1" x14ac:dyDescent="0.2">
      <c r="A138" s="56"/>
      <c r="B138" s="56"/>
      <c r="C138" s="56"/>
      <c r="D138" s="57"/>
      <c r="E138" s="57"/>
      <c r="F138" s="56"/>
      <c r="G138" s="56"/>
      <c r="H138" s="56"/>
      <c r="I138" s="56"/>
      <c r="J138" s="56"/>
      <c r="K138" s="56"/>
      <c r="L138" s="56"/>
      <c r="M138" s="58"/>
      <c r="N138" s="58"/>
      <c r="O138" s="58"/>
      <c r="P138" s="58"/>
      <c r="Q138" s="58"/>
      <c r="R138" s="58"/>
      <c r="S138" s="58"/>
      <c r="T138" s="58"/>
      <c r="U138" s="58"/>
      <c r="V138" s="58"/>
      <c r="W138" s="58"/>
      <c r="X138" s="58"/>
      <c r="Y138" s="58"/>
      <c r="Z138" s="58"/>
      <c r="AA138" s="58"/>
      <c r="AB138" s="58"/>
      <c r="AC138" s="59"/>
      <c r="AD138" s="59"/>
    </row>
    <row r="139" spans="1:30" ht="12.75" customHeight="1" x14ac:dyDescent="0.2">
      <c r="A139" s="56"/>
      <c r="B139" s="56"/>
      <c r="C139" s="56"/>
      <c r="D139" s="57"/>
      <c r="E139" s="57"/>
      <c r="F139" s="56"/>
      <c r="G139" s="56"/>
      <c r="H139" s="56"/>
      <c r="I139" s="56"/>
      <c r="J139" s="56"/>
      <c r="K139" s="56"/>
      <c r="L139" s="56"/>
      <c r="M139" s="58"/>
      <c r="N139" s="58"/>
      <c r="O139" s="58"/>
      <c r="P139" s="58"/>
      <c r="Q139" s="58"/>
      <c r="R139" s="58"/>
      <c r="S139" s="58"/>
      <c r="T139" s="58"/>
      <c r="U139" s="58"/>
      <c r="V139" s="58"/>
      <c r="W139" s="58"/>
      <c r="X139" s="58"/>
      <c r="Y139" s="58"/>
      <c r="Z139" s="58"/>
      <c r="AA139" s="58"/>
      <c r="AB139" s="58"/>
      <c r="AC139" s="59"/>
      <c r="AD139" s="59"/>
    </row>
    <row r="140" spans="1:30" ht="12.75" customHeight="1" x14ac:dyDescent="0.2">
      <c r="A140" s="56"/>
      <c r="B140" s="56"/>
      <c r="C140" s="56"/>
      <c r="D140" s="57"/>
      <c r="E140" s="57"/>
      <c r="F140" s="56"/>
      <c r="G140" s="56"/>
      <c r="H140" s="56"/>
      <c r="I140" s="56"/>
      <c r="J140" s="56"/>
      <c r="K140" s="56"/>
      <c r="L140" s="56"/>
      <c r="M140" s="58"/>
      <c r="N140" s="58"/>
      <c r="O140" s="58"/>
      <c r="P140" s="58"/>
      <c r="Q140" s="58"/>
      <c r="R140" s="58"/>
      <c r="S140" s="58"/>
      <c r="T140" s="58"/>
      <c r="U140" s="58"/>
      <c r="V140" s="58"/>
      <c r="W140" s="58"/>
      <c r="X140" s="58"/>
      <c r="Y140" s="58"/>
      <c r="Z140" s="58"/>
      <c r="AA140" s="58"/>
      <c r="AB140" s="58"/>
      <c r="AC140" s="59"/>
      <c r="AD140" s="59"/>
    </row>
    <row r="141" spans="1:30" ht="12.75" customHeight="1" x14ac:dyDescent="0.2">
      <c r="A141" s="56"/>
      <c r="B141" s="56"/>
      <c r="C141" s="56"/>
      <c r="D141" s="57"/>
      <c r="E141" s="57"/>
      <c r="F141" s="56"/>
      <c r="G141" s="56"/>
      <c r="H141" s="56"/>
      <c r="I141" s="56"/>
      <c r="J141" s="56"/>
      <c r="K141" s="56"/>
      <c r="L141" s="56"/>
      <c r="M141" s="58"/>
      <c r="N141" s="58"/>
      <c r="O141" s="58"/>
      <c r="P141" s="58"/>
      <c r="Q141" s="58"/>
      <c r="R141" s="58"/>
      <c r="S141" s="58"/>
      <c r="T141" s="58"/>
      <c r="U141" s="58"/>
      <c r="V141" s="58"/>
      <c r="W141" s="58"/>
      <c r="X141" s="58"/>
      <c r="Y141" s="58"/>
      <c r="Z141" s="58"/>
      <c r="AA141" s="58"/>
      <c r="AB141" s="58"/>
      <c r="AC141" s="59"/>
      <c r="AD141" s="59"/>
    </row>
    <row r="142" spans="1:30" ht="12.75" customHeight="1" x14ac:dyDescent="0.2">
      <c r="A142" s="56"/>
      <c r="B142" s="56"/>
      <c r="C142" s="56"/>
      <c r="D142" s="57"/>
      <c r="E142" s="57"/>
      <c r="F142" s="56"/>
      <c r="G142" s="56"/>
      <c r="H142" s="56"/>
      <c r="I142" s="56"/>
      <c r="J142" s="56"/>
      <c r="K142" s="56"/>
      <c r="L142" s="56"/>
      <c r="M142" s="58"/>
      <c r="N142" s="58"/>
      <c r="O142" s="58"/>
      <c r="P142" s="58"/>
      <c r="Q142" s="58"/>
      <c r="R142" s="58"/>
      <c r="S142" s="58"/>
      <c r="T142" s="58"/>
      <c r="U142" s="58"/>
      <c r="V142" s="58"/>
      <c r="W142" s="58"/>
      <c r="X142" s="58"/>
      <c r="Y142" s="58"/>
      <c r="Z142" s="58"/>
      <c r="AA142" s="58"/>
      <c r="AB142" s="58"/>
      <c r="AC142" s="59"/>
      <c r="AD142" s="59"/>
    </row>
    <row r="143" spans="1:30" ht="12.75" customHeight="1" x14ac:dyDescent="0.2">
      <c r="A143" s="56"/>
      <c r="B143" s="56"/>
      <c r="C143" s="56"/>
      <c r="D143" s="57"/>
      <c r="E143" s="57"/>
      <c r="F143" s="56"/>
      <c r="G143" s="56"/>
      <c r="H143" s="56"/>
      <c r="I143" s="56"/>
      <c r="J143" s="56"/>
      <c r="K143" s="56"/>
      <c r="L143" s="56"/>
      <c r="M143" s="58"/>
      <c r="N143" s="58"/>
      <c r="O143" s="58"/>
      <c r="P143" s="58"/>
      <c r="Q143" s="58"/>
      <c r="R143" s="58"/>
      <c r="S143" s="58"/>
      <c r="T143" s="58"/>
      <c r="U143" s="58"/>
      <c r="V143" s="58"/>
      <c r="W143" s="58"/>
      <c r="X143" s="58"/>
      <c r="Y143" s="58"/>
      <c r="Z143" s="58"/>
      <c r="AA143" s="58"/>
      <c r="AB143" s="58"/>
      <c r="AC143" s="59"/>
      <c r="AD143" s="59"/>
    </row>
    <row r="144" spans="1:30" ht="12.75" customHeight="1" x14ac:dyDescent="0.2">
      <c r="A144" s="56"/>
      <c r="B144" s="56"/>
      <c r="C144" s="56"/>
      <c r="D144" s="57"/>
      <c r="E144" s="57"/>
      <c r="F144" s="56"/>
      <c r="G144" s="56"/>
      <c r="H144" s="56"/>
      <c r="I144" s="56"/>
      <c r="J144" s="56"/>
      <c r="K144" s="56"/>
      <c r="L144" s="56"/>
      <c r="M144" s="58"/>
      <c r="N144" s="58"/>
      <c r="O144" s="58"/>
      <c r="P144" s="58"/>
      <c r="Q144" s="58"/>
      <c r="R144" s="58"/>
      <c r="S144" s="58"/>
      <c r="T144" s="58"/>
      <c r="U144" s="58"/>
      <c r="V144" s="58"/>
      <c r="W144" s="58"/>
      <c r="X144" s="58"/>
      <c r="Y144" s="58"/>
      <c r="Z144" s="58"/>
      <c r="AA144" s="58"/>
      <c r="AB144" s="58"/>
      <c r="AC144" s="59"/>
      <c r="AD144" s="59"/>
    </row>
    <row r="145" spans="1:30" ht="12.75" customHeight="1" x14ac:dyDescent="0.2">
      <c r="A145" s="56"/>
      <c r="B145" s="56"/>
      <c r="C145" s="56"/>
      <c r="D145" s="57"/>
      <c r="E145" s="57"/>
      <c r="F145" s="56"/>
      <c r="G145" s="56"/>
      <c r="H145" s="56"/>
      <c r="I145" s="56"/>
      <c r="J145" s="56"/>
      <c r="K145" s="56"/>
      <c r="L145" s="56"/>
      <c r="M145" s="58"/>
      <c r="N145" s="58"/>
      <c r="O145" s="58"/>
      <c r="P145" s="58"/>
      <c r="Q145" s="58"/>
      <c r="R145" s="58"/>
      <c r="S145" s="58"/>
      <c r="T145" s="58"/>
      <c r="U145" s="58"/>
      <c r="V145" s="58"/>
      <c r="W145" s="58"/>
      <c r="X145" s="58"/>
      <c r="Y145" s="58"/>
      <c r="Z145" s="58"/>
      <c r="AA145" s="58"/>
      <c r="AB145" s="58"/>
      <c r="AC145" s="59"/>
      <c r="AD145" s="59"/>
    </row>
    <row r="146" spans="1:30" ht="12.75" customHeight="1" x14ac:dyDescent="0.2">
      <c r="A146" s="56"/>
      <c r="B146" s="56"/>
      <c r="C146" s="56"/>
      <c r="D146" s="57"/>
      <c r="E146" s="57"/>
      <c r="F146" s="56"/>
      <c r="G146" s="56"/>
      <c r="H146" s="56"/>
      <c r="I146" s="56"/>
      <c r="J146" s="56"/>
      <c r="K146" s="56"/>
      <c r="L146" s="56"/>
      <c r="M146" s="58"/>
      <c r="N146" s="58"/>
      <c r="O146" s="58"/>
      <c r="P146" s="58"/>
      <c r="Q146" s="58"/>
      <c r="R146" s="58"/>
      <c r="S146" s="58"/>
      <c r="T146" s="58"/>
      <c r="U146" s="58"/>
      <c r="V146" s="58"/>
      <c r="W146" s="58"/>
      <c r="X146" s="58"/>
      <c r="Y146" s="58"/>
      <c r="Z146" s="58"/>
      <c r="AA146" s="58"/>
      <c r="AB146" s="58"/>
      <c r="AC146" s="59"/>
      <c r="AD146" s="59"/>
    </row>
    <row r="147" spans="1:30" ht="12.75" customHeight="1" x14ac:dyDescent="0.2">
      <c r="A147" s="56"/>
      <c r="B147" s="56"/>
      <c r="C147" s="56"/>
      <c r="D147" s="57"/>
      <c r="E147" s="57"/>
      <c r="F147" s="56"/>
      <c r="G147" s="56"/>
      <c r="H147" s="56"/>
      <c r="I147" s="56"/>
      <c r="J147" s="56"/>
      <c r="K147" s="56"/>
      <c r="L147" s="56"/>
      <c r="M147" s="58"/>
      <c r="N147" s="58"/>
      <c r="O147" s="58"/>
      <c r="P147" s="58"/>
      <c r="Q147" s="58"/>
      <c r="R147" s="58"/>
      <c r="S147" s="58"/>
      <c r="T147" s="58"/>
      <c r="U147" s="58"/>
      <c r="V147" s="58"/>
      <c r="W147" s="58"/>
      <c r="X147" s="58"/>
      <c r="Y147" s="58"/>
      <c r="Z147" s="58"/>
      <c r="AA147" s="58"/>
      <c r="AB147" s="58"/>
      <c r="AC147" s="59"/>
      <c r="AD147" s="59"/>
    </row>
    <row r="148" spans="1:30" ht="12.75" customHeight="1" x14ac:dyDescent="0.2">
      <c r="A148" s="56"/>
      <c r="B148" s="56"/>
      <c r="C148" s="56"/>
      <c r="D148" s="57"/>
      <c r="E148" s="57"/>
      <c r="F148" s="56"/>
      <c r="G148" s="56"/>
      <c r="H148" s="56"/>
      <c r="I148" s="56"/>
      <c r="J148" s="56"/>
      <c r="K148" s="56"/>
      <c r="L148" s="56"/>
      <c r="M148" s="58"/>
      <c r="N148" s="58"/>
      <c r="O148" s="58"/>
      <c r="P148" s="58"/>
      <c r="Q148" s="58"/>
      <c r="R148" s="58"/>
      <c r="S148" s="58"/>
      <c r="T148" s="58"/>
      <c r="U148" s="58"/>
      <c r="V148" s="58"/>
      <c r="W148" s="58"/>
      <c r="X148" s="58"/>
      <c r="Y148" s="58"/>
      <c r="Z148" s="58"/>
      <c r="AA148" s="58"/>
      <c r="AB148" s="58"/>
      <c r="AC148" s="59"/>
      <c r="AD148" s="59"/>
    </row>
    <row r="149" spans="1:30" ht="12.75" customHeight="1" x14ac:dyDescent="0.2">
      <c r="A149" s="56"/>
      <c r="B149" s="56"/>
      <c r="C149" s="56"/>
      <c r="D149" s="57"/>
      <c r="E149" s="57"/>
      <c r="F149" s="56"/>
      <c r="G149" s="56"/>
      <c r="H149" s="56"/>
      <c r="I149" s="56"/>
      <c r="J149" s="56"/>
      <c r="K149" s="56"/>
      <c r="L149" s="56"/>
      <c r="M149" s="58"/>
      <c r="N149" s="58"/>
      <c r="O149" s="58"/>
      <c r="P149" s="58"/>
      <c r="Q149" s="58"/>
      <c r="R149" s="58"/>
      <c r="S149" s="58"/>
      <c r="T149" s="58"/>
      <c r="U149" s="58"/>
      <c r="V149" s="58"/>
      <c r="W149" s="58"/>
      <c r="X149" s="58"/>
      <c r="Y149" s="58"/>
      <c r="Z149" s="58"/>
      <c r="AA149" s="58"/>
      <c r="AB149" s="58"/>
      <c r="AC149" s="59"/>
      <c r="AD149" s="59"/>
    </row>
    <row r="150" spans="1:30" ht="12.75" customHeight="1" x14ac:dyDescent="0.2">
      <c r="A150" s="56"/>
      <c r="B150" s="56"/>
      <c r="C150" s="56"/>
      <c r="D150" s="57"/>
      <c r="E150" s="57"/>
      <c r="F150" s="56"/>
      <c r="G150" s="56"/>
      <c r="H150" s="56"/>
      <c r="I150" s="56"/>
      <c r="J150" s="56"/>
      <c r="K150" s="56"/>
      <c r="L150" s="56"/>
      <c r="M150" s="58"/>
      <c r="N150" s="58"/>
      <c r="O150" s="58"/>
      <c r="P150" s="58"/>
      <c r="Q150" s="58"/>
      <c r="R150" s="58"/>
      <c r="S150" s="58"/>
      <c r="T150" s="58"/>
      <c r="U150" s="58"/>
      <c r="V150" s="58"/>
      <c r="W150" s="58"/>
      <c r="X150" s="58"/>
      <c r="Y150" s="58"/>
      <c r="Z150" s="58"/>
      <c r="AA150" s="58"/>
      <c r="AB150" s="58"/>
      <c r="AC150" s="59"/>
      <c r="AD150" s="59"/>
    </row>
    <row r="151" spans="1:30" ht="12.75" customHeight="1" x14ac:dyDescent="0.2">
      <c r="A151" s="56"/>
      <c r="B151" s="56"/>
      <c r="C151" s="56"/>
      <c r="D151" s="57"/>
      <c r="E151" s="57"/>
      <c r="F151" s="56"/>
      <c r="G151" s="56"/>
      <c r="H151" s="56"/>
      <c r="I151" s="56"/>
      <c r="J151" s="56"/>
      <c r="K151" s="56"/>
      <c r="L151" s="56"/>
      <c r="M151" s="58"/>
      <c r="N151" s="58"/>
      <c r="O151" s="58"/>
      <c r="P151" s="58"/>
      <c r="Q151" s="58"/>
      <c r="R151" s="58"/>
      <c r="S151" s="58"/>
      <c r="T151" s="58"/>
      <c r="U151" s="58"/>
      <c r="V151" s="58"/>
      <c r="W151" s="58"/>
      <c r="X151" s="58"/>
      <c r="Y151" s="58"/>
      <c r="Z151" s="58"/>
      <c r="AA151" s="58"/>
      <c r="AB151" s="58"/>
      <c r="AC151" s="59"/>
      <c r="AD151" s="59"/>
    </row>
    <row r="152" spans="1:30" ht="12.75" customHeight="1" x14ac:dyDescent="0.2">
      <c r="A152" s="56"/>
      <c r="B152" s="56"/>
      <c r="C152" s="56"/>
      <c r="D152" s="57"/>
      <c r="E152" s="57"/>
      <c r="F152" s="56"/>
      <c r="G152" s="56"/>
      <c r="H152" s="56"/>
      <c r="I152" s="56"/>
      <c r="J152" s="56"/>
      <c r="K152" s="56"/>
      <c r="L152" s="56"/>
      <c r="M152" s="58"/>
      <c r="N152" s="58"/>
      <c r="O152" s="58"/>
      <c r="P152" s="58"/>
      <c r="Q152" s="58"/>
      <c r="R152" s="58"/>
      <c r="S152" s="58"/>
      <c r="T152" s="58"/>
      <c r="U152" s="58"/>
      <c r="V152" s="58"/>
      <c r="W152" s="58"/>
      <c r="X152" s="58"/>
      <c r="Y152" s="58"/>
      <c r="Z152" s="58"/>
      <c r="AA152" s="58"/>
      <c r="AB152" s="58"/>
      <c r="AC152" s="59"/>
      <c r="AD152" s="59"/>
    </row>
    <row r="153" spans="1:30" ht="12.75" customHeight="1" x14ac:dyDescent="0.2">
      <c r="A153" s="56"/>
      <c r="B153" s="56"/>
      <c r="C153" s="56"/>
      <c r="D153" s="57"/>
      <c r="E153" s="57"/>
      <c r="F153" s="56"/>
      <c r="G153" s="56"/>
      <c r="H153" s="56"/>
      <c r="I153" s="56"/>
      <c r="J153" s="56"/>
      <c r="K153" s="56"/>
      <c r="L153" s="56"/>
      <c r="M153" s="58"/>
      <c r="N153" s="58"/>
      <c r="O153" s="58"/>
      <c r="P153" s="58"/>
      <c r="Q153" s="58"/>
      <c r="R153" s="58"/>
      <c r="S153" s="58"/>
      <c r="T153" s="58"/>
      <c r="U153" s="58"/>
      <c r="V153" s="58"/>
      <c r="W153" s="58"/>
      <c r="X153" s="58"/>
      <c r="Y153" s="58"/>
      <c r="Z153" s="58"/>
      <c r="AA153" s="58"/>
      <c r="AB153" s="58"/>
      <c r="AC153" s="59"/>
      <c r="AD153" s="59"/>
    </row>
    <row r="154" spans="1:30" ht="12.75" customHeight="1" x14ac:dyDescent="0.2">
      <c r="A154" s="56"/>
      <c r="B154" s="56"/>
      <c r="C154" s="56"/>
      <c r="D154" s="57"/>
      <c r="E154" s="57"/>
      <c r="F154" s="56"/>
      <c r="G154" s="56"/>
      <c r="H154" s="56"/>
      <c r="I154" s="56"/>
      <c r="J154" s="56"/>
      <c r="K154" s="56"/>
      <c r="L154" s="56"/>
      <c r="M154" s="58"/>
      <c r="N154" s="58"/>
      <c r="O154" s="58"/>
      <c r="P154" s="58"/>
      <c r="Q154" s="58"/>
      <c r="R154" s="58"/>
      <c r="S154" s="58"/>
      <c r="T154" s="58"/>
      <c r="U154" s="58"/>
      <c r="V154" s="58"/>
      <c r="W154" s="58"/>
      <c r="X154" s="58"/>
      <c r="Y154" s="58"/>
      <c r="Z154" s="58"/>
      <c r="AA154" s="58"/>
      <c r="AB154" s="58"/>
      <c r="AC154" s="59"/>
      <c r="AD154" s="59"/>
    </row>
    <row r="155" spans="1:30" ht="12.75" customHeight="1" x14ac:dyDescent="0.2">
      <c r="A155" s="56"/>
      <c r="B155" s="56"/>
      <c r="C155" s="56"/>
      <c r="D155" s="57"/>
      <c r="E155" s="57"/>
      <c r="F155" s="56"/>
      <c r="G155" s="56"/>
      <c r="H155" s="56"/>
      <c r="I155" s="56"/>
      <c r="J155" s="56"/>
      <c r="K155" s="56"/>
      <c r="L155" s="56"/>
      <c r="M155" s="58"/>
      <c r="N155" s="58"/>
      <c r="O155" s="58"/>
      <c r="P155" s="58"/>
      <c r="Q155" s="58"/>
      <c r="R155" s="58"/>
      <c r="S155" s="58"/>
      <c r="T155" s="58"/>
      <c r="U155" s="58"/>
      <c r="V155" s="58"/>
      <c r="W155" s="58"/>
      <c r="X155" s="58"/>
      <c r="Y155" s="58"/>
      <c r="Z155" s="58"/>
      <c r="AA155" s="58"/>
      <c r="AB155" s="58"/>
      <c r="AC155" s="59"/>
      <c r="AD155" s="59"/>
    </row>
    <row r="156" spans="1:30" ht="12.75" customHeight="1" x14ac:dyDescent="0.2">
      <c r="A156" s="56"/>
      <c r="B156" s="56"/>
      <c r="C156" s="56"/>
      <c r="D156" s="57"/>
      <c r="E156" s="57"/>
      <c r="F156" s="56"/>
      <c r="G156" s="56"/>
      <c r="H156" s="56"/>
      <c r="I156" s="56"/>
      <c r="J156" s="56"/>
      <c r="K156" s="56"/>
      <c r="L156" s="56"/>
      <c r="M156" s="58"/>
      <c r="N156" s="58"/>
      <c r="O156" s="58"/>
      <c r="P156" s="58"/>
      <c r="Q156" s="58"/>
      <c r="R156" s="58"/>
      <c r="S156" s="58"/>
      <c r="T156" s="58"/>
      <c r="U156" s="58"/>
      <c r="V156" s="58"/>
      <c r="W156" s="58"/>
      <c r="X156" s="58"/>
      <c r="Y156" s="58"/>
      <c r="Z156" s="58"/>
      <c r="AA156" s="58"/>
      <c r="AB156" s="58"/>
      <c r="AC156" s="59"/>
      <c r="AD156" s="59"/>
    </row>
    <row r="157" spans="1:30" ht="12.75" customHeight="1" x14ac:dyDescent="0.2">
      <c r="A157" s="56"/>
      <c r="B157" s="56"/>
      <c r="C157" s="56"/>
      <c r="D157" s="57"/>
      <c r="E157" s="57"/>
      <c r="F157" s="56"/>
      <c r="G157" s="56"/>
      <c r="H157" s="56"/>
      <c r="I157" s="56"/>
      <c r="J157" s="56"/>
      <c r="K157" s="56"/>
      <c r="L157" s="56"/>
      <c r="M157" s="58"/>
      <c r="N157" s="58"/>
      <c r="O157" s="58"/>
      <c r="P157" s="58"/>
      <c r="Q157" s="58"/>
      <c r="R157" s="58"/>
      <c r="S157" s="58"/>
      <c r="T157" s="58"/>
      <c r="U157" s="58"/>
      <c r="V157" s="58"/>
      <c r="W157" s="58"/>
      <c r="X157" s="58"/>
      <c r="Y157" s="58"/>
      <c r="Z157" s="58"/>
      <c r="AA157" s="58"/>
      <c r="AB157" s="58"/>
      <c r="AC157" s="59"/>
      <c r="AD157" s="59"/>
    </row>
    <row r="158" spans="1:30" ht="12.75" customHeight="1" x14ac:dyDescent="0.2">
      <c r="A158" s="56"/>
      <c r="B158" s="56"/>
      <c r="C158" s="56"/>
      <c r="D158" s="57"/>
      <c r="E158" s="57"/>
      <c r="F158" s="56"/>
      <c r="G158" s="56"/>
      <c r="H158" s="56"/>
      <c r="I158" s="56"/>
      <c r="J158" s="56"/>
      <c r="K158" s="56"/>
      <c r="L158" s="56"/>
      <c r="M158" s="58"/>
      <c r="N158" s="58"/>
      <c r="O158" s="58"/>
      <c r="P158" s="58"/>
      <c r="Q158" s="58"/>
      <c r="R158" s="58"/>
      <c r="S158" s="58"/>
      <c r="T158" s="58"/>
      <c r="U158" s="58"/>
      <c r="V158" s="58"/>
      <c r="W158" s="58"/>
      <c r="X158" s="58"/>
      <c r="Y158" s="58"/>
      <c r="Z158" s="58"/>
      <c r="AA158" s="58"/>
      <c r="AB158" s="58"/>
      <c r="AC158" s="59"/>
      <c r="AD158" s="59"/>
    </row>
    <row r="159" spans="1:30" ht="12.75" customHeight="1" x14ac:dyDescent="0.2">
      <c r="A159" s="56"/>
      <c r="B159" s="56"/>
      <c r="C159" s="56"/>
      <c r="D159" s="57"/>
      <c r="E159" s="57"/>
      <c r="F159" s="56"/>
      <c r="G159" s="56"/>
      <c r="H159" s="56"/>
      <c r="I159" s="56"/>
      <c r="J159" s="56"/>
      <c r="K159" s="56"/>
      <c r="L159" s="56"/>
      <c r="M159" s="58"/>
      <c r="N159" s="58"/>
      <c r="O159" s="58"/>
      <c r="P159" s="58"/>
      <c r="Q159" s="58"/>
      <c r="R159" s="58"/>
      <c r="S159" s="58"/>
      <c r="T159" s="58"/>
      <c r="U159" s="58"/>
      <c r="V159" s="58"/>
      <c r="W159" s="58"/>
      <c r="X159" s="58"/>
      <c r="Y159" s="58"/>
      <c r="Z159" s="58"/>
      <c r="AA159" s="58"/>
      <c r="AB159" s="58"/>
      <c r="AC159" s="59"/>
      <c r="AD159" s="59"/>
    </row>
    <row r="160" spans="1:30" ht="12.75" customHeight="1" x14ac:dyDescent="0.2">
      <c r="A160" s="56"/>
      <c r="B160" s="56"/>
      <c r="C160" s="56"/>
      <c r="D160" s="57"/>
      <c r="E160" s="57"/>
      <c r="F160" s="56"/>
      <c r="G160" s="56"/>
      <c r="H160" s="56"/>
      <c r="I160" s="56"/>
      <c r="J160" s="56"/>
      <c r="K160" s="56"/>
      <c r="L160" s="56"/>
      <c r="M160" s="58"/>
      <c r="N160" s="58"/>
      <c r="O160" s="58"/>
      <c r="P160" s="58"/>
      <c r="Q160" s="58"/>
      <c r="R160" s="58"/>
      <c r="S160" s="58"/>
      <c r="T160" s="58"/>
      <c r="U160" s="58"/>
      <c r="V160" s="58"/>
      <c r="W160" s="58"/>
      <c r="X160" s="58"/>
      <c r="Y160" s="58"/>
      <c r="Z160" s="58"/>
      <c r="AA160" s="58"/>
      <c r="AB160" s="58"/>
      <c r="AC160" s="59"/>
      <c r="AD160" s="59"/>
    </row>
    <row r="161" spans="1:30" ht="12.75" customHeight="1" x14ac:dyDescent="0.2">
      <c r="A161" s="56"/>
      <c r="B161" s="56"/>
      <c r="C161" s="56"/>
      <c r="D161" s="57"/>
      <c r="E161" s="57"/>
      <c r="F161" s="56"/>
      <c r="G161" s="56"/>
      <c r="H161" s="56"/>
      <c r="I161" s="56"/>
      <c r="J161" s="56"/>
      <c r="K161" s="56"/>
      <c r="L161" s="56"/>
      <c r="M161" s="58"/>
      <c r="N161" s="58"/>
      <c r="O161" s="58"/>
      <c r="P161" s="58"/>
      <c r="Q161" s="58"/>
      <c r="R161" s="58"/>
      <c r="S161" s="58"/>
      <c r="T161" s="58"/>
      <c r="U161" s="58"/>
      <c r="V161" s="58"/>
      <c r="W161" s="58"/>
      <c r="X161" s="58"/>
      <c r="Y161" s="58"/>
      <c r="Z161" s="58"/>
      <c r="AA161" s="58"/>
      <c r="AB161" s="58"/>
      <c r="AC161" s="59"/>
      <c r="AD161" s="59"/>
    </row>
    <row r="162" spans="1:30" ht="12.75" customHeight="1" x14ac:dyDescent="0.2">
      <c r="A162" s="56"/>
      <c r="B162" s="56"/>
      <c r="C162" s="56"/>
      <c r="D162" s="57"/>
      <c r="E162" s="57"/>
      <c r="F162" s="56"/>
      <c r="G162" s="56"/>
      <c r="H162" s="56"/>
      <c r="I162" s="56"/>
      <c r="J162" s="56"/>
      <c r="K162" s="56"/>
      <c r="L162" s="56"/>
      <c r="M162" s="58"/>
      <c r="N162" s="58"/>
      <c r="O162" s="58"/>
      <c r="P162" s="58"/>
      <c r="Q162" s="58"/>
      <c r="R162" s="58"/>
      <c r="S162" s="58"/>
      <c r="T162" s="58"/>
      <c r="U162" s="58"/>
      <c r="V162" s="58"/>
      <c r="W162" s="58"/>
      <c r="X162" s="58"/>
      <c r="Y162" s="58"/>
      <c r="Z162" s="58"/>
      <c r="AA162" s="58"/>
      <c r="AB162" s="58"/>
      <c r="AC162" s="59"/>
      <c r="AD162" s="59"/>
    </row>
    <row r="163" spans="1:30" ht="12.75" customHeight="1" x14ac:dyDescent="0.2">
      <c r="A163" s="56"/>
      <c r="B163" s="56"/>
      <c r="C163" s="56"/>
      <c r="D163" s="57"/>
      <c r="E163" s="57"/>
      <c r="F163" s="56"/>
      <c r="G163" s="56"/>
      <c r="H163" s="56"/>
      <c r="I163" s="56"/>
      <c r="J163" s="56"/>
      <c r="K163" s="56"/>
      <c r="L163" s="56"/>
      <c r="M163" s="58"/>
      <c r="N163" s="58"/>
      <c r="O163" s="58"/>
      <c r="P163" s="58"/>
      <c r="Q163" s="58"/>
      <c r="R163" s="58"/>
      <c r="S163" s="58"/>
      <c r="T163" s="58"/>
      <c r="U163" s="58"/>
      <c r="V163" s="58"/>
      <c r="W163" s="58"/>
      <c r="X163" s="58"/>
      <c r="Y163" s="58"/>
      <c r="Z163" s="58"/>
      <c r="AA163" s="58"/>
      <c r="AB163" s="58"/>
      <c r="AC163" s="59"/>
      <c r="AD163" s="59"/>
    </row>
    <row r="164" spans="1:30" ht="12.75" customHeight="1" x14ac:dyDescent="0.2">
      <c r="A164" s="56"/>
      <c r="B164" s="56"/>
      <c r="C164" s="56"/>
      <c r="D164" s="57"/>
      <c r="E164" s="57"/>
      <c r="F164" s="56"/>
      <c r="G164" s="56"/>
      <c r="H164" s="56"/>
      <c r="I164" s="56"/>
      <c r="J164" s="56"/>
      <c r="K164" s="56"/>
      <c r="L164" s="56"/>
      <c r="M164" s="58"/>
      <c r="N164" s="58"/>
      <c r="O164" s="58"/>
      <c r="P164" s="58"/>
      <c r="Q164" s="58"/>
      <c r="R164" s="58"/>
      <c r="S164" s="58"/>
      <c r="T164" s="58"/>
      <c r="U164" s="58"/>
      <c r="V164" s="58"/>
      <c r="W164" s="58"/>
      <c r="X164" s="58"/>
      <c r="Y164" s="58"/>
      <c r="Z164" s="58"/>
      <c r="AA164" s="58"/>
      <c r="AB164" s="58"/>
      <c r="AC164" s="59"/>
      <c r="AD164" s="59"/>
    </row>
    <row r="165" spans="1:30" ht="12.75" customHeight="1" x14ac:dyDescent="0.2">
      <c r="A165" s="56"/>
      <c r="B165" s="56"/>
      <c r="C165" s="56"/>
      <c r="D165" s="57"/>
      <c r="E165" s="57"/>
      <c r="F165" s="56"/>
      <c r="G165" s="56"/>
      <c r="H165" s="56"/>
      <c r="I165" s="56"/>
      <c r="J165" s="56"/>
      <c r="K165" s="56"/>
      <c r="L165" s="56"/>
      <c r="M165" s="58"/>
      <c r="N165" s="58"/>
      <c r="O165" s="58"/>
      <c r="P165" s="58"/>
      <c r="Q165" s="58"/>
      <c r="R165" s="58"/>
      <c r="S165" s="58"/>
      <c r="T165" s="58"/>
      <c r="U165" s="58"/>
      <c r="V165" s="58"/>
      <c r="W165" s="58"/>
      <c r="X165" s="58"/>
      <c r="Y165" s="58"/>
      <c r="Z165" s="58"/>
      <c r="AA165" s="58"/>
      <c r="AB165" s="58"/>
      <c r="AC165" s="59"/>
      <c r="AD165" s="59"/>
    </row>
    <row r="166" spans="1:30" ht="12.75" customHeight="1" x14ac:dyDescent="0.2">
      <c r="A166" s="56"/>
      <c r="B166" s="56"/>
      <c r="C166" s="56"/>
      <c r="D166" s="57"/>
      <c r="E166" s="57"/>
      <c r="F166" s="56"/>
      <c r="G166" s="56"/>
      <c r="H166" s="56"/>
      <c r="I166" s="56"/>
      <c r="J166" s="56"/>
      <c r="K166" s="56"/>
      <c r="L166" s="56"/>
      <c r="M166" s="58"/>
      <c r="N166" s="58"/>
      <c r="O166" s="58"/>
      <c r="P166" s="58"/>
      <c r="Q166" s="58"/>
      <c r="R166" s="58"/>
      <c r="S166" s="58"/>
      <c r="T166" s="58"/>
      <c r="U166" s="58"/>
      <c r="V166" s="58"/>
      <c r="W166" s="58"/>
      <c r="X166" s="58"/>
      <c r="Y166" s="58"/>
      <c r="Z166" s="58"/>
      <c r="AA166" s="58"/>
      <c r="AB166" s="58"/>
      <c r="AC166" s="59"/>
      <c r="AD166" s="59"/>
    </row>
    <row r="167" spans="1:30" ht="12.75" customHeight="1" x14ac:dyDescent="0.2">
      <c r="A167" s="56"/>
      <c r="B167" s="56"/>
      <c r="C167" s="56"/>
      <c r="D167" s="57"/>
      <c r="E167" s="57"/>
      <c r="F167" s="56"/>
      <c r="G167" s="56"/>
      <c r="H167" s="56"/>
      <c r="I167" s="56"/>
      <c r="J167" s="56"/>
      <c r="K167" s="56"/>
      <c r="L167" s="56"/>
      <c r="M167" s="58"/>
      <c r="N167" s="58"/>
      <c r="O167" s="58"/>
      <c r="P167" s="58"/>
      <c r="Q167" s="58"/>
      <c r="R167" s="58"/>
      <c r="S167" s="58"/>
      <c r="T167" s="58"/>
      <c r="U167" s="58"/>
      <c r="V167" s="58"/>
      <c r="W167" s="58"/>
      <c r="X167" s="58"/>
      <c r="Y167" s="58"/>
      <c r="Z167" s="58"/>
      <c r="AA167" s="58"/>
      <c r="AB167" s="58"/>
      <c r="AC167" s="59"/>
      <c r="AD167" s="59"/>
    </row>
    <row r="168" spans="1:30" ht="12.75" customHeight="1" x14ac:dyDescent="0.2">
      <c r="A168" s="56"/>
      <c r="B168" s="56"/>
      <c r="C168" s="56"/>
      <c r="D168" s="57"/>
      <c r="E168" s="57"/>
      <c r="F168" s="56"/>
      <c r="G168" s="56"/>
      <c r="H168" s="56"/>
      <c r="I168" s="56"/>
      <c r="J168" s="56"/>
      <c r="K168" s="56"/>
      <c r="L168" s="56"/>
      <c r="M168" s="58"/>
      <c r="N168" s="58"/>
      <c r="O168" s="58"/>
      <c r="P168" s="58"/>
      <c r="Q168" s="58"/>
      <c r="R168" s="58"/>
      <c r="S168" s="58"/>
      <c r="T168" s="58"/>
      <c r="U168" s="58"/>
      <c r="V168" s="58"/>
      <c r="W168" s="58"/>
      <c r="X168" s="58"/>
      <c r="Y168" s="58"/>
      <c r="Z168" s="58"/>
      <c r="AA168" s="58"/>
      <c r="AB168" s="58"/>
      <c r="AC168" s="59"/>
      <c r="AD168" s="59"/>
    </row>
    <row r="169" spans="1:30" ht="12.75" customHeight="1" x14ac:dyDescent="0.2">
      <c r="A169" s="56"/>
      <c r="B169" s="56"/>
      <c r="C169" s="56"/>
      <c r="D169" s="57"/>
      <c r="E169" s="57"/>
      <c r="F169" s="56"/>
      <c r="G169" s="56"/>
      <c r="H169" s="56"/>
      <c r="I169" s="56"/>
      <c r="J169" s="56"/>
      <c r="K169" s="56"/>
      <c r="L169" s="56"/>
      <c r="M169" s="58"/>
      <c r="N169" s="58"/>
      <c r="O169" s="58"/>
      <c r="P169" s="58"/>
      <c r="Q169" s="58"/>
      <c r="R169" s="58"/>
      <c r="S169" s="58"/>
      <c r="T169" s="58"/>
      <c r="U169" s="58"/>
      <c r="V169" s="58"/>
      <c r="W169" s="58"/>
      <c r="X169" s="58"/>
      <c r="Y169" s="58"/>
      <c r="Z169" s="58"/>
      <c r="AA169" s="58"/>
      <c r="AB169" s="58"/>
      <c r="AC169" s="59"/>
      <c r="AD169" s="59"/>
    </row>
    <row r="170" spans="1:30" ht="12.75" customHeight="1" x14ac:dyDescent="0.2">
      <c r="A170" s="56"/>
      <c r="B170" s="56"/>
      <c r="C170" s="56"/>
      <c r="D170" s="57"/>
      <c r="E170" s="57"/>
      <c r="F170" s="56"/>
      <c r="G170" s="56"/>
      <c r="H170" s="56"/>
      <c r="I170" s="56"/>
      <c r="J170" s="56"/>
      <c r="K170" s="56"/>
      <c r="L170" s="56"/>
      <c r="M170" s="58"/>
      <c r="N170" s="58"/>
      <c r="O170" s="58"/>
      <c r="P170" s="58"/>
      <c r="Q170" s="58"/>
      <c r="R170" s="58"/>
      <c r="S170" s="58"/>
      <c r="T170" s="58"/>
      <c r="U170" s="58"/>
      <c r="V170" s="58"/>
      <c r="W170" s="58"/>
      <c r="X170" s="58"/>
      <c r="Y170" s="58"/>
      <c r="Z170" s="58"/>
      <c r="AA170" s="58"/>
      <c r="AB170" s="58"/>
      <c r="AC170" s="59"/>
      <c r="AD170" s="59"/>
    </row>
    <row r="171" spans="1:30" ht="12.75" customHeight="1" x14ac:dyDescent="0.2">
      <c r="A171" s="56"/>
      <c r="B171" s="56"/>
      <c r="C171" s="56"/>
      <c r="D171" s="57"/>
      <c r="E171" s="57"/>
      <c r="F171" s="56"/>
      <c r="G171" s="56"/>
      <c r="H171" s="56"/>
      <c r="I171" s="56"/>
      <c r="J171" s="56"/>
      <c r="K171" s="56"/>
      <c r="L171" s="56"/>
      <c r="M171" s="58"/>
      <c r="N171" s="58"/>
      <c r="O171" s="58"/>
      <c r="P171" s="58"/>
      <c r="Q171" s="58"/>
      <c r="R171" s="58"/>
      <c r="S171" s="58"/>
      <c r="T171" s="58"/>
      <c r="U171" s="58"/>
      <c r="V171" s="58"/>
      <c r="W171" s="58"/>
      <c r="X171" s="58"/>
      <c r="Y171" s="58"/>
      <c r="Z171" s="58"/>
      <c r="AA171" s="58"/>
      <c r="AB171" s="58"/>
      <c r="AC171" s="59"/>
      <c r="AD171" s="59"/>
    </row>
    <row r="172" spans="1:30" ht="12.75" customHeight="1" x14ac:dyDescent="0.2">
      <c r="A172" s="56"/>
      <c r="B172" s="56"/>
      <c r="C172" s="56"/>
      <c r="D172" s="57"/>
      <c r="E172" s="57"/>
      <c r="F172" s="56"/>
      <c r="G172" s="56"/>
      <c r="H172" s="56"/>
      <c r="I172" s="56"/>
      <c r="J172" s="56"/>
      <c r="K172" s="56"/>
      <c r="L172" s="56"/>
      <c r="M172" s="58"/>
      <c r="N172" s="58"/>
      <c r="O172" s="58"/>
      <c r="P172" s="58"/>
      <c r="Q172" s="58"/>
      <c r="R172" s="58"/>
      <c r="S172" s="58"/>
      <c r="T172" s="58"/>
      <c r="U172" s="58"/>
      <c r="V172" s="58"/>
      <c r="W172" s="58"/>
      <c r="X172" s="58"/>
      <c r="Y172" s="58"/>
      <c r="Z172" s="58"/>
      <c r="AA172" s="58"/>
      <c r="AB172" s="58"/>
      <c r="AC172" s="59"/>
      <c r="AD172" s="59"/>
    </row>
    <row r="173" spans="1:30" ht="12.75" customHeight="1" x14ac:dyDescent="0.2">
      <c r="A173" s="56"/>
      <c r="B173" s="56"/>
      <c r="C173" s="56"/>
      <c r="D173" s="57"/>
      <c r="E173" s="57"/>
      <c r="F173" s="56"/>
      <c r="G173" s="56"/>
      <c r="H173" s="56"/>
      <c r="I173" s="56"/>
      <c r="J173" s="56"/>
      <c r="K173" s="56"/>
      <c r="L173" s="56"/>
      <c r="M173" s="58"/>
      <c r="N173" s="58"/>
      <c r="O173" s="58"/>
      <c r="P173" s="58"/>
      <c r="Q173" s="58"/>
      <c r="R173" s="58"/>
      <c r="S173" s="58"/>
      <c r="T173" s="58"/>
      <c r="U173" s="58"/>
      <c r="V173" s="58"/>
      <c r="W173" s="58"/>
      <c r="X173" s="58"/>
      <c r="Y173" s="58"/>
      <c r="Z173" s="58"/>
      <c r="AA173" s="58"/>
      <c r="AB173" s="58"/>
      <c r="AC173" s="59"/>
      <c r="AD173" s="59"/>
    </row>
    <row r="174" spans="1:30" ht="12.75" customHeight="1" x14ac:dyDescent="0.2">
      <c r="A174" s="56"/>
      <c r="B174" s="56"/>
      <c r="C174" s="56"/>
      <c r="D174" s="57"/>
      <c r="E174" s="57"/>
      <c r="F174" s="56"/>
      <c r="G174" s="56"/>
      <c r="H174" s="56"/>
      <c r="I174" s="56"/>
      <c r="J174" s="56"/>
      <c r="K174" s="56"/>
      <c r="L174" s="56"/>
      <c r="M174" s="58"/>
      <c r="N174" s="58"/>
      <c r="O174" s="58"/>
      <c r="P174" s="58"/>
      <c r="Q174" s="58"/>
      <c r="R174" s="58"/>
      <c r="S174" s="58"/>
      <c r="T174" s="58"/>
      <c r="U174" s="58"/>
      <c r="V174" s="58"/>
      <c r="W174" s="58"/>
      <c r="X174" s="58"/>
      <c r="Y174" s="58"/>
      <c r="Z174" s="58"/>
      <c r="AA174" s="58"/>
      <c r="AB174" s="58"/>
      <c r="AC174" s="59"/>
      <c r="AD174" s="59"/>
    </row>
    <row r="175" spans="1:30" ht="12.75" customHeight="1" x14ac:dyDescent="0.2">
      <c r="A175" s="56"/>
      <c r="B175" s="56"/>
      <c r="C175" s="56"/>
      <c r="D175" s="57"/>
      <c r="E175" s="57"/>
      <c r="F175" s="56"/>
      <c r="G175" s="56"/>
      <c r="H175" s="56"/>
      <c r="I175" s="56"/>
      <c r="J175" s="56"/>
      <c r="K175" s="56"/>
      <c r="L175" s="56"/>
      <c r="M175" s="58"/>
      <c r="N175" s="58"/>
      <c r="O175" s="58"/>
      <c r="P175" s="58"/>
      <c r="Q175" s="58"/>
      <c r="R175" s="58"/>
      <c r="S175" s="58"/>
      <c r="T175" s="58"/>
      <c r="U175" s="58"/>
      <c r="V175" s="58"/>
      <c r="W175" s="58"/>
      <c r="X175" s="58"/>
      <c r="Y175" s="58"/>
      <c r="Z175" s="58"/>
      <c r="AA175" s="58"/>
      <c r="AB175" s="58"/>
      <c r="AC175" s="59"/>
      <c r="AD175" s="59"/>
    </row>
    <row r="176" spans="1:30" ht="12.75" customHeight="1" x14ac:dyDescent="0.2">
      <c r="A176" s="56"/>
      <c r="B176" s="56"/>
      <c r="C176" s="56"/>
      <c r="D176" s="57"/>
      <c r="E176" s="57"/>
      <c r="F176" s="56"/>
      <c r="G176" s="56"/>
      <c r="H176" s="56"/>
      <c r="I176" s="56"/>
      <c r="J176" s="56"/>
      <c r="K176" s="56"/>
      <c r="L176" s="56"/>
      <c r="M176" s="58"/>
      <c r="N176" s="58"/>
      <c r="O176" s="58"/>
      <c r="P176" s="58"/>
      <c r="Q176" s="58"/>
      <c r="R176" s="58"/>
      <c r="S176" s="58"/>
      <c r="T176" s="58"/>
      <c r="U176" s="58"/>
      <c r="V176" s="58"/>
      <c r="W176" s="58"/>
      <c r="X176" s="58"/>
      <c r="Y176" s="58"/>
      <c r="Z176" s="58"/>
      <c r="AA176" s="58"/>
      <c r="AB176" s="58"/>
      <c r="AC176" s="59"/>
      <c r="AD176" s="59"/>
    </row>
    <row r="177" spans="1:30" ht="12.75" customHeight="1" x14ac:dyDescent="0.2">
      <c r="A177" s="56"/>
      <c r="B177" s="56"/>
      <c r="C177" s="56"/>
      <c r="D177" s="57"/>
      <c r="E177" s="57"/>
      <c r="F177" s="56"/>
      <c r="G177" s="56"/>
      <c r="H177" s="56"/>
      <c r="I177" s="56"/>
      <c r="J177" s="56"/>
      <c r="K177" s="56"/>
      <c r="L177" s="56"/>
      <c r="M177" s="58"/>
      <c r="N177" s="58"/>
      <c r="O177" s="58"/>
      <c r="P177" s="58"/>
      <c r="Q177" s="58"/>
      <c r="R177" s="58"/>
      <c r="S177" s="58"/>
      <c r="T177" s="58"/>
      <c r="U177" s="58"/>
      <c r="V177" s="58"/>
      <c r="W177" s="58"/>
      <c r="X177" s="58"/>
      <c r="Y177" s="58"/>
      <c r="Z177" s="58"/>
      <c r="AA177" s="58"/>
      <c r="AB177" s="58"/>
      <c r="AC177" s="59"/>
      <c r="AD177" s="59"/>
    </row>
    <row r="178" spans="1:30" ht="12.75" customHeight="1" x14ac:dyDescent="0.2">
      <c r="A178" s="56"/>
      <c r="B178" s="56"/>
      <c r="C178" s="56"/>
      <c r="D178" s="57"/>
      <c r="E178" s="57"/>
      <c r="F178" s="56"/>
      <c r="G178" s="56"/>
      <c r="H178" s="56"/>
      <c r="I178" s="56"/>
      <c r="J178" s="56"/>
      <c r="K178" s="56"/>
      <c r="L178" s="56"/>
      <c r="M178" s="58"/>
      <c r="N178" s="58"/>
      <c r="O178" s="58"/>
      <c r="P178" s="58"/>
      <c r="Q178" s="58"/>
      <c r="R178" s="58"/>
      <c r="S178" s="58"/>
      <c r="T178" s="58"/>
      <c r="U178" s="58"/>
      <c r="V178" s="58"/>
      <c r="W178" s="58"/>
      <c r="X178" s="58"/>
      <c r="Y178" s="58"/>
      <c r="Z178" s="58"/>
      <c r="AA178" s="58"/>
      <c r="AB178" s="58"/>
      <c r="AC178" s="59"/>
      <c r="AD178" s="59"/>
    </row>
    <row r="179" spans="1:30" ht="12.75" customHeight="1" x14ac:dyDescent="0.2">
      <c r="A179" s="56"/>
      <c r="B179" s="56"/>
      <c r="C179" s="56"/>
      <c r="D179" s="57"/>
      <c r="E179" s="57"/>
      <c r="F179" s="56"/>
      <c r="G179" s="56"/>
      <c r="H179" s="56"/>
      <c r="I179" s="56"/>
      <c r="J179" s="56"/>
      <c r="K179" s="56"/>
      <c r="L179" s="56"/>
      <c r="M179" s="58"/>
      <c r="N179" s="58"/>
      <c r="O179" s="58"/>
      <c r="P179" s="58"/>
      <c r="Q179" s="58"/>
      <c r="R179" s="58"/>
      <c r="S179" s="58"/>
      <c r="T179" s="58"/>
      <c r="U179" s="58"/>
      <c r="V179" s="58"/>
      <c r="W179" s="58"/>
      <c r="X179" s="58"/>
      <c r="Y179" s="58"/>
      <c r="Z179" s="58"/>
      <c r="AA179" s="58"/>
      <c r="AB179" s="58"/>
      <c r="AC179" s="59"/>
      <c r="AD179" s="59"/>
    </row>
    <row r="180" spans="1:30" ht="12.75" customHeight="1" x14ac:dyDescent="0.2">
      <c r="A180" s="56"/>
      <c r="B180" s="56"/>
      <c r="C180" s="56"/>
      <c r="D180" s="57"/>
      <c r="E180" s="57"/>
      <c r="F180" s="56"/>
      <c r="G180" s="56"/>
      <c r="H180" s="56"/>
      <c r="I180" s="56"/>
      <c r="J180" s="56"/>
      <c r="K180" s="56"/>
      <c r="L180" s="56"/>
      <c r="M180" s="58"/>
      <c r="N180" s="58"/>
      <c r="O180" s="58"/>
      <c r="P180" s="58"/>
      <c r="Q180" s="58"/>
      <c r="R180" s="58"/>
      <c r="S180" s="58"/>
      <c r="T180" s="58"/>
      <c r="U180" s="58"/>
      <c r="V180" s="58"/>
      <c r="W180" s="58"/>
      <c r="X180" s="58"/>
      <c r="Y180" s="58"/>
      <c r="Z180" s="58"/>
      <c r="AA180" s="58"/>
      <c r="AB180" s="58"/>
      <c r="AC180" s="59"/>
      <c r="AD180" s="59"/>
    </row>
    <row r="181" spans="1:30" ht="12.75" customHeight="1" x14ac:dyDescent="0.2">
      <c r="A181" s="56"/>
      <c r="B181" s="56"/>
      <c r="C181" s="56"/>
      <c r="D181" s="57"/>
      <c r="E181" s="57"/>
      <c r="F181" s="56"/>
      <c r="G181" s="56"/>
      <c r="H181" s="56"/>
      <c r="I181" s="56"/>
      <c r="J181" s="56"/>
      <c r="K181" s="56"/>
      <c r="L181" s="56"/>
      <c r="M181" s="58"/>
      <c r="N181" s="58"/>
      <c r="O181" s="58"/>
      <c r="P181" s="58"/>
      <c r="Q181" s="58"/>
      <c r="R181" s="58"/>
      <c r="S181" s="58"/>
      <c r="T181" s="58"/>
      <c r="U181" s="58"/>
      <c r="V181" s="58"/>
      <c r="W181" s="58"/>
      <c r="X181" s="58"/>
      <c r="Y181" s="58"/>
      <c r="Z181" s="58"/>
      <c r="AA181" s="58"/>
      <c r="AB181" s="58"/>
      <c r="AC181" s="59"/>
      <c r="AD181" s="59"/>
    </row>
    <row r="182" spans="1:30" ht="12.75" customHeight="1" x14ac:dyDescent="0.2">
      <c r="A182" s="56"/>
      <c r="B182" s="56"/>
      <c r="C182" s="56"/>
      <c r="D182" s="57"/>
      <c r="E182" s="57"/>
      <c r="F182" s="56"/>
      <c r="G182" s="56"/>
      <c r="H182" s="56"/>
      <c r="I182" s="56"/>
      <c r="J182" s="56"/>
      <c r="K182" s="56"/>
      <c r="L182" s="56"/>
      <c r="M182" s="58"/>
      <c r="N182" s="58"/>
      <c r="O182" s="58"/>
      <c r="P182" s="58"/>
      <c r="Q182" s="58"/>
      <c r="R182" s="58"/>
      <c r="S182" s="58"/>
      <c r="T182" s="58"/>
      <c r="U182" s="58"/>
      <c r="V182" s="58"/>
      <c r="W182" s="58"/>
      <c r="X182" s="58"/>
      <c r="Y182" s="58"/>
      <c r="Z182" s="58"/>
      <c r="AA182" s="58"/>
      <c r="AB182" s="58"/>
      <c r="AC182" s="59"/>
      <c r="AD182" s="59"/>
    </row>
    <row r="183" spans="1:30" ht="12.75" customHeight="1" x14ac:dyDescent="0.2">
      <c r="A183" s="56"/>
      <c r="B183" s="56"/>
      <c r="C183" s="56"/>
      <c r="D183" s="57"/>
      <c r="E183" s="57"/>
      <c r="F183" s="56"/>
      <c r="G183" s="56"/>
      <c r="H183" s="56"/>
      <c r="I183" s="56"/>
      <c r="J183" s="56"/>
      <c r="K183" s="56"/>
      <c r="L183" s="56"/>
      <c r="M183" s="58"/>
      <c r="N183" s="58"/>
      <c r="O183" s="58"/>
      <c r="P183" s="58"/>
      <c r="Q183" s="58"/>
      <c r="R183" s="58"/>
      <c r="S183" s="58"/>
      <c r="T183" s="58"/>
      <c r="U183" s="58"/>
      <c r="V183" s="58"/>
      <c r="W183" s="58"/>
      <c r="X183" s="58"/>
      <c r="Y183" s="58"/>
      <c r="Z183" s="58"/>
      <c r="AA183" s="58"/>
      <c r="AB183" s="58"/>
      <c r="AC183" s="59"/>
      <c r="AD183" s="59"/>
    </row>
    <row r="184" spans="1:30" ht="12.75" customHeight="1" x14ac:dyDescent="0.2">
      <c r="A184" s="56"/>
      <c r="B184" s="56"/>
      <c r="C184" s="56"/>
      <c r="D184" s="57"/>
      <c r="E184" s="57"/>
      <c r="F184" s="56"/>
      <c r="G184" s="56"/>
      <c r="H184" s="56"/>
      <c r="I184" s="56"/>
      <c r="J184" s="56"/>
      <c r="K184" s="56"/>
      <c r="L184" s="56"/>
      <c r="M184" s="58"/>
      <c r="N184" s="58"/>
      <c r="O184" s="58"/>
      <c r="P184" s="58"/>
      <c r="Q184" s="58"/>
      <c r="R184" s="58"/>
      <c r="S184" s="58"/>
      <c r="T184" s="58"/>
      <c r="U184" s="58"/>
      <c r="V184" s="58"/>
      <c r="W184" s="58"/>
      <c r="X184" s="58"/>
      <c r="Y184" s="58"/>
      <c r="Z184" s="58"/>
      <c r="AA184" s="58"/>
      <c r="AB184" s="58"/>
      <c r="AC184" s="59"/>
      <c r="AD184" s="59"/>
    </row>
    <row r="185" spans="1:30" ht="12.75" customHeight="1" x14ac:dyDescent="0.2">
      <c r="A185" s="56"/>
      <c r="B185" s="56"/>
      <c r="C185" s="56"/>
      <c r="D185" s="57"/>
      <c r="E185" s="57"/>
      <c r="F185" s="56"/>
      <c r="G185" s="56"/>
      <c r="H185" s="56"/>
      <c r="I185" s="56"/>
      <c r="J185" s="56"/>
      <c r="K185" s="56"/>
      <c r="L185" s="56"/>
      <c r="M185" s="58"/>
      <c r="N185" s="58"/>
      <c r="O185" s="58"/>
      <c r="P185" s="58"/>
      <c r="Q185" s="58"/>
      <c r="R185" s="58"/>
      <c r="S185" s="58"/>
      <c r="T185" s="58"/>
      <c r="U185" s="58"/>
      <c r="V185" s="58"/>
      <c r="W185" s="58"/>
      <c r="X185" s="58"/>
      <c r="Y185" s="58"/>
      <c r="Z185" s="58"/>
      <c r="AA185" s="58"/>
      <c r="AB185" s="58"/>
      <c r="AC185" s="59"/>
      <c r="AD185" s="59"/>
    </row>
    <row r="186" spans="1:30" ht="12.75" customHeight="1" x14ac:dyDescent="0.2">
      <c r="A186" s="56"/>
      <c r="B186" s="56"/>
      <c r="C186" s="56"/>
      <c r="D186" s="57"/>
      <c r="E186" s="57"/>
      <c r="F186" s="56"/>
      <c r="G186" s="56"/>
      <c r="H186" s="56"/>
      <c r="I186" s="56"/>
      <c r="J186" s="56"/>
      <c r="K186" s="56"/>
      <c r="L186" s="56"/>
      <c r="M186" s="58"/>
      <c r="N186" s="58"/>
      <c r="O186" s="58"/>
      <c r="P186" s="58"/>
      <c r="Q186" s="58"/>
      <c r="R186" s="58"/>
      <c r="S186" s="58"/>
      <c r="T186" s="58"/>
      <c r="U186" s="58"/>
      <c r="V186" s="58"/>
      <c r="W186" s="58"/>
      <c r="X186" s="58"/>
      <c r="Y186" s="58"/>
      <c r="Z186" s="58"/>
      <c r="AA186" s="58"/>
      <c r="AB186" s="58"/>
      <c r="AC186" s="59"/>
      <c r="AD186" s="59"/>
    </row>
    <row r="187" spans="1:30" ht="12.75" customHeight="1" x14ac:dyDescent="0.2">
      <c r="A187" s="56"/>
      <c r="B187" s="56"/>
      <c r="C187" s="56"/>
      <c r="D187" s="57"/>
      <c r="E187" s="57"/>
      <c r="F187" s="56"/>
      <c r="G187" s="56"/>
      <c r="H187" s="56"/>
      <c r="I187" s="56"/>
      <c r="J187" s="56"/>
      <c r="K187" s="56"/>
      <c r="L187" s="56"/>
      <c r="M187" s="58"/>
      <c r="N187" s="58"/>
      <c r="O187" s="58"/>
      <c r="P187" s="58"/>
      <c r="Q187" s="58"/>
      <c r="R187" s="58"/>
      <c r="S187" s="58"/>
      <c r="T187" s="58"/>
      <c r="U187" s="58"/>
      <c r="V187" s="58"/>
      <c r="W187" s="58"/>
      <c r="X187" s="58"/>
      <c r="Y187" s="58"/>
      <c r="Z187" s="58"/>
      <c r="AA187" s="58"/>
      <c r="AB187" s="58"/>
      <c r="AC187" s="59"/>
      <c r="AD187" s="59"/>
    </row>
    <row r="188" spans="1:30" ht="12.75" customHeight="1" x14ac:dyDescent="0.2">
      <c r="A188" s="56"/>
      <c r="B188" s="56"/>
      <c r="C188" s="56"/>
      <c r="D188" s="57"/>
      <c r="E188" s="57"/>
      <c r="F188" s="56"/>
      <c r="G188" s="56"/>
      <c r="H188" s="56"/>
      <c r="I188" s="56"/>
      <c r="J188" s="56"/>
      <c r="K188" s="56"/>
      <c r="L188" s="56"/>
      <c r="M188" s="58"/>
      <c r="N188" s="58"/>
      <c r="O188" s="58"/>
      <c r="P188" s="58"/>
      <c r="Q188" s="58"/>
      <c r="R188" s="58"/>
      <c r="S188" s="58"/>
      <c r="T188" s="58"/>
      <c r="U188" s="58"/>
      <c r="V188" s="58"/>
      <c r="W188" s="58"/>
      <c r="X188" s="58"/>
      <c r="Y188" s="58"/>
      <c r="Z188" s="58"/>
      <c r="AA188" s="58"/>
      <c r="AB188" s="58"/>
      <c r="AC188" s="59"/>
      <c r="AD188" s="59"/>
    </row>
    <row r="189" spans="1:30" ht="12.75" customHeight="1" x14ac:dyDescent="0.2">
      <c r="A189" s="56"/>
      <c r="B189" s="56"/>
      <c r="C189" s="56"/>
      <c r="D189" s="57"/>
      <c r="E189" s="57"/>
      <c r="F189" s="56"/>
      <c r="G189" s="56"/>
      <c r="H189" s="56"/>
      <c r="I189" s="56"/>
      <c r="J189" s="56"/>
      <c r="K189" s="56"/>
      <c r="L189" s="56"/>
      <c r="M189" s="58"/>
      <c r="N189" s="58"/>
      <c r="O189" s="58"/>
      <c r="P189" s="58"/>
      <c r="Q189" s="58"/>
      <c r="R189" s="58"/>
      <c r="S189" s="58"/>
      <c r="T189" s="58"/>
      <c r="U189" s="58"/>
      <c r="V189" s="58"/>
      <c r="W189" s="58"/>
      <c r="X189" s="58"/>
      <c r="Y189" s="58"/>
      <c r="Z189" s="58"/>
      <c r="AA189" s="58"/>
      <c r="AB189" s="58"/>
      <c r="AC189" s="59"/>
      <c r="AD189" s="59"/>
    </row>
    <row r="190" spans="1:30" ht="12.75" customHeight="1" x14ac:dyDescent="0.2">
      <c r="A190" s="56"/>
      <c r="B190" s="56"/>
      <c r="C190" s="56"/>
      <c r="D190" s="57"/>
      <c r="E190" s="57"/>
      <c r="F190" s="56"/>
      <c r="G190" s="56"/>
      <c r="H190" s="56"/>
      <c r="I190" s="56"/>
      <c r="J190" s="56"/>
      <c r="K190" s="56"/>
      <c r="L190" s="56"/>
      <c r="M190" s="58"/>
      <c r="N190" s="58"/>
      <c r="O190" s="58"/>
      <c r="P190" s="58"/>
      <c r="Q190" s="58"/>
      <c r="R190" s="58"/>
      <c r="S190" s="58"/>
      <c r="T190" s="58"/>
      <c r="U190" s="58"/>
      <c r="V190" s="58"/>
      <c r="W190" s="58"/>
      <c r="X190" s="58"/>
      <c r="Y190" s="58"/>
      <c r="Z190" s="58"/>
      <c r="AA190" s="58"/>
      <c r="AB190" s="58"/>
      <c r="AC190" s="59"/>
      <c r="AD190" s="59"/>
    </row>
    <row r="191" spans="1:30" ht="12.75" customHeight="1" x14ac:dyDescent="0.2">
      <c r="A191" s="56"/>
      <c r="B191" s="56"/>
      <c r="C191" s="56"/>
      <c r="D191" s="57"/>
      <c r="E191" s="57"/>
      <c r="F191" s="56"/>
      <c r="G191" s="56"/>
      <c r="H191" s="56"/>
      <c r="I191" s="56"/>
      <c r="J191" s="56"/>
      <c r="K191" s="56"/>
      <c r="L191" s="56"/>
      <c r="M191" s="58"/>
      <c r="N191" s="58"/>
      <c r="O191" s="58"/>
      <c r="P191" s="58"/>
      <c r="Q191" s="58"/>
      <c r="R191" s="58"/>
      <c r="S191" s="58"/>
      <c r="T191" s="58"/>
      <c r="U191" s="58"/>
      <c r="V191" s="58"/>
      <c r="W191" s="58"/>
      <c r="X191" s="58"/>
      <c r="Y191" s="58"/>
      <c r="Z191" s="58"/>
      <c r="AA191" s="58"/>
      <c r="AB191" s="58"/>
      <c r="AC191" s="59"/>
      <c r="AD191" s="59"/>
    </row>
    <row r="192" spans="1:30" ht="12.75" customHeight="1" x14ac:dyDescent="0.2">
      <c r="A192" s="56"/>
      <c r="B192" s="56"/>
      <c r="C192" s="56"/>
      <c r="D192" s="57"/>
      <c r="E192" s="57"/>
      <c r="F192" s="56"/>
      <c r="G192" s="56"/>
      <c r="H192" s="56"/>
      <c r="I192" s="56"/>
      <c r="J192" s="56"/>
      <c r="K192" s="56"/>
      <c r="L192" s="56"/>
      <c r="M192" s="58"/>
      <c r="N192" s="58"/>
      <c r="O192" s="58"/>
      <c r="P192" s="58"/>
      <c r="Q192" s="58"/>
      <c r="R192" s="58"/>
      <c r="S192" s="58"/>
      <c r="T192" s="58"/>
      <c r="U192" s="58"/>
      <c r="V192" s="58"/>
      <c r="W192" s="58"/>
      <c r="X192" s="58"/>
      <c r="Y192" s="58"/>
      <c r="Z192" s="58"/>
      <c r="AA192" s="58"/>
      <c r="AB192" s="58"/>
      <c r="AC192" s="59"/>
      <c r="AD192" s="59"/>
    </row>
    <row r="193" spans="1:30" ht="12.75" customHeight="1" x14ac:dyDescent="0.2">
      <c r="A193" s="56"/>
      <c r="B193" s="56"/>
      <c r="C193" s="56"/>
      <c r="D193" s="57"/>
      <c r="E193" s="57"/>
      <c r="F193" s="56"/>
      <c r="G193" s="56"/>
      <c r="H193" s="56"/>
      <c r="I193" s="56"/>
      <c r="J193" s="56"/>
      <c r="K193" s="56"/>
      <c r="L193" s="56"/>
      <c r="M193" s="58"/>
      <c r="N193" s="58"/>
      <c r="O193" s="58"/>
      <c r="P193" s="58"/>
      <c r="Q193" s="58"/>
      <c r="R193" s="58"/>
      <c r="S193" s="58"/>
      <c r="T193" s="58"/>
      <c r="U193" s="58"/>
      <c r="V193" s="58"/>
      <c r="W193" s="58"/>
      <c r="X193" s="58"/>
      <c r="Y193" s="58"/>
      <c r="Z193" s="58"/>
      <c r="AA193" s="58"/>
      <c r="AB193" s="58"/>
      <c r="AC193" s="59"/>
      <c r="AD193" s="59"/>
    </row>
    <row r="194" spans="1:30" ht="12.75" customHeight="1" x14ac:dyDescent="0.2">
      <c r="A194" s="56"/>
      <c r="B194" s="56"/>
      <c r="C194" s="56"/>
      <c r="D194" s="57"/>
      <c r="E194" s="57"/>
      <c r="F194" s="56"/>
      <c r="G194" s="56"/>
      <c r="H194" s="56"/>
      <c r="I194" s="56"/>
      <c r="J194" s="56"/>
      <c r="K194" s="56"/>
      <c r="L194" s="56"/>
      <c r="M194" s="58"/>
      <c r="N194" s="58"/>
      <c r="O194" s="58"/>
      <c r="P194" s="58"/>
      <c r="Q194" s="58"/>
      <c r="R194" s="58"/>
      <c r="S194" s="58"/>
      <c r="T194" s="58"/>
      <c r="U194" s="58"/>
      <c r="V194" s="58"/>
      <c r="W194" s="58"/>
      <c r="X194" s="58"/>
      <c r="Y194" s="58"/>
      <c r="Z194" s="58"/>
      <c r="AA194" s="58"/>
      <c r="AB194" s="58"/>
      <c r="AC194" s="59"/>
      <c r="AD194" s="59"/>
    </row>
    <row r="195" spans="1:30" ht="12.75" customHeight="1" x14ac:dyDescent="0.2">
      <c r="A195" s="56"/>
      <c r="B195" s="56"/>
      <c r="C195" s="56"/>
      <c r="D195" s="57"/>
      <c r="E195" s="57"/>
      <c r="F195" s="56"/>
      <c r="G195" s="56"/>
      <c r="H195" s="56"/>
      <c r="I195" s="56"/>
      <c r="J195" s="56"/>
      <c r="K195" s="56"/>
      <c r="L195" s="56"/>
      <c r="M195" s="58"/>
      <c r="N195" s="58"/>
      <c r="O195" s="58"/>
      <c r="P195" s="58"/>
      <c r="Q195" s="58"/>
      <c r="R195" s="58"/>
      <c r="S195" s="58"/>
      <c r="T195" s="58"/>
      <c r="U195" s="58"/>
      <c r="V195" s="58"/>
      <c r="W195" s="58"/>
      <c r="X195" s="58"/>
      <c r="Y195" s="58"/>
      <c r="Z195" s="58"/>
      <c r="AA195" s="58"/>
      <c r="AB195" s="58"/>
      <c r="AC195" s="59"/>
      <c r="AD195" s="59"/>
    </row>
    <row r="196" spans="1:30" ht="12.75" customHeight="1" x14ac:dyDescent="0.2">
      <c r="A196" s="56"/>
      <c r="B196" s="56"/>
      <c r="C196" s="56"/>
      <c r="D196" s="57"/>
      <c r="E196" s="57"/>
      <c r="F196" s="56"/>
      <c r="G196" s="56"/>
      <c r="H196" s="56"/>
      <c r="I196" s="56"/>
      <c r="J196" s="56"/>
      <c r="K196" s="56"/>
      <c r="L196" s="56"/>
      <c r="M196" s="58"/>
      <c r="N196" s="58"/>
      <c r="O196" s="58"/>
      <c r="P196" s="58"/>
      <c r="Q196" s="58"/>
      <c r="R196" s="58"/>
      <c r="S196" s="58"/>
      <c r="T196" s="58"/>
      <c r="U196" s="58"/>
      <c r="V196" s="58"/>
      <c r="W196" s="58"/>
      <c r="X196" s="58"/>
      <c r="Y196" s="58"/>
      <c r="Z196" s="58"/>
      <c r="AA196" s="58"/>
      <c r="AB196" s="58"/>
      <c r="AC196" s="59"/>
      <c r="AD196" s="59"/>
    </row>
    <row r="197" spans="1:30" ht="12.75" customHeight="1" x14ac:dyDescent="0.2">
      <c r="A197" s="56"/>
      <c r="B197" s="56"/>
      <c r="C197" s="56"/>
      <c r="D197" s="57"/>
      <c r="E197" s="57"/>
      <c r="F197" s="56"/>
      <c r="G197" s="56"/>
      <c r="H197" s="56"/>
      <c r="I197" s="56"/>
      <c r="J197" s="56"/>
      <c r="K197" s="56"/>
      <c r="L197" s="56"/>
      <c r="M197" s="58"/>
      <c r="N197" s="58"/>
      <c r="O197" s="58"/>
      <c r="P197" s="58"/>
      <c r="Q197" s="58"/>
      <c r="R197" s="58"/>
      <c r="S197" s="58"/>
      <c r="T197" s="58"/>
      <c r="U197" s="58"/>
      <c r="V197" s="58"/>
      <c r="W197" s="58"/>
      <c r="X197" s="58"/>
      <c r="Y197" s="58"/>
      <c r="Z197" s="58"/>
      <c r="AA197" s="58"/>
      <c r="AB197" s="58"/>
      <c r="AC197" s="59"/>
      <c r="AD197" s="59"/>
    </row>
    <row r="198" spans="1:30" ht="12.75" customHeight="1" x14ac:dyDescent="0.2">
      <c r="A198" s="56"/>
      <c r="B198" s="56"/>
      <c r="C198" s="56"/>
      <c r="D198" s="57"/>
      <c r="E198" s="57"/>
      <c r="F198" s="56"/>
      <c r="G198" s="56"/>
      <c r="H198" s="56"/>
      <c r="I198" s="56"/>
      <c r="J198" s="56"/>
      <c r="K198" s="56"/>
      <c r="L198" s="56"/>
      <c r="M198" s="58"/>
      <c r="N198" s="58"/>
      <c r="O198" s="58"/>
      <c r="P198" s="58"/>
      <c r="Q198" s="58"/>
      <c r="R198" s="58"/>
      <c r="S198" s="58"/>
      <c r="T198" s="58"/>
      <c r="U198" s="58"/>
      <c r="V198" s="58"/>
      <c r="W198" s="58"/>
      <c r="X198" s="58"/>
      <c r="Y198" s="58"/>
      <c r="Z198" s="58"/>
      <c r="AA198" s="58"/>
      <c r="AB198" s="58"/>
      <c r="AC198" s="59"/>
      <c r="AD198" s="59"/>
    </row>
    <row r="199" spans="1:30" ht="12.75" customHeight="1" x14ac:dyDescent="0.2">
      <c r="A199" s="56"/>
      <c r="B199" s="56"/>
      <c r="C199" s="56"/>
      <c r="D199" s="57"/>
      <c r="E199" s="57"/>
      <c r="F199" s="56"/>
      <c r="G199" s="56"/>
      <c r="H199" s="56"/>
      <c r="I199" s="56"/>
      <c r="J199" s="56"/>
      <c r="K199" s="56"/>
      <c r="L199" s="56"/>
      <c r="M199" s="58"/>
      <c r="N199" s="58"/>
      <c r="O199" s="58"/>
      <c r="P199" s="58"/>
      <c r="Q199" s="58"/>
      <c r="R199" s="58"/>
      <c r="S199" s="58"/>
      <c r="T199" s="58"/>
      <c r="U199" s="58"/>
      <c r="V199" s="58"/>
      <c r="W199" s="58"/>
      <c r="X199" s="58"/>
      <c r="Y199" s="58"/>
      <c r="Z199" s="58"/>
      <c r="AA199" s="58"/>
      <c r="AB199" s="58"/>
      <c r="AC199" s="59"/>
      <c r="AD199" s="59"/>
    </row>
    <row r="200" spans="1:30" ht="12.75" customHeight="1" x14ac:dyDescent="0.2">
      <c r="A200" s="56"/>
      <c r="B200" s="56"/>
      <c r="C200" s="56"/>
      <c r="D200" s="57"/>
      <c r="E200" s="57"/>
      <c r="F200" s="56"/>
      <c r="G200" s="56"/>
      <c r="H200" s="56"/>
      <c r="I200" s="56"/>
      <c r="J200" s="56"/>
      <c r="K200" s="56"/>
      <c r="L200" s="56"/>
      <c r="M200" s="58"/>
      <c r="N200" s="58"/>
      <c r="O200" s="58"/>
      <c r="P200" s="58"/>
      <c r="Q200" s="58"/>
      <c r="R200" s="58"/>
      <c r="S200" s="58"/>
      <c r="T200" s="58"/>
      <c r="U200" s="58"/>
      <c r="V200" s="58"/>
      <c r="W200" s="58"/>
      <c r="X200" s="58"/>
      <c r="Y200" s="58"/>
      <c r="Z200" s="58"/>
      <c r="AA200" s="58"/>
      <c r="AB200" s="58"/>
      <c r="AC200" s="59"/>
      <c r="AD200" s="59"/>
    </row>
    <row r="201" spans="1:30" ht="12.75" customHeight="1" x14ac:dyDescent="0.2">
      <c r="A201" s="56"/>
      <c r="B201" s="56"/>
      <c r="C201" s="56"/>
      <c r="D201" s="57"/>
      <c r="E201" s="57"/>
      <c r="F201" s="56"/>
      <c r="G201" s="56"/>
      <c r="H201" s="56"/>
      <c r="I201" s="56"/>
      <c r="J201" s="56"/>
      <c r="K201" s="56"/>
      <c r="L201" s="56"/>
      <c r="M201" s="58"/>
      <c r="N201" s="58"/>
      <c r="O201" s="58"/>
      <c r="P201" s="58"/>
      <c r="Q201" s="58"/>
      <c r="R201" s="58"/>
      <c r="S201" s="58"/>
      <c r="T201" s="58"/>
      <c r="U201" s="58"/>
      <c r="V201" s="58"/>
      <c r="W201" s="58"/>
      <c r="X201" s="58"/>
      <c r="Y201" s="58"/>
      <c r="Z201" s="58"/>
      <c r="AA201" s="58"/>
      <c r="AB201" s="58"/>
      <c r="AC201" s="59"/>
      <c r="AD201" s="59"/>
    </row>
    <row r="202" spans="1:30" ht="12.75" customHeight="1" x14ac:dyDescent="0.2">
      <c r="A202" s="56"/>
      <c r="B202" s="56"/>
      <c r="C202" s="56"/>
      <c r="D202" s="57"/>
      <c r="E202" s="57"/>
      <c r="F202" s="56"/>
      <c r="G202" s="56"/>
      <c r="H202" s="56"/>
      <c r="I202" s="56"/>
      <c r="J202" s="56"/>
      <c r="K202" s="56"/>
      <c r="L202" s="56"/>
      <c r="M202" s="58"/>
      <c r="N202" s="58"/>
      <c r="O202" s="58"/>
      <c r="P202" s="58"/>
      <c r="Q202" s="58"/>
      <c r="R202" s="58"/>
      <c r="S202" s="58"/>
      <c r="T202" s="58"/>
      <c r="U202" s="58"/>
      <c r="V202" s="58"/>
      <c r="W202" s="58"/>
      <c r="X202" s="58"/>
      <c r="Y202" s="58"/>
      <c r="Z202" s="58"/>
      <c r="AA202" s="58"/>
      <c r="AB202" s="58"/>
      <c r="AC202" s="59"/>
      <c r="AD202" s="59"/>
    </row>
    <row r="203" spans="1:30" ht="12.75" customHeight="1" x14ac:dyDescent="0.2">
      <c r="A203" s="56"/>
      <c r="B203" s="56"/>
      <c r="C203" s="56"/>
      <c r="D203" s="57"/>
      <c r="E203" s="57"/>
      <c r="F203" s="56"/>
      <c r="G203" s="56"/>
      <c r="H203" s="56"/>
      <c r="I203" s="56"/>
      <c r="J203" s="56"/>
      <c r="K203" s="56"/>
      <c r="L203" s="56"/>
      <c r="M203" s="58"/>
      <c r="N203" s="58"/>
      <c r="O203" s="58"/>
      <c r="P203" s="58"/>
      <c r="Q203" s="58"/>
      <c r="R203" s="58"/>
      <c r="S203" s="58"/>
      <c r="T203" s="58"/>
      <c r="U203" s="58"/>
      <c r="V203" s="58"/>
      <c r="W203" s="58"/>
      <c r="X203" s="58"/>
      <c r="Y203" s="58"/>
      <c r="Z203" s="58"/>
      <c r="AA203" s="58"/>
      <c r="AB203" s="58"/>
      <c r="AC203" s="59"/>
      <c r="AD203" s="59"/>
    </row>
    <row r="204" spans="1:30" ht="12.75" customHeight="1" x14ac:dyDescent="0.2">
      <c r="A204" s="56"/>
      <c r="B204" s="56"/>
      <c r="C204" s="56"/>
      <c r="D204" s="57"/>
      <c r="E204" s="57"/>
      <c r="F204" s="56"/>
      <c r="G204" s="56"/>
      <c r="H204" s="56"/>
      <c r="I204" s="56"/>
      <c r="J204" s="56"/>
      <c r="K204" s="56"/>
      <c r="L204" s="56"/>
      <c r="M204" s="58"/>
      <c r="N204" s="58"/>
      <c r="O204" s="58"/>
      <c r="P204" s="58"/>
      <c r="Q204" s="58"/>
      <c r="R204" s="58"/>
      <c r="S204" s="58"/>
      <c r="T204" s="58"/>
      <c r="U204" s="58"/>
      <c r="V204" s="58"/>
      <c r="W204" s="58"/>
      <c r="X204" s="58"/>
      <c r="Y204" s="58"/>
      <c r="Z204" s="58"/>
      <c r="AA204" s="58"/>
      <c r="AB204" s="58"/>
      <c r="AC204" s="59"/>
      <c r="AD204" s="59"/>
    </row>
    <row r="205" spans="1:30" ht="12.75" customHeight="1" x14ac:dyDescent="0.2">
      <c r="A205" s="56"/>
      <c r="B205" s="56"/>
      <c r="C205" s="56"/>
      <c r="D205" s="57"/>
      <c r="E205" s="57"/>
      <c r="F205" s="56"/>
      <c r="G205" s="56"/>
      <c r="H205" s="56"/>
      <c r="I205" s="56"/>
      <c r="J205" s="56"/>
      <c r="K205" s="56"/>
      <c r="L205" s="56"/>
      <c r="M205" s="58"/>
      <c r="N205" s="58"/>
      <c r="O205" s="58"/>
      <c r="P205" s="58"/>
      <c r="Q205" s="58"/>
      <c r="R205" s="58"/>
      <c r="S205" s="58"/>
      <c r="T205" s="58"/>
      <c r="U205" s="58"/>
      <c r="V205" s="58"/>
      <c r="W205" s="58"/>
      <c r="X205" s="58"/>
      <c r="Y205" s="58"/>
      <c r="Z205" s="58"/>
      <c r="AA205" s="58"/>
      <c r="AB205" s="58"/>
      <c r="AC205" s="59"/>
      <c r="AD205" s="59"/>
    </row>
    <row r="206" spans="1:30" ht="12.75" customHeight="1" x14ac:dyDescent="0.2">
      <c r="A206" s="56"/>
      <c r="B206" s="56"/>
      <c r="C206" s="56"/>
      <c r="D206" s="57"/>
      <c r="E206" s="57"/>
      <c r="F206" s="56"/>
      <c r="G206" s="56"/>
      <c r="H206" s="56"/>
      <c r="I206" s="56"/>
      <c r="J206" s="56"/>
      <c r="K206" s="56"/>
      <c r="L206" s="56"/>
      <c r="M206" s="58"/>
      <c r="N206" s="58"/>
      <c r="O206" s="58"/>
      <c r="P206" s="58"/>
      <c r="Q206" s="58"/>
      <c r="R206" s="58"/>
      <c r="S206" s="58"/>
      <c r="T206" s="58"/>
      <c r="U206" s="58"/>
      <c r="V206" s="58"/>
      <c r="W206" s="58"/>
      <c r="X206" s="58"/>
      <c r="Y206" s="58"/>
      <c r="Z206" s="58"/>
      <c r="AA206" s="58"/>
      <c r="AB206" s="58"/>
      <c r="AC206" s="59"/>
      <c r="AD206" s="59"/>
    </row>
    <row r="207" spans="1:30" ht="12.75" customHeight="1" x14ac:dyDescent="0.2">
      <c r="A207" s="56"/>
      <c r="B207" s="56"/>
      <c r="C207" s="56"/>
      <c r="D207" s="57"/>
      <c r="E207" s="57"/>
      <c r="F207" s="56"/>
      <c r="G207" s="56"/>
      <c r="H207" s="56"/>
      <c r="I207" s="56"/>
      <c r="J207" s="56"/>
      <c r="K207" s="56"/>
      <c r="L207" s="56"/>
      <c r="M207" s="58"/>
      <c r="N207" s="58"/>
      <c r="O207" s="58"/>
      <c r="P207" s="58"/>
      <c r="Q207" s="58"/>
      <c r="R207" s="58"/>
      <c r="S207" s="58"/>
      <c r="T207" s="58"/>
      <c r="U207" s="58"/>
      <c r="V207" s="58"/>
      <c r="W207" s="58"/>
      <c r="X207" s="58"/>
      <c r="Y207" s="58"/>
      <c r="Z207" s="58"/>
      <c r="AA207" s="58"/>
      <c r="AB207" s="58"/>
      <c r="AC207" s="59"/>
      <c r="AD207" s="59"/>
    </row>
    <row r="208" spans="1:30" ht="12.75" customHeight="1" x14ac:dyDescent="0.2">
      <c r="A208" s="56"/>
      <c r="B208" s="56"/>
      <c r="C208" s="56"/>
      <c r="D208" s="57"/>
      <c r="E208" s="57"/>
      <c r="F208" s="56"/>
      <c r="G208" s="56"/>
      <c r="H208" s="56"/>
      <c r="I208" s="56"/>
      <c r="J208" s="56"/>
      <c r="K208" s="56"/>
      <c r="L208" s="56"/>
      <c r="M208" s="58"/>
      <c r="N208" s="58"/>
      <c r="O208" s="58"/>
      <c r="P208" s="58"/>
      <c r="Q208" s="58"/>
      <c r="R208" s="58"/>
      <c r="S208" s="58"/>
      <c r="T208" s="58"/>
      <c r="U208" s="58"/>
      <c r="V208" s="58"/>
      <c r="W208" s="58"/>
      <c r="X208" s="58"/>
      <c r="Y208" s="58"/>
      <c r="Z208" s="58"/>
      <c r="AA208" s="58"/>
      <c r="AB208" s="58"/>
      <c r="AC208" s="59"/>
      <c r="AD208" s="59"/>
    </row>
    <row r="209" spans="1:30" ht="12.75" customHeight="1" x14ac:dyDescent="0.2">
      <c r="A209" s="56"/>
      <c r="B209" s="56"/>
      <c r="C209" s="56"/>
      <c r="D209" s="57"/>
      <c r="E209" s="57"/>
      <c r="F209" s="56"/>
      <c r="G209" s="56"/>
      <c r="H209" s="56"/>
      <c r="I209" s="56"/>
      <c r="J209" s="56"/>
      <c r="K209" s="56"/>
      <c r="L209" s="56"/>
      <c r="M209" s="58"/>
      <c r="N209" s="58"/>
      <c r="O209" s="58"/>
      <c r="P209" s="58"/>
      <c r="Q209" s="58"/>
      <c r="R209" s="58"/>
      <c r="S209" s="58"/>
      <c r="T209" s="58"/>
      <c r="U209" s="58"/>
      <c r="V209" s="58"/>
      <c r="W209" s="58"/>
      <c r="X209" s="58"/>
      <c r="Y209" s="58"/>
      <c r="Z209" s="58"/>
      <c r="AA209" s="58"/>
      <c r="AB209" s="58"/>
      <c r="AC209" s="59"/>
      <c r="AD209" s="59"/>
    </row>
    <row r="210" spans="1:30" ht="12.75" customHeight="1" x14ac:dyDescent="0.2">
      <c r="A210" s="56"/>
      <c r="B210" s="56"/>
      <c r="C210" s="56"/>
      <c r="D210" s="57"/>
      <c r="E210" s="57"/>
      <c r="F210" s="56"/>
      <c r="G210" s="56"/>
      <c r="H210" s="56"/>
      <c r="I210" s="56"/>
      <c r="J210" s="56"/>
      <c r="K210" s="56"/>
      <c r="L210" s="56"/>
      <c r="M210" s="58"/>
      <c r="N210" s="58"/>
      <c r="O210" s="58"/>
      <c r="P210" s="58"/>
      <c r="Q210" s="58"/>
      <c r="R210" s="58"/>
      <c r="S210" s="58"/>
      <c r="T210" s="58"/>
      <c r="U210" s="58"/>
      <c r="V210" s="58"/>
      <c r="W210" s="58"/>
      <c r="X210" s="58"/>
      <c r="Y210" s="58"/>
      <c r="Z210" s="58"/>
      <c r="AA210" s="58"/>
      <c r="AB210" s="58"/>
      <c r="AC210" s="59"/>
      <c r="AD210" s="59"/>
    </row>
    <row r="211" spans="1:30" ht="12.75" customHeight="1" x14ac:dyDescent="0.2">
      <c r="A211" s="56"/>
      <c r="B211" s="56"/>
      <c r="C211" s="56"/>
      <c r="D211" s="57"/>
      <c r="E211" s="57"/>
      <c r="F211" s="56"/>
      <c r="G211" s="56"/>
      <c r="H211" s="56"/>
      <c r="I211" s="56"/>
      <c r="J211" s="56"/>
      <c r="K211" s="56"/>
      <c r="L211" s="56"/>
      <c r="M211" s="58"/>
      <c r="N211" s="58"/>
      <c r="O211" s="58"/>
      <c r="P211" s="58"/>
      <c r="Q211" s="58"/>
      <c r="R211" s="58"/>
      <c r="S211" s="58"/>
      <c r="T211" s="58"/>
      <c r="U211" s="58"/>
      <c r="V211" s="58"/>
      <c r="W211" s="58"/>
      <c r="X211" s="58"/>
      <c r="Y211" s="58"/>
      <c r="Z211" s="58"/>
      <c r="AA211" s="58"/>
      <c r="AB211" s="58"/>
      <c r="AC211" s="59"/>
      <c r="AD211" s="59"/>
    </row>
    <row r="212" spans="1:30" ht="12.75" customHeight="1" x14ac:dyDescent="0.2">
      <c r="A212" s="56"/>
      <c r="B212" s="56"/>
      <c r="C212" s="56"/>
      <c r="D212" s="57"/>
      <c r="E212" s="57"/>
      <c r="F212" s="56"/>
      <c r="G212" s="56"/>
      <c r="H212" s="56"/>
      <c r="I212" s="56"/>
      <c r="J212" s="56"/>
      <c r="K212" s="56"/>
      <c r="L212" s="56"/>
      <c r="M212" s="58"/>
      <c r="N212" s="58"/>
      <c r="O212" s="58"/>
      <c r="P212" s="58"/>
      <c r="Q212" s="58"/>
      <c r="R212" s="58"/>
      <c r="S212" s="58"/>
      <c r="T212" s="58"/>
      <c r="U212" s="58"/>
      <c r="V212" s="58"/>
      <c r="W212" s="58"/>
      <c r="X212" s="58"/>
      <c r="Y212" s="58"/>
      <c r="Z212" s="58"/>
      <c r="AA212" s="58"/>
      <c r="AB212" s="58"/>
      <c r="AC212" s="59"/>
      <c r="AD212" s="59"/>
    </row>
    <row r="213" spans="1:30" ht="12.75" customHeight="1" x14ac:dyDescent="0.2">
      <c r="A213" s="56"/>
      <c r="B213" s="56"/>
      <c r="C213" s="56"/>
      <c r="D213" s="57"/>
      <c r="E213" s="57"/>
      <c r="F213" s="56"/>
      <c r="G213" s="56"/>
      <c r="H213" s="56"/>
      <c r="I213" s="56"/>
      <c r="J213" s="56"/>
      <c r="K213" s="56"/>
      <c r="L213" s="56"/>
      <c r="M213" s="58"/>
      <c r="N213" s="58"/>
      <c r="O213" s="58"/>
      <c r="P213" s="58"/>
      <c r="Q213" s="58"/>
      <c r="R213" s="58"/>
      <c r="S213" s="58"/>
      <c r="T213" s="58"/>
      <c r="U213" s="58"/>
      <c r="V213" s="58"/>
      <c r="W213" s="58"/>
      <c r="X213" s="58"/>
      <c r="Y213" s="58"/>
      <c r="Z213" s="58"/>
      <c r="AA213" s="58"/>
      <c r="AB213" s="58"/>
      <c r="AC213" s="59"/>
      <c r="AD213" s="59"/>
    </row>
    <row r="214" spans="1:30" ht="12.75" customHeight="1" x14ac:dyDescent="0.2">
      <c r="A214" s="56"/>
      <c r="B214" s="56"/>
      <c r="C214" s="56"/>
      <c r="D214" s="57"/>
      <c r="E214" s="57"/>
      <c r="F214" s="56"/>
      <c r="G214" s="56"/>
      <c r="H214" s="56"/>
      <c r="I214" s="56"/>
      <c r="J214" s="56"/>
      <c r="K214" s="56"/>
      <c r="L214" s="56"/>
      <c r="M214" s="58"/>
      <c r="N214" s="58"/>
      <c r="O214" s="58"/>
      <c r="P214" s="58"/>
      <c r="Q214" s="58"/>
      <c r="R214" s="58"/>
      <c r="S214" s="58"/>
      <c r="T214" s="58"/>
      <c r="U214" s="58"/>
      <c r="V214" s="58"/>
      <c r="W214" s="58"/>
      <c r="X214" s="58"/>
      <c r="Y214" s="58"/>
      <c r="Z214" s="58"/>
      <c r="AA214" s="58"/>
      <c r="AB214" s="58"/>
      <c r="AC214" s="59"/>
      <c r="AD214" s="59"/>
    </row>
    <row r="215" spans="1:30" ht="12.75" customHeight="1" x14ac:dyDescent="0.2">
      <c r="A215" s="56"/>
      <c r="B215" s="56"/>
      <c r="C215" s="56"/>
      <c r="D215" s="57"/>
      <c r="E215" s="57"/>
      <c r="F215" s="56"/>
      <c r="G215" s="56"/>
      <c r="H215" s="56"/>
      <c r="I215" s="56"/>
      <c r="J215" s="56"/>
      <c r="K215" s="56"/>
      <c r="L215" s="56"/>
      <c r="M215" s="58"/>
      <c r="N215" s="58"/>
      <c r="O215" s="58"/>
      <c r="P215" s="58"/>
      <c r="Q215" s="58"/>
      <c r="R215" s="58"/>
      <c r="S215" s="58"/>
      <c r="T215" s="58"/>
      <c r="U215" s="58"/>
      <c r="V215" s="58"/>
      <c r="W215" s="58"/>
      <c r="X215" s="58"/>
      <c r="Y215" s="58"/>
      <c r="Z215" s="58"/>
      <c r="AA215" s="58"/>
      <c r="AB215" s="58"/>
      <c r="AC215" s="59"/>
      <c r="AD215" s="59"/>
    </row>
    <row r="216" spans="1:30" ht="12.75" customHeight="1" x14ac:dyDescent="0.2">
      <c r="A216" s="56"/>
      <c r="B216" s="56"/>
      <c r="C216" s="56"/>
      <c r="D216" s="57"/>
      <c r="E216" s="57"/>
      <c r="F216" s="56"/>
      <c r="G216" s="56"/>
      <c r="H216" s="56"/>
      <c r="I216" s="56"/>
      <c r="J216" s="56"/>
      <c r="K216" s="56"/>
      <c r="L216" s="56"/>
      <c r="M216" s="58"/>
      <c r="N216" s="58"/>
      <c r="O216" s="58"/>
      <c r="P216" s="58"/>
      <c r="Q216" s="58"/>
      <c r="R216" s="58"/>
      <c r="S216" s="58"/>
      <c r="T216" s="58"/>
      <c r="U216" s="58"/>
      <c r="V216" s="58"/>
      <c r="W216" s="58"/>
      <c r="X216" s="58"/>
      <c r="Y216" s="58"/>
      <c r="Z216" s="58"/>
      <c r="AA216" s="58"/>
      <c r="AB216" s="58"/>
      <c r="AC216" s="59"/>
      <c r="AD216" s="59"/>
    </row>
    <row r="217" spans="1:30" ht="12.75" customHeight="1" x14ac:dyDescent="0.2">
      <c r="A217" s="56"/>
      <c r="B217" s="56"/>
      <c r="C217" s="56"/>
      <c r="D217" s="57"/>
      <c r="E217" s="57"/>
      <c r="F217" s="56"/>
      <c r="G217" s="56"/>
      <c r="H217" s="56"/>
      <c r="I217" s="56"/>
      <c r="J217" s="56"/>
      <c r="K217" s="56"/>
      <c r="L217" s="56"/>
      <c r="M217" s="58"/>
      <c r="N217" s="58"/>
      <c r="O217" s="58"/>
      <c r="P217" s="58"/>
      <c r="Q217" s="58"/>
      <c r="R217" s="58"/>
      <c r="S217" s="58"/>
      <c r="T217" s="58"/>
      <c r="U217" s="58"/>
      <c r="V217" s="58"/>
      <c r="W217" s="58"/>
      <c r="X217" s="58"/>
      <c r="Y217" s="58"/>
      <c r="Z217" s="58"/>
      <c r="AA217" s="58"/>
      <c r="AB217" s="58"/>
      <c r="AC217" s="59"/>
      <c r="AD217" s="59"/>
    </row>
    <row r="218" spans="1:30" ht="12.75" customHeight="1" x14ac:dyDescent="0.2">
      <c r="A218" s="56"/>
      <c r="B218" s="56"/>
      <c r="C218" s="56"/>
      <c r="D218" s="57"/>
      <c r="E218" s="57"/>
      <c r="F218" s="56"/>
      <c r="G218" s="56"/>
      <c r="H218" s="56"/>
      <c r="I218" s="56"/>
      <c r="J218" s="56"/>
      <c r="K218" s="56"/>
      <c r="L218" s="56"/>
      <c r="M218" s="58"/>
      <c r="N218" s="58"/>
      <c r="O218" s="58"/>
      <c r="P218" s="58"/>
      <c r="Q218" s="58"/>
      <c r="R218" s="58"/>
      <c r="S218" s="58"/>
      <c r="T218" s="58"/>
      <c r="U218" s="58"/>
      <c r="V218" s="58"/>
      <c r="W218" s="58"/>
      <c r="X218" s="58"/>
      <c r="Y218" s="58"/>
      <c r="Z218" s="58"/>
      <c r="AA218" s="58"/>
      <c r="AB218" s="58"/>
      <c r="AC218" s="59"/>
      <c r="AD218" s="59"/>
    </row>
    <row r="219" spans="1:30" ht="12.75" customHeight="1" x14ac:dyDescent="0.2">
      <c r="A219" s="56"/>
      <c r="B219" s="56"/>
      <c r="C219" s="56"/>
      <c r="D219" s="57"/>
      <c r="E219" s="57"/>
      <c r="F219" s="56"/>
      <c r="G219" s="56"/>
      <c r="H219" s="56"/>
      <c r="I219" s="56"/>
      <c r="J219" s="56"/>
      <c r="K219" s="56"/>
      <c r="L219" s="56"/>
      <c r="M219" s="58"/>
      <c r="N219" s="58"/>
      <c r="O219" s="58"/>
      <c r="P219" s="58"/>
      <c r="Q219" s="58"/>
      <c r="R219" s="58"/>
      <c r="S219" s="58"/>
      <c r="T219" s="58"/>
      <c r="U219" s="58"/>
      <c r="V219" s="58"/>
      <c r="W219" s="58"/>
      <c r="X219" s="58"/>
      <c r="Y219" s="58"/>
      <c r="Z219" s="58"/>
      <c r="AA219" s="58"/>
      <c r="AB219" s="58"/>
      <c r="AC219" s="59"/>
      <c r="AD219" s="59"/>
    </row>
    <row r="220" spans="1:30" ht="12.75" customHeight="1" x14ac:dyDescent="0.2">
      <c r="A220" s="56"/>
      <c r="B220" s="56"/>
      <c r="C220" s="56"/>
      <c r="D220" s="57"/>
      <c r="E220" s="57"/>
      <c r="F220" s="56"/>
      <c r="G220" s="56"/>
      <c r="H220" s="56"/>
      <c r="I220" s="56"/>
      <c r="J220" s="56"/>
      <c r="K220" s="56"/>
      <c r="L220" s="56"/>
      <c r="M220" s="58"/>
      <c r="N220" s="58"/>
      <c r="O220" s="58"/>
      <c r="P220" s="58"/>
      <c r="Q220" s="58"/>
      <c r="R220" s="58"/>
      <c r="S220" s="58"/>
      <c r="T220" s="58"/>
      <c r="U220" s="58"/>
      <c r="V220" s="58"/>
      <c r="W220" s="58"/>
      <c r="X220" s="58"/>
      <c r="Y220" s="58"/>
      <c r="Z220" s="58"/>
      <c r="AA220" s="58"/>
      <c r="AB220" s="58"/>
      <c r="AC220" s="59"/>
      <c r="AD220" s="59"/>
    </row>
    <row r="221" spans="1:30" ht="12.75" customHeight="1" x14ac:dyDescent="0.2">
      <c r="A221" s="56"/>
      <c r="B221" s="56"/>
      <c r="C221" s="56"/>
      <c r="D221" s="57"/>
      <c r="E221" s="57"/>
      <c r="F221" s="56"/>
      <c r="G221" s="56"/>
      <c r="H221" s="56"/>
      <c r="I221" s="56"/>
      <c r="J221" s="56"/>
      <c r="K221" s="56"/>
      <c r="L221" s="56"/>
      <c r="M221" s="58"/>
      <c r="N221" s="58"/>
      <c r="O221" s="58"/>
      <c r="P221" s="58"/>
      <c r="Q221" s="58"/>
      <c r="R221" s="58"/>
      <c r="S221" s="58"/>
      <c r="T221" s="58"/>
      <c r="U221" s="58"/>
      <c r="V221" s="58"/>
      <c r="W221" s="58"/>
      <c r="X221" s="58"/>
      <c r="Y221" s="58"/>
      <c r="Z221" s="58"/>
      <c r="AA221" s="58"/>
      <c r="AB221" s="58"/>
      <c r="AC221" s="59"/>
      <c r="AD221" s="59"/>
    </row>
    <row r="222" spans="1:30" ht="12.75" customHeight="1" x14ac:dyDescent="0.2">
      <c r="A222" s="56"/>
      <c r="B222" s="56"/>
      <c r="C222" s="56"/>
      <c r="D222" s="57"/>
      <c r="E222" s="57"/>
      <c r="F222" s="56"/>
      <c r="G222" s="56"/>
      <c r="H222" s="56"/>
      <c r="I222" s="56"/>
      <c r="J222" s="56"/>
      <c r="K222" s="56"/>
      <c r="L222" s="56"/>
      <c r="M222" s="58"/>
      <c r="N222" s="58"/>
      <c r="O222" s="58"/>
      <c r="P222" s="58"/>
      <c r="Q222" s="58"/>
      <c r="R222" s="58"/>
      <c r="S222" s="58"/>
      <c r="T222" s="58"/>
      <c r="U222" s="58"/>
      <c r="V222" s="58"/>
      <c r="W222" s="58"/>
      <c r="X222" s="58"/>
      <c r="Y222" s="58"/>
      <c r="Z222" s="58"/>
      <c r="AA222" s="58"/>
      <c r="AB222" s="58"/>
      <c r="AC222" s="59"/>
      <c r="AD222" s="59"/>
    </row>
    <row r="223" spans="1:30" ht="12.75" customHeight="1" x14ac:dyDescent="0.2">
      <c r="A223" s="56"/>
      <c r="B223" s="56"/>
      <c r="C223" s="56"/>
      <c r="D223" s="57"/>
      <c r="E223" s="57"/>
      <c r="F223" s="56"/>
      <c r="G223" s="56"/>
      <c r="H223" s="56"/>
      <c r="I223" s="56"/>
      <c r="J223" s="56"/>
      <c r="K223" s="56"/>
      <c r="L223" s="56"/>
      <c r="M223" s="58"/>
      <c r="N223" s="58"/>
      <c r="O223" s="58"/>
      <c r="P223" s="58"/>
      <c r="Q223" s="58"/>
      <c r="R223" s="58"/>
      <c r="S223" s="58"/>
      <c r="T223" s="58"/>
      <c r="U223" s="58"/>
      <c r="V223" s="58"/>
      <c r="W223" s="58"/>
      <c r="X223" s="58"/>
      <c r="Y223" s="58"/>
      <c r="Z223" s="58"/>
      <c r="AA223" s="58"/>
      <c r="AB223" s="58"/>
      <c r="AC223" s="59"/>
      <c r="AD223" s="59"/>
    </row>
    <row r="224" spans="1:30" ht="12.75" customHeight="1" x14ac:dyDescent="0.2">
      <c r="A224" s="56"/>
      <c r="B224" s="56"/>
      <c r="C224" s="56"/>
      <c r="D224" s="57"/>
      <c r="E224" s="57"/>
      <c r="F224" s="56"/>
      <c r="G224" s="56"/>
      <c r="H224" s="56"/>
      <c r="I224" s="56"/>
      <c r="J224" s="56"/>
      <c r="K224" s="56"/>
      <c r="L224" s="56"/>
      <c r="M224" s="58"/>
      <c r="N224" s="58"/>
      <c r="O224" s="58"/>
      <c r="P224" s="58"/>
      <c r="Q224" s="58"/>
      <c r="R224" s="58"/>
      <c r="S224" s="58"/>
      <c r="T224" s="58"/>
      <c r="U224" s="58"/>
      <c r="V224" s="58"/>
      <c r="W224" s="58"/>
      <c r="X224" s="58"/>
      <c r="Y224" s="58"/>
      <c r="Z224" s="58"/>
      <c r="AA224" s="58"/>
      <c r="AB224" s="58"/>
      <c r="AC224" s="59"/>
      <c r="AD224" s="59"/>
    </row>
    <row r="225" spans="1:30" ht="12.75" customHeight="1" x14ac:dyDescent="0.2">
      <c r="A225" s="56"/>
      <c r="B225" s="56"/>
      <c r="C225" s="56"/>
      <c r="D225" s="57"/>
      <c r="E225" s="57"/>
      <c r="F225" s="56"/>
      <c r="G225" s="56"/>
      <c r="H225" s="56"/>
      <c r="I225" s="56"/>
      <c r="J225" s="56"/>
      <c r="K225" s="56"/>
      <c r="L225" s="56"/>
      <c r="M225" s="58"/>
      <c r="N225" s="58"/>
      <c r="O225" s="58"/>
      <c r="P225" s="58"/>
      <c r="Q225" s="58"/>
      <c r="R225" s="58"/>
      <c r="S225" s="58"/>
      <c r="T225" s="58"/>
      <c r="U225" s="58"/>
      <c r="V225" s="58"/>
      <c r="W225" s="58"/>
      <c r="X225" s="58"/>
      <c r="Y225" s="58"/>
      <c r="Z225" s="58"/>
      <c r="AA225" s="58"/>
      <c r="AB225" s="58"/>
      <c r="AC225" s="59"/>
      <c r="AD225" s="59"/>
    </row>
    <row r="226" spans="1:30" ht="12.75" customHeight="1" x14ac:dyDescent="0.2">
      <c r="A226" s="56"/>
      <c r="B226" s="56"/>
      <c r="C226" s="56"/>
      <c r="D226" s="57"/>
      <c r="E226" s="57"/>
      <c r="F226" s="56"/>
      <c r="G226" s="56"/>
      <c r="H226" s="56"/>
      <c r="I226" s="56"/>
      <c r="J226" s="56"/>
      <c r="K226" s="56"/>
      <c r="L226" s="56"/>
      <c r="M226" s="58"/>
      <c r="N226" s="58"/>
      <c r="O226" s="58"/>
      <c r="P226" s="58"/>
      <c r="Q226" s="58"/>
      <c r="R226" s="58"/>
      <c r="S226" s="58"/>
      <c r="T226" s="58"/>
      <c r="U226" s="58"/>
      <c r="V226" s="58"/>
      <c r="W226" s="58"/>
      <c r="X226" s="58"/>
      <c r="Y226" s="58"/>
      <c r="Z226" s="58"/>
      <c r="AA226" s="58"/>
      <c r="AB226" s="58"/>
      <c r="AC226" s="59"/>
      <c r="AD226" s="59"/>
    </row>
    <row r="227" spans="1:30" ht="12.75" customHeight="1" x14ac:dyDescent="0.2">
      <c r="A227" s="56"/>
      <c r="B227" s="56"/>
      <c r="C227" s="56"/>
      <c r="D227" s="57"/>
      <c r="E227" s="57"/>
      <c r="F227" s="56"/>
      <c r="G227" s="56"/>
      <c r="H227" s="56"/>
      <c r="I227" s="56"/>
      <c r="J227" s="56"/>
      <c r="K227" s="56"/>
      <c r="L227" s="56"/>
      <c r="M227" s="58"/>
      <c r="N227" s="58"/>
      <c r="O227" s="58"/>
      <c r="P227" s="58"/>
      <c r="Q227" s="58"/>
      <c r="R227" s="58"/>
      <c r="S227" s="58"/>
      <c r="T227" s="58"/>
      <c r="U227" s="58"/>
      <c r="V227" s="58"/>
      <c r="W227" s="58"/>
      <c r="X227" s="58"/>
      <c r="Y227" s="58"/>
      <c r="Z227" s="58"/>
      <c r="AA227" s="58"/>
      <c r="AB227" s="58"/>
      <c r="AC227" s="59"/>
      <c r="AD227" s="59"/>
    </row>
    <row r="228" spans="1:30" ht="12.75" customHeight="1" x14ac:dyDescent="0.2">
      <c r="A228" s="56"/>
      <c r="B228" s="56"/>
      <c r="C228" s="56"/>
      <c r="D228" s="57"/>
      <c r="E228" s="57"/>
      <c r="F228" s="56"/>
      <c r="G228" s="56"/>
      <c r="H228" s="56"/>
      <c r="I228" s="56"/>
      <c r="J228" s="56"/>
      <c r="K228" s="56"/>
      <c r="L228" s="56"/>
      <c r="M228" s="58"/>
      <c r="N228" s="58"/>
      <c r="O228" s="58"/>
      <c r="P228" s="58"/>
      <c r="Q228" s="58"/>
      <c r="R228" s="58"/>
      <c r="S228" s="58"/>
      <c r="T228" s="58"/>
      <c r="U228" s="58"/>
      <c r="V228" s="58"/>
      <c r="W228" s="58"/>
      <c r="X228" s="58"/>
      <c r="Y228" s="58"/>
      <c r="Z228" s="58"/>
      <c r="AA228" s="58"/>
      <c r="AB228" s="58"/>
      <c r="AC228" s="59"/>
      <c r="AD228" s="59"/>
    </row>
    <row r="229" spans="1:30" ht="12.75" customHeight="1" x14ac:dyDescent="0.2">
      <c r="A229" s="56"/>
      <c r="B229" s="56"/>
      <c r="C229" s="56"/>
      <c r="D229" s="57"/>
      <c r="E229" s="57"/>
      <c r="F229" s="56"/>
      <c r="G229" s="56"/>
      <c r="H229" s="56"/>
      <c r="I229" s="56"/>
      <c r="J229" s="56"/>
      <c r="K229" s="56"/>
      <c r="L229" s="56"/>
      <c r="M229" s="58"/>
      <c r="N229" s="58"/>
      <c r="O229" s="58"/>
      <c r="P229" s="58"/>
      <c r="Q229" s="58"/>
      <c r="R229" s="58"/>
      <c r="S229" s="58"/>
      <c r="T229" s="58"/>
      <c r="U229" s="58"/>
      <c r="V229" s="58"/>
      <c r="W229" s="58"/>
      <c r="X229" s="58"/>
      <c r="Y229" s="58"/>
      <c r="Z229" s="58"/>
      <c r="AA229" s="58"/>
      <c r="AB229" s="58"/>
      <c r="AC229" s="59"/>
      <c r="AD229" s="59"/>
    </row>
    <row r="230" spans="1:30" ht="12.75" customHeight="1" x14ac:dyDescent="0.2">
      <c r="A230" s="56"/>
      <c r="B230" s="56"/>
      <c r="C230" s="56"/>
      <c r="D230" s="57"/>
      <c r="E230" s="57"/>
      <c r="F230" s="56"/>
      <c r="G230" s="56"/>
      <c r="H230" s="56"/>
      <c r="I230" s="56"/>
      <c r="J230" s="56"/>
      <c r="K230" s="56"/>
      <c r="L230" s="56"/>
      <c r="M230" s="58"/>
      <c r="N230" s="58"/>
      <c r="O230" s="58"/>
      <c r="P230" s="58"/>
      <c r="Q230" s="58"/>
      <c r="R230" s="58"/>
      <c r="S230" s="58"/>
      <c r="T230" s="58"/>
      <c r="U230" s="58"/>
      <c r="V230" s="58"/>
      <c r="W230" s="58"/>
      <c r="X230" s="58"/>
      <c r="Y230" s="58"/>
      <c r="Z230" s="58"/>
      <c r="AA230" s="58"/>
      <c r="AB230" s="58"/>
      <c r="AC230" s="59"/>
      <c r="AD230" s="59"/>
    </row>
    <row r="231" spans="1:30" ht="12.75" customHeight="1" x14ac:dyDescent="0.2">
      <c r="A231" s="56"/>
      <c r="B231" s="56"/>
      <c r="C231" s="56"/>
      <c r="D231" s="57"/>
      <c r="E231" s="57"/>
      <c r="F231" s="56"/>
      <c r="G231" s="56"/>
      <c r="H231" s="56"/>
      <c r="I231" s="56"/>
      <c r="J231" s="56"/>
      <c r="K231" s="56"/>
      <c r="L231" s="56"/>
      <c r="M231" s="58"/>
      <c r="N231" s="58"/>
      <c r="O231" s="58"/>
      <c r="P231" s="58"/>
      <c r="Q231" s="58"/>
      <c r="R231" s="58"/>
      <c r="S231" s="58"/>
      <c r="T231" s="58"/>
      <c r="U231" s="58"/>
      <c r="V231" s="58"/>
      <c r="W231" s="58"/>
      <c r="X231" s="58"/>
      <c r="Y231" s="58"/>
      <c r="Z231" s="58"/>
      <c r="AA231" s="58"/>
      <c r="AB231" s="58"/>
      <c r="AC231" s="59"/>
      <c r="AD231" s="59"/>
    </row>
    <row r="232" spans="1:30" ht="12.75" customHeight="1" x14ac:dyDescent="0.2">
      <c r="A232" s="56"/>
      <c r="B232" s="56"/>
      <c r="C232" s="56"/>
      <c r="D232" s="57"/>
      <c r="E232" s="57"/>
      <c r="F232" s="56"/>
      <c r="G232" s="56"/>
      <c r="H232" s="56"/>
      <c r="I232" s="56"/>
      <c r="J232" s="56"/>
      <c r="K232" s="56"/>
      <c r="L232" s="56"/>
      <c r="M232" s="58"/>
      <c r="N232" s="58"/>
      <c r="O232" s="58"/>
      <c r="P232" s="58"/>
      <c r="Q232" s="58"/>
      <c r="R232" s="58"/>
      <c r="S232" s="58"/>
      <c r="T232" s="58"/>
      <c r="U232" s="58"/>
      <c r="V232" s="58"/>
      <c r="W232" s="58"/>
      <c r="X232" s="58"/>
      <c r="Y232" s="58"/>
      <c r="Z232" s="58"/>
      <c r="AA232" s="58"/>
      <c r="AB232" s="58"/>
      <c r="AC232" s="59"/>
      <c r="AD232" s="59"/>
    </row>
    <row r="233" spans="1:30" ht="12.75" customHeight="1" x14ac:dyDescent="0.2">
      <c r="A233" s="56"/>
      <c r="B233" s="56"/>
      <c r="C233" s="56"/>
      <c r="D233" s="57"/>
      <c r="E233" s="57"/>
      <c r="F233" s="56"/>
      <c r="G233" s="56"/>
      <c r="H233" s="56"/>
      <c r="I233" s="56"/>
      <c r="J233" s="56"/>
      <c r="K233" s="56"/>
      <c r="L233" s="56"/>
      <c r="M233" s="58"/>
      <c r="N233" s="58"/>
      <c r="O233" s="58"/>
      <c r="P233" s="58"/>
      <c r="Q233" s="58"/>
      <c r="R233" s="58"/>
      <c r="S233" s="58"/>
      <c r="T233" s="58"/>
      <c r="U233" s="58"/>
      <c r="V233" s="58"/>
      <c r="W233" s="58"/>
      <c r="X233" s="58"/>
      <c r="Y233" s="58"/>
      <c r="Z233" s="58"/>
      <c r="AA233" s="58"/>
      <c r="AB233" s="58"/>
      <c r="AC233" s="59"/>
      <c r="AD233" s="59"/>
    </row>
    <row r="234" spans="1:30" ht="12.75" customHeight="1" x14ac:dyDescent="0.2">
      <c r="A234" s="56"/>
      <c r="B234" s="56"/>
      <c r="C234" s="56"/>
      <c r="D234" s="57"/>
      <c r="E234" s="57"/>
      <c r="F234" s="56"/>
      <c r="G234" s="56"/>
      <c r="H234" s="56"/>
      <c r="I234" s="56"/>
      <c r="J234" s="56"/>
      <c r="K234" s="56"/>
      <c r="L234" s="56"/>
      <c r="M234" s="58"/>
      <c r="N234" s="58"/>
      <c r="O234" s="58"/>
      <c r="P234" s="58"/>
      <c r="Q234" s="58"/>
      <c r="R234" s="58"/>
      <c r="S234" s="58"/>
      <c r="T234" s="58"/>
      <c r="U234" s="58"/>
      <c r="V234" s="58"/>
      <c r="W234" s="58"/>
      <c r="X234" s="58"/>
      <c r="Y234" s="58"/>
      <c r="Z234" s="58"/>
      <c r="AA234" s="58"/>
      <c r="AB234" s="58"/>
      <c r="AC234" s="59"/>
      <c r="AD234" s="59"/>
    </row>
    <row r="235" spans="1:30" ht="12.75" customHeight="1" x14ac:dyDescent="0.2">
      <c r="A235" s="56"/>
      <c r="B235" s="56"/>
      <c r="C235" s="56"/>
      <c r="D235" s="57"/>
      <c r="E235" s="57"/>
      <c r="F235" s="56"/>
      <c r="G235" s="56"/>
      <c r="H235" s="56"/>
      <c r="I235" s="56"/>
      <c r="J235" s="56"/>
      <c r="K235" s="56"/>
      <c r="L235" s="56"/>
      <c r="M235" s="58"/>
      <c r="N235" s="58"/>
      <c r="O235" s="58"/>
      <c r="P235" s="58"/>
      <c r="Q235" s="58"/>
      <c r="R235" s="58"/>
      <c r="S235" s="58"/>
      <c r="T235" s="58"/>
      <c r="U235" s="58"/>
      <c r="V235" s="58"/>
      <c r="W235" s="58"/>
      <c r="X235" s="58"/>
      <c r="Y235" s="58"/>
      <c r="Z235" s="58"/>
      <c r="AA235" s="58"/>
      <c r="AB235" s="58"/>
      <c r="AC235" s="59"/>
      <c r="AD235" s="59"/>
    </row>
    <row r="236" spans="1:30" ht="12.75" customHeight="1" x14ac:dyDescent="0.2">
      <c r="A236" s="56"/>
      <c r="B236" s="56"/>
      <c r="C236" s="56"/>
      <c r="D236" s="57"/>
      <c r="E236" s="57"/>
      <c r="F236" s="56"/>
      <c r="G236" s="56"/>
      <c r="H236" s="56"/>
      <c r="I236" s="56"/>
      <c r="J236" s="56"/>
      <c r="K236" s="56"/>
      <c r="L236" s="56"/>
      <c r="M236" s="58"/>
      <c r="N236" s="58"/>
      <c r="O236" s="58"/>
      <c r="P236" s="58"/>
      <c r="Q236" s="58"/>
      <c r="R236" s="58"/>
      <c r="S236" s="58"/>
      <c r="T236" s="58"/>
      <c r="U236" s="58"/>
      <c r="V236" s="58"/>
      <c r="W236" s="58"/>
      <c r="X236" s="58"/>
      <c r="Y236" s="58"/>
      <c r="Z236" s="58"/>
      <c r="AA236" s="58"/>
      <c r="AB236" s="58"/>
      <c r="AC236" s="59"/>
      <c r="AD236" s="59"/>
    </row>
    <row r="237" spans="1:30" ht="12.75" customHeight="1" x14ac:dyDescent="0.2">
      <c r="A237" s="56"/>
      <c r="B237" s="56"/>
      <c r="C237" s="56"/>
      <c r="D237" s="57"/>
      <c r="E237" s="57"/>
      <c r="F237" s="56"/>
      <c r="G237" s="56"/>
      <c r="H237" s="56"/>
      <c r="I237" s="56"/>
      <c r="J237" s="56"/>
      <c r="K237" s="56"/>
      <c r="L237" s="56"/>
      <c r="M237" s="58"/>
      <c r="N237" s="58"/>
      <c r="O237" s="58"/>
      <c r="P237" s="58"/>
      <c r="Q237" s="58"/>
      <c r="R237" s="58"/>
      <c r="S237" s="58"/>
      <c r="T237" s="58"/>
      <c r="U237" s="58"/>
      <c r="V237" s="58"/>
      <c r="W237" s="58"/>
      <c r="X237" s="58"/>
      <c r="Y237" s="58"/>
      <c r="Z237" s="58"/>
      <c r="AA237" s="58"/>
      <c r="AB237" s="58"/>
      <c r="AC237" s="59"/>
      <c r="AD237" s="59"/>
    </row>
    <row r="238" spans="1:30" ht="12.75" customHeight="1" x14ac:dyDescent="0.2">
      <c r="A238" s="56"/>
      <c r="B238" s="56"/>
      <c r="C238" s="56"/>
      <c r="D238" s="57"/>
      <c r="E238" s="57"/>
      <c r="F238" s="56"/>
      <c r="G238" s="56"/>
      <c r="H238" s="56"/>
      <c r="I238" s="56"/>
      <c r="J238" s="56"/>
      <c r="K238" s="56"/>
      <c r="L238" s="56"/>
      <c r="M238" s="58"/>
      <c r="N238" s="58"/>
      <c r="O238" s="58"/>
      <c r="P238" s="58"/>
      <c r="Q238" s="58"/>
      <c r="R238" s="58"/>
      <c r="S238" s="58"/>
      <c r="T238" s="58"/>
      <c r="U238" s="58"/>
      <c r="V238" s="58"/>
      <c r="W238" s="58"/>
      <c r="X238" s="58"/>
      <c r="Y238" s="58"/>
      <c r="Z238" s="58"/>
      <c r="AA238" s="58"/>
      <c r="AB238" s="58"/>
      <c r="AC238" s="59"/>
      <c r="AD238" s="59"/>
    </row>
    <row r="239" spans="1:30" ht="12.75" customHeight="1" x14ac:dyDescent="0.2">
      <c r="A239" s="56"/>
      <c r="B239" s="56"/>
      <c r="C239" s="56"/>
      <c r="D239" s="57"/>
      <c r="E239" s="57"/>
      <c r="F239" s="56"/>
      <c r="G239" s="56"/>
      <c r="H239" s="56"/>
      <c r="I239" s="56"/>
      <c r="J239" s="56"/>
      <c r="K239" s="56"/>
      <c r="L239" s="56"/>
      <c r="M239" s="58"/>
      <c r="N239" s="58"/>
      <c r="O239" s="58"/>
      <c r="P239" s="58"/>
      <c r="Q239" s="58"/>
      <c r="R239" s="58"/>
      <c r="S239" s="58"/>
      <c r="T239" s="58"/>
      <c r="U239" s="58"/>
      <c r="V239" s="58"/>
      <c r="W239" s="58"/>
      <c r="X239" s="58"/>
      <c r="Y239" s="58"/>
      <c r="Z239" s="58"/>
      <c r="AA239" s="58"/>
      <c r="AB239" s="58"/>
      <c r="AC239" s="59"/>
      <c r="AD239" s="59"/>
    </row>
    <row r="240" spans="1:30" ht="12.75" customHeight="1" x14ac:dyDescent="0.2">
      <c r="A240" s="56"/>
      <c r="B240" s="56"/>
      <c r="C240" s="56"/>
      <c r="D240" s="57"/>
      <c r="E240" s="57"/>
      <c r="F240" s="56"/>
      <c r="G240" s="56"/>
      <c r="H240" s="56"/>
      <c r="I240" s="56"/>
      <c r="J240" s="56"/>
      <c r="K240" s="56"/>
      <c r="L240" s="56"/>
      <c r="M240" s="58"/>
      <c r="N240" s="58"/>
      <c r="O240" s="58"/>
      <c r="P240" s="58"/>
      <c r="Q240" s="58"/>
      <c r="R240" s="58"/>
      <c r="S240" s="58"/>
      <c r="T240" s="58"/>
      <c r="U240" s="58"/>
      <c r="V240" s="58"/>
      <c r="W240" s="58"/>
      <c r="X240" s="58"/>
      <c r="Y240" s="58"/>
      <c r="Z240" s="58"/>
      <c r="AA240" s="58"/>
      <c r="AB240" s="58"/>
      <c r="AC240" s="59"/>
      <c r="AD240" s="59"/>
    </row>
    <row r="241" spans="1:30" ht="12.75" customHeight="1" x14ac:dyDescent="0.2">
      <c r="A241" s="56"/>
      <c r="B241" s="56"/>
      <c r="C241" s="56"/>
      <c r="D241" s="57"/>
      <c r="E241" s="57"/>
      <c r="F241" s="56"/>
      <c r="G241" s="56"/>
      <c r="H241" s="56"/>
      <c r="I241" s="56"/>
      <c r="J241" s="56"/>
      <c r="K241" s="56"/>
      <c r="L241" s="56"/>
      <c r="M241" s="58"/>
      <c r="N241" s="58"/>
      <c r="O241" s="58"/>
      <c r="P241" s="58"/>
      <c r="Q241" s="58"/>
      <c r="R241" s="58"/>
      <c r="S241" s="58"/>
      <c r="T241" s="58"/>
      <c r="U241" s="58"/>
      <c r="V241" s="58"/>
      <c r="W241" s="58"/>
      <c r="X241" s="58"/>
      <c r="Y241" s="58"/>
      <c r="Z241" s="58"/>
      <c r="AA241" s="58"/>
      <c r="AB241" s="58"/>
      <c r="AC241" s="59"/>
      <c r="AD241" s="59"/>
    </row>
    <row r="242" spans="1:30" ht="12.75" customHeight="1" x14ac:dyDescent="0.2">
      <c r="A242" s="56"/>
      <c r="B242" s="56"/>
      <c r="C242" s="56"/>
      <c r="D242" s="57"/>
      <c r="E242" s="57"/>
      <c r="F242" s="56"/>
      <c r="G242" s="56"/>
      <c r="H242" s="56"/>
      <c r="I242" s="56"/>
      <c r="J242" s="56"/>
      <c r="K242" s="56"/>
      <c r="L242" s="56"/>
      <c r="M242" s="58"/>
      <c r="N242" s="58"/>
      <c r="O242" s="58"/>
      <c r="P242" s="58"/>
      <c r="Q242" s="58"/>
      <c r="R242" s="58"/>
      <c r="S242" s="58"/>
      <c r="T242" s="58"/>
      <c r="U242" s="58"/>
      <c r="V242" s="58"/>
      <c r="W242" s="58"/>
      <c r="X242" s="58"/>
      <c r="Y242" s="58"/>
      <c r="Z242" s="58"/>
      <c r="AA242" s="58"/>
      <c r="AB242" s="58"/>
      <c r="AC242" s="59"/>
      <c r="AD242" s="59"/>
    </row>
    <row r="243" spans="1:30" ht="12.75" customHeight="1" x14ac:dyDescent="0.2">
      <c r="A243" s="56"/>
      <c r="B243" s="56"/>
      <c r="C243" s="56"/>
      <c r="D243" s="57"/>
      <c r="E243" s="57"/>
      <c r="F243" s="56"/>
      <c r="G243" s="56"/>
      <c r="H243" s="56"/>
      <c r="I243" s="56"/>
      <c r="J243" s="56"/>
      <c r="K243" s="56"/>
      <c r="L243" s="56"/>
      <c r="M243" s="58"/>
      <c r="N243" s="58"/>
      <c r="O243" s="58"/>
      <c r="P243" s="58"/>
      <c r="Q243" s="58"/>
      <c r="R243" s="58"/>
      <c r="S243" s="58"/>
      <c r="T243" s="58"/>
      <c r="U243" s="58"/>
      <c r="V243" s="58"/>
      <c r="W243" s="58"/>
      <c r="X243" s="58"/>
      <c r="Y243" s="58"/>
      <c r="Z243" s="58"/>
      <c r="AA243" s="58"/>
      <c r="AB243" s="58"/>
      <c r="AC243" s="59"/>
      <c r="AD243" s="59"/>
    </row>
    <row r="244" spans="1:30" ht="12.75" customHeight="1" x14ac:dyDescent="0.2">
      <c r="A244" s="56"/>
      <c r="B244" s="56"/>
      <c r="C244" s="56"/>
      <c r="D244" s="57"/>
      <c r="E244" s="57"/>
      <c r="F244" s="56"/>
      <c r="G244" s="56"/>
      <c r="H244" s="56"/>
      <c r="I244" s="56"/>
      <c r="J244" s="56"/>
      <c r="K244" s="56"/>
      <c r="L244" s="56"/>
      <c r="M244" s="58"/>
      <c r="N244" s="58"/>
      <c r="O244" s="58"/>
      <c r="P244" s="58"/>
      <c r="Q244" s="58"/>
      <c r="R244" s="58"/>
      <c r="S244" s="58"/>
      <c r="T244" s="58"/>
      <c r="U244" s="58"/>
      <c r="V244" s="58"/>
      <c r="W244" s="58"/>
      <c r="X244" s="58"/>
      <c r="Y244" s="58"/>
      <c r="Z244" s="58"/>
      <c r="AA244" s="58"/>
      <c r="AB244" s="58"/>
      <c r="AC244" s="59"/>
      <c r="AD244" s="59"/>
    </row>
    <row r="245" spans="1:30" ht="12.75" customHeight="1" x14ac:dyDescent="0.2">
      <c r="A245" s="56"/>
      <c r="B245" s="56"/>
      <c r="C245" s="56"/>
      <c r="D245" s="57"/>
      <c r="E245" s="57"/>
      <c r="F245" s="56"/>
      <c r="G245" s="56"/>
      <c r="H245" s="56"/>
      <c r="I245" s="56"/>
      <c r="J245" s="56"/>
      <c r="K245" s="56"/>
      <c r="L245" s="56"/>
      <c r="M245" s="58"/>
      <c r="N245" s="58"/>
      <c r="O245" s="58"/>
      <c r="P245" s="58"/>
      <c r="Q245" s="58"/>
      <c r="R245" s="58"/>
      <c r="S245" s="58"/>
      <c r="T245" s="58"/>
      <c r="U245" s="58"/>
      <c r="V245" s="58"/>
      <c r="W245" s="58"/>
      <c r="X245" s="58"/>
      <c r="Y245" s="58"/>
      <c r="Z245" s="58"/>
      <c r="AA245" s="58"/>
      <c r="AB245" s="58"/>
      <c r="AC245" s="59"/>
      <c r="AD245" s="59"/>
    </row>
    <row r="246" spans="1:30" ht="12.75" customHeight="1" x14ac:dyDescent="0.2">
      <c r="A246" s="56"/>
      <c r="B246" s="56"/>
      <c r="C246" s="56"/>
      <c r="D246" s="57"/>
      <c r="E246" s="57"/>
      <c r="F246" s="56"/>
      <c r="G246" s="56"/>
      <c r="H246" s="56"/>
      <c r="I246" s="56"/>
      <c r="J246" s="56"/>
      <c r="K246" s="56"/>
      <c r="L246" s="56"/>
      <c r="M246" s="58"/>
      <c r="N246" s="58"/>
      <c r="O246" s="58"/>
      <c r="P246" s="58"/>
      <c r="Q246" s="58"/>
      <c r="R246" s="58"/>
      <c r="S246" s="58"/>
      <c r="T246" s="58"/>
      <c r="U246" s="58"/>
      <c r="V246" s="58"/>
      <c r="W246" s="58"/>
      <c r="X246" s="58"/>
      <c r="Y246" s="58"/>
      <c r="Z246" s="58"/>
      <c r="AA246" s="58"/>
      <c r="AB246" s="58"/>
      <c r="AC246" s="59"/>
      <c r="AD246" s="59"/>
    </row>
    <row r="247" spans="1:30" ht="12.75" customHeight="1" x14ac:dyDescent="0.2">
      <c r="A247" s="56"/>
      <c r="B247" s="56"/>
      <c r="C247" s="56"/>
      <c r="D247" s="57"/>
      <c r="E247" s="57"/>
      <c r="F247" s="56"/>
      <c r="G247" s="56"/>
      <c r="H247" s="56"/>
      <c r="I247" s="56"/>
      <c r="J247" s="56"/>
      <c r="K247" s="56"/>
      <c r="L247" s="56"/>
      <c r="M247" s="58"/>
      <c r="N247" s="58"/>
      <c r="O247" s="58"/>
      <c r="P247" s="58"/>
      <c r="Q247" s="58"/>
      <c r="R247" s="58"/>
      <c r="S247" s="58"/>
      <c r="T247" s="58"/>
      <c r="U247" s="58"/>
      <c r="V247" s="58"/>
      <c r="W247" s="58"/>
      <c r="X247" s="58"/>
      <c r="Y247" s="58"/>
      <c r="Z247" s="58"/>
      <c r="AA247" s="58"/>
      <c r="AB247" s="58"/>
      <c r="AC247" s="59"/>
      <c r="AD247" s="59"/>
    </row>
    <row r="248" spans="1:30" ht="12.75" customHeight="1" x14ac:dyDescent="0.2">
      <c r="A248" s="56"/>
      <c r="B248" s="56"/>
      <c r="C248" s="56"/>
      <c r="D248" s="57"/>
      <c r="E248" s="57"/>
      <c r="F248" s="56"/>
      <c r="G248" s="56"/>
      <c r="H248" s="56"/>
      <c r="I248" s="56"/>
      <c r="J248" s="56"/>
      <c r="K248" s="56"/>
      <c r="L248" s="56"/>
      <c r="M248" s="58"/>
      <c r="N248" s="58"/>
      <c r="O248" s="58"/>
      <c r="P248" s="58"/>
      <c r="Q248" s="58"/>
      <c r="R248" s="58"/>
      <c r="S248" s="58"/>
      <c r="T248" s="58"/>
      <c r="U248" s="58"/>
      <c r="V248" s="58"/>
      <c r="W248" s="58"/>
      <c r="X248" s="58"/>
      <c r="Y248" s="58"/>
      <c r="Z248" s="58"/>
      <c r="AA248" s="58"/>
      <c r="AB248" s="58"/>
      <c r="AC248" s="59"/>
      <c r="AD248" s="59"/>
    </row>
    <row r="249" spans="1:30" ht="12.75" customHeight="1" x14ac:dyDescent="0.2">
      <c r="A249" s="56"/>
      <c r="B249" s="56"/>
      <c r="C249" s="56"/>
      <c r="D249" s="57"/>
      <c r="E249" s="57"/>
      <c r="F249" s="56"/>
      <c r="G249" s="56"/>
      <c r="H249" s="56"/>
      <c r="I249" s="56"/>
      <c r="J249" s="56"/>
      <c r="K249" s="56"/>
      <c r="L249" s="56"/>
      <c r="M249" s="58"/>
      <c r="N249" s="58"/>
      <c r="O249" s="58"/>
      <c r="P249" s="58"/>
      <c r="Q249" s="58"/>
      <c r="R249" s="58"/>
      <c r="S249" s="58"/>
      <c r="T249" s="58"/>
      <c r="U249" s="58"/>
      <c r="V249" s="58"/>
      <c r="W249" s="58"/>
      <c r="X249" s="58"/>
      <c r="Y249" s="58"/>
      <c r="Z249" s="58"/>
      <c r="AA249" s="58"/>
      <c r="AB249" s="58"/>
      <c r="AC249" s="59"/>
      <c r="AD249" s="59"/>
    </row>
    <row r="250" spans="1:30" ht="12.75" customHeight="1" x14ac:dyDescent="0.2">
      <c r="A250" s="56"/>
      <c r="B250" s="56"/>
      <c r="C250" s="56"/>
      <c r="D250" s="57"/>
      <c r="E250" s="57"/>
      <c r="F250" s="56"/>
      <c r="G250" s="56"/>
      <c r="H250" s="56"/>
      <c r="I250" s="56"/>
      <c r="J250" s="56"/>
      <c r="K250" s="56"/>
      <c r="L250" s="56"/>
      <c r="M250" s="58"/>
      <c r="N250" s="58"/>
      <c r="O250" s="58"/>
      <c r="P250" s="58"/>
      <c r="Q250" s="58"/>
      <c r="R250" s="58"/>
      <c r="S250" s="58"/>
      <c r="T250" s="58"/>
      <c r="U250" s="58"/>
      <c r="V250" s="58"/>
      <c r="W250" s="58"/>
      <c r="X250" s="58"/>
      <c r="Y250" s="58"/>
      <c r="Z250" s="58"/>
      <c r="AA250" s="58"/>
      <c r="AB250" s="58"/>
      <c r="AC250" s="59"/>
      <c r="AD250" s="59"/>
    </row>
    <row r="251" spans="1:30" ht="12.75" customHeight="1" x14ac:dyDescent="0.2">
      <c r="A251" s="56"/>
      <c r="B251" s="56"/>
      <c r="C251" s="56"/>
      <c r="D251" s="57"/>
      <c r="E251" s="57"/>
      <c r="F251" s="56"/>
      <c r="G251" s="56"/>
      <c r="H251" s="56"/>
      <c r="I251" s="56"/>
      <c r="J251" s="56"/>
      <c r="K251" s="56"/>
      <c r="L251" s="56"/>
      <c r="M251" s="58"/>
      <c r="N251" s="58"/>
      <c r="O251" s="58"/>
      <c r="P251" s="58"/>
      <c r="Q251" s="58"/>
      <c r="R251" s="58"/>
      <c r="S251" s="58"/>
      <c r="T251" s="58"/>
      <c r="U251" s="58"/>
      <c r="V251" s="58"/>
      <c r="W251" s="58"/>
      <c r="X251" s="58"/>
      <c r="Y251" s="58"/>
      <c r="Z251" s="58"/>
      <c r="AA251" s="58"/>
      <c r="AB251" s="58"/>
      <c r="AC251" s="59"/>
      <c r="AD251" s="59"/>
    </row>
    <row r="252" spans="1:30" ht="12.75" customHeight="1" x14ac:dyDescent="0.2">
      <c r="A252" s="56"/>
      <c r="B252" s="56"/>
      <c r="C252" s="56"/>
      <c r="D252" s="57"/>
      <c r="E252" s="57"/>
      <c r="F252" s="56"/>
      <c r="G252" s="56"/>
      <c r="H252" s="56"/>
      <c r="I252" s="56"/>
      <c r="J252" s="56"/>
      <c r="K252" s="56"/>
      <c r="L252" s="56"/>
      <c r="M252" s="58"/>
      <c r="N252" s="58"/>
      <c r="O252" s="58"/>
      <c r="P252" s="58"/>
      <c r="Q252" s="58"/>
      <c r="R252" s="58"/>
      <c r="S252" s="58"/>
      <c r="T252" s="58"/>
      <c r="U252" s="58"/>
      <c r="V252" s="58"/>
      <c r="W252" s="58"/>
      <c r="X252" s="58"/>
      <c r="Y252" s="58"/>
      <c r="Z252" s="58"/>
      <c r="AA252" s="58"/>
      <c r="AB252" s="58"/>
      <c r="AC252" s="59"/>
      <c r="AD252" s="59"/>
    </row>
    <row r="253" spans="1:30" ht="12.75" customHeight="1" x14ac:dyDescent="0.2">
      <c r="A253" s="56"/>
      <c r="B253" s="56"/>
      <c r="C253" s="56"/>
      <c r="D253" s="57"/>
      <c r="E253" s="57"/>
      <c r="F253" s="56"/>
      <c r="G253" s="56"/>
      <c r="H253" s="56"/>
      <c r="I253" s="56"/>
      <c r="J253" s="56"/>
      <c r="K253" s="56"/>
      <c r="L253" s="56"/>
      <c r="M253" s="58"/>
      <c r="N253" s="58"/>
      <c r="O253" s="58"/>
      <c r="P253" s="58"/>
      <c r="Q253" s="58"/>
      <c r="R253" s="58"/>
      <c r="S253" s="58"/>
      <c r="T253" s="58"/>
      <c r="U253" s="58"/>
      <c r="V253" s="58"/>
      <c r="W253" s="58"/>
      <c r="X253" s="58"/>
      <c r="Y253" s="58"/>
      <c r="Z253" s="58"/>
      <c r="AA253" s="58"/>
      <c r="AB253" s="58"/>
      <c r="AC253" s="59"/>
      <c r="AD253" s="59"/>
    </row>
    <row r="254" spans="1:30" ht="12.75" customHeight="1" x14ac:dyDescent="0.2">
      <c r="A254" s="56"/>
      <c r="B254" s="56"/>
      <c r="C254" s="56"/>
      <c r="D254" s="57"/>
      <c r="E254" s="57"/>
      <c r="F254" s="56"/>
      <c r="G254" s="56"/>
      <c r="H254" s="56"/>
      <c r="I254" s="56"/>
      <c r="J254" s="56"/>
      <c r="K254" s="56"/>
      <c r="L254" s="56"/>
      <c r="M254" s="58"/>
      <c r="N254" s="58"/>
      <c r="O254" s="58"/>
      <c r="P254" s="58"/>
      <c r="Q254" s="58"/>
      <c r="R254" s="58"/>
      <c r="S254" s="58"/>
      <c r="T254" s="58"/>
      <c r="U254" s="58"/>
      <c r="V254" s="58"/>
      <c r="W254" s="58"/>
      <c r="X254" s="58"/>
      <c r="Y254" s="58"/>
      <c r="Z254" s="58"/>
      <c r="AA254" s="58"/>
      <c r="AB254" s="58"/>
      <c r="AC254" s="59"/>
      <c r="AD254" s="59"/>
    </row>
    <row r="255" spans="1:30" ht="12.75" customHeight="1" x14ac:dyDescent="0.2">
      <c r="A255" s="56"/>
      <c r="B255" s="56"/>
      <c r="C255" s="56"/>
      <c r="D255" s="57"/>
      <c r="E255" s="57"/>
      <c r="F255" s="56"/>
      <c r="G255" s="56"/>
      <c r="H255" s="56"/>
      <c r="I255" s="56"/>
      <c r="J255" s="56"/>
      <c r="K255" s="56"/>
      <c r="L255" s="56"/>
      <c r="M255" s="58"/>
      <c r="N255" s="58"/>
      <c r="O255" s="58"/>
      <c r="P255" s="58"/>
      <c r="Q255" s="58"/>
      <c r="R255" s="58"/>
      <c r="S255" s="58"/>
      <c r="T255" s="58"/>
      <c r="U255" s="58"/>
      <c r="V255" s="58"/>
      <c r="W255" s="58"/>
      <c r="X255" s="58"/>
      <c r="Y255" s="58"/>
      <c r="Z255" s="58"/>
      <c r="AA255" s="58"/>
      <c r="AB255" s="58"/>
      <c r="AC255" s="59"/>
      <c r="AD255" s="59"/>
    </row>
    <row r="256" spans="1:30" ht="12.75" customHeight="1" x14ac:dyDescent="0.2">
      <c r="A256" s="56"/>
      <c r="B256" s="56"/>
      <c r="C256" s="56"/>
      <c r="D256" s="57"/>
      <c r="E256" s="57"/>
      <c r="F256" s="56"/>
      <c r="G256" s="56"/>
      <c r="H256" s="56"/>
      <c r="I256" s="56"/>
      <c r="J256" s="56"/>
      <c r="K256" s="56"/>
      <c r="L256" s="56"/>
      <c r="M256" s="58"/>
      <c r="N256" s="58"/>
      <c r="O256" s="58"/>
      <c r="P256" s="58"/>
      <c r="Q256" s="58"/>
      <c r="R256" s="58"/>
      <c r="S256" s="58"/>
      <c r="T256" s="58"/>
      <c r="U256" s="58"/>
      <c r="V256" s="58"/>
      <c r="W256" s="58"/>
      <c r="X256" s="58"/>
      <c r="Y256" s="58"/>
      <c r="Z256" s="58"/>
      <c r="AA256" s="58"/>
      <c r="AB256" s="58"/>
      <c r="AC256" s="59"/>
      <c r="AD256" s="59"/>
    </row>
    <row r="257" spans="1:30" ht="12.75" customHeight="1" x14ac:dyDescent="0.2">
      <c r="A257" s="56"/>
      <c r="B257" s="56"/>
      <c r="C257" s="56"/>
      <c r="D257" s="57"/>
      <c r="E257" s="57"/>
      <c r="F257" s="56"/>
      <c r="G257" s="56"/>
      <c r="H257" s="56"/>
      <c r="I257" s="56"/>
      <c r="J257" s="56"/>
      <c r="K257" s="56"/>
      <c r="L257" s="56"/>
      <c r="M257" s="58"/>
      <c r="N257" s="58"/>
      <c r="O257" s="58"/>
      <c r="P257" s="58"/>
      <c r="Q257" s="58"/>
      <c r="R257" s="58"/>
      <c r="S257" s="58"/>
      <c r="T257" s="58"/>
      <c r="U257" s="58"/>
      <c r="V257" s="58"/>
      <c r="W257" s="58"/>
      <c r="X257" s="58"/>
      <c r="Y257" s="58"/>
      <c r="Z257" s="58"/>
      <c r="AA257" s="58"/>
      <c r="AB257" s="58"/>
      <c r="AC257" s="59"/>
      <c r="AD257" s="59"/>
    </row>
    <row r="258" spans="1:30" ht="12.75" customHeight="1" x14ac:dyDescent="0.2">
      <c r="A258" s="56"/>
      <c r="B258" s="56"/>
      <c r="C258" s="56"/>
      <c r="D258" s="57"/>
      <c r="E258" s="57"/>
      <c r="F258" s="56"/>
      <c r="G258" s="56"/>
      <c r="H258" s="56"/>
      <c r="I258" s="56"/>
      <c r="J258" s="56"/>
      <c r="K258" s="56"/>
      <c r="L258" s="56"/>
      <c r="M258" s="58"/>
      <c r="N258" s="58"/>
      <c r="O258" s="58"/>
      <c r="P258" s="58"/>
      <c r="Q258" s="58"/>
      <c r="R258" s="58"/>
      <c r="S258" s="58"/>
      <c r="T258" s="58"/>
      <c r="U258" s="58"/>
      <c r="V258" s="58"/>
      <c r="W258" s="58"/>
      <c r="X258" s="58"/>
      <c r="Y258" s="58"/>
      <c r="Z258" s="58"/>
      <c r="AA258" s="58"/>
      <c r="AB258" s="58"/>
      <c r="AC258" s="59"/>
      <c r="AD258" s="59"/>
    </row>
    <row r="259" spans="1:30" ht="12.75" customHeight="1" x14ac:dyDescent="0.2">
      <c r="A259" s="56"/>
      <c r="B259" s="56"/>
      <c r="C259" s="56"/>
      <c r="D259" s="57"/>
      <c r="E259" s="57"/>
      <c r="F259" s="56"/>
      <c r="G259" s="56"/>
      <c r="H259" s="56"/>
      <c r="I259" s="56"/>
      <c r="J259" s="56"/>
      <c r="K259" s="56"/>
      <c r="L259" s="56"/>
      <c r="M259" s="58"/>
      <c r="N259" s="58"/>
      <c r="O259" s="58"/>
      <c r="P259" s="58"/>
      <c r="Q259" s="58"/>
      <c r="R259" s="58"/>
      <c r="S259" s="58"/>
      <c r="T259" s="58"/>
      <c r="U259" s="58"/>
      <c r="V259" s="58"/>
      <c r="W259" s="58"/>
      <c r="X259" s="58"/>
      <c r="Y259" s="58"/>
      <c r="Z259" s="58"/>
      <c r="AA259" s="58"/>
      <c r="AB259" s="58"/>
      <c r="AC259" s="59"/>
      <c r="AD259" s="59"/>
    </row>
    <row r="260" spans="1:30" ht="12.75" customHeight="1" x14ac:dyDescent="0.2">
      <c r="A260" s="56"/>
      <c r="B260" s="56"/>
      <c r="C260" s="56"/>
      <c r="D260" s="57"/>
      <c r="E260" s="57"/>
      <c r="F260" s="56"/>
      <c r="G260" s="56"/>
      <c r="H260" s="56"/>
      <c r="I260" s="56"/>
      <c r="J260" s="56"/>
      <c r="K260" s="56"/>
      <c r="L260" s="56"/>
      <c r="M260" s="58"/>
      <c r="N260" s="58"/>
      <c r="O260" s="58"/>
      <c r="P260" s="58"/>
      <c r="Q260" s="58"/>
      <c r="R260" s="58"/>
      <c r="S260" s="58"/>
      <c r="T260" s="58"/>
      <c r="U260" s="58"/>
      <c r="V260" s="58"/>
      <c r="W260" s="58"/>
      <c r="X260" s="58"/>
      <c r="Y260" s="58"/>
      <c r="Z260" s="58"/>
      <c r="AA260" s="58"/>
      <c r="AB260" s="58"/>
      <c r="AC260" s="59"/>
      <c r="AD260" s="59"/>
    </row>
    <row r="261" spans="1:30" ht="12.75" customHeight="1" x14ac:dyDescent="0.2">
      <c r="A261" s="56"/>
      <c r="B261" s="56"/>
      <c r="C261" s="56"/>
      <c r="D261" s="57"/>
      <c r="E261" s="57"/>
      <c r="F261" s="56"/>
      <c r="G261" s="56"/>
      <c r="H261" s="56"/>
      <c r="I261" s="56"/>
      <c r="J261" s="56"/>
      <c r="K261" s="56"/>
      <c r="L261" s="56"/>
      <c r="M261" s="58"/>
      <c r="N261" s="58"/>
      <c r="O261" s="58"/>
      <c r="P261" s="58"/>
      <c r="Q261" s="58"/>
      <c r="R261" s="58"/>
      <c r="S261" s="58"/>
      <c r="T261" s="58"/>
      <c r="U261" s="58"/>
      <c r="V261" s="58"/>
      <c r="W261" s="58"/>
      <c r="X261" s="58"/>
      <c r="Y261" s="58"/>
      <c r="Z261" s="58"/>
      <c r="AA261" s="58"/>
      <c r="AB261" s="58"/>
      <c r="AC261" s="59"/>
      <c r="AD261" s="59"/>
    </row>
    <row r="262" spans="1:30" ht="12.75" customHeight="1" x14ac:dyDescent="0.2">
      <c r="A262" s="56"/>
      <c r="B262" s="56"/>
      <c r="C262" s="56"/>
      <c r="D262" s="57"/>
      <c r="E262" s="57"/>
      <c r="F262" s="56"/>
      <c r="G262" s="56"/>
      <c r="H262" s="56"/>
      <c r="I262" s="56"/>
      <c r="J262" s="56"/>
      <c r="K262" s="56"/>
      <c r="L262" s="56"/>
      <c r="M262" s="58"/>
      <c r="N262" s="58"/>
      <c r="O262" s="58"/>
      <c r="P262" s="58"/>
      <c r="Q262" s="58"/>
      <c r="R262" s="58"/>
      <c r="S262" s="58"/>
      <c r="T262" s="58"/>
      <c r="U262" s="58"/>
      <c r="V262" s="58"/>
      <c r="W262" s="58"/>
      <c r="X262" s="58"/>
      <c r="Y262" s="58"/>
      <c r="Z262" s="58"/>
      <c r="AA262" s="58"/>
      <c r="AB262" s="58"/>
      <c r="AC262" s="59"/>
      <c r="AD262" s="59"/>
    </row>
    <row r="263" spans="1:30" ht="12.75" customHeight="1" x14ac:dyDescent="0.2">
      <c r="A263" s="56"/>
      <c r="B263" s="56"/>
      <c r="C263" s="56"/>
      <c r="D263" s="57"/>
      <c r="E263" s="57"/>
      <c r="F263" s="56"/>
      <c r="G263" s="56"/>
      <c r="H263" s="56"/>
      <c r="I263" s="56"/>
      <c r="J263" s="56"/>
      <c r="K263" s="56"/>
      <c r="L263" s="56"/>
      <c r="M263" s="58"/>
      <c r="N263" s="58"/>
      <c r="O263" s="58"/>
      <c r="P263" s="58"/>
      <c r="Q263" s="58"/>
      <c r="R263" s="58"/>
      <c r="S263" s="58"/>
      <c r="T263" s="58"/>
      <c r="U263" s="58"/>
      <c r="V263" s="58"/>
      <c r="W263" s="58"/>
      <c r="X263" s="58"/>
      <c r="Y263" s="58"/>
      <c r="Z263" s="58"/>
      <c r="AA263" s="58"/>
      <c r="AB263" s="58"/>
      <c r="AC263" s="59"/>
      <c r="AD263" s="59"/>
    </row>
    <row r="264" spans="1:30" ht="12.75" customHeight="1" x14ac:dyDescent="0.2">
      <c r="A264" s="56"/>
      <c r="B264" s="56"/>
      <c r="C264" s="56"/>
      <c r="D264" s="57"/>
      <c r="E264" s="57"/>
      <c r="F264" s="56"/>
      <c r="G264" s="56"/>
      <c r="H264" s="56"/>
      <c r="I264" s="56"/>
      <c r="J264" s="56"/>
      <c r="K264" s="56"/>
      <c r="L264" s="56"/>
      <c r="M264" s="58"/>
      <c r="N264" s="58"/>
      <c r="O264" s="58"/>
      <c r="P264" s="58"/>
      <c r="Q264" s="58"/>
      <c r="R264" s="58"/>
      <c r="S264" s="58"/>
      <c r="T264" s="58"/>
      <c r="U264" s="58"/>
      <c r="V264" s="58"/>
      <c r="W264" s="58"/>
      <c r="X264" s="58"/>
      <c r="Y264" s="58"/>
      <c r="Z264" s="58"/>
      <c r="AA264" s="58"/>
      <c r="AB264" s="58"/>
      <c r="AC264" s="59"/>
      <c r="AD264" s="59"/>
    </row>
    <row r="265" spans="1:30" ht="12.75" customHeight="1" x14ac:dyDescent="0.2">
      <c r="A265" s="56"/>
      <c r="B265" s="56"/>
      <c r="C265" s="56"/>
      <c r="D265" s="57"/>
      <c r="E265" s="57"/>
      <c r="F265" s="56"/>
      <c r="G265" s="56"/>
      <c r="H265" s="56"/>
      <c r="I265" s="56"/>
      <c r="J265" s="56"/>
      <c r="K265" s="56"/>
      <c r="L265" s="56"/>
      <c r="M265" s="58"/>
      <c r="N265" s="58"/>
      <c r="O265" s="58"/>
      <c r="P265" s="58"/>
      <c r="Q265" s="58"/>
      <c r="R265" s="58"/>
      <c r="S265" s="58"/>
      <c r="T265" s="58"/>
      <c r="U265" s="58"/>
      <c r="V265" s="58"/>
      <c r="W265" s="58"/>
      <c r="X265" s="58"/>
      <c r="Y265" s="58"/>
      <c r="Z265" s="58"/>
      <c r="AA265" s="58"/>
      <c r="AB265" s="58"/>
      <c r="AC265" s="59"/>
      <c r="AD265" s="59"/>
    </row>
    <row r="266" spans="1:30" ht="12.75" customHeight="1" x14ac:dyDescent="0.2">
      <c r="A266" s="56"/>
      <c r="B266" s="56"/>
      <c r="C266" s="56"/>
      <c r="D266" s="57"/>
      <c r="E266" s="57"/>
      <c r="F266" s="56"/>
      <c r="G266" s="56"/>
      <c r="H266" s="56"/>
      <c r="I266" s="56"/>
      <c r="J266" s="56"/>
      <c r="K266" s="56"/>
      <c r="L266" s="56"/>
      <c r="M266" s="58"/>
      <c r="N266" s="58"/>
      <c r="O266" s="58"/>
      <c r="P266" s="58"/>
      <c r="Q266" s="58"/>
      <c r="R266" s="58"/>
      <c r="S266" s="58"/>
      <c r="T266" s="58"/>
      <c r="U266" s="58"/>
      <c r="V266" s="58"/>
      <c r="W266" s="58"/>
      <c r="X266" s="58"/>
      <c r="Y266" s="58"/>
      <c r="Z266" s="58"/>
      <c r="AA266" s="58"/>
      <c r="AB266" s="58"/>
      <c r="AC266" s="59"/>
      <c r="AD266" s="59"/>
    </row>
    <row r="267" spans="1:30" ht="12.75" customHeight="1" x14ac:dyDescent="0.2">
      <c r="A267" s="56"/>
      <c r="B267" s="56"/>
      <c r="C267" s="56"/>
      <c r="D267" s="57"/>
      <c r="E267" s="57"/>
      <c r="F267" s="56"/>
      <c r="G267" s="56"/>
      <c r="H267" s="56"/>
      <c r="I267" s="56"/>
      <c r="J267" s="56"/>
      <c r="K267" s="56"/>
      <c r="L267" s="56"/>
      <c r="M267" s="58"/>
      <c r="N267" s="58"/>
      <c r="O267" s="58"/>
      <c r="P267" s="58"/>
      <c r="Q267" s="58"/>
      <c r="R267" s="58"/>
      <c r="S267" s="58"/>
      <c r="T267" s="58"/>
      <c r="U267" s="58"/>
      <c r="V267" s="58"/>
      <c r="W267" s="58"/>
      <c r="X267" s="58"/>
      <c r="Y267" s="58"/>
      <c r="Z267" s="58"/>
      <c r="AA267" s="58"/>
      <c r="AB267" s="58"/>
      <c r="AC267" s="59"/>
      <c r="AD267" s="59"/>
    </row>
    <row r="268" spans="1:30" ht="12.75" customHeight="1" x14ac:dyDescent="0.2">
      <c r="A268" s="56"/>
      <c r="B268" s="56"/>
      <c r="C268" s="56"/>
      <c r="D268" s="57"/>
      <c r="E268" s="57"/>
      <c r="F268" s="56"/>
      <c r="G268" s="56"/>
      <c r="H268" s="56"/>
      <c r="I268" s="56"/>
      <c r="J268" s="56"/>
      <c r="K268" s="56"/>
      <c r="L268" s="56"/>
      <c r="M268" s="58"/>
      <c r="N268" s="58"/>
      <c r="O268" s="58"/>
      <c r="P268" s="58"/>
      <c r="Q268" s="58"/>
      <c r="R268" s="58"/>
      <c r="S268" s="58"/>
      <c r="T268" s="58"/>
      <c r="U268" s="58"/>
      <c r="V268" s="58"/>
      <c r="W268" s="58"/>
      <c r="X268" s="58"/>
      <c r="Y268" s="58"/>
      <c r="Z268" s="58"/>
      <c r="AA268" s="58"/>
      <c r="AB268" s="58"/>
      <c r="AC268" s="59"/>
      <c r="AD268" s="59"/>
    </row>
    <row r="269" spans="1:30" ht="12.75" customHeight="1" x14ac:dyDescent="0.2">
      <c r="A269" s="56"/>
      <c r="B269" s="56"/>
      <c r="C269" s="56"/>
      <c r="D269" s="57"/>
      <c r="E269" s="57"/>
      <c r="F269" s="56"/>
      <c r="G269" s="56"/>
      <c r="H269" s="56"/>
      <c r="I269" s="56"/>
      <c r="J269" s="56"/>
      <c r="K269" s="56"/>
      <c r="L269" s="56"/>
      <c r="M269" s="58"/>
      <c r="N269" s="58"/>
      <c r="O269" s="58"/>
      <c r="P269" s="58"/>
      <c r="Q269" s="58"/>
      <c r="R269" s="58"/>
      <c r="S269" s="58"/>
      <c r="T269" s="58"/>
      <c r="U269" s="58"/>
      <c r="V269" s="58"/>
      <c r="W269" s="58"/>
      <c r="X269" s="58"/>
      <c r="Y269" s="58"/>
      <c r="Z269" s="58"/>
      <c r="AA269" s="58"/>
      <c r="AB269" s="58"/>
      <c r="AC269" s="59"/>
      <c r="AD269" s="59"/>
    </row>
    <row r="270" spans="1:30" ht="12.75" customHeight="1" x14ac:dyDescent="0.2">
      <c r="A270" s="56"/>
      <c r="B270" s="56"/>
      <c r="C270" s="56"/>
      <c r="D270" s="57"/>
      <c r="E270" s="57"/>
      <c r="F270" s="56"/>
      <c r="G270" s="56"/>
      <c r="H270" s="56"/>
      <c r="I270" s="56"/>
      <c r="J270" s="56"/>
      <c r="K270" s="56"/>
      <c r="L270" s="56"/>
      <c r="M270" s="58"/>
      <c r="N270" s="58"/>
      <c r="O270" s="58"/>
      <c r="P270" s="58"/>
      <c r="Q270" s="58"/>
      <c r="R270" s="58"/>
      <c r="S270" s="58"/>
      <c r="T270" s="58"/>
      <c r="U270" s="58"/>
      <c r="V270" s="58"/>
      <c r="W270" s="58"/>
      <c r="X270" s="58"/>
      <c r="Y270" s="58"/>
      <c r="Z270" s="58"/>
      <c r="AA270" s="58"/>
      <c r="AB270" s="58"/>
      <c r="AC270" s="59"/>
      <c r="AD270" s="59"/>
    </row>
    <row r="271" spans="1:30" ht="12.75" customHeight="1" x14ac:dyDescent="0.2">
      <c r="A271" s="56"/>
      <c r="B271" s="56"/>
      <c r="C271" s="56"/>
      <c r="D271" s="57"/>
      <c r="E271" s="57"/>
      <c r="F271" s="56"/>
      <c r="G271" s="56"/>
      <c r="H271" s="56"/>
      <c r="I271" s="56"/>
      <c r="J271" s="56"/>
      <c r="K271" s="56"/>
      <c r="L271" s="56"/>
      <c r="M271" s="58"/>
      <c r="N271" s="58"/>
      <c r="O271" s="58"/>
      <c r="P271" s="58"/>
      <c r="Q271" s="58"/>
      <c r="R271" s="58"/>
      <c r="S271" s="58"/>
      <c r="T271" s="58"/>
      <c r="U271" s="58"/>
      <c r="V271" s="58"/>
      <c r="W271" s="58"/>
      <c r="X271" s="58"/>
      <c r="Y271" s="58"/>
      <c r="Z271" s="58"/>
      <c r="AA271" s="58"/>
      <c r="AB271" s="58"/>
      <c r="AC271" s="59"/>
      <c r="AD271" s="59"/>
    </row>
    <row r="272" spans="1:30" ht="12.75" customHeight="1" x14ac:dyDescent="0.2">
      <c r="A272" s="56"/>
      <c r="B272" s="56"/>
      <c r="C272" s="56"/>
      <c r="D272" s="57"/>
      <c r="E272" s="57"/>
      <c r="F272" s="56"/>
      <c r="G272" s="56"/>
      <c r="H272" s="56"/>
      <c r="I272" s="56"/>
      <c r="J272" s="56"/>
      <c r="K272" s="56"/>
      <c r="L272" s="56"/>
      <c r="M272" s="58"/>
      <c r="N272" s="58"/>
      <c r="O272" s="58"/>
      <c r="P272" s="58"/>
      <c r="Q272" s="58"/>
      <c r="R272" s="58"/>
      <c r="S272" s="58"/>
      <c r="T272" s="58"/>
      <c r="U272" s="58"/>
      <c r="V272" s="58"/>
      <c r="W272" s="58"/>
      <c r="X272" s="58"/>
      <c r="Y272" s="58"/>
      <c r="Z272" s="58"/>
      <c r="AA272" s="58"/>
      <c r="AB272" s="58"/>
      <c r="AC272" s="59"/>
      <c r="AD272" s="59"/>
    </row>
    <row r="273" spans="1:30" ht="12.75" customHeight="1" x14ac:dyDescent="0.2">
      <c r="A273" s="56"/>
      <c r="B273" s="56"/>
      <c r="C273" s="56"/>
      <c r="D273" s="57"/>
      <c r="E273" s="57"/>
      <c r="F273" s="56"/>
      <c r="G273" s="56"/>
      <c r="H273" s="56"/>
      <c r="I273" s="56"/>
      <c r="J273" s="56"/>
      <c r="K273" s="56"/>
      <c r="L273" s="56"/>
      <c r="M273" s="58"/>
      <c r="N273" s="58"/>
      <c r="O273" s="58"/>
      <c r="P273" s="58"/>
      <c r="Q273" s="58"/>
      <c r="R273" s="58"/>
      <c r="S273" s="58"/>
      <c r="T273" s="58"/>
      <c r="U273" s="58"/>
      <c r="V273" s="58"/>
      <c r="W273" s="58"/>
      <c r="X273" s="58"/>
      <c r="Y273" s="58"/>
      <c r="Z273" s="58"/>
      <c r="AA273" s="58"/>
      <c r="AB273" s="58"/>
      <c r="AC273" s="59"/>
      <c r="AD273" s="59"/>
    </row>
    <row r="274" spans="1:30" ht="12.75" customHeight="1" x14ac:dyDescent="0.2">
      <c r="A274" s="56"/>
      <c r="B274" s="56"/>
      <c r="C274" s="56"/>
      <c r="D274" s="57"/>
      <c r="E274" s="57"/>
      <c r="F274" s="56"/>
      <c r="G274" s="56"/>
      <c r="H274" s="56"/>
      <c r="I274" s="56"/>
      <c r="J274" s="56"/>
      <c r="K274" s="56"/>
      <c r="L274" s="56"/>
      <c r="M274" s="58"/>
      <c r="N274" s="58"/>
      <c r="O274" s="58"/>
      <c r="P274" s="58"/>
      <c r="Q274" s="58"/>
      <c r="R274" s="58"/>
      <c r="S274" s="58"/>
      <c r="T274" s="58"/>
      <c r="U274" s="58"/>
      <c r="V274" s="58"/>
      <c r="W274" s="58"/>
      <c r="X274" s="58"/>
      <c r="Y274" s="58"/>
      <c r="Z274" s="58"/>
      <c r="AA274" s="58"/>
      <c r="AB274" s="58"/>
      <c r="AC274" s="59"/>
      <c r="AD274" s="59"/>
    </row>
    <row r="275" spans="1:30" ht="12.75" customHeight="1" x14ac:dyDescent="0.2">
      <c r="A275" s="56"/>
      <c r="B275" s="56"/>
      <c r="C275" s="56"/>
      <c r="D275" s="57"/>
      <c r="E275" s="57"/>
      <c r="F275" s="56"/>
      <c r="G275" s="56"/>
      <c r="H275" s="56"/>
      <c r="I275" s="56"/>
      <c r="J275" s="56"/>
      <c r="K275" s="56"/>
      <c r="L275" s="56"/>
      <c r="M275" s="58"/>
      <c r="N275" s="58"/>
      <c r="O275" s="58"/>
      <c r="P275" s="58"/>
      <c r="Q275" s="58"/>
      <c r="R275" s="58"/>
      <c r="S275" s="58"/>
      <c r="T275" s="58"/>
      <c r="U275" s="58"/>
      <c r="V275" s="58"/>
      <c r="W275" s="58"/>
      <c r="X275" s="58"/>
      <c r="Y275" s="58"/>
      <c r="Z275" s="58"/>
      <c r="AA275" s="58"/>
      <c r="AB275" s="58"/>
      <c r="AC275" s="59"/>
      <c r="AD275" s="59"/>
    </row>
    <row r="276" spans="1:30" ht="12.75" customHeight="1" x14ac:dyDescent="0.2">
      <c r="A276" s="56"/>
      <c r="B276" s="56"/>
      <c r="C276" s="56"/>
      <c r="D276" s="57"/>
      <c r="E276" s="57"/>
      <c r="F276" s="56"/>
      <c r="G276" s="56"/>
      <c r="H276" s="56"/>
      <c r="I276" s="56"/>
      <c r="J276" s="56"/>
      <c r="K276" s="56"/>
      <c r="L276" s="56"/>
      <c r="M276" s="58"/>
      <c r="N276" s="58"/>
      <c r="O276" s="58"/>
      <c r="P276" s="58"/>
      <c r="Q276" s="58"/>
      <c r="R276" s="58"/>
      <c r="S276" s="58"/>
      <c r="T276" s="58"/>
      <c r="U276" s="58"/>
      <c r="V276" s="58"/>
      <c r="W276" s="58"/>
      <c r="X276" s="58"/>
      <c r="Y276" s="58"/>
      <c r="Z276" s="58"/>
      <c r="AA276" s="58"/>
      <c r="AB276" s="58"/>
      <c r="AC276" s="59"/>
      <c r="AD276" s="59"/>
    </row>
    <row r="277" spans="1:30" ht="12.75" customHeight="1" x14ac:dyDescent="0.2">
      <c r="A277" s="56"/>
      <c r="B277" s="56"/>
      <c r="C277" s="56"/>
      <c r="D277" s="57"/>
      <c r="E277" s="57"/>
      <c r="F277" s="56"/>
      <c r="G277" s="56"/>
      <c r="H277" s="56"/>
      <c r="I277" s="56"/>
      <c r="J277" s="56"/>
      <c r="K277" s="56"/>
      <c r="L277" s="56"/>
      <c r="M277" s="58"/>
      <c r="N277" s="58"/>
      <c r="O277" s="58"/>
      <c r="P277" s="58"/>
      <c r="Q277" s="58"/>
      <c r="R277" s="58"/>
      <c r="S277" s="58"/>
      <c r="T277" s="58"/>
      <c r="U277" s="58"/>
      <c r="V277" s="58"/>
      <c r="W277" s="58"/>
      <c r="X277" s="58"/>
      <c r="Y277" s="58"/>
      <c r="Z277" s="58"/>
      <c r="AA277" s="58"/>
      <c r="AB277" s="58"/>
      <c r="AC277" s="59"/>
      <c r="AD277" s="59"/>
    </row>
    <row r="278" spans="1:30" ht="12.75" customHeight="1" x14ac:dyDescent="0.2">
      <c r="A278" s="56"/>
      <c r="B278" s="56"/>
      <c r="C278" s="56"/>
      <c r="D278" s="57"/>
      <c r="E278" s="57"/>
      <c r="F278" s="56"/>
      <c r="G278" s="56"/>
      <c r="H278" s="56"/>
      <c r="I278" s="56"/>
      <c r="J278" s="56"/>
      <c r="K278" s="56"/>
      <c r="L278" s="56"/>
      <c r="M278" s="58"/>
      <c r="N278" s="58"/>
      <c r="O278" s="58"/>
      <c r="P278" s="58"/>
      <c r="Q278" s="58"/>
      <c r="R278" s="58"/>
      <c r="S278" s="58"/>
      <c r="T278" s="58"/>
      <c r="U278" s="58"/>
      <c r="V278" s="58"/>
      <c r="W278" s="58"/>
      <c r="X278" s="58"/>
      <c r="Y278" s="58"/>
      <c r="Z278" s="58"/>
      <c r="AA278" s="58"/>
      <c r="AB278" s="58"/>
      <c r="AC278" s="59"/>
      <c r="AD278" s="59"/>
    </row>
    <row r="279" spans="1:30" ht="12.75" customHeight="1" x14ac:dyDescent="0.2">
      <c r="A279" s="56"/>
      <c r="B279" s="56"/>
      <c r="C279" s="56"/>
      <c r="D279" s="57"/>
      <c r="E279" s="57"/>
      <c r="F279" s="56"/>
      <c r="G279" s="56"/>
      <c r="H279" s="56"/>
      <c r="I279" s="56"/>
      <c r="J279" s="56"/>
      <c r="K279" s="56"/>
      <c r="L279" s="56"/>
      <c r="M279" s="58"/>
      <c r="N279" s="58"/>
      <c r="O279" s="58"/>
      <c r="P279" s="58"/>
      <c r="Q279" s="58"/>
      <c r="R279" s="58"/>
      <c r="S279" s="58"/>
      <c r="T279" s="58"/>
      <c r="U279" s="58"/>
      <c r="V279" s="58"/>
      <c r="W279" s="58"/>
      <c r="X279" s="58"/>
      <c r="Y279" s="58"/>
      <c r="Z279" s="58"/>
      <c r="AA279" s="58"/>
      <c r="AB279" s="58"/>
      <c r="AC279" s="59"/>
      <c r="AD279" s="59"/>
    </row>
    <row r="280" spans="1:30" ht="12.75" customHeight="1" x14ac:dyDescent="0.2">
      <c r="A280" s="56"/>
      <c r="B280" s="56"/>
      <c r="C280" s="56"/>
      <c r="D280" s="57"/>
      <c r="E280" s="57"/>
      <c r="F280" s="56"/>
      <c r="G280" s="56"/>
      <c r="H280" s="56"/>
      <c r="I280" s="56"/>
      <c r="J280" s="56"/>
      <c r="K280" s="56"/>
      <c r="L280" s="56"/>
      <c r="M280" s="58"/>
      <c r="N280" s="58"/>
      <c r="O280" s="58"/>
      <c r="P280" s="58"/>
      <c r="Q280" s="58"/>
      <c r="R280" s="58"/>
      <c r="S280" s="58"/>
      <c r="T280" s="58"/>
      <c r="U280" s="58"/>
      <c r="V280" s="58"/>
      <c r="W280" s="58"/>
      <c r="X280" s="58"/>
      <c r="Y280" s="58"/>
      <c r="Z280" s="58"/>
      <c r="AA280" s="58"/>
      <c r="AB280" s="58"/>
      <c r="AC280" s="59"/>
      <c r="AD280" s="59"/>
    </row>
    <row r="281" spans="1:30" ht="12.75" customHeight="1" x14ac:dyDescent="0.2">
      <c r="A281" s="56"/>
      <c r="B281" s="56"/>
      <c r="C281" s="56"/>
      <c r="D281" s="57"/>
      <c r="E281" s="57"/>
      <c r="F281" s="56"/>
      <c r="G281" s="56"/>
      <c r="H281" s="56"/>
      <c r="I281" s="56"/>
      <c r="J281" s="56"/>
      <c r="K281" s="56"/>
      <c r="L281" s="56"/>
      <c r="M281" s="58"/>
      <c r="N281" s="58"/>
      <c r="O281" s="58"/>
      <c r="P281" s="58"/>
      <c r="Q281" s="58"/>
      <c r="R281" s="58"/>
      <c r="S281" s="58"/>
      <c r="T281" s="58"/>
      <c r="U281" s="58"/>
      <c r="V281" s="58"/>
      <c r="W281" s="58"/>
      <c r="X281" s="58"/>
      <c r="Y281" s="58"/>
      <c r="Z281" s="58"/>
      <c r="AA281" s="58"/>
      <c r="AB281" s="58"/>
      <c r="AC281" s="59"/>
      <c r="AD281" s="59"/>
    </row>
    <row r="282" spans="1:30" ht="12.75" customHeight="1" x14ac:dyDescent="0.2">
      <c r="A282" s="56"/>
      <c r="B282" s="56"/>
      <c r="C282" s="56"/>
      <c r="D282" s="57"/>
      <c r="E282" s="57"/>
      <c r="F282" s="56"/>
      <c r="G282" s="56"/>
      <c r="H282" s="56"/>
      <c r="I282" s="56"/>
      <c r="J282" s="56"/>
      <c r="K282" s="56"/>
      <c r="L282" s="56"/>
      <c r="M282" s="58"/>
      <c r="N282" s="58"/>
      <c r="O282" s="58"/>
      <c r="P282" s="58"/>
      <c r="Q282" s="58"/>
      <c r="R282" s="58"/>
      <c r="S282" s="58"/>
      <c r="T282" s="58"/>
      <c r="U282" s="58"/>
      <c r="V282" s="58"/>
      <c r="W282" s="58"/>
      <c r="X282" s="58"/>
      <c r="Y282" s="58"/>
      <c r="Z282" s="58"/>
      <c r="AA282" s="58"/>
      <c r="AB282" s="58"/>
      <c r="AC282" s="59"/>
      <c r="AD282" s="59"/>
    </row>
    <row r="283" spans="1:30" ht="12.75" customHeight="1" x14ac:dyDescent="0.2">
      <c r="A283" s="56"/>
      <c r="B283" s="56"/>
      <c r="C283" s="56"/>
      <c r="D283" s="57"/>
      <c r="E283" s="57"/>
      <c r="F283" s="56"/>
      <c r="G283" s="56"/>
      <c r="H283" s="56"/>
      <c r="I283" s="56"/>
      <c r="J283" s="56"/>
      <c r="K283" s="56"/>
      <c r="L283" s="56"/>
      <c r="M283" s="58"/>
      <c r="N283" s="58"/>
      <c r="O283" s="58"/>
      <c r="P283" s="58"/>
      <c r="Q283" s="58"/>
      <c r="R283" s="58"/>
      <c r="S283" s="58"/>
      <c r="T283" s="58"/>
      <c r="U283" s="58"/>
      <c r="V283" s="58"/>
      <c r="W283" s="58"/>
      <c r="X283" s="58"/>
      <c r="Y283" s="58"/>
      <c r="Z283" s="58"/>
      <c r="AA283" s="58"/>
      <c r="AB283" s="58"/>
      <c r="AC283" s="59"/>
      <c r="AD283" s="59"/>
    </row>
    <row r="284" spans="1:30" ht="12.75" customHeight="1" x14ac:dyDescent="0.2">
      <c r="A284" s="56"/>
      <c r="B284" s="56"/>
      <c r="C284" s="56"/>
      <c r="D284" s="57"/>
      <c r="E284" s="57"/>
      <c r="F284" s="56"/>
      <c r="G284" s="56"/>
      <c r="H284" s="56"/>
      <c r="I284" s="56"/>
      <c r="J284" s="56"/>
      <c r="K284" s="56"/>
      <c r="L284" s="56"/>
      <c r="M284" s="58"/>
      <c r="N284" s="58"/>
      <c r="O284" s="58"/>
      <c r="P284" s="58"/>
      <c r="Q284" s="58"/>
      <c r="R284" s="58"/>
      <c r="S284" s="58"/>
      <c r="T284" s="58"/>
      <c r="U284" s="58"/>
      <c r="V284" s="58"/>
      <c r="W284" s="58"/>
      <c r="X284" s="58"/>
      <c r="Y284" s="58"/>
      <c r="Z284" s="58"/>
      <c r="AA284" s="58"/>
      <c r="AB284" s="58"/>
      <c r="AC284" s="59"/>
      <c r="AD284" s="59"/>
    </row>
    <row r="285" spans="1:30" ht="12.75" customHeight="1" x14ac:dyDescent="0.2">
      <c r="A285" s="56"/>
      <c r="B285" s="56"/>
      <c r="C285" s="56"/>
      <c r="D285" s="57"/>
      <c r="E285" s="57"/>
      <c r="F285" s="56"/>
      <c r="G285" s="56"/>
      <c r="H285" s="56"/>
      <c r="I285" s="56"/>
      <c r="J285" s="56"/>
      <c r="K285" s="56"/>
      <c r="L285" s="56"/>
      <c r="M285" s="58"/>
      <c r="N285" s="58"/>
      <c r="O285" s="58"/>
      <c r="P285" s="58"/>
      <c r="Q285" s="58"/>
      <c r="R285" s="58"/>
      <c r="S285" s="58"/>
      <c r="T285" s="58"/>
      <c r="U285" s="58"/>
      <c r="V285" s="58"/>
      <c r="W285" s="58"/>
      <c r="X285" s="58"/>
      <c r="Y285" s="58"/>
      <c r="Z285" s="58"/>
      <c r="AA285" s="58"/>
      <c r="AB285" s="58"/>
      <c r="AC285" s="59"/>
      <c r="AD285" s="59"/>
    </row>
    <row r="286" spans="1:30" ht="12.75" customHeight="1" x14ac:dyDescent="0.2">
      <c r="A286" s="56"/>
      <c r="B286" s="56"/>
      <c r="C286" s="56"/>
      <c r="D286" s="57"/>
      <c r="E286" s="57"/>
      <c r="F286" s="56"/>
      <c r="G286" s="56"/>
      <c r="H286" s="56"/>
      <c r="I286" s="56"/>
      <c r="J286" s="56"/>
      <c r="K286" s="56"/>
      <c r="L286" s="56"/>
      <c r="M286" s="58"/>
      <c r="N286" s="58"/>
      <c r="O286" s="58"/>
      <c r="P286" s="58"/>
      <c r="Q286" s="58"/>
      <c r="R286" s="58"/>
      <c r="S286" s="58"/>
      <c r="T286" s="58"/>
      <c r="U286" s="58"/>
      <c r="V286" s="58"/>
      <c r="W286" s="58"/>
      <c r="X286" s="58"/>
      <c r="Y286" s="58"/>
      <c r="Z286" s="58"/>
      <c r="AA286" s="58"/>
      <c r="AB286" s="58"/>
      <c r="AC286" s="59"/>
      <c r="AD286" s="59"/>
    </row>
    <row r="287" spans="1:30" ht="12.75" customHeight="1" x14ac:dyDescent="0.2">
      <c r="A287" s="56"/>
      <c r="B287" s="56"/>
      <c r="C287" s="56"/>
      <c r="D287" s="57"/>
      <c r="E287" s="57"/>
      <c r="F287" s="56"/>
      <c r="G287" s="56"/>
      <c r="H287" s="56"/>
      <c r="I287" s="56"/>
      <c r="J287" s="56"/>
      <c r="K287" s="56"/>
      <c r="L287" s="56"/>
      <c r="M287" s="58"/>
      <c r="N287" s="58"/>
      <c r="O287" s="58"/>
      <c r="P287" s="58"/>
      <c r="Q287" s="58"/>
      <c r="R287" s="58"/>
      <c r="S287" s="58"/>
      <c r="T287" s="58"/>
      <c r="U287" s="58"/>
      <c r="V287" s="58"/>
      <c r="W287" s="58"/>
      <c r="X287" s="58"/>
      <c r="Y287" s="58"/>
      <c r="Z287" s="58"/>
      <c r="AA287" s="58"/>
      <c r="AB287" s="58"/>
      <c r="AC287" s="59"/>
      <c r="AD287" s="59"/>
    </row>
    <row r="288" spans="1:30" ht="12.75" customHeight="1" x14ac:dyDescent="0.2">
      <c r="A288" s="56"/>
      <c r="B288" s="56"/>
      <c r="C288" s="56"/>
      <c r="D288" s="57"/>
      <c r="E288" s="57"/>
      <c r="F288" s="56"/>
      <c r="G288" s="56"/>
      <c r="H288" s="56"/>
      <c r="I288" s="56"/>
      <c r="J288" s="56"/>
      <c r="K288" s="56"/>
      <c r="L288" s="56"/>
      <c r="M288" s="58"/>
      <c r="N288" s="58"/>
      <c r="O288" s="58"/>
      <c r="P288" s="58"/>
      <c r="Q288" s="58"/>
      <c r="R288" s="58"/>
      <c r="S288" s="58"/>
      <c r="T288" s="58"/>
      <c r="U288" s="58"/>
      <c r="V288" s="58"/>
      <c r="W288" s="58"/>
      <c r="X288" s="58"/>
      <c r="Y288" s="58"/>
      <c r="Z288" s="58"/>
      <c r="AA288" s="58"/>
      <c r="AB288" s="58"/>
      <c r="AC288" s="59"/>
      <c r="AD288" s="59"/>
    </row>
    <row r="289" spans="1:30" ht="12.75" customHeight="1" x14ac:dyDescent="0.2">
      <c r="A289" s="56"/>
      <c r="B289" s="56"/>
      <c r="C289" s="56"/>
      <c r="D289" s="57"/>
      <c r="E289" s="57"/>
      <c r="F289" s="56"/>
      <c r="G289" s="56"/>
      <c r="H289" s="56"/>
      <c r="I289" s="56"/>
      <c r="J289" s="56"/>
      <c r="K289" s="56"/>
      <c r="L289" s="56"/>
      <c r="M289" s="58"/>
      <c r="N289" s="58"/>
      <c r="O289" s="58"/>
      <c r="P289" s="58"/>
      <c r="Q289" s="58"/>
      <c r="R289" s="58"/>
      <c r="S289" s="58"/>
      <c r="T289" s="58"/>
      <c r="U289" s="58"/>
      <c r="V289" s="58"/>
      <c r="W289" s="58"/>
      <c r="X289" s="58"/>
      <c r="Y289" s="58"/>
      <c r="Z289" s="58"/>
      <c r="AA289" s="58"/>
      <c r="AB289" s="58"/>
      <c r="AC289" s="59"/>
      <c r="AD289" s="59"/>
    </row>
    <row r="290" spans="1:30" ht="12.75" customHeight="1" x14ac:dyDescent="0.2">
      <c r="A290" s="56"/>
      <c r="B290" s="56"/>
      <c r="C290" s="56"/>
      <c r="D290" s="57"/>
      <c r="E290" s="57"/>
      <c r="F290" s="56"/>
      <c r="G290" s="56"/>
      <c r="H290" s="56"/>
      <c r="I290" s="56"/>
      <c r="J290" s="56"/>
      <c r="K290" s="56"/>
      <c r="L290" s="56"/>
      <c r="M290" s="58"/>
      <c r="N290" s="58"/>
      <c r="O290" s="58"/>
      <c r="P290" s="58"/>
      <c r="Q290" s="58"/>
      <c r="R290" s="58"/>
      <c r="S290" s="58"/>
      <c r="T290" s="58"/>
      <c r="U290" s="58"/>
      <c r="V290" s="58"/>
      <c r="W290" s="58"/>
      <c r="X290" s="58"/>
      <c r="Y290" s="58"/>
      <c r="Z290" s="58"/>
      <c r="AA290" s="58"/>
      <c r="AB290" s="58"/>
      <c r="AC290" s="59"/>
      <c r="AD290" s="59"/>
    </row>
    <row r="291" spans="1:30" ht="12.75" customHeight="1" x14ac:dyDescent="0.2">
      <c r="A291" s="56"/>
      <c r="B291" s="56"/>
      <c r="C291" s="56"/>
      <c r="D291" s="57"/>
      <c r="E291" s="57"/>
      <c r="F291" s="56"/>
      <c r="G291" s="56"/>
      <c r="H291" s="56"/>
      <c r="I291" s="56"/>
      <c r="J291" s="56"/>
      <c r="K291" s="56"/>
      <c r="L291" s="56"/>
      <c r="M291" s="58"/>
      <c r="N291" s="58"/>
      <c r="O291" s="58"/>
      <c r="P291" s="58"/>
      <c r="Q291" s="58"/>
      <c r="R291" s="58"/>
      <c r="S291" s="58"/>
      <c r="T291" s="58"/>
      <c r="U291" s="58"/>
      <c r="V291" s="58"/>
      <c r="W291" s="58"/>
      <c r="X291" s="58"/>
      <c r="Y291" s="58"/>
      <c r="Z291" s="58"/>
      <c r="AA291" s="58"/>
      <c r="AB291" s="58"/>
      <c r="AC291" s="59"/>
      <c r="AD291" s="59"/>
    </row>
    <row r="292" spans="1:30" ht="12.75" customHeight="1" x14ac:dyDescent="0.2">
      <c r="A292" s="56"/>
      <c r="B292" s="56"/>
      <c r="C292" s="56"/>
      <c r="D292" s="57"/>
      <c r="E292" s="57"/>
      <c r="F292" s="56"/>
      <c r="G292" s="56"/>
      <c r="H292" s="56"/>
      <c r="I292" s="56"/>
      <c r="J292" s="56"/>
      <c r="K292" s="56"/>
      <c r="L292" s="56"/>
      <c r="M292" s="58"/>
      <c r="N292" s="58"/>
      <c r="O292" s="58"/>
      <c r="P292" s="58"/>
      <c r="Q292" s="58"/>
      <c r="R292" s="58"/>
      <c r="S292" s="58"/>
      <c r="T292" s="58"/>
      <c r="U292" s="58"/>
      <c r="V292" s="58"/>
      <c r="W292" s="58"/>
      <c r="X292" s="58"/>
      <c r="Y292" s="58"/>
      <c r="Z292" s="58"/>
      <c r="AA292" s="58"/>
      <c r="AB292" s="58"/>
      <c r="AC292" s="59"/>
      <c r="AD292" s="59"/>
    </row>
    <row r="293" spans="1:30" ht="12.75" customHeight="1" x14ac:dyDescent="0.2">
      <c r="A293" s="56"/>
      <c r="B293" s="56"/>
      <c r="C293" s="56"/>
      <c r="D293" s="57"/>
      <c r="E293" s="57"/>
      <c r="F293" s="56"/>
      <c r="G293" s="56"/>
      <c r="H293" s="56"/>
      <c r="I293" s="56"/>
      <c r="J293" s="56"/>
      <c r="K293" s="56"/>
      <c r="L293" s="56"/>
      <c r="M293" s="58"/>
      <c r="N293" s="58"/>
      <c r="O293" s="58"/>
      <c r="P293" s="58"/>
      <c r="Q293" s="58"/>
      <c r="R293" s="58"/>
      <c r="S293" s="58"/>
      <c r="T293" s="58"/>
      <c r="U293" s="58"/>
      <c r="V293" s="58"/>
      <c r="W293" s="58"/>
      <c r="X293" s="58"/>
      <c r="Y293" s="58"/>
      <c r="Z293" s="58"/>
      <c r="AA293" s="58"/>
      <c r="AB293" s="58"/>
      <c r="AC293" s="59"/>
      <c r="AD293" s="59"/>
    </row>
    <row r="294" spans="1:30" ht="12.75" customHeight="1" x14ac:dyDescent="0.2">
      <c r="A294" s="56"/>
      <c r="B294" s="56"/>
      <c r="C294" s="56"/>
      <c r="D294" s="57"/>
      <c r="E294" s="57"/>
      <c r="F294" s="56"/>
      <c r="G294" s="56"/>
      <c r="H294" s="56"/>
      <c r="I294" s="56"/>
      <c r="J294" s="56"/>
      <c r="K294" s="56"/>
      <c r="L294" s="56"/>
      <c r="M294" s="58"/>
      <c r="N294" s="58"/>
      <c r="O294" s="58"/>
      <c r="P294" s="58"/>
      <c r="Q294" s="58"/>
      <c r="R294" s="58"/>
      <c r="S294" s="58"/>
      <c r="T294" s="58"/>
      <c r="U294" s="58"/>
      <c r="V294" s="58"/>
      <c r="W294" s="58"/>
      <c r="X294" s="58"/>
      <c r="Y294" s="58"/>
      <c r="Z294" s="58"/>
      <c r="AA294" s="58"/>
      <c r="AB294" s="58"/>
      <c r="AC294" s="59"/>
      <c r="AD294" s="59"/>
    </row>
    <row r="295" spans="1:30" ht="12.75" customHeight="1" x14ac:dyDescent="0.2">
      <c r="A295" s="56"/>
      <c r="B295" s="56"/>
      <c r="C295" s="56"/>
      <c r="D295" s="57"/>
      <c r="E295" s="57"/>
      <c r="F295" s="56"/>
      <c r="G295" s="56"/>
      <c r="H295" s="56"/>
      <c r="I295" s="56"/>
      <c r="J295" s="56"/>
      <c r="K295" s="56"/>
      <c r="L295" s="56"/>
      <c r="M295" s="58"/>
      <c r="N295" s="58"/>
      <c r="O295" s="58"/>
      <c r="P295" s="58"/>
      <c r="Q295" s="58"/>
      <c r="R295" s="58"/>
      <c r="S295" s="58"/>
      <c r="T295" s="58"/>
      <c r="U295" s="58"/>
      <c r="V295" s="58"/>
      <c r="W295" s="58"/>
      <c r="X295" s="58"/>
      <c r="Y295" s="58"/>
      <c r="Z295" s="58"/>
      <c r="AA295" s="58"/>
      <c r="AB295" s="58"/>
      <c r="AC295" s="59"/>
      <c r="AD295" s="59"/>
    </row>
    <row r="296" spans="1:30" ht="12.75" customHeight="1" x14ac:dyDescent="0.2">
      <c r="A296" s="56"/>
      <c r="B296" s="56"/>
      <c r="C296" s="56"/>
      <c r="D296" s="57"/>
      <c r="E296" s="57"/>
      <c r="F296" s="56"/>
      <c r="G296" s="56"/>
      <c r="H296" s="56"/>
      <c r="I296" s="56"/>
      <c r="J296" s="56"/>
      <c r="K296" s="56"/>
      <c r="L296" s="56"/>
      <c r="M296" s="58"/>
      <c r="N296" s="58"/>
      <c r="O296" s="58"/>
      <c r="P296" s="58"/>
      <c r="Q296" s="58"/>
      <c r="R296" s="58"/>
      <c r="S296" s="58"/>
      <c r="T296" s="58"/>
      <c r="U296" s="58"/>
      <c r="V296" s="58"/>
      <c r="W296" s="58"/>
      <c r="X296" s="58"/>
      <c r="Y296" s="58"/>
      <c r="Z296" s="58"/>
      <c r="AA296" s="58"/>
      <c r="AB296" s="58"/>
      <c r="AC296" s="59"/>
      <c r="AD296" s="59"/>
    </row>
    <row r="297" spans="1:30" ht="12.75" customHeight="1" x14ac:dyDescent="0.2">
      <c r="A297" s="56"/>
      <c r="B297" s="56"/>
      <c r="C297" s="56"/>
      <c r="D297" s="57"/>
      <c r="E297" s="57"/>
      <c r="F297" s="56"/>
      <c r="G297" s="56"/>
      <c r="H297" s="56"/>
      <c r="I297" s="56"/>
      <c r="J297" s="56"/>
      <c r="K297" s="56"/>
      <c r="L297" s="56"/>
      <c r="M297" s="58"/>
      <c r="N297" s="58"/>
      <c r="O297" s="58"/>
      <c r="P297" s="58"/>
      <c r="Q297" s="58"/>
      <c r="R297" s="58"/>
      <c r="S297" s="58"/>
      <c r="T297" s="58"/>
      <c r="U297" s="58"/>
      <c r="V297" s="58"/>
      <c r="W297" s="58"/>
      <c r="X297" s="58"/>
      <c r="Y297" s="58"/>
      <c r="Z297" s="58"/>
      <c r="AA297" s="58"/>
      <c r="AB297" s="58"/>
      <c r="AC297" s="59"/>
      <c r="AD297" s="59"/>
    </row>
    <row r="298" spans="1:30" ht="12.75" customHeight="1" x14ac:dyDescent="0.2">
      <c r="A298" s="56"/>
      <c r="B298" s="56"/>
      <c r="C298" s="56"/>
      <c r="D298" s="57"/>
      <c r="E298" s="57"/>
      <c r="F298" s="56"/>
      <c r="G298" s="56"/>
      <c r="H298" s="56"/>
      <c r="I298" s="56"/>
      <c r="J298" s="56"/>
      <c r="K298" s="56"/>
      <c r="L298" s="56"/>
      <c r="M298" s="58"/>
      <c r="N298" s="58"/>
      <c r="O298" s="58"/>
      <c r="P298" s="58"/>
      <c r="Q298" s="58"/>
      <c r="R298" s="58"/>
      <c r="S298" s="58"/>
      <c r="T298" s="58"/>
      <c r="U298" s="58"/>
      <c r="V298" s="58"/>
      <c r="W298" s="58"/>
      <c r="X298" s="58"/>
      <c r="Y298" s="58"/>
      <c r="Z298" s="58"/>
      <c r="AA298" s="58"/>
      <c r="AB298" s="58"/>
      <c r="AC298" s="59"/>
      <c r="AD298" s="59"/>
    </row>
    <row r="299" spans="1:30" ht="12.75" customHeight="1" x14ac:dyDescent="0.2">
      <c r="A299" s="56"/>
      <c r="B299" s="56"/>
      <c r="C299" s="56"/>
      <c r="D299" s="57"/>
      <c r="E299" s="57"/>
      <c r="F299" s="56"/>
      <c r="G299" s="56"/>
      <c r="H299" s="56"/>
      <c r="I299" s="56"/>
      <c r="J299" s="56"/>
      <c r="K299" s="56"/>
      <c r="L299" s="56"/>
      <c r="M299" s="58"/>
      <c r="N299" s="58"/>
      <c r="O299" s="58"/>
      <c r="P299" s="58"/>
      <c r="Q299" s="58"/>
      <c r="R299" s="58"/>
      <c r="S299" s="58"/>
      <c r="T299" s="58"/>
      <c r="U299" s="58"/>
      <c r="V299" s="58"/>
      <c r="W299" s="58"/>
      <c r="X299" s="58"/>
      <c r="Y299" s="58"/>
      <c r="Z299" s="58"/>
      <c r="AA299" s="58"/>
      <c r="AB299" s="58"/>
      <c r="AC299" s="59"/>
      <c r="AD299" s="59"/>
    </row>
    <row r="300" spans="1:30" ht="12.75" customHeight="1" x14ac:dyDescent="0.2">
      <c r="A300" s="56"/>
      <c r="B300" s="56"/>
      <c r="C300" s="56"/>
      <c r="D300" s="57"/>
      <c r="E300" s="57"/>
      <c r="F300" s="56"/>
      <c r="G300" s="56"/>
      <c r="H300" s="56"/>
      <c r="I300" s="56"/>
      <c r="J300" s="56"/>
      <c r="K300" s="56"/>
      <c r="L300" s="56"/>
      <c r="M300" s="58"/>
      <c r="N300" s="58"/>
      <c r="O300" s="58"/>
      <c r="P300" s="58"/>
      <c r="Q300" s="58"/>
      <c r="R300" s="58"/>
      <c r="S300" s="58"/>
      <c r="T300" s="58"/>
      <c r="U300" s="58"/>
      <c r="V300" s="58"/>
      <c r="W300" s="58"/>
      <c r="X300" s="58"/>
      <c r="Y300" s="58"/>
      <c r="Z300" s="58"/>
      <c r="AA300" s="58"/>
      <c r="AB300" s="58"/>
      <c r="AC300" s="59"/>
      <c r="AD300" s="59"/>
    </row>
    <row r="301" spans="1:30" ht="12.75" customHeight="1" x14ac:dyDescent="0.2">
      <c r="A301" s="56"/>
      <c r="B301" s="56"/>
      <c r="C301" s="56"/>
      <c r="D301" s="57"/>
      <c r="E301" s="57"/>
      <c r="F301" s="56"/>
      <c r="G301" s="56"/>
      <c r="H301" s="56"/>
      <c r="I301" s="56"/>
      <c r="J301" s="56"/>
      <c r="K301" s="56"/>
      <c r="L301" s="56"/>
      <c r="M301" s="58"/>
      <c r="N301" s="58"/>
      <c r="O301" s="58"/>
      <c r="P301" s="58"/>
      <c r="Q301" s="58"/>
      <c r="R301" s="58"/>
      <c r="S301" s="58"/>
      <c r="T301" s="58"/>
      <c r="U301" s="58"/>
      <c r="V301" s="58"/>
      <c r="W301" s="58"/>
      <c r="X301" s="58"/>
      <c r="Y301" s="58"/>
      <c r="Z301" s="58"/>
      <c r="AA301" s="58"/>
      <c r="AB301" s="58"/>
      <c r="AC301" s="59"/>
      <c r="AD301" s="59"/>
    </row>
    <row r="302" spans="1:30" ht="12.75" customHeight="1" x14ac:dyDescent="0.2">
      <c r="A302" s="56"/>
      <c r="B302" s="56"/>
      <c r="C302" s="56"/>
      <c r="D302" s="57"/>
      <c r="E302" s="57"/>
      <c r="F302" s="56"/>
      <c r="G302" s="56"/>
      <c r="H302" s="56"/>
      <c r="I302" s="56"/>
      <c r="J302" s="56"/>
      <c r="K302" s="56"/>
      <c r="L302" s="56"/>
      <c r="M302" s="58"/>
      <c r="N302" s="58"/>
      <c r="O302" s="58"/>
      <c r="P302" s="58"/>
      <c r="Q302" s="58"/>
      <c r="R302" s="58"/>
      <c r="S302" s="58"/>
      <c r="T302" s="58"/>
      <c r="U302" s="58"/>
      <c r="V302" s="58"/>
      <c r="W302" s="58"/>
      <c r="X302" s="58"/>
      <c r="Y302" s="58"/>
      <c r="Z302" s="58"/>
      <c r="AA302" s="58"/>
      <c r="AB302" s="58"/>
      <c r="AC302" s="59"/>
      <c r="AD302" s="59"/>
    </row>
    <row r="303" spans="1:30" ht="12.75" customHeight="1" x14ac:dyDescent="0.2">
      <c r="A303" s="56"/>
      <c r="B303" s="56"/>
      <c r="C303" s="56"/>
      <c r="D303" s="57"/>
      <c r="E303" s="57"/>
      <c r="F303" s="56"/>
      <c r="G303" s="56"/>
      <c r="H303" s="56"/>
      <c r="I303" s="56"/>
      <c r="J303" s="56"/>
      <c r="K303" s="56"/>
      <c r="L303" s="56"/>
      <c r="M303" s="58"/>
      <c r="N303" s="58"/>
      <c r="O303" s="58"/>
      <c r="P303" s="58"/>
      <c r="Q303" s="58"/>
      <c r="R303" s="58"/>
      <c r="S303" s="58"/>
      <c r="T303" s="58"/>
      <c r="U303" s="58"/>
      <c r="V303" s="58"/>
      <c r="W303" s="58"/>
      <c r="X303" s="58"/>
      <c r="Y303" s="58"/>
      <c r="Z303" s="58"/>
      <c r="AA303" s="58"/>
      <c r="AB303" s="58"/>
      <c r="AC303" s="59"/>
      <c r="AD303" s="59"/>
    </row>
    <row r="304" spans="1:30" ht="12.75" customHeight="1" x14ac:dyDescent="0.2">
      <c r="A304" s="56"/>
      <c r="B304" s="56"/>
      <c r="C304" s="56"/>
      <c r="D304" s="57"/>
      <c r="E304" s="57"/>
      <c r="F304" s="56"/>
      <c r="G304" s="56"/>
      <c r="H304" s="56"/>
      <c r="I304" s="56"/>
      <c r="J304" s="56"/>
      <c r="K304" s="56"/>
      <c r="L304" s="56"/>
      <c r="M304" s="58"/>
      <c r="N304" s="58"/>
      <c r="O304" s="58"/>
      <c r="P304" s="58"/>
      <c r="Q304" s="58"/>
      <c r="R304" s="58"/>
      <c r="S304" s="58"/>
      <c r="T304" s="58"/>
      <c r="U304" s="58"/>
      <c r="V304" s="58"/>
      <c r="W304" s="58"/>
      <c r="X304" s="58"/>
      <c r="Y304" s="58"/>
      <c r="Z304" s="58"/>
      <c r="AA304" s="58"/>
      <c r="AB304" s="58"/>
      <c r="AC304" s="59"/>
      <c r="AD304" s="59"/>
    </row>
    <row r="305" spans="1:30" ht="12.75" customHeight="1" x14ac:dyDescent="0.2">
      <c r="A305" s="56"/>
      <c r="B305" s="56"/>
      <c r="C305" s="56"/>
      <c r="D305" s="57"/>
      <c r="E305" s="57"/>
      <c r="F305" s="56"/>
      <c r="G305" s="56"/>
      <c r="H305" s="56"/>
      <c r="I305" s="56"/>
      <c r="J305" s="56"/>
      <c r="K305" s="56"/>
      <c r="L305" s="56"/>
      <c r="M305" s="58"/>
      <c r="N305" s="58"/>
      <c r="O305" s="58"/>
      <c r="P305" s="58"/>
      <c r="Q305" s="58"/>
      <c r="R305" s="58"/>
      <c r="S305" s="58"/>
      <c r="T305" s="58"/>
      <c r="U305" s="58"/>
      <c r="V305" s="58"/>
      <c r="W305" s="58"/>
      <c r="X305" s="58"/>
      <c r="Y305" s="58"/>
      <c r="Z305" s="58"/>
      <c r="AA305" s="58"/>
      <c r="AB305" s="58"/>
      <c r="AC305" s="59"/>
      <c r="AD305" s="59"/>
    </row>
    <row r="306" spans="1:30" ht="12.75" customHeight="1" x14ac:dyDescent="0.2">
      <c r="A306" s="56"/>
      <c r="B306" s="56"/>
      <c r="C306" s="56"/>
      <c r="D306" s="57"/>
      <c r="E306" s="57"/>
      <c r="F306" s="56"/>
      <c r="G306" s="56"/>
      <c r="H306" s="56"/>
      <c r="I306" s="56"/>
      <c r="J306" s="56"/>
      <c r="K306" s="56"/>
      <c r="L306" s="56"/>
      <c r="M306" s="58"/>
      <c r="N306" s="58"/>
      <c r="O306" s="58"/>
      <c r="P306" s="58"/>
      <c r="Q306" s="58"/>
      <c r="R306" s="58"/>
      <c r="S306" s="58"/>
      <c r="T306" s="58"/>
      <c r="U306" s="58"/>
      <c r="V306" s="58"/>
      <c r="W306" s="58"/>
      <c r="X306" s="58"/>
      <c r="Y306" s="58"/>
      <c r="Z306" s="58"/>
      <c r="AA306" s="58"/>
      <c r="AB306" s="58"/>
      <c r="AC306" s="59"/>
      <c r="AD306" s="59"/>
    </row>
    <row r="307" spans="1:30" ht="12.75" customHeight="1" x14ac:dyDescent="0.2">
      <c r="A307" s="56"/>
      <c r="B307" s="56"/>
      <c r="C307" s="56"/>
      <c r="D307" s="57"/>
      <c r="E307" s="57"/>
      <c r="F307" s="56"/>
      <c r="G307" s="56"/>
      <c r="H307" s="56"/>
      <c r="I307" s="56"/>
      <c r="J307" s="56"/>
      <c r="K307" s="56"/>
      <c r="L307" s="56"/>
      <c r="M307" s="58"/>
      <c r="N307" s="58"/>
      <c r="O307" s="58"/>
      <c r="P307" s="58"/>
      <c r="Q307" s="58"/>
      <c r="R307" s="58"/>
      <c r="S307" s="58"/>
      <c r="T307" s="58"/>
      <c r="U307" s="58"/>
      <c r="V307" s="58"/>
      <c r="W307" s="58"/>
      <c r="X307" s="58"/>
      <c r="Y307" s="58"/>
      <c r="Z307" s="58"/>
      <c r="AA307" s="58"/>
      <c r="AB307" s="58"/>
      <c r="AC307" s="59"/>
      <c r="AD307" s="59"/>
    </row>
    <row r="308" spans="1:30" ht="12.75" customHeight="1" x14ac:dyDescent="0.2">
      <c r="A308" s="56"/>
      <c r="B308" s="56"/>
      <c r="C308" s="56"/>
      <c r="D308" s="57"/>
      <c r="E308" s="57"/>
      <c r="F308" s="56"/>
      <c r="G308" s="56"/>
      <c r="H308" s="56"/>
      <c r="I308" s="56"/>
      <c r="J308" s="56"/>
      <c r="K308" s="56"/>
      <c r="L308" s="56"/>
      <c r="M308" s="58"/>
      <c r="N308" s="58"/>
      <c r="O308" s="58"/>
      <c r="P308" s="58"/>
      <c r="Q308" s="58"/>
      <c r="R308" s="58"/>
      <c r="S308" s="58"/>
      <c r="T308" s="58"/>
      <c r="U308" s="58"/>
      <c r="V308" s="58"/>
      <c r="W308" s="58"/>
      <c r="X308" s="58"/>
      <c r="Y308" s="58"/>
      <c r="Z308" s="58"/>
      <c r="AA308" s="58"/>
      <c r="AB308" s="58"/>
      <c r="AC308" s="59"/>
      <c r="AD308" s="59"/>
    </row>
    <row r="309" spans="1:30" ht="12.75" customHeight="1" x14ac:dyDescent="0.2">
      <c r="A309" s="56"/>
      <c r="B309" s="56"/>
      <c r="C309" s="56"/>
      <c r="D309" s="57"/>
      <c r="E309" s="57"/>
      <c r="F309" s="56"/>
      <c r="G309" s="56"/>
      <c r="H309" s="56"/>
      <c r="I309" s="56"/>
      <c r="J309" s="56"/>
      <c r="K309" s="56"/>
      <c r="L309" s="56"/>
      <c r="M309" s="58"/>
      <c r="N309" s="58"/>
      <c r="O309" s="58"/>
      <c r="P309" s="58"/>
      <c r="Q309" s="58"/>
      <c r="R309" s="58"/>
      <c r="S309" s="58"/>
      <c r="T309" s="58"/>
      <c r="U309" s="58"/>
      <c r="V309" s="58"/>
      <c r="W309" s="58"/>
      <c r="X309" s="58"/>
      <c r="Y309" s="58"/>
      <c r="Z309" s="58"/>
      <c r="AA309" s="58"/>
      <c r="AB309" s="58"/>
      <c r="AC309" s="59"/>
      <c r="AD309" s="59"/>
    </row>
    <row r="310" spans="1:30" ht="12.75" customHeight="1" x14ac:dyDescent="0.2">
      <c r="A310" s="56"/>
      <c r="B310" s="56"/>
      <c r="C310" s="56"/>
      <c r="D310" s="57"/>
      <c r="E310" s="57"/>
      <c r="F310" s="56"/>
      <c r="G310" s="56"/>
      <c r="H310" s="56"/>
      <c r="I310" s="56"/>
      <c r="J310" s="56"/>
      <c r="K310" s="56"/>
      <c r="L310" s="56"/>
      <c r="M310" s="58"/>
      <c r="N310" s="58"/>
      <c r="O310" s="58"/>
      <c r="P310" s="58"/>
      <c r="Q310" s="58"/>
      <c r="R310" s="58"/>
      <c r="S310" s="58"/>
      <c r="T310" s="58"/>
      <c r="U310" s="58"/>
      <c r="V310" s="58"/>
      <c r="W310" s="58"/>
      <c r="X310" s="58"/>
      <c r="Y310" s="58"/>
      <c r="Z310" s="58"/>
      <c r="AA310" s="58"/>
      <c r="AB310" s="58"/>
      <c r="AC310" s="59"/>
      <c r="AD310" s="59"/>
    </row>
    <row r="311" spans="1:30" ht="12.75" customHeight="1" x14ac:dyDescent="0.2">
      <c r="A311" s="56"/>
      <c r="B311" s="56"/>
      <c r="C311" s="56"/>
      <c r="D311" s="57"/>
      <c r="E311" s="57"/>
      <c r="F311" s="56"/>
      <c r="G311" s="56"/>
      <c r="H311" s="56"/>
      <c r="I311" s="56"/>
      <c r="J311" s="56"/>
      <c r="K311" s="56"/>
      <c r="L311" s="56"/>
      <c r="M311" s="58"/>
      <c r="N311" s="58"/>
      <c r="O311" s="58"/>
      <c r="P311" s="58"/>
      <c r="Q311" s="58"/>
      <c r="R311" s="58"/>
      <c r="S311" s="58"/>
      <c r="T311" s="58"/>
      <c r="U311" s="58"/>
      <c r="V311" s="58"/>
      <c r="W311" s="58"/>
      <c r="X311" s="58"/>
      <c r="Y311" s="58"/>
      <c r="Z311" s="58"/>
      <c r="AA311" s="58"/>
      <c r="AB311" s="58"/>
      <c r="AC311" s="59"/>
      <c r="AD311" s="59"/>
    </row>
    <row r="312" spans="1:30" ht="12.75" customHeight="1" x14ac:dyDescent="0.2">
      <c r="A312" s="56"/>
      <c r="B312" s="56"/>
      <c r="C312" s="56"/>
      <c r="D312" s="57"/>
      <c r="E312" s="57"/>
      <c r="F312" s="56"/>
      <c r="G312" s="56"/>
      <c r="H312" s="56"/>
      <c r="I312" s="56"/>
      <c r="J312" s="56"/>
      <c r="K312" s="56"/>
      <c r="L312" s="56"/>
      <c r="M312" s="58"/>
      <c r="N312" s="58"/>
      <c r="O312" s="58"/>
      <c r="P312" s="58"/>
      <c r="Q312" s="58"/>
      <c r="R312" s="58"/>
      <c r="S312" s="58"/>
      <c r="T312" s="58"/>
      <c r="U312" s="58"/>
      <c r="V312" s="58"/>
      <c r="W312" s="58"/>
      <c r="X312" s="58"/>
      <c r="Y312" s="58"/>
      <c r="Z312" s="58"/>
      <c r="AA312" s="58"/>
      <c r="AB312" s="58"/>
      <c r="AC312" s="59"/>
      <c r="AD312" s="59"/>
    </row>
    <row r="313" spans="1:30" ht="12.75" customHeight="1" x14ac:dyDescent="0.2">
      <c r="A313" s="56"/>
      <c r="B313" s="56"/>
      <c r="C313" s="56"/>
      <c r="D313" s="57"/>
      <c r="E313" s="57"/>
      <c r="F313" s="56"/>
      <c r="G313" s="56"/>
      <c r="H313" s="56"/>
      <c r="I313" s="56"/>
      <c r="J313" s="56"/>
      <c r="K313" s="56"/>
      <c r="L313" s="56"/>
      <c r="M313" s="58"/>
      <c r="N313" s="58"/>
      <c r="O313" s="58"/>
      <c r="P313" s="58"/>
      <c r="Q313" s="58"/>
      <c r="R313" s="58"/>
      <c r="S313" s="58"/>
      <c r="T313" s="58"/>
      <c r="U313" s="58"/>
      <c r="V313" s="58"/>
      <c r="W313" s="58"/>
      <c r="X313" s="58"/>
      <c r="Y313" s="58"/>
      <c r="Z313" s="58"/>
      <c r="AA313" s="58"/>
      <c r="AB313" s="58"/>
      <c r="AC313" s="59"/>
      <c r="AD313" s="59"/>
    </row>
    <row r="314" spans="1:30" ht="12.75" customHeight="1" x14ac:dyDescent="0.2">
      <c r="A314" s="56"/>
      <c r="B314" s="56"/>
      <c r="C314" s="56"/>
      <c r="D314" s="57"/>
      <c r="E314" s="57"/>
      <c r="F314" s="56"/>
      <c r="G314" s="56"/>
      <c r="H314" s="56"/>
      <c r="I314" s="56"/>
      <c r="J314" s="56"/>
      <c r="K314" s="56"/>
      <c r="L314" s="56"/>
      <c r="M314" s="58"/>
      <c r="N314" s="58"/>
      <c r="O314" s="58"/>
      <c r="P314" s="58"/>
      <c r="Q314" s="58"/>
      <c r="R314" s="58"/>
      <c r="S314" s="58"/>
      <c r="T314" s="58"/>
      <c r="U314" s="58"/>
      <c r="V314" s="58"/>
      <c r="W314" s="58"/>
      <c r="X314" s="58"/>
      <c r="Y314" s="58"/>
      <c r="Z314" s="58"/>
      <c r="AA314" s="58"/>
      <c r="AB314" s="58"/>
      <c r="AC314" s="59"/>
      <c r="AD314" s="59"/>
    </row>
    <row r="315" spans="1:30" ht="12.75" customHeight="1" x14ac:dyDescent="0.2">
      <c r="A315" s="56"/>
      <c r="B315" s="56"/>
      <c r="C315" s="56"/>
      <c r="D315" s="57"/>
      <c r="E315" s="57"/>
      <c r="F315" s="56"/>
      <c r="G315" s="56"/>
      <c r="H315" s="56"/>
      <c r="I315" s="56"/>
      <c r="J315" s="56"/>
      <c r="K315" s="56"/>
      <c r="L315" s="56"/>
      <c r="M315" s="58"/>
      <c r="N315" s="58"/>
      <c r="O315" s="58"/>
      <c r="P315" s="58"/>
      <c r="Q315" s="58"/>
      <c r="R315" s="58"/>
      <c r="S315" s="58"/>
      <c r="T315" s="58"/>
      <c r="U315" s="58"/>
      <c r="V315" s="58"/>
      <c r="W315" s="58"/>
      <c r="X315" s="58"/>
      <c r="Y315" s="58"/>
      <c r="Z315" s="58"/>
      <c r="AA315" s="58"/>
      <c r="AB315" s="58"/>
      <c r="AC315" s="59"/>
      <c r="AD315" s="59"/>
    </row>
    <row r="316" spans="1:30" ht="12.75" customHeight="1" x14ac:dyDescent="0.2">
      <c r="A316" s="56"/>
      <c r="B316" s="56"/>
      <c r="C316" s="56"/>
      <c r="D316" s="57"/>
      <c r="E316" s="57"/>
      <c r="F316" s="56"/>
      <c r="G316" s="56"/>
      <c r="H316" s="56"/>
      <c r="I316" s="56"/>
      <c r="J316" s="56"/>
      <c r="K316" s="56"/>
      <c r="L316" s="56"/>
      <c r="M316" s="58"/>
      <c r="N316" s="58"/>
      <c r="O316" s="58"/>
      <c r="P316" s="58"/>
      <c r="Q316" s="58"/>
      <c r="R316" s="58"/>
      <c r="S316" s="58"/>
      <c r="T316" s="58"/>
      <c r="U316" s="58"/>
      <c r="V316" s="58"/>
      <c r="W316" s="58"/>
      <c r="X316" s="58"/>
      <c r="Y316" s="58"/>
      <c r="Z316" s="58"/>
      <c r="AA316" s="58"/>
      <c r="AB316" s="58"/>
      <c r="AC316" s="59"/>
      <c r="AD316" s="59"/>
    </row>
    <row r="317" spans="1:30" ht="12.75" customHeight="1" x14ac:dyDescent="0.2">
      <c r="A317" s="56"/>
      <c r="B317" s="56"/>
      <c r="C317" s="56"/>
      <c r="D317" s="57"/>
      <c r="E317" s="57"/>
      <c r="F317" s="56"/>
      <c r="G317" s="56"/>
      <c r="H317" s="56"/>
      <c r="I317" s="56"/>
      <c r="J317" s="56"/>
      <c r="K317" s="56"/>
      <c r="L317" s="56"/>
      <c r="M317" s="58"/>
      <c r="N317" s="58"/>
      <c r="O317" s="58"/>
      <c r="P317" s="58"/>
      <c r="Q317" s="58"/>
      <c r="R317" s="58"/>
      <c r="S317" s="58"/>
      <c r="T317" s="58"/>
      <c r="U317" s="58"/>
      <c r="V317" s="58"/>
      <c r="W317" s="58"/>
      <c r="X317" s="58"/>
      <c r="Y317" s="58"/>
      <c r="Z317" s="58"/>
      <c r="AA317" s="58"/>
      <c r="AB317" s="58"/>
      <c r="AC317" s="59"/>
      <c r="AD317" s="59"/>
    </row>
    <row r="318" spans="1:30" ht="12.75" customHeight="1" x14ac:dyDescent="0.2">
      <c r="A318" s="56"/>
      <c r="B318" s="56"/>
      <c r="C318" s="56"/>
      <c r="D318" s="57"/>
      <c r="E318" s="57"/>
      <c r="F318" s="56"/>
      <c r="G318" s="56"/>
      <c r="H318" s="56"/>
      <c r="I318" s="56"/>
      <c r="J318" s="56"/>
      <c r="K318" s="56"/>
      <c r="L318" s="56"/>
      <c r="M318" s="58"/>
      <c r="N318" s="58"/>
      <c r="O318" s="58"/>
      <c r="P318" s="58"/>
      <c r="Q318" s="58"/>
      <c r="R318" s="58"/>
      <c r="S318" s="58"/>
      <c r="T318" s="58"/>
      <c r="U318" s="58"/>
      <c r="V318" s="58"/>
      <c r="W318" s="58"/>
      <c r="X318" s="58"/>
      <c r="Y318" s="58"/>
      <c r="Z318" s="58"/>
      <c r="AA318" s="58"/>
      <c r="AB318" s="58"/>
      <c r="AC318" s="59"/>
      <c r="AD318" s="59"/>
    </row>
    <row r="319" spans="1:30" ht="12.75" customHeight="1" x14ac:dyDescent="0.2">
      <c r="A319" s="56"/>
      <c r="B319" s="56"/>
      <c r="C319" s="56"/>
      <c r="D319" s="57"/>
      <c r="E319" s="57"/>
      <c r="F319" s="56"/>
      <c r="G319" s="56"/>
      <c r="H319" s="56"/>
      <c r="I319" s="56"/>
      <c r="J319" s="56"/>
      <c r="K319" s="56"/>
      <c r="L319" s="56"/>
      <c r="M319" s="58"/>
      <c r="N319" s="58"/>
      <c r="O319" s="58"/>
      <c r="P319" s="58"/>
      <c r="Q319" s="58"/>
      <c r="R319" s="58"/>
      <c r="S319" s="58"/>
      <c r="T319" s="58"/>
      <c r="U319" s="58"/>
      <c r="V319" s="58"/>
      <c r="W319" s="58"/>
      <c r="X319" s="58"/>
      <c r="Y319" s="58"/>
      <c r="Z319" s="58"/>
      <c r="AA319" s="58"/>
      <c r="AB319" s="58"/>
      <c r="AC319" s="59"/>
      <c r="AD319" s="59"/>
    </row>
    <row r="320" spans="1:30" ht="12.75" customHeight="1" x14ac:dyDescent="0.2">
      <c r="A320" s="56"/>
      <c r="B320" s="56"/>
      <c r="C320" s="56"/>
      <c r="D320" s="57"/>
      <c r="E320" s="57"/>
      <c r="F320" s="56"/>
      <c r="G320" s="56"/>
      <c r="H320" s="56"/>
      <c r="I320" s="56"/>
      <c r="J320" s="56"/>
      <c r="K320" s="56"/>
      <c r="L320" s="56"/>
      <c r="M320" s="58"/>
      <c r="N320" s="58"/>
      <c r="O320" s="58"/>
      <c r="P320" s="58"/>
      <c r="Q320" s="58"/>
      <c r="R320" s="58"/>
      <c r="S320" s="58"/>
      <c r="T320" s="58"/>
      <c r="U320" s="58"/>
      <c r="V320" s="58"/>
      <c r="W320" s="58"/>
      <c r="X320" s="58"/>
      <c r="Y320" s="58"/>
      <c r="Z320" s="58"/>
      <c r="AA320" s="58"/>
      <c r="AB320" s="58"/>
      <c r="AC320" s="59"/>
      <c r="AD320" s="59"/>
    </row>
    <row r="321" spans="1:30" ht="12.75" customHeight="1" x14ac:dyDescent="0.2">
      <c r="A321" s="56"/>
      <c r="B321" s="56"/>
      <c r="C321" s="56"/>
      <c r="D321" s="57"/>
      <c r="E321" s="57"/>
      <c r="F321" s="56"/>
      <c r="G321" s="56"/>
      <c r="H321" s="56"/>
      <c r="I321" s="56"/>
      <c r="J321" s="56"/>
      <c r="K321" s="56"/>
      <c r="L321" s="56"/>
      <c r="M321" s="58"/>
      <c r="N321" s="58"/>
      <c r="O321" s="58"/>
      <c r="P321" s="58"/>
      <c r="Q321" s="58"/>
      <c r="R321" s="58"/>
      <c r="S321" s="58"/>
      <c r="T321" s="58"/>
      <c r="U321" s="58"/>
      <c r="V321" s="58"/>
      <c r="W321" s="58"/>
      <c r="X321" s="58"/>
      <c r="Y321" s="58"/>
      <c r="Z321" s="58"/>
      <c r="AA321" s="58"/>
      <c r="AB321" s="58"/>
      <c r="AC321" s="59"/>
      <c r="AD321" s="59"/>
    </row>
    <row r="322" spans="1:30" ht="12.75" customHeight="1" x14ac:dyDescent="0.2">
      <c r="A322" s="56"/>
      <c r="B322" s="56"/>
      <c r="C322" s="56"/>
      <c r="D322" s="57"/>
      <c r="E322" s="57"/>
      <c r="F322" s="56"/>
      <c r="G322" s="56"/>
      <c r="H322" s="56"/>
      <c r="I322" s="56"/>
      <c r="J322" s="56"/>
      <c r="K322" s="56"/>
      <c r="L322" s="56"/>
      <c r="M322" s="58"/>
      <c r="N322" s="58"/>
      <c r="O322" s="58"/>
      <c r="P322" s="58"/>
      <c r="Q322" s="58"/>
      <c r="R322" s="58"/>
      <c r="S322" s="58"/>
      <c r="T322" s="58"/>
      <c r="U322" s="58"/>
      <c r="V322" s="58"/>
      <c r="W322" s="58"/>
      <c r="X322" s="58"/>
      <c r="Y322" s="58"/>
      <c r="Z322" s="58"/>
      <c r="AA322" s="58"/>
      <c r="AB322" s="58"/>
      <c r="AC322" s="59"/>
      <c r="AD322" s="59"/>
    </row>
    <row r="323" spans="1:30" ht="12.75" customHeight="1" x14ac:dyDescent="0.2">
      <c r="A323" s="56"/>
      <c r="B323" s="56"/>
      <c r="C323" s="56"/>
      <c r="D323" s="57"/>
      <c r="E323" s="57"/>
      <c r="F323" s="56"/>
      <c r="G323" s="56"/>
      <c r="H323" s="56"/>
      <c r="I323" s="56"/>
      <c r="J323" s="56"/>
      <c r="K323" s="56"/>
      <c r="L323" s="56"/>
      <c r="M323" s="58"/>
      <c r="N323" s="58"/>
      <c r="O323" s="58"/>
      <c r="P323" s="58"/>
      <c r="Q323" s="58"/>
      <c r="R323" s="58"/>
      <c r="S323" s="58"/>
      <c r="T323" s="58"/>
      <c r="U323" s="58"/>
      <c r="V323" s="58"/>
      <c r="W323" s="58"/>
      <c r="X323" s="58"/>
      <c r="Y323" s="58"/>
      <c r="Z323" s="58"/>
      <c r="AA323" s="58"/>
      <c r="AB323" s="58"/>
      <c r="AC323" s="59"/>
      <c r="AD323" s="59"/>
    </row>
    <row r="324" spans="1:30" ht="12.75" customHeight="1" x14ac:dyDescent="0.2">
      <c r="A324" s="56"/>
      <c r="B324" s="56"/>
      <c r="C324" s="56"/>
      <c r="D324" s="57"/>
      <c r="E324" s="57"/>
      <c r="F324" s="56"/>
      <c r="G324" s="56"/>
      <c r="H324" s="56"/>
      <c r="I324" s="56"/>
      <c r="J324" s="56"/>
      <c r="K324" s="56"/>
      <c r="L324" s="56"/>
      <c r="M324" s="58"/>
      <c r="N324" s="58"/>
      <c r="O324" s="58"/>
      <c r="P324" s="58"/>
      <c r="Q324" s="58"/>
      <c r="R324" s="58"/>
      <c r="S324" s="58"/>
      <c r="T324" s="58"/>
      <c r="U324" s="58"/>
      <c r="V324" s="58"/>
      <c r="W324" s="58"/>
      <c r="X324" s="58"/>
      <c r="Y324" s="58"/>
      <c r="Z324" s="58"/>
      <c r="AA324" s="58"/>
      <c r="AB324" s="58"/>
      <c r="AC324" s="59"/>
      <c r="AD324" s="59"/>
    </row>
    <row r="325" spans="1:30" ht="12.75" customHeight="1" x14ac:dyDescent="0.2">
      <c r="A325" s="56"/>
      <c r="B325" s="56"/>
      <c r="C325" s="56"/>
      <c r="D325" s="57"/>
      <c r="E325" s="57"/>
      <c r="F325" s="56"/>
      <c r="G325" s="56"/>
      <c r="H325" s="56"/>
      <c r="I325" s="56"/>
      <c r="J325" s="56"/>
      <c r="K325" s="56"/>
      <c r="L325" s="56"/>
      <c r="M325" s="58"/>
      <c r="N325" s="58"/>
      <c r="O325" s="58"/>
      <c r="P325" s="58"/>
      <c r="Q325" s="58"/>
      <c r="R325" s="58"/>
      <c r="S325" s="58"/>
      <c r="T325" s="58"/>
      <c r="U325" s="58"/>
      <c r="V325" s="58"/>
      <c r="W325" s="58"/>
      <c r="X325" s="58"/>
      <c r="Y325" s="58"/>
      <c r="Z325" s="58"/>
      <c r="AA325" s="58"/>
      <c r="AB325" s="58"/>
      <c r="AC325" s="59"/>
      <c r="AD325" s="59"/>
    </row>
    <row r="326" spans="1:30" ht="12.75" customHeight="1" x14ac:dyDescent="0.2">
      <c r="A326" s="56"/>
      <c r="B326" s="56"/>
      <c r="C326" s="56"/>
      <c r="D326" s="57"/>
      <c r="E326" s="57"/>
      <c r="F326" s="56"/>
      <c r="G326" s="56"/>
      <c r="H326" s="56"/>
      <c r="I326" s="56"/>
      <c r="J326" s="56"/>
      <c r="K326" s="56"/>
      <c r="L326" s="56"/>
      <c r="M326" s="58"/>
      <c r="N326" s="58"/>
      <c r="O326" s="58"/>
      <c r="P326" s="58"/>
      <c r="Q326" s="58"/>
      <c r="R326" s="58"/>
      <c r="S326" s="58"/>
      <c r="T326" s="58"/>
      <c r="U326" s="58"/>
      <c r="V326" s="58"/>
      <c r="W326" s="58"/>
      <c r="X326" s="58"/>
      <c r="Y326" s="58"/>
      <c r="Z326" s="58"/>
      <c r="AA326" s="58"/>
      <c r="AB326" s="58"/>
      <c r="AC326" s="59"/>
      <c r="AD326" s="59"/>
    </row>
    <row r="327" spans="1:30" ht="12.75" customHeight="1" x14ac:dyDescent="0.2">
      <c r="A327" s="56"/>
      <c r="B327" s="56"/>
      <c r="C327" s="56"/>
      <c r="D327" s="57"/>
      <c r="E327" s="57"/>
      <c r="F327" s="56"/>
      <c r="G327" s="56"/>
      <c r="H327" s="56"/>
      <c r="I327" s="56"/>
      <c r="J327" s="56"/>
      <c r="K327" s="56"/>
      <c r="L327" s="56"/>
      <c r="M327" s="58"/>
      <c r="N327" s="58"/>
      <c r="O327" s="58"/>
      <c r="P327" s="58"/>
      <c r="Q327" s="58"/>
      <c r="R327" s="58"/>
      <c r="S327" s="58"/>
      <c r="T327" s="58"/>
      <c r="U327" s="58"/>
      <c r="V327" s="58"/>
      <c r="W327" s="58"/>
      <c r="X327" s="58"/>
      <c r="Y327" s="58"/>
      <c r="Z327" s="58"/>
      <c r="AA327" s="58"/>
      <c r="AB327" s="58"/>
      <c r="AC327" s="59"/>
      <c r="AD327" s="59"/>
    </row>
    <row r="328" spans="1:30" ht="12.75" customHeight="1" x14ac:dyDescent="0.2">
      <c r="A328" s="56"/>
      <c r="B328" s="56"/>
      <c r="C328" s="56"/>
      <c r="D328" s="57"/>
      <c r="E328" s="57"/>
      <c r="F328" s="56"/>
      <c r="G328" s="56"/>
      <c r="H328" s="56"/>
      <c r="I328" s="56"/>
      <c r="J328" s="56"/>
      <c r="K328" s="56"/>
      <c r="L328" s="56"/>
      <c r="M328" s="58"/>
      <c r="N328" s="58"/>
      <c r="O328" s="58"/>
      <c r="P328" s="58"/>
      <c r="Q328" s="58"/>
      <c r="R328" s="58"/>
      <c r="S328" s="58"/>
      <c r="T328" s="58"/>
      <c r="U328" s="58"/>
      <c r="V328" s="58"/>
      <c r="W328" s="58"/>
      <c r="X328" s="58"/>
      <c r="Y328" s="58"/>
      <c r="Z328" s="58"/>
      <c r="AA328" s="58"/>
      <c r="AB328" s="58"/>
      <c r="AC328" s="59"/>
      <c r="AD328" s="59"/>
    </row>
    <row r="329" spans="1:30" ht="12.75" customHeight="1" x14ac:dyDescent="0.2">
      <c r="A329" s="56"/>
      <c r="B329" s="56"/>
      <c r="C329" s="56"/>
      <c r="D329" s="57"/>
      <c r="E329" s="57"/>
      <c r="F329" s="56"/>
      <c r="G329" s="56"/>
      <c r="H329" s="56"/>
      <c r="I329" s="56"/>
      <c r="J329" s="56"/>
      <c r="K329" s="56"/>
      <c r="L329" s="56"/>
      <c r="M329" s="58"/>
      <c r="N329" s="58"/>
      <c r="O329" s="58"/>
      <c r="P329" s="58"/>
      <c r="Q329" s="58"/>
      <c r="R329" s="58"/>
      <c r="S329" s="58"/>
      <c r="T329" s="58"/>
      <c r="U329" s="58"/>
      <c r="V329" s="58"/>
      <c r="W329" s="58"/>
      <c r="X329" s="58"/>
      <c r="Y329" s="58"/>
      <c r="Z329" s="58"/>
      <c r="AA329" s="58"/>
      <c r="AB329" s="58"/>
      <c r="AC329" s="59"/>
      <c r="AD329" s="59"/>
    </row>
    <row r="330" spans="1:30" ht="12.75" customHeight="1" x14ac:dyDescent="0.2">
      <c r="A330" s="56"/>
      <c r="B330" s="56"/>
      <c r="C330" s="56"/>
      <c r="D330" s="57"/>
      <c r="E330" s="57"/>
      <c r="F330" s="56"/>
      <c r="G330" s="56"/>
      <c r="H330" s="56"/>
      <c r="I330" s="56"/>
      <c r="J330" s="56"/>
      <c r="K330" s="56"/>
      <c r="L330" s="56"/>
      <c r="M330" s="58"/>
      <c r="N330" s="58"/>
      <c r="O330" s="58"/>
      <c r="P330" s="58"/>
      <c r="Q330" s="58"/>
      <c r="R330" s="58"/>
      <c r="S330" s="58"/>
      <c r="T330" s="58"/>
      <c r="U330" s="58"/>
      <c r="V330" s="58"/>
      <c r="W330" s="58"/>
      <c r="X330" s="58"/>
      <c r="Y330" s="58"/>
      <c r="Z330" s="58"/>
      <c r="AA330" s="58"/>
      <c r="AB330" s="58"/>
      <c r="AC330" s="59"/>
      <c r="AD330" s="59"/>
    </row>
    <row r="331" spans="1:30" ht="12.75" customHeight="1" x14ac:dyDescent="0.2">
      <c r="A331" s="56"/>
      <c r="B331" s="56"/>
      <c r="C331" s="56"/>
      <c r="D331" s="57"/>
      <c r="E331" s="57"/>
      <c r="F331" s="56"/>
      <c r="G331" s="56"/>
      <c r="H331" s="56"/>
      <c r="I331" s="56"/>
      <c r="J331" s="56"/>
      <c r="K331" s="56"/>
      <c r="L331" s="56"/>
      <c r="M331" s="58"/>
      <c r="N331" s="58"/>
      <c r="O331" s="58"/>
      <c r="P331" s="58"/>
      <c r="Q331" s="58"/>
      <c r="R331" s="58"/>
      <c r="S331" s="58"/>
      <c r="T331" s="58"/>
      <c r="U331" s="58"/>
      <c r="V331" s="58"/>
      <c r="W331" s="58"/>
      <c r="X331" s="58"/>
      <c r="Y331" s="58"/>
      <c r="Z331" s="58"/>
      <c r="AA331" s="58"/>
      <c r="AB331" s="58"/>
      <c r="AC331" s="59"/>
      <c r="AD331" s="59"/>
    </row>
    <row r="332" spans="1:30" ht="12.75" customHeight="1" x14ac:dyDescent="0.2">
      <c r="A332" s="56"/>
      <c r="B332" s="56"/>
      <c r="C332" s="56"/>
      <c r="D332" s="57"/>
      <c r="E332" s="57"/>
      <c r="F332" s="56"/>
      <c r="G332" s="56"/>
      <c r="H332" s="56"/>
      <c r="I332" s="56"/>
      <c r="J332" s="56"/>
      <c r="K332" s="56"/>
      <c r="L332" s="56"/>
      <c r="M332" s="58"/>
      <c r="N332" s="58"/>
      <c r="O332" s="58"/>
      <c r="P332" s="58"/>
      <c r="Q332" s="58"/>
      <c r="R332" s="58"/>
      <c r="S332" s="58"/>
      <c r="T332" s="58"/>
      <c r="U332" s="58"/>
      <c r="V332" s="58"/>
      <c r="W332" s="58"/>
      <c r="X332" s="58"/>
      <c r="Y332" s="58"/>
      <c r="Z332" s="58"/>
      <c r="AA332" s="58"/>
      <c r="AB332" s="58"/>
      <c r="AC332" s="59"/>
      <c r="AD332" s="59"/>
    </row>
    <row r="333" spans="1:30" ht="12.75" customHeight="1" x14ac:dyDescent="0.2">
      <c r="A333" s="56"/>
      <c r="B333" s="56"/>
      <c r="C333" s="56"/>
      <c r="D333" s="57"/>
      <c r="E333" s="57"/>
      <c r="F333" s="56"/>
      <c r="G333" s="56"/>
      <c r="H333" s="56"/>
      <c r="I333" s="56"/>
      <c r="J333" s="56"/>
      <c r="K333" s="56"/>
      <c r="L333" s="56"/>
      <c r="M333" s="58"/>
      <c r="N333" s="58"/>
      <c r="O333" s="58"/>
      <c r="P333" s="58"/>
      <c r="Q333" s="58"/>
      <c r="R333" s="58"/>
      <c r="S333" s="58"/>
      <c r="T333" s="58"/>
      <c r="U333" s="58"/>
      <c r="V333" s="58"/>
      <c r="W333" s="58"/>
      <c r="X333" s="58"/>
      <c r="Y333" s="58"/>
      <c r="Z333" s="58"/>
      <c r="AA333" s="58"/>
      <c r="AB333" s="58"/>
      <c r="AC333" s="59"/>
      <c r="AD333" s="59"/>
    </row>
    <row r="334" spans="1:30" ht="12.75" customHeight="1" x14ac:dyDescent="0.2">
      <c r="A334" s="56"/>
      <c r="B334" s="56"/>
      <c r="C334" s="56"/>
      <c r="D334" s="57"/>
      <c r="E334" s="57"/>
      <c r="F334" s="56"/>
      <c r="G334" s="56"/>
      <c r="H334" s="56"/>
      <c r="I334" s="56"/>
      <c r="J334" s="56"/>
      <c r="K334" s="56"/>
      <c r="L334" s="56"/>
      <c r="M334" s="58"/>
      <c r="N334" s="58"/>
      <c r="O334" s="58"/>
      <c r="P334" s="58"/>
      <c r="Q334" s="58"/>
      <c r="R334" s="58"/>
      <c r="S334" s="58"/>
      <c r="T334" s="58"/>
      <c r="U334" s="58"/>
      <c r="V334" s="58"/>
      <c r="W334" s="58"/>
      <c r="X334" s="58"/>
      <c r="Y334" s="58"/>
      <c r="Z334" s="58"/>
      <c r="AA334" s="58"/>
      <c r="AB334" s="58"/>
      <c r="AC334" s="59"/>
      <c r="AD334" s="59"/>
    </row>
    <row r="335" spans="1:30" ht="12.75" customHeight="1" x14ac:dyDescent="0.2">
      <c r="A335" s="56"/>
      <c r="B335" s="56"/>
      <c r="C335" s="56"/>
      <c r="D335" s="57"/>
      <c r="E335" s="57"/>
      <c r="F335" s="56"/>
      <c r="G335" s="56"/>
      <c r="H335" s="56"/>
      <c r="I335" s="56"/>
      <c r="J335" s="56"/>
      <c r="K335" s="56"/>
      <c r="L335" s="56"/>
      <c r="M335" s="58"/>
      <c r="N335" s="58"/>
      <c r="O335" s="58"/>
      <c r="P335" s="58"/>
      <c r="Q335" s="58"/>
      <c r="R335" s="58"/>
      <c r="S335" s="58"/>
      <c r="T335" s="58"/>
      <c r="U335" s="58"/>
      <c r="V335" s="58"/>
      <c r="W335" s="58"/>
      <c r="X335" s="58"/>
      <c r="Y335" s="58"/>
      <c r="Z335" s="58"/>
      <c r="AA335" s="58"/>
      <c r="AB335" s="58"/>
      <c r="AC335" s="59"/>
      <c r="AD335" s="59"/>
    </row>
    <row r="336" spans="1:30" ht="12.75" customHeight="1" x14ac:dyDescent="0.2">
      <c r="A336" s="56"/>
      <c r="B336" s="56"/>
      <c r="C336" s="56"/>
      <c r="D336" s="57"/>
      <c r="E336" s="57"/>
      <c r="F336" s="56"/>
      <c r="G336" s="56"/>
      <c r="H336" s="56"/>
      <c r="I336" s="56"/>
      <c r="J336" s="56"/>
      <c r="K336" s="56"/>
      <c r="L336" s="56"/>
      <c r="M336" s="58"/>
      <c r="N336" s="58"/>
      <c r="O336" s="58"/>
      <c r="P336" s="58"/>
      <c r="Q336" s="58"/>
      <c r="R336" s="58"/>
      <c r="S336" s="58"/>
      <c r="T336" s="58"/>
      <c r="U336" s="58"/>
      <c r="V336" s="58"/>
      <c r="W336" s="58"/>
      <c r="X336" s="58"/>
      <c r="Y336" s="58"/>
      <c r="Z336" s="58"/>
      <c r="AA336" s="58"/>
      <c r="AB336" s="58"/>
      <c r="AC336" s="59"/>
      <c r="AD336" s="59"/>
    </row>
    <row r="337" spans="1:30" ht="12.75" customHeight="1" x14ac:dyDescent="0.2">
      <c r="A337" s="56"/>
      <c r="B337" s="56"/>
      <c r="C337" s="56"/>
      <c r="D337" s="57"/>
      <c r="E337" s="57"/>
      <c r="F337" s="56"/>
      <c r="G337" s="56"/>
      <c r="H337" s="56"/>
      <c r="I337" s="56"/>
      <c r="J337" s="56"/>
      <c r="K337" s="56"/>
      <c r="L337" s="56"/>
      <c r="M337" s="58"/>
      <c r="N337" s="58"/>
      <c r="O337" s="58"/>
      <c r="P337" s="58"/>
      <c r="Q337" s="58"/>
      <c r="R337" s="58"/>
      <c r="S337" s="58"/>
      <c r="T337" s="58"/>
      <c r="U337" s="58"/>
      <c r="V337" s="58"/>
      <c r="W337" s="58"/>
      <c r="X337" s="58"/>
      <c r="Y337" s="58"/>
      <c r="Z337" s="58"/>
      <c r="AA337" s="58"/>
      <c r="AB337" s="58"/>
      <c r="AC337" s="59"/>
      <c r="AD337" s="59"/>
    </row>
    <row r="338" spans="1:30" ht="12.75" customHeight="1" x14ac:dyDescent="0.2">
      <c r="A338" s="56"/>
      <c r="B338" s="56"/>
      <c r="C338" s="56"/>
      <c r="D338" s="57"/>
      <c r="E338" s="57"/>
      <c r="F338" s="56"/>
      <c r="G338" s="56"/>
      <c r="H338" s="56"/>
      <c r="I338" s="56"/>
      <c r="J338" s="56"/>
      <c r="K338" s="56"/>
      <c r="L338" s="56"/>
      <c r="M338" s="58"/>
      <c r="N338" s="58"/>
      <c r="O338" s="58"/>
      <c r="P338" s="58"/>
      <c r="Q338" s="58"/>
      <c r="R338" s="58"/>
      <c r="S338" s="58"/>
      <c r="T338" s="58"/>
      <c r="U338" s="58"/>
      <c r="V338" s="58"/>
      <c r="W338" s="58"/>
      <c r="X338" s="58"/>
      <c r="Y338" s="58"/>
      <c r="Z338" s="58"/>
      <c r="AA338" s="58"/>
      <c r="AB338" s="58"/>
      <c r="AC338" s="59"/>
      <c r="AD338" s="59"/>
    </row>
    <row r="339" spans="1:30" ht="12.75" customHeight="1" x14ac:dyDescent="0.2">
      <c r="A339" s="56"/>
      <c r="B339" s="56"/>
      <c r="C339" s="56"/>
      <c r="D339" s="57"/>
      <c r="E339" s="57"/>
      <c r="F339" s="56"/>
      <c r="G339" s="56"/>
      <c r="H339" s="56"/>
      <c r="I339" s="56"/>
      <c r="J339" s="56"/>
      <c r="K339" s="56"/>
      <c r="L339" s="56"/>
      <c r="M339" s="58"/>
      <c r="N339" s="58"/>
      <c r="O339" s="58"/>
      <c r="P339" s="58"/>
      <c r="Q339" s="58"/>
      <c r="R339" s="58"/>
      <c r="S339" s="58"/>
      <c r="T339" s="58"/>
      <c r="U339" s="58"/>
      <c r="V339" s="58"/>
      <c r="W339" s="58"/>
      <c r="X339" s="58"/>
      <c r="Y339" s="58"/>
      <c r="Z339" s="58"/>
      <c r="AA339" s="58"/>
      <c r="AB339" s="58"/>
      <c r="AC339" s="59"/>
      <c r="AD339" s="59"/>
    </row>
    <row r="340" spans="1:30" ht="12.75" customHeight="1" x14ac:dyDescent="0.2">
      <c r="A340" s="56"/>
      <c r="B340" s="56"/>
      <c r="C340" s="56"/>
      <c r="D340" s="57"/>
      <c r="E340" s="57"/>
      <c r="F340" s="56"/>
      <c r="G340" s="56"/>
      <c r="H340" s="56"/>
      <c r="I340" s="56"/>
      <c r="J340" s="56"/>
      <c r="K340" s="56"/>
      <c r="L340" s="56"/>
      <c r="M340" s="58"/>
      <c r="N340" s="58"/>
      <c r="O340" s="58"/>
      <c r="P340" s="58"/>
      <c r="Q340" s="58"/>
      <c r="R340" s="58"/>
      <c r="S340" s="58"/>
      <c r="T340" s="58"/>
      <c r="U340" s="58"/>
      <c r="V340" s="58"/>
      <c r="W340" s="58"/>
      <c r="X340" s="58"/>
      <c r="Y340" s="58"/>
      <c r="Z340" s="58"/>
      <c r="AA340" s="58"/>
      <c r="AB340" s="58"/>
      <c r="AC340" s="59"/>
      <c r="AD340" s="59"/>
    </row>
    <row r="341" spans="1:30" ht="12.75" customHeight="1" x14ac:dyDescent="0.2">
      <c r="A341" s="56"/>
      <c r="B341" s="56"/>
      <c r="C341" s="56"/>
      <c r="D341" s="57"/>
      <c r="E341" s="57"/>
      <c r="F341" s="56"/>
      <c r="G341" s="56"/>
      <c r="H341" s="56"/>
      <c r="I341" s="56"/>
      <c r="J341" s="56"/>
      <c r="K341" s="56"/>
      <c r="L341" s="56"/>
      <c r="M341" s="58"/>
      <c r="N341" s="58"/>
      <c r="O341" s="58"/>
      <c r="P341" s="58"/>
      <c r="Q341" s="58"/>
      <c r="R341" s="58"/>
      <c r="S341" s="58"/>
      <c r="T341" s="58"/>
      <c r="U341" s="58"/>
      <c r="V341" s="58"/>
      <c r="W341" s="58"/>
      <c r="X341" s="58"/>
      <c r="Y341" s="58"/>
      <c r="Z341" s="58"/>
      <c r="AA341" s="58"/>
      <c r="AB341" s="58"/>
      <c r="AC341" s="59"/>
      <c r="AD341" s="59"/>
    </row>
    <row r="342" spans="1:30" ht="12.75" customHeight="1" x14ac:dyDescent="0.2">
      <c r="A342" s="56"/>
      <c r="B342" s="56"/>
      <c r="C342" s="56"/>
      <c r="D342" s="57"/>
      <c r="E342" s="57"/>
      <c r="F342" s="56"/>
      <c r="G342" s="56"/>
      <c r="H342" s="56"/>
      <c r="I342" s="56"/>
      <c r="J342" s="56"/>
      <c r="K342" s="56"/>
      <c r="L342" s="56"/>
      <c r="M342" s="58"/>
      <c r="N342" s="58"/>
      <c r="O342" s="58"/>
      <c r="P342" s="58"/>
      <c r="Q342" s="58"/>
      <c r="R342" s="58"/>
      <c r="S342" s="58"/>
      <c r="T342" s="58"/>
      <c r="U342" s="58"/>
      <c r="V342" s="58"/>
      <c r="W342" s="58"/>
      <c r="X342" s="58"/>
      <c r="Y342" s="58"/>
      <c r="Z342" s="58"/>
      <c r="AA342" s="58"/>
      <c r="AB342" s="58"/>
      <c r="AC342" s="59"/>
      <c r="AD342" s="59"/>
    </row>
    <row r="343" spans="1:30" ht="12.75" customHeight="1" x14ac:dyDescent="0.2">
      <c r="A343" s="56"/>
      <c r="B343" s="56"/>
      <c r="C343" s="56"/>
      <c r="D343" s="57"/>
      <c r="E343" s="57"/>
      <c r="F343" s="56"/>
      <c r="G343" s="56"/>
      <c r="H343" s="56"/>
      <c r="I343" s="56"/>
      <c r="J343" s="56"/>
      <c r="K343" s="56"/>
      <c r="L343" s="56"/>
      <c r="M343" s="58"/>
      <c r="N343" s="58"/>
      <c r="O343" s="58"/>
      <c r="P343" s="58"/>
      <c r="Q343" s="58"/>
      <c r="R343" s="58"/>
      <c r="S343" s="58"/>
      <c r="T343" s="58"/>
      <c r="U343" s="58"/>
      <c r="V343" s="58"/>
      <c r="W343" s="58"/>
      <c r="X343" s="58"/>
      <c r="Y343" s="58"/>
      <c r="Z343" s="58"/>
      <c r="AA343" s="58"/>
      <c r="AB343" s="58"/>
      <c r="AC343" s="59"/>
      <c r="AD343" s="59"/>
    </row>
    <row r="344" spans="1:30" ht="12.75" customHeight="1" x14ac:dyDescent="0.2">
      <c r="A344" s="56"/>
      <c r="B344" s="56"/>
      <c r="C344" s="56"/>
      <c r="D344" s="57"/>
      <c r="E344" s="57"/>
      <c r="F344" s="56"/>
      <c r="G344" s="56"/>
      <c r="H344" s="56"/>
      <c r="I344" s="56"/>
      <c r="J344" s="56"/>
      <c r="K344" s="56"/>
      <c r="L344" s="56"/>
      <c r="M344" s="58"/>
      <c r="N344" s="58"/>
      <c r="O344" s="58"/>
      <c r="P344" s="58"/>
      <c r="Q344" s="58"/>
      <c r="R344" s="58"/>
      <c r="S344" s="58"/>
      <c r="T344" s="58"/>
      <c r="U344" s="58"/>
      <c r="V344" s="58"/>
      <c r="W344" s="58"/>
      <c r="X344" s="58"/>
      <c r="Y344" s="58"/>
      <c r="Z344" s="58"/>
      <c r="AA344" s="58"/>
      <c r="AB344" s="58"/>
      <c r="AC344" s="59"/>
      <c r="AD344" s="59"/>
    </row>
    <row r="345" spans="1:30" ht="12.75" customHeight="1" x14ac:dyDescent="0.2">
      <c r="A345" s="56"/>
      <c r="B345" s="56"/>
      <c r="C345" s="56"/>
      <c r="D345" s="57"/>
      <c r="E345" s="57"/>
      <c r="F345" s="56"/>
      <c r="G345" s="56"/>
      <c r="H345" s="56"/>
      <c r="I345" s="56"/>
      <c r="J345" s="56"/>
      <c r="K345" s="56"/>
      <c r="L345" s="56"/>
      <c r="M345" s="58"/>
      <c r="N345" s="58"/>
      <c r="O345" s="58"/>
      <c r="P345" s="58"/>
      <c r="Q345" s="58"/>
      <c r="R345" s="58"/>
      <c r="S345" s="58"/>
      <c r="T345" s="58"/>
      <c r="U345" s="58"/>
      <c r="V345" s="58"/>
      <c r="W345" s="58"/>
      <c r="X345" s="58"/>
      <c r="Y345" s="58"/>
      <c r="Z345" s="58"/>
      <c r="AA345" s="58"/>
      <c r="AB345" s="58"/>
      <c r="AC345" s="59"/>
      <c r="AD345" s="59"/>
    </row>
    <row r="346" spans="1:30" ht="12.75" customHeight="1" x14ac:dyDescent="0.2">
      <c r="A346" s="56"/>
      <c r="B346" s="56"/>
      <c r="C346" s="56"/>
      <c r="D346" s="57"/>
      <c r="E346" s="57"/>
      <c r="F346" s="56"/>
      <c r="G346" s="56"/>
      <c r="H346" s="56"/>
      <c r="I346" s="56"/>
      <c r="J346" s="56"/>
      <c r="K346" s="56"/>
      <c r="L346" s="56"/>
      <c r="M346" s="58"/>
      <c r="N346" s="58"/>
      <c r="O346" s="58"/>
      <c r="P346" s="58"/>
      <c r="Q346" s="58"/>
      <c r="R346" s="58"/>
      <c r="S346" s="58"/>
      <c r="T346" s="58"/>
      <c r="U346" s="58"/>
      <c r="V346" s="58"/>
      <c r="W346" s="58"/>
      <c r="X346" s="58"/>
      <c r="Y346" s="58"/>
      <c r="Z346" s="58"/>
      <c r="AA346" s="58"/>
      <c r="AB346" s="58"/>
      <c r="AC346" s="59"/>
      <c r="AD346" s="59"/>
    </row>
    <row r="347" spans="1:30" ht="12.75" customHeight="1" x14ac:dyDescent="0.2">
      <c r="A347" s="56"/>
      <c r="B347" s="56"/>
      <c r="C347" s="56"/>
      <c r="D347" s="57"/>
      <c r="E347" s="57"/>
      <c r="F347" s="56"/>
      <c r="G347" s="56"/>
      <c r="H347" s="56"/>
      <c r="I347" s="56"/>
      <c r="J347" s="56"/>
      <c r="K347" s="56"/>
      <c r="L347" s="56"/>
      <c r="M347" s="58"/>
      <c r="N347" s="58"/>
      <c r="O347" s="58"/>
      <c r="P347" s="58"/>
      <c r="Q347" s="58"/>
      <c r="R347" s="58"/>
      <c r="S347" s="58"/>
      <c r="T347" s="58"/>
      <c r="U347" s="58"/>
      <c r="V347" s="58"/>
      <c r="W347" s="58"/>
      <c r="X347" s="58"/>
      <c r="Y347" s="58"/>
      <c r="Z347" s="58"/>
      <c r="AA347" s="58"/>
      <c r="AB347" s="58"/>
      <c r="AC347" s="59"/>
      <c r="AD347" s="59"/>
    </row>
    <row r="348" spans="1:30" ht="12.75" customHeight="1" x14ac:dyDescent="0.2">
      <c r="A348" s="56"/>
      <c r="B348" s="56"/>
      <c r="C348" s="56"/>
      <c r="D348" s="57"/>
      <c r="E348" s="57"/>
      <c r="F348" s="56"/>
      <c r="G348" s="56"/>
      <c r="H348" s="56"/>
      <c r="I348" s="56"/>
      <c r="J348" s="56"/>
      <c r="K348" s="56"/>
      <c r="L348" s="56"/>
      <c r="M348" s="58"/>
      <c r="N348" s="58"/>
      <c r="O348" s="58"/>
      <c r="P348" s="58"/>
      <c r="Q348" s="58"/>
      <c r="R348" s="58"/>
      <c r="S348" s="58"/>
      <c r="T348" s="58"/>
      <c r="U348" s="58"/>
      <c r="V348" s="58"/>
      <c r="W348" s="58"/>
      <c r="X348" s="58"/>
      <c r="Y348" s="58"/>
      <c r="Z348" s="58"/>
      <c r="AA348" s="58"/>
      <c r="AB348" s="58"/>
      <c r="AC348" s="59"/>
      <c r="AD348" s="59"/>
    </row>
    <row r="349" spans="1:30" ht="12.75" customHeight="1" x14ac:dyDescent="0.2">
      <c r="A349" s="56"/>
      <c r="B349" s="56"/>
      <c r="C349" s="56"/>
      <c r="D349" s="57"/>
      <c r="E349" s="57"/>
      <c r="F349" s="56"/>
      <c r="G349" s="56"/>
      <c r="H349" s="56"/>
      <c r="I349" s="56"/>
      <c r="J349" s="56"/>
      <c r="K349" s="56"/>
      <c r="L349" s="56"/>
      <c r="M349" s="58"/>
      <c r="N349" s="58"/>
      <c r="O349" s="58"/>
      <c r="P349" s="58"/>
      <c r="Q349" s="58"/>
      <c r="R349" s="58"/>
      <c r="S349" s="58"/>
      <c r="T349" s="58"/>
      <c r="U349" s="58"/>
      <c r="V349" s="58"/>
      <c r="W349" s="58"/>
      <c r="X349" s="58"/>
      <c r="Y349" s="58"/>
      <c r="Z349" s="58"/>
      <c r="AA349" s="58"/>
      <c r="AB349" s="58"/>
      <c r="AC349" s="59"/>
      <c r="AD349" s="59"/>
    </row>
    <row r="350" spans="1:30" ht="12.75" customHeight="1" x14ac:dyDescent="0.2">
      <c r="A350" s="56"/>
      <c r="B350" s="56"/>
      <c r="C350" s="56"/>
      <c r="D350" s="57"/>
      <c r="E350" s="57"/>
      <c r="F350" s="56"/>
      <c r="G350" s="56"/>
      <c r="H350" s="56"/>
      <c r="I350" s="56"/>
      <c r="J350" s="56"/>
      <c r="K350" s="56"/>
      <c r="L350" s="56"/>
      <c r="M350" s="58"/>
      <c r="N350" s="58"/>
      <c r="O350" s="58"/>
      <c r="P350" s="58"/>
      <c r="Q350" s="58"/>
      <c r="R350" s="58"/>
      <c r="S350" s="58"/>
      <c r="T350" s="58"/>
      <c r="U350" s="58"/>
      <c r="V350" s="58"/>
      <c r="W350" s="58"/>
      <c r="X350" s="58"/>
      <c r="Y350" s="58"/>
      <c r="Z350" s="58"/>
      <c r="AA350" s="58"/>
      <c r="AB350" s="58"/>
      <c r="AC350" s="59"/>
      <c r="AD350" s="59"/>
    </row>
    <row r="351" spans="1:30" ht="12.75" customHeight="1" x14ac:dyDescent="0.2">
      <c r="A351" s="56"/>
      <c r="B351" s="56"/>
      <c r="C351" s="56"/>
      <c r="D351" s="57"/>
      <c r="E351" s="57"/>
      <c r="F351" s="56"/>
      <c r="G351" s="56"/>
      <c r="H351" s="56"/>
      <c r="I351" s="56"/>
      <c r="J351" s="56"/>
      <c r="K351" s="56"/>
      <c r="L351" s="56"/>
      <c r="M351" s="58"/>
      <c r="N351" s="58"/>
      <c r="O351" s="58"/>
      <c r="P351" s="58"/>
      <c r="Q351" s="58"/>
      <c r="R351" s="58"/>
      <c r="S351" s="58"/>
      <c r="T351" s="58"/>
      <c r="U351" s="58"/>
      <c r="V351" s="58"/>
      <c r="W351" s="58"/>
      <c r="X351" s="58"/>
      <c r="Y351" s="58"/>
      <c r="Z351" s="58"/>
      <c r="AA351" s="58"/>
      <c r="AB351" s="58"/>
      <c r="AC351" s="59"/>
      <c r="AD351" s="59"/>
    </row>
    <row r="352" spans="1:30" ht="12.75" customHeight="1" x14ac:dyDescent="0.2">
      <c r="A352" s="56"/>
      <c r="B352" s="56"/>
      <c r="C352" s="56"/>
      <c r="D352" s="57"/>
      <c r="E352" s="57"/>
      <c r="F352" s="56"/>
      <c r="G352" s="56"/>
      <c r="H352" s="56"/>
      <c r="I352" s="56"/>
      <c r="J352" s="56"/>
      <c r="K352" s="56"/>
      <c r="L352" s="56"/>
      <c r="M352" s="58"/>
      <c r="N352" s="58"/>
      <c r="O352" s="58"/>
      <c r="P352" s="58"/>
      <c r="Q352" s="58"/>
      <c r="R352" s="58"/>
      <c r="S352" s="58"/>
      <c r="T352" s="58"/>
      <c r="U352" s="58"/>
      <c r="V352" s="58"/>
      <c r="W352" s="58"/>
      <c r="X352" s="58"/>
      <c r="Y352" s="58"/>
      <c r="Z352" s="58"/>
      <c r="AA352" s="58"/>
      <c r="AB352" s="58"/>
      <c r="AC352" s="59"/>
      <c r="AD352" s="59"/>
    </row>
    <row r="353" spans="1:30" ht="12.75" customHeight="1" x14ac:dyDescent="0.2">
      <c r="A353" s="56"/>
      <c r="B353" s="56"/>
      <c r="C353" s="56"/>
      <c r="D353" s="57"/>
      <c r="E353" s="57"/>
      <c r="F353" s="56"/>
      <c r="G353" s="56"/>
      <c r="H353" s="56"/>
      <c r="I353" s="56"/>
      <c r="J353" s="56"/>
      <c r="K353" s="56"/>
      <c r="L353" s="56"/>
      <c r="M353" s="58"/>
      <c r="N353" s="58"/>
      <c r="O353" s="58"/>
      <c r="P353" s="58"/>
      <c r="Q353" s="58"/>
      <c r="R353" s="58"/>
      <c r="S353" s="58"/>
      <c r="T353" s="58"/>
      <c r="U353" s="58"/>
      <c r="V353" s="58"/>
      <c r="W353" s="58"/>
      <c r="X353" s="58"/>
      <c r="Y353" s="58"/>
      <c r="Z353" s="58"/>
      <c r="AA353" s="58"/>
      <c r="AB353" s="58"/>
      <c r="AC353" s="59"/>
      <c r="AD353" s="59"/>
    </row>
    <row r="354" spans="1:30" ht="12.75" customHeight="1" x14ac:dyDescent="0.2">
      <c r="A354" s="56"/>
      <c r="B354" s="56"/>
      <c r="C354" s="56"/>
      <c r="D354" s="57"/>
      <c r="E354" s="57"/>
      <c r="F354" s="56"/>
      <c r="G354" s="56"/>
      <c r="H354" s="56"/>
      <c r="I354" s="56"/>
      <c r="J354" s="56"/>
      <c r="K354" s="56"/>
      <c r="L354" s="56"/>
      <c r="M354" s="58"/>
      <c r="N354" s="58"/>
      <c r="O354" s="58"/>
      <c r="P354" s="58"/>
      <c r="Q354" s="58"/>
      <c r="R354" s="58"/>
      <c r="S354" s="58"/>
      <c r="T354" s="58"/>
      <c r="U354" s="58"/>
      <c r="V354" s="58"/>
      <c r="W354" s="58"/>
      <c r="X354" s="58"/>
      <c r="Y354" s="58"/>
      <c r="Z354" s="58"/>
      <c r="AA354" s="58"/>
      <c r="AB354" s="58"/>
      <c r="AC354" s="59"/>
      <c r="AD354" s="59"/>
    </row>
    <row r="355" spans="1:30" ht="12.75" customHeight="1" x14ac:dyDescent="0.2">
      <c r="A355" s="56"/>
      <c r="B355" s="56"/>
      <c r="C355" s="56"/>
      <c r="D355" s="57"/>
      <c r="E355" s="57"/>
      <c r="F355" s="56"/>
      <c r="G355" s="56"/>
      <c r="H355" s="56"/>
      <c r="I355" s="56"/>
      <c r="J355" s="56"/>
      <c r="K355" s="56"/>
      <c r="L355" s="56"/>
      <c r="M355" s="58"/>
      <c r="N355" s="58"/>
      <c r="O355" s="58"/>
      <c r="P355" s="58"/>
      <c r="Q355" s="58"/>
      <c r="R355" s="58"/>
      <c r="S355" s="58"/>
      <c r="T355" s="58"/>
      <c r="U355" s="58"/>
      <c r="V355" s="58"/>
      <c r="W355" s="58"/>
      <c r="X355" s="58"/>
      <c r="Y355" s="58"/>
      <c r="Z355" s="58"/>
      <c r="AA355" s="58"/>
      <c r="AB355" s="58"/>
      <c r="AC355" s="59"/>
      <c r="AD355" s="59"/>
    </row>
    <row r="356" spans="1:30" ht="12.75" customHeight="1" x14ac:dyDescent="0.2">
      <c r="A356" s="56"/>
      <c r="B356" s="56"/>
      <c r="C356" s="56"/>
      <c r="D356" s="57"/>
      <c r="E356" s="57"/>
      <c r="F356" s="56"/>
      <c r="G356" s="56"/>
      <c r="H356" s="56"/>
      <c r="I356" s="56"/>
      <c r="J356" s="56"/>
      <c r="K356" s="56"/>
      <c r="L356" s="56"/>
      <c r="M356" s="58"/>
      <c r="N356" s="58"/>
      <c r="O356" s="58"/>
      <c r="P356" s="58"/>
      <c r="Q356" s="58"/>
      <c r="R356" s="58"/>
      <c r="S356" s="58"/>
      <c r="T356" s="58"/>
      <c r="U356" s="58"/>
      <c r="V356" s="58"/>
      <c r="W356" s="58"/>
      <c r="X356" s="58"/>
      <c r="Y356" s="58"/>
      <c r="Z356" s="58"/>
      <c r="AA356" s="58"/>
      <c r="AB356" s="58"/>
      <c r="AC356" s="59"/>
      <c r="AD356" s="59"/>
    </row>
    <row r="357" spans="1:30" ht="12.75" customHeight="1" x14ac:dyDescent="0.2">
      <c r="A357" s="56"/>
      <c r="B357" s="56"/>
      <c r="C357" s="56"/>
      <c r="D357" s="57"/>
      <c r="E357" s="57"/>
      <c r="F357" s="56"/>
      <c r="G357" s="56"/>
      <c r="H357" s="56"/>
      <c r="I357" s="56"/>
      <c r="J357" s="56"/>
      <c r="K357" s="56"/>
      <c r="L357" s="56"/>
      <c r="M357" s="58"/>
      <c r="N357" s="58"/>
      <c r="O357" s="58"/>
      <c r="P357" s="58"/>
      <c r="Q357" s="58"/>
      <c r="R357" s="58"/>
      <c r="S357" s="58"/>
      <c r="T357" s="58"/>
      <c r="U357" s="58"/>
      <c r="V357" s="58"/>
      <c r="W357" s="58"/>
      <c r="X357" s="58"/>
      <c r="Y357" s="58"/>
      <c r="Z357" s="58"/>
      <c r="AA357" s="58"/>
      <c r="AB357" s="58"/>
      <c r="AC357" s="59"/>
      <c r="AD357" s="59"/>
    </row>
    <row r="358" spans="1:30" ht="12.75" customHeight="1" x14ac:dyDescent="0.2">
      <c r="A358" s="56"/>
      <c r="B358" s="56"/>
      <c r="C358" s="56"/>
      <c r="D358" s="57"/>
      <c r="E358" s="57"/>
      <c r="F358" s="56"/>
      <c r="G358" s="56"/>
      <c r="H358" s="56"/>
      <c r="I358" s="56"/>
      <c r="J358" s="56"/>
      <c r="K358" s="56"/>
      <c r="L358" s="56"/>
      <c r="M358" s="58"/>
      <c r="N358" s="58"/>
      <c r="O358" s="58"/>
      <c r="P358" s="58"/>
      <c r="Q358" s="58"/>
      <c r="R358" s="58"/>
      <c r="S358" s="58"/>
      <c r="T358" s="58"/>
      <c r="U358" s="58"/>
      <c r="V358" s="58"/>
      <c r="W358" s="58"/>
      <c r="X358" s="58"/>
      <c r="Y358" s="58"/>
      <c r="Z358" s="58"/>
      <c r="AA358" s="58"/>
      <c r="AB358" s="58"/>
      <c r="AC358" s="59"/>
      <c r="AD358" s="59"/>
    </row>
    <row r="359" spans="1:30" ht="12.75" customHeight="1" x14ac:dyDescent="0.2">
      <c r="A359" s="56"/>
      <c r="B359" s="56"/>
      <c r="C359" s="56"/>
      <c r="D359" s="57"/>
      <c r="E359" s="57"/>
      <c r="F359" s="56"/>
      <c r="G359" s="56"/>
      <c r="H359" s="56"/>
      <c r="I359" s="56"/>
      <c r="J359" s="56"/>
      <c r="K359" s="56"/>
      <c r="L359" s="56"/>
      <c r="M359" s="58"/>
      <c r="N359" s="58"/>
      <c r="O359" s="58"/>
      <c r="P359" s="58"/>
      <c r="Q359" s="58"/>
      <c r="R359" s="58"/>
      <c r="S359" s="58"/>
      <c r="T359" s="58"/>
      <c r="U359" s="58"/>
      <c r="V359" s="58"/>
      <c r="W359" s="58"/>
      <c r="X359" s="58"/>
      <c r="Y359" s="58"/>
      <c r="Z359" s="58"/>
      <c r="AA359" s="58"/>
      <c r="AB359" s="58"/>
      <c r="AC359" s="59"/>
      <c r="AD359" s="59"/>
    </row>
    <row r="360" spans="1:30" ht="12.75" customHeight="1" x14ac:dyDescent="0.2">
      <c r="A360" s="56"/>
      <c r="B360" s="56"/>
      <c r="C360" s="56"/>
      <c r="D360" s="57"/>
      <c r="E360" s="57"/>
      <c r="F360" s="56"/>
      <c r="G360" s="56"/>
      <c r="H360" s="56"/>
      <c r="I360" s="56"/>
      <c r="J360" s="56"/>
      <c r="K360" s="56"/>
      <c r="L360" s="56"/>
      <c r="M360" s="58"/>
      <c r="N360" s="58"/>
      <c r="O360" s="58"/>
      <c r="P360" s="58"/>
      <c r="Q360" s="58"/>
      <c r="R360" s="58"/>
      <c r="S360" s="58"/>
      <c r="T360" s="58"/>
      <c r="U360" s="58"/>
      <c r="V360" s="58"/>
      <c r="W360" s="58"/>
      <c r="X360" s="58"/>
      <c r="Y360" s="58"/>
      <c r="Z360" s="58"/>
      <c r="AA360" s="58"/>
      <c r="AB360" s="58"/>
      <c r="AC360" s="59"/>
      <c r="AD360" s="59"/>
    </row>
    <row r="361" spans="1:30" ht="12.75" customHeight="1" x14ac:dyDescent="0.2">
      <c r="A361" s="56"/>
      <c r="B361" s="56"/>
      <c r="C361" s="56"/>
      <c r="D361" s="57"/>
      <c r="E361" s="57"/>
      <c r="F361" s="56"/>
      <c r="G361" s="56"/>
      <c r="H361" s="56"/>
      <c r="I361" s="56"/>
      <c r="J361" s="56"/>
      <c r="K361" s="56"/>
      <c r="L361" s="56"/>
      <c r="M361" s="58"/>
      <c r="N361" s="58"/>
      <c r="O361" s="58"/>
      <c r="P361" s="58"/>
      <c r="Q361" s="58"/>
      <c r="R361" s="58"/>
      <c r="S361" s="58"/>
      <c r="T361" s="58"/>
      <c r="U361" s="58"/>
      <c r="V361" s="58"/>
      <c r="W361" s="58"/>
      <c r="X361" s="58"/>
      <c r="Y361" s="58"/>
      <c r="Z361" s="58"/>
      <c r="AA361" s="58"/>
      <c r="AB361" s="58"/>
      <c r="AC361" s="59"/>
      <c r="AD361" s="59"/>
    </row>
    <row r="362" spans="1:30" ht="12.75" customHeight="1" x14ac:dyDescent="0.2">
      <c r="A362" s="56"/>
      <c r="B362" s="56"/>
      <c r="C362" s="56"/>
      <c r="D362" s="57"/>
      <c r="E362" s="57"/>
      <c r="F362" s="56"/>
      <c r="G362" s="56"/>
      <c r="H362" s="56"/>
      <c r="I362" s="56"/>
      <c r="J362" s="56"/>
      <c r="K362" s="56"/>
      <c r="L362" s="56"/>
      <c r="M362" s="58"/>
      <c r="N362" s="58"/>
      <c r="O362" s="58"/>
      <c r="P362" s="58"/>
      <c r="Q362" s="58"/>
      <c r="R362" s="58"/>
      <c r="S362" s="58"/>
      <c r="T362" s="58"/>
      <c r="U362" s="58"/>
      <c r="V362" s="58"/>
      <c r="W362" s="58"/>
      <c r="X362" s="58"/>
      <c r="Y362" s="58"/>
      <c r="Z362" s="58"/>
      <c r="AA362" s="58"/>
      <c r="AB362" s="58"/>
      <c r="AC362" s="59"/>
      <c r="AD362" s="59"/>
    </row>
    <row r="363" spans="1:30" ht="12.75" customHeight="1" x14ac:dyDescent="0.2">
      <c r="A363" s="56"/>
      <c r="B363" s="56"/>
      <c r="C363" s="56"/>
      <c r="D363" s="57"/>
      <c r="E363" s="57"/>
      <c r="F363" s="56"/>
      <c r="G363" s="56"/>
      <c r="H363" s="56"/>
      <c r="I363" s="56"/>
      <c r="J363" s="56"/>
      <c r="K363" s="56"/>
      <c r="L363" s="56"/>
      <c r="M363" s="58"/>
      <c r="N363" s="58"/>
      <c r="O363" s="58"/>
      <c r="P363" s="58"/>
      <c r="Q363" s="58"/>
      <c r="R363" s="58"/>
      <c r="S363" s="58"/>
      <c r="T363" s="58"/>
      <c r="U363" s="58"/>
      <c r="V363" s="58"/>
      <c r="W363" s="58"/>
      <c r="X363" s="58"/>
      <c r="Y363" s="58"/>
      <c r="Z363" s="58"/>
      <c r="AA363" s="58"/>
      <c r="AB363" s="58"/>
      <c r="AC363" s="59"/>
      <c r="AD363" s="59"/>
    </row>
    <row r="364" spans="1:30" ht="12.75" customHeight="1" x14ac:dyDescent="0.2">
      <c r="A364" s="56"/>
      <c r="B364" s="56"/>
      <c r="C364" s="56"/>
      <c r="D364" s="57"/>
      <c r="E364" s="57"/>
      <c r="F364" s="56"/>
      <c r="G364" s="56"/>
      <c r="H364" s="56"/>
      <c r="I364" s="56"/>
      <c r="J364" s="56"/>
      <c r="K364" s="56"/>
      <c r="L364" s="56"/>
      <c r="M364" s="58"/>
      <c r="N364" s="58"/>
      <c r="O364" s="58"/>
      <c r="P364" s="58"/>
      <c r="Q364" s="58"/>
      <c r="R364" s="58"/>
      <c r="S364" s="58"/>
      <c r="T364" s="58"/>
      <c r="U364" s="58"/>
      <c r="V364" s="58"/>
      <c r="W364" s="58"/>
      <c r="X364" s="58"/>
      <c r="Y364" s="58"/>
      <c r="Z364" s="58"/>
      <c r="AA364" s="58"/>
      <c r="AB364" s="58"/>
      <c r="AC364" s="59"/>
      <c r="AD364" s="59"/>
    </row>
    <row r="365" spans="1:30" ht="12.75" customHeight="1" x14ac:dyDescent="0.2">
      <c r="A365" s="56"/>
      <c r="B365" s="56"/>
      <c r="C365" s="56"/>
      <c r="D365" s="57"/>
      <c r="E365" s="57"/>
      <c r="F365" s="56"/>
      <c r="G365" s="56"/>
      <c r="H365" s="56"/>
      <c r="I365" s="56"/>
      <c r="J365" s="56"/>
      <c r="K365" s="56"/>
      <c r="L365" s="56"/>
      <c r="M365" s="58"/>
      <c r="N365" s="58"/>
      <c r="O365" s="58"/>
      <c r="P365" s="58"/>
      <c r="Q365" s="58"/>
      <c r="R365" s="58"/>
      <c r="S365" s="58"/>
      <c r="T365" s="58"/>
      <c r="U365" s="58"/>
      <c r="V365" s="58"/>
      <c r="W365" s="58"/>
      <c r="X365" s="58"/>
      <c r="Y365" s="58"/>
      <c r="Z365" s="58"/>
      <c r="AA365" s="58"/>
      <c r="AB365" s="58"/>
      <c r="AC365" s="59"/>
      <c r="AD365" s="59"/>
    </row>
    <row r="366" spans="1:30" ht="12.75" customHeight="1" x14ac:dyDescent="0.2">
      <c r="A366" s="56"/>
      <c r="B366" s="56"/>
      <c r="C366" s="56"/>
      <c r="D366" s="57"/>
      <c r="E366" s="57"/>
      <c r="F366" s="56"/>
      <c r="G366" s="56"/>
      <c r="H366" s="56"/>
      <c r="I366" s="56"/>
      <c r="J366" s="56"/>
      <c r="K366" s="56"/>
      <c r="L366" s="56"/>
      <c r="M366" s="58"/>
      <c r="N366" s="58"/>
      <c r="O366" s="58"/>
      <c r="P366" s="58"/>
      <c r="Q366" s="58"/>
      <c r="R366" s="58"/>
      <c r="S366" s="58"/>
      <c r="T366" s="58"/>
      <c r="U366" s="58"/>
      <c r="V366" s="58"/>
      <c r="W366" s="58"/>
      <c r="X366" s="58"/>
      <c r="Y366" s="58"/>
      <c r="Z366" s="58"/>
      <c r="AA366" s="58"/>
      <c r="AB366" s="58"/>
      <c r="AC366" s="59"/>
      <c r="AD366" s="59"/>
    </row>
    <row r="367" spans="1:30" ht="12.75" customHeight="1" x14ac:dyDescent="0.2">
      <c r="A367" s="56"/>
      <c r="B367" s="56"/>
      <c r="C367" s="56"/>
      <c r="D367" s="57"/>
      <c r="E367" s="57"/>
      <c r="F367" s="56"/>
      <c r="G367" s="56"/>
      <c r="H367" s="56"/>
      <c r="I367" s="56"/>
      <c r="J367" s="56"/>
      <c r="K367" s="56"/>
      <c r="L367" s="56"/>
      <c r="M367" s="58"/>
      <c r="N367" s="58"/>
      <c r="O367" s="58"/>
      <c r="P367" s="58"/>
      <c r="Q367" s="58"/>
      <c r="R367" s="58"/>
      <c r="S367" s="58"/>
      <c r="T367" s="58"/>
      <c r="U367" s="58"/>
      <c r="V367" s="58"/>
      <c r="W367" s="58"/>
      <c r="X367" s="58"/>
      <c r="Y367" s="58"/>
      <c r="Z367" s="58"/>
      <c r="AA367" s="58"/>
      <c r="AB367" s="58"/>
      <c r="AC367" s="59"/>
      <c r="AD367" s="59"/>
    </row>
    <row r="368" spans="1:30" ht="12.75" customHeight="1" x14ac:dyDescent="0.2">
      <c r="A368" s="56"/>
      <c r="B368" s="56"/>
      <c r="C368" s="56"/>
      <c r="D368" s="57"/>
      <c r="E368" s="57"/>
      <c r="F368" s="56"/>
      <c r="G368" s="56"/>
      <c r="H368" s="56"/>
      <c r="I368" s="56"/>
      <c r="J368" s="56"/>
      <c r="K368" s="56"/>
      <c r="L368" s="56"/>
      <c r="M368" s="58"/>
      <c r="N368" s="58"/>
      <c r="O368" s="58"/>
      <c r="P368" s="58"/>
      <c r="Q368" s="58"/>
      <c r="R368" s="58"/>
      <c r="S368" s="58"/>
      <c r="T368" s="58"/>
      <c r="U368" s="58"/>
      <c r="V368" s="58"/>
      <c r="W368" s="58"/>
      <c r="X368" s="58"/>
      <c r="Y368" s="58"/>
      <c r="Z368" s="58"/>
      <c r="AA368" s="58"/>
      <c r="AB368" s="58"/>
      <c r="AC368" s="59"/>
      <c r="AD368" s="59"/>
    </row>
    <row r="369" spans="1:30" ht="12.75" customHeight="1" x14ac:dyDescent="0.2">
      <c r="A369" s="56"/>
      <c r="B369" s="56"/>
      <c r="C369" s="56"/>
      <c r="D369" s="57"/>
      <c r="E369" s="57"/>
      <c r="F369" s="56"/>
      <c r="G369" s="56"/>
      <c r="H369" s="56"/>
      <c r="I369" s="56"/>
      <c r="J369" s="56"/>
      <c r="K369" s="56"/>
      <c r="L369" s="56"/>
      <c r="M369" s="58"/>
      <c r="N369" s="58"/>
      <c r="O369" s="58"/>
      <c r="P369" s="58"/>
      <c r="Q369" s="58"/>
      <c r="R369" s="58"/>
      <c r="S369" s="58"/>
      <c r="T369" s="58"/>
      <c r="U369" s="58"/>
      <c r="V369" s="58"/>
      <c r="W369" s="58"/>
      <c r="X369" s="58"/>
      <c r="Y369" s="58"/>
      <c r="Z369" s="58"/>
      <c r="AA369" s="58"/>
      <c r="AB369" s="58"/>
      <c r="AC369" s="59"/>
      <c r="AD369" s="59"/>
    </row>
    <row r="370" spans="1:30" ht="12.75" customHeight="1" x14ac:dyDescent="0.2">
      <c r="A370" s="56"/>
      <c r="B370" s="56"/>
      <c r="C370" s="56"/>
      <c r="D370" s="57"/>
      <c r="E370" s="57"/>
      <c r="F370" s="56"/>
      <c r="G370" s="56"/>
      <c r="H370" s="56"/>
      <c r="I370" s="56"/>
      <c r="J370" s="56"/>
      <c r="K370" s="56"/>
      <c r="L370" s="56"/>
      <c r="M370" s="58"/>
      <c r="N370" s="58"/>
      <c r="O370" s="58"/>
      <c r="P370" s="58"/>
      <c r="Q370" s="58"/>
      <c r="R370" s="58"/>
      <c r="S370" s="58"/>
      <c r="T370" s="58"/>
      <c r="U370" s="58"/>
      <c r="V370" s="58"/>
      <c r="W370" s="58"/>
      <c r="X370" s="58"/>
      <c r="Y370" s="58"/>
      <c r="Z370" s="58"/>
      <c r="AA370" s="58"/>
      <c r="AB370" s="58"/>
      <c r="AC370" s="59"/>
      <c r="AD370" s="59"/>
    </row>
    <row r="371" spans="1:30" ht="12.75" customHeight="1" x14ac:dyDescent="0.2">
      <c r="A371" s="56"/>
      <c r="B371" s="56"/>
      <c r="C371" s="56"/>
      <c r="D371" s="57"/>
      <c r="E371" s="57"/>
      <c r="F371" s="56"/>
      <c r="G371" s="56"/>
      <c r="H371" s="56"/>
      <c r="I371" s="56"/>
      <c r="J371" s="56"/>
      <c r="K371" s="56"/>
      <c r="L371" s="56"/>
      <c r="M371" s="58"/>
      <c r="N371" s="58"/>
      <c r="O371" s="58"/>
      <c r="P371" s="58"/>
      <c r="Q371" s="58"/>
      <c r="R371" s="58"/>
      <c r="S371" s="58"/>
      <c r="T371" s="58"/>
      <c r="U371" s="58"/>
      <c r="V371" s="58"/>
      <c r="W371" s="58"/>
      <c r="X371" s="58"/>
      <c r="Y371" s="58"/>
      <c r="Z371" s="58"/>
      <c r="AA371" s="58"/>
      <c r="AB371" s="58"/>
      <c r="AC371" s="59"/>
      <c r="AD371" s="59"/>
    </row>
    <row r="372" spans="1:30" ht="12.75" customHeight="1" x14ac:dyDescent="0.2">
      <c r="A372" s="56"/>
      <c r="B372" s="56"/>
      <c r="C372" s="56"/>
      <c r="D372" s="57"/>
      <c r="E372" s="57"/>
      <c r="F372" s="56"/>
      <c r="G372" s="56"/>
      <c r="H372" s="56"/>
      <c r="I372" s="56"/>
      <c r="J372" s="56"/>
      <c r="K372" s="56"/>
      <c r="L372" s="56"/>
      <c r="M372" s="58"/>
      <c r="N372" s="58"/>
      <c r="O372" s="58"/>
      <c r="P372" s="58"/>
      <c r="Q372" s="58"/>
      <c r="R372" s="58"/>
      <c r="S372" s="58"/>
      <c r="T372" s="58"/>
      <c r="U372" s="58"/>
      <c r="V372" s="58"/>
      <c r="W372" s="58"/>
      <c r="X372" s="58"/>
      <c r="Y372" s="58"/>
      <c r="Z372" s="58"/>
      <c r="AA372" s="58"/>
      <c r="AB372" s="58"/>
      <c r="AC372" s="59"/>
      <c r="AD372" s="59"/>
    </row>
    <row r="373" spans="1:30" ht="12.75" customHeight="1" x14ac:dyDescent="0.2">
      <c r="A373" s="56"/>
      <c r="B373" s="56"/>
      <c r="C373" s="56"/>
      <c r="D373" s="57"/>
      <c r="E373" s="57"/>
      <c r="F373" s="56"/>
      <c r="G373" s="56"/>
      <c r="H373" s="56"/>
      <c r="I373" s="56"/>
      <c r="J373" s="56"/>
      <c r="K373" s="56"/>
      <c r="L373" s="56"/>
      <c r="M373" s="58"/>
      <c r="N373" s="58"/>
      <c r="O373" s="58"/>
      <c r="P373" s="58"/>
      <c r="Q373" s="58"/>
      <c r="R373" s="58"/>
      <c r="S373" s="58"/>
      <c r="T373" s="58"/>
      <c r="U373" s="58"/>
      <c r="V373" s="58"/>
      <c r="W373" s="58"/>
      <c r="X373" s="58"/>
      <c r="Y373" s="58"/>
      <c r="Z373" s="58"/>
      <c r="AA373" s="58"/>
      <c r="AB373" s="58"/>
      <c r="AC373" s="59"/>
      <c r="AD373" s="59"/>
    </row>
    <row r="374" spans="1:30" ht="12.75" customHeight="1" x14ac:dyDescent="0.2">
      <c r="A374" s="56"/>
      <c r="B374" s="56"/>
      <c r="C374" s="56"/>
      <c r="D374" s="57"/>
      <c r="E374" s="57"/>
      <c r="F374" s="56"/>
      <c r="G374" s="56"/>
      <c r="H374" s="56"/>
      <c r="I374" s="56"/>
      <c r="J374" s="56"/>
      <c r="K374" s="56"/>
      <c r="L374" s="56"/>
      <c r="M374" s="58"/>
      <c r="N374" s="58"/>
      <c r="O374" s="58"/>
      <c r="P374" s="58"/>
      <c r="Q374" s="58"/>
      <c r="R374" s="58"/>
      <c r="S374" s="58"/>
      <c r="T374" s="58"/>
      <c r="U374" s="58"/>
      <c r="V374" s="58"/>
      <c r="W374" s="58"/>
      <c r="X374" s="58"/>
      <c r="Y374" s="58"/>
      <c r="Z374" s="58"/>
      <c r="AA374" s="58"/>
      <c r="AB374" s="58"/>
      <c r="AC374" s="59"/>
      <c r="AD374" s="59"/>
    </row>
    <row r="375" spans="1:30" ht="12.75" customHeight="1" x14ac:dyDescent="0.2">
      <c r="A375" s="56"/>
      <c r="B375" s="56"/>
      <c r="C375" s="56"/>
      <c r="D375" s="57"/>
      <c r="E375" s="57"/>
      <c r="F375" s="56"/>
      <c r="G375" s="56"/>
      <c r="H375" s="56"/>
      <c r="I375" s="56"/>
      <c r="J375" s="56"/>
      <c r="K375" s="56"/>
      <c r="L375" s="56"/>
      <c r="M375" s="58"/>
      <c r="N375" s="58"/>
      <c r="O375" s="58"/>
      <c r="P375" s="58"/>
      <c r="Q375" s="58"/>
      <c r="R375" s="58"/>
      <c r="S375" s="58"/>
      <c r="T375" s="58"/>
      <c r="U375" s="58"/>
      <c r="V375" s="58"/>
      <c r="W375" s="58"/>
      <c r="X375" s="58"/>
      <c r="Y375" s="58"/>
      <c r="Z375" s="58"/>
      <c r="AA375" s="58"/>
      <c r="AB375" s="58"/>
      <c r="AC375" s="59"/>
      <c r="AD375" s="59"/>
    </row>
    <row r="376" spans="1:30" ht="12.75" customHeight="1" x14ac:dyDescent="0.2">
      <c r="A376" s="56"/>
      <c r="B376" s="56"/>
      <c r="C376" s="56"/>
      <c r="D376" s="57"/>
      <c r="E376" s="57"/>
      <c r="F376" s="56"/>
      <c r="G376" s="56"/>
      <c r="H376" s="56"/>
      <c r="I376" s="56"/>
      <c r="J376" s="56"/>
      <c r="K376" s="56"/>
      <c r="L376" s="56"/>
      <c r="M376" s="58"/>
      <c r="N376" s="58"/>
      <c r="O376" s="58"/>
      <c r="P376" s="58"/>
      <c r="Q376" s="58"/>
      <c r="R376" s="58"/>
      <c r="S376" s="58"/>
      <c r="T376" s="58"/>
      <c r="U376" s="58"/>
      <c r="V376" s="58"/>
      <c r="W376" s="58"/>
      <c r="X376" s="58"/>
      <c r="Y376" s="58"/>
      <c r="Z376" s="58"/>
      <c r="AA376" s="58"/>
      <c r="AB376" s="58"/>
      <c r="AC376" s="59"/>
      <c r="AD376" s="59"/>
    </row>
    <row r="377" spans="1:30" ht="12.75" customHeight="1" x14ac:dyDescent="0.2">
      <c r="A377" s="56"/>
      <c r="B377" s="56"/>
      <c r="C377" s="56"/>
      <c r="D377" s="57"/>
      <c r="E377" s="57"/>
      <c r="F377" s="56"/>
      <c r="G377" s="56"/>
      <c r="H377" s="56"/>
      <c r="I377" s="56"/>
      <c r="J377" s="56"/>
      <c r="K377" s="56"/>
      <c r="L377" s="56"/>
      <c r="M377" s="58"/>
      <c r="N377" s="58"/>
      <c r="O377" s="58"/>
      <c r="P377" s="58"/>
      <c r="Q377" s="58"/>
      <c r="R377" s="58"/>
      <c r="S377" s="58"/>
      <c r="T377" s="58"/>
      <c r="U377" s="58"/>
      <c r="V377" s="58"/>
      <c r="W377" s="58"/>
      <c r="X377" s="58"/>
      <c r="Y377" s="58"/>
      <c r="Z377" s="58"/>
      <c r="AA377" s="58"/>
      <c r="AB377" s="58"/>
      <c r="AC377" s="59"/>
      <c r="AD377" s="59"/>
    </row>
    <row r="378" spans="1:30" ht="12.75" customHeight="1" x14ac:dyDescent="0.2">
      <c r="A378" s="56"/>
      <c r="B378" s="56"/>
      <c r="C378" s="56"/>
      <c r="D378" s="57"/>
      <c r="E378" s="57"/>
      <c r="F378" s="56"/>
      <c r="G378" s="56"/>
      <c r="H378" s="56"/>
      <c r="I378" s="56"/>
      <c r="J378" s="56"/>
      <c r="K378" s="56"/>
      <c r="L378" s="56"/>
      <c r="M378" s="58"/>
      <c r="N378" s="58"/>
      <c r="O378" s="58"/>
      <c r="P378" s="58"/>
      <c r="Q378" s="58"/>
      <c r="R378" s="58"/>
      <c r="S378" s="58"/>
      <c r="T378" s="58"/>
      <c r="U378" s="58"/>
      <c r="V378" s="58"/>
      <c r="W378" s="58"/>
      <c r="X378" s="58"/>
      <c r="Y378" s="58"/>
      <c r="Z378" s="58"/>
      <c r="AA378" s="58"/>
      <c r="AB378" s="58"/>
      <c r="AC378" s="59"/>
      <c r="AD378" s="59"/>
    </row>
    <row r="379" spans="1:30" ht="12.75" customHeight="1" x14ac:dyDescent="0.2">
      <c r="A379" s="56"/>
      <c r="B379" s="56"/>
      <c r="C379" s="56"/>
      <c r="D379" s="57"/>
      <c r="E379" s="57"/>
      <c r="F379" s="56"/>
      <c r="G379" s="56"/>
      <c r="H379" s="56"/>
      <c r="I379" s="56"/>
      <c r="J379" s="56"/>
      <c r="K379" s="56"/>
      <c r="L379" s="56"/>
      <c r="M379" s="58"/>
      <c r="N379" s="58"/>
      <c r="O379" s="58"/>
      <c r="P379" s="58"/>
      <c r="Q379" s="58"/>
      <c r="R379" s="58"/>
      <c r="S379" s="58"/>
      <c r="T379" s="58"/>
      <c r="U379" s="58"/>
      <c r="V379" s="58"/>
      <c r="W379" s="58"/>
      <c r="X379" s="58"/>
      <c r="Y379" s="58"/>
      <c r="Z379" s="58"/>
      <c r="AA379" s="58"/>
      <c r="AB379" s="58"/>
      <c r="AC379" s="59"/>
      <c r="AD379" s="59"/>
    </row>
    <row r="380" spans="1:30" ht="12.75" customHeight="1" x14ac:dyDescent="0.2">
      <c r="A380" s="56"/>
      <c r="B380" s="56"/>
      <c r="C380" s="56"/>
      <c r="D380" s="57"/>
      <c r="E380" s="57"/>
      <c r="F380" s="56"/>
      <c r="G380" s="56"/>
      <c r="H380" s="56"/>
      <c r="I380" s="56"/>
      <c r="J380" s="56"/>
      <c r="K380" s="56"/>
      <c r="L380" s="56"/>
      <c r="M380" s="58"/>
      <c r="N380" s="58"/>
      <c r="O380" s="58"/>
      <c r="P380" s="58"/>
      <c r="Q380" s="58"/>
      <c r="R380" s="58"/>
      <c r="S380" s="58"/>
      <c r="T380" s="58"/>
      <c r="U380" s="58"/>
      <c r="V380" s="58"/>
      <c r="W380" s="58"/>
      <c r="X380" s="58"/>
      <c r="Y380" s="58"/>
      <c r="Z380" s="58"/>
      <c r="AA380" s="58"/>
      <c r="AB380" s="58"/>
      <c r="AC380" s="59"/>
      <c r="AD380" s="59"/>
    </row>
    <row r="381" spans="1:30" ht="12.75" customHeight="1" x14ac:dyDescent="0.2">
      <c r="A381" s="56"/>
      <c r="B381" s="56"/>
      <c r="C381" s="56"/>
      <c r="D381" s="57"/>
      <c r="E381" s="57"/>
      <c r="F381" s="56"/>
      <c r="G381" s="56"/>
      <c r="H381" s="56"/>
      <c r="I381" s="56"/>
      <c r="J381" s="56"/>
      <c r="K381" s="56"/>
      <c r="L381" s="56"/>
      <c r="M381" s="58"/>
      <c r="N381" s="58"/>
      <c r="O381" s="58"/>
      <c r="P381" s="58"/>
      <c r="Q381" s="58"/>
      <c r="R381" s="58"/>
      <c r="S381" s="58"/>
      <c r="T381" s="58"/>
      <c r="U381" s="58"/>
      <c r="V381" s="58"/>
      <c r="W381" s="58"/>
      <c r="X381" s="58"/>
      <c r="Y381" s="58"/>
      <c r="Z381" s="58"/>
      <c r="AA381" s="58"/>
      <c r="AB381" s="58"/>
      <c r="AC381" s="59"/>
      <c r="AD381" s="59"/>
    </row>
    <row r="382" spans="1:30" ht="12.75" customHeight="1" x14ac:dyDescent="0.2">
      <c r="A382" s="56"/>
      <c r="B382" s="56"/>
      <c r="C382" s="56"/>
      <c r="D382" s="57"/>
      <c r="E382" s="57"/>
      <c r="F382" s="56"/>
      <c r="G382" s="56"/>
      <c r="H382" s="56"/>
      <c r="I382" s="56"/>
      <c r="J382" s="56"/>
      <c r="K382" s="56"/>
      <c r="L382" s="56"/>
      <c r="M382" s="58"/>
      <c r="N382" s="58"/>
      <c r="O382" s="58"/>
      <c r="P382" s="58"/>
      <c r="Q382" s="58"/>
      <c r="R382" s="58"/>
      <c r="S382" s="58"/>
      <c r="T382" s="58"/>
      <c r="U382" s="58"/>
      <c r="V382" s="58"/>
      <c r="W382" s="58"/>
      <c r="X382" s="58"/>
      <c r="Y382" s="58"/>
      <c r="Z382" s="58"/>
      <c r="AA382" s="58"/>
      <c r="AB382" s="58"/>
      <c r="AC382" s="59"/>
      <c r="AD382" s="59"/>
    </row>
    <row r="383" spans="1:30" ht="12.75" customHeight="1" x14ac:dyDescent="0.2">
      <c r="A383" s="56"/>
      <c r="B383" s="56"/>
      <c r="C383" s="56"/>
      <c r="D383" s="57"/>
      <c r="E383" s="57"/>
      <c r="F383" s="56"/>
      <c r="G383" s="56"/>
      <c r="H383" s="56"/>
      <c r="I383" s="56"/>
      <c r="J383" s="56"/>
      <c r="K383" s="56"/>
      <c r="L383" s="56"/>
      <c r="M383" s="58"/>
      <c r="N383" s="58"/>
      <c r="O383" s="58"/>
      <c r="P383" s="58"/>
      <c r="Q383" s="58"/>
      <c r="R383" s="58"/>
      <c r="S383" s="58"/>
      <c r="T383" s="58"/>
      <c r="U383" s="58"/>
      <c r="V383" s="58"/>
      <c r="W383" s="58"/>
      <c r="X383" s="58"/>
      <c r="Y383" s="58"/>
      <c r="Z383" s="58"/>
      <c r="AA383" s="58"/>
      <c r="AB383" s="58"/>
      <c r="AC383" s="59"/>
      <c r="AD383" s="59"/>
    </row>
    <row r="384" spans="1:30" ht="12.75" customHeight="1" x14ac:dyDescent="0.2">
      <c r="A384" s="56"/>
      <c r="B384" s="56"/>
      <c r="C384" s="56"/>
      <c r="D384" s="57"/>
      <c r="E384" s="57"/>
      <c r="F384" s="56"/>
      <c r="G384" s="56"/>
      <c r="H384" s="56"/>
      <c r="I384" s="56"/>
      <c r="J384" s="56"/>
      <c r="K384" s="56"/>
      <c r="L384" s="56"/>
      <c r="M384" s="58"/>
      <c r="N384" s="58"/>
      <c r="O384" s="58"/>
      <c r="P384" s="58"/>
      <c r="Q384" s="58"/>
      <c r="R384" s="58"/>
      <c r="S384" s="58"/>
      <c r="T384" s="58"/>
      <c r="U384" s="58"/>
      <c r="V384" s="58"/>
      <c r="W384" s="58"/>
      <c r="X384" s="58"/>
      <c r="Y384" s="58"/>
      <c r="Z384" s="58"/>
      <c r="AA384" s="58"/>
      <c r="AB384" s="58"/>
      <c r="AC384" s="59"/>
      <c r="AD384" s="59"/>
    </row>
    <row r="385" spans="1:30" ht="12.75" customHeight="1" x14ac:dyDescent="0.2">
      <c r="A385" s="56"/>
      <c r="B385" s="56"/>
      <c r="C385" s="56"/>
      <c r="D385" s="57"/>
      <c r="E385" s="57"/>
      <c r="F385" s="56"/>
      <c r="G385" s="56"/>
      <c r="H385" s="56"/>
      <c r="I385" s="56"/>
      <c r="J385" s="56"/>
      <c r="K385" s="56"/>
      <c r="L385" s="56"/>
      <c r="M385" s="58"/>
      <c r="N385" s="58"/>
      <c r="O385" s="58"/>
      <c r="P385" s="58"/>
      <c r="Q385" s="58"/>
      <c r="R385" s="58"/>
      <c r="S385" s="58"/>
      <c r="T385" s="58"/>
      <c r="U385" s="58"/>
      <c r="V385" s="58"/>
      <c r="W385" s="58"/>
      <c r="X385" s="58"/>
      <c r="Y385" s="58"/>
      <c r="Z385" s="58"/>
      <c r="AA385" s="58"/>
      <c r="AB385" s="58"/>
      <c r="AC385" s="59"/>
      <c r="AD385" s="59"/>
    </row>
    <row r="386" spans="1:30" ht="12.75" customHeight="1" x14ac:dyDescent="0.2">
      <c r="A386" s="56"/>
      <c r="B386" s="56"/>
      <c r="C386" s="56"/>
      <c r="D386" s="57"/>
      <c r="E386" s="57"/>
      <c r="F386" s="56"/>
      <c r="G386" s="56"/>
      <c r="H386" s="56"/>
      <c r="I386" s="56"/>
      <c r="J386" s="56"/>
      <c r="K386" s="56"/>
      <c r="L386" s="56"/>
      <c r="M386" s="58"/>
      <c r="N386" s="58"/>
      <c r="O386" s="58"/>
      <c r="P386" s="58"/>
      <c r="Q386" s="58"/>
      <c r="R386" s="58"/>
      <c r="S386" s="58"/>
      <c r="T386" s="58"/>
      <c r="U386" s="58"/>
      <c r="V386" s="58"/>
      <c r="W386" s="58"/>
      <c r="X386" s="58"/>
      <c r="Y386" s="58"/>
      <c r="Z386" s="58"/>
      <c r="AA386" s="58"/>
      <c r="AB386" s="58"/>
      <c r="AC386" s="59"/>
      <c r="AD386" s="59"/>
    </row>
    <row r="387" spans="1:30" ht="12.75" customHeight="1" x14ac:dyDescent="0.2">
      <c r="A387" s="56"/>
      <c r="B387" s="56"/>
      <c r="C387" s="56"/>
      <c r="D387" s="57"/>
      <c r="E387" s="57"/>
      <c r="F387" s="56"/>
      <c r="G387" s="56"/>
      <c r="H387" s="56"/>
      <c r="I387" s="56"/>
      <c r="J387" s="56"/>
      <c r="K387" s="56"/>
      <c r="L387" s="56"/>
      <c r="M387" s="58"/>
      <c r="N387" s="58"/>
      <c r="O387" s="58"/>
      <c r="P387" s="58"/>
      <c r="Q387" s="58"/>
      <c r="R387" s="58"/>
      <c r="S387" s="58"/>
      <c r="T387" s="58"/>
      <c r="U387" s="58"/>
      <c r="V387" s="58"/>
      <c r="W387" s="58"/>
      <c r="X387" s="58"/>
      <c r="Y387" s="58"/>
      <c r="Z387" s="58"/>
      <c r="AA387" s="58"/>
      <c r="AB387" s="58"/>
      <c r="AC387" s="59"/>
      <c r="AD387" s="59"/>
    </row>
    <row r="388" spans="1:30" ht="12.75" customHeight="1" x14ac:dyDescent="0.2">
      <c r="A388" s="56"/>
      <c r="B388" s="56"/>
      <c r="C388" s="56"/>
      <c r="D388" s="57"/>
      <c r="E388" s="57"/>
      <c r="F388" s="56"/>
      <c r="G388" s="56"/>
      <c r="H388" s="56"/>
      <c r="I388" s="56"/>
      <c r="J388" s="56"/>
      <c r="K388" s="56"/>
      <c r="L388" s="56"/>
      <c r="M388" s="58"/>
      <c r="N388" s="58"/>
      <c r="O388" s="58"/>
      <c r="P388" s="58"/>
      <c r="Q388" s="58"/>
      <c r="R388" s="58"/>
      <c r="S388" s="58"/>
      <c r="T388" s="58"/>
      <c r="U388" s="58"/>
      <c r="V388" s="58"/>
      <c r="W388" s="58"/>
      <c r="X388" s="58"/>
      <c r="Y388" s="58"/>
      <c r="Z388" s="58"/>
      <c r="AA388" s="58"/>
      <c r="AB388" s="58"/>
      <c r="AC388" s="59"/>
      <c r="AD388" s="59"/>
    </row>
    <row r="389" spans="1:30" ht="12.75" customHeight="1" x14ac:dyDescent="0.2">
      <c r="A389" s="56"/>
      <c r="B389" s="56"/>
      <c r="C389" s="56"/>
      <c r="D389" s="57"/>
      <c r="E389" s="57"/>
      <c r="F389" s="56"/>
      <c r="G389" s="56"/>
      <c r="H389" s="56"/>
      <c r="I389" s="56"/>
      <c r="J389" s="56"/>
      <c r="K389" s="56"/>
      <c r="L389" s="56"/>
      <c r="M389" s="58"/>
      <c r="N389" s="58"/>
      <c r="O389" s="58"/>
      <c r="P389" s="58"/>
      <c r="Q389" s="58"/>
      <c r="R389" s="58"/>
      <c r="S389" s="58"/>
      <c r="T389" s="58"/>
      <c r="U389" s="58"/>
      <c r="V389" s="58"/>
      <c r="W389" s="58"/>
      <c r="X389" s="58"/>
      <c r="Y389" s="58"/>
      <c r="Z389" s="58"/>
      <c r="AA389" s="58"/>
      <c r="AB389" s="58"/>
      <c r="AC389" s="59"/>
      <c r="AD389" s="59"/>
    </row>
    <row r="390" spans="1:30" ht="12.75" customHeight="1" x14ac:dyDescent="0.2">
      <c r="A390" s="56"/>
      <c r="B390" s="56"/>
      <c r="C390" s="56"/>
      <c r="D390" s="57"/>
      <c r="E390" s="57"/>
      <c r="F390" s="56"/>
      <c r="G390" s="56"/>
      <c r="H390" s="56"/>
      <c r="I390" s="56"/>
      <c r="J390" s="56"/>
      <c r="K390" s="56"/>
      <c r="L390" s="56"/>
      <c r="M390" s="58"/>
      <c r="N390" s="58"/>
      <c r="O390" s="58"/>
      <c r="P390" s="58"/>
      <c r="Q390" s="58"/>
      <c r="R390" s="58"/>
      <c r="S390" s="58"/>
      <c r="T390" s="58"/>
      <c r="U390" s="58"/>
      <c r="V390" s="58"/>
      <c r="W390" s="58"/>
      <c r="X390" s="58"/>
      <c r="Y390" s="58"/>
      <c r="Z390" s="58"/>
      <c r="AA390" s="58"/>
      <c r="AB390" s="58"/>
      <c r="AC390" s="59"/>
      <c r="AD390" s="59"/>
    </row>
    <row r="391" spans="1:30" ht="12.75" customHeight="1" x14ac:dyDescent="0.2">
      <c r="A391" s="56"/>
      <c r="B391" s="56"/>
      <c r="C391" s="56"/>
      <c r="D391" s="57"/>
      <c r="E391" s="57"/>
      <c r="F391" s="56"/>
      <c r="G391" s="56"/>
      <c r="H391" s="56"/>
      <c r="I391" s="56"/>
      <c r="J391" s="56"/>
      <c r="K391" s="56"/>
      <c r="L391" s="56"/>
      <c r="M391" s="58"/>
      <c r="N391" s="58"/>
      <c r="O391" s="58"/>
      <c r="P391" s="58"/>
      <c r="Q391" s="58"/>
      <c r="R391" s="58"/>
      <c r="S391" s="58"/>
      <c r="T391" s="58"/>
      <c r="U391" s="58"/>
      <c r="V391" s="58"/>
      <c r="W391" s="58"/>
      <c r="X391" s="58"/>
      <c r="Y391" s="58"/>
      <c r="Z391" s="58"/>
      <c r="AA391" s="58"/>
      <c r="AB391" s="58"/>
      <c r="AC391" s="59"/>
      <c r="AD391" s="59"/>
    </row>
    <row r="392" spans="1:30" ht="12.75" customHeight="1" x14ac:dyDescent="0.2">
      <c r="A392" s="56"/>
      <c r="B392" s="56"/>
      <c r="C392" s="56"/>
      <c r="D392" s="57"/>
      <c r="E392" s="57"/>
      <c r="F392" s="56"/>
      <c r="G392" s="56"/>
      <c r="H392" s="56"/>
      <c r="I392" s="56"/>
      <c r="J392" s="56"/>
      <c r="K392" s="56"/>
      <c r="L392" s="56"/>
      <c r="M392" s="58"/>
      <c r="N392" s="58"/>
      <c r="O392" s="58"/>
      <c r="P392" s="58"/>
      <c r="Q392" s="58"/>
      <c r="R392" s="58"/>
      <c r="S392" s="58"/>
      <c r="T392" s="58"/>
      <c r="U392" s="58"/>
      <c r="V392" s="58"/>
      <c r="W392" s="58"/>
      <c r="X392" s="58"/>
      <c r="Y392" s="58"/>
      <c r="Z392" s="58"/>
      <c r="AA392" s="58"/>
      <c r="AB392" s="58"/>
      <c r="AC392" s="59"/>
      <c r="AD392" s="59"/>
    </row>
    <row r="393" spans="1:30" ht="12.75" customHeight="1" x14ac:dyDescent="0.2">
      <c r="A393" s="56"/>
      <c r="B393" s="56"/>
      <c r="C393" s="56"/>
      <c r="D393" s="57"/>
      <c r="E393" s="57"/>
      <c r="F393" s="56"/>
      <c r="G393" s="56"/>
      <c r="H393" s="56"/>
      <c r="I393" s="56"/>
      <c r="J393" s="56"/>
      <c r="K393" s="56"/>
      <c r="L393" s="56"/>
      <c r="M393" s="58"/>
      <c r="N393" s="58"/>
      <c r="O393" s="58"/>
      <c r="P393" s="58"/>
      <c r="Q393" s="58"/>
      <c r="R393" s="58"/>
      <c r="S393" s="58"/>
      <c r="T393" s="58"/>
      <c r="U393" s="58"/>
      <c r="V393" s="58"/>
      <c r="W393" s="58"/>
      <c r="X393" s="58"/>
      <c r="Y393" s="58"/>
      <c r="Z393" s="58"/>
      <c r="AA393" s="58"/>
      <c r="AB393" s="58"/>
      <c r="AC393" s="59"/>
      <c r="AD393" s="59"/>
    </row>
    <row r="394" spans="1:30" ht="12.75" customHeight="1" x14ac:dyDescent="0.2">
      <c r="A394" s="56"/>
      <c r="B394" s="56"/>
      <c r="C394" s="56"/>
      <c r="D394" s="57"/>
      <c r="E394" s="57"/>
      <c r="F394" s="56"/>
      <c r="G394" s="56"/>
      <c r="H394" s="56"/>
      <c r="I394" s="56"/>
      <c r="J394" s="56"/>
      <c r="K394" s="56"/>
      <c r="L394" s="56"/>
      <c r="M394" s="58"/>
      <c r="N394" s="58"/>
      <c r="O394" s="58"/>
      <c r="P394" s="58"/>
      <c r="Q394" s="58"/>
      <c r="R394" s="58"/>
      <c r="S394" s="58"/>
      <c r="T394" s="58"/>
      <c r="U394" s="58"/>
      <c r="V394" s="58"/>
      <c r="W394" s="58"/>
      <c r="X394" s="58"/>
      <c r="Y394" s="58"/>
      <c r="Z394" s="58"/>
      <c r="AA394" s="58"/>
      <c r="AB394" s="58"/>
      <c r="AC394" s="59"/>
      <c r="AD394" s="59"/>
    </row>
    <row r="395" spans="1:30" ht="12.75" customHeight="1" x14ac:dyDescent="0.2">
      <c r="A395" s="56"/>
      <c r="B395" s="56"/>
      <c r="C395" s="56"/>
      <c r="D395" s="57"/>
      <c r="E395" s="57"/>
      <c r="F395" s="56"/>
      <c r="G395" s="56"/>
      <c r="H395" s="56"/>
      <c r="I395" s="56"/>
      <c r="J395" s="56"/>
      <c r="K395" s="56"/>
      <c r="L395" s="56"/>
      <c r="M395" s="58"/>
      <c r="N395" s="58"/>
      <c r="O395" s="58"/>
      <c r="P395" s="58"/>
      <c r="Q395" s="58"/>
      <c r="R395" s="58"/>
      <c r="S395" s="58"/>
      <c r="T395" s="58"/>
      <c r="U395" s="58"/>
      <c r="V395" s="58"/>
      <c r="W395" s="58"/>
      <c r="X395" s="58"/>
      <c r="Y395" s="58"/>
      <c r="Z395" s="58"/>
      <c r="AA395" s="58"/>
      <c r="AB395" s="58"/>
      <c r="AC395" s="59"/>
      <c r="AD395" s="59"/>
    </row>
    <row r="396" spans="1:30" ht="12.75" customHeight="1" x14ac:dyDescent="0.2">
      <c r="A396" s="56"/>
      <c r="B396" s="56"/>
      <c r="C396" s="56"/>
      <c r="D396" s="57"/>
      <c r="E396" s="57"/>
      <c r="F396" s="56"/>
      <c r="G396" s="56"/>
      <c r="H396" s="56"/>
      <c r="I396" s="56"/>
      <c r="J396" s="56"/>
      <c r="K396" s="56"/>
      <c r="L396" s="56"/>
      <c r="M396" s="58"/>
      <c r="N396" s="58"/>
      <c r="O396" s="58"/>
      <c r="P396" s="58"/>
      <c r="Q396" s="58"/>
      <c r="R396" s="58"/>
      <c r="S396" s="58"/>
      <c r="T396" s="58"/>
      <c r="U396" s="58"/>
      <c r="V396" s="58"/>
      <c r="W396" s="58"/>
      <c r="X396" s="58"/>
      <c r="Y396" s="58"/>
      <c r="Z396" s="58"/>
      <c r="AA396" s="58"/>
      <c r="AB396" s="58"/>
      <c r="AC396" s="59"/>
      <c r="AD396" s="59"/>
    </row>
    <row r="397" spans="1:30" ht="12.75" customHeight="1" x14ac:dyDescent="0.2">
      <c r="A397" s="56"/>
      <c r="B397" s="56"/>
      <c r="C397" s="56"/>
      <c r="D397" s="57"/>
      <c r="E397" s="57"/>
      <c r="F397" s="56"/>
      <c r="G397" s="56"/>
      <c r="H397" s="56"/>
      <c r="I397" s="56"/>
      <c r="J397" s="56"/>
      <c r="K397" s="56"/>
      <c r="L397" s="56"/>
      <c r="M397" s="58"/>
      <c r="N397" s="58"/>
      <c r="O397" s="58"/>
      <c r="P397" s="58"/>
      <c r="Q397" s="58"/>
      <c r="R397" s="58"/>
      <c r="S397" s="58"/>
      <c r="T397" s="58"/>
      <c r="U397" s="58"/>
      <c r="V397" s="58"/>
      <c r="W397" s="58"/>
      <c r="X397" s="58"/>
      <c r="Y397" s="58"/>
      <c r="Z397" s="58"/>
      <c r="AA397" s="58"/>
      <c r="AB397" s="58"/>
      <c r="AC397" s="59"/>
      <c r="AD397" s="59"/>
    </row>
    <row r="398" spans="1:30" ht="12.75" customHeight="1" x14ac:dyDescent="0.2">
      <c r="A398" s="56"/>
      <c r="B398" s="56"/>
      <c r="C398" s="56"/>
      <c r="D398" s="57"/>
      <c r="E398" s="57"/>
      <c r="F398" s="56"/>
      <c r="G398" s="56"/>
      <c r="H398" s="56"/>
      <c r="I398" s="56"/>
      <c r="J398" s="56"/>
      <c r="K398" s="56"/>
      <c r="L398" s="56"/>
      <c r="M398" s="58"/>
      <c r="N398" s="58"/>
      <c r="O398" s="58"/>
      <c r="P398" s="58"/>
      <c r="Q398" s="58"/>
      <c r="R398" s="58"/>
      <c r="S398" s="58"/>
      <c r="T398" s="58"/>
      <c r="U398" s="58"/>
      <c r="V398" s="58"/>
      <c r="W398" s="58"/>
      <c r="X398" s="58"/>
      <c r="Y398" s="58"/>
      <c r="Z398" s="58"/>
      <c r="AA398" s="58"/>
      <c r="AB398" s="58"/>
      <c r="AC398" s="59"/>
      <c r="AD398" s="59"/>
    </row>
    <row r="399" spans="1:30" ht="12.75" customHeight="1" x14ac:dyDescent="0.2">
      <c r="A399" s="56"/>
      <c r="B399" s="56"/>
      <c r="C399" s="56"/>
      <c r="D399" s="57"/>
      <c r="E399" s="57"/>
      <c r="F399" s="56"/>
      <c r="G399" s="56"/>
      <c r="H399" s="56"/>
      <c r="I399" s="56"/>
      <c r="J399" s="56"/>
      <c r="K399" s="56"/>
      <c r="L399" s="56"/>
      <c r="M399" s="58"/>
      <c r="N399" s="58"/>
      <c r="O399" s="58"/>
      <c r="P399" s="58"/>
      <c r="Q399" s="58"/>
      <c r="R399" s="58"/>
      <c r="S399" s="58"/>
      <c r="T399" s="58"/>
      <c r="U399" s="58"/>
      <c r="V399" s="58"/>
      <c r="W399" s="58"/>
      <c r="X399" s="58"/>
      <c r="Y399" s="58"/>
      <c r="Z399" s="58"/>
      <c r="AA399" s="58"/>
      <c r="AB399" s="58"/>
      <c r="AC399" s="59"/>
      <c r="AD399" s="59"/>
    </row>
    <row r="400" spans="1:30" ht="12.75" customHeight="1" x14ac:dyDescent="0.2">
      <c r="A400" s="56"/>
      <c r="B400" s="56"/>
      <c r="C400" s="56"/>
      <c r="D400" s="57"/>
      <c r="E400" s="57"/>
      <c r="F400" s="56"/>
      <c r="G400" s="56"/>
      <c r="H400" s="56"/>
      <c r="I400" s="56"/>
      <c r="J400" s="56"/>
      <c r="K400" s="56"/>
      <c r="L400" s="56"/>
      <c r="M400" s="58"/>
      <c r="N400" s="58"/>
      <c r="O400" s="58"/>
      <c r="P400" s="58"/>
      <c r="Q400" s="58"/>
      <c r="R400" s="58"/>
      <c r="S400" s="58"/>
      <c r="T400" s="58"/>
      <c r="U400" s="58"/>
      <c r="V400" s="58"/>
      <c r="W400" s="58"/>
      <c r="X400" s="58"/>
      <c r="Y400" s="58"/>
      <c r="Z400" s="58"/>
      <c r="AA400" s="58"/>
      <c r="AB400" s="58"/>
      <c r="AC400" s="59"/>
      <c r="AD400" s="59"/>
    </row>
    <row r="401" spans="1:30" ht="12.75" customHeight="1" x14ac:dyDescent="0.2">
      <c r="A401" s="56"/>
      <c r="B401" s="56"/>
      <c r="C401" s="56"/>
      <c r="D401" s="57"/>
      <c r="E401" s="57"/>
      <c r="F401" s="56"/>
      <c r="G401" s="56"/>
      <c r="H401" s="56"/>
      <c r="I401" s="56"/>
      <c r="J401" s="56"/>
      <c r="K401" s="56"/>
      <c r="L401" s="56"/>
      <c r="M401" s="58"/>
      <c r="N401" s="58"/>
      <c r="O401" s="58"/>
      <c r="P401" s="58"/>
      <c r="Q401" s="58"/>
      <c r="R401" s="58"/>
      <c r="S401" s="58"/>
      <c r="T401" s="58"/>
      <c r="U401" s="58"/>
      <c r="V401" s="58"/>
      <c r="W401" s="58"/>
      <c r="X401" s="58"/>
      <c r="Y401" s="58"/>
      <c r="Z401" s="58"/>
      <c r="AA401" s="58"/>
      <c r="AB401" s="58"/>
      <c r="AC401" s="59"/>
      <c r="AD401" s="59"/>
    </row>
    <row r="402" spans="1:30" ht="12.75" customHeight="1" x14ac:dyDescent="0.2">
      <c r="A402" s="56"/>
      <c r="B402" s="56"/>
      <c r="C402" s="56"/>
      <c r="D402" s="57"/>
      <c r="E402" s="57"/>
      <c r="F402" s="56"/>
      <c r="G402" s="56"/>
      <c r="H402" s="56"/>
      <c r="I402" s="56"/>
      <c r="J402" s="56"/>
      <c r="K402" s="56"/>
      <c r="L402" s="56"/>
      <c r="M402" s="58"/>
      <c r="N402" s="58"/>
      <c r="O402" s="58"/>
      <c r="P402" s="58"/>
      <c r="Q402" s="58"/>
      <c r="R402" s="58"/>
      <c r="S402" s="58"/>
      <c r="T402" s="58"/>
      <c r="U402" s="58"/>
      <c r="V402" s="58"/>
      <c r="W402" s="58"/>
      <c r="X402" s="58"/>
      <c r="Y402" s="58"/>
      <c r="Z402" s="58"/>
      <c r="AA402" s="58"/>
      <c r="AB402" s="58"/>
      <c r="AC402" s="59"/>
      <c r="AD402" s="59"/>
    </row>
    <row r="403" spans="1:30" ht="12.75" customHeight="1" x14ac:dyDescent="0.2">
      <c r="A403" s="56"/>
      <c r="B403" s="56"/>
      <c r="C403" s="56"/>
      <c r="D403" s="57"/>
      <c r="E403" s="57"/>
      <c r="F403" s="56"/>
      <c r="G403" s="56"/>
      <c r="H403" s="56"/>
      <c r="I403" s="56"/>
      <c r="J403" s="56"/>
      <c r="K403" s="56"/>
      <c r="L403" s="56"/>
      <c r="M403" s="58"/>
      <c r="N403" s="58"/>
      <c r="O403" s="58"/>
      <c r="P403" s="58"/>
      <c r="Q403" s="58"/>
      <c r="R403" s="58"/>
      <c r="S403" s="58"/>
      <c r="T403" s="58"/>
      <c r="U403" s="58"/>
      <c r="V403" s="58"/>
      <c r="W403" s="58"/>
      <c r="X403" s="58"/>
      <c r="Y403" s="58"/>
      <c r="Z403" s="58"/>
      <c r="AA403" s="58"/>
      <c r="AB403" s="58"/>
      <c r="AC403" s="59"/>
      <c r="AD403" s="59"/>
    </row>
    <row r="404" spans="1:30" ht="12.75" customHeight="1" x14ac:dyDescent="0.2">
      <c r="A404" s="56"/>
      <c r="B404" s="56"/>
      <c r="C404" s="56"/>
      <c r="D404" s="57"/>
      <c r="E404" s="57"/>
      <c r="F404" s="56"/>
      <c r="G404" s="56"/>
      <c r="H404" s="56"/>
      <c r="I404" s="56"/>
      <c r="J404" s="56"/>
      <c r="K404" s="56"/>
      <c r="L404" s="56"/>
      <c r="M404" s="58"/>
      <c r="N404" s="58"/>
      <c r="O404" s="58"/>
      <c r="P404" s="58"/>
      <c r="Q404" s="58"/>
      <c r="R404" s="58"/>
      <c r="S404" s="58"/>
      <c r="T404" s="58"/>
      <c r="U404" s="58"/>
      <c r="V404" s="58"/>
      <c r="W404" s="58"/>
      <c r="X404" s="58"/>
      <c r="Y404" s="58"/>
      <c r="Z404" s="58"/>
      <c r="AA404" s="58"/>
      <c r="AB404" s="58"/>
      <c r="AC404" s="59"/>
      <c r="AD404" s="59"/>
    </row>
    <row r="405" spans="1:30" ht="12.75" customHeight="1" x14ac:dyDescent="0.2">
      <c r="A405" s="56"/>
      <c r="B405" s="56"/>
      <c r="C405" s="56"/>
      <c r="D405" s="57"/>
      <c r="E405" s="57"/>
      <c r="F405" s="56"/>
      <c r="G405" s="56"/>
      <c r="H405" s="56"/>
      <c r="I405" s="56"/>
      <c r="J405" s="56"/>
      <c r="K405" s="56"/>
      <c r="L405" s="56"/>
      <c r="M405" s="58"/>
      <c r="N405" s="58"/>
      <c r="O405" s="58"/>
      <c r="P405" s="58"/>
      <c r="Q405" s="58"/>
      <c r="R405" s="58"/>
      <c r="S405" s="58"/>
      <c r="T405" s="58"/>
      <c r="U405" s="58"/>
      <c r="V405" s="58"/>
      <c r="W405" s="58"/>
      <c r="X405" s="58"/>
      <c r="Y405" s="58"/>
      <c r="Z405" s="58"/>
      <c r="AA405" s="58"/>
      <c r="AB405" s="58"/>
      <c r="AC405" s="59"/>
      <c r="AD405" s="59"/>
    </row>
    <row r="406" spans="1:30" ht="12.75" customHeight="1" x14ac:dyDescent="0.2">
      <c r="A406" s="56"/>
      <c r="B406" s="56"/>
      <c r="C406" s="56"/>
      <c r="D406" s="57"/>
      <c r="E406" s="57"/>
      <c r="F406" s="56"/>
      <c r="G406" s="56"/>
      <c r="H406" s="56"/>
      <c r="I406" s="56"/>
      <c r="J406" s="56"/>
      <c r="K406" s="56"/>
      <c r="L406" s="56"/>
      <c r="M406" s="58"/>
      <c r="N406" s="58"/>
      <c r="O406" s="58"/>
      <c r="P406" s="58"/>
      <c r="Q406" s="58"/>
      <c r="R406" s="58"/>
      <c r="S406" s="58"/>
      <c r="T406" s="58"/>
      <c r="U406" s="58"/>
      <c r="V406" s="58"/>
      <c r="W406" s="58"/>
      <c r="X406" s="58"/>
      <c r="Y406" s="58"/>
      <c r="Z406" s="58"/>
      <c r="AA406" s="58"/>
      <c r="AB406" s="58"/>
      <c r="AC406" s="59"/>
      <c r="AD406" s="59"/>
    </row>
    <row r="407" spans="1:30" ht="12.75" customHeight="1" x14ac:dyDescent="0.2">
      <c r="A407" s="56"/>
      <c r="B407" s="56"/>
      <c r="C407" s="56"/>
      <c r="D407" s="57"/>
      <c r="E407" s="57"/>
      <c r="F407" s="56"/>
      <c r="G407" s="56"/>
      <c r="H407" s="56"/>
      <c r="I407" s="56"/>
      <c r="J407" s="56"/>
      <c r="K407" s="56"/>
      <c r="L407" s="56"/>
      <c r="M407" s="58"/>
      <c r="N407" s="58"/>
      <c r="O407" s="58"/>
      <c r="P407" s="58"/>
      <c r="Q407" s="58"/>
      <c r="R407" s="58"/>
      <c r="S407" s="58"/>
      <c r="T407" s="58"/>
      <c r="U407" s="58"/>
      <c r="V407" s="58"/>
      <c r="W407" s="58"/>
      <c r="X407" s="58"/>
      <c r="Y407" s="58"/>
      <c r="Z407" s="58"/>
      <c r="AA407" s="58"/>
      <c r="AB407" s="58"/>
      <c r="AC407" s="59"/>
      <c r="AD407" s="59"/>
    </row>
    <row r="408" spans="1:30" ht="12.75" customHeight="1" x14ac:dyDescent="0.2">
      <c r="A408" s="56"/>
      <c r="B408" s="56"/>
      <c r="C408" s="56"/>
      <c r="D408" s="57"/>
      <c r="E408" s="57"/>
      <c r="F408" s="56"/>
      <c r="G408" s="56"/>
      <c r="H408" s="56"/>
      <c r="I408" s="56"/>
      <c r="J408" s="56"/>
      <c r="K408" s="56"/>
      <c r="L408" s="56"/>
      <c r="M408" s="58"/>
      <c r="N408" s="58"/>
      <c r="O408" s="58"/>
      <c r="P408" s="58"/>
      <c r="Q408" s="58"/>
      <c r="R408" s="58"/>
      <c r="S408" s="58"/>
      <c r="T408" s="58"/>
      <c r="U408" s="58"/>
      <c r="V408" s="58"/>
      <c r="W408" s="58"/>
      <c r="X408" s="58"/>
      <c r="Y408" s="58"/>
      <c r="Z408" s="58"/>
      <c r="AA408" s="58"/>
      <c r="AB408" s="58"/>
      <c r="AC408" s="59"/>
      <c r="AD408" s="59"/>
    </row>
    <row r="409" spans="1:30" ht="12.75" customHeight="1" x14ac:dyDescent="0.2">
      <c r="A409" s="56"/>
      <c r="B409" s="56"/>
      <c r="C409" s="56"/>
      <c r="D409" s="57"/>
      <c r="E409" s="57"/>
      <c r="F409" s="56"/>
      <c r="G409" s="56"/>
      <c r="H409" s="56"/>
      <c r="I409" s="56"/>
      <c r="J409" s="56"/>
      <c r="K409" s="56"/>
      <c r="L409" s="56"/>
      <c r="M409" s="58"/>
      <c r="N409" s="58"/>
      <c r="O409" s="58"/>
      <c r="P409" s="58"/>
      <c r="Q409" s="58"/>
      <c r="R409" s="58"/>
      <c r="S409" s="58"/>
      <c r="T409" s="58"/>
      <c r="U409" s="58"/>
      <c r="V409" s="58"/>
      <c r="W409" s="58"/>
      <c r="X409" s="58"/>
      <c r="Y409" s="58"/>
      <c r="Z409" s="58"/>
      <c r="AA409" s="58"/>
      <c r="AB409" s="58"/>
      <c r="AC409" s="59"/>
      <c r="AD409" s="59"/>
    </row>
    <row r="410" spans="1:30" ht="12.75" customHeight="1" x14ac:dyDescent="0.2">
      <c r="A410" s="56"/>
      <c r="B410" s="56"/>
      <c r="C410" s="56"/>
      <c r="D410" s="57"/>
      <c r="E410" s="57"/>
      <c r="F410" s="56"/>
      <c r="G410" s="56"/>
      <c r="H410" s="56"/>
      <c r="I410" s="56"/>
      <c r="J410" s="56"/>
      <c r="K410" s="56"/>
      <c r="L410" s="56"/>
      <c r="M410" s="58"/>
      <c r="N410" s="58"/>
      <c r="O410" s="58"/>
      <c r="P410" s="58"/>
      <c r="Q410" s="58"/>
      <c r="R410" s="58"/>
      <c r="S410" s="58"/>
      <c r="T410" s="58"/>
      <c r="U410" s="58"/>
      <c r="V410" s="58"/>
      <c r="W410" s="58"/>
      <c r="X410" s="58"/>
      <c r="Y410" s="58"/>
      <c r="Z410" s="58"/>
      <c r="AA410" s="58"/>
      <c r="AB410" s="58"/>
      <c r="AC410" s="59"/>
      <c r="AD410" s="59"/>
    </row>
    <row r="411" spans="1:30" ht="12.75" customHeight="1" x14ac:dyDescent="0.2">
      <c r="A411" s="56"/>
      <c r="B411" s="56"/>
      <c r="C411" s="56"/>
      <c r="D411" s="57"/>
      <c r="E411" s="57"/>
      <c r="F411" s="56"/>
      <c r="G411" s="56"/>
      <c r="H411" s="56"/>
      <c r="I411" s="56"/>
      <c r="J411" s="56"/>
      <c r="K411" s="56"/>
      <c r="L411" s="56"/>
      <c r="M411" s="58"/>
      <c r="N411" s="58"/>
      <c r="O411" s="58"/>
      <c r="P411" s="58"/>
      <c r="Q411" s="58"/>
      <c r="R411" s="58"/>
      <c r="S411" s="58"/>
      <c r="T411" s="58"/>
      <c r="U411" s="58"/>
      <c r="V411" s="58"/>
      <c r="W411" s="58"/>
      <c r="X411" s="58"/>
      <c r="Y411" s="58"/>
      <c r="Z411" s="58"/>
      <c r="AA411" s="58"/>
      <c r="AB411" s="58"/>
      <c r="AC411" s="59"/>
      <c r="AD411" s="59"/>
    </row>
    <row r="412" spans="1:30" ht="12.75" customHeight="1" x14ac:dyDescent="0.2">
      <c r="A412" s="56"/>
      <c r="B412" s="56"/>
      <c r="C412" s="56"/>
      <c r="D412" s="57"/>
      <c r="E412" s="57"/>
      <c r="F412" s="56"/>
      <c r="G412" s="56"/>
      <c r="H412" s="56"/>
      <c r="I412" s="56"/>
      <c r="J412" s="56"/>
      <c r="K412" s="56"/>
      <c r="L412" s="56"/>
      <c r="M412" s="58"/>
      <c r="N412" s="58"/>
      <c r="O412" s="58"/>
      <c r="P412" s="58"/>
      <c r="Q412" s="58"/>
      <c r="R412" s="58"/>
      <c r="S412" s="58"/>
      <c r="T412" s="58"/>
      <c r="U412" s="58"/>
      <c r="V412" s="58"/>
      <c r="W412" s="58"/>
      <c r="X412" s="58"/>
      <c r="Y412" s="58"/>
      <c r="Z412" s="58"/>
      <c r="AA412" s="58"/>
      <c r="AB412" s="58"/>
      <c r="AC412" s="59"/>
      <c r="AD412" s="59"/>
    </row>
    <row r="413" spans="1:30" ht="12.75" customHeight="1" x14ac:dyDescent="0.2">
      <c r="A413" s="56"/>
      <c r="B413" s="56"/>
      <c r="C413" s="56"/>
      <c r="D413" s="57"/>
      <c r="E413" s="57"/>
      <c r="F413" s="56"/>
      <c r="G413" s="56"/>
      <c r="H413" s="56"/>
      <c r="I413" s="56"/>
      <c r="J413" s="56"/>
      <c r="K413" s="56"/>
      <c r="L413" s="56"/>
      <c r="M413" s="58"/>
      <c r="N413" s="58"/>
      <c r="O413" s="58"/>
      <c r="P413" s="58"/>
      <c r="Q413" s="58"/>
      <c r="R413" s="58"/>
      <c r="S413" s="58"/>
      <c r="T413" s="58"/>
      <c r="U413" s="58"/>
      <c r="V413" s="58"/>
      <c r="W413" s="58"/>
      <c r="X413" s="58"/>
      <c r="Y413" s="58"/>
      <c r="Z413" s="58"/>
      <c r="AA413" s="58"/>
      <c r="AB413" s="58"/>
      <c r="AC413" s="59"/>
      <c r="AD413" s="59"/>
    </row>
    <row r="414" spans="1:30" ht="12.75" customHeight="1" x14ac:dyDescent="0.2">
      <c r="A414" s="56"/>
      <c r="B414" s="56"/>
      <c r="C414" s="56"/>
      <c r="D414" s="57"/>
      <c r="E414" s="57"/>
      <c r="F414" s="56"/>
      <c r="G414" s="56"/>
      <c r="H414" s="56"/>
      <c r="I414" s="56"/>
      <c r="J414" s="56"/>
      <c r="K414" s="56"/>
      <c r="L414" s="56"/>
      <c r="M414" s="58"/>
      <c r="N414" s="58"/>
      <c r="O414" s="58"/>
      <c r="P414" s="58"/>
      <c r="Q414" s="58"/>
      <c r="R414" s="58"/>
      <c r="S414" s="58"/>
      <c r="T414" s="58"/>
      <c r="U414" s="58"/>
      <c r="V414" s="58"/>
      <c r="W414" s="58"/>
      <c r="X414" s="58"/>
      <c r="Y414" s="58"/>
      <c r="Z414" s="58"/>
      <c r="AA414" s="58"/>
      <c r="AB414" s="58"/>
      <c r="AC414" s="59"/>
      <c r="AD414" s="59"/>
    </row>
    <row r="415" spans="1:30" ht="12.75" customHeight="1" x14ac:dyDescent="0.2">
      <c r="A415" s="56"/>
      <c r="B415" s="56"/>
      <c r="C415" s="56"/>
      <c r="D415" s="57"/>
      <c r="E415" s="57"/>
      <c r="F415" s="56"/>
      <c r="G415" s="56"/>
      <c r="H415" s="56"/>
      <c r="I415" s="56"/>
      <c r="J415" s="56"/>
      <c r="K415" s="56"/>
      <c r="L415" s="56"/>
      <c r="M415" s="58"/>
      <c r="N415" s="58"/>
      <c r="O415" s="58"/>
      <c r="P415" s="58"/>
      <c r="Q415" s="58"/>
      <c r="R415" s="58"/>
      <c r="S415" s="58"/>
      <c r="T415" s="58"/>
      <c r="U415" s="58"/>
      <c r="V415" s="58"/>
      <c r="W415" s="58"/>
      <c r="X415" s="58"/>
      <c r="Y415" s="58"/>
      <c r="Z415" s="58"/>
      <c r="AA415" s="58"/>
      <c r="AB415" s="58"/>
      <c r="AC415" s="59"/>
      <c r="AD415" s="59"/>
    </row>
    <row r="416" spans="1:30" ht="12.75" customHeight="1" x14ac:dyDescent="0.2">
      <c r="A416" s="56"/>
      <c r="B416" s="56"/>
      <c r="C416" s="56"/>
      <c r="D416" s="57"/>
      <c r="E416" s="57"/>
      <c r="F416" s="56"/>
      <c r="G416" s="56"/>
      <c r="H416" s="56"/>
      <c r="I416" s="56"/>
      <c r="J416" s="56"/>
      <c r="K416" s="56"/>
      <c r="L416" s="56"/>
      <c r="M416" s="58"/>
      <c r="N416" s="58"/>
      <c r="O416" s="58"/>
      <c r="P416" s="58"/>
      <c r="Q416" s="58"/>
      <c r="R416" s="58"/>
      <c r="S416" s="58"/>
      <c r="T416" s="58"/>
      <c r="U416" s="58"/>
      <c r="V416" s="58"/>
      <c r="W416" s="58"/>
      <c r="X416" s="58"/>
      <c r="Y416" s="58"/>
      <c r="Z416" s="58"/>
      <c r="AA416" s="58"/>
      <c r="AB416" s="58"/>
      <c r="AC416" s="59"/>
      <c r="AD416" s="59"/>
    </row>
    <row r="417" spans="1:30" ht="12.75" customHeight="1" x14ac:dyDescent="0.2">
      <c r="A417" s="56"/>
      <c r="B417" s="56"/>
      <c r="C417" s="56"/>
      <c r="D417" s="57"/>
      <c r="E417" s="57"/>
      <c r="F417" s="56"/>
      <c r="G417" s="56"/>
      <c r="H417" s="56"/>
      <c r="I417" s="56"/>
      <c r="J417" s="56"/>
      <c r="K417" s="56"/>
      <c r="L417" s="56"/>
      <c r="M417" s="58"/>
      <c r="N417" s="58"/>
      <c r="O417" s="58"/>
      <c r="P417" s="58"/>
      <c r="Q417" s="58"/>
      <c r="R417" s="58"/>
      <c r="S417" s="58"/>
      <c r="T417" s="58"/>
      <c r="U417" s="58"/>
      <c r="V417" s="58"/>
      <c r="W417" s="58"/>
      <c r="X417" s="58"/>
      <c r="Y417" s="58"/>
      <c r="Z417" s="58"/>
      <c r="AA417" s="58"/>
      <c r="AB417" s="58"/>
      <c r="AC417" s="59"/>
      <c r="AD417" s="59"/>
    </row>
    <row r="418" spans="1:30" ht="12.75" customHeight="1" x14ac:dyDescent="0.2">
      <c r="A418" s="56"/>
      <c r="B418" s="56"/>
      <c r="C418" s="56"/>
      <c r="D418" s="57"/>
      <c r="E418" s="57"/>
      <c r="F418" s="56"/>
      <c r="G418" s="56"/>
      <c r="H418" s="56"/>
      <c r="I418" s="56"/>
      <c r="J418" s="56"/>
      <c r="K418" s="56"/>
      <c r="L418" s="56"/>
      <c r="M418" s="58"/>
      <c r="N418" s="58"/>
      <c r="O418" s="58"/>
      <c r="P418" s="58"/>
      <c r="Q418" s="58"/>
      <c r="R418" s="58"/>
      <c r="S418" s="58"/>
      <c r="T418" s="58"/>
      <c r="U418" s="58"/>
      <c r="V418" s="58"/>
      <c r="W418" s="58"/>
      <c r="X418" s="58"/>
      <c r="Y418" s="58"/>
      <c r="Z418" s="58"/>
      <c r="AA418" s="58"/>
      <c r="AB418" s="58"/>
      <c r="AC418" s="59"/>
      <c r="AD418" s="59"/>
    </row>
    <row r="419" spans="1:30" ht="12.75" customHeight="1" x14ac:dyDescent="0.2">
      <c r="A419" s="56"/>
      <c r="B419" s="56"/>
      <c r="C419" s="56"/>
      <c r="D419" s="57"/>
      <c r="E419" s="57"/>
      <c r="F419" s="56"/>
      <c r="G419" s="56"/>
      <c r="H419" s="56"/>
      <c r="I419" s="56"/>
      <c r="J419" s="56"/>
      <c r="K419" s="56"/>
      <c r="L419" s="56"/>
      <c r="M419" s="58"/>
      <c r="N419" s="58"/>
      <c r="O419" s="58"/>
      <c r="P419" s="58"/>
      <c r="Q419" s="58"/>
      <c r="R419" s="58"/>
      <c r="S419" s="58"/>
      <c r="T419" s="58"/>
      <c r="U419" s="58"/>
      <c r="V419" s="58"/>
      <c r="W419" s="58"/>
      <c r="X419" s="58"/>
      <c r="Y419" s="58"/>
      <c r="Z419" s="58"/>
      <c r="AA419" s="58"/>
      <c r="AB419" s="58"/>
      <c r="AC419" s="59"/>
      <c r="AD419" s="59"/>
    </row>
    <row r="420" spans="1:30" ht="12.75" customHeight="1" x14ac:dyDescent="0.2">
      <c r="A420" s="56"/>
      <c r="B420" s="56"/>
      <c r="C420" s="56"/>
      <c r="D420" s="57"/>
      <c r="E420" s="57"/>
      <c r="F420" s="56"/>
      <c r="G420" s="56"/>
      <c r="H420" s="56"/>
      <c r="I420" s="56"/>
      <c r="J420" s="56"/>
      <c r="K420" s="56"/>
      <c r="L420" s="56"/>
      <c r="M420" s="58"/>
      <c r="N420" s="58"/>
      <c r="O420" s="58"/>
      <c r="P420" s="58"/>
      <c r="Q420" s="58"/>
      <c r="R420" s="58"/>
      <c r="S420" s="58"/>
      <c r="T420" s="58"/>
      <c r="U420" s="58"/>
      <c r="V420" s="58"/>
      <c r="W420" s="58"/>
      <c r="X420" s="58"/>
      <c r="Y420" s="58"/>
      <c r="Z420" s="58"/>
      <c r="AA420" s="58"/>
      <c r="AB420" s="58"/>
      <c r="AC420" s="59"/>
      <c r="AD420" s="59"/>
    </row>
    <row r="421" spans="1:30" ht="12.75" customHeight="1" x14ac:dyDescent="0.2">
      <c r="A421" s="56"/>
      <c r="B421" s="56"/>
      <c r="C421" s="56"/>
      <c r="D421" s="57"/>
      <c r="E421" s="57"/>
      <c r="F421" s="56"/>
      <c r="G421" s="56"/>
      <c r="H421" s="56"/>
      <c r="I421" s="56"/>
      <c r="J421" s="56"/>
      <c r="K421" s="56"/>
      <c r="L421" s="56"/>
      <c r="M421" s="58"/>
      <c r="N421" s="58"/>
      <c r="O421" s="58"/>
      <c r="P421" s="58"/>
      <c r="Q421" s="58"/>
      <c r="R421" s="58"/>
      <c r="S421" s="58"/>
      <c r="T421" s="58"/>
      <c r="U421" s="58"/>
      <c r="V421" s="58"/>
      <c r="W421" s="58"/>
      <c r="X421" s="58"/>
      <c r="Y421" s="58"/>
      <c r="Z421" s="58"/>
      <c r="AA421" s="58"/>
      <c r="AB421" s="58"/>
      <c r="AC421" s="59"/>
      <c r="AD421" s="59"/>
    </row>
    <row r="422" spans="1:30" ht="12.75" customHeight="1" x14ac:dyDescent="0.2">
      <c r="A422" s="56"/>
      <c r="B422" s="56"/>
      <c r="C422" s="56"/>
      <c r="D422" s="57"/>
      <c r="E422" s="57"/>
      <c r="F422" s="56"/>
      <c r="G422" s="56"/>
      <c r="H422" s="56"/>
      <c r="I422" s="56"/>
      <c r="J422" s="56"/>
      <c r="K422" s="56"/>
      <c r="L422" s="56"/>
      <c r="M422" s="58"/>
      <c r="N422" s="58"/>
      <c r="O422" s="58"/>
      <c r="P422" s="58"/>
      <c r="Q422" s="58"/>
      <c r="R422" s="58"/>
      <c r="S422" s="58"/>
      <c r="T422" s="58"/>
      <c r="U422" s="58"/>
      <c r="V422" s="58"/>
      <c r="W422" s="58"/>
      <c r="X422" s="58"/>
      <c r="Y422" s="58"/>
      <c r="Z422" s="58"/>
      <c r="AA422" s="58"/>
      <c r="AB422" s="58"/>
      <c r="AC422" s="59"/>
      <c r="AD422" s="59"/>
    </row>
    <row r="423" spans="1:30" ht="12.75" customHeight="1" x14ac:dyDescent="0.2">
      <c r="A423" s="56"/>
      <c r="B423" s="56"/>
      <c r="C423" s="56"/>
      <c r="D423" s="57"/>
      <c r="E423" s="57"/>
      <c r="F423" s="56"/>
      <c r="G423" s="56"/>
      <c r="H423" s="56"/>
      <c r="I423" s="56"/>
      <c r="J423" s="56"/>
      <c r="K423" s="56"/>
      <c r="L423" s="56"/>
      <c r="M423" s="58"/>
      <c r="N423" s="58"/>
      <c r="O423" s="58"/>
      <c r="P423" s="58"/>
      <c r="Q423" s="58"/>
      <c r="R423" s="58"/>
      <c r="S423" s="58"/>
      <c r="T423" s="58"/>
      <c r="U423" s="58"/>
      <c r="V423" s="58"/>
      <c r="W423" s="58"/>
      <c r="X423" s="58"/>
      <c r="Y423" s="58"/>
      <c r="Z423" s="58"/>
      <c r="AA423" s="58"/>
      <c r="AB423" s="58"/>
      <c r="AC423" s="59"/>
      <c r="AD423" s="59"/>
    </row>
    <row r="424" spans="1:30" ht="12.75" customHeight="1" x14ac:dyDescent="0.2">
      <c r="A424" s="56"/>
      <c r="B424" s="56"/>
      <c r="C424" s="56"/>
      <c r="D424" s="57"/>
      <c r="E424" s="57"/>
      <c r="F424" s="56"/>
      <c r="G424" s="56"/>
      <c r="H424" s="56"/>
      <c r="I424" s="56"/>
      <c r="J424" s="56"/>
      <c r="K424" s="56"/>
      <c r="L424" s="56"/>
      <c r="M424" s="58"/>
      <c r="N424" s="58"/>
      <c r="O424" s="58"/>
      <c r="P424" s="58"/>
      <c r="Q424" s="58"/>
      <c r="R424" s="58"/>
      <c r="S424" s="58"/>
      <c r="T424" s="58"/>
      <c r="U424" s="58"/>
      <c r="V424" s="58"/>
      <c r="W424" s="58"/>
      <c r="X424" s="58"/>
      <c r="Y424" s="58"/>
      <c r="Z424" s="58"/>
      <c r="AA424" s="58"/>
      <c r="AB424" s="58"/>
      <c r="AC424" s="59"/>
      <c r="AD424" s="59"/>
    </row>
    <row r="425" spans="1:30" ht="12.75" customHeight="1" x14ac:dyDescent="0.2">
      <c r="A425" s="56"/>
      <c r="B425" s="56"/>
      <c r="C425" s="56"/>
      <c r="D425" s="57"/>
      <c r="E425" s="57"/>
      <c r="F425" s="56"/>
      <c r="G425" s="56"/>
      <c r="H425" s="56"/>
      <c r="I425" s="56"/>
      <c r="J425" s="56"/>
      <c r="K425" s="56"/>
      <c r="L425" s="56"/>
      <c r="M425" s="58"/>
      <c r="N425" s="58"/>
      <c r="O425" s="58"/>
      <c r="P425" s="58"/>
      <c r="Q425" s="58"/>
      <c r="R425" s="58"/>
      <c r="S425" s="58"/>
      <c r="T425" s="58"/>
      <c r="U425" s="58"/>
      <c r="V425" s="58"/>
      <c r="W425" s="58"/>
      <c r="X425" s="58"/>
      <c r="Y425" s="58"/>
      <c r="Z425" s="58"/>
      <c r="AA425" s="58"/>
      <c r="AB425" s="58"/>
      <c r="AC425" s="59"/>
      <c r="AD425" s="59"/>
    </row>
    <row r="426" spans="1:30" ht="12.75" customHeight="1" x14ac:dyDescent="0.2">
      <c r="A426" s="56"/>
      <c r="B426" s="56"/>
      <c r="C426" s="56"/>
      <c r="D426" s="57"/>
      <c r="E426" s="57"/>
      <c r="F426" s="56"/>
      <c r="G426" s="56"/>
      <c r="H426" s="56"/>
      <c r="I426" s="56"/>
      <c r="J426" s="56"/>
      <c r="K426" s="56"/>
      <c r="L426" s="56"/>
      <c r="M426" s="58"/>
      <c r="N426" s="58"/>
      <c r="O426" s="58"/>
      <c r="P426" s="58"/>
      <c r="Q426" s="58"/>
      <c r="R426" s="58"/>
      <c r="S426" s="58"/>
      <c r="T426" s="58"/>
      <c r="U426" s="58"/>
      <c r="V426" s="58"/>
      <c r="W426" s="58"/>
      <c r="X426" s="58"/>
      <c r="Y426" s="58"/>
      <c r="Z426" s="58"/>
      <c r="AA426" s="58"/>
      <c r="AB426" s="58"/>
      <c r="AC426" s="59"/>
      <c r="AD426" s="59"/>
    </row>
    <row r="427" spans="1:30" ht="12.75" customHeight="1" x14ac:dyDescent="0.2">
      <c r="A427" s="56"/>
      <c r="B427" s="56"/>
      <c r="C427" s="56"/>
      <c r="D427" s="57"/>
      <c r="E427" s="57"/>
      <c r="F427" s="56"/>
      <c r="G427" s="56"/>
      <c r="H427" s="56"/>
      <c r="I427" s="56"/>
      <c r="J427" s="56"/>
      <c r="K427" s="56"/>
      <c r="L427" s="56"/>
      <c r="M427" s="58"/>
      <c r="N427" s="58"/>
      <c r="O427" s="58"/>
      <c r="P427" s="58"/>
      <c r="Q427" s="58"/>
      <c r="R427" s="58"/>
      <c r="S427" s="58"/>
      <c r="T427" s="58"/>
      <c r="U427" s="58"/>
      <c r="V427" s="58"/>
      <c r="W427" s="58"/>
      <c r="X427" s="58"/>
      <c r="Y427" s="58"/>
      <c r="Z427" s="58"/>
      <c r="AA427" s="58"/>
      <c r="AB427" s="58"/>
      <c r="AC427" s="59"/>
      <c r="AD427" s="59"/>
    </row>
    <row r="428" spans="1:30" ht="12.75" customHeight="1" x14ac:dyDescent="0.2">
      <c r="A428" s="56"/>
      <c r="B428" s="56"/>
      <c r="C428" s="56"/>
      <c r="D428" s="57"/>
      <c r="E428" s="57"/>
      <c r="F428" s="56"/>
      <c r="G428" s="56"/>
      <c r="H428" s="56"/>
      <c r="I428" s="56"/>
      <c r="J428" s="56"/>
      <c r="K428" s="56"/>
      <c r="L428" s="56"/>
      <c r="M428" s="58"/>
      <c r="N428" s="58"/>
      <c r="O428" s="58"/>
      <c r="P428" s="58"/>
      <c r="Q428" s="58"/>
      <c r="R428" s="58"/>
      <c r="S428" s="58"/>
      <c r="T428" s="58"/>
      <c r="U428" s="58"/>
      <c r="V428" s="58"/>
      <c r="W428" s="58"/>
      <c r="X428" s="58"/>
      <c r="Y428" s="58"/>
      <c r="Z428" s="58"/>
      <c r="AA428" s="58"/>
      <c r="AB428" s="58"/>
      <c r="AC428" s="59"/>
      <c r="AD428" s="59"/>
    </row>
    <row r="429" spans="1:30" ht="12.75" customHeight="1" x14ac:dyDescent="0.2">
      <c r="A429" s="56"/>
      <c r="B429" s="56"/>
      <c r="C429" s="56"/>
      <c r="D429" s="57"/>
      <c r="E429" s="57"/>
      <c r="F429" s="56"/>
      <c r="G429" s="56"/>
      <c r="H429" s="56"/>
      <c r="I429" s="56"/>
      <c r="J429" s="56"/>
      <c r="K429" s="56"/>
      <c r="L429" s="56"/>
      <c r="M429" s="58"/>
      <c r="N429" s="58"/>
      <c r="O429" s="58"/>
      <c r="P429" s="58"/>
      <c r="Q429" s="58"/>
      <c r="R429" s="58"/>
      <c r="S429" s="58"/>
      <c r="T429" s="58"/>
      <c r="U429" s="58"/>
      <c r="V429" s="58"/>
      <c r="W429" s="58"/>
      <c r="X429" s="58"/>
      <c r="Y429" s="58"/>
      <c r="Z429" s="58"/>
      <c r="AA429" s="58"/>
      <c r="AB429" s="58"/>
      <c r="AC429" s="59"/>
      <c r="AD429" s="59"/>
    </row>
    <row r="430" spans="1:30" ht="12.75" customHeight="1" x14ac:dyDescent="0.2">
      <c r="A430" s="56"/>
      <c r="B430" s="56"/>
      <c r="C430" s="56"/>
      <c r="D430" s="57"/>
      <c r="E430" s="57"/>
      <c r="F430" s="56"/>
      <c r="G430" s="56"/>
      <c r="H430" s="56"/>
      <c r="I430" s="56"/>
      <c r="J430" s="56"/>
      <c r="K430" s="56"/>
      <c r="L430" s="56"/>
      <c r="M430" s="58"/>
      <c r="N430" s="58"/>
      <c r="O430" s="58"/>
      <c r="P430" s="58"/>
      <c r="Q430" s="58"/>
      <c r="R430" s="58"/>
      <c r="S430" s="58"/>
      <c r="T430" s="58"/>
      <c r="U430" s="58"/>
      <c r="V430" s="58"/>
      <c r="W430" s="58"/>
      <c r="X430" s="58"/>
      <c r="Y430" s="58"/>
      <c r="Z430" s="58"/>
      <c r="AA430" s="58"/>
      <c r="AB430" s="58"/>
      <c r="AC430" s="59"/>
      <c r="AD430" s="59"/>
    </row>
    <row r="431" spans="1:30" ht="12.75" customHeight="1" x14ac:dyDescent="0.2">
      <c r="A431" s="56"/>
      <c r="B431" s="56"/>
      <c r="C431" s="56"/>
      <c r="D431" s="57"/>
      <c r="E431" s="57"/>
      <c r="F431" s="56"/>
      <c r="G431" s="56"/>
      <c r="H431" s="56"/>
      <c r="I431" s="56"/>
      <c r="J431" s="56"/>
      <c r="K431" s="56"/>
      <c r="L431" s="56"/>
      <c r="M431" s="58"/>
      <c r="N431" s="58"/>
      <c r="O431" s="58"/>
      <c r="P431" s="58"/>
      <c r="Q431" s="58"/>
      <c r="R431" s="58"/>
      <c r="S431" s="58"/>
      <c r="T431" s="58"/>
      <c r="U431" s="58"/>
      <c r="V431" s="58"/>
      <c r="W431" s="58"/>
      <c r="X431" s="58"/>
      <c r="Y431" s="58"/>
      <c r="Z431" s="58"/>
      <c r="AA431" s="58"/>
      <c r="AB431" s="58"/>
      <c r="AC431" s="59"/>
      <c r="AD431" s="59"/>
    </row>
    <row r="432" spans="1:30" ht="12.75" customHeight="1" x14ac:dyDescent="0.2">
      <c r="A432" s="56"/>
      <c r="B432" s="56"/>
      <c r="C432" s="56"/>
      <c r="D432" s="57"/>
      <c r="E432" s="57"/>
      <c r="F432" s="56"/>
      <c r="G432" s="56"/>
      <c r="H432" s="56"/>
      <c r="I432" s="56"/>
      <c r="J432" s="56"/>
      <c r="K432" s="56"/>
      <c r="L432" s="56"/>
      <c r="M432" s="58"/>
      <c r="N432" s="58"/>
      <c r="O432" s="58"/>
      <c r="P432" s="58"/>
      <c r="Q432" s="58"/>
      <c r="R432" s="58"/>
      <c r="S432" s="58"/>
      <c r="T432" s="58"/>
      <c r="U432" s="58"/>
      <c r="V432" s="58"/>
      <c r="W432" s="58"/>
      <c r="X432" s="58"/>
      <c r="Y432" s="58"/>
      <c r="Z432" s="58"/>
      <c r="AA432" s="58"/>
      <c r="AB432" s="58"/>
      <c r="AC432" s="59"/>
      <c r="AD432" s="59"/>
    </row>
    <row r="433" spans="1:30" ht="12.75" customHeight="1" x14ac:dyDescent="0.2">
      <c r="A433" s="56"/>
      <c r="B433" s="56"/>
      <c r="C433" s="56"/>
      <c r="D433" s="57"/>
      <c r="E433" s="57"/>
      <c r="F433" s="56"/>
      <c r="G433" s="56"/>
      <c r="H433" s="56"/>
      <c r="I433" s="56"/>
      <c r="J433" s="56"/>
      <c r="K433" s="56"/>
      <c r="L433" s="56"/>
      <c r="M433" s="58"/>
      <c r="N433" s="58"/>
      <c r="O433" s="58"/>
      <c r="P433" s="58"/>
      <c r="Q433" s="58"/>
      <c r="R433" s="58"/>
      <c r="S433" s="58"/>
      <c r="T433" s="58"/>
      <c r="U433" s="58"/>
      <c r="V433" s="58"/>
      <c r="W433" s="58"/>
      <c r="X433" s="58"/>
      <c r="Y433" s="58"/>
      <c r="Z433" s="58"/>
      <c r="AA433" s="58"/>
      <c r="AB433" s="58"/>
      <c r="AC433" s="59"/>
      <c r="AD433" s="59"/>
    </row>
    <row r="434" spans="1:30" ht="12.75" customHeight="1" x14ac:dyDescent="0.2">
      <c r="A434" s="56"/>
      <c r="B434" s="56"/>
      <c r="C434" s="56"/>
      <c r="D434" s="57"/>
      <c r="E434" s="57"/>
      <c r="F434" s="56"/>
      <c r="G434" s="56"/>
      <c r="H434" s="56"/>
      <c r="I434" s="56"/>
      <c r="J434" s="56"/>
      <c r="K434" s="56"/>
      <c r="L434" s="56"/>
      <c r="M434" s="58"/>
      <c r="N434" s="58"/>
      <c r="O434" s="58"/>
      <c r="P434" s="58"/>
      <c r="Q434" s="58"/>
      <c r="R434" s="58"/>
      <c r="S434" s="58"/>
      <c r="T434" s="58"/>
      <c r="U434" s="58"/>
      <c r="V434" s="58"/>
      <c r="W434" s="58"/>
      <c r="X434" s="58"/>
      <c r="Y434" s="58"/>
      <c r="Z434" s="58"/>
      <c r="AA434" s="58"/>
      <c r="AB434" s="58"/>
      <c r="AC434" s="59"/>
      <c r="AD434" s="59"/>
    </row>
    <row r="435" spans="1:30" ht="12.75" customHeight="1" x14ac:dyDescent="0.2">
      <c r="A435" s="56"/>
      <c r="B435" s="56"/>
      <c r="C435" s="56"/>
      <c r="D435" s="57"/>
      <c r="E435" s="57"/>
      <c r="F435" s="56"/>
      <c r="G435" s="56"/>
      <c r="H435" s="56"/>
      <c r="I435" s="56"/>
      <c r="J435" s="56"/>
      <c r="K435" s="56"/>
      <c r="L435" s="56"/>
      <c r="M435" s="58"/>
      <c r="N435" s="58"/>
      <c r="O435" s="58"/>
      <c r="P435" s="58"/>
      <c r="Q435" s="58"/>
      <c r="R435" s="58"/>
      <c r="S435" s="58"/>
      <c r="T435" s="58"/>
      <c r="U435" s="58"/>
      <c r="V435" s="58"/>
      <c r="W435" s="58"/>
      <c r="X435" s="58"/>
      <c r="Y435" s="58"/>
      <c r="Z435" s="58"/>
      <c r="AA435" s="58"/>
      <c r="AB435" s="58"/>
      <c r="AC435" s="59"/>
      <c r="AD435" s="59"/>
    </row>
    <row r="436" spans="1:30" ht="12.75" customHeight="1" x14ac:dyDescent="0.2">
      <c r="A436" s="56"/>
      <c r="B436" s="56"/>
      <c r="C436" s="56"/>
      <c r="D436" s="57"/>
      <c r="E436" s="57"/>
      <c r="F436" s="56"/>
      <c r="G436" s="56"/>
      <c r="H436" s="56"/>
      <c r="I436" s="56"/>
      <c r="J436" s="56"/>
      <c r="K436" s="56"/>
      <c r="L436" s="56"/>
      <c r="M436" s="58"/>
      <c r="N436" s="58"/>
      <c r="O436" s="58"/>
      <c r="P436" s="58"/>
      <c r="Q436" s="58"/>
      <c r="R436" s="58"/>
      <c r="S436" s="58"/>
      <c r="T436" s="58"/>
      <c r="U436" s="58"/>
      <c r="V436" s="58"/>
      <c r="W436" s="58"/>
      <c r="X436" s="58"/>
      <c r="Y436" s="58"/>
      <c r="Z436" s="58"/>
      <c r="AA436" s="58"/>
      <c r="AB436" s="58"/>
      <c r="AC436" s="59"/>
      <c r="AD436" s="59"/>
    </row>
    <row r="437" spans="1:30" ht="12.75" customHeight="1" x14ac:dyDescent="0.2">
      <c r="A437" s="56"/>
      <c r="B437" s="56"/>
      <c r="C437" s="56"/>
      <c r="D437" s="57"/>
      <c r="E437" s="57"/>
      <c r="F437" s="56"/>
      <c r="G437" s="56"/>
      <c r="H437" s="56"/>
      <c r="I437" s="56"/>
      <c r="J437" s="56"/>
      <c r="K437" s="56"/>
      <c r="L437" s="56"/>
      <c r="M437" s="58"/>
      <c r="N437" s="58"/>
      <c r="O437" s="58"/>
      <c r="P437" s="58"/>
      <c r="Q437" s="58"/>
      <c r="R437" s="58"/>
      <c r="S437" s="58"/>
      <c r="T437" s="58"/>
      <c r="U437" s="58"/>
      <c r="V437" s="58"/>
      <c r="W437" s="58"/>
      <c r="X437" s="58"/>
      <c r="Y437" s="58"/>
      <c r="Z437" s="58"/>
      <c r="AA437" s="58"/>
      <c r="AB437" s="58"/>
      <c r="AC437" s="59"/>
      <c r="AD437" s="59"/>
    </row>
    <row r="438" spans="1:30" ht="12.75" customHeight="1" x14ac:dyDescent="0.2">
      <c r="A438" s="56"/>
      <c r="B438" s="56"/>
      <c r="C438" s="56"/>
      <c r="D438" s="57"/>
      <c r="E438" s="57"/>
      <c r="F438" s="56"/>
      <c r="G438" s="56"/>
      <c r="H438" s="56"/>
      <c r="I438" s="56"/>
      <c r="J438" s="56"/>
      <c r="K438" s="56"/>
      <c r="L438" s="56"/>
      <c r="M438" s="58"/>
      <c r="N438" s="58"/>
      <c r="O438" s="58"/>
      <c r="P438" s="58"/>
      <c r="Q438" s="58"/>
      <c r="R438" s="58"/>
      <c r="S438" s="58"/>
      <c r="T438" s="58"/>
      <c r="U438" s="58"/>
      <c r="V438" s="58"/>
      <c r="W438" s="58"/>
      <c r="X438" s="58"/>
      <c r="Y438" s="58"/>
      <c r="Z438" s="58"/>
      <c r="AA438" s="58"/>
      <c r="AB438" s="58"/>
      <c r="AC438" s="59"/>
      <c r="AD438" s="59"/>
    </row>
    <row r="439" spans="1:30" ht="12.75" customHeight="1" x14ac:dyDescent="0.2">
      <c r="A439" s="56"/>
      <c r="B439" s="56"/>
      <c r="C439" s="56"/>
      <c r="D439" s="57"/>
      <c r="E439" s="57"/>
      <c r="F439" s="56"/>
      <c r="G439" s="56"/>
      <c r="H439" s="56"/>
      <c r="I439" s="56"/>
      <c r="J439" s="56"/>
      <c r="K439" s="56"/>
      <c r="L439" s="56"/>
      <c r="M439" s="58"/>
      <c r="N439" s="58"/>
      <c r="O439" s="58"/>
      <c r="P439" s="58"/>
      <c r="Q439" s="58"/>
      <c r="R439" s="58"/>
      <c r="S439" s="58"/>
      <c r="T439" s="58"/>
      <c r="U439" s="58"/>
      <c r="V439" s="58"/>
      <c r="W439" s="58"/>
      <c r="X439" s="58"/>
      <c r="Y439" s="58"/>
      <c r="Z439" s="58"/>
      <c r="AA439" s="58"/>
      <c r="AB439" s="58"/>
      <c r="AC439" s="59"/>
      <c r="AD439" s="59"/>
    </row>
    <row r="440" spans="1:30" ht="12.75" customHeight="1" x14ac:dyDescent="0.2">
      <c r="A440" s="56"/>
      <c r="B440" s="56"/>
      <c r="C440" s="56"/>
      <c r="D440" s="57"/>
      <c r="E440" s="57"/>
      <c r="F440" s="56"/>
      <c r="G440" s="56"/>
      <c r="H440" s="56"/>
      <c r="I440" s="56"/>
      <c r="J440" s="56"/>
      <c r="K440" s="56"/>
      <c r="L440" s="56"/>
      <c r="M440" s="58"/>
      <c r="N440" s="58"/>
      <c r="O440" s="58"/>
      <c r="P440" s="58"/>
      <c r="Q440" s="58"/>
      <c r="R440" s="58"/>
      <c r="S440" s="58"/>
      <c r="T440" s="58"/>
      <c r="U440" s="58"/>
      <c r="V440" s="58"/>
      <c r="W440" s="58"/>
      <c r="X440" s="58"/>
      <c r="Y440" s="58"/>
      <c r="Z440" s="58"/>
      <c r="AA440" s="58"/>
      <c r="AB440" s="58"/>
      <c r="AC440" s="59"/>
      <c r="AD440" s="59"/>
    </row>
    <row r="441" spans="1:30" ht="12.75" customHeight="1" x14ac:dyDescent="0.2">
      <c r="A441" s="56"/>
      <c r="B441" s="56"/>
      <c r="C441" s="56"/>
      <c r="D441" s="57"/>
      <c r="E441" s="57"/>
      <c r="F441" s="56"/>
      <c r="G441" s="56"/>
      <c r="H441" s="56"/>
      <c r="I441" s="56"/>
      <c r="J441" s="56"/>
      <c r="K441" s="56"/>
      <c r="L441" s="56"/>
      <c r="M441" s="58"/>
      <c r="N441" s="58"/>
      <c r="O441" s="58"/>
      <c r="P441" s="58"/>
      <c r="Q441" s="58"/>
      <c r="R441" s="58"/>
      <c r="S441" s="58"/>
      <c r="T441" s="58"/>
      <c r="U441" s="58"/>
      <c r="V441" s="58"/>
      <c r="W441" s="58"/>
      <c r="X441" s="58"/>
      <c r="Y441" s="58"/>
      <c r="Z441" s="58"/>
      <c r="AA441" s="58"/>
      <c r="AB441" s="58"/>
      <c r="AC441" s="59"/>
      <c r="AD441" s="59"/>
    </row>
    <row r="442" spans="1:30" ht="12.75" customHeight="1" x14ac:dyDescent="0.2">
      <c r="A442" s="56"/>
      <c r="B442" s="56"/>
      <c r="C442" s="56"/>
      <c r="D442" s="57"/>
      <c r="E442" s="57"/>
      <c r="F442" s="56"/>
      <c r="G442" s="56"/>
      <c r="H442" s="56"/>
      <c r="I442" s="56"/>
      <c r="J442" s="56"/>
      <c r="K442" s="56"/>
      <c r="L442" s="56"/>
      <c r="M442" s="58"/>
      <c r="N442" s="58"/>
      <c r="O442" s="58"/>
      <c r="P442" s="58"/>
      <c r="Q442" s="58"/>
      <c r="R442" s="58"/>
      <c r="S442" s="58"/>
      <c r="T442" s="58"/>
      <c r="U442" s="58"/>
      <c r="V442" s="58"/>
      <c r="W442" s="58"/>
      <c r="X442" s="58"/>
      <c r="Y442" s="58"/>
      <c r="Z442" s="58"/>
      <c r="AA442" s="58"/>
      <c r="AB442" s="58"/>
      <c r="AC442" s="59"/>
      <c r="AD442" s="59"/>
    </row>
    <row r="443" spans="1:30" ht="12.75" customHeight="1" x14ac:dyDescent="0.2">
      <c r="A443" s="56"/>
      <c r="B443" s="56"/>
      <c r="C443" s="56"/>
      <c r="D443" s="57"/>
      <c r="E443" s="57"/>
      <c r="F443" s="56"/>
      <c r="G443" s="56"/>
      <c r="H443" s="56"/>
      <c r="I443" s="56"/>
      <c r="J443" s="56"/>
      <c r="K443" s="56"/>
      <c r="L443" s="56"/>
      <c r="M443" s="58"/>
      <c r="N443" s="58"/>
      <c r="O443" s="58"/>
      <c r="P443" s="58"/>
      <c r="Q443" s="58"/>
      <c r="R443" s="58"/>
      <c r="S443" s="58"/>
      <c r="T443" s="58"/>
      <c r="U443" s="58"/>
      <c r="V443" s="58"/>
      <c r="W443" s="58"/>
      <c r="X443" s="58"/>
      <c r="Y443" s="58"/>
      <c r="Z443" s="58"/>
      <c r="AA443" s="58"/>
      <c r="AB443" s="58"/>
      <c r="AC443" s="59"/>
      <c r="AD443" s="59"/>
    </row>
    <row r="444" spans="1:30" ht="12.75" customHeight="1" x14ac:dyDescent="0.2">
      <c r="A444" s="56"/>
      <c r="B444" s="56"/>
      <c r="C444" s="56"/>
      <c r="D444" s="57"/>
      <c r="E444" s="57"/>
      <c r="F444" s="56"/>
      <c r="G444" s="56"/>
      <c r="H444" s="56"/>
      <c r="I444" s="56"/>
      <c r="J444" s="56"/>
      <c r="K444" s="56"/>
      <c r="L444" s="56"/>
      <c r="M444" s="58"/>
      <c r="N444" s="58"/>
      <c r="O444" s="58"/>
      <c r="P444" s="58"/>
      <c r="Q444" s="58"/>
      <c r="R444" s="58"/>
      <c r="S444" s="58"/>
      <c r="T444" s="58"/>
      <c r="U444" s="58"/>
      <c r="V444" s="58"/>
      <c r="W444" s="58"/>
      <c r="X444" s="58"/>
      <c r="Y444" s="58"/>
      <c r="Z444" s="58"/>
      <c r="AA444" s="58"/>
      <c r="AB444" s="58"/>
      <c r="AC444" s="59"/>
      <c r="AD444" s="59"/>
    </row>
    <row r="445" spans="1:30" ht="12.75" customHeight="1" x14ac:dyDescent="0.2">
      <c r="A445" s="56"/>
      <c r="B445" s="56"/>
      <c r="C445" s="56"/>
      <c r="D445" s="57"/>
      <c r="E445" s="57"/>
      <c r="F445" s="56"/>
      <c r="G445" s="56"/>
      <c r="H445" s="56"/>
      <c r="I445" s="56"/>
      <c r="J445" s="56"/>
      <c r="K445" s="56"/>
      <c r="L445" s="56"/>
      <c r="M445" s="58"/>
      <c r="N445" s="58"/>
      <c r="O445" s="58"/>
      <c r="P445" s="58"/>
      <c r="Q445" s="58"/>
      <c r="R445" s="58"/>
      <c r="S445" s="58"/>
      <c r="T445" s="58"/>
      <c r="U445" s="58"/>
      <c r="V445" s="58"/>
      <c r="W445" s="58"/>
      <c r="X445" s="58"/>
      <c r="Y445" s="58"/>
      <c r="Z445" s="58"/>
      <c r="AA445" s="58"/>
      <c r="AB445" s="58"/>
      <c r="AC445" s="59"/>
      <c r="AD445" s="59"/>
    </row>
    <row r="446" spans="1:30" ht="12.75" customHeight="1" x14ac:dyDescent="0.2">
      <c r="A446" s="56"/>
      <c r="B446" s="56"/>
      <c r="C446" s="56"/>
      <c r="D446" s="57"/>
      <c r="E446" s="57"/>
      <c r="F446" s="56"/>
      <c r="G446" s="56"/>
      <c r="H446" s="56"/>
      <c r="I446" s="56"/>
      <c r="J446" s="56"/>
      <c r="K446" s="56"/>
      <c r="L446" s="56"/>
      <c r="M446" s="58"/>
      <c r="N446" s="58"/>
      <c r="O446" s="58"/>
      <c r="P446" s="58"/>
      <c r="Q446" s="58"/>
      <c r="R446" s="58"/>
      <c r="S446" s="58"/>
      <c r="T446" s="58"/>
      <c r="U446" s="58"/>
      <c r="V446" s="58"/>
      <c r="W446" s="58"/>
      <c r="X446" s="58"/>
      <c r="Y446" s="58"/>
      <c r="Z446" s="58"/>
      <c r="AA446" s="58"/>
      <c r="AB446" s="58"/>
      <c r="AC446" s="59"/>
      <c r="AD446" s="59"/>
    </row>
    <row r="447" spans="1:30" ht="12.75" customHeight="1" x14ac:dyDescent="0.2">
      <c r="A447" s="56"/>
      <c r="B447" s="56"/>
      <c r="C447" s="56"/>
      <c r="D447" s="57"/>
      <c r="E447" s="57"/>
      <c r="F447" s="56"/>
      <c r="G447" s="56"/>
      <c r="H447" s="56"/>
      <c r="I447" s="56"/>
      <c r="J447" s="56"/>
      <c r="K447" s="56"/>
      <c r="L447" s="56"/>
      <c r="M447" s="58"/>
      <c r="N447" s="58"/>
      <c r="O447" s="58"/>
      <c r="P447" s="58"/>
      <c r="Q447" s="58"/>
      <c r="R447" s="58"/>
      <c r="S447" s="58"/>
      <c r="T447" s="58"/>
      <c r="U447" s="58"/>
      <c r="V447" s="58"/>
      <c r="W447" s="58"/>
      <c r="X447" s="58"/>
      <c r="Y447" s="58"/>
      <c r="Z447" s="58"/>
      <c r="AA447" s="58"/>
      <c r="AB447" s="58"/>
      <c r="AC447" s="59"/>
      <c r="AD447" s="59"/>
    </row>
    <row r="448" spans="1:30" ht="12.75" customHeight="1" x14ac:dyDescent="0.2">
      <c r="A448" s="56"/>
      <c r="B448" s="56"/>
      <c r="C448" s="56"/>
      <c r="D448" s="57"/>
      <c r="E448" s="57"/>
      <c r="F448" s="56"/>
      <c r="G448" s="56"/>
      <c r="H448" s="56"/>
      <c r="I448" s="56"/>
      <c r="J448" s="56"/>
      <c r="K448" s="56"/>
      <c r="L448" s="56"/>
      <c r="M448" s="58"/>
      <c r="N448" s="58"/>
      <c r="O448" s="58"/>
      <c r="P448" s="58"/>
      <c r="Q448" s="58"/>
      <c r="R448" s="58"/>
      <c r="S448" s="58"/>
      <c r="T448" s="58"/>
      <c r="U448" s="58"/>
      <c r="V448" s="58"/>
      <c r="W448" s="58"/>
      <c r="X448" s="58"/>
      <c r="Y448" s="58"/>
      <c r="Z448" s="58"/>
      <c r="AA448" s="58"/>
      <c r="AB448" s="58"/>
      <c r="AC448" s="59"/>
      <c r="AD448" s="59"/>
    </row>
    <row r="449" spans="1:30" ht="12.75" customHeight="1" x14ac:dyDescent="0.2">
      <c r="A449" s="56"/>
      <c r="B449" s="56"/>
      <c r="C449" s="56"/>
      <c r="D449" s="57"/>
      <c r="E449" s="57"/>
      <c r="F449" s="56"/>
      <c r="G449" s="56"/>
      <c r="H449" s="56"/>
      <c r="I449" s="56"/>
      <c r="J449" s="56"/>
      <c r="K449" s="56"/>
      <c r="L449" s="56"/>
      <c r="M449" s="58"/>
      <c r="N449" s="58"/>
      <c r="O449" s="58"/>
      <c r="P449" s="58"/>
      <c r="Q449" s="58"/>
      <c r="R449" s="58"/>
      <c r="S449" s="58"/>
      <c r="T449" s="58"/>
      <c r="U449" s="58"/>
      <c r="V449" s="58"/>
      <c r="W449" s="58"/>
      <c r="X449" s="58"/>
      <c r="Y449" s="58"/>
      <c r="Z449" s="58"/>
      <c r="AA449" s="58"/>
      <c r="AB449" s="58"/>
      <c r="AC449" s="59"/>
      <c r="AD449" s="59"/>
    </row>
    <row r="450" spans="1:30" ht="12.75" customHeight="1" x14ac:dyDescent="0.2">
      <c r="A450" s="56"/>
      <c r="B450" s="56"/>
      <c r="C450" s="56"/>
      <c r="D450" s="57"/>
      <c r="E450" s="57"/>
      <c r="F450" s="56"/>
      <c r="G450" s="56"/>
      <c r="H450" s="56"/>
      <c r="I450" s="56"/>
      <c r="J450" s="56"/>
      <c r="K450" s="56"/>
      <c r="L450" s="56"/>
      <c r="M450" s="58"/>
      <c r="N450" s="58"/>
      <c r="O450" s="58"/>
      <c r="P450" s="58"/>
      <c r="Q450" s="58"/>
      <c r="R450" s="58"/>
      <c r="S450" s="58"/>
      <c r="T450" s="58"/>
      <c r="U450" s="58"/>
      <c r="V450" s="58"/>
      <c r="W450" s="58"/>
      <c r="X450" s="58"/>
      <c r="Y450" s="58"/>
      <c r="Z450" s="58"/>
      <c r="AA450" s="58"/>
      <c r="AB450" s="58"/>
      <c r="AC450" s="59"/>
      <c r="AD450" s="59"/>
    </row>
    <row r="451" spans="1:30" ht="12.75" customHeight="1" x14ac:dyDescent="0.2">
      <c r="A451" s="56"/>
      <c r="B451" s="56"/>
      <c r="C451" s="56"/>
      <c r="D451" s="57"/>
      <c r="E451" s="57"/>
      <c r="F451" s="56"/>
      <c r="G451" s="56"/>
      <c r="H451" s="56"/>
      <c r="I451" s="56"/>
      <c r="J451" s="56"/>
      <c r="K451" s="56"/>
      <c r="L451" s="56"/>
      <c r="M451" s="58"/>
      <c r="N451" s="58"/>
      <c r="O451" s="58"/>
      <c r="P451" s="58"/>
      <c r="Q451" s="58"/>
      <c r="R451" s="58"/>
      <c r="S451" s="58"/>
      <c r="T451" s="58"/>
      <c r="U451" s="58"/>
      <c r="V451" s="58"/>
      <c r="W451" s="58"/>
      <c r="X451" s="58"/>
      <c r="Y451" s="58"/>
      <c r="Z451" s="58"/>
      <c r="AA451" s="58"/>
      <c r="AB451" s="58"/>
      <c r="AC451" s="59"/>
      <c r="AD451" s="59"/>
    </row>
    <row r="452" spans="1:30" ht="12.75" customHeight="1" x14ac:dyDescent="0.2">
      <c r="A452" s="56"/>
      <c r="B452" s="56"/>
      <c r="C452" s="56"/>
      <c r="D452" s="57"/>
      <c r="E452" s="57"/>
      <c r="F452" s="56"/>
      <c r="G452" s="56"/>
      <c r="H452" s="56"/>
      <c r="I452" s="56"/>
      <c r="J452" s="56"/>
      <c r="K452" s="56"/>
      <c r="L452" s="56"/>
      <c r="M452" s="58"/>
      <c r="N452" s="58"/>
      <c r="O452" s="58"/>
      <c r="P452" s="58"/>
      <c r="Q452" s="58"/>
      <c r="R452" s="58"/>
      <c r="S452" s="58"/>
      <c r="T452" s="58"/>
      <c r="U452" s="58"/>
      <c r="V452" s="58"/>
      <c r="W452" s="58"/>
      <c r="X452" s="58"/>
      <c r="Y452" s="58"/>
      <c r="Z452" s="58"/>
      <c r="AA452" s="58"/>
      <c r="AB452" s="58"/>
      <c r="AC452" s="59"/>
      <c r="AD452" s="59"/>
    </row>
    <row r="453" spans="1:30" ht="12.75" customHeight="1" x14ac:dyDescent="0.2">
      <c r="A453" s="56"/>
      <c r="B453" s="56"/>
      <c r="C453" s="56"/>
      <c r="D453" s="57"/>
      <c r="E453" s="57"/>
      <c r="F453" s="56"/>
      <c r="G453" s="56"/>
      <c r="H453" s="56"/>
      <c r="I453" s="56"/>
      <c r="J453" s="56"/>
      <c r="K453" s="56"/>
      <c r="L453" s="56"/>
      <c r="M453" s="58"/>
      <c r="N453" s="58"/>
      <c r="O453" s="58"/>
      <c r="P453" s="58"/>
      <c r="Q453" s="58"/>
      <c r="R453" s="58"/>
      <c r="S453" s="58"/>
      <c r="T453" s="58"/>
      <c r="U453" s="58"/>
      <c r="V453" s="58"/>
      <c r="W453" s="58"/>
      <c r="X453" s="58"/>
      <c r="Y453" s="58"/>
      <c r="Z453" s="58"/>
      <c r="AA453" s="58"/>
      <c r="AB453" s="58"/>
      <c r="AC453" s="59"/>
      <c r="AD453" s="59"/>
    </row>
    <row r="454" spans="1:30" ht="12.75" customHeight="1" x14ac:dyDescent="0.2">
      <c r="A454" s="56"/>
      <c r="B454" s="56"/>
      <c r="C454" s="56"/>
      <c r="D454" s="57"/>
      <c r="E454" s="57"/>
      <c r="F454" s="56"/>
      <c r="G454" s="56"/>
      <c r="H454" s="56"/>
      <c r="I454" s="56"/>
      <c r="J454" s="56"/>
      <c r="K454" s="56"/>
      <c r="L454" s="56"/>
      <c r="M454" s="58"/>
      <c r="N454" s="58"/>
      <c r="O454" s="58"/>
      <c r="P454" s="58"/>
      <c r="Q454" s="58"/>
      <c r="R454" s="58"/>
      <c r="S454" s="58"/>
      <c r="T454" s="58"/>
      <c r="U454" s="58"/>
      <c r="V454" s="58"/>
      <c r="W454" s="58"/>
      <c r="X454" s="58"/>
      <c r="Y454" s="58"/>
      <c r="Z454" s="58"/>
      <c r="AA454" s="58"/>
      <c r="AB454" s="58"/>
      <c r="AC454" s="59"/>
      <c r="AD454" s="59"/>
    </row>
    <row r="455" spans="1:30" ht="12.75" customHeight="1" x14ac:dyDescent="0.2">
      <c r="A455" s="56"/>
      <c r="B455" s="56"/>
      <c r="C455" s="56"/>
      <c r="D455" s="57"/>
      <c r="E455" s="57"/>
      <c r="F455" s="56"/>
      <c r="G455" s="56"/>
      <c r="H455" s="56"/>
      <c r="I455" s="56"/>
      <c r="J455" s="56"/>
      <c r="K455" s="56"/>
      <c r="L455" s="56"/>
      <c r="M455" s="58"/>
      <c r="N455" s="58"/>
      <c r="O455" s="58"/>
      <c r="P455" s="58"/>
      <c r="Q455" s="58"/>
      <c r="R455" s="58"/>
      <c r="S455" s="58"/>
      <c r="T455" s="58"/>
      <c r="U455" s="58"/>
      <c r="V455" s="58"/>
      <c r="W455" s="58"/>
      <c r="X455" s="58"/>
      <c r="Y455" s="58"/>
      <c r="Z455" s="58"/>
      <c r="AA455" s="58"/>
      <c r="AB455" s="58"/>
      <c r="AC455" s="59"/>
      <c r="AD455" s="59"/>
    </row>
    <row r="456" spans="1:30" ht="12.75" customHeight="1" x14ac:dyDescent="0.2">
      <c r="A456" s="56"/>
      <c r="B456" s="56"/>
      <c r="C456" s="56"/>
      <c r="D456" s="57"/>
      <c r="E456" s="57"/>
      <c r="F456" s="56"/>
      <c r="G456" s="56"/>
      <c r="H456" s="56"/>
      <c r="I456" s="56"/>
      <c r="J456" s="56"/>
      <c r="K456" s="56"/>
      <c r="L456" s="56"/>
      <c r="M456" s="58"/>
      <c r="N456" s="58"/>
      <c r="O456" s="58"/>
      <c r="P456" s="58"/>
      <c r="Q456" s="58"/>
      <c r="R456" s="58"/>
      <c r="S456" s="58"/>
      <c r="T456" s="58"/>
      <c r="U456" s="58"/>
      <c r="V456" s="58"/>
      <c r="W456" s="58"/>
      <c r="X456" s="58"/>
      <c r="Y456" s="58"/>
      <c r="Z456" s="58"/>
      <c r="AA456" s="58"/>
      <c r="AB456" s="58"/>
      <c r="AC456" s="59"/>
      <c r="AD456" s="59"/>
    </row>
    <row r="457" spans="1:30" ht="12.75" customHeight="1" x14ac:dyDescent="0.2">
      <c r="A457" s="56"/>
      <c r="B457" s="56"/>
      <c r="C457" s="56"/>
      <c r="D457" s="57"/>
      <c r="E457" s="57"/>
      <c r="F457" s="56"/>
      <c r="G457" s="56"/>
      <c r="H457" s="56"/>
      <c r="I457" s="56"/>
      <c r="J457" s="56"/>
      <c r="K457" s="56"/>
      <c r="L457" s="56"/>
      <c r="M457" s="58"/>
      <c r="N457" s="58"/>
      <c r="O457" s="58"/>
      <c r="P457" s="58"/>
      <c r="Q457" s="58"/>
      <c r="R457" s="58"/>
      <c r="S457" s="58"/>
      <c r="T457" s="58"/>
      <c r="U457" s="58"/>
      <c r="V457" s="58"/>
      <c r="W457" s="58"/>
      <c r="X457" s="58"/>
      <c r="Y457" s="58"/>
      <c r="Z457" s="58"/>
      <c r="AA457" s="58"/>
      <c r="AB457" s="58"/>
      <c r="AC457" s="59"/>
      <c r="AD457" s="59"/>
    </row>
    <row r="458" spans="1:30" ht="12.75" customHeight="1" x14ac:dyDescent="0.2">
      <c r="A458" s="56"/>
      <c r="B458" s="56"/>
      <c r="C458" s="56"/>
      <c r="D458" s="57"/>
      <c r="E458" s="57"/>
      <c r="F458" s="56"/>
      <c r="G458" s="56"/>
      <c r="H458" s="56"/>
      <c r="I458" s="56"/>
      <c r="J458" s="56"/>
      <c r="K458" s="56"/>
      <c r="L458" s="56"/>
      <c r="M458" s="58"/>
      <c r="N458" s="58"/>
      <c r="O458" s="58"/>
      <c r="P458" s="58"/>
      <c r="Q458" s="58"/>
      <c r="R458" s="58"/>
      <c r="S458" s="58"/>
      <c r="T458" s="58"/>
      <c r="U458" s="58"/>
      <c r="V458" s="58"/>
      <c r="W458" s="58"/>
      <c r="X458" s="58"/>
      <c r="Y458" s="58"/>
      <c r="Z458" s="58"/>
      <c r="AA458" s="58"/>
      <c r="AB458" s="58"/>
      <c r="AC458" s="59"/>
      <c r="AD458" s="59"/>
    </row>
    <row r="459" spans="1:30" ht="12.75" customHeight="1" x14ac:dyDescent="0.2">
      <c r="A459" s="56"/>
      <c r="B459" s="56"/>
      <c r="C459" s="56"/>
      <c r="D459" s="57"/>
      <c r="E459" s="57"/>
      <c r="F459" s="56"/>
      <c r="G459" s="56"/>
      <c r="H459" s="56"/>
      <c r="I459" s="56"/>
      <c r="J459" s="56"/>
      <c r="K459" s="56"/>
      <c r="L459" s="56"/>
      <c r="M459" s="58"/>
      <c r="N459" s="58"/>
      <c r="O459" s="58"/>
      <c r="P459" s="58"/>
      <c r="Q459" s="58"/>
      <c r="R459" s="58"/>
      <c r="S459" s="58"/>
      <c r="T459" s="58"/>
      <c r="U459" s="58"/>
      <c r="V459" s="58"/>
      <c r="W459" s="58"/>
      <c r="X459" s="58"/>
      <c r="Y459" s="58"/>
      <c r="Z459" s="58"/>
      <c r="AA459" s="58"/>
      <c r="AB459" s="58"/>
      <c r="AC459" s="59"/>
      <c r="AD459" s="59"/>
    </row>
    <row r="460" spans="1:30" ht="12.75" customHeight="1" x14ac:dyDescent="0.2">
      <c r="A460" s="56"/>
      <c r="B460" s="56"/>
      <c r="C460" s="56"/>
      <c r="D460" s="57"/>
      <c r="E460" s="57"/>
      <c r="F460" s="56"/>
      <c r="G460" s="56"/>
      <c r="H460" s="56"/>
      <c r="I460" s="56"/>
      <c r="J460" s="56"/>
      <c r="K460" s="56"/>
      <c r="L460" s="56"/>
      <c r="M460" s="58"/>
      <c r="N460" s="58"/>
      <c r="O460" s="58"/>
      <c r="P460" s="58"/>
      <c r="Q460" s="58"/>
      <c r="R460" s="58"/>
      <c r="S460" s="58"/>
      <c r="T460" s="58"/>
      <c r="U460" s="58"/>
      <c r="V460" s="58"/>
      <c r="W460" s="58"/>
      <c r="X460" s="58"/>
      <c r="Y460" s="58"/>
      <c r="Z460" s="58"/>
      <c r="AA460" s="58"/>
      <c r="AB460" s="58"/>
      <c r="AC460" s="59"/>
      <c r="AD460" s="59"/>
    </row>
    <row r="461" spans="1:30" ht="12.75" customHeight="1" x14ac:dyDescent="0.2">
      <c r="A461" s="56"/>
      <c r="B461" s="56"/>
      <c r="C461" s="56"/>
      <c r="D461" s="57"/>
      <c r="E461" s="57"/>
      <c r="F461" s="56"/>
      <c r="G461" s="56"/>
      <c r="H461" s="56"/>
      <c r="I461" s="56"/>
      <c r="J461" s="56"/>
      <c r="K461" s="56"/>
      <c r="L461" s="56"/>
      <c r="M461" s="58"/>
      <c r="N461" s="58"/>
      <c r="O461" s="58"/>
      <c r="P461" s="58"/>
      <c r="Q461" s="58"/>
      <c r="R461" s="58"/>
      <c r="S461" s="58"/>
      <c r="T461" s="58"/>
      <c r="U461" s="58"/>
      <c r="V461" s="58"/>
      <c r="W461" s="58"/>
      <c r="X461" s="58"/>
      <c r="Y461" s="58"/>
      <c r="Z461" s="58"/>
      <c r="AA461" s="58"/>
      <c r="AB461" s="58"/>
      <c r="AC461" s="59"/>
      <c r="AD461" s="59"/>
    </row>
    <row r="462" spans="1:30" ht="12.75" customHeight="1" x14ac:dyDescent="0.2">
      <c r="A462" s="56"/>
      <c r="B462" s="56"/>
      <c r="C462" s="56"/>
      <c r="D462" s="57"/>
      <c r="E462" s="57"/>
      <c r="F462" s="56"/>
      <c r="G462" s="56"/>
      <c r="H462" s="56"/>
      <c r="I462" s="56"/>
      <c r="J462" s="56"/>
      <c r="K462" s="56"/>
      <c r="L462" s="56"/>
      <c r="M462" s="58"/>
      <c r="N462" s="58"/>
      <c r="O462" s="58"/>
      <c r="P462" s="58"/>
      <c r="Q462" s="58"/>
      <c r="R462" s="58"/>
      <c r="S462" s="58"/>
      <c r="T462" s="58"/>
      <c r="U462" s="58"/>
      <c r="V462" s="58"/>
      <c r="W462" s="58"/>
      <c r="X462" s="58"/>
      <c r="Y462" s="58"/>
      <c r="Z462" s="58"/>
      <c r="AA462" s="58"/>
      <c r="AB462" s="58"/>
      <c r="AC462" s="59"/>
      <c r="AD462" s="59"/>
    </row>
    <row r="463" spans="1:30" ht="12.75" customHeight="1" x14ac:dyDescent="0.2">
      <c r="A463" s="56"/>
      <c r="B463" s="56"/>
      <c r="C463" s="56"/>
      <c r="D463" s="57"/>
      <c r="E463" s="57"/>
      <c r="F463" s="56"/>
      <c r="G463" s="56"/>
      <c r="H463" s="56"/>
      <c r="I463" s="56"/>
      <c r="J463" s="56"/>
      <c r="K463" s="56"/>
      <c r="L463" s="56"/>
      <c r="M463" s="58"/>
      <c r="N463" s="58"/>
      <c r="O463" s="58"/>
      <c r="P463" s="58"/>
      <c r="Q463" s="58"/>
      <c r="R463" s="58"/>
      <c r="S463" s="58"/>
      <c r="T463" s="58"/>
      <c r="U463" s="58"/>
      <c r="V463" s="58"/>
      <c r="W463" s="58"/>
      <c r="X463" s="58"/>
      <c r="Y463" s="58"/>
      <c r="Z463" s="58"/>
      <c r="AA463" s="58"/>
      <c r="AB463" s="58"/>
      <c r="AC463" s="59"/>
      <c r="AD463" s="59"/>
    </row>
    <row r="464" spans="1:30" ht="12.75" customHeight="1" x14ac:dyDescent="0.2">
      <c r="A464" s="56"/>
      <c r="B464" s="56"/>
      <c r="C464" s="56"/>
      <c r="D464" s="57"/>
      <c r="E464" s="57"/>
      <c r="F464" s="56"/>
      <c r="G464" s="56"/>
      <c r="H464" s="56"/>
      <c r="I464" s="56"/>
      <c r="J464" s="56"/>
      <c r="K464" s="56"/>
      <c r="L464" s="56"/>
      <c r="M464" s="58"/>
      <c r="N464" s="58"/>
      <c r="O464" s="58"/>
      <c r="P464" s="58"/>
      <c r="Q464" s="58"/>
      <c r="R464" s="58"/>
      <c r="S464" s="58"/>
      <c r="T464" s="58"/>
      <c r="U464" s="58"/>
      <c r="V464" s="58"/>
      <c r="W464" s="58"/>
      <c r="X464" s="58"/>
      <c r="Y464" s="58"/>
      <c r="Z464" s="58"/>
      <c r="AA464" s="58"/>
      <c r="AB464" s="58"/>
      <c r="AC464" s="59"/>
      <c r="AD464" s="59"/>
    </row>
    <row r="465" spans="1:30" ht="12.75" customHeight="1" x14ac:dyDescent="0.2">
      <c r="A465" s="56"/>
      <c r="B465" s="56"/>
      <c r="C465" s="56"/>
      <c r="D465" s="57"/>
      <c r="E465" s="57"/>
      <c r="F465" s="56"/>
      <c r="G465" s="56"/>
      <c r="H465" s="56"/>
      <c r="I465" s="56"/>
      <c r="J465" s="56"/>
      <c r="K465" s="56"/>
      <c r="L465" s="56"/>
      <c r="M465" s="58"/>
      <c r="N465" s="58"/>
      <c r="O465" s="58"/>
      <c r="P465" s="58"/>
      <c r="Q465" s="58"/>
      <c r="R465" s="58"/>
      <c r="S465" s="58"/>
      <c r="T465" s="58"/>
      <c r="U465" s="58"/>
      <c r="V465" s="58"/>
      <c r="W465" s="58"/>
      <c r="X465" s="58"/>
      <c r="Y465" s="58"/>
      <c r="Z465" s="58"/>
      <c r="AA465" s="58"/>
      <c r="AB465" s="58"/>
      <c r="AC465" s="59"/>
      <c r="AD465" s="59"/>
    </row>
    <row r="466" spans="1:30" ht="12.75" customHeight="1" x14ac:dyDescent="0.2">
      <c r="A466" s="56"/>
      <c r="B466" s="56"/>
      <c r="C466" s="56"/>
      <c r="D466" s="57"/>
      <c r="E466" s="57"/>
      <c r="F466" s="56"/>
      <c r="G466" s="56"/>
      <c r="H466" s="56"/>
      <c r="I466" s="56"/>
      <c r="J466" s="56"/>
      <c r="K466" s="56"/>
      <c r="L466" s="56"/>
      <c r="M466" s="58"/>
      <c r="N466" s="58"/>
      <c r="O466" s="58"/>
      <c r="P466" s="58"/>
      <c r="Q466" s="58"/>
      <c r="R466" s="58"/>
      <c r="S466" s="58"/>
      <c r="T466" s="58"/>
      <c r="U466" s="58"/>
      <c r="V466" s="58"/>
      <c r="W466" s="58"/>
      <c r="X466" s="58"/>
      <c r="Y466" s="58"/>
      <c r="Z466" s="58"/>
      <c r="AA466" s="58"/>
      <c r="AB466" s="58"/>
      <c r="AC466" s="59"/>
      <c r="AD466" s="59"/>
    </row>
    <row r="467" spans="1:30" ht="12.75" customHeight="1" x14ac:dyDescent="0.2">
      <c r="A467" s="56"/>
      <c r="B467" s="56"/>
      <c r="C467" s="56"/>
      <c r="D467" s="57"/>
      <c r="E467" s="57"/>
      <c r="F467" s="56"/>
      <c r="G467" s="56"/>
      <c r="H467" s="56"/>
      <c r="I467" s="56"/>
      <c r="J467" s="56"/>
      <c r="K467" s="56"/>
      <c r="L467" s="56"/>
      <c r="M467" s="58"/>
      <c r="N467" s="58"/>
      <c r="O467" s="58"/>
      <c r="P467" s="58"/>
      <c r="Q467" s="58"/>
      <c r="R467" s="58"/>
      <c r="S467" s="58"/>
      <c r="T467" s="58"/>
      <c r="U467" s="58"/>
      <c r="V467" s="58"/>
      <c r="W467" s="58"/>
      <c r="X467" s="58"/>
      <c r="Y467" s="58"/>
      <c r="Z467" s="58"/>
      <c r="AA467" s="58"/>
      <c r="AB467" s="58"/>
      <c r="AC467" s="59"/>
      <c r="AD467" s="59"/>
    </row>
    <row r="468" spans="1:30" ht="12.75" customHeight="1" x14ac:dyDescent="0.2">
      <c r="A468" s="56"/>
      <c r="B468" s="56"/>
      <c r="C468" s="56"/>
      <c r="D468" s="57"/>
      <c r="E468" s="57"/>
      <c r="F468" s="56"/>
      <c r="G468" s="56"/>
      <c r="H468" s="56"/>
      <c r="I468" s="56"/>
      <c r="J468" s="56"/>
      <c r="K468" s="56"/>
      <c r="L468" s="56"/>
      <c r="M468" s="58"/>
      <c r="N468" s="58"/>
      <c r="O468" s="58"/>
      <c r="P468" s="58"/>
      <c r="Q468" s="58"/>
      <c r="R468" s="58"/>
      <c r="S468" s="58"/>
      <c r="T468" s="58"/>
      <c r="U468" s="58"/>
      <c r="V468" s="58"/>
      <c r="W468" s="58"/>
      <c r="X468" s="58"/>
      <c r="Y468" s="58"/>
      <c r="Z468" s="58"/>
      <c r="AA468" s="58"/>
      <c r="AB468" s="58"/>
      <c r="AC468" s="59"/>
      <c r="AD468" s="59"/>
    </row>
    <row r="469" spans="1:30" ht="12.75" customHeight="1" x14ac:dyDescent="0.2">
      <c r="A469" s="56"/>
      <c r="B469" s="56"/>
      <c r="C469" s="56"/>
      <c r="D469" s="57"/>
      <c r="E469" s="57"/>
      <c r="F469" s="56"/>
      <c r="G469" s="56"/>
      <c r="H469" s="56"/>
      <c r="I469" s="56"/>
      <c r="J469" s="56"/>
      <c r="K469" s="56"/>
      <c r="L469" s="56"/>
      <c r="M469" s="58"/>
      <c r="N469" s="58"/>
      <c r="O469" s="58"/>
      <c r="P469" s="58"/>
      <c r="Q469" s="58"/>
      <c r="R469" s="58"/>
      <c r="S469" s="58"/>
      <c r="T469" s="58"/>
      <c r="U469" s="58"/>
      <c r="V469" s="58"/>
      <c r="W469" s="58"/>
      <c r="X469" s="58"/>
      <c r="Y469" s="58"/>
      <c r="Z469" s="58"/>
      <c r="AA469" s="58"/>
      <c r="AB469" s="58"/>
      <c r="AC469" s="59"/>
      <c r="AD469" s="59"/>
    </row>
    <row r="470" spans="1:30" ht="12.75" customHeight="1" x14ac:dyDescent="0.2">
      <c r="A470" s="56"/>
      <c r="B470" s="56"/>
      <c r="C470" s="56"/>
      <c r="D470" s="57"/>
      <c r="E470" s="57"/>
      <c r="F470" s="56"/>
      <c r="G470" s="56"/>
      <c r="H470" s="56"/>
      <c r="I470" s="56"/>
      <c r="J470" s="56"/>
      <c r="K470" s="56"/>
      <c r="L470" s="56"/>
      <c r="M470" s="58"/>
      <c r="N470" s="58"/>
      <c r="O470" s="58"/>
      <c r="P470" s="58"/>
      <c r="Q470" s="58"/>
      <c r="R470" s="58"/>
      <c r="S470" s="58"/>
      <c r="T470" s="58"/>
      <c r="U470" s="58"/>
      <c r="V470" s="58"/>
      <c r="W470" s="58"/>
      <c r="X470" s="58"/>
      <c r="Y470" s="58"/>
      <c r="Z470" s="58"/>
      <c r="AA470" s="58"/>
      <c r="AB470" s="58"/>
      <c r="AC470" s="59"/>
      <c r="AD470" s="59"/>
    </row>
    <row r="471" spans="1:30" ht="12.75" customHeight="1" x14ac:dyDescent="0.2">
      <c r="A471" s="56"/>
      <c r="B471" s="56"/>
      <c r="C471" s="56"/>
      <c r="D471" s="57"/>
      <c r="E471" s="57"/>
      <c r="F471" s="56"/>
      <c r="G471" s="56"/>
      <c r="H471" s="56"/>
      <c r="I471" s="56"/>
      <c r="J471" s="56"/>
      <c r="K471" s="56"/>
      <c r="L471" s="56"/>
      <c r="M471" s="58"/>
      <c r="N471" s="58"/>
      <c r="O471" s="58"/>
      <c r="P471" s="58"/>
      <c r="Q471" s="58"/>
      <c r="R471" s="58"/>
      <c r="S471" s="58"/>
      <c r="T471" s="58"/>
      <c r="U471" s="58"/>
      <c r="V471" s="58"/>
      <c r="W471" s="58"/>
      <c r="X471" s="58"/>
      <c r="Y471" s="58"/>
      <c r="Z471" s="58"/>
      <c r="AA471" s="58"/>
      <c r="AB471" s="58"/>
      <c r="AC471" s="59"/>
      <c r="AD471" s="59"/>
    </row>
    <row r="472" spans="1:30" ht="12.75" customHeight="1" x14ac:dyDescent="0.2">
      <c r="A472" s="56"/>
      <c r="B472" s="56"/>
      <c r="C472" s="56"/>
      <c r="D472" s="57"/>
      <c r="E472" s="57"/>
      <c r="F472" s="56"/>
      <c r="G472" s="56"/>
      <c r="H472" s="56"/>
      <c r="I472" s="56"/>
      <c r="J472" s="56"/>
      <c r="K472" s="56"/>
      <c r="L472" s="56"/>
      <c r="M472" s="58"/>
      <c r="N472" s="58"/>
      <c r="O472" s="58"/>
      <c r="P472" s="58"/>
      <c r="Q472" s="58"/>
      <c r="R472" s="58"/>
      <c r="S472" s="58"/>
      <c r="T472" s="58"/>
      <c r="U472" s="58"/>
      <c r="V472" s="58"/>
      <c r="W472" s="58"/>
      <c r="X472" s="58"/>
      <c r="Y472" s="58"/>
      <c r="Z472" s="58"/>
      <c r="AA472" s="58"/>
      <c r="AB472" s="58"/>
      <c r="AC472" s="59"/>
      <c r="AD472" s="59"/>
    </row>
    <row r="473" spans="1:30" ht="12.75" customHeight="1" x14ac:dyDescent="0.2">
      <c r="A473" s="56"/>
      <c r="B473" s="56"/>
      <c r="C473" s="56"/>
      <c r="D473" s="57"/>
      <c r="E473" s="57"/>
      <c r="F473" s="56"/>
      <c r="G473" s="56"/>
      <c r="H473" s="56"/>
      <c r="I473" s="56"/>
      <c r="J473" s="56"/>
      <c r="K473" s="56"/>
      <c r="L473" s="56"/>
      <c r="M473" s="58"/>
      <c r="N473" s="58"/>
      <c r="O473" s="58"/>
      <c r="P473" s="58"/>
      <c r="Q473" s="58"/>
      <c r="R473" s="58"/>
      <c r="S473" s="58"/>
      <c r="T473" s="58"/>
      <c r="U473" s="58"/>
      <c r="V473" s="58"/>
      <c r="W473" s="58"/>
      <c r="X473" s="58"/>
      <c r="Y473" s="58"/>
      <c r="Z473" s="58"/>
      <c r="AA473" s="58"/>
      <c r="AB473" s="58"/>
      <c r="AC473" s="59"/>
      <c r="AD473" s="59"/>
    </row>
    <row r="474" spans="1:30" ht="12.75" customHeight="1" x14ac:dyDescent="0.2">
      <c r="A474" s="56"/>
      <c r="B474" s="56"/>
      <c r="C474" s="56"/>
      <c r="D474" s="57"/>
      <c r="E474" s="57"/>
      <c r="F474" s="56"/>
      <c r="G474" s="56"/>
      <c r="H474" s="56"/>
      <c r="I474" s="56"/>
      <c r="J474" s="56"/>
      <c r="K474" s="56"/>
      <c r="L474" s="56"/>
      <c r="M474" s="58"/>
      <c r="N474" s="58"/>
      <c r="O474" s="58"/>
      <c r="P474" s="58"/>
      <c r="Q474" s="58"/>
      <c r="R474" s="58"/>
      <c r="S474" s="58"/>
      <c r="T474" s="58"/>
      <c r="U474" s="58"/>
      <c r="V474" s="58"/>
      <c r="W474" s="58"/>
      <c r="X474" s="58"/>
      <c r="Y474" s="58"/>
      <c r="Z474" s="58"/>
      <c r="AA474" s="58"/>
      <c r="AB474" s="58"/>
      <c r="AC474" s="59"/>
      <c r="AD474" s="59"/>
    </row>
    <row r="475" spans="1:30" ht="12.75" customHeight="1" x14ac:dyDescent="0.2">
      <c r="A475" s="56"/>
      <c r="B475" s="56"/>
      <c r="C475" s="56"/>
      <c r="D475" s="57"/>
      <c r="E475" s="57"/>
      <c r="F475" s="56"/>
      <c r="G475" s="56"/>
      <c r="H475" s="56"/>
      <c r="I475" s="56"/>
      <c r="J475" s="56"/>
      <c r="K475" s="56"/>
      <c r="L475" s="56"/>
      <c r="M475" s="58"/>
      <c r="N475" s="58"/>
      <c r="O475" s="58"/>
      <c r="P475" s="58"/>
      <c r="Q475" s="58"/>
      <c r="R475" s="58"/>
      <c r="S475" s="58"/>
      <c r="T475" s="58"/>
      <c r="U475" s="58"/>
      <c r="V475" s="58"/>
      <c r="W475" s="58"/>
      <c r="X475" s="58"/>
      <c r="Y475" s="58"/>
      <c r="Z475" s="58"/>
      <c r="AA475" s="58"/>
      <c r="AB475" s="58"/>
      <c r="AC475" s="59"/>
      <c r="AD475" s="59"/>
    </row>
    <row r="476" spans="1:30" ht="12.75" customHeight="1" x14ac:dyDescent="0.2">
      <c r="A476" s="56"/>
      <c r="B476" s="56"/>
      <c r="C476" s="56"/>
      <c r="D476" s="57"/>
      <c r="E476" s="57"/>
      <c r="F476" s="56"/>
      <c r="G476" s="56"/>
      <c r="H476" s="56"/>
      <c r="I476" s="56"/>
      <c r="J476" s="56"/>
      <c r="K476" s="56"/>
      <c r="L476" s="56"/>
      <c r="M476" s="58"/>
      <c r="N476" s="58"/>
      <c r="O476" s="58"/>
      <c r="P476" s="58"/>
      <c r="Q476" s="58"/>
      <c r="R476" s="58"/>
      <c r="S476" s="58"/>
      <c r="T476" s="58"/>
      <c r="U476" s="58"/>
      <c r="V476" s="58"/>
      <c r="W476" s="58"/>
      <c r="X476" s="58"/>
      <c r="Y476" s="58"/>
      <c r="Z476" s="58"/>
      <c r="AA476" s="58"/>
      <c r="AB476" s="58"/>
      <c r="AC476" s="59"/>
      <c r="AD476" s="59"/>
    </row>
    <row r="477" spans="1:30" ht="12.75" customHeight="1" x14ac:dyDescent="0.2">
      <c r="A477" s="56"/>
      <c r="B477" s="56"/>
      <c r="C477" s="56"/>
      <c r="D477" s="57"/>
      <c r="E477" s="57"/>
      <c r="F477" s="56"/>
      <c r="G477" s="56"/>
      <c r="H477" s="56"/>
      <c r="I477" s="56"/>
      <c r="J477" s="56"/>
      <c r="K477" s="56"/>
      <c r="L477" s="56"/>
      <c r="M477" s="58"/>
      <c r="N477" s="58"/>
      <c r="O477" s="58"/>
      <c r="P477" s="58"/>
      <c r="Q477" s="58"/>
      <c r="R477" s="58"/>
      <c r="S477" s="58"/>
      <c r="T477" s="58"/>
      <c r="U477" s="58"/>
      <c r="V477" s="58"/>
      <c r="W477" s="58"/>
      <c r="X477" s="58"/>
      <c r="Y477" s="58"/>
      <c r="Z477" s="58"/>
      <c r="AA477" s="58"/>
      <c r="AB477" s="58"/>
      <c r="AC477" s="59"/>
      <c r="AD477" s="59"/>
    </row>
    <row r="478" spans="1:30" ht="12.75" customHeight="1" x14ac:dyDescent="0.2">
      <c r="A478" s="56"/>
      <c r="B478" s="56"/>
      <c r="C478" s="56"/>
      <c r="D478" s="57"/>
      <c r="E478" s="57"/>
      <c r="F478" s="56"/>
      <c r="G478" s="56"/>
      <c r="H478" s="56"/>
      <c r="I478" s="56"/>
      <c r="J478" s="56"/>
      <c r="K478" s="56"/>
      <c r="L478" s="56"/>
      <c r="M478" s="58"/>
      <c r="N478" s="58"/>
      <c r="O478" s="58"/>
      <c r="P478" s="58"/>
      <c r="Q478" s="58"/>
      <c r="R478" s="58"/>
      <c r="S478" s="58"/>
      <c r="T478" s="58"/>
      <c r="U478" s="58"/>
      <c r="V478" s="58"/>
      <c r="W478" s="58"/>
      <c r="X478" s="58"/>
      <c r="Y478" s="58"/>
      <c r="Z478" s="58"/>
      <c r="AA478" s="58"/>
      <c r="AB478" s="58"/>
      <c r="AC478" s="59"/>
      <c r="AD478" s="59"/>
    </row>
    <row r="479" spans="1:30" ht="12.75" customHeight="1" x14ac:dyDescent="0.2">
      <c r="A479" s="56"/>
      <c r="B479" s="56"/>
      <c r="C479" s="56"/>
      <c r="D479" s="57"/>
      <c r="E479" s="57"/>
      <c r="F479" s="56"/>
      <c r="G479" s="56"/>
      <c r="H479" s="56"/>
      <c r="I479" s="56"/>
      <c r="J479" s="56"/>
      <c r="K479" s="56"/>
      <c r="L479" s="56"/>
      <c r="M479" s="58"/>
      <c r="N479" s="58"/>
      <c r="O479" s="58"/>
      <c r="P479" s="58"/>
      <c r="Q479" s="58"/>
      <c r="R479" s="58"/>
      <c r="S479" s="58"/>
      <c r="T479" s="58"/>
      <c r="U479" s="58"/>
      <c r="V479" s="58"/>
      <c r="W479" s="58"/>
      <c r="X479" s="58"/>
      <c r="Y479" s="58"/>
      <c r="Z479" s="58"/>
      <c r="AA479" s="58"/>
      <c r="AB479" s="58"/>
      <c r="AC479" s="59"/>
      <c r="AD479" s="59"/>
    </row>
    <row r="480" spans="1:30" ht="12.75" customHeight="1" x14ac:dyDescent="0.2">
      <c r="A480" s="56"/>
      <c r="B480" s="56"/>
      <c r="C480" s="56"/>
      <c r="D480" s="57"/>
      <c r="E480" s="57"/>
      <c r="F480" s="56"/>
      <c r="G480" s="56"/>
      <c r="H480" s="56"/>
      <c r="I480" s="56"/>
      <c r="J480" s="56"/>
      <c r="K480" s="56"/>
      <c r="L480" s="56"/>
      <c r="M480" s="58"/>
      <c r="N480" s="58"/>
      <c r="O480" s="58"/>
      <c r="P480" s="58"/>
      <c r="Q480" s="58"/>
      <c r="R480" s="58"/>
      <c r="S480" s="58"/>
      <c r="T480" s="58"/>
      <c r="U480" s="58"/>
      <c r="V480" s="58"/>
      <c r="W480" s="58"/>
      <c r="X480" s="58"/>
      <c r="Y480" s="58"/>
      <c r="Z480" s="58"/>
      <c r="AA480" s="58"/>
      <c r="AB480" s="58"/>
      <c r="AC480" s="59"/>
      <c r="AD480" s="59"/>
    </row>
    <row r="481" spans="1:30" ht="12.75" customHeight="1" x14ac:dyDescent="0.2">
      <c r="A481" s="56"/>
      <c r="B481" s="56"/>
      <c r="C481" s="56"/>
      <c r="D481" s="57"/>
      <c r="E481" s="57"/>
      <c r="F481" s="56"/>
      <c r="G481" s="56"/>
      <c r="H481" s="56"/>
      <c r="I481" s="56"/>
      <c r="J481" s="56"/>
      <c r="K481" s="56"/>
      <c r="L481" s="56"/>
      <c r="M481" s="58"/>
      <c r="N481" s="58"/>
      <c r="O481" s="58"/>
      <c r="P481" s="58"/>
      <c r="Q481" s="58"/>
      <c r="R481" s="58"/>
      <c r="S481" s="58"/>
      <c r="T481" s="58"/>
      <c r="U481" s="58"/>
      <c r="V481" s="58"/>
      <c r="W481" s="58"/>
      <c r="X481" s="58"/>
      <c r="Y481" s="58"/>
      <c r="Z481" s="58"/>
      <c r="AA481" s="58"/>
      <c r="AB481" s="58"/>
      <c r="AC481" s="59"/>
      <c r="AD481" s="59"/>
    </row>
    <row r="482" spans="1:30" ht="12.75" customHeight="1" x14ac:dyDescent="0.2">
      <c r="A482" s="56"/>
      <c r="B482" s="56"/>
      <c r="C482" s="56"/>
      <c r="D482" s="57"/>
      <c r="E482" s="57"/>
      <c r="F482" s="56"/>
      <c r="G482" s="56"/>
      <c r="H482" s="56"/>
      <c r="I482" s="56"/>
      <c r="J482" s="56"/>
      <c r="K482" s="56"/>
      <c r="L482" s="56"/>
      <c r="M482" s="58"/>
      <c r="N482" s="58"/>
      <c r="O482" s="58"/>
      <c r="P482" s="58"/>
      <c r="Q482" s="58"/>
      <c r="R482" s="58"/>
      <c r="S482" s="58"/>
      <c r="T482" s="58"/>
      <c r="U482" s="58"/>
      <c r="V482" s="58"/>
      <c r="W482" s="58"/>
      <c r="X482" s="58"/>
      <c r="Y482" s="58"/>
      <c r="Z482" s="58"/>
      <c r="AA482" s="58"/>
      <c r="AB482" s="58"/>
      <c r="AC482" s="59"/>
      <c r="AD482" s="59"/>
    </row>
    <row r="483" spans="1:30" ht="12.75" customHeight="1" x14ac:dyDescent="0.2">
      <c r="A483" s="56"/>
      <c r="B483" s="56"/>
      <c r="C483" s="56"/>
      <c r="D483" s="57"/>
      <c r="E483" s="57"/>
      <c r="F483" s="56"/>
      <c r="G483" s="56"/>
      <c r="H483" s="56"/>
      <c r="I483" s="56"/>
      <c r="J483" s="56"/>
      <c r="K483" s="56"/>
      <c r="L483" s="56"/>
      <c r="M483" s="58"/>
      <c r="N483" s="58"/>
      <c r="O483" s="58"/>
      <c r="P483" s="58"/>
      <c r="Q483" s="58"/>
      <c r="R483" s="58"/>
      <c r="S483" s="58"/>
      <c r="T483" s="58"/>
      <c r="U483" s="58"/>
      <c r="V483" s="58"/>
      <c r="W483" s="58"/>
      <c r="X483" s="58"/>
      <c r="Y483" s="58"/>
      <c r="Z483" s="58"/>
      <c r="AA483" s="58"/>
      <c r="AB483" s="58"/>
      <c r="AC483" s="59"/>
      <c r="AD483" s="59"/>
    </row>
    <row r="484" spans="1:30" ht="12.75" customHeight="1" x14ac:dyDescent="0.2">
      <c r="A484" s="56"/>
      <c r="B484" s="56"/>
      <c r="C484" s="56"/>
      <c r="D484" s="57"/>
      <c r="E484" s="57"/>
      <c r="F484" s="56"/>
      <c r="G484" s="56"/>
      <c r="H484" s="56"/>
      <c r="I484" s="56"/>
      <c r="J484" s="56"/>
      <c r="K484" s="56"/>
      <c r="L484" s="56"/>
      <c r="M484" s="58"/>
      <c r="N484" s="58"/>
      <c r="O484" s="58"/>
      <c r="P484" s="58"/>
      <c r="Q484" s="58"/>
      <c r="R484" s="58"/>
      <c r="S484" s="58"/>
      <c r="T484" s="58"/>
      <c r="U484" s="58"/>
      <c r="V484" s="58"/>
      <c r="W484" s="58"/>
      <c r="X484" s="58"/>
      <c r="Y484" s="58"/>
      <c r="Z484" s="58"/>
      <c r="AA484" s="58"/>
      <c r="AB484" s="58"/>
      <c r="AC484" s="59"/>
      <c r="AD484" s="59"/>
    </row>
    <row r="485" spans="1:30" ht="12.75" customHeight="1" x14ac:dyDescent="0.2">
      <c r="A485" s="56"/>
      <c r="B485" s="56"/>
      <c r="C485" s="56"/>
      <c r="D485" s="57"/>
      <c r="E485" s="57"/>
      <c r="F485" s="56"/>
      <c r="G485" s="56"/>
      <c r="H485" s="56"/>
      <c r="I485" s="56"/>
      <c r="J485" s="56"/>
      <c r="K485" s="56"/>
      <c r="L485" s="56"/>
      <c r="M485" s="58"/>
      <c r="N485" s="58"/>
      <c r="O485" s="58"/>
      <c r="P485" s="58"/>
      <c r="Q485" s="58"/>
      <c r="R485" s="58"/>
      <c r="S485" s="58"/>
      <c r="T485" s="58"/>
      <c r="U485" s="58"/>
      <c r="V485" s="58"/>
      <c r="W485" s="58"/>
      <c r="X485" s="58"/>
      <c r="Y485" s="58"/>
      <c r="Z485" s="58"/>
      <c r="AA485" s="58"/>
      <c r="AB485" s="58"/>
      <c r="AC485" s="59"/>
      <c r="AD485" s="59"/>
    </row>
    <row r="486" spans="1:30" ht="12.75" customHeight="1" x14ac:dyDescent="0.2">
      <c r="A486" s="56"/>
      <c r="B486" s="56"/>
      <c r="C486" s="56"/>
      <c r="D486" s="57"/>
      <c r="E486" s="57"/>
      <c r="F486" s="56"/>
      <c r="G486" s="56"/>
      <c r="H486" s="56"/>
      <c r="I486" s="56"/>
      <c r="J486" s="56"/>
      <c r="K486" s="56"/>
      <c r="L486" s="56"/>
      <c r="M486" s="58"/>
      <c r="N486" s="58"/>
      <c r="O486" s="58"/>
      <c r="P486" s="58"/>
      <c r="Q486" s="58"/>
      <c r="R486" s="58"/>
      <c r="S486" s="58"/>
      <c r="T486" s="58"/>
      <c r="U486" s="58"/>
      <c r="V486" s="58"/>
      <c r="W486" s="58"/>
      <c r="X486" s="58"/>
      <c r="Y486" s="58"/>
      <c r="Z486" s="58"/>
      <c r="AA486" s="58"/>
      <c r="AB486" s="58"/>
      <c r="AC486" s="59"/>
      <c r="AD486" s="59"/>
    </row>
    <row r="487" spans="1:30" ht="12.75" customHeight="1" x14ac:dyDescent="0.2">
      <c r="A487" s="56"/>
      <c r="B487" s="56"/>
      <c r="C487" s="56"/>
      <c r="D487" s="57"/>
      <c r="E487" s="57"/>
      <c r="F487" s="56"/>
      <c r="G487" s="56"/>
      <c r="H487" s="56"/>
      <c r="I487" s="56"/>
      <c r="J487" s="56"/>
      <c r="K487" s="56"/>
      <c r="L487" s="56"/>
      <c r="M487" s="58"/>
      <c r="N487" s="58"/>
      <c r="O487" s="58"/>
      <c r="P487" s="58"/>
      <c r="Q487" s="58"/>
      <c r="R487" s="58"/>
      <c r="S487" s="58"/>
      <c r="T487" s="58"/>
      <c r="U487" s="58"/>
      <c r="V487" s="58"/>
      <c r="W487" s="58"/>
      <c r="X487" s="58"/>
      <c r="Y487" s="58"/>
      <c r="Z487" s="58"/>
      <c r="AA487" s="58"/>
      <c r="AB487" s="58"/>
      <c r="AC487" s="59"/>
      <c r="AD487" s="59"/>
    </row>
    <row r="488" spans="1:30" ht="12.75" customHeight="1" x14ac:dyDescent="0.2">
      <c r="A488" s="56"/>
      <c r="B488" s="56"/>
      <c r="C488" s="56"/>
      <c r="D488" s="57"/>
      <c r="E488" s="57"/>
      <c r="F488" s="56"/>
      <c r="G488" s="56"/>
      <c r="H488" s="56"/>
      <c r="I488" s="56"/>
      <c r="J488" s="56"/>
      <c r="K488" s="56"/>
      <c r="L488" s="56"/>
      <c r="M488" s="58"/>
      <c r="N488" s="58"/>
      <c r="O488" s="58"/>
      <c r="P488" s="58"/>
      <c r="Q488" s="58"/>
      <c r="R488" s="58"/>
      <c r="S488" s="58"/>
      <c r="T488" s="58"/>
      <c r="U488" s="58"/>
      <c r="V488" s="58"/>
      <c r="W488" s="58"/>
      <c r="X488" s="58"/>
      <c r="Y488" s="58"/>
      <c r="Z488" s="58"/>
      <c r="AA488" s="58"/>
      <c r="AB488" s="58"/>
      <c r="AC488" s="59"/>
      <c r="AD488" s="59"/>
    </row>
    <row r="489" spans="1:30" ht="12.75" customHeight="1" x14ac:dyDescent="0.2">
      <c r="A489" s="56"/>
      <c r="B489" s="56"/>
      <c r="C489" s="56"/>
      <c r="D489" s="57"/>
      <c r="E489" s="57"/>
      <c r="F489" s="56"/>
      <c r="G489" s="56"/>
      <c r="H489" s="56"/>
      <c r="I489" s="56"/>
      <c r="J489" s="56"/>
      <c r="K489" s="56"/>
      <c r="L489" s="56"/>
      <c r="M489" s="58"/>
      <c r="N489" s="58"/>
      <c r="O489" s="58"/>
      <c r="P489" s="58"/>
      <c r="Q489" s="58"/>
      <c r="R489" s="58"/>
      <c r="S489" s="58"/>
      <c r="T489" s="58"/>
      <c r="U489" s="58"/>
      <c r="V489" s="58"/>
      <c r="W489" s="58"/>
      <c r="X489" s="58"/>
      <c r="Y489" s="58"/>
      <c r="Z489" s="58"/>
      <c r="AA489" s="58"/>
      <c r="AB489" s="58"/>
      <c r="AC489" s="59"/>
      <c r="AD489" s="59"/>
    </row>
    <row r="490" spans="1:30" ht="12.75" customHeight="1" x14ac:dyDescent="0.2">
      <c r="A490" s="56"/>
      <c r="B490" s="56"/>
      <c r="C490" s="56"/>
      <c r="D490" s="57"/>
      <c r="E490" s="57"/>
      <c r="F490" s="56"/>
      <c r="G490" s="56"/>
      <c r="H490" s="56"/>
      <c r="I490" s="56"/>
      <c r="J490" s="56"/>
      <c r="K490" s="56"/>
      <c r="L490" s="56"/>
      <c r="M490" s="58"/>
      <c r="N490" s="58"/>
      <c r="O490" s="58"/>
      <c r="P490" s="58"/>
      <c r="Q490" s="58"/>
      <c r="R490" s="58"/>
      <c r="S490" s="58"/>
      <c r="T490" s="58"/>
      <c r="U490" s="58"/>
      <c r="V490" s="58"/>
      <c r="W490" s="58"/>
      <c r="X490" s="58"/>
      <c r="Y490" s="58"/>
      <c r="Z490" s="58"/>
      <c r="AA490" s="58"/>
      <c r="AB490" s="58"/>
      <c r="AC490" s="59"/>
      <c r="AD490" s="59"/>
    </row>
    <row r="491" spans="1:30" ht="12.75" customHeight="1" x14ac:dyDescent="0.2">
      <c r="A491" s="56"/>
      <c r="B491" s="56"/>
      <c r="C491" s="56"/>
      <c r="D491" s="57"/>
      <c r="E491" s="57"/>
      <c r="F491" s="56"/>
      <c r="G491" s="56"/>
      <c r="H491" s="56"/>
      <c r="I491" s="56"/>
      <c r="J491" s="56"/>
      <c r="K491" s="56"/>
      <c r="L491" s="56"/>
      <c r="M491" s="58"/>
      <c r="N491" s="58"/>
      <c r="O491" s="58"/>
      <c r="P491" s="58"/>
      <c r="Q491" s="58"/>
      <c r="R491" s="58"/>
      <c r="S491" s="58"/>
      <c r="T491" s="58"/>
      <c r="U491" s="58"/>
      <c r="V491" s="58"/>
      <c r="W491" s="58"/>
      <c r="X491" s="58"/>
      <c r="Y491" s="58"/>
      <c r="Z491" s="58"/>
      <c r="AA491" s="58"/>
      <c r="AB491" s="58"/>
      <c r="AC491" s="59"/>
      <c r="AD491" s="59"/>
    </row>
    <row r="492" spans="1:30" ht="12.75" customHeight="1" x14ac:dyDescent="0.2">
      <c r="A492" s="56"/>
      <c r="B492" s="56"/>
      <c r="C492" s="56"/>
      <c r="D492" s="57"/>
      <c r="E492" s="57"/>
      <c r="F492" s="56"/>
      <c r="G492" s="56"/>
      <c r="H492" s="56"/>
      <c r="I492" s="56"/>
      <c r="J492" s="56"/>
      <c r="K492" s="56"/>
      <c r="L492" s="56"/>
      <c r="M492" s="58"/>
      <c r="N492" s="58"/>
      <c r="O492" s="58"/>
      <c r="P492" s="58"/>
      <c r="Q492" s="58"/>
      <c r="R492" s="58"/>
      <c r="S492" s="58"/>
      <c r="T492" s="58"/>
      <c r="U492" s="58"/>
      <c r="V492" s="58"/>
      <c r="W492" s="58"/>
      <c r="X492" s="58"/>
      <c r="Y492" s="58"/>
      <c r="Z492" s="58"/>
      <c r="AA492" s="58"/>
      <c r="AB492" s="58"/>
      <c r="AC492" s="59"/>
      <c r="AD492" s="59"/>
    </row>
    <row r="493" spans="1:30" ht="12.75" customHeight="1" x14ac:dyDescent="0.2">
      <c r="A493" s="56"/>
      <c r="B493" s="56"/>
      <c r="C493" s="56"/>
      <c r="D493" s="57"/>
      <c r="E493" s="57"/>
      <c r="F493" s="56"/>
      <c r="G493" s="56"/>
      <c r="H493" s="56"/>
      <c r="I493" s="56"/>
      <c r="J493" s="56"/>
      <c r="K493" s="56"/>
      <c r="L493" s="56"/>
      <c r="M493" s="58"/>
      <c r="N493" s="58"/>
      <c r="O493" s="58"/>
      <c r="P493" s="58"/>
      <c r="Q493" s="58"/>
      <c r="R493" s="58"/>
      <c r="S493" s="58"/>
      <c r="T493" s="58"/>
      <c r="U493" s="58"/>
      <c r="V493" s="58"/>
      <c r="W493" s="58"/>
      <c r="X493" s="58"/>
      <c r="Y493" s="58"/>
      <c r="Z493" s="58"/>
      <c r="AA493" s="58"/>
      <c r="AB493" s="58"/>
      <c r="AC493" s="59"/>
      <c r="AD493" s="59"/>
    </row>
    <row r="494" spans="1:30" ht="12.75" customHeight="1" x14ac:dyDescent="0.2">
      <c r="A494" s="56"/>
      <c r="B494" s="56"/>
      <c r="C494" s="56"/>
      <c r="D494" s="57"/>
      <c r="E494" s="57"/>
      <c r="F494" s="56"/>
      <c r="G494" s="56"/>
      <c r="H494" s="56"/>
      <c r="I494" s="56"/>
      <c r="J494" s="56"/>
      <c r="K494" s="56"/>
      <c r="L494" s="56"/>
      <c r="M494" s="58"/>
      <c r="N494" s="58"/>
      <c r="O494" s="58"/>
      <c r="P494" s="58"/>
      <c r="Q494" s="58"/>
      <c r="R494" s="58"/>
      <c r="S494" s="58"/>
      <c r="T494" s="58"/>
      <c r="U494" s="58"/>
      <c r="V494" s="58"/>
      <c r="W494" s="58"/>
      <c r="X494" s="58"/>
      <c r="Y494" s="58"/>
      <c r="Z494" s="58"/>
      <c r="AA494" s="58"/>
      <c r="AB494" s="58"/>
      <c r="AC494" s="59"/>
      <c r="AD494" s="59"/>
    </row>
    <row r="495" spans="1:30" ht="12.75" customHeight="1" x14ac:dyDescent="0.2">
      <c r="A495" s="56"/>
      <c r="B495" s="56"/>
      <c r="C495" s="56"/>
      <c r="D495" s="57"/>
      <c r="E495" s="57"/>
      <c r="F495" s="56"/>
      <c r="G495" s="56"/>
      <c r="H495" s="56"/>
      <c r="I495" s="56"/>
      <c r="J495" s="56"/>
      <c r="K495" s="56"/>
      <c r="L495" s="56"/>
      <c r="M495" s="58"/>
      <c r="N495" s="58"/>
      <c r="O495" s="58"/>
      <c r="P495" s="58"/>
      <c r="Q495" s="58"/>
      <c r="R495" s="58"/>
      <c r="S495" s="58"/>
      <c r="T495" s="58"/>
      <c r="U495" s="58"/>
      <c r="V495" s="58"/>
      <c r="W495" s="58"/>
      <c r="X495" s="58"/>
      <c r="Y495" s="58"/>
      <c r="Z495" s="58"/>
      <c r="AA495" s="58"/>
      <c r="AB495" s="58"/>
      <c r="AC495" s="59"/>
      <c r="AD495" s="59"/>
    </row>
    <row r="496" spans="1:30" ht="12.75" customHeight="1" x14ac:dyDescent="0.2">
      <c r="A496" s="56"/>
      <c r="B496" s="56"/>
      <c r="C496" s="56"/>
      <c r="D496" s="57"/>
      <c r="E496" s="57"/>
      <c r="F496" s="56"/>
      <c r="G496" s="56"/>
      <c r="H496" s="56"/>
      <c r="I496" s="56"/>
      <c r="J496" s="56"/>
      <c r="K496" s="56"/>
      <c r="L496" s="56"/>
      <c r="M496" s="58"/>
      <c r="N496" s="58"/>
      <c r="O496" s="58"/>
      <c r="P496" s="58"/>
      <c r="Q496" s="58"/>
      <c r="R496" s="58"/>
      <c r="S496" s="58"/>
      <c r="T496" s="58"/>
      <c r="U496" s="58"/>
      <c r="V496" s="58"/>
      <c r="W496" s="58"/>
      <c r="X496" s="58"/>
      <c r="Y496" s="58"/>
      <c r="Z496" s="58"/>
      <c r="AA496" s="58"/>
      <c r="AB496" s="58"/>
      <c r="AC496" s="59"/>
      <c r="AD496" s="59"/>
    </row>
    <row r="497" spans="1:30" ht="12.75" customHeight="1" x14ac:dyDescent="0.2">
      <c r="A497" s="56"/>
      <c r="B497" s="56"/>
      <c r="C497" s="56"/>
      <c r="D497" s="57"/>
      <c r="E497" s="57"/>
      <c r="F497" s="56"/>
      <c r="G497" s="56"/>
      <c r="H497" s="56"/>
      <c r="I497" s="56"/>
      <c r="J497" s="56"/>
      <c r="K497" s="56"/>
      <c r="L497" s="56"/>
      <c r="M497" s="58"/>
      <c r="N497" s="58"/>
      <c r="O497" s="58"/>
      <c r="P497" s="58"/>
      <c r="Q497" s="58"/>
      <c r="R497" s="58"/>
      <c r="S497" s="58"/>
      <c r="T497" s="58"/>
      <c r="U497" s="58"/>
      <c r="V497" s="58"/>
      <c r="W497" s="58"/>
      <c r="X497" s="58"/>
      <c r="Y497" s="58"/>
      <c r="Z497" s="58"/>
      <c r="AA497" s="58"/>
      <c r="AB497" s="58"/>
      <c r="AC497" s="59"/>
      <c r="AD497" s="59"/>
    </row>
    <row r="498" spans="1:30" ht="12.75" customHeight="1" x14ac:dyDescent="0.2">
      <c r="A498" s="56"/>
      <c r="B498" s="56"/>
      <c r="C498" s="56"/>
      <c r="D498" s="57"/>
      <c r="E498" s="57"/>
      <c r="F498" s="56"/>
      <c r="G498" s="56"/>
      <c r="H498" s="56"/>
      <c r="I498" s="56"/>
      <c r="J498" s="56"/>
      <c r="K498" s="56"/>
      <c r="L498" s="56"/>
      <c r="M498" s="58"/>
      <c r="N498" s="58"/>
      <c r="O498" s="58"/>
      <c r="P498" s="58"/>
      <c r="Q498" s="58"/>
      <c r="R498" s="58"/>
      <c r="S498" s="58"/>
      <c r="T498" s="58"/>
      <c r="U498" s="58"/>
      <c r="V498" s="58"/>
      <c r="W498" s="58"/>
      <c r="X498" s="58"/>
      <c r="Y498" s="58"/>
      <c r="Z498" s="58"/>
      <c r="AA498" s="58"/>
      <c r="AB498" s="58"/>
      <c r="AC498" s="59"/>
      <c r="AD498" s="59"/>
    </row>
    <row r="499" spans="1:30" ht="12.75" customHeight="1" x14ac:dyDescent="0.2">
      <c r="A499" s="56"/>
      <c r="B499" s="56"/>
      <c r="C499" s="56"/>
      <c r="D499" s="57"/>
      <c r="E499" s="57"/>
      <c r="F499" s="56"/>
      <c r="G499" s="56"/>
      <c r="H499" s="56"/>
      <c r="I499" s="56"/>
      <c r="J499" s="56"/>
      <c r="K499" s="56"/>
      <c r="L499" s="56"/>
      <c r="M499" s="58"/>
      <c r="N499" s="58"/>
      <c r="O499" s="58"/>
      <c r="P499" s="58"/>
      <c r="Q499" s="58"/>
      <c r="R499" s="58"/>
      <c r="S499" s="58"/>
      <c r="T499" s="58"/>
      <c r="U499" s="58"/>
      <c r="V499" s="58"/>
      <c r="W499" s="58"/>
      <c r="X499" s="58"/>
      <c r="Y499" s="58"/>
      <c r="Z499" s="58"/>
      <c r="AA499" s="58"/>
      <c r="AB499" s="58"/>
      <c r="AC499" s="59"/>
      <c r="AD499" s="59"/>
    </row>
    <row r="500" spans="1:30" ht="12.75" customHeight="1" x14ac:dyDescent="0.2">
      <c r="A500" s="56"/>
      <c r="B500" s="56"/>
      <c r="C500" s="56"/>
      <c r="D500" s="57"/>
      <c r="E500" s="57"/>
      <c r="F500" s="56"/>
      <c r="G500" s="56"/>
      <c r="H500" s="56"/>
      <c r="I500" s="56"/>
      <c r="J500" s="56"/>
      <c r="K500" s="56"/>
      <c r="L500" s="56"/>
      <c r="M500" s="58"/>
      <c r="N500" s="58"/>
      <c r="O500" s="58"/>
      <c r="P500" s="58"/>
      <c r="Q500" s="58"/>
      <c r="R500" s="58"/>
      <c r="S500" s="58"/>
      <c r="T500" s="58"/>
      <c r="U500" s="58"/>
      <c r="V500" s="58"/>
      <c r="W500" s="58"/>
      <c r="X500" s="58"/>
      <c r="Y500" s="58"/>
      <c r="Z500" s="58"/>
      <c r="AA500" s="58"/>
      <c r="AB500" s="58"/>
      <c r="AC500" s="59"/>
      <c r="AD500" s="59"/>
    </row>
    <row r="501" spans="1:30" ht="12.75" customHeight="1" x14ac:dyDescent="0.2">
      <c r="A501" s="56"/>
      <c r="B501" s="56"/>
      <c r="C501" s="56"/>
      <c r="D501" s="57"/>
      <c r="E501" s="57"/>
      <c r="F501" s="56"/>
      <c r="G501" s="56"/>
      <c r="H501" s="56"/>
      <c r="I501" s="56"/>
      <c r="J501" s="56"/>
      <c r="K501" s="56"/>
      <c r="L501" s="56"/>
      <c r="M501" s="58"/>
      <c r="N501" s="58"/>
      <c r="O501" s="58"/>
      <c r="P501" s="58"/>
      <c r="Q501" s="58"/>
      <c r="R501" s="58"/>
      <c r="S501" s="58"/>
      <c r="T501" s="58"/>
      <c r="U501" s="58"/>
      <c r="V501" s="58"/>
      <c r="W501" s="58"/>
      <c r="X501" s="58"/>
      <c r="Y501" s="58"/>
      <c r="Z501" s="58"/>
      <c r="AA501" s="58"/>
      <c r="AB501" s="58"/>
      <c r="AC501" s="59"/>
      <c r="AD501" s="59"/>
    </row>
    <row r="502" spans="1:30" ht="12.75" customHeight="1" x14ac:dyDescent="0.2">
      <c r="A502" s="56"/>
      <c r="B502" s="56"/>
      <c r="C502" s="56"/>
      <c r="D502" s="57"/>
      <c r="E502" s="57"/>
      <c r="F502" s="56"/>
      <c r="G502" s="56"/>
      <c r="H502" s="56"/>
      <c r="I502" s="56"/>
      <c r="J502" s="56"/>
      <c r="K502" s="56"/>
      <c r="L502" s="56"/>
      <c r="M502" s="58"/>
      <c r="N502" s="58"/>
      <c r="O502" s="58"/>
      <c r="P502" s="58"/>
      <c r="Q502" s="58"/>
      <c r="R502" s="58"/>
      <c r="S502" s="58"/>
      <c r="T502" s="58"/>
      <c r="U502" s="58"/>
      <c r="V502" s="58"/>
      <c r="W502" s="58"/>
      <c r="X502" s="58"/>
      <c r="Y502" s="58"/>
      <c r="Z502" s="58"/>
      <c r="AA502" s="58"/>
      <c r="AB502" s="58"/>
      <c r="AC502" s="59"/>
      <c r="AD502" s="59"/>
    </row>
    <row r="503" spans="1:30" ht="12.75" customHeight="1" x14ac:dyDescent="0.2">
      <c r="A503" s="56"/>
      <c r="B503" s="56"/>
      <c r="C503" s="56"/>
      <c r="D503" s="57"/>
      <c r="E503" s="57"/>
      <c r="F503" s="56"/>
      <c r="G503" s="56"/>
      <c r="H503" s="56"/>
      <c r="I503" s="56"/>
      <c r="J503" s="56"/>
      <c r="K503" s="56"/>
      <c r="L503" s="56"/>
      <c r="M503" s="58"/>
      <c r="N503" s="58"/>
      <c r="O503" s="58"/>
      <c r="P503" s="58"/>
      <c r="Q503" s="58"/>
      <c r="R503" s="58"/>
      <c r="S503" s="58"/>
      <c r="T503" s="58"/>
      <c r="U503" s="58"/>
      <c r="V503" s="58"/>
      <c r="W503" s="58"/>
      <c r="X503" s="58"/>
      <c r="Y503" s="58"/>
      <c r="Z503" s="58"/>
      <c r="AA503" s="58"/>
      <c r="AB503" s="58"/>
      <c r="AC503" s="59"/>
      <c r="AD503" s="59"/>
    </row>
    <row r="504" spans="1:30" ht="12.75" customHeight="1" x14ac:dyDescent="0.2">
      <c r="A504" s="56"/>
      <c r="B504" s="56"/>
      <c r="C504" s="56"/>
      <c r="D504" s="57"/>
      <c r="E504" s="57"/>
      <c r="F504" s="56"/>
      <c r="G504" s="56"/>
      <c r="H504" s="56"/>
      <c r="I504" s="56"/>
      <c r="J504" s="56"/>
      <c r="K504" s="56"/>
      <c r="L504" s="56"/>
      <c r="M504" s="58"/>
      <c r="N504" s="58"/>
      <c r="O504" s="58"/>
      <c r="P504" s="58"/>
      <c r="Q504" s="58"/>
      <c r="R504" s="58"/>
      <c r="S504" s="58"/>
      <c r="T504" s="58"/>
      <c r="U504" s="58"/>
      <c r="V504" s="58"/>
      <c r="W504" s="58"/>
      <c r="X504" s="58"/>
      <c r="Y504" s="58"/>
      <c r="Z504" s="58"/>
      <c r="AA504" s="58"/>
      <c r="AB504" s="58"/>
      <c r="AC504" s="59"/>
      <c r="AD504" s="59"/>
    </row>
    <row r="505" spans="1:30" ht="12.75" customHeight="1" x14ac:dyDescent="0.2">
      <c r="A505" s="56"/>
      <c r="B505" s="56"/>
      <c r="C505" s="56"/>
      <c r="D505" s="57"/>
      <c r="E505" s="57"/>
      <c r="F505" s="56"/>
      <c r="G505" s="56"/>
      <c r="H505" s="56"/>
      <c r="I505" s="56"/>
      <c r="J505" s="56"/>
      <c r="K505" s="56"/>
      <c r="L505" s="56"/>
      <c r="M505" s="58"/>
      <c r="N505" s="58"/>
      <c r="O505" s="58"/>
      <c r="P505" s="58"/>
      <c r="Q505" s="58"/>
      <c r="R505" s="58"/>
      <c r="S505" s="58"/>
      <c r="T505" s="58"/>
      <c r="U505" s="58"/>
      <c r="V505" s="58"/>
      <c r="W505" s="58"/>
      <c r="X505" s="58"/>
      <c r="Y505" s="58"/>
      <c r="Z505" s="58"/>
      <c r="AA505" s="58"/>
      <c r="AB505" s="58"/>
      <c r="AC505" s="59"/>
      <c r="AD505" s="59"/>
    </row>
    <row r="506" spans="1:30" ht="12.75" customHeight="1" x14ac:dyDescent="0.2">
      <c r="A506" s="56"/>
      <c r="B506" s="56"/>
      <c r="C506" s="56"/>
      <c r="D506" s="57"/>
      <c r="E506" s="57"/>
      <c r="F506" s="56"/>
      <c r="G506" s="56"/>
      <c r="H506" s="56"/>
      <c r="I506" s="56"/>
      <c r="J506" s="56"/>
      <c r="K506" s="56"/>
      <c r="L506" s="56"/>
      <c r="M506" s="58"/>
      <c r="N506" s="58"/>
      <c r="O506" s="58"/>
      <c r="P506" s="58"/>
      <c r="Q506" s="58"/>
      <c r="R506" s="58"/>
      <c r="S506" s="58"/>
      <c r="T506" s="58"/>
      <c r="U506" s="58"/>
      <c r="V506" s="58"/>
      <c r="W506" s="58"/>
      <c r="X506" s="58"/>
      <c r="Y506" s="58"/>
      <c r="Z506" s="58"/>
      <c r="AA506" s="58"/>
      <c r="AB506" s="58"/>
      <c r="AC506" s="59"/>
      <c r="AD506" s="59"/>
    </row>
    <row r="507" spans="1:30" ht="12.75" customHeight="1" x14ac:dyDescent="0.2">
      <c r="A507" s="56"/>
      <c r="B507" s="56"/>
      <c r="C507" s="56"/>
      <c r="D507" s="57"/>
      <c r="E507" s="57"/>
      <c r="F507" s="56"/>
      <c r="G507" s="56"/>
      <c r="H507" s="56"/>
      <c r="I507" s="56"/>
      <c r="J507" s="56"/>
      <c r="K507" s="56"/>
      <c r="L507" s="56"/>
      <c r="M507" s="58"/>
      <c r="N507" s="58"/>
      <c r="O507" s="58"/>
      <c r="P507" s="58"/>
      <c r="Q507" s="58"/>
      <c r="R507" s="58"/>
      <c r="S507" s="58"/>
      <c r="T507" s="58"/>
      <c r="U507" s="58"/>
      <c r="V507" s="58"/>
      <c r="W507" s="58"/>
      <c r="X507" s="58"/>
      <c r="Y507" s="58"/>
      <c r="Z507" s="58"/>
      <c r="AA507" s="58"/>
      <c r="AB507" s="58"/>
      <c r="AC507" s="59"/>
      <c r="AD507" s="59"/>
    </row>
    <row r="508" spans="1:30" ht="12.75" customHeight="1" x14ac:dyDescent="0.2">
      <c r="A508" s="56"/>
      <c r="B508" s="56"/>
      <c r="C508" s="56"/>
      <c r="D508" s="57"/>
      <c r="E508" s="57"/>
      <c r="F508" s="56"/>
      <c r="G508" s="56"/>
      <c r="H508" s="56"/>
      <c r="I508" s="56"/>
      <c r="J508" s="56"/>
      <c r="K508" s="56"/>
      <c r="L508" s="56"/>
      <c r="M508" s="58"/>
      <c r="N508" s="58"/>
      <c r="O508" s="58"/>
      <c r="P508" s="58"/>
      <c r="Q508" s="58"/>
      <c r="R508" s="58"/>
      <c r="S508" s="58"/>
      <c r="T508" s="58"/>
      <c r="U508" s="58"/>
      <c r="V508" s="58"/>
      <c r="W508" s="58"/>
      <c r="X508" s="58"/>
      <c r="Y508" s="58"/>
      <c r="Z508" s="58"/>
      <c r="AA508" s="58"/>
      <c r="AB508" s="58"/>
      <c r="AC508" s="59"/>
      <c r="AD508" s="59"/>
    </row>
    <row r="509" spans="1:30" ht="12.75" customHeight="1" x14ac:dyDescent="0.2">
      <c r="A509" s="56"/>
      <c r="B509" s="56"/>
      <c r="C509" s="56"/>
      <c r="D509" s="57"/>
      <c r="E509" s="57"/>
      <c r="F509" s="56"/>
      <c r="G509" s="56"/>
      <c r="H509" s="56"/>
      <c r="I509" s="56"/>
      <c r="J509" s="56"/>
      <c r="K509" s="56"/>
      <c r="L509" s="56"/>
      <c r="M509" s="58"/>
      <c r="N509" s="58"/>
      <c r="O509" s="58"/>
      <c r="P509" s="58"/>
      <c r="Q509" s="58"/>
      <c r="R509" s="58"/>
      <c r="S509" s="58"/>
      <c r="T509" s="58"/>
      <c r="U509" s="58"/>
      <c r="V509" s="58"/>
      <c r="W509" s="58"/>
      <c r="X509" s="58"/>
      <c r="Y509" s="58"/>
      <c r="Z509" s="58"/>
      <c r="AA509" s="58"/>
      <c r="AB509" s="58"/>
      <c r="AC509" s="59"/>
      <c r="AD509" s="59"/>
    </row>
    <row r="510" spans="1:30" ht="12.75" customHeight="1" x14ac:dyDescent="0.2">
      <c r="A510" s="56"/>
      <c r="B510" s="56"/>
      <c r="C510" s="56"/>
      <c r="D510" s="57"/>
      <c r="E510" s="57"/>
      <c r="F510" s="56"/>
      <c r="G510" s="56"/>
      <c r="H510" s="56"/>
      <c r="I510" s="56"/>
      <c r="J510" s="56"/>
      <c r="K510" s="56"/>
      <c r="L510" s="56"/>
      <c r="M510" s="58"/>
      <c r="N510" s="58"/>
      <c r="O510" s="58"/>
      <c r="P510" s="58"/>
      <c r="Q510" s="58"/>
      <c r="R510" s="58"/>
      <c r="S510" s="58"/>
      <c r="T510" s="58"/>
      <c r="U510" s="58"/>
      <c r="V510" s="58"/>
      <c r="W510" s="58"/>
      <c r="X510" s="58"/>
      <c r="Y510" s="58"/>
      <c r="Z510" s="58"/>
      <c r="AA510" s="58"/>
      <c r="AB510" s="58"/>
      <c r="AC510" s="59"/>
      <c r="AD510" s="59"/>
    </row>
    <row r="511" spans="1:30" ht="12.75" customHeight="1" x14ac:dyDescent="0.2">
      <c r="A511" s="56"/>
      <c r="B511" s="56"/>
      <c r="C511" s="56"/>
      <c r="D511" s="57"/>
      <c r="E511" s="57"/>
      <c r="F511" s="56"/>
      <c r="G511" s="56"/>
      <c r="H511" s="56"/>
      <c r="I511" s="56"/>
      <c r="J511" s="56"/>
      <c r="K511" s="56"/>
      <c r="L511" s="56"/>
      <c r="M511" s="58"/>
      <c r="N511" s="58"/>
      <c r="O511" s="58"/>
      <c r="P511" s="58"/>
      <c r="Q511" s="58"/>
      <c r="R511" s="58"/>
      <c r="S511" s="58"/>
      <c r="T511" s="58"/>
      <c r="U511" s="58"/>
      <c r="V511" s="58"/>
      <c r="W511" s="58"/>
      <c r="X511" s="58"/>
      <c r="Y511" s="58"/>
      <c r="Z511" s="58"/>
      <c r="AA511" s="58"/>
      <c r="AB511" s="58"/>
      <c r="AC511" s="59"/>
      <c r="AD511" s="59"/>
    </row>
    <row r="512" spans="1:30" ht="12.75" customHeight="1" x14ac:dyDescent="0.2">
      <c r="A512" s="56"/>
      <c r="B512" s="56"/>
      <c r="C512" s="56"/>
      <c r="D512" s="57"/>
      <c r="E512" s="57"/>
      <c r="F512" s="56"/>
      <c r="G512" s="56"/>
      <c r="H512" s="56"/>
      <c r="I512" s="56"/>
      <c r="J512" s="56"/>
      <c r="K512" s="56"/>
      <c r="L512" s="56"/>
      <c r="M512" s="58"/>
      <c r="N512" s="58"/>
      <c r="O512" s="58"/>
      <c r="P512" s="58"/>
      <c r="Q512" s="58"/>
      <c r="R512" s="58"/>
      <c r="S512" s="58"/>
      <c r="T512" s="58"/>
      <c r="U512" s="58"/>
      <c r="V512" s="58"/>
      <c r="W512" s="58"/>
      <c r="X512" s="58"/>
      <c r="Y512" s="58"/>
      <c r="Z512" s="58"/>
      <c r="AA512" s="58"/>
      <c r="AB512" s="58"/>
      <c r="AC512" s="59"/>
      <c r="AD512" s="59"/>
    </row>
    <row r="513" spans="1:30" ht="12.75" customHeight="1" x14ac:dyDescent="0.2">
      <c r="A513" s="56"/>
      <c r="B513" s="56"/>
      <c r="C513" s="56"/>
      <c r="D513" s="57"/>
      <c r="E513" s="57"/>
      <c r="F513" s="56"/>
      <c r="G513" s="56"/>
      <c r="H513" s="56"/>
      <c r="I513" s="56"/>
      <c r="J513" s="56"/>
      <c r="K513" s="56"/>
      <c r="L513" s="56"/>
      <c r="M513" s="58"/>
      <c r="N513" s="58"/>
      <c r="O513" s="58"/>
      <c r="P513" s="58"/>
      <c r="Q513" s="58"/>
      <c r="R513" s="58"/>
      <c r="S513" s="58"/>
      <c r="T513" s="58"/>
      <c r="U513" s="58"/>
      <c r="V513" s="58"/>
      <c r="W513" s="58"/>
      <c r="X513" s="58"/>
      <c r="Y513" s="58"/>
      <c r="Z513" s="58"/>
      <c r="AA513" s="58"/>
      <c r="AB513" s="58"/>
      <c r="AC513" s="59"/>
      <c r="AD513" s="59"/>
    </row>
    <row r="514" spans="1:30" ht="12.75" customHeight="1" x14ac:dyDescent="0.2">
      <c r="A514" s="56"/>
      <c r="B514" s="56"/>
      <c r="C514" s="56"/>
      <c r="D514" s="57"/>
      <c r="E514" s="57"/>
      <c r="F514" s="56"/>
      <c r="G514" s="56"/>
      <c r="H514" s="56"/>
      <c r="I514" s="56"/>
      <c r="J514" s="56"/>
      <c r="K514" s="56"/>
      <c r="L514" s="56"/>
      <c r="M514" s="58"/>
      <c r="N514" s="58"/>
      <c r="O514" s="58"/>
      <c r="P514" s="58"/>
      <c r="Q514" s="58"/>
      <c r="R514" s="58"/>
      <c r="S514" s="58"/>
      <c r="T514" s="58"/>
      <c r="U514" s="58"/>
      <c r="V514" s="58"/>
      <c r="W514" s="58"/>
      <c r="X514" s="58"/>
      <c r="Y514" s="58"/>
      <c r="Z514" s="58"/>
      <c r="AA514" s="58"/>
      <c r="AB514" s="58"/>
      <c r="AC514" s="59"/>
      <c r="AD514" s="59"/>
    </row>
    <row r="515" spans="1:30" ht="12.75" customHeight="1" x14ac:dyDescent="0.2">
      <c r="A515" s="56"/>
      <c r="B515" s="56"/>
      <c r="C515" s="56"/>
      <c r="D515" s="57"/>
      <c r="E515" s="57"/>
      <c r="F515" s="56"/>
      <c r="G515" s="56"/>
      <c r="H515" s="56"/>
      <c r="I515" s="56"/>
      <c r="J515" s="56"/>
      <c r="K515" s="56"/>
      <c r="L515" s="56"/>
      <c r="M515" s="58"/>
      <c r="N515" s="58"/>
      <c r="O515" s="58"/>
      <c r="P515" s="58"/>
      <c r="Q515" s="58"/>
      <c r="R515" s="58"/>
      <c r="S515" s="58"/>
      <c r="T515" s="58"/>
      <c r="U515" s="58"/>
      <c r="V515" s="58"/>
      <c r="W515" s="58"/>
      <c r="X515" s="58"/>
      <c r="Y515" s="58"/>
      <c r="Z515" s="58"/>
      <c r="AA515" s="58"/>
      <c r="AB515" s="58"/>
      <c r="AC515" s="59"/>
      <c r="AD515" s="59"/>
    </row>
    <row r="516" spans="1:30" ht="12.75" customHeight="1" x14ac:dyDescent="0.2">
      <c r="A516" s="56"/>
      <c r="B516" s="56"/>
      <c r="C516" s="56"/>
      <c r="D516" s="57"/>
      <c r="E516" s="57"/>
      <c r="F516" s="56"/>
      <c r="G516" s="56"/>
      <c r="H516" s="56"/>
      <c r="I516" s="56"/>
      <c r="J516" s="56"/>
      <c r="K516" s="56"/>
      <c r="L516" s="56"/>
      <c r="M516" s="58"/>
      <c r="N516" s="58"/>
      <c r="O516" s="58"/>
      <c r="P516" s="58"/>
      <c r="Q516" s="58"/>
      <c r="R516" s="58"/>
      <c r="S516" s="58"/>
      <c r="T516" s="58"/>
      <c r="U516" s="58"/>
      <c r="V516" s="58"/>
      <c r="W516" s="58"/>
      <c r="X516" s="58"/>
      <c r="Y516" s="58"/>
      <c r="Z516" s="58"/>
      <c r="AA516" s="58"/>
      <c r="AB516" s="58"/>
      <c r="AC516" s="59"/>
      <c r="AD516" s="59"/>
    </row>
    <row r="517" spans="1:30" ht="12.75" customHeight="1" x14ac:dyDescent="0.2">
      <c r="A517" s="56"/>
      <c r="B517" s="56"/>
      <c r="C517" s="56"/>
      <c r="D517" s="57"/>
      <c r="E517" s="57"/>
      <c r="F517" s="56"/>
      <c r="G517" s="56"/>
      <c r="H517" s="56"/>
      <c r="I517" s="56"/>
      <c r="J517" s="56"/>
      <c r="K517" s="56"/>
      <c r="L517" s="56"/>
      <c r="M517" s="58"/>
      <c r="N517" s="58"/>
      <c r="O517" s="58"/>
      <c r="P517" s="58"/>
      <c r="Q517" s="58"/>
      <c r="R517" s="58"/>
      <c r="S517" s="58"/>
      <c r="T517" s="58"/>
      <c r="U517" s="58"/>
      <c r="V517" s="58"/>
      <c r="W517" s="58"/>
      <c r="X517" s="58"/>
      <c r="Y517" s="58"/>
      <c r="Z517" s="58"/>
      <c r="AA517" s="58"/>
      <c r="AB517" s="58"/>
      <c r="AC517" s="59"/>
      <c r="AD517" s="59"/>
    </row>
    <row r="518" spans="1:30" ht="12.75" customHeight="1" x14ac:dyDescent="0.2">
      <c r="A518" s="56"/>
      <c r="B518" s="56"/>
      <c r="C518" s="56"/>
      <c r="D518" s="57"/>
      <c r="E518" s="57"/>
      <c r="F518" s="56"/>
      <c r="G518" s="56"/>
      <c r="H518" s="56"/>
      <c r="I518" s="56"/>
      <c r="J518" s="56"/>
      <c r="K518" s="56"/>
      <c r="L518" s="56"/>
      <c r="M518" s="58"/>
      <c r="N518" s="58"/>
      <c r="O518" s="58"/>
      <c r="P518" s="58"/>
      <c r="Q518" s="58"/>
      <c r="R518" s="58"/>
      <c r="S518" s="58"/>
      <c r="T518" s="58"/>
      <c r="U518" s="58"/>
      <c r="V518" s="58"/>
      <c r="W518" s="58"/>
      <c r="X518" s="58"/>
      <c r="Y518" s="58"/>
      <c r="Z518" s="58"/>
      <c r="AA518" s="58"/>
      <c r="AB518" s="58"/>
      <c r="AC518" s="59"/>
      <c r="AD518" s="59"/>
    </row>
    <row r="519" spans="1:30" ht="12.75" customHeight="1" x14ac:dyDescent="0.2">
      <c r="A519" s="56"/>
      <c r="B519" s="56"/>
      <c r="C519" s="56"/>
      <c r="D519" s="57"/>
      <c r="E519" s="57"/>
      <c r="F519" s="56"/>
      <c r="G519" s="56"/>
      <c r="H519" s="56"/>
      <c r="I519" s="56"/>
      <c r="J519" s="56"/>
      <c r="K519" s="56"/>
      <c r="L519" s="56"/>
      <c r="M519" s="58"/>
      <c r="N519" s="58"/>
      <c r="O519" s="58"/>
      <c r="P519" s="58"/>
      <c r="Q519" s="58"/>
      <c r="R519" s="58"/>
      <c r="S519" s="58"/>
      <c r="T519" s="58"/>
      <c r="U519" s="58"/>
      <c r="V519" s="58"/>
      <c r="W519" s="58"/>
      <c r="X519" s="58"/>
      <c r="Y519" s="58"/>
      <c r="Z519" s="58"/>
      <c r="AA519" s="58"/>
      <c r="AB519" s="58"/>
      <c r="AC519" s="59"/>
      <c r="AD519" s="59"/>
    </row>
    <row r="520" spans="1:30" ht="12.75" customHeight="1" x14ac:dyDescent="0.2">
      <c r="A520" s="56"/>
      <c r="B520" s="56"/>
      <c r="C520" s="56"/>
      <c r="D520" s="57"/>
      <c r="E520" s="57"/>
      <c r="F520" s="56"/>
      <c r="G520" s="56"/>
      <c r="H520" s="56"/>
      <c r="I520" s="56"/>
      <c r="J520" s="56"/>
      <c r="K520" s="56"/>
      <c r="L520" s="56"/>
      <c r="M520" s="58"/>
      <c r="N520" s="58"/>
      <c r="O520" s="58"/>
      <c r="P520" s="58"/>
      <c r="Q520" s="58"/>
      <c r="R520" s="58"/>
      <c r="S520" s="58"/>
      <c r="T520" s="58"/>
      <c r="U520" s="58"/>
      <c r="V520" s="58"/>
      <c r="W520" s="58"/>
      <c r="X520" s="58"/>
      <c r="Y520" s="58"/>
      <c r="Z520" s="58"/>
      <c r="AA520" s="58"/>
      <c r="AB520" s="58"/>
      <c r="AC520" s="59"/>
      <c r="AD520" s="59"/>
    </row>
    <row r="521" spans="1:30" ht="12.75" customHeight="1" x14ac:dyDescent="0.2">
      <c r="A521" s="56"/>
      <c r="B521" s="56"/>
      <c r="C521" s="56"/>
      <c r="D521" s="57"/>
      <c r="E521" s="57"/>
      <c r="F521" s="56"/>
      <c r="G521" s="56"/>
      <c r="H521" s="56"/>
      <c r="I521" s="56"/>
      <c r="J521" s="56"/>
      <c r="K521" s="56"/>
      <c r="L521" s="56"/>
      <c r="M521" s="58"/>
      <c r="N521" s="58"/>
      <c r="O521" s="58"/>
      <c r="P521" s="58"/>
      <c r="Q521" s="58"/>
      <c r="R521" s="58"/>
      <c r="S521" s="58"/>
      <c r="T521" s="58"/>
      <c r="U521" s="58"/>
      <c r="V521" s="58"/>
      <c r="W521" s="58"/>
      <c r="X521" s="58"/>
      <c r="Y521" s="58"/>
      <c r="Z521" s="58"/>
      <c r="AA521" s="58"/>
      <c r="AB521" s="58"/>
      <c r="AC521" s="59"/>
      <c r="AD521" s="59"/>
    </row>
    <row r="522" spans="1:30" ht="12.75" customHeight="1" x14ac:dyDescent="0.2">
      <c r="A522" s="56"/>
      <c r="B522" s="56"/>
      <c r="C522" s="56"/>
      <c r="D522" s="57"/>
      <c r="E522" s="57"/>
      <c r="F522" s="56"/>
      <c r="G522" s="56"/>
      <c r="H522" s="56"/>
      <c r="I522" s="56"/>
      <c r="J522" s="56"/>
      <c r="K522" s="56"/>
      <c r="L522" s="56"/>
      <c r="M522" s="58"/>
      <c r="N522" s="58"/>
      <c r="O522" s="58"/>
      <c r="P522" s="58"/>
      <c r="Q522" s="58"/>
      <c r="R522" s="58"/>
      <c r="S522" s="58"/>
      <c r="T522" s="58"/>
      <c r="U522" s="58"/>
      <c r="V522" s="58"/>
      <c r="W522" s="58"/>
      <c r="X522" s="58"/>
      <c r="Y522" s="58"/>
      <c r="Z522" s="58"/>
      <c r="AA522" s="58"/>
      <c r="AB522" s="58"/>
      <c r="AC522" s="59"/>
      <c r="AD522" s="59"/>
    </row>
    <row r="523" spans="1:30" ht="12.75" customHeight="1" x14ac:dyDescent="0.2">
      <c r="A523" s="56"/>
      <c r="B523" s="56"/>
      <c r="C523" s="56"/>
      <c r="D523" s="57"/>
      <c r="E523" s="57"/>
      <c r="F523" s="56"/>
      <c r="G523" s="56"/>
      <c r="H523" s="56"/>
      <c r="I523" s="56"/>
      <c r="J523" s="56"/>
      <c r="K523" s="56"/>
      <c r="L523" s="56"/>
      <c r="M523" s="58"/>
      <c r="N523" s="58"/>
      <c r="O523" s="58"/>
      <c r="P523" s="58"/>
      <c r="Q523" s="58"/>
      <c r="R523" s="58"/>
      <c r="S523" s="58"/>
      <c r="T523" s="58"/>
      <c r="U523" s="58"/>
      <c r="V523" s="58"/>
      <c r="W523" s="58"/>
      <c r="X523" s="58"/>
      <c r="Y523" s="58"/>
      <c r="Z523" s="58"/>
      <c r="AA523" s="58"/>
      <c r="AB523" s="58"/>
      <c r="AC523" s="59"/>
      <c r="AD523" s="59"/>
    </row>
    <row r="524" spans="1:30" ht="12.75" customHeight="1" x14ac:dyDescent="0.2">
      <c r="A524" s="56"/>
      <c r="B524" s="56"/>
      <c r="C524" s="56"/>
      <c r="D524" s="57"/>
      <c r="E524" s="57"/>
      <c r="F524" s="56"/>
      <c r="G524" s="56"/>
      <c r="H524" s="56"/>
      <c r="I524" s="56"/>
      <c r="J524" s="56"/>
      <c r="K524" s="56"/>
      <c r="L524" s="56"/>
      <c r="M524" s="58"/>
      <c r="N524" s="58"/>
      <c r="O524" s="58"/>
      <c r="P524" s="58"/>
      <c r="Q524" s="58"/>
      <c r="R524" s="58"/>
      <c r="S524" s="58"/>
      <c r="T524" s="58"/>
      <c r="U524" s="58"/>
      <c r="V524" s="58"/>
      <c r="W524" s="58"/>
      <c r="X524" s="58"/>
      <c r="Y524" s="58"/>
      <c r="Z524" s="58"/>
      <c r="AA524" s="58"/>
      <c r="AB524" s="58"/>
      <c r="AC524" s="59"/>
      <c r="AD524" s="59"/>
    </row>
    <row r="525" spans="1:30" ht="12.75" customHeight="1" x14ac:dyDescent="0.2">
      <c r="A525" s="56"/>
      <c r="B525" s="56"/>
      <c r="C525" s="56"/>
      <c r="D525" s="57"/>
      <c r="E525" s="57"/>
      <c r="F525" s="56"/>
      <c r="G525" s="56"/>
      <c r="H525" s="56"/>
      <c r="I525" s="56"/>
      <c r="J525" s="56"/>
      <c r="K525" s="56"/>
      <c r="L525" s="56"/>
      <c r="M525" s="58"/>
      <c r="N525" s="58"/>
      <c r="O525" s="58"/>
      <c r="P525" s="58"/>
      <c r="Q525" s="58"/>
      <c r="R525" s="58"/>
      <c r="S525" s="58"/>
      <c r="T525" s="58"/>
      <c r="U525" s="58"/>
      <c r="V525" s="58"/>
      <c r="W525" s="58"/>
      <c r="X525" s="58"/>
      <c r="Y525" s="58"/>
      <c r="Z525" s="58"/>
      <c r="AA525" s="58"/>
      <c r="AB525" s="58"/>
      <c r="AC525" s="59"/>
      <c r="AD525" s="59"/>
    </row>
    <row r="526" spans="1:30" ht="12.75" customHeight="1" x14ac:dyDescent="0.2">
      <c r="A526" s="56"/>
      <c r="B526" s="56"/>
      <c r="C526" s="56"/>
      <c r="D526" s="57"/>
      <c r="E526" s="57"/>
      <c r="F526" s="56"/>
      <c r="G526" s="56"/>
      <c r="H526" s="56"/>
      <c r="I526" s="56"/>
      <c r="J526" s="56"/>
      <c r="K526" s="56"/>
      <c r="L526" s="56"/>
      <c r="M526" s="58"/>
      <c r="N526" s="58"/>
      <c r="O526" s="58"/>
      <c r="P526" s="58"/>
      <c r="Q526" s="58"/>
      <c r="R526" s="58"/>
      <c r="S526" s="58"/>
      <c r="T526" s="58"/>
      <c r="U526" s="58"/>
      <c r="V526" s="58"/>
      <c r="W526" s="58"/>
      <c r="X526" s="58"/>
      <c r="Y526" s="58"/>
      <c r="Z526" s="58"/>
      <c r="AA526" s="58"/>
      <c r="AB526" s="58"/>
      <c r="AC526" s="59"/>
      <c r="AD526" s="59"/>
    </row>
    <row r="527" spans="1:30" ht="12.75" customHeight="1" x14ac:dyDescent="0.2">
      <c r="A527" s="56"/>
      <c r="B527" s="56"/>
      <c r="C527" s="56"/>
      <c r="D527" s="57"/>
      <c r="E527" s="57"/>
      <c r="F527" s="56"/>
      <c r="G527" s="56"/>
      <c r="H527" s="56"/>
      <c r="I527" s="56"/>
      <c r="J527" s="56"/>
      <c r="K527" s="56"/>
      <c r="L527" s="56"/>
      <c r="M527" s="58"/>
      <c r="N527" s="58"/>
      <c r="O527" s="58"/>
      <c r="P527" s="58"/>
      <c r="Q527" s="58"/>
      <c r="R527" s="58"/>
      <c r="S527" s="58"/>
      <c r="T527" s="58"/>
      <c r="U527" s="58"/>
      <c r="V527" s="58"/>
      <c r="W527" s="58"/>
      <c r="X527" s="58"/>
      <c r="Y527" s="58"/>
      <c r="Z527" s="58"/>
      <c r="AA527" s="58"/>
      <c r="AB527" s="58"/>
      <c r="AC527" s="59"/>
      <c r="AD527" s="59"/>
    </row>
    <row r="528" spans="1:30" ht="12.75" customHeight="1" x14ac:dyDescent="0.2">
      <c r="A528" s="56"/>
      <c r="B528" s="56"/>
      <c r="C528" s="56"/>
      <c r="D528" s="57"/>
      <c r="E528" s="57"/>
      <c r="F528" s="56"/>
      <c r="G528" s="56"/>
      <c r="H528" s="56"/>
      <c r="I528" s="56"/>
      <c r="J528" s="56"/>
      <c r="K528" s="56"/>
      <c r="L528" s="56"/>
      <c r="M528" s="58"/>
      <c r="N528" s="58"/>
      <c r="O528" s="58"/>
      <c r="P528" s="58"/>
      <c r="Q528" s="58"/>
      <c r="R528" s="58"/>
      <c r="S528" s="58"/>
      <c r="T528" s="58"/>
      <c r="U528" s="58"/>
      <c r="V528" s="58"/>
      <c r="W528" s="58"/>
      <c r="X528" s="58"/>
      <c r="Y528" s="58"/>
      <c r="Z528" s="58"/>
      <c r="AA528" s="58"/>
      <c r="AB528" s="58"/>
      <c r="AC528" s="59"/>
      <c r="AD528" s="59"/>
    </row>
    <row r="529" spans="1:30" ht="12.75" customHeight="1" x14ac:dyDescent="0.2">
      <c r="A529" s="56"/>
      <c r="B529" s="56"/>
      <c r="C529" s="56"/>
      <c r="D529" s="57"/>
      <c r="E529" s="57"/>
      <c r="F529" s="56"/>
      <c r="G529" s="56"/>
      <c r="H529" s="56"/>
      <c r="I529" s="56"/>
      <c r="J529" s="56"/>
      <c r="K529" s="56"/>
      <c r="L529" s="56"/>
      <c r="M529" s="58"/>
      <c r="N529" s="58"/>
      <c r="O529" s="58"/>
      <c r="P529" s="58"/>
      <c r="Q529" s="58"/>
      <c r="R529" s="58"/>
      <c r="S529" s="58"/>
      <c r="T529" s="58"/>
      <c r="U529" s="58"/>
      <c r="V529" s="58"/>
      <c r="W529" s="58"/>
      <c r="X529" s="58"/>
      <c r="Y529" s="58"/>
      <c r="Z529" s="58"/>
      <c r="AA529" s="58"/>
      <c r="AB529" s="58"/>
      <c r="AC529" s="59"/>
      <c r="AD529" s="59"/>
    </row>
    <row r="530" spans="1:30" ht="12.75" customHeight="1" x14ac:dyDescent="0.2">
      <c r="A530" s="56"/>
      <c r="B530" s="56"/>
      <c r="C530" s="56"/>
      <c r="D530" s="57"/>
      <c r="E530" s="57"/>
      <c r="F530" s="56"/>
      <c r="G530" s="56"/>
      <c r="H530" s="56"/>
      <c r="I530" s="56"/>
      <c r="J530" s="56"/>
      <c r="K530" s="56"/>
      <c r="L530" s="56"/>
      <c r="M530" s="58"/>
      <c r="N530" s="58"/>
      <c r="O530" s="58"/>
      <c r="P530" s="58"/>
      <c r="Q530" s="58"/>
      <c r="R530" s="58"/>
      <c r="S530" s="58"/>
      <c r="T530" s="58"/>
      <c r="U530" s="58"/>
      <c r="V530" s="58"/>
      <c r="W530" s="58"/>
      <c r="X530" s="58"/>
      <c r="Y530" s="58"/>
      <c r="Z530" s="58"/>
      <c r="AA530" s="58"/>
      <c r="AB530" s="58"/>
      <c r="AC530" s="59"/>
      <c r="AD530" s="59"/>
    </row>
    <row r="531" spans="1:30" ht="12.75" customHeight="1" x14ac:dyDescent="0.2">
      <c r="A531" s="56"/>
      <c r="B531" s="56"/>
      <c r="C531" s="56"/>
      <c r="D531" s="57"/>
      <c r="E531" s="57"/>
      <c r="F531" s="56"/>
      <c r="G531" s="56"/>
      <c r="H531" s="56"/>
      <c r="I531" s="56"/>
      <c r="J531" s="56"/>
      <c r="K531" s="56"/>
      <c r="L531" s="56"/>
      <c r="M531" s="58"/>
      <c r="N531" s="58"/>
      <c r="O531" s="58"/>
      <c r="P531" s="58"/>
      <c r="Q531" s="58"/>
      <c r="R531" s="58"/>
      <c r="S531" s="58"/>
      <c r="T531" s="58"/>
      <c r="U531" s="58"/>
      <c r="V531" s="58"/>
      <c r="W531" s="58"/>
      <c r="X531" s="58"/>
      <c r="Y531" s="58"/>
      <c r="Z531" s="58"/>
      <c r="AA531" s="58"/>
      <c r="AB531" s="58"/>
      <c r="AC531" s="59"/>
      <c r="AD531" s="59"/>
    </row>
    <row r="532" spans="1:30" ht="12.75" customHeight="1" x14ac:dyDescent="0.2">
      <c r="A532" s="56"/>
      <c r="B532" s="56"/>
      <c r="C532" s="56"/>
      <c r="D532" s="57"/>
      <c r="E532" s="57"/>
      <c r="F532" s="56"/>
      <c r="G532" s="56"/>
      <c r="H532" s="56"/>
      <c r="I532" s="56"/>
      <c r="J532" s="56"/>
      <c r="K532" s="56"/>
      <c r="L532" s="56"/>
      <c r="M532" s="58"/>
      <c r="N532" s="58"/>
      <c r="O532" s="58"/>
      <c r="P532" s="58"/>
      <c r="Q532" s="58"/>
      <c r="R532" s="58"/>
      <c r="S532" s="58"/>
      <c r="T532" s="58"/>
      <c r="U532" s="58"/>
      <c r="V532" s="58"/>
      <c r="W532" s="58"/>
      <c r="X532" s="58"/>
      <c r="Y532" s="58"/>
      <c r="Z532" s="58"/>
      <c r="AA532" s="58"/>
      <c r="AB532" s="58"/>
      <c r="AC532" s="59"/>
      <c r="AD532" s="59"/>
    </row>
    <row r="533" spans="1:30" ht="12.75" customHeight="1" x14ac:dyDescent="0.2">
      <c r="A533" s="56"/>
      <c r="B533" s="56"/>
      <c r="C533" s="56"/>
      <c r="D533" s="57"/>
      <c r="E533" s="57"/>
      <c r="F533" s="56"/>
      <c r="G533" s="56"/>
      <c r="H533" s="56"/>
      <c r="I533" s="56"/>
      <c r="J533" s="56"/>
      <c r="K533" s="56"/>
      <c r="L533" s="56"/>
      <c r="M533" s="58"/>
      <c r="N533" s="58"/>
      <c r="O533" s="58"/>
      <c r="P533" s="58"/>
      <c r="Q533" s="58"/>
      <c r="R533" s="58"/>
      <c r="S533" s="58"/>
      <c r="T533" s="58"/>
      <c r="U533" s="58"/>
      <c r="V533" s="58"/>
      <c r="W533" s="58"/>
      <c r="X533" s="58"/>
      <c r="Y533" s="58"/>
      <c r="Z533" s="58"/>
      <c r="AA533" s="58"/>
      <c r="AB533" s="58"/>
      <c r="AC533" s="59"/>
      <c r="AD533" s="59"/>
    </row>
    <row r="534" spans="1:30" ht="12.75" customHeight="1" x14ac:dyDescent="0.2">
      <c r="A534" s="56"/>
      <c r="B534" s="56"/>
      <c r="C534" s="56"/>
      <c r="D534" s="57"/>
      <c r="E534" s="57"/>
      <c r="F534" s="56"/>
      <c r="G534" s="56"/>
      <c r="H534" s="56"/>
      <c r="I534" s="56"/>
      <c r="J534" s="56"/>
      <c r="K534" s="56"/>
      <c r="L534" s="56"/>
      <c r="M534" s="58"/>
      <c r="N534" s="58"/>
      <c r="O534" s="58"/>
      <c r="P534" s="58"/>
      <c r="Q534" s="58"/>
      <c r="R534" s="58"/>
      <c r="S534" s="58"/>
      <c r="T534" s="58"/>
      <c r="U534" s="58"/>
      <c r="V534" s="58"/>
      <c r="W534" s="58"/>
      <c r="X534" s="58"/>
      <c r="Y534" s="58"/>
      <c r="Z534" s="58"/>
      <c r="AA534" s="58"/>
      <c r="AB534" s="58"/>
      <c r="AC534" s="59"/>
      <c r="AD534" s="59"/>
    </row>
    <row r="535" spans="1:30" ht="12.75" customHeight="1" x14ac:dyDescent="0.2">
      <c r="A535" s="56"/>
      <c r="B535" s="56"/>
      <c r="C535" s="56"/>
      <c r="D535" s="57"/>
      <c r="E535" s="57"/>
      <c r="F535" s="56"/>
      <c r="G535" s="56"/>
      <c r="H535" s="56"/>
      <c r="I535" s="56"/>
      <c r="J535" s="56"/>
      <c r="K535" s="56"/>
      <c r="L535" s="56"/>
      <c r="M535" s="58"/>
      <c r="N535" s="58"/>
      <c r="O535" s="58"/>
      <c r="P535" s="58"/>
      <c r="Q535" s="58"/>
      <c r="R535" s="58"/>
      <c r="S535" s="58"/>
      <c r="T535" s="58"/>
      <c r="U535" s="58"/>
      <c r="V535" s="58"/>
      <c r="W535" s="58"/>
      <c r="X535" s="58"/>
      <c r="Y535" s="58"/>
      <c r="Z535" s="58"/>
      <c r="AA535" s="58"/>
      <c r="AB535" s="58"/>
      <c r="AC535" s="59"/>
      <c r="AD535" s="59"/>
    </row>
    <row r="536" spans="1:30" ht="12.75" customHeight="1" x14ac:dyDescent="0.2">
      <c r="A536" s="56"/>
      <c r="B536" s="56"/>
      <c r="C536" s="56"/>
      <c r="D536" s="57"/>
      <c r="E536" s="57"/>
      <c r="F536" s="56"/>
      <c r="G536" s="56"/>
      <c r="H536" s="56"/>
      <c r="I536" s="56"/>
      <c r="J536" s="56"/>
      <c r="K536" s="56"/>
      <c r="L536" s="56"/>
      <c r="M536" s="58"/>
      <c r="N536" s="58"/>
      <c r="O536" s="58"/>
      <c r="P536" s="58"/>
      <c r="Q536" s="58"/>
      <c r="R536" s="58"/>
      <c r="S536" s="58"/>
      <c r="T536" s="58"/>
      <c r="U536" s="58"/>
      <c r="V536" s="58"/>
      <c r="W536" s="58"/>
      <c r="X536" s="58"/>
      <c r="Y536" s="58"/>
      <c r="Z536" s="58"/>
      <c r="AA536" s="58"/>
      <c r="AB536" s="58"/>
      <c r="AC536" s="59"/>
      <c r="AD536" s="59"/>
    </row>
    <row r="537" spans="1:30" ht="12.75" customHeight="1" x14ac:dyDescent="0.2">
      <c r="A537" s="56"/>
      <c r="B537" s="56"/>
      <c r="C537" s="56"/>
      <c r="D537" s="57"/>
      <c r="E537" s="57"/>
      <c r="F537" s="56"/>
      <c r="G537" s="56"/>
      <c r="H537" s="56"/>
      <c r="I537" s="56"/>
      <c r="J537" s="56"/>
      <c r="K537" s="56"/>
      <c r="L537" s="56"/>
      <c r="M537" s="58"/>
      <c r="N537" s="58"/>
      <c r="O537" s="58"/>
      <c r="P537" s="58"/>
      <c r="Q537" s="58"/>
      <c r="R537" s="58"/>
      <c r="S537" s="58"/>
      <c r="T537" s="58"/>
      <c r="U537" s="58"/>
      <c r="V537" s="58"/>
      <c r="W537" s="58"/>
      <c r="X537" s="58"/>
      <c r="Y537" s="58"/>
      <c r="Z537" s="58"/>
      <c r="AA537" s="58"/>
      <c r="AB537" s="58"/>
      <c r="AC537" s="59"/>
      <c r="AD537" s="59"/>
    </row>
    <row r="538" spans="1:30" ht="12.75" customHeight="1" x14ac:dyDescent="0.2">
      <c r="A538" s="56"/>
      <c r="B538" s="56"/>
      <c r="C538" s="56"/>
      <c r="D538" s="57"/>
      <c r="E538" s="57"/>
      <c r="F538" s="56"/>
      <c r="G538" s="56"/>
      <c r="H538" s="56"/>
      <c r="I538" s="56"/>
      <c r="J538" s="56"/>
      <c r="K538" s="56"/>
      <c r="L538" s="56"/>
      <c r="M538" s="58"/>
      <c r="N538" s="58"/>
      <c r="O538" s="58"/>
      <c r="P538" s="58"/>
      <c r="Q538" s="58"/>
      <c r="R538" s="58"/>
      <c r="S538" s="58"/>
      <c r="T538" s="58"/>
      <c r="U538" s="58"/>
      <c r="V538" s="58"/>
      <c r="W538" s="58"/>
      <c r="X538" s="58"/>
      <c r="Y538" s="58"/>
      <c r="Z538" s="58"/>
      <c r="AA538" s="58"/>
      <c r="AB538" s="58"/>
      <c r="AC538" s="59"/>
      <c r="AD538" s="59"/>
    </row>
    <row r="539" spans="1:30" ht="12.75" customHeight="1" x14ac:dyDescent="0.2">
      <c r="A539" s="56"/>
      <c r="B539" s="56"/>
      <c r="C539" s="56"/>
      <c r="D539" s="57"/>
      <c r="E539" s="57"/>
      <c r="F539" s="56"/>
      <c r="G539" s="56"/>
      <c r="H539" s="56"/>
      <c r="I539" s="56"/>
      <c r="J539" s="56"/>
      <c r="K539" s="56"/>
      <c r="L539" s="56"/>
      <c r="M539" s="58"/>
      <c r="N539" s="58"/>
      <c r="O539" s="58"/>
      <c r="P539" s="58"/>
      <c r="Q539" s="58"/>
      <c r="R539" s="58"/>
      <c r="S539" s="58"/>
      <c r="T539" s="58"/>
      <c r="U539" s="58"/>
      <c r="V539" s="58"/>
      <c r="W539" s="58"/>
      <c r="X539" s="58"/>
      <c r="Y539" s="58"/>
      <c r="Z539" s="58"/>
      <c r="AA539" s="58"/>
      <c r="AB539" s="58"/>
      <c r="AC539" s="59"/>
      <c r="AD539" s="59"/>
    </row>
    <row r="540" spans="1:30" ht="12.75" customHeight="1" x14ac:dyDescent="0.2">
      <c r="A540" s="56"/>
      <c r="B540" s="56"/>
      <c r="C540" s="56"/>
      <c r="D540" s="57"/>
      <c r="E540" s="57"/>
      <c r="F540" s="56"/>
      <c r="G540" s="56"/>
      <c r="H540" s="56"/>
      <c r="I540" s="56"/>
      <c r="J540" s="56"/>
      <c r="K540" s="56"/>
      <c r="L540" s="56"/>
      <c r="M540" s="58"/>
      <c r="N540" s="58"/>
      <c r="O540" s="58"/>
      <c r="P540" s="58"/>
      <c r="Q540" s="58"/>
      <c r="R540" s="58"/>
      <c r="S540" s="58"/>
      <c r="T540" s="58"/>
      <c r="U540" s="58"/>
      <c r="V540" s="58"/>
      <c r="W540" s="58"/>
      <c r="X540" s="58"/>
      <c r="Y540" s="58"/>
      <c r="Z540" s="58"/>
      <c r="AA540" s="58"/>
      <c r="AB540" s="58"/>
      <c r="AC540" s="59"/>
      <c r="AD540" s="59"/>
    </row>
    <row r="541" spans="1:30" ht="12.75" customHeight="1" x14ac:dyDescent="0.2">
      <c r="A541" s="56"/>
      <c r="B541" s="56"/>
      <c r="C541" s="56"/>
      <c r="D541" s="57"/>
      <c r="E541" s="57"/>
      <c r="F541" s="56"/>
      <c r="G541" s="56"/>
      <c r="H541" s="56"/>
      <c r="I541" s="56"/>
      <c r="J541" s="56"/>
      <c r="K541" s="56"/>
      <c r="L541" s="56"/>
      <c r="M541" s="58"/>
      <c r="N541" s="58"/>
      <c r="O541" s="58"/>
      <c r="P541" s="58"/>
      <c r="Q541" s="58"/>
      <c r="R541" s="58"/>
      <c r="S541" s="58"/>
      <c r="T541" s="58"/>
      <c r="U541" s="58"/>
      <c r="V541" s="58"/>
      <c r="W541" s="58"/>
      <c r="X541" s="58"/>
      <c r="Y541" s="58"/>
      <c r="Z541" s="58"/>
      <c r="AA541" s="58"/>
      <c r="AB541" s="58"/>
      <c r="AC541" s="59"/>
      <c r="AD541" s="59"/>
    </row>
    <row r="542" spans="1:30" ht="12.75" customHeight="1" x14ac:dyDescent="0.2">
      <c r="A542" s="56"/>
      <c r="B542" s="56"/>
      <c r="C542" s="56"/>
      <c r="D542" s="57"/>
      <c r="E542" s="57"/>
      <c r="F542" s="56"/>
      <c r="G542" s="56"/>
      <c r="H542" s="56"/>
      <c r="I542" s="56"/>
      <c r="J542" s="56"/>
      <c r="K542" s="56"/>
      <c r="L542" s="56"/>
      <c r="M542" s="58"/>
      <c r="N542" s="58"/>
      <c r="O542" s="58"/>
      <c r="P542" s="58"/>
      <c r="Q542" s="58"/>
      <c r="R542" s="58"/>
      <c r="S542" s="58"/>
      <c r="T542" s="58"/>
      <c r="U542" s="58"/>
      <c r="V542" s="58"/>
      <c r="W542" s="58"/>
      <c r="X542" s="58"/>
      <c r="Y542" s="58"/>
      <c r="Z542" s="58"/>
      <c r="AA542" s="58"/>
      <c r="AB542" s="58"/>
      <c r="AC542" s="59"/>
      <c r="AD542" s="59"/>
    </row>
    <row r="543" spans="1:30" ht="12.75" customHeight="1" x14ac:dyDescent="0.2">
      <c r="A543" s="56"/>
      <c r="B543" s="56"/>
      <c r="C543" s="56"/>
      <c r="D543" s="57"/>
      <c r="E543" s="57"/>
      <c r="F543" s="56"/>
      <c r="G543" s="56"/>
      <c r="H543" s="56"/>
      <c r="I543" s="56"/>
      <c r="J543" s="56"/>
      <c r="K543" s="56"/>
      <c r="L543" s="56"/>
      <c r="M543" s="58"/>
      <c r="N543" s="58"/>
      <c r="O543" s="58"/>
      <c r="P543" s="58"/>
      <c r="Q543" s="58"/>
      <c r="R543" s="58"/>
      <c r="S543" s="58"/>
      <c r="T543" s="58"/>
      <c r="U543" s="58"/>
      <c r="V543" s="58"/>
      <c r="W543" s="58"/>
      <c r="X543" s="58"/>
      <c r="Y543" s="58"/>
      <c r="Z543" s="58"/>
      <c r="AA543" s="58"/>
      <c r="AB543" s="58"/>
      <c r="AC543" s="59"/>
      <c r="AD543" s="59"/>
    </row>
    <row r="544" spans="1:30" ht="12.75" customHeight="1" x14ac:dyDescent="0.2">
      <c r="A544" s="56"/>
      <c r="B544" s="56"/>
      <c r="C544" s="56"/>
      <c r="D544" s="57"/>
      <c r="E544" s="57"/>
      <c r="F544" s="56"/>
      <c r="G544" s="56"/>
      <c r="H544" s="56"/>
      <c r="I544" s="56"/>
      <c r="J544" s="56"/>
      <c r="K544" s="56"/>
      <c r="L544" s="56"/>
      <c r="M544" s="58"/>
      <c r="N544" s="58"/>
      <c r="O544" s="58"/>
      <c r="P544" s="58"/>
      <c r="Q544" s="58"/>
      <c r="R544" s="58"/>
      <c r="S544" s="58"/>
      <c r="T544" s="58"/>
      <c r="U544" s="58"/>
      <c r="V544" s="58"/>
      <c r="W544" s="58"/>
      <c r="X544" s="58"/>
      <c r="Y544" s="58"/>
      <c r="Z544" s="58"/>
      <c r="AA544" s="58"/>
      <c r="AB544" s="58"/>
      <c r="AC544" s="59"/>
      <c r="AD544" s="59"/>
    </row>
    <row r="545" spans="1:30" ht="12.75" customHeight="1" x14ac:dyDescent="0.2">
      <c r="A545" s="56"/>
      <c r="B545" s="56"/>
      <c r="C545" s="56"/>
      <c r="D545" s="57"/>
      <c r="E545" s="57"/>
      <c r="F545" s="56"/>
      <c r="G545" s="56"/>
      <c r="H545" s="56"/>
      <c r="I545" s="56"/>
      <c r="J545" s="56"/>
      <c r="K545" s="56"/>
      <c r="L545" s="56"/>
      <c r="M545" s="58"/>
      <c r="N545" s="58"/>
      <c r="O545" s="58"/>
      <c r="P545" s="58"/>
      <c r="Q545" s="58"/>
      <c r="R545" s="58"/>
      <c r="S545" s="58"/>
      <c r="T545" s="58"/>
      <c r="U545" s="58"/>
      <c r="V545" s="58"/>
      <c r="W545" s="58"/>
      <c r="X545" s="58"/>
      <c r="Y545" s="58"/>
      <c r="Z545" s="58"/>
      <c r="AA545" s="58"/>
      <c r="AB545" s="58"/>
      <c r="AC545" s="59"/>
      <c r="AD545" s="59"/>
    </row>
    <row r="546" spans="1:30" ht="12.75" customHeight="1" x14ac:dyDescent="0.2">
      <c r="A546" s="56"/>
      <c r="B546" s="56"/>
      <c r="C546" s="56"/>
      <c r="D546" s="57"/>
      <c r="E546" s="57"/>
      <c r="F546" s="56"/>
      <c r="G546" s="56"/>
      <c r="H546" s="56"/>
      <c r="I546" s="56"/>
      <c r="J546" s="56"/>
      <c r="K546" s="56"/>
      <c r="L546" s="56"/>
      <c r="M546" s="58"/>
      <c r="N546" s="58"/>
      <c r="O546" s="58"/>
      <c r="P546" s="58"/>
      <c r="Q546" s="58"/>
      <c r="R546" s="58"/>
      <c r="S546" s="58"/>
      <c r="T546" s="58"/>
      <c r="U546" s="58"/>
      <c r="V546" s="58"/>
      <c r="W546" s="58"/>
      <c r="X546" s="58"/>
      <c r="Y546" s="58"/>
      <c r="Z546" s="58"/>
      <c r="AA546" s="58"/>
      <c r="AB546" s="58"/>
      <c r="AC546" s="59"/>
      <c r="AD546" s="59"/>
    </row>
    <row r="547" spans="1:30" ht="12.75" customHeight="1" x14ac:dyDescent="0.2">
      <c r="A547" s="56"/>
      <c r="B547" s="56"/>
      <c r="C547" s="56"/>
      <c r="D547" s="57"/>
      <c r="E547" s="57"/>
      <c r="F547" s="56"/>
      <c r="G547" s="56"/>
      <c r="H547" s="56"/>
      <c r="I547" s="56"/>
      <c r="J547" s="56"/>
      <c r="K547" s="56"/>
      <c r="L547" s="56"/>
      <c r="M547" s="58"/>
      <c r="N547" s="58"/>
      <c r="O547" s="58"/>
      <c r="P547" s="58"/>
      <c r="Q547" s="58"/>
      <c r="R547" s="58"/>
      <c r="S547" s="58"/>
      <c r="T547" s="58"/>
      <c r="U547" s="58"/>
      <c r="V547" s="58"/>
      <c r="W547" s="58"/>
      <c r="X547" s="58"/>
      <c r="Y547" s="58"/>
      <c r="Z547" s="58"/>
      <c r="AA547" s="58"/>
      <c r="AB547" s="58"/>
      <c r="AC547" s="59"/>
      <c r="AD547" s="59"/>
    </row>
    <row r="548" spans="1:30" ht="12.75" customHeight="1" x14ac:dyDescent="0.2">
      <c r="A548" s="56"/>
      <c r="B548" s="56"/>
      <c r="C548" s="56"/>
      <c r="D548" s="57"/>
      <c r="E548" s="57"/>
      <c r="F548" s="56"/>
      <c r="G548" s="56"/>
      <c r="H548" s="56"/>
      <c r="I548" s="56"/>
      <c r="J548" s="56"/>
      <c r="K548" s="56"/>
      <c r="L548" s="56"/>
      <c r="M548" s="58"/>
      <c r="N548" s="58"/>
      <c r="O548" s="58"/>
      <c r="P548" s="58"/>
      <c r="Q548" s="58"/>
      <c r="R548" s="58"/>
      <c r="S548" s="58"/>
      <c r="T548" s="58"/>
      <c r="U548" s="58"/>
      <c r="V548" s="58"/>
      <c r="W548" s="58"/>
      <c r="X548" s="58"/>
      <c r="Y548" s="58"/>
      <c r="Z548" s="58"/>
      <c r="AA548" s="58"/>
      <c r="AB548" s="58"/>
      <c r="AC548" s="59"/>
      <c r="AD548" s="59"/>
    </row>
    <row r="549" spans="1:30" ht="12.75" customHeight="1" x14ac:dyDescent="0.2">
      <c r="A549" s="56"/>
      <c r="B549" s="56"/>
      <c r="C549" s="56"/>
      <c r="D549" s="57"/>
      <c r="E549" s="57"/>
      <c r="F549" s="56"/>
      <c r="G549" s="56"/>
      <c r="H549" s="56"/>
      <c r="I549" s="56"/>
      <c r="J549" s="56"/>
      <c r="K549" s="56"/>
      <c r="L549" s="56"/>
      <c r="M549" s="58"/>
      <c r="N549" s="58"/>
      <c r="O549" s="58"/>
      <c r="P549" s="58"/>
      <c r="Q549" s="58"/>
      <c r="R549" s="58"/>
      <c r="S549" s="58"/>
      <c r="T549" s="58"/>
      <c r="U549" s="58"/>
      <c r="V549" s="58"/>
      <c r="W549" s="58"/>
      <c r="X549" s="58"/>
      <c r="Y549" s="58"/>
      <c r="Z549" s="58"/>
      <c r="AA549" s="58"/>
      <c r="AB549" s="58"/>
      <c r="AC549" s="59"/>
      <c r="AD549" s="59"/>
    </row>
    <row r="550" spans="1:30" ht="12.75" customHeight="1" x14ac:dyDescent="0.2">
      <c r="A550" s="56"/>
      <c r="B550" s="56"/>
      <c r="C550" s="56"/>
      <c r="D550" s="57"/>
      <c r="E550" s="57"/>
      <c r="F550" s="56"/>
      <c r="G550" s="56"/>
      <c r="H550" s="56"/>
      <c r="I550" s="56"/>
      <c r="J550" s="56"/>
      <c r="K550" s="56"/>
      <c r="L550" s="56"/>
      <c r="M550" s="58"/>
      <c r="N550" s="58"/>
      <c r="O550" s="58"/>
      <c r="P550" s="58"/>
      <c r="Q550" s="58"/>
      <c r="R550" s="58"/>
      <c r="S550" s="58"/>
      <c r="T550" s="58"/>
      <c r="U550" s="58"/>
      <c r="V550" s="58"/>
      <c r="W550" s="58"/>
      <c r="X550" s="58"/>
      <c r="Y550" s="58"/>
      <c r="Z550" s="58"/>
      <c r="AA550" s="58"/>
      <c r="AB550" s="58"/>
      <c r="AC550" s="59"/>
      <c r="AD550" s="59"/>
    </row>
    <row r="551" spans="1:30" ht="12.75" customHeight="1" x14ac:dyDescent="0.2">
      <c r="A551" s="56"/>
      <c r="B551" s="56"/>
      <c r="C551" s="56"/>
      <c r="D551" s="57"/>
      <c r="E551" s="57"/>
      <c r="F551" s="56"/>
      <c r="G551" s="56"/>
      <c r="H551" s="56"/>
      <c r="I551" s="56"/>
      <c r="J551" s="56"/>
      <c r="K551" s="56"/>
      <c r="L551" s="56"/>
      <c r="M551" s="58"/>
      <c r="N551" s="58"/>
      <c r="O551" s="58"/>
      <c r="P551" s="58"/>
      <c r="Q551" s="58"/>
      <c r="R551" s="58"/>
      <c r="S551" s="58"/>
      <c r="T551" s="58"/>
      <c r="U551" s="58"/>
      <c r="V551" s="58"/>
      <c r="W551" s="58"/>
      <c r="X551" s="58"/>
      <c r="Y551" s="58"/>
      <c r="Z551" s="58"/>
      <c r="AA551" s="58"/>
      <c r="AB551" s="58"/>
      <c r="AC551" s="59"/>
      <c r="AD551" s="59"/>
    </row>
    <row r="552" spans="1:30" ht="12.75" customHeight="1" x14ac:dyDescent="0.2">
      <c r="A552" s="56"/>
      <c r="B552" s="56"/>
      <c r="C552" s="56"/>
      <c r="D552" s="57"/>
      <c r="E552" s="57"/>
      <c r="F552" s="56"/>
      <c r="G552" s="56"/>
      <c r="H552" s="56"/>
      <c r="I552" s="56"/>
      <c r="J552" s="56"/>
      <c r="K552" s="56"/>
      <c r="L552" s="56"/>
      <c r="M552" s="58"/>
      <c r="N552" s="58"/>
      <c r="O552" s="58"/>
      <c r="P552" s="58"/>
      <c r="Q552" s="58"/>
      <c r="R552" s="58"/>
      <c r="S552" s="58"/>
      <c r="T552" s="58"/>
      <c r="U552" s="58"/>
      <c r="V552" s="58"/>
      <c r="W552" s="58"/>
      <c r="X552" s="58"/>
      <c r="Y552" s="58"/>
      <c r="Z552" s="58"/>
      <c r="AA552" s="58"/>
      <c r="AB552" s="58"/>
      <c r="AC552" s="59"/>
      <c r="AD552" s="59"/>
    </row>
    <row r="553" spans="1:30" ht="12.75" customHeight="1" x14ac:dyDescent="0.2">
      <c r="A553" s="56"/>
      <c r="B553" s="56"/>
      <c r="C553" s="56"/>
      <c r="D553" s="57"/>
      <c r="E553" s="57"/>
      <c r="F553" s="56"/>
      <c r="G553" s="56"/>
      <c r="H553" s="56"/>
      <c r="I553" s="56"/>
      <c r="J553" s="56"/>
      <c r="K553" s="56"/>
      <c r="L553" s="56"/>
      <c r="M553" s="58"/>
      <c r="N553" s="58"/>
      <c r="O553" s="58"/>
      <c r="P553" s="58"/>
      <c r="Q553" s="58"/>
      <c r="R553" s="58"/>
      <c r="S553" s="58"/>
      <c r="T553" s="58"/>
      <c r="U553" s="58"/>
      <c r="V553" s="58"/>
      <c r="W553" s="58"/>
      <c r="X553" s="58"/>
      <c r="Y553" s="58"/>
      <c r="Z553" s="58"/>
      <c r="AA553" s="58"/>
      <c r="AB553" s="58"/>
      <c r="AC553" s="59"/>
      <c r="AD553" s="59"/>
    </row>
    <row r="554" spans="1:30" ht="12.75" customHeight="1" x14ac:dyDescent="0.2">
      <c r="A554" s="56"/>
      <c r="B554" s="56"/>
      <c r="C554" s="56"/>
      <c r="D554" s="57"/>
      <c r="E554" s="57"/>
      <c r="F554" s="56"/>
      <c r="G554" s="56"/>
      <c r="H554" s="56"/>
      <c r="I554" s="56"/>
      <c r="J554" s="56"/>
      <c r="K554" s="56"/>
      <c r="L554" s="56"/>
      <c r="M554" s="58"/>
      <c r="N554" s="58"/>
      <c r="O554" s="58"/>
      <c r="P554" s="58"/>
      <c r="Q554" s="58"/>
      <c r="R554" s="58"/>
      <c r="S554" s="58"/>
      <c r="T554" s="58"/>
      <c r="U554" s="58"/>
      <c r="V554" s="58"/>
      <c r="W554" s="58"/>
      <c r="X554" s="58"/>
      <c r="Y554" s="58"/>
      <c r="Z554" s="58"/>
      <c r="AA554" s="58"/>
      <c r="AB554" s="58"/>
      <c r="AC554" s="59"/>
      <c r="AD554" s="59"/>
    </row>
    <row r="555" spans="1:30" ht="12.75" customHeight="1" x14ac:dyDescent="0.2">
      <c r="A555" s="56"/>
      <c r="B555" s="56"/>
      <c r="C555" s="56"/>
      <c r="D555" s="57"/>
      <c r="E555" s="57"/>
      <c r="F555" s="56"/>
      <c r="G555" s="56"/>
      <c r="H555" s="56"/>
      <c r="I555" s="56"/>
      <c r="J555" s="56"/>
      <c r="K555" s="56"/>
      <c r="L555" s="56"/>
      <c r="M555" s="58"/>
      <c r="N555" s="58"/>
      <c r="O555" s="58"/>
      <c r="P555" s="58"/>
      <c r="Q555" s="58"/>
      <c r="R555" s="58"/>
      <c r="S555" s="58"/>
      <c r="T555" s="58"/>
      <c r="U555" s="58"/>
      <c r="V555" s="58"/>
      <c r="W555" s="58"/>
      <c r="X555" s="58"/>
      <c r="Y555" s="58"/>
      <c r="Z555" s="58"/>
      <c r="AA555" s="58"/>
      <c r="AB555" s="58"/>
      <c r="AC555" s="59"/>
      <c r="AD555" s="59"/>
    </row>
    <row r="556" spans="1:30" ht="12.75" customHeight="1" x14ac:dyDescent="0.2">
      <c r="A556" s="56"/>
      <c r="B556" s="56"/>
      <c r="C556" s="56"/>
      <c r="D556" s="57"/>
      <c r="E556" s="57"/>
      <c r="F556" s="56"/>
      <c r="G556" s="56"/>
      <c r="H556" s="56"/>
      <c r="I556" s="56"/>
      <c r="J556" s="56"/>
      <c r="K556" s="56"/>
      <c r="L556" s="56"/>
      <c r="M556" s="58"/>
      <c r="N556" s="58"/>
      <c r="O556" s="58"/>
      <c r="P556" s="58"/>
      <c r="Q556" s="58"/>
      <c r="R556" s="58"/>
      <c r="S556" s="58"/>
      <c r="T556" s="58"/>
      <c r="U556" s="58"/>
      <c r="V556" s="58"/>
      <c r="W556" s="58"/>
      <c r="X556" s="58"/>
      <c r="Y556" s="58"/>
      <c r="Z556" s="58"/>
      <c r="AA556" s="58"/>
      <c r="AB556" s="58"/>
      <c r="AC556" s="59"/>
      <c r="AD556" s="59"/>
    </row>
    <row r="557" spans="1:30" ht="12.75" customHeight="1" x14ac:dyDescent="0.2">
      <c r="A557" s="56"/>
      <c r="B557" s="56"/>
      <c r="C557" s="56"/>
      <c r="D557" s="57"/>
      <c r="E557" s="57"/>
      <c r="F557" s="56"/>
      <c r="G557" s="56"/>
      <c r="H557" s="56"/>
      <c r="I557" s="56"/>
      <c r="J557" s="56"/>
      <c r="K557" s="56"/>
      <c r="L557" s="56"/>
      <c r="M557" s="58"/>
      <c r="N557" s="58"/>
      <c r="O557" s="58"/>
      <c r="P557" s="58"/>
      <c r="Q557" s="58"/>
      <c r="R557" s="58"/>
      <c r="S557" s="58"/>
      <c r="T557" s="58"/>
      <c r="U557" s="58"/>
      <c r="V557" s="58"/>
      <c r="W557" s="58"/>
      <c r="X557" s="58"/>
      <c r="Y557" s="58"/>
      <c r="Z557" s="58"/>
      <c r="AA557" s="58"/>
      <c r="AB557" s="58"/>
      <c r="AC557" s="59"/>
      <c r="AD557" s="59"/>
    </row>
    <row r="558" spans="1:30" ht="12.75" customHeight="1" x14ac:dyDescent="0.2">
      <c r="A558" s="56"/>
      <c r="B558" s="56"/>
      <c r="C558" s="56"/>
      <c r="D558" s="57"/>
      <c r="E558" s="57"/>
      <c r="F558" s="56"/>
      <c r="G558" s="56"/>
      <c r="H558" s="56"/>
      <c r="I558" s="56"/>
      <c r="J558" s="56"/>
      <c r="K558" s="56"/>
      <c r="L558" s="56"/>
      <c r="M558" s="58"/>
      <c r="N558" s="58"/>
      <c r="O558" s="58"/>
      <c r="P558" s="58"/>
      <c r="Q558" s="58"/>
      <c r="R558" s="58"/>
      <c r="S558" s="58"/>
      <c r="T558" s="58"/>
      <c r="U558" s="58"/>
      <c r="V558" s="58"/>
      <c r="W558" s="58"/>
      <c r="X558" s="58"/>
      <c r="Y558" s="58"/>
      <c r="Z558" s="58"/>
      <c r="AA558" s="58"/>
      <c r="AB558" s="58"/>
      <c r="AC558" s="59"/>
      <c r="AD558" s="59"/>
    </row>
    <row r="559" spans="1:30" ht="12.75" customHeight="1" x14ac:dyDescent="0.2">
      <c r="A559" s="56"/>
      <c r="B559" s="56"/>
      <c r="C559" s="56"/>
      <c r="D559" s="57"/>
      <c r="E559" s="57"/>
      <c r="F559" s="56"/>
      <c r="G559" s="56"/>
      <c r="H559" s="56"/>
      <c r="I559" s="56"/>
      <c r="J559" s="56"/>
      <c r="K559" s="56"/>
      <c r="L559" s="56"/>
      <c r="M559" s="58"/>
      <c r="N559" s="58"/>
      <c r="O559" s="58"/>
      <c r="P559" s="58"/>
      <c r="Q559" s="58"/>
      <c r="R559" s="58"/>
      <c r="S559" s="58"/>
      <c r="T559" s="58"/>
      <c r="U559" s="58"/>
      <c r="V559" s="58"/>
      <c r="W559" s="58"/>
      <c r="X559" s="58"/>
      <c r="Y559" s="58"/>
      <c r="Z559" s="58"/>
      <c r="AA559" s="58"/>
      <c r="AB559" s="58"/>
      <c r="AC559" s="59"/>
      <c r="AD559" s="59"/>
    </row>
    <row r="560" spans="1:30" ht="12.75" customHeight="1" x14ac:dyDescent="0.2">
      <c r="A560" s="56"/>
      <c r="B560" s="56"/>
      <c r="C560" s="56"/>
      <c r="D560" s="57"/>
      <c r="E560" s="57"/>
      <c r="F560" s="56"/>
      <c r="G560" s="56"/>
      <c r="H560" s="56"/>
      <c r="I560" s="56"/>
      <c r="J560" s="56"/>
      <c r="K560" s="56"/>
      <c r="L560" s="56"/>
      <c r="M560" s="58"/>
      <c r="N560" s="58"/>
      <c r="O560" s="58"/>
      <c r="P560" s="58"/>
      <c r="Q560" s="58"/>
      <c r="R560" s="58"/>
      <c r="S560" s="58"/>
      <c r="T560" s="58"/>
      <c r="U560" s="58"/>
      <c r="V560" s="58"/>
      <c r="W560" s="58"/>
      <c r="X560" s="58"/>
      <c r="Y560" s="58"/>
      <c r="Z560" s="58"/>
      <c r="AA560" s="58"/>
      <c r="AB560" s="58"/>
      <c r="AC560" s="59"/>
      <c r="AD560" s="59"/>
    </row>
    <row r="561" spans="1:30" ht="12.75" customHeight="1" x14ac:dyDescent="0.2">
      <c r="A561" s="56"/>
      <c r="B561" s="56"/>
      <c r="C561" s="56"/>
      <c r="D561" s="57"/>
      <c r="E561" s="57"/>
      <c r="F561" s="56"/>
      <c r="G561" s="56"/>
      <c r="H561" s="56"/>
      <c r="I561" s="56"/>
      <c r="J561" s="56"/>
      <c r="K561" s="56"/>
      <c r="L561" s="56"/>
      <c r="M561" s="58"/>
      <c r="N561" s="58"/>
      <c r="O561" s="58"/>
      <c r="P561" s="58"/>
      <c r="Q561" s="58"/>
      <c r="R561" s="58"/>
      <c r="S561" s="58"/>
      <c r="T561" s="58"/>
      <c r="U561" s="58"/>
      <c r="V561" s="58"/>
      <c r="W561" s="58"/>
      <c r="X561" s="58"/>
      <c r="Y561" s="58"/>
      <c r="Z561" s="58"/>
      <c r="AA561" s="58"/>
      <c r="AB561" s="58"/>
      <c r="AC561" s="59"/>
      <c r="AD561" s="59"/>
    </row>
    <row r="562" spans="1:30" ht="12.75" customHeight="1" x14ac:dyDescent="0.2">
      <c r="A562" s="56"/>
      <c r="B562" s="56"/>
      <c r="C562" s="56"/>
      <c r="D562" s="57"/>
      <c r="E562" s="57"/>
      <c r="F562" s="56"/>
      <c r="G562" s="56"/>
      <c r="H562" s="56"/>
      <c r="I562" s="56"/>
      <c r="J562" s="56"/>
      <c r="K562" s="56"/>
      <c r="L562" s="56"/>
      <c r="M562" s="58"/>
      <c r="N562" s="58"/>
      <c r="O562" s="58"/>
      <c r="P562" s="58"/>
      <c r="Q562" s="58"/>
      <c r="R562" s="58"/>
      <c r="S562" s="58"/>
      <c r="T562" s="58"/>
      <c r="U562" s="58"/>
      <c r="V562" s="58"/>
      <c r="W562" s="58"/>
      <c r="X562" s="58"/>
      <c r="Y562" s="58"/>
      <c r="Z562" s="58"/>
      <c r="AA562" s="58"/>
      <c r="AB562" s="58"/>
      <c r="AC562" s="59"/>
      <c r="AD562" s="59"/>
    </row>
    <row r="563" spans="1:30" ht="12.75" customHeight="1" x14ac:dyDescent="0.2">
      <c r="A563" s="56"/>
      <c r="B563" s="56"/>
      <c r="C563" s="56"/>
      <c r="D563" s="57"/>
      <c r="E563" s="57"/>
      <c r="F563" s="56"/>
      <c r="G563" s="56"/>
      <c r="H563" s="56"/>
      <c r="I563" s="56"/>
      <c r="J563" s="56"/>
      <c r="K563" s="56"/>
      <c r="L563" s="56"/>
      <c r="M563" s="58"/>
      <c r="N563" s="58"/>
      <c r="O563" s="58"/>
      <c r="P563" s="58"/>
      <c r="Q563" s="58"/>
      <c r="R563" s="58"/>
      <c r="S563" s="58"/>
      <c r="T563" s="58"/>
      <c r="U563" s="58"/>
      <c r="V563" s="58"/>
      <c r="W563" s="58"/>
      <c r="X563" s="58"/>
      <c r="Y563" s="58"/>
      <c r="Z563" s="58"/>
      <c r="AA563" s="58"/>
      <c r="AB563" s="58"/>
      <c r="AC563" s="59"/>
      <c r="AD563" s="59"/>
    </row>
    <row r="564" spans="1:30" ht="12.75" customHeight="1" x14ac:dyDescent="0.2">
      <c r="A564" s="56"/>
      <c r="B564" s="56"/>
      <c r="C564" s="56"/>
      <c r="D564" s="57"/>
      <c r="E564" s="57"/>
      <c r="F564" s="56"/>
      <c r="G564" s="56"/>
      <c r="H564" s="56"/>
      <c r="I564" s="56"/>
      <c r="J564" s="56"/>
      <c r="K564" s="56"/>
      <c r="L564" s="56"/>
      <c r="M564" s="58"/>
      <c r="N564" s="58"/>
      <c r="O564" s="58"/>
      <c r="P564" s="58"/>
      <c r="Q564" s="58"/>
      <c r="R564" s="58"/>
      <c r="S564" s="58"/>
      <c r="T564" s="58"/>
      <c r="U564" s="58"/>
      <c r="V564" s="58"/>
      <c r="W564" s="58"/>
      <c r="X564" s="58"/>
      <c r="Y564" s="58"/>
      <c r="Z564" s="58"/>
      <c r="AA564" s="58"/>
      <c r="AB564" s="58"/>
      <c r="AC564" s="59"/>
      <c r="AD564" s="59"/>
    </row>
    <row r="565" spans="1:30" ht="12.75" customHeight="1" x14ac:dyDescent="0.2">
      <c r="A565" s="56"/>
      <c r="B565" s="56"/>
      <c r="C565" s="56"/>
      <c r="D565" s="57"/>
      <c r="E565" s="57"/>
      <c r="F565" s="56"/>
      <c r="G565" s="56"/>
      <c r="H565" s="56"/>
      <c r="I565" s="56"/>
      <c r="J565" s="56"/>
      <c r="K565" s="56"/>
      <c r="L565" s="56"/>
      <c r="M565" s="58"/>
      <c r="N565" s="58"/>
      <c r="O565" s="58"/>
      <c r="P565" s="58"/>
      <c r="Q565" s="58"/>
      <c r="R565" s="58"/>
      <c r="S565" s="58"/>
      <c r="T565" s="58"/>
      <c r="U565" s="58"/>
      <c r="V565" s="58"/>
      <c r="W565" s="58"/>
      <c r="X565" s="58"/>
      <c r="Y565" s="58"/>
      <c r="Z565" s="58"/>
      <c r="AA565" s="58"/>
      <c r="AB565" s="58"/>
      <c r="AC565" s="59"/>
      <c r="AD565" s="59"/>
    </row>
    <row r="566" spans="1:30" ht="12.75" customHeight="1" x14ac:dyDescent="0.2">
      <c r="A566" s="56"/>
      <c r="B566" s="56"/>
      <c r="C566" s="56"/>
      <c r="D566" s="57"/>
      <c r="E566" s="57"/>
      <c r="F566" s="56"/>
      <c r="G566" s="56"/>
      <c r="H566" s="56"/>
      <c r="I566" s="56"/>
      <c r="J566" s="56"/>
      <c r="K566" s="56"/>
      <c r="L566" s="56"/>
      <c r="M566" s="58"/>
      <c r="N566" s="58"/>
      <c r="O566" s="58"/>
      <c r="P566" s="58"/>
      <c r="Q566" s="58"/>
      <c r="R566" s="58"/>
      <c r="S566" s="58"/>
      <c r="T566" s="58"/>
      <c r="U566" s="58"/>
      <c r="V566" s="58"/>
      <c r="W566" s="58"/>
      <c r="X566" s="58"/>
      <c r="Y566" s="58"/>
      <c r="Z566" s="58"/>
      <c r="AA566" s="58"/>
      <c r="AB566" s="58"/>
      <c r="AC566" s="59"/>
      <c r="AD566" s="59"/>
    </row>
    <row r="567" spans="1:30" ht="12.75" customHeight="1" x14ac:dyDescent="0.2">
      <c r="A567" s="56"/>
      <c r="B567" s="56"/>
      <c r="C567" s="56"/>
      <c r="D567" s="57"/>
      <c r="E567" s="57"/>
      <c r="F567" s="56"/>
      <c r="G567" s="56"/>
      <c r="H567" s="56"/>
      <c r="I567" s="56"/>
      <c r="J567" s="56"/>
      <c r="K567" s="56"/>
      <c r="L567" s="56"/>
      <c r="M567" s="58"/>
      <c r="N567" s="58"/>
      <c r="O567" s="58"/>
      <c r="P567" s="58"/>
      <c r="Q567" s="58"/>
      <c r="R567" s="58"/>
      <c r="S567" s="58"/>
      <c r="T567" s="58"/>
      <c r="U567" s="58"/>
      <c r="V567" s="58"/>
      <c r="W567" s="58"/>
      <c r="X567" s="58"/>
      <c r="Y567" s="58"/>
      <c r="Z567" s="58"/>
      <c r="AA567" s="58"/>
      <c r="AB567" s="58"/>
      <c r="AC567" s="59"/>
      <c r="AD567" s="59"/>
    </row>
    <row r="568" spans="1:30" ht="12.75" customHeight="1" x14ac:dyDescent="0.2">
      <c r="A568" s="56"/>
      <c r="B568" s="56"/>
      <c r="C568" s="56"/>
      <c r="D568" s="57"/>
      <c r="E568" s="57"/>
      <c r="F568" s="56"/>
      <c r="G568" s="56"/>
      <c r="H568" s="56"/>
      <c r="I568" s="56"/>
      <c r="J568" s="56"/>
      <c r="K568" s="56"/>
      <c r="L568" s="56"/>
      <c r="M568" s="58"/>
      <c r="N568" s="58"/>
      <c r="O568" s="58"/>
      <c r="P568" s="58"/>
      <c r="Q568" s="58"/>
      <c r="R568" s="58"/>
      <c r="S568" s="58"/>
      <c r="T568" s="58"/>
      <c r="U568" s="58"/>
      <c r="V568" s="58"/>
      <c r="W568" s="58"/>
      <c r="X568" s="58"/>
      <c r="Y568" s="58"/>
      <c r="Z568" s="58"/>
      <c r="AA568" s="58"/>
      <c r="AB568" s="58"/>
      <c r="AC568" s="59"/>
      <c r="AD568" s="59"/>
    </row>
    <row r="569" spans="1:30" ht="12.75" customHeight="1" x14ac:dyDescent="0.2">
      <c r="A569" s="56"/>
      <c r="B569" s="56"/>
      <c r="C569" s="56"/>
      <c r="D569" s="57"/>
      <c r="E569" s="57"/>
      <c r="F569" s="56"/>
      <c r="G569" s="56"/>
      <c r="H569" s="56"/>
      <c r="I569" s="56"/>
      <c r="J569" s="56"/>
      <c r="K569" s="56"/>
      <c r="L569" s="56"/>
      <c r="M569" s="58"/>
      <c r="N569" s="58"/>
      <c r="O569" s="58"/>
      <c r="P569" s="58"/>
      <c r="Q569" s="58"/>
      <c r="R569" s="58"/>
      <c r="S569" s="58"/>
      <c r="T569" s="58"/>
      <c r="U569" s="58"/>
      <c r="V569" s="58"/>
      <c r="W569" s="58"/>
      <c r="X569" s="58"/>
      <c r="Y569" s="58"/>
      <c r="Z569" s="58"/>
      <c r="AA569" s="58"/>
      <c r="AB569" s="58"/>
      <c r="AC569" s="59"/>
      <c r="AD569" s="59"/>
    </row>
    <row r="570" spans="1:30" ht="12.75" customHeight="1" x14ac:dyDescent="0.2">
      <c r="A570" s="56"/>
      <c r="B570" s="56"/>
      <c r="C570" s="56"/>
      <c r="D570" s="57"/>
      <c r="E570" s="57"/>
      <c r="F570" s="56"/>
      <c r="G570" s="56"/>
      <c r="H570" s="56"/>
      <c r="I570" s="56"/>
      <c r="J570" s="56"/>
      <c r="K570" s="56"/>
      <c r="L570" s="56"/>
      <c r="M570" s="58"/>
      <c r="N570" s="58"/>
      <c r="O570" s="58"/>
      <c r="P570" s="58"/>
      <c r="Q570" s="58"/>
      <c r="R570" s="58"/>
      <c r="S570" s="58"/>
      <c r="T570" s="58"/>
      <c r="U570" s="58"/>
      <c r="V570" s="58"/>
      <c r="W570" s="58"/>
      <c r="X570" s="58"/>
      <c r="Y570" s="58"/>
      <c r="Z570" s="58"/>
      <c r="AA570" s="58"/>
      <c r="AB570" s="58"/>
      <c r="AC570" s="59"/>
      <c r="AD570" s="59"/>
    </row>
    <row r="571" spans="1:30" ht="12.75" customHeight="1" x14ac:dyDescent="0.2">
      <c r="A571" s="56"/>
      <c r="B571" s="56"/>
      <c r="C571" s="56"/>
      <c r="D571" s="57"/>
      <c r="E571" s="57"/>
      <c r="F571" s="56"/>
      <c r="G571" s="56"/>
      <c r="H571" s="56"/>
      <c r="I571" s="56"/>
      <c r="J571" s="56"/>
      <c r="K571" s="56"/>
      <c r="L571" s="56"/>
      <c r="M571" s="58"/>
      <c r="N571" s="58"/>
      <c r="O571" s="58"/>
      <c r="P571" s="58"/>
      <c r="Q571" s="58"/>
      <c r="R571" s="58"/>
      <c r="S571" s="58"/>
      <c r="T571" s="58"/>
      <c r="U571" s="58"/>
      <c r="V571" s="58"/>
      <c r="W571" s="58"/>
      <c r="X571" s="58"/>
      <c r="Y571" s="58"/>
      <c r="Z571" s="58"/>
      <c r="AA571" s="58"/>
      <c r="AB571" s="58"/>
      <c r="AC571" s="59"/>
      <c r="AD571" s="59"/>
    </row>
    <row r="572" spans="1:30" ht="12.75" customHeight="1" x14ac:dyDescent="0.2">
      <c r="A572" s="56"/>
      <c r="B572" s="56"/>
      <c r="C572" s="56"/>
      <c r="D572" s="57"/>
      <c r="E572" s="57"/>
      <c r="F572" s="56"/>
      <c r="G572" s="56"/>
      <c r="H572" s="56"/>
      <c r="I572" s="56"/>
      <c r="J572" s="56"/>
      <c r="K572" s="56"/>
      <c r="L572" s="56"/>
      <c r="M572" s="58"/>
      <c r="N572" s="58"/>
      <c r="O572" s="58"/>
      <c r="P572" s="58"/>
      <c r="Q572" s="58"/>
      <c r="R572" s="58"/>
      <c r="S572" s="58"/>
      <c r="T572" s="58"/>
      <c r="U572" s="58"/>
      <c r="V572" s="58"/>
      <c r="W572" s="58"/>
      <c r="X572" s="58"/>
      <c r="Y572" s="58"/>
      <c r="Z572" s="58"/>
      <c r="AA572" s="58"/>
      <c r="AB572" s="58"/>
      <c r="AC572" s="59"/>
      <c r="AD572" s="59"/>
    </row>
    <row r="573" spans="1:30" ht="12.75" customHeight="1" x14ac:dyDescent="0.2">
      <c r="A573" s="56"/>
      <c r="B573" s="56"/>
      <c r="C573" s="56"/>
      <c r="D573" s="57"/>
      <c r="E573" s="57"/>
      <c r="F573" s="56"/>
      <c r="G573" s="56"/>
      <c r="H573" s="56"/>
      <c r="I573" s="56"/>
      <c r="J573" s="56"/>
      <c r="K573" s="56"/>
      <c r="L573" s="56"/>
      <c r="M573" s="58"/>
      <c r="N573" s="58"/>
      <c r="O573" s="58"/>
      <c r="P573" s="58"/>
      <c r="Q573" s="58"/>
      <c r="R573" s="58"/>
      <c r="S573" s="58"/>
      <c r="T573" s="58"/>
      <c r="U573" s="58"/>
      <c r="V573" s="58"/>
      <c r="W573" s="58"/>
      <c r="X573" s="58"/>
      <c r="Y573" s="58"/>
      <c r="Z573" s="58"/>
      <c r="AA573" s="58"/>
      <c r="AB573" s="58"/>
      <c r="AC573" s="59"/>
      <c r="AD573" s="59"/>
    </row>
    <row r="574" spans="1:30" ht="12.75" customHeight="1" x14ac:dyDescent="0.2">
      <c r="A574" s="56"/>
      <c r="B574" s="56"/>
      <c r="C574" s="56"/>
      <c r="D574" s="57"/>
      <c r="E574" s="57"/>
      <c r="F574" s="56"/>
      <c r="G574" s="56"/>
      <c r="H574" s="56"/>
      <c r="I574" s="56"/>
      <c r="J574" s="56"/>
      <c r="K574" s="56"/>
      <c r="L574" s="56"/>
      <c r="M574" s="58"/>
      <c r="N574" s="58"/>
      <c r="O574" s="58"/>
      <c r="P574" s="58"/>
      <c r="Q574" s="58"/>
      <c r="R574" s="58"/>
      <c r="S574" s="58"/>
      <c r="T574" s="58"/>
      <c r="U574" s="58"/>
      <c r="V574" s="58"/>
      <c r="W574" s="58"/>
      <c r="X574" s="58"/>
      <c r="Y574" s="58"/>
      <c r="Z574" s="58"/>
      <c r="AA574" s="58"/>
      <c r="AB574" s="58"/>
      <c r="AC574" s="59"/>
      <c r="AD574" s="59"/>
    </row>
    <row r="575" spans="1:30" ht="12.75" customHeight="1" x14ac:dyDescent="0.2">
      <c r="A575" s="56"/>
      <c r="B575" s="56"/>
      <c r="C575" s="56"/>
      <c r="D575" s="57"/>
      <c r="E575" s="57"/>
      <c r="F575" s="56"/>
      <c r="G575" s="56"/>
      <c r="H575" s="56"/>
      <c r="I575" s="56"/>
      <c r="J575" s="56"/>
      <c r="K575" s="56"/>
      <c r="L575" s="56"/>
      <c r="M575" s="58"/>
      <c r="N575" s="58"/>
      <c r="O575" s="58"/>
      <c r="P575" s="58"/>
      <c r="Q575" s="58"/>
      <c r="R575" s="58"/>
      <c r="S575" s="58"/>
      <c r="T575" s="58"/>
      <c r="U575" s="58"/>
      <c r="V575" s="58"/>
      <c r="W575" s="58"/>
      <c r="X575" s="58"/>
      <c r="Y575" s="58"/>
      <c r="Z575" s="58"/>
      <c r="AA575" s="58"/>
      <c r="AB575" s="58"/>
      <c r="AC575" s="59"/>
      <c r="AD575" s="59"/>
    </row>
    <row r="576" spans="1:30" ht="12.75" customHeight="1" x14ac:dyDescent="0.2">
      <c r="A576" s="56"/>
      <c r="B576" s="56"/>
      <c r="C576" s="56"/>
      <c r="D576" s="57"/>
      <c r="E576" s="57"/>
      <c r="F576" s="56"/>
      <c r="G576" s="56"/>
      <c r="H576" s="56"/>
      <c r="I576" s="56"/>
      <c r="J576" s="56"/>
      <c r="K576" s="56"/>
      <c r="L576" s="56"/>
      <c r="M576" s="58"/>
      <c r="N576" s="58"/>
      <c r="O576" s="58"/>
      <c r="P576" s="58"/>
      <c r="Q576" s="58"/>
      <c r="R576" s="58"/>
      <c r="S576" s="58"/>
      <c r="T576" s="58"/>
      <c r="U576" s="58"/>
      <c r="V576" s="58"/>
      <c r="W576" s="58"/>
      <c r="X576" s="58"/>
      <c r="Y576" s="58"/>
      <c r="Z576" s="58"/>
      <c r="AA576" s="58"/>
      <c r="AB576" s="58"/>
      <c r="AC576" s="59"/>
      <c r="AD576" s="59"/>
    </row>
    <row r="577" spans="1:30" ht="12.75" customHeight="1" x14ac:dyDescent="0.2">
      <c r="A577" s="56"/>
      <c r="B577" s="56"/>
      <c r="C577" s="56"/>
      <c r="D577" s="57"/>
      <c r="E577" s="57"/>
      <c r="F577" s="56"/>
      <c r="G577" s="56"/>
      <c r="H577" s="56"/>
      <c r="I577" s="56"/>
      <c r="J577" s="56"/>
      <c r="K577" s="56"/>
      <c r="L577" s="56"/>
      <c r="M577" s="58"/>
      <c r="N577" s="58"/>
      <c r="O577" s="58"/>
      <c r="P577" s="58"/>
      <c r="Q577" s="58"/>
      <c r="R577" s="58"/>
      <c r="S577" s="58"/>
      <c r="T577" s="58"/>
      <c r="U577" s="58"/>
      <c r="V577" s="58"/>
      <c r="W577" s="58"/>
      <c r="X577" s="58"/>
      <c r="Y577" s="58"/>
      <c r="Z577" s="58"/>
      <c r="AA577" s="58"/>
      <c r="AB577" s="58"/>
      <c r="AC577" s="59"/>
      <c r="AD577" s="59"/>
    </row>
    <row r="578" spans="1:30" ht="12.75" customHeight="1" x14ac:dyDescent="0.2">
      <c r="A578" s="56"/>
      <c r="B578" s="56"/>
      <c r="C578" s="56"/>
      <c r="D578" s="57"/>
      <c r="E578" s="57"/>
      <c r="F578" s="56"/>
      <c r="G578" s="56"/>
      <c r="H578" s="56"/>
      <c r="I578" s="56"/>
      <c r="J578" s="56"/>
      <c r="K578" s="56"/>
      <c r="L578" s="56"/>
      <c r="M578" s="58"/>
      <c r="N578" s="58"/>
      <c r="O578" s="58"/>
      <c r="P578" s="58"/>
      <c r="Q578" s="58"/>
      <c r="R578" s="58"/>
      <c r="S578" s="58"/>
      <c r="T578" s="58"/>
      <c r="U578" s="58"/>
      <c r="V578" s="58"/>
      <c r="W578" s="58"/>
      <c r="X578" s="58"/>
      <c r="Y578" s="58"/>
      <c r="Z578" s="58"/>
      <c r="AA578" s="58"/>
      <c r="AB578" s="58"/>
      <c r="AC578" s="59"/>
      <c r="AD578" s="59"/>
    </row>
    <row r="579" spans="1:30" ht="12.75" customHeight="1" x14ac:dyDescent="0.2">
      <c r="A579" s="56"/>
      <c r="B579" s="56"/>
      <c r="C579" s="56"/>
      <c r="D579" s="57"/>
      <c r="E579" s="57"/>
      <c r="F579" s="56"/>
      <c r="G579" s="56"/>
      <c r="H579" s="56"/>
      <c r="I579" s="56"/>
      <c r="J579" s="56"/>
      <c r="K579" s="56"/>
      <c r="L579" s="56"/>
      <c r="M579" s="58"/>
      <c r="N579" s="58"/>
      <c r="O579" s="58"/>
      <c r="P579" s="58"/>
      <c r="Q579" s="58"/>
      <c r="R579" s="58"/>
      <c r="S579" s="58"/>
      <c r="T579" s="58"/>
      <c r="U579" s="58"/>
      <c r="V579" s="58"/>
      <c r="W579" s="58"/>
      <c r="X579" s="58"/>
      <c r="Y579" s="58"/>
      <c r="Z579" s="58"/>
      <c r="AA579" s="58"/>
      <c r="AB579" s="58"/>
      <c r="AC579" s="59"/>
      <c r="AD579" s="59"/>
    </row>
    <row r="580" spans="1:30" ht="12.75" customHeight="1" x14ac:dyDescent="0.2">
      <c r="A580" s="56"/>
      <c r="B580" s="56"/>
      <c r="C580" s="56"/>
      <c r="D580" s="57"/>
      <c r="E580" s="57"/>
      <c r="F580" s="56"/>
      <c r="G580" s="56"/>
      <c r="H580" s="56"/>
      <c r="I580" s="56"/>
      <c r="J580" s="56"/>
      <c r="K580" s="56"/>
      <c r="L580" s="56"/>
      <c r="M580" s="58"/>
      <c r="N580" s="58"/>
      <c r="O580" s="58"/>
      <c r="P580" s="58"/>
      <c r="Q580" s="58"/>
      <c r="R580" s="58"/>
      <c r="S580" s="58"/>
      <c r="T580" s="58"/>
      <c r="U580" s="58"/>
      <c r="V580" s="58"/>
      <c r="W580" s="58"/>
      <c r="X580" s="58"/>
      <c r="Y580" s="58"/>
      <c r="Z580" s="58"/>
      <c r="AA580" s="58"/>
      <c r="AB580" s="58"/>
      <c r="AC580" s="59"/>
      <c r="AD580" s="59"/>
    </row>
    <row r="581" spans="1:30" ht="12.75" customHeight="1" x14ac:dyDescent="0.2">
      <c r="A581" s="56"/>
      <c r="B581" s="56"/>
      <c r="C581" s="56"/>
      <c r="D581" s="57"/>
      <c r="E581" s="57"/>
      <c r="F581" s="56"/>
      <c r="G581" s="56"/>
      <c r="H581" s="56"/>
      <c r="I581" s="56"/>
      <c r="J581" s="56"/>
      <c r="K581" s="56"/>
      <c r="L581" s="56"/>
      <c r="M581" s="58"/>
      <c r="N581" s="58"/>
      <c r="O581" s="58"/>
      <c r="P581" s="58"/>
      <c r="Q581" s="58"/>
      <c r="R581" s="58"/>
      <c r="S581" s="58"/>
      <c r="T581" s="58"/>
      <c r="U581" s="58"/>
      <c r="V581" s="58"/>
      <c r="W581" s="58"/>
      <c r="X581" s="58"/>
      <c r="Y581" s="58"/>
      <c r="Z581" s="58"/>
      <c r="AA581" s="58"/>
      <c r="AB581" s="58"/>
      <c r="AC581" s="59"/>
      <c r="AD581" s="59"/>
    </row>
    <row r="582" spans="1:30" ht="12.75" customHeight="1" x14ac:dyDescent="0.2">
      <c r="A582" s="56"/>
      <c r="B582" s="56"/>
      <c r="C582" s="56"/>
      <c r="D582" s="57"/>
      <c r="E582" s="57"/>
      <c r="F582" s="56"/>
      <c r="G582" s="56"/>
      <c r="H582" s="56"/>
      <c r="I582" s="56"/>
      <c r="J582" s="56"/>
      <c r="K582" s="56"/>
      <c r="L582" s="56"/>
      <c r="M582" s="58"/>
      <c r="N582" s="58"/>
      <c r="O582" s="58"/>
      <c r="P582" s="58"/>
      <c r="Q582" s="58"/>
      <c r="R582" s="58"/>
      <c r="S582" s="58"/>
      <c r="T582" s="58"/>
      <c r="U582" s="58"/>
      <c r="V582" s="58"/>
      <c r="W582" s="58"/>
      <c r="X582" s="58"/>
      <c r="Y582" s="58"/>
      <c r="Z582" s="58"/>
      <c r="AA582" s="58"/>
      <c r="AB582" s="58"/>
      <c r="AC582" s="59"/>
      <c r="AD582" s="59"/>
    </row>
    <row r="583" spans="1:30" ht="12.75" customHeight="1" x14ac:dyDescent="0.2">
      <c r="A583" s="56"/>
      <c r="B583" s="56"/>
      <c r="C583" s="56"/>
      <c r="D583" s="57"/>
      <c r="E583" s="57"/>
      <c r="F583" s="56"/>
      <c r="G583" s="56"/>
      <c r="H583" s="56"/>
      <c r="I583" s="56"/>
      <c r="J583" s="56"/>
      <c r="K583" s="56"/>
      <c r="L583" s="56"/>
      <c r="M583" s="58"/>
      <c r="N583" s="58"/>
      <c r="O583" s="58"/>
      <c r="P583" s="58"/>
      <c r="Q583" s="58"/>
      <c r="R583" s="58"/>
      <c r="S583" s="58"/>
      <c r="T583" s="58"/>
      <c r="U583" s="58"/>
      <c r="V583" s="58"/>
      <c r="W583" s="58"/>
      <c r="X583" s="58"/>
      <c r="Y583" s="58"/>
      <c r="Z583" s="58"/>
      <c r="AA583" s="58"/>
      <c r="AB583" s="58"/>
      <c r="AC583" s="59"/>
      <c r="AD583" s="59"/>
    </row>
    <row r="584" spans="1:30" ht="12.75" customHeight="1" x14ac:dyDescent="0.2">
      <c r="A584" s="56"/>
      <c r="B584" s="56"/>
      <c r="C584" s="56"/>
      <c r="D584" s="57"/>
      <c r="E584" s="57"/>
      <c r="F584" s="56"/>
      <c r="G584" s="56"/>
      <c r="H584" s="56"/>
      <c r="I584" s="56"/>
      <c r="J584" s="56"/>
      <c r="K584" s="56"/>
      <c r="L584" s="56"/>
      <c r="M584" s="58"/>
      <c r="N584" s="58"/>
      <c r="O584" s="58"/>
      <c r="P584" s="58"/>
      <c r="Q584" s="58"/>
      <c r="R584" s="58"/>
      <c r="S584" s="58"/>
      <c r="T584" s="58"/>
      <c r="U584" s="58"/>
      <c r="V584" s="58"/>
      <c r="W584" s="58"/>
      <c r="X584" s="58"/>
      <c r="Y584" s="58"/>
      <c r="Z584" s="58"/>
      <c r="AA584" s="58"/>
      <c r="AB584" s="58"/>
      <c r="AC584" s="59"/>
      <c r="AD584" s="59"/>
    </row>
    <row r="585" spans="1:30" ht="12.75" customHeight="1" x14ac:dyDescent="0.2">
      <c r="A585" s="56"/>
      <c r="B585" s="56"/>
      <c r="C585" s="56"/>
      <c r="D585" s="57"/>
      <c r="E585" s="57"/>
      <c r="F585" s="56"/>
      <c r="G585" s="56"/>
      <c r="H585" s="56"/>
      <c r="I585" s="56"/>
      <c r="J585" s="56"/>
      <c r="K585" s="56"/>
      <c r="L585" s="56"/>
      <c r="M585" s="58"/>
      <c r="N585" s="58"/>
      <c r="O585" s="58"/>
      <c r="P585" s="58"/>
      <c r="Q585" s="58"/>
      <c r="R585" s="58"/>
      <c r="S585" s="58"/>
      <c r="T585" s="58"/>
      <c r="U585" s="58"/>
      <c r="V585" s="58"/>
      <c r="W585" s="58"/>
      <c r="X585" s="58"/>
      <c r="Y585" s="58"/>
      <c r="Z585" s="58"/>
      <c r="AA585" s="58"/>
      <c r="AB585" s="58"/>
      <c r="AC585" s="59"/>
      <c r="AD585" s="59"/>
    </row>
    <row r="586" spans="1:30" ht="12.75" customHeight="1" x14ac:dyDescent="0.2">
      <c r="A586" s="56"/>
      <c r="B586" s="56"/>
      <c r="C586" s="56"/>
      <c r="D586" s="57"/>
      <c r="E586" s="57"/>
      <c r="F586" s="56"/>
      <c r="G586" s="56"/>
      <c r="H586" s="56"/>
      <c r="I586" s="56"/>
      <c r="J586" s="56"/>
      <c r="K586" s="56"/>
      <c r="L586" s="56"/>
      <c r="M586" s="58"/>
      <c r="N586" s="58"/>
      <c r="O586" s="58"/>
      <c r="P586" s="58"/>
      <c r="Q586" s="58"/>
      <c r="R586" s="58"/>
      <c r="S586" s="58"/>
      <c r="T586" s="58"/>
      <c r="U586" s="58"/>
      <c r="V586" s="58"/>
      <c r="W586" s="58"/>
      <c r="X586" s="58"/>
      <c r="Y586" s="58"/>
      <c r="Z586" s="58"/>
      <c r="AA586" s="58"/>
      <c r="AB586" s="58"/>
      <c r="AC586" s="59"/>
      <c r="AD586" s="59"/>
    </row>
    <row r="587" spans="1:30" ht="12.75" customHeight="1" x14ac:dyDescent="0.2">
      <c r="A587" s="56"/>
      <c r="B587" s="56"/>
      <c r="C587" s="56"/>
      <c r="D587" s="57"/>
      <c r="E587" s="57"/>
      <c r="F587" s="56"/>
      <c r="G587" s="56"/>
      <c r="H587" s="56"/>
      <c r="I587" s="56"/>
      <c r="J587" s="56"/>
      <c r="K587" s="56"/>
      <c r="L587" s="56"/>
      <c r="M587" s="58"/>
      <c r="N587" s="58"/>
      <c r="O587" s="58"/>
      <c r="P587" s="58"/>
      <c r="Q587" s="58"/>
      <c r="R587" s="58"/>
      <c r="S587" s="58"/>
      <c r="T587" s="58"/>
      <c r="U587" s="58"/>
      <c r="V587" s="58"/>
      <c r="W587" s="58"/>
      <c r="X587" s="58"/>
      <c r="Y587" s="58"/>
      <c r="Z587" s="58"/>
      <c r="AA587" s="58"/>
      <c r="AB587" s="58"/>
      <c r="AC587" s="59"/>
      <c r="AD587" s="59"/>
    </row>
    <row r="588" spans="1:30" ht="12.75" customHeight="1" x14ac:dyDescent="0.2">
      <c r="A588" s="56"/>
      <c r="B588" s="56"/>
      <c r="C588" s="56"/>
      <c r="D588" s="57"/>
      <c r="E588" s="57"/>
      <c r="F588" s="56"/>
      <c r="G588" s="56"/>
      <c r="H588" s="56"/>
      <c r="I588" s="56"/>
      <c r="J588" s="56"/>
      <c r="K588" s="56"/>
      <c r="L588" s="56"/>
      <c r="M588" s="58"/>
      <c r="N588" s="58"/>
      <c r="O588" s="58"/>
      <c r="P588" s="58"/>
      <c r="Q588" s="58"/>
      <c r="R588" s="58"/>
      <c r="S588" s="58"/>
      <c r="T588" s="58"/>
      <c r="U588" s="58"/>
      <c r="V588" s="58"/>
      <c r="W588" s="58"/>
      <c r="X588" s="58"/>
      <c r="Y588" s="58"/>
      <c r="Z588" s="58"/>
      <c r="AA588" s="58"/>
      <c r="AB588" s="58"/>
      <c r="AC588" s="59"/>
      <c r="AD588" s="59"/>
    </row>
    <row r="589" spans="1:30" ht="12.75" customHeight="1" x14ac:dyDescent="0.2">
      <c r="A589" s="56"/>
      <c r="B589" s="56"/>
      <c r="C589" s="56"/>
      <c r="D589" s="57"/>
      <c r="E589" s="57"/>
      <c r="F589" s="56"/>
      <c r="G589" s="56"/>
      <c r="H589" s="56"/>
      <c r="I589" s="56"/>
      <c r="J589" s="56"/>
      <c r="K589" s="56"/>
      <c r="L589" s="56"/>
      <c r="M589" s="58"/>
      <c r="N589" s="58"/>
      <c r="O589" s="58"/>
      <c r="P589" s="58"/>
      <c r="Q589" s="58"/>
      <c r="R589" s="58"/>
      <c r="S589" s="58"/>
      <c r="T589" s="58"/>
      <c r="U589" s="58"/>
      <c r="V589" s="58"/>
      <c r="W589" s="58"/>
      <c r="X589" s="58"/>
      <c r="Y589" s="58"/>
      <c r="Z589" s="58"/>
      <c r="AA589" s="58"/>
      <c r="AB589" s="58"/>
      <c r="AC589" s="59"/>
      <c r="AD589" s="59"/>
    </row>
    <row r="590" spans="1:30" ht="12.75" customHeight="1" x14ac:dyDescent="0.2">
      <c r="A590" s="56"/>
      <c r="B590" s="56"/>
      <c r="C590" s="56"/>
      <c r="D590" s="57"/>
      <c r="E590" s="57"/>
      <c r="F590" s="56"/>
      <c r="G590" s="56"/>
      <c r="H590" s="56"/>
      <c r="I590" s="56"/>
      <c r="J590" s="56"/>
      <c r="K590" s="56"/>
      <c r="L590" s="56"/>
      <c r="M590" s="58"/>
      <c r="N590" s="58"/>
      <c r="O590" s="58"/>
      <c r="P590" s="58"/>
      <c r="Q590" s="58"/>
      <c r="R590" s="58"/>
      <c r="S590" s="58"/>
      <c r="T590" s="58"/>
      <c r="U590" s="58"/>
      <c r="V590" s="58"/>
      <c r="W590" s="58"/>
      <c r="X590" s="58"/>
      <c r="Y590" s="58"/>
      <c r="Z590" s="58"/>
      <c r="AA590" s="58"/>
      <c r="AB590" s="58"/>
      <c r="AC590" s="59"/>
      <c r="AD590" s="59"/>
    </row>
    <row r="591" spans="1:30" ht="12.75" customHeight="1" x14ac:dyDescent="0.2">
      <c r="A591" s="56"/>
      <c r="B591" s="56"/>
      <c r="C591" s="56"/>
      <c r="D591" s="57"/>
      <c r="E591" s="57"/>
      <c r="F591" s="56"/>
      <c r="G591" s="56"/>
      <c r="H591" s="56"/>
      <c r="I591" s="56"/>
      <c r="J591" s="56"/>
      <c r="K591" s="56"/>
      <c r="L591" s="56"/>
      <c r="M591" s="58"/>
      <c r="N591" s="58"/>
      <c r="O591" s="58"/>
      <c r="P591" s="58"/>
      <c r="Q591" s="58"/>
      <c r="R591" s="58"/>
      <c r="S591" s="58"/>
      <c r="T591" s="58"/>
      <c r="U591" s="58"/>
      <c r="V591" s="58"/>
      <c r="W591" s="58"/>
      <c r="X591" s="58"/>
      <c r="Y591" s="58"/>
      <c r="Z591" s="58"/>
      <c r="AA591" s="58"/>
      <c r="AB591" s="58"/>
      <c r="AC591" s="59"/>
      <c r="AD591" s="59"/>
    </row>
    <row r="592" spans="1:30" ht="12.75" customHeight="1" x14ac:dyDescent="0.2">
      <c r="A592" s="56"/>
      <c r="B592" s="56"/>
      <c r="C592" s="56"/>
      <c r="D592" s="57"/>
      <c r="E592" s="57"/>
      <c r="F592" s="56"/>
      <c r="G592" s="56"/>
      <c r="H592" s="56"/>
      <c r="I592" s="56"/>
      <c r="J592" s="56"/>
      <c r="K592" s="56"/>
      <c r="L592" s="56"/>
      <c r="M592" s="58"/>
      <c r="N592" s="58"/>
      <c r="O592" s="58"/>
      <c r="P592" s="58"/>
      <c r="Q592" s="58"/>
      <c r="R592" s="58"/>
      <c r="S592" s="58"/>
      <c r="T592" s="58"/>
      <c r="U592" s="58"/>
      <c r="V592" s="58"/>
      <c r="W592" s="58"/>
      <c r="X592" s="58"/>
      <c r="Y592" s="58"/>
      <c r="Z592" s="58"/>
      <c r="AA592" s="58"/>
      <c r="AB592" s="58"/>
      <c r="AC592" s="59"/>
      <c r="AD592" s="59"/>
    </row>
    <row r="593" spans="1:30" ht="12.75" customHeight="1" x14ac:dyDescent="0.2">
      <c r="A593" s="56"/>
      <c r="B593" s="56"/>
      <c r="C593" s="56"/>
      <c r="D593" s="57"/>
      <c r="E593" s="57"/>
      <c r="F593" s="56"/>
      <c r="G593" s="56"/>
      <c r="H593" s="56"/>
      <c r="I593" s="56"/>
      <c r="J593" s="56"/>
      <c r="K593" s="56"/>
      <c r="L593" s="56"/>
      <c r="M593" s="58"/>
      <c r="N593" s="58"/>
      <c r="O593" s="58"/>
      <c r="P593" s="58"/>
      <c r="Q593" s="58"/>
      <c r="R593" s="58"/>
      <c r="S593" s="58"/>
      <c r="T593" s="58"/>
      <c r="U593" s="58"/>
      <c r="V593" s="58"/>
      <c r="W593" s="58"/>
      <c r="X593" s="58"/>
      <c r="Y593" s="58"/>
      <c r="Z593" s="58"/>
      <c r="AA593" s="58"/>
      <c r="AB593" s="58"/>
      <c r="AC593" s="59"/>
      <c r="AD593" s="59"/>
    </row>
    <row r="594" spans="1:30" ht="12.75" customHeight="1" x14ac:dyDescent="0.2">
      <c r="A594" s="56"/>
      <c r="B594" s="56"/>
      <c r="C594" s="56"/>
      <c r="D594" s="57"/>
      <c r="E594" s="57"/>
      <c r="F594" s="56"/>
      <c r="G594" s="56"/>
      <c r="H594" s="56"/>
      <c r="I594" s="56"/>
      <c r="J594" s="56"/>
      <c r="K594" s="56"/>
      <c r="L594" s="56"/>
      <c r="M594" s="58"/>
      <c r="N594" s="58"/>
      <c r="O594" s="58"/>
      <c r="P594" s="58"/>
      <c r="Q594" s="58"/>
      <c r="R594" s="58"/>
      <c r="S594" s="58"/>
      <c r="T594" s="58"/>
      <c r="U594" s="58"/>
      <c r="V594" s="58"/>
      <c r="W594" s="58"/>
      <c r="X594" s="58"/>
      <c r="Y594" s="58"/>
      <c r="Z594" s="58"/>
      <c r="AA594" s="58"/>
      <c r="AB594" s="58"/>
      <c r="AC594" s="59"/>
      <c r="AD594" s="59"/>
    </row>
    <row r="595" spans="1:30" ht="12.75" customHeight="1" x14ac:dyDescent="0.2">
      <c r="A595" s="56"/>
      <c r="B595" s="56"/>
      <c r="C595" s="56"/>
      <c r="D595" s="57"/>
      <c r="E595" s="57"/>
      <c r="F595" s="56"/>
      <c r="G595" s="56"/>
      <c r="H595" s="56"/>
      <c r="I595" s="56"/>
      <c r="J595" s="56"/>
      <c r="K595" s="56"/>
      <c r="L595" s="56"/>
      <c r="M595" s="58"/>
      <c r="N595" s="58"/>
      <c r="O595" s="58"/>
      <c r="P595" s="58"/>
      <c r="Q595" s="58"/>
      <c r="R595" s="58"/>
      <c r="S595" s="58"/>
      <c r="T595" s="58"/>
      <c r="U595" s="58"/>
      <c r="V595" s="58"/>
      <c r="W595" s="58"/>
      <c r="X595" s="58"/>
      <c r="Y595" s="58"/>
      <c r="Z595" s="58"/>
      <c r="AA595" s="58"/>
      <c r="AB595" s="58"/>
      <c r="AC595" s="59"/>
      <c r="AD595" s="59"/>
    </row>
    <row r="596" spans="1:30" ht="12.75" customHeight="1" x14ac:dyDescent="0.2">
      <c r="A596" s="56"/>
      <c r="B596" s="56"/>
      <c r="C596" s="56"/>
      <c r="D596" s="57"/>
      <c r="E596" s="57"/>
      <c r="F596" s="56"/>
      <c r="G596" s="56"/>
      <c r="H596" s="56"/>
      <c r="I596" s="56"/>
      <c r="J596" s="56"/>
      <c r="K596" s="56"/>
      <c r="L596" s="56"/>
      <c r="M596" s="58"/>
      <c r="N596" s="58"/>
      <c r="O596" s="58"/>
      <c r="P596" s="58"/>
      <c r="Q596" s="58"/>
      <c r="R596" s="58"/>
      <c r="S596" s="58"/>
      <c r="T596" s="58"/>
      <c r="U596" s="58"/>
      <c r="V596" s="58"/>
      <c r="W596" s="58"/>
      <c r="X596" s="58"/>
      <c r="Y596" s="58"/>
      <c r="Z596" s="58"/>
      <c r="AA596" s="58"/>
      <c r="AB596" s="58"/>
      <c r="AC596" s="59"/>
      <c r="AD596" s="59"/>
    </row>
    <row r="597" spans="1:30" ht="12.75" customHeight="1" x14ac:dyDescent="0.2">
      <c r="A597" s="56"/>
      <c r="B597" s="56"/>
      <c r="C597" s="56"/>
      <c r="D597" s="57"/>
      <c r="E597" s="57"/>
      <c r="F597" s="56"/>
      <c r="G597" s="56"/>
      <c r="H597" s="56"/>
      <c r="I597" s="56"/>
      <c r="J597" s="56"/>
      <c r="K597" s="56"/>
      <c r="L597" s="56"/>
      <c r="M597" s="58"/>
      <c r="N597" s="58"/>
      <c r="O597" s="58"/>
      <c r="P597" s="58"/>
      <c r="Q597" s="58"/>
      <c r="R597" s="58"/>
      <c r="S597" s="58"/>
      <c r="T597" s="58"/>
      <c r="U597" s="58"/>
      <c r="V597" s="58"/>
      <c r="W597" s="58"/>
      <c r="X597" s="58"/>
      <c r="Y597" s="58"/>
      <c r="Z597" s="58"/>
      <c r="AA597" s="58"/>
      <c r="AB597" s="58"/>
      <c r="AC597" s="59"/>
      <c r="AD597" s="59"/>
    </row>
    <row r="598" spans="1:30" ht="12.75" customHeight="1" x14ac:dyDescent="0.2">
      <c r="A598" s="56"/>
      <c r="B598" s="56"/>
      <c r="C598" s="56"/>
      <c r="D598" s="57"/>
      <c r="E598" s="57"/>
      <c r="F598" s="56"/>
      <c r="G598" s="56"/>
      <c r="H598" s="56"/>
      <c r="I598" s="56"/>
      <c r="J598" s="56"/>
      <c r="K598" s="56"/>
      <c r="L598" s="56"/>
      <c r="M598" s="58"/>
      <c r="N598" s="58"/>
      <c r="O598" s="58"/>
      <c r="P598" s="58"/>
      <c r="Q598" s="58"/>
      <c r="R598" s="58"/>
      <c r="S598" s="58"/>
      <c r="T598" s="58"/>
      <c r="U598" s="58"/>
      <c r="V598" s="58"/>
      <c r="W598" s="58"/>
      <c r="X598" s="58"/>
      <c r="Y598" s="58"/>
      <c r="Z598" s="58"/>
      <c r="AA598" s="58"/>
      <c r="AB598" s="58"/>
      <c r="AC598" s="59"/>
      <c r="AD598" s="59"/>
    </row>
    <row r="599" spans="1:30" ht="12.75" customHeight="1" x14ac:dyDescent="0.2">
      <c r="A599" s="56"/>
      <c r="B599" s="56"/>
      <c r="C599" s="56"/>
      <c r="D599" s="57"/>
      <c r="E599" s="57"/>
      <c r="F599" s="56"/>
      <c r="G599" s="56"/>
      <c r="H599" s="56"/>
      <c r="I599" s="56"/>
      <c r="J599" s="56"/>
      <c r="K599" s="56"/>
      <c r="L599" s="56"/>
      <c r="M599" s="58"/>
      <c r="N599" s="58"/>
      <c r="O599" s="58"/>
      <c r="P599" s="58"/>
      <c r="Q599" s="58"/>
      <c r="R599" s="58"/>
      <c r="S599" s="58"/>
      <c r="T599" s="58"/>
      <c r="U599" s="58"/>
      <c r="V599" s="58"/>
      <c r="W599" s="58"/>
      <c r="X599" s="58"/>
      <c r="Y599" s="58"/>
      <c r="Z599" s="58"/>
      <c r="AA599" s="58"/>
      <c r="AB599" s="58"/>
      <c r="AC599" s="59"/>
      <c r="AD599" s="59"/>
    </row>
    <row r="600" spans="1:30" ht="12.75" customHeight="1" x14ac:dyDescent="0.2">
      <c r="A600" s="56"/>
      <c r="B600" s="56"/>
      <c r="C600" s="56"/>
      <c r="D600" s="57"/>
      <c r="E600" s="57"/>
      <c r="F600" s="56"/>
      <c r="G600" s="56"/>
      <c r="H600" s="56"/>
      <c r="I600" s="56"/>
      <c r="J600" s="56"/>
      <c r="K600" s="56"/>
      <c r="L600" s="56"/>
      <c r="M600" s="58"/>
      <c r="N600" s="58"/>
      <c r="O600" s="58"/>
      <c r="P600" s="58"/>
      <c r="Q600" s="58"/>
      <c r="R600" s="58"/>
      <c r="S600" s="58"/>
      <c r="T600" s="58"/>
      <c r="U600" s="58"/>
      <c r="V600" s="58"/>
      <c r="W600" s="58"/>
      <c r="X600" s="58"/>
      <c r="Y600" s="58"/>
      <c r="Z600" s="58"/>
      <c r="AA600" s="58"/>
      <c r="AB600" s="58"/>
      <c r="AC600" s="59"/>
      <c r="AD600" s="59"/>
    </row>
    <row r="601" spans="1:30" ht="12.75" customHeight="1" x14ac:dyDescent="0.2">
      <c r="A601" s="56"/>
      <c r="B601" s="56"/>
      <c r="C601" s="56"/>
      <c r="D601" s="57"/>
      <c r="E601" s="57"/>
      <c r="F601" s="56"/>
      <c r="G601" s="56"/>
      <c r="H601" s="56"/>
      <c r="I601" s="56"/>
      <c r="J601" s="56"/>
      <c r="K601" s="56"/>
      <c r="L601" s="56"/>
      <c r="M601" s="58"/>
      <c r="N601" s="58"/>
      <c r="O601" s="58"/>
      <c r="P601" s="58"/>
      <c r="Q601" s="58"/>
      <c r="R601" s="58"/>
      <c r="S601" s="58"/>
      <c r="T601" s="58"/>
      <c r="U601" s="58"/>
      <c r="V601" s="58"/>
      <c r="W601" s="58"/>
      <c r="X601" s="58"/>
      <c r="Y601" s="58"/>
      <c r="Z601" s="58"/>
      <c r="AA601" s="58"/>
      <c r="AB601" s="58"/>
      <c r="AC601" s="59"/>
      <c r="AD601" s="59"/>
    </row>
    <row r="602" spans="1:30" ht="12.75" customHeight="1" x14ac:dyDescent="0.2">
      <c r="A602" s="56"/>
      <c r="B602" s="56"/>
      <c r="C602" s="56"/>
      <c r="D602" s="57"/>
      <c r="E602" s="57"/>
      <c r="F602" s="56"/>
      <c r="G602" s="56"/>
      <c r="H602" s="56"/>
      <c r="I602" s="56"/>
      <c r="J602" s="56"/>
      <c r="K602" s="56"/>
      <c r="L602" s="56"/>
      <c r="M602" s="58"/>
      <c r="N602" s="58"/>
      <c r="O602" s="58"/>
      <c r="P602" s="58"/>
      <c r="Q602" s="58"/>
      <c r="R602" s="58"/>
      <c r="S602" s="58"/>
      <c r="T602" s="58"/>
      <c r="U602" s="58"/>
      <c r="V602" s="58"/>
      <c r="W602" s="58"/>
      <c r="X602" s="58"/>
      <c r="Y602" s="58"/>
      <c r="Z602" s="58"/>
      <c r="AA602" s="58"/>
      <c r="AB602" s="58"/>
      <c r="AC602" s="59"/>
      <c r="AD602" s="59"/>
    </row>
    <row r="603" spans="1:30" ht="12.75" customHeight="1" x14ac:dyDescent="0.2">
      <c r="A603" s="56"/>
      <c r="B603" s="56"/>
      <c r="C603" s="56"/>
      <c r="D603" s="57"/>
      <c r="E603" s="57"/>
      <c r="F603" s="56"/>
      <c r="G603" s="56"/>
      <c r="H603" s="56"/>
      <c r="I603" s="56"/>
      <c r="J603" s="56"/>
      <c r="K603" s="56"/>
      <c r="L603" s="56"/>
      <c r="M603" s="58"/>
      <c r="N603" s="58"/>
      <c r="O603" s="58"/>
      <c r="P603" s="58"/>
      <c r="Q603" s="58"/>
      <c r="R603" s="58"/>
      <c r="S603" s="58"/>
      <c r="T603" s="58"/>
      <c r="U603" s="58"/>
      <c r="V603" s="58"/>
      <c r="W603" s="58"/>
      <c r="X603" s="58"/>
      <c r="Y603" s="58"/>
      <c r="Z603" s="58"/>
      <c r="AA603" s="58"/>
      <c r="AB603" s="58"/>
      <c r="AC603" s="59"/>
      <c r="AD603" s="59"/>
    </row>
    <row r="604" spans="1:30" ht="12.75" customHeight="1" x14ac:dyDescent="0.2">
      <c r="A604" s="56"/>
      <c r="B604" s="56"/>
      <c r="C604" s="56"/>
      <c r="D604" s="57"/>
      <c r="E604" s="57"/>
      <c r="F604" s="56"/>
      <c r="G604" s="56"/>
      <c r="H604" s="56"/>
      <c r="I604" s="56"/>
      <c r="J604" s="56"/>
      <c r="K604" s="56"/>
      <c r="L604" s="56"/>
      <c r="M604" s="58"/>
      <c r="N604" s="58"/>
      <c r="O604" s="58"/>
      <c r="P604" s="58"/>
      <c r="Q604" s="58"/>
      <c r="R604" s="58"/>
      <c r="S604" s="58"/>
      <c r="T604" s="58"/>
      <c r="U604" s="58"/>
      <c r="V604" s="58"/>
      <c r="W604" s="58"/>
      <c r="X604" s="58"/>
      <c r="Y604" s="58"/>
      <c r="Z604" s="58"/>
      <c r="AA604" s="58"/>
      <c r="AB604" s="58"/>
      <c r="AC604" s="59"/>
      <c r="AD604" s="59"/>
    </row>
    <row r="605" spans="1:30" ht="12.75" customHeight="1" x14ac:dyDescent="0.2">
      <c r="A605" s="56"/>
      <c r="B605" s="56"/>
      <c r="C605" s="56"/>
      <c r="D605" s="57"/>
      <c r="E605" s="57"/>
      <c r="F605" s="56"/>
      <c r="G605" s="56"/>
      <c r="H605" s="56"/>
      <c r="I605" s="56"/>
      <c r="J605" s="56"/>
      <c r="K605" s="56"/>
      <c r="L605" s="56"/>
      <c r="M605" s="58"/>
      <c r="N605" s="58"/>
      <c r="O605" s="58"/>
      <c r="P605" s="58"/>
      <c r="Q605" s="58"/>
      <c r="R605" s="58"/>
      <c r="S605" s="58"/>
      <c r="T605" s="58"/>
      <c r="U605" s="58"/>
      <c r="V605" s="58"/>
      <c r="W605" s="58"/>
      <c r="X605" s="58"/>
      <c r="Y605" s="58"/>
      <c r="Z605" s="58"/>
      <c r="AA605" s="58"/>
      <c r="AB605" s="58"/>
      <c r="AC605" s="59"/>
      <c r="AD605" s="59"/>
    </row>
    <row r="606" spans="1:30" ht="12.75" customHeight="1" x14ac:dyDescent="0.2">
      <c r="A606" s="56"/>
      <c r="B606" s="56"/>
      <c r="C606" s="56"/>
      <c r="D606" s="57"/>
      <c r="E606" s="57"/>
      <c r="F606" s="56"/>
      <c r="G606" s="56"/>
      <c r="H606" s="56"/>
      <c r="I606" s="56"/>
      <c r="J606" s="56"/>
      <c r="K606" s="56"/>
      <c r="L606" s="56"/>
      <c r="M606" s="58"/>
      <c r="N606" s="58"/>
      <c r="O606" s="58"/>
      <c r="P606" s="58"/>
      <c r="Q606" s="58"/>
      <c r="R606" s="58"/>
      <c r="S606" s="58"/>
      <c r="T606" s="58"/>
      <c r="U606" s="58"/>
      <c r="V606" s="58"/>
      <c r="W606" s="58"/>
      <c r="X606" s="58"/>
      <c r="Y606" s="58"/>
      <c r="Z606" s="58"/>
      <c r="AA606" s="58"/>
      <c r="AB606" s="58"/>
      <c r="AC606" s="59"/>
      <c r="AD606" s="59"/>
    </row>
    <row r="607" spans="1:30" ht="12.75" customHeight="1" x14ac:dyDescent="0.2">
      <c r="A607" s="56"/>
      <c r="B607" s="56"/>
      <c r="C607" s="56"/>
      <c r="D607" s="57"/>
      <c r="E607" s="57"/>
      <c r="F607" s="56"/>
      <c r="G607" s="56"/>
      <c r="H607" s="56"/>
      <c r="I607" s="56"/>
      <c r="J607" s="56"/>
      <c r="K607" s="56"/>
      <c r="L607" s="56"/>
      <c r="M607" s="58"/>
      <c r="N607" s="58"/>
      <c r="O607" s="58"/>
      <c r="P607" s="58"/>
      <c r="Q607" s="58"/>
      <c r="R607" s="58"/>
      <c r="S607" s="58"/>
      <c r="T607" s="58"/>
      <c r="U607" s="58"/>
      <c r="V607" s="58"/>
      <c r="W607" s="58"/>
      <c r="X607" s="58"/>
      <c r="Y607" s="58"/>
      <c r="Z607" s="58"/>
      <c r="AA607" s="58"/>
      <c r="AB607" s="58"/>
      <c r="AC607" s="59"/>
      <c r="AD607" s="59"/>
    </row>
    <row r="608" spans="1:30" ht="12.75" customHeight="1" x14ac:dyDescent="0.2">
      <c r="A608" s="56"/>
      <c r="B608" s="56"/>
      <c r="C608" s="56"/>
      <c r="D608" s="57"/>
      <c r="E608" s="57"/>
      <c r="F608" s="56"/>
      <c r="G608" s="56"/>
      <c r="H608" s="56"/>
      <c r="I608" s="56"/>
      <c r="J608" s="56"/>
      <c r="K608" s="56"/>
      <c r="L608" s="56"/>
      <c r="M608" s="58"/>
      <c r="N608" s="58"/>
      <c r="O608" s="58"/>
      <c r="P608" s="58"/>
      <c r="Q608" s="58"/>
      <c r="R608" s="58"/>
      <c r="S608" s="58"/>
      <c r="T608" s="58"/>
      <c r="U608" s="58"/>
      <c r="V608" s="58"/>
      <c r="W608" s="58"/>
      <c r="X608" s="58"/>
      <c r="Y608" s="58"/>
      <c r="Z608" s="58"/>
      <c r="AA608" s="58"/>
      <c r="AB608" s="58"/>
      <c r="AC608" s="59"/>
      <c r="AD608" s="59"/>
    </row>
    <row r="609" spans="1:30" ht="12.75" customHeight="1" x14ac:dyDescent="0.2">
      <c r="A609" s="56"/>
      <c r="B609" s="56"/>
      <c r="C609" s="56"/>
      <c r="D609" s="57"/>
      <c r="E609" s="57"/>
      <c r="F609" s="56"/>
      <c r="G609" s="56"/>
      <c r="H609" s="56"/>
      <c r="I609" s="56"/>
      <c r="J609" s="56"/>
      <c r="K609" s="56"/>
      <c r="L609" s="56"/>
      <c r="M609" s="58"/>
      <c r="N609" s="58"/>
      <c r="O609" s="58"/>
      <c r="P609" s="58"/>
      <c r="Q609" s="58"/>
      <c r="R609" s="58"/>
      <c r="S609" s="58"/>
      <c r="T609" s="58"/>
      <c r="U609" s="58"/>
      <c r="V609" s="58"/>
      <c r="W609" s="58"/>
      <c r="X609" s="58"/>
      <c r="Y609" s="58"/>
      <c r="Z609" s="58"/>
      <c r="AA609" s="58"/>
      <c r="AB609" s="58"/>
      <c r="AC609" s="59"/>
      <c r="AD609" s="59"/>
    </row>
    <row r="610" spans="1:30" ht="12.75" customHeight="1" x14ac:dyDescent="0.2">
      <c r="A610" s="56"/>
      <c r="B610" s="56"/>
      <c r="C610" s="56"/>
      <c r="D610" s="57"/>
      <c r="E610" s="57"/>
      <c r="F610" s="56"/>
      <c r="G610" s="56"/>
      <c r="H610" s="56"/>
      <c r="I610" s="56"/>
      <c r="J610" s="56"/>
      <c r="K610" s="56"/>
      <c r="L610" s="56"/>
      <c r="M610" s="58"/>
      <c r="N610" s="58"/>
      <c r="O610" s="58"/>
      <c r="P610" s="58"/>
      <c r="Q610" s="58"/>
      <c r="R610" s="58"/>
      <c r="S610" s="58"/>
      <c r="T610" s="58"/>
      <c r="U610" s="58"/>
      <c r="V610" s="58"/>
      <c r="W610" s="58"/>
      <c r="X610" s="58"/>
      <c r="Y610" s="58"/>
      <c r="Z610" s="58"/>
      <c r="AA610" s="58"/>
      <c r="AB610" s="58"/>
      <c r="AC610" s="59"/>
      <c r="AD610" s="59"/>
    </row>
    <row r="611" spans="1:30" ht="12.75" customHeight="1" x14ac:dyDescent="0.2">
      <c r="A611" s="56"/>
      <c r="B611" s="56"/>
      <c r="C611" s="56"/>
      <c r="D611" s="57"/>
      <c r="E611" s="57"/>
      <c r="F611" s="56"/>
      <c r="G611" s="56"/>
      <c r="H611" s="56"/>
      <c r="I611" s="56"/>
      <c r="J611" s="56"/>
      <c r="K611" s="56"/>
      <c r="L611" s="56"/>
      <c r="M611" s="58"/>
      <c r="N611" s="58"/>
      <c r="O611" s="58"/>
      <c r="P611" s="58"/>
      <c r="Q611" s="58"/>
      <c r="R611" s="58"/>
      <c r="S611" s="58"/>
      <c r="T611" s="58"/>
      <c r="U611" s="58"/>
      <c r="V611" s="58"/>
      <c r="W611" s="58"/>
      <c r="X611" s="58"/>
      <c r="Y611" s="58"/>
      <c r="Z611" s="58"/>
      <c r="AA611" s="58"/>
      <c r="AB611" s="58"/>
      <c r="AC611" s="59"/>
      <c r="AD611" s="59"/>
    </row>
    <row r="612" spans="1:30" ht="12.75" customHeight="1" x14ac:dyDescent="0.2">
      <c r="A612" s="56"/>
      <c r="B612" s="56"/>
      <c r="C612" s="56"/>
      <c r="D612" s="57"/>
      <c r="E612" s="57"/>
      <c r="F612" s="56"/>
      <c r="G612" s="56"/>
      <c r="H612" s="56"/>
      <c r="I612" s="56"/>
      <c r="J612" s="56"/>
      <c r="K612" s="56"/>
      <c r="L612" s="56"/>
      <c r="M612" s="58"/>
      <c r="N612" s="58"/>
      <c r="O612" s="58"/>
      <c r="P612" s="58"/>
      <c r="Q612" s="58"/>
      <c r="R612" s="58"/>
      <c r="S612" s="58"/>
      <c r="T612" s="58"/>
      <c r="U612" s="58"/>
      <c r="V612" s="58"/>
      <c r="W612" s="58"/>
      <c r="X612" s="58"/>
      <c r="Y612" s="58"/>
      <c r="Z612" s="58"/>
      <c r="AA612" s="58"/>
      <c r="AB612" s="58"/>
      <c r="AC612" s="59"/>
      <c r="AD612" s="59"/>
    </row>
    <row r="613" spans="1:30" ht="12.75" customHeight="1" x14ac:dyDescent="0.2">
      <c r="A613" s="56"/>
      <c r="B613" s="56"/>
      <c r="C613" s="56"/>
      <c r="D613" s="57"/>
      <c r="E613" s="57"/>
      <c r="F613" s="56"/>
      <c r="G613" s="56"/>
      <c r="H613" s="56"/>
      <c r="I613" s="56"/>
      <c r="J613" s="56"/>
      <c r="K613" s="56"/>
      <c r="L613" s="56"/>
      <c r="M613" s="58"/>
      <c r="N613" s="58"/>
      <c r="O613" s="58"/>
      <c r="P613" s="58"/>
      <c r="Q613" s="58"/>
      <c r="R613" s="58"/>
      <c r="S613" s="58"/>
      <c r="T613" s="58"/>
      <c r="U613" s="58"/>
      <c r="V613" s="58"/>
      <c r="W613" s="58"/>
      <c r="X613" s="58"/>
      <c r="Y613" s="58"/>
      <c r="Z613" s="58"/>
      <c r="AA613" s="58"/>
      <c r="AB613" s="58"/>
      <c r="AC613" s="59"/>
      <c r="AD613" s="59"/>
    </row>
    <row r="614" spans="1:30" ht="12.75" customHeight="1" x14ac:dyDescent="0.2">
      <c r="A614" s="56"/>
      <c r="B614" s="56"/>
      <c r="C614" s="56"/>
      <c r="D614" s="57"/>
      <c r="E614" s="57"/>
      <c r="F614" s="56"/>
      <c r="G614" s="56"/>
      <c r="H614" s="56"/>
      <c r="I614" s="56"/>
      <c r="J614" s="56"/>
      <c r="K614" s="56"/>
      <c r="L614" s="56"/>
      <c r="M614" s="58"/>
      <c r="N614" s="58"/>
      <c r="O614" s="58"/>
      <c r="P614" s="58"/>
      <c r="Q614" s="58"/>
      <c r="R614" s="58"/>
      <c r="S614" s="58"/>
      <c r="T614" s="58"/>
      <c r="U614" s="58"/>
      <c r="V614" s="58"/>
      <c r="W614" s="58"/>
      <c r="X614" s="58"/>
      <c r="Y614" s="58"/>
      <c r="Z614" s="58"/>
      <c r="AA614" s="58"/>
      <c r="AB614" s="58"/>
      <c r="AC614" s="59"/>
      <c r="AD614" s="59"/>
    </row>
    <row r="615" spans="1:30" ht="12.75" customHeight="1" x14ac:dyDescent="0.2">
      <c r="A615" s="56"/>
      <c r="B615" s="56"/>
      <c r="C615" s="56"/>
      <c r="D615" s="57"/>
      <c r="E615" s="57"/>
      <c r="F615" s="56"/>
      <c r="G615" s="56"/>
      <c r="H615" s="56"/>
      <c r="I615" s="56"/>
      <c r="J615" s="56"/>
      <c r="K615" s="56"/>
      <c r="L615" s="56"/>
      <c r="M615" s="58"/>
      <c r="N615" s="58"/>
      <c r="O615" s="58"/>
      <c r="P615" s="58"/>
      <c r="Q615" s="58"/>
      <c r="R615" s="58"/>
      <c r="S615" s="58"/>
      <c r="T615" s="58"/>
      <c r="U615" s="58"/>
      <c r="V615" s="58"/>
      <c r="W615" s="58"/>
      <c r="X615" s="58"/>
      <c r="Y615" s="58"/>
      <c r="Z615" s="58"/>
      <c r="AA615" s="58"/>
      <c r="AB615" s="58"/>
      <c r="AC615" s="59"/>
      <c r="AD615" s="59"/>
    </row>
    <row r="616" spans="1:30" ht="12.75" customHeight="1" x14ac:dyDescent="0.2">
      <c r="A616" s="56"/>
      <c r="B616" s="56"/>
      <c r="C616" s="56"/>
      <c r="D616" s="57"/>
      <c r="E616" s="57"/>
      <c r="F616" s="56"/>
      <c r="G616" s="56"/>
      <c r="H616" s="56"/>
      <c r="I616" s="56"/>
      <c r="J616" s="56"/>
      <c r="K616" s="56"/>
      <c r="L616" s="56"/>
      <c r="M616" s="58"/>
      <c r="N616" s="58"/>
      <c r="O616" s="58"/>
      <c r="P616" s="58"/>
      <c r="Q616" s="58"/>
      <c r="R616" s="58"/>
      <c r="S616" s="58"/>
      <c r="T616" s="58"/>
      <c r="U616" s="58"/>
      <c r="V616" s="58"/>
      <c r="W616" s="58"/>
      <c r="X616" s="58"/>
      <c r="Y616" s="58"/>
      <c r="Z616" s="58"/>
      <c r="AA616" s="58"/>
      <c r="AB616" s="58"/>
      <c r="AC616" s="59"/>
      <c r="AD616" s="59"/>
    </row>
    <row r="617" spans="1:30" ht="12.75" customHeight="1" x14ac:dyDescent="0.2">
      <c r="A617" s="56"/>
      <c r="B617" s="56"/>
      <c r="C617" s="56"/>
      <c r="D617" s="57"/>
      <c r="E617" s="57"/>
      <c r="F617" s="56"/>
      <c r="G617" s="56"/>
      <c r="H617" s="56"/>
      <c r="I617" s="56"/>
      <c r="J617" s="56"/>
      <c r="K617" s="56"/>
      <c r="L617" s="56"/>
      <c r="M617" s="58"/>
      <c r="N617" s="58"/>
      <c r="O617" s="58"/>
      <c r="P617" s="58"/>
      <c r="Q617" s="58"/>
      <c r="R617" s="58"/>
      <c r="S617" s="58"/>
      <c r="T617" s="58"/>
      <c r="U617" s="58"/>
      <c r="V617" s="58"/>
      <c r="W617" s="58"/>
      <c r="X617" s="58"/>
      <c r="Y617" s="58"/>
      <c r="Z617" s="58"/>
      <c r="AA617" s="58"/>
      <c r="AB617" s="58"/>
      <c r="AC617" s="59"/>
      <c r="AD617" s="59"/>
    </row>
    <row r="618" spans="1:30" ht="12.75" customHeight="1" x14ac:dyDescent="0.2">
      <c r="A618" s="56"/>
      <c r="B618" s="56"/>
      <c r="C618" s="56"/>
      <c r="D618" s="57"/>
      <c r="E618" s="57"/>
      <c r="F618" s="56"/>
      <c r="G618" s="56"/>
      <c r="H618" s="56"/>
      <c r="I618" s="56"/>
      <c r="J618" s="56"/>
      <c r="K618" s="56"/>
      <c r="L618" s="56"/>
      <c r="M618" s="58"/>
      <c r="N618" s="58"/>
      <c r="O618" s="58"/>
      <c r="P618" s="58"/>
      <c r="Q618" s="58"/>
      <c r="R618" s="58"/>
      <c r="S618" s="58"/>
      <c r="T618" s="58"/>
      <c r="U618" s="58"/>
      <c r="V618" s="58"/>
      <c r="W618" s="58"/>
      <c r="X618" s="58"/>
      <c r="Y618" s="58"/>
      <c r="Z618" s="58"/>
      <c r="AA618" s="58"/>
      <c r="AB618" s="58"/>
      <c r="AC618" s="59"/>
      <c r="AD618" s="59"/>
    </row>
    <row r="619" spans="1:30" ht="12.75" customHeight="1" x14ac:dyDescent="0.2">
      <c r="A619" s="56"/>
      <c r="B619" s="56"/>
      <c r="C619" s="56"/>
      <c r="D619" s="57"/>
      <c r="E619" s="57"/>
      <c r="F619" s="56"/>
      <c r="G619" s="56"/>
      <c r="H619" s="56"/>
      <c r="I619" s="56"/>
      <c r="J619" s="56"/>
      <c r="K619" s="56"/>
      <c r="L619" s="56"/>
      <c r="M619" s="58"/>
      <c r="N619" s="58"/>
      <c r="O619" s="58"/>
      <c r="P619" s="58"/>
      <c r="Q619" s="58"/>
      <c r="R619" s="58"/>
      <c r="S619" s="58"/>
      <c r="T619" s="58"/>
      <c r="U619" s="58"/>
      <c r="V619" s="58"/>
      <c r="W619" s="58"/>
      <c r="X619" s="58"/>
      <c r="Y619" s="58"/>
      <c r="Z619" s="58"/>
      <c r="AA619" s="58"/>
      <c r="AB619" s="58"/>
      <c r="AC619" s="59"/>
      <c r="AD619" s="59"/>
    </row>
    <row r="620" spans="1:30" ht="12.75" customHeight="1" x14ac:dyDescent="0.2">
      <c r="A620" s="56"/>
      <c r="B620" s="56"/>
      <c r="C620" s="56"/>
      <c r="D620" s="57"/>
      <c r="E620" s="57"/>
      <c r="F620" s="56"/>
      <c r="G620" s="56"/>
      <c r="H620" s="56"/>
      <c r="I620" s="56"/>
      <c r="J620" s="56"/>
      <c r="K620" s="56"/>
      <c r="L620" s="56"/>
      <c r="M620" s="58"/>
      <c r="N620" s="58"/>
      <c r="O620" s="58"/>
      <c r="P620" s="58"/>
      <c r="Q620" s="58"/>
      <c r="R620" s="58"/>
      <c r="S620" s="58"/>
      <c r="T620" s="58"/>
      <c r="U620" s="58"/>
      <c r="V620" s="58"/>
      <c r="W620" s="58"/>
      <c r="X620" s="58"/>
      <c r="Y620" s="58"/>
      <c r="Z620" s="58"/>
      <c r="AA620" s="58"/>
      <c r="AB620" s="58"/>
      <c r="AC620" s="59"/>
      <c r="AD620" s="59"/>
    </row>
    <row r="621" spans="1:30" ht="12.75" customHeight="1" x14ac:dyDescent="0.2">
      <c r="A621" s="56"/>
      <c r="B621" s="56"/>
      <c r="C621" s="56"/>
      <c r="D621" s="57"/>
      <c r="E621" s="57"/>
      <c r="F621" s="56"/>
      <c r="G621" s="56"/>
      <c r="H621" s="56"/>
      <c r="I621" s="56"/>
      <c r="J621" s="56"/>
      <c r="K621" s="56"/>
      <c r="L621" s="56"/>
      <c r="M621" s="58"/>
      <c r="N621" s="58"/>
      <c r="O621" s="58"/>
      <c r="P621" s="58"/>
      <c r="Q621" s="58"/>
      <c r="R621" s="58"/>
      <c r="S621" s="58"/>
      <c r="T621" s="58"/>
      <c r="U621" s="58"/>
      <c r="V621" s="58"/>
      <c r="W621" s="58"/>
      <c r="X621" s="58"/>
      <c r="Y621" s="58"/>
      <c r="Z621" s="58"/>
      <c r="AA621" s="58"/>
      <c r="AB621" s="58"/>
      <c r="AC621" s="59"/>
      <c r="AD621" s="59"/>
    </row>
    <row r="622" spans="1:30" ht="12.75" customHeight="1" x14ac:dyDescent="0.2">
      <c r="A622" s="56"/>
      <c r="B622" s="56"/>
      <c r="C622" s="56"/>
      <c r="D622" s="57"/>
      <c r="E622" s="57"/>
      <c r="F622" s="56"/>
      <c r="G622" s="56"/>
      <c r="H622" s="56"/>
      <c r="I622" s="56"/>
      <c r="J622" s="56"/>
      <c r="K622" s="56"/>
      <c r="L622" s="56"/>
      <c r="M622" s="58"/>
      <c r="N622" s="58"/>
      <c r="O622" s="58"/>
      <c r="P622" s="58"/>
      <c r="Q622" s="58"/>
      <c r="R622" s="58"/>
      <c r="S622" s="58"/>
      <c r="T622" s="58"/>
      <c r="U622" s="58"/>
      <c r="V622" s="58"/>
      <c r="W622" s="58"/>
      <c r="X622" s="58"/>
      <c r="Y622" s="58"/>
      <c r="Z622" s="58"/>
      <c r="AA622" s="58"/>
      <c r="AB622" s="58"/>
      <c r="AC622" s="59"/>
      <c r="AD622" s="59"/>
    </row>
    <row r="623" spans="1:30" ht="12.75" customHeight="1" x14ac:dyDescent="0.2">
      <c r="A623" s="56"/>
      <c r="B623" s="56"/>
      <c r="C623" s="56"/>
      <c r="D623" s="57"/>
      <c r="E623" s="57"/>
      <c r="F623" s="56"/>
      <c r="G623" s="56"/>
      <c r="H623" s="56"/>
      <c r="I623" s="56"/>
      <c r="J623" s="56"/>
      <c r="K623" s="56"/>
      <c r="L623" s="56"/>
      <c r="M623" s="58"/>
      <c r="N623" s="58"/>
      <c r="O623" s="58"/>
      <c r="P623" s="58"/>
      <c r="Q623" s="58"/>
      <c r="R623" s="58"/>
      <c r="S623" s="58"/>
      <c r="T623" s="58"/>
      <c r="U623" s="58"/>
      <c r="V623" s="58"/>
      <c r="W623" s="58"/>
      <c r="X623" s="58"/>
      <c r="Y623" s="58"/>
      <c r="Z623" s="58"/>
      <c r="AA623" s="58"/>
      <c r="AB623" s="58"/>
      <c r="AC623" s="59"/>
      <c r="AD623" s="59"/>
    </row>
    <row r="624" spans="1:30" ht="12.75" customHeight="1" x14ac:dyDescent="0.2">
      <c r="A624" s="56"/>
      <c r="B624" s="56"/>
      <c r="C624" s="56"/>
      <c r="D624" s="57"/>
      <c r="E624" s="57"/>
      <c r="F624" s="56"/>
      <c r="G624" s="56"/>
      <c r="H624" s="56"/>
      <c r="I624" s="56"/>
      <c r="J624" s="56"/>
      <c r="K624" s="56"/>
      <c r="L624" s="56"/>
      <c r="M624" s="58"/>
      <c r="N624" s="58"/>
      <c r="O624" s="58"/>
      <c r="P624" s="58"/>
      <c r="Q624" s="58"/>
      <c r="R624" s="58"/>
      <c r="S624" s="58"/>
      <c r="T624" s="58"/>
      <c r="U624" s="58"/>
      <c r="V624" s="58"/>
      <c r="W624" s="58"/>
      <c r="X624" s="58"/>
      <c r="Y624" s="58"/>
      <c r="Z624" s="58"/>
      <c r="AA624" s="58"/>
      <c r="AB624" s="58"/>
      <c r="AC624" s="59"/>
      <c r="AD624" s="59"/>
    </row>
    <row r="625" spans="1:30" ht="12.75" customHeight="1" x14ac:dyDescent="0.2">
      <c r="A625" s="56"/>
      <c r="B625" s="56"/>
      <c r="C625" s="56"/>
      <c r="D625" s="57"/>
      <c r="E625" s="57"/>
      <c r="F625" s="56"/>
      <c r="G625" s="56"/>
      <c r="H625" s="56"/>
      <c r="I625" s="56"/>
      <c r="J625" s="56"/>
      <c r="K625" s="56"/>
      <c r="L625" s="56"/>
      <c r="M625" s="58"/>
      <c r="N625" s="58"/>
      <c r="O625" s="58"/>
      <c r="P625" s="58"/>
      <c r="Q625" s="58"/>
      <c r="R625" s="58"/>
      <c r="S625" s="58"/>
      <c r="T625" s="58"/>
      <c r="U625" s="58"/>
      <c r="V625" s="58"/>
      <c r="W625" s="58"/>
      <c r="X625" s="58"/>
      <c r="Y625" s="58"/>
      <c r="Z625" s="58"/>
      <c r="AA625" s="58"/>
      <c r="AB625" s="58"/>
      <c r="AC625" s="59"/>
      <c r="AD625" s="59"/>
    </row>
    <row r="626" spans="1:30" ht="12.75" customHeight="1" x14ac:dyDescent="0.2">
      <c r="A626" s="56"/>
      <c r="B626" s="56"/>
      <c r="C626" s="56"/>
      <c r="D626" s="57"/>
      <c r="E626" s="57"/>
      <c r="F626" s="56"/>
      <c r="G626" s="56"/>
      <c r="H626" s="56"/>
      <c r="I626" s="56"/>
      <c r="J626" s="56"/>
      <c r="K626" s="56"/>
      <c r="L626" s="56"/>
      <c r="M626" s="58"/>
      <c r="N626" s="58"/>
      <c r="O626" s="58"/>
      <c r="P626" s="58"/>
      <c r="Q626" s="58"/>
      <c r="R626" s="58"/>
      <c r="S626" s="58"/>
      <c r="T626" s="58"/>
      <c r="U626" s="58"/>
      <c r="V626" s="58"/>
      <c r="W626" s="58"/>
      <c r="X626" s="58"/>
      <c r="Y626" s="58"/>
      <c r="Z626" s="58"/>
      <c r="AA626" s="58"/>
      <c r="AB626" s="58"/>
      <c r="AC626" s="59"/>
      <c r="AD626" s="59"/>
    </row>
    <row r="627" spans="1:30" ht="12.75" customHeight="1" x14ac:dyDescent="0.2">
      <c r="A627" s="56"/>
      <c r="B627" s="56"/>
      <c r="C627" s="56"/>
      <c r="D627" s="57"/>
      <c r="E627" s="57"/>
      <c r="F627" s="56"/>
      <c r="G627" s="56"/>
      <c r="H627" s="56"/>
      <c r="I627" s="56"/>
      <c r="J627" s="56"/>
      <c r="K627" s="56"/>
      <c r="L627" s="56"/>
      <c r="M627" s="58"/>
      <c r="N627" s="58"/>
      <c r="O627" s="58"/>
      <c r="P627" s="58"/>
      <c r="Q627" s="58"/>
      <c r="R627" s="58"/>
      <c r="S627" s="58"/>
      <c r="T627" s="58"/>
      <c r="U627" s="58"/>
      <c r="V627" s="58"/>
      <c r="W627" s="58"/>
      <c r="X627" s="58"/>
      <c r="Y627" s="58"/>
      <c r="Z627" s="58"/>
      <c r="AA627" s="58"/>
      <c r="AB627" s="58"/>
      <c r="AC627" s="59"/>
      <c r="AD627" s="59"/>
    </row>
    <row r="628" spans="1:30" ht="12.75" customHeight="1" x14ac:dyDescent="0.2">
      <c r="A628" s="56"/>
      <c r="B628" s="56"/>
      <c r="C628" s="56"/>
      <c r="D628" s="57"/>
      <c r="E628" s="57"/>
      <c r="F628" s="56"/>
      <c r="G628" s="56"/>
      <c r="H628" s="56"/>
      <c r="I628" s="56"/>
      <c r="J628" s="56"/>
      <c r="K628" s="56"/>
      <c r="L628" s="56"/>
      <c r="M628" s="58"/>
      <c r="N628" s="58"/>
      <c r="O628" s="58"/>
      <c r="P628" s="58"/>
      <c r="Q628" s="58"/>
      <c r="R628" s="58"/>
      <c r="S628" s="58"/>
      <c r="T628" s="58"/>
      <c r="U628" s="58"/>
      <c r="V628" s="58"/>
      <c r="W628" s="58"/>
      <c r="X628" s="58"/>
      <c r="Y628" s="58"/>
      <c r="Z628" s="58"/>
      <c r="AA628" s="58"/>
      <c r="AB628" s="58"/>
      <c r="AC628" s="59"/>
      <c r="AD628" s="59"/>
    </row>
    <row r="629" spans="1:30" ht="12.75" customHeight="1" x14ac:dyDescent="0.2">
      <c r="A629" s="56"/>
      <c r="B629" s="56"/>
      <c r="C629" s="56"/>
      <c r="D629" s="57"/>
      <c r="E629" s="57"/>
      <c r="F629" s="56"/>
      <c r="G629" s="56"/>
      <c r="H629" s="56"/>
      <c r="I629" s="56"/>
      <c r="J629" s="56"/>
      <c r="K629" s="56"/>
      <c r="L629" s="56"/>
      <c r="M629" s="58"/>
      <c r="N629" s="58"/>
      <c r="O629" s="58"/>
      <c r="P629" s="58"/>
      <c r="Q629" s="58"/>
      <c r="R629" s="58"/>
      <c r="S629" s="58"/>
      <c r="T629" s="58"/>
      <c r="U629" s="58"/>
      <c r="V629" s="58"/>
      <c r="W629" s="58"/>
      <c r="X629" s="58"/>
      <c r="Y629" s="58"/>
      <c r="Z629" s="58"/>
      <c r="AA629" s="58"/>
      <c r="AB629" s="58"/>
      <c r="AC629" s="59"/>
      <c r="AD629" s="59"/>
    </row>
    <row r="630" spans="1:30" ht="12.75" customHeight="1" x14ac:dyDescent="0.2">
      <c r="A630" s="56"/>
      <c r="B630" s="56"/>
      <c r="C630" s="56"/>
      <c r="D630" s="57"/>
      <c r="E630" s="57"/>
      <c r="F630" s="56"/>
      <c r="G630" s="56"/>
      <c r="H630" s="56"/>
      <c r="I630" s="56"/>
      <c r="J630" s="56"/>
      <c r="K630" s="56"/>
      <c r="L630" s="56"/>
      <c r="M630" s="58"/>
      <c r="N630" s="58"/>
      <c r="O630" s="58"/>
      <c r="P630" s="58"/>
      <c r="Q630" s="58"/>
      <c r="R630" s="58"/>
      <c r="S630" s="58"/>
      <c r="T630" s="58"/>
      <c r="U630" s="58"/>
      <c r="V630" s="58"/>
      <c r="W630" s="58"/>
      <c r="X630" s="58"/>
      <c r="Y630" s="58"/>
      <c r="Z630" s="58"/>
      <c r="AA630" s="58"/>
      <c r="AB630" s="58"/>
      <c r="AC630" s="59"/>
      <c r="AD630" s="59"/>
    </row>
    <row r="631" spans="1:30" ht="12.75" customHeight="1" x14ac:dyDescent="0.2">
      <c r="A631" s="56"/>
      <c r="B631" s="56"/>
      <c r="C631" s="56"/>
      <c r="D631" s="57"/>
      <c r="E631" s="57"/>
      <c r="F631" s="56"/>
      <c r="G631" s="56"/>
      <c r="H631" s="56"/>
      <c r="I631" s="56"/>
      <c r="J631" s="56"/>
      <c r="K631" s="56"/>
      <c r="L631" s="56"/>
      <c r="M631" s="58"/>
      <c r="N631" s="58"/>
      <c r="O631" s="58"/>
      <c r="P631" s="58"/>
      <c r="Q631" s="58"/>
      <c r="R631" s="58"/>
      <c r="S631" s="58"/>
      <c r="T631" s="58"/>
      <c r="U631" s="58"/>
      <c r="V631" s="58"/>
      <c r="W631" s="58"/>
      <c r="X631" s="58"/>
      <c r="Y631" s="58"/>
      <c r="Z631" s="58"/>
      <c r="AA631" s="58"/>
      <c r="AB631" s="58"/>
      <c r="AC631" s="59"/>
      <c r="AD631" s="59"/>
    </row>
    <row r="632" spans="1:30" ht="12.75" customHeight="1" x14ac:dyDescent="0.2">
      <c r="A632" s="56"/>
      <c r="B632" s="56"/>
      <c r="C632" s="56"/>
      <c r="D632" s="57"/>
      <c r="E632" s="57"/>
      <c r="F632" s="56"/>
      <c r="G632" s="56"/>
      <c r="H632" s="56"/>
      <c r="I632" s="56"/>
      <c r="J632" s="56"/>
      <c r="K632" s="56"/>
      <c r="L632" s="56"/>
      <c r="M632" s="58"/>
      <c r="N632" s="58"/>
      <c r="O632" s="58"/>
      <c r="P632" s="58"/>
      <c r="Q632" s="58"/>
      <c r="R632" s="58"/>
      <c r="S632" s="58"/>
      <c r="T632" s="58"/>
      <c r="U632" s="58"/>
      <c r="V632" s="58"/>
      <c r="W632" s="58"/>
      <c r="X632" s="58"/>
      <c r="Y632" s="58"/>
      <c r="Z632" s="58"/>
      <c r="AA632" s="58"/>
      <c r="AB632" s="58"/>
      <c r="AC632" s="59"/>
      <c r="AD632" s="59"/>
    </row>
    <row r="633" spans="1:30" ht="12.75" customHeight="1" x14ac:dyDescent="0.2">
      <c r="A633" s="56"/>
      <c r="B633" s="56"/>
      <c r="C633" s="56"/>
      <c r="D633" s="57"/>
      <c r="E633" s="57"/>
      <c r="F633" s="56"/>
      <c r="G633" s="56"/>
      <c r="H633" s="56"/>
      <c r="I633" s="56"/>
      <c r="J633" s="56"/>
      <c r="K633" s="56"/>
      <c r="L633" s="56"/>
      <c r="M633" s="58"/>
      <c r="N633" s="58"/>
      <c r="O633" s="58"/>
      <c r="P633" s="58"/>
      <c r="Q633" s="58"/>
      <c r="R633" s="58"/>
      <c r="S633" s="58"/>
      <c r="T633" s="58"/>
      <c r="U633" s="58"/>
      <c r="V633" s="58"/>
      <c r="W633" s="58"/>
      <c r="X633" s="58"/>
      <c r="Y633" s="58"/>
      <c r="Z633" s="58"/>
      <c r="AA633" s="58"/>
      <c r="AB633" s="58"/>
      <c r="AC633" s="59"/>
      <c r="AD633" s="59"/>
    </row>
    <row r="634" spans="1:30" ht="12.75" customHeight="1" x14ac:dyDescent="0.2">
      <c r="A634" s="56"/>
      <c r="B634" s="56"/>
      <c r="C634" s="56"/>
      <c r="D634" s="57"/>
      <c r="E634" s="57"/>
      <c r="F634" s="56"/>
      <c r="G634" s="56"/>
      <c r="H634" s="56"/>
      <c r="I634" s="56"/>
      <c r="J634" s="56"/>
      <c r="K634" s="56"/>
      <c r="L634" s="56"/>
      <c r="M634" s="58"/>
      <c r="N634" s="58"/>
      <c r="O634" s="58"/>
      <c r="P634" s="58"/>
      <c r="Q634" s="58"/>
      <c r="R634" s="58"/>
      <c r="S634" s="58"/>
      <c r="T634" s="58"/>
      <c r="U634" s="58"/>
      <c r="V634" s="58"/>
      <c r="W634" s="58"/>
      <c r="X634" s="58"/>
      <c r="Y634" s="58"/>
      <c r="Z634" s="58"/>
      <c r="AA634" s="58"/>
      <c r="AB634" s="58"/>
      <c r="AC634" s="59"/>
      <c r="AD634" s="59"/>
    </row>
    <row r="635" spans="1:30" ht="12.75" customHeight="1" x14ac:dyDescent="0.2">
      <c r="A635" s="56"/>
      <c r="B635" s="56"/>
      <c r="C635" s="56"/>
      <c r="D635" s="57"/>
      <c r="E635" s="57"/>
      <c r="F635" s="56"/>
      <c r="G635" s="56"/>
      <c r="H635" s="56"/>
      <c r="I635" s="56"/>
      <c r="J635" s="56"/>
      <c r="K635" s="56"/>
      <c r="L635" s="56"/>
      <c r="M635" s="58"/>
      <c r="N635" s="58"/>
      <c r="O635" s="58"/>
      <c r="P635" s="58"/>
      <c r="Q635" s="58"/>
      <c r="R635" s="58"/>
      <c r="S635" s="58"/>
      <c r="T635" s="58"/>
      <c r="U635" s="58"/>
      <c r="V635" s="58"/>
      <c r="W635" s="58"/>
      <c r="X635" s="58"/>
      <c r="Y635" s="58"/>
      <c r="Z635" s="58"/>
      <c r="AA635" s="58"/>
      <c r="AB635" s="58"/>
      <c r="AC635" s="59"/>
      <c r="AD635" s="59"/>
    </row>
    <row r="636" spans="1:30" ht="12.75" customHeight="1" x14ac:dyDescent="0.2">
      <c r="A636" s="56"/>
      <c r="B636" s="56"/>
      <c r="C636" s="56"/>
      <c r="D636" s="57"/>
      <c r="E636" s="57"/>
      <c r="F636" s="56"/>
      <c r="G636" s="56"/>
      <c r="H636" s="56"/>
      <c r="I636" s="56"/>
      <c r="J636" s="56"/>
      <c r="K636" s="56"/>
      <c r="L636" s="56"/>
      <c r="M636" s="58"/>
      <c r="N636" s="58"/>
      <c r="O636" s="58"/>
      <c r="P636" s="58"/>
      <c r="Q636" s="58"/>
      <c r="R636" s="58"/>
      <c r="S636" s="58"/>
      <c r="T636" s="58"/>
      <c r="U636" s="58"/>
      <c r="V636" s="58"/>
      <c r="W636" s="58"/>
      <c r="X636" s="58"/>
      <c r="Y636" s="58"/>
      <c r="Z636" s="58"/>
      <c r="AA636" s="58"/>
      <c r="AB636" s="58"/>
      <c r="AC636" s="59"/>
      <c r="AD636" s="59"/>
    </row>
    <row r="637" spans="1:30" ht="12.75" customHeight="1" x14ac:dyDescent="0.2">
      <c r="A637" s="56"/>
      <c r="B637" s="56"/>
      <c r="C637" s="56"/>
      <c r="D637" s="57"/>
      <c r="E637" s="57"/>
      <c r="F637" s="56"/>
      <c r="G637" s="56"/>
      <c r="H637" s="56"/>
      <c r="I637" s="56"/>
      <c r="J637" s="56"/>
      <c r="K637" s="56"/>
      <c r="L637" s="56"/>
      <c r="M637" s="58"/>
      <c r="N637" s="58"/>
      <c r="O637" s="58"/>
      <c r="P637" s="58"/>
      <c r="Q637" s="58"/>
      <c r="R637" s="58"/>
      <c r="S637" s="58"/>
      <c r="T637" s="58"/>
      <c r="U637" s="58"/>
      <c r="V637" s="58"/>
      <c r="W637" s="58"/>
      <c r="X637" s="58"/>
      <c r="Y637" s="58"/>
      <c r="Z637" s="58"/>
      <c r="AA637" s="58"/>
      <c r="AB637" s="58"/>
      <c r="AC637" s="59"/>
      <c r="AD637" s="59"/>
    </row>
    <row r="638" spans="1:30" ht="12.75" customHeight="1" x14ac:dyDescent="0.2">
      <c r="A638" s="56"/>
      <c r="B638" s="56"/>
      <c r="C638" s="56"/>
      <c r="D638" s="57"/>
      <c r="E638" s="57"/>
      <c r="F638" s="56"/>
      <c r="G638" s="56"/>
      <c r="H638" s="56"/>
      <c r="I638" s="56"/>
      <c r="J638" s="56"/>
      <c r="K638" s="56"/>
      <c r="L638" s="56"/>
      <c r="M638" s="58"/>
      <c r="N638" s="58"/>
      <c r="O638" s="58"/>
      <c r="P638" s="58"/>
      <c r="Q638" s="58"/>
      <c r="R638" s="58"/>
      <c r="S638" s="58"/>
      <c r="T638" s="58"/>
      <c r="U638" s="58"/>
      <c r="V638" s="58"/>
      <c r="W638" s="58"/>
      <c r="X638" s="58"/>
      <c r="Y638" s="58"/>
      <c r="Z638" s="58"/>
      <c r="AA638" s="58"/>
      <c r="AB638" s="58"/>
      <c r="AC638" s="59"/>
      <c r="AD638" s="59"/>
    </row>
    <row r="639" spans="1:30" ht="12.75" customHeight="1" x14ac:dyDescent="0.2">
      <c r="A639" s="56"/>
      <c r="B639" s="56"/>
      <c r="C639" s="56"/>
      <c r="D639" s="57"/>
      <c r="E639" s="57"/>
      <c r="F639" s="56"/>
      <c r="G639" s="56"/>
      <c r="H639" s="56"/>
      <c r="I639" s="56"/>
      <c r="J639" s="56"/>
      <c r="K639" s="56"/>
      <c r="L639" s="56"/>
      <c r="M639" s="58"/>
      <c r="N639" s="58"/>
      <c r="O639" s="58"/>
      <c r="P639" s="58"/>
      <c r="Q639" s="58"/>
      <c r="R639" s="58"/>
      <c r="S639" s="58"/>
      <c r="T639" s="58"/>
      <c r="U639" s="58"/>
      <c r="V639" s="58"/>
      <c r="W639" s="58"/>
      <c r="X639" s="58"/>
      <c r="Y639" s="58"/>
      <c r="Z639" s="58"/>
      <c r="AA639" s="58"/>
      <c r="AB639" s="58"/>
      <c r="AC639" s="59"/>
      <c r="AD639" s="59"/>
    </row>
    <row r="640" spans="1:30" ht="12.75" customHeight="1" x14ac:dyDescent="0.2">
      <c r="A640" s="56"/>
      <c r="B640" s="56"/>
      <c r="C640" s="56"/>
      <c r="D640" s="57"/>
      <c r="E640" s="57"/>
      <c r="F640" s="56"/>
      <c r="G640" s="56"/>
      <c r="H640" s="56"/>
      <c r="I640" s="56"/>
      <c r="J640" s="56"/>
      <c r="K640" s="56"/>
      <c r="L640" s="56"/>
      <c r="M640" s="58"/>
      <c r="N640" s="58"/>
      <c r="O640" s="58"/>
      <c r="P640" s="58"/>
      <c r="Q640" s="58"/>
      <c r="R640" s="58"/>
      <c r="S640" s="58"/>
      <c r="T640" s="58"/>
      <c r="U640" s="58"/>
      <c r="V640" s="58"/>
      <c r="W640" s="58"/>
      <c r="X640" s="58"/>
      <c r="Y640" s="58"/>
      <c r="Z640" s="58"/>
      <c r="AA640" s="58"/>
      <c r="AB640" s="58"/>
      <c r="AC640" s="59"/>
      <c r="AD640" s="59"/>
    </row>
    <row r="641" spans="1:30" ht="12.75" customHeight="1" x14ac:dyDescent="0.2">
      <c r="A641" s="56"/>
      <c r="B641" s="56"/>
      <c r="C641" s="56"/>
      <c r="D641" s="57"/>
      <c r="E641" s="57"/>
      <c r="F641" s="56"/>
      <c r="G641" s="56"/>
      <c r="H641" s="56"/>
      <c r="I641" s="56"/>
      <c r="J641" s="56"/>
      <c r="K641" s="56"/>
      <c r="L641" s="56"/>
      <c r="M641" s="58"/>
      <c r="N641" s="58"/>
      <c r="O641" s="58"/>
      <c r="P641" s="58"/>
      <c r="Q641" s="58"/>
      <c r="R641" s="58"/>
      <c r="S641" s="58"/>
      <c r="T641" s="58"/>
      <c r="U641" s="58"/>
      <c r="V641" s="58"/>
      <c r="W641" s="58"/>
      <c r="X641" s="58"/>
      <c r="Y641" s="58"/>
      <c r="Z641" s="58"/>
      <c r="AA641" s="58"/>
      <c r="AB641" s="58"/>
      <c r="AC641" s="59"/>
      <c r="AD641" s="59"/>
    </row>
    <row r="642" spans="1:30" ht="12.75" customHeight="1" x14ac:dyDescent="0.2">
      <c r="A642" s="56"/>
      <c r="B642" s="56"/>
      <c r="C642" s="56"/>
      <c r="D642" s="57"/>
      <c r="E642" s="57"/>
      <c r="F642" s="56"/>
      <c r="G642" s="56"/>
      <c r="H642" s="56"/>
      <c r="I642" s="56"/>
      <c r="J642" s="56"/>
      <c r="K642" s="56"/>
      <c r="L642" s="56"/>
      <c r="M642" s="58"/>
      <c r="N642" s="58"/>
      <c r="O642" s="58"/>
      <c r="P642" s="58"/>
      <c r="Q642" s="58"/>
      <c r="R642" s="58"/>
      <c r="S642" s="58"/>
      <c r="T642" s="58"/>
      <c r="U642" s="58"/>
      <c r="V642" s="58"/>
      <c r="W642" s="58"/>
      <c r="X642" s="58"/>
      <c r="Y642" s="58"/>
      <c r="Z642" s="58"/>
      <c r="AA642" s="58"/>
      <c r="AB642" s="58"/>
      <c r="AC642" s="59"/>
      <c r="AD642" s="59"/>
    </row>
    <row r="643" spans="1:30" ht="12.75" customHeight="1" x14ac:dyDescent="0.2">
      <c r="A643" s="56"/>
      <c r="B643" s="56"/>
      <c r="C643" s="56"/>
      <c r="D643" s="57"/>
      <c r="E643" s="57"/>
      <c r="F643" s="56"/>
      <c r="G643" s="56"/>
      <c r="H643" s="56"/>
      <c r="I643" s="56"/>
      <c r="J643" s="56"/>
      <c r="K643" s="56"/>
      <c r="L643" s="56"/>
      <c r="M643" s="58"/>
      <c r="N643" s="58"/>
      <c r="O643" s="58"/>
      <c r="P643" s="58"/>
      <c r="Q643" s="58"/>
      <c r="R643" s="58"/>
      <c r="S643" s="58"/>
      <c r="T643" s="58"/>
      <c r="U643" s="58"/>
      <c r="V643" s="58"/>
      <c r="W643" s="58"/>
      <c r="X643" s="58"/>
      <c r="Y643" s="58"/>
      <c r="Z643" s="58"/>
      <c r="AA643" s="58"/>
      <c r="AB643" s="58"/>
      <c r="AC643" s="59"/>
      <c r="AD643" s="59"/>
    </row>
    <row r="644" spans="1:30" ht="12.75" customHeight="1" x14ac:dyDescent="0.2">
      <c r="A644" s="56"/>
      <c r="B644" s="56"/>
      <c r="C644" s="56"/>
      <c r="D644" s="57"/>
      <c r="E644" s="57"/>
      <c r="F644" s="56"/>
      <c r="G644" s="56"/>
      <c r="H644" s="56"/>
      <c r="I644" s="56"/>
      <c r="J644" s="56"/>
      <c r="K644" s="56"/>
      <c r="L644" s="56"/>
      <c r="M644" s="58"/>
      <c r="N644" s="58"/>
      <c r="O644" s="58"/>
      <c r="P644" s="58"/>
      <c r="Q644" s="58"/>
      <c r="R644" s="58"/>
      <c r="S644" s="58"/>
      <c r="T644" s="58"/>
      <c r="U644" s="58"/>
      <c r="V644" s="58"/>
      <c r="W644" s="58"/>
      <c r="X644" s="58"/>
      <c r="Y644" s="58"/>
      <c r="Z644" s="58"/>
      <c r="AA644" s="58"/>
      <c r="AB644" s="58"/>
      <c r="AC644" s="59"/>
      <c r="AD644" s="59"/>
    </row>
    <row r="645" spans="1:30" ht="12.75" customHeight="1" x14ac:dyDescent="0.2">
      <c r="A645" s="56"/>
      <c r="B645" s="56"/>
      <c r="C645" s="56"/>
      <c r="D645" s="57"/>
      <c r="E645" s="57"/>
      <c r="F645" s="56"/>
      <c r="G645" s="56"/>
      <c r="H645" s="56"/>
      <c r="I645" s="56"/>
      <c r="J645" s="56"/>
      <c r="K645" s="56"/>
      <c r="L645" s="56"/>
      <c r="M645" s="58"/>
      <c r="N645" s="58"/>
      <c r="O645" s="58"/>
      <c r="P645" s="58"/>
      <c r="Q645" s="58"/>
      <c r="R645" s="58"/>
      <c r="S645" s="58"/>
      <c r="T645" s="58"/>
      <c r="U645" s="58"/>
      <c r="V645" s="58"/>
      <c r="W645" s="58"/>
      <c r="X645" s="58"/>
      <c r="Y645" s="58"/>
      <c r="Z645" s="58"/>
      <c r="AA645" s="58"/>
      <c r="AB645" s="58"/>
      <c r="AC645" s="59"/>
      <c r="AD645" s="59"/>
    </row>
    <row r="646" spans="1:30" ht="12.75" customHeight="1" x14ac:dyDescent="0.2">
      <c r="A646" s="56"/>
      <c r="B646" s="56"/>
      <c r="C646" s="56"/>
      <c r="D646" s="57"/>
      <c r="E646" s="57"/>
      <c r="F646" s="56"/>
      <c r="G646" s="56"/>
      <c r="H646" s="56"/>
      <c r="I646" s="56"/>
      <c r="J646" s="56"/>
      <c r="K646" s="56"/>
      <c r="L646" s="56"/>
      <c r="M646" s="58"/>
      <c r="N646" s="58"/>
      <c r="O646" s="58"/>
      <c r="P646" s="58"/>
      <c r="Q646" s="58"/>
      <c r="R646" s="58"/>
      <c r="S646" s="58"/>
      <c r="T646" s="58"/>
      <c r="U646" s="58"/>
      <c r="V646" s="58"/>
      <c r="W646" s="58"/>
      <c r="X646" s="58"/>
      <c r="Y646" s="58"/>
      <c r="Z646" s="58"/>
      <c r="AA646" s="58"/>
      <c r="AB646" s="58"/>
      <c r="AC646" s="59"/>
      <c r="AD646" s="59"/>
    </row>
    <row r="647" spans="1:30" ht="12.75" customHeight="1" x14ac:dyDescent="0.2">
      <c r="A647" s="56"/>
      <c r="B647" s="56"/>
      <c r="C647" s="56"/>
      <c r="D647" s="57"/>
      <c r="E647" s="57"/>
      <c r="F647" s="56"/>
      <c r="G647" s="56"/>
      <c r="H647" s="56"/>
      <c r="I647" s="56"/>
      <c r="J647" s="56"/>
      <c r="K647" s="56"/>
      <c r="L647" s="56"/>
      <c r="M647" s="58"/>
      <c r="N647" s="58"/>
      <c r="O647" s="58"/>
      <c r="P647" s="58"/>
      <c r="Q647" s="58"/>
      <c r="R647" s="58"/>
      <c r="S647" s="58"/>
      <c r="T647" s="58"/>
      <c r="U647" s="58"/>
      <c r="V647" s="58"/>
      <c r="W647" s="58"/>
      <c r="X647" s="58"/>
      <c r="Y647" s="58"/>
      <c r="Z647" s="58"/>
      <c r="AA647" s="58"/>
      <c r="AB647" s="58"/>
      <c r="AC647" s="59"/>
      <c r="AD647" s="59"/>
    </row>
    <row r="648" spans="1:30" ht="12.75" customHeight="1" x14ac:dyDescent="0.2">
      <c r="A648" s="56"/>
      <c r="B648" s="56"/>
      <c r="C648" s="56"/>
      <c r="D648" s="57"/>
      <c r="E648" s="57"/>
      <c r="F648" s="56"/>
      <c r="G648" s="56"/>
      <c r="H648" s="56"/>
      <c r="I648" s="56"/>
      <c r="J648" s="56"/>
      <c r="K648" s="56"/>
      <c r="L648" s="56"/>
      <c r="M648" s="58"/>
      <c r="N648" s="58"/>
      <c r="O648" s="58"/>
      <c r="P648" s="58"/>
      <c r="Q648" s="58"/>
      <c r="R648" s="58"/>
      <c r="S648" s="58"/>
      <c r="T648" s="58"/>
      <c r="U648" s="58"/>
      <c r="V648" s="58"/>
      <c r="W648" s="58"/>
      <c r="X648" s="58"/>
      <c r="Y648" s="58"/>
      <c r="Z648" s="58"/>
      <c r="AA648" s="58"/>
      <c r="AB648" s="58"/>
      <c r="AC648" s="59"/>
      <c r="AD648" s="59"/>
    </row>
    <row r="649" spans="1:30" ht="12.75" customHeight="1" x14ac:dyDescent="0.2">
      <c r="A649" s="56"/>
      <c r="B649" s="56"/>
      <c r="C649" s="56"/>
      <c r="D649" s="57"/>
      <c r="E649" s="57"/>
      <c r="F649" s="56"/>
      <c r="G649" s="56"/>
      <c r="H649" s="56"/>
      <c r="I649" s="56"/>
      <c r="J649" s="56"/>
      <c r="K649" s="56"/>
      <c r="L649" s="56"/>
      <c r="M649" s="58"/>
      <c r="N649" s="58"/>
      <c r="O649" s="58"/>
      <c r="P649" s="58"/>
      <c r="Q649" s="58"/>
      <c r="R649" s="58"/>
      <c r="S649" s="58"/>
      <c r="T649" s="58"/>
      <c r="U649" s="58"/>
      <c r="V649" s="58"/>
      <c r="W649" s="58"/>
      <c r="X649" s="58"/>
      <c r="Y649" s="58"/>
      <c r="Z649" s="58"/>
      <c r="AA649" s="58"/>
      <c r="AB649" s="58"/>
      <c r="AC649" s="59"/>
      <c r="AD649" s="59"/>
    </row>
    <row r="650" spans="1:30" ht="12.75" customHeight="1" x14ac:dyDescent="0.2">
      <c r="A650" s="56"/>
      <c r="B650" s="56"/>
      <c r="C650" s="56"/>
      <c r="D650" s="57"/>
      <c r="E650" s="57"/>
      <c r="F650" s="56"/>
      <c r="G650" s="56"/>
      <c r="H650" s="56"/>
      <c r="I650" s="56"/>
      <c r="J650" s="56"/>
      <c r="K650" s="56"/>
      <c r="L650" s="56"/>
      <c r="M650" s="58"/>
      <c r="N650" s="58"/>
      <c r="O650" s="58"/>
      <c r="P650" s="58"/>
      <c r="Q650" s="58"/>
      <c r="R650" s="58"/>
      <c r="S650" s="58"/>
      <c r="T650" s="58"/>
      <c r="U650" s="58"/>
      <c r="V650" s="58"/>
      <c r="W650" s="58"/>
      <c r="X650" s="58"/>
      <c r="Y650" s="58"/>
      <c r="Z650" s="58"/>
      <c r="AA650" s="58"/>
      <c r="AB650" s="58"/>
      <c r="AC650" s="59"/>
      <c r="AD650" s="59"/>
    </row>
    <row r="651" spans="1:30" ht="12.75" customHeight="1" x14ac:dyDescent="0.2">
      <c r="A651" s="56"/>
      <c r="B651" s="56"/>
      <c r="C651" s="56"/>
      <c r="D651" s="57"/>
      <c r="E651" s="57"/>
      <c r="F651" s="56"/>
      <c r="G651" s="56"/>
      <c r="H651" s="56"/>
      <c r="I651" s="56"/>
      <c r="J651" s="56"/>
      <c r="K651" s="56"/>
      <c r="L651" s="56"/>
      <c r="M651" s="58"/>
      <c r="N651" s="58"/>
      <c r="O651" s="58"/>
      <c r="P651" s="58"/>
      <c r="Q651" s="58"/>
      <c r="R651" s="58"/>
      <c r="S651" s="58"/>
      <c r="T651" s="58"/>
      <c r="U651" s="58"/>
      <c r="V651" s="58"/>
      <c r="W651" s="58"/>
      <c r="X651" s="58"/>
      <c r="Y651" s="58"/>
      <c r="Z651" s="58"/>
      <c r="AA651" s="58"/>
      <c r="AB651" s="58"/>
      <c r="AC651" s="59"/>
      <c r="AD651" s="59"/>
    </row>
    <row r="652" spans="1:30" ht="12.75" customHeight="1" x14ac:dyDescent="0.2">
      <c r="A652" s="56"/>
      <c r="B652" s="56"/>
      <c r="C652" s="56"/>
      <c r="D652" s="57"/>
      <c r="E652" s="57"/>
      <c r="F652" s="56"/>
      <c r="G652" s="56"/>
      <c r="H652" s="56"/>
      <c r="I652" s="56"/>
      <c r="J652" s="56"/>
      <c r="K652" s="56"/>
      <c r="L652" s="56"/>
      <c r="M652" s="58"/>
      <c r="N652" s="58"/>
      <c r="O652" s="58"/>
      <c r="P652" s="58"/>
      <c r="Q652" s="58"/>
      <c r="R652" s="58"/>
      <c r="S652" s="58"/>
      <c r="T652" s="58"/>
      <c r="U652" s="58"/>
      <c r="V652" s="58"/>
      <c r="W652" s="58"/>
      <c r="X652" s="58"/>
      <c r="Y652" s="58"/>
      <c r="Z652" s="58"/>
      <c r="AA652" s="58"/>
      <c r="AB652" s="58"/>
      <c r="AC652" s="59"/>
      <c r="AD652" s="59"/>
    </row>
    <row r="653" spans="1:30" ht="12.75" customHeight="1" x14ac:dyDescent="0.2">
      <c r="A653" s="56"/>
      <c r="B653" s="56"/>
      <c r="C653" s="56"/>
      <c r="D653" s="57"/>
      <c r="E653" s="57"/>
      <c r="F653" s="56"/>
      <c r="G653" s="56"/>
      <c r="H653" s="56"/>
      <c r="I653" s="56"/>
      <c r="J653" s="56"/>
      <c r="K653" s="56"/>
      <c r="L653" s="56"/>
      <c r="M653" s="58"/>
      <c r="N653" s="58"/>
      <c r="O653" s="58"/>
      <c r="P653" s="58"/>
      <c r="Q653" s="58"/>
      <c r="R653" s="58"/>
      <c r="S653" s="58"/>
      <c r="T653" s="58"/>
      <c r="U653" s="58"/>
      <c r="V653" s="58"/>
      <c r="W653" s="58"/>
      <c r="X653" s="58"/>
      <c r="Y653" s="58"/>
      <c r="Z653" s="58"/>
      <c r="AA653" s="58"/>
      <c r="AB653" s="58"/>
      <c r="AC653" s="59"/>
      <c r="AD653" s="59"/>
    </row>
    <row r="654" spans="1:30" ht="12.75" customHeight="1" x14ac:dyDescent="0.2">
      <c r="A654" s="56"/>
      <c r="B654" s="56"/>
      <c r="C654" s="56"/>
      <c r="D654" s="57"/>
      <c r="E654" s="57"/>
      <c r="F654" s="56"/>
      <c r="G654" s="56"/>
      <c r="H654" s="56"/>
      <c r="I654" s="56"/>
      <c r="J654" s="56"/>
      <c r="K654" s="56"/>
      <c r="L654" s="56"/>
      <c r="M654" s="58"/>
      <c r="N654" s="58"/>
      <c r="O654" s="58"/>
      <c r="P654" s="58"/>
      <c r="Q654" s="58"/>
      <c r="R654" s="58"/>
      <c r="S654" s="58"/>
      <c r="T654" s="58"/>
      <c r="U654" s="58"/>
      <c r="V654" s="58"/>
      <c r="W654" s="58"/>
      <c r="X654" s="58"/>
      <c r="Y654" s="58"/>
      <c r="Z654" s="58"/>
      <c r="AA654" s="58"/>
      <c r="AB654" s="58"/>
      <c r="AC654" s="59"/>
      <c r="AD654" s="59"/>
    </row>
    <row r="655" spans="1:30" ht="12.75" customHeight="1" x14ac:dyDescent="0.2">
      <c r="A655" s="56"/>
      <c r="B655" s="56"/>
      <c r="C655" s="56"/>
      <c r="D655" s="57"/>
      <c r="E655" s="57"/>
      <c r="F655" s="56"/>
      <c r="G655" s="56"/>
      <c r="H655" s="56"/>
      <c r="I655" s="56"/>
      <c r="J655" s="56"/>
      <c r="K655" s="56"/>
      <c r="L655" s="56"/>
      <c r="M655" s="58"/>
      <c r="N655" s="58"/>
      <c r="O655" s="58"/>
      <c r="P655" s="58"/>
      <c r="Q655" s="58"/>
      <c r="R655" s="58"/>
      <c r="S655" s="58"/>
      <c r="T655" s="58"/>
      <c r="U655" s="58"/>
      <c r="V655" s="58"/>
      <c r="W655" s="58"/>
      <c r="X655" s="58"/>
      <c r="Y655" s="58"/>
      <c r="Z655" s="58"/>
      <c r="AA655" s="58"/>
      <c r="AB655" s="58"/>
      <c r="AC655" s="59"/>
      <c r="AD655" s="59"/>
    </row>
    <row r="656" spans="1:30" ht="12.75" customHeight="1" x14ac:dyDescent="0.2">
      <c r="A656" s="56"/>
      <c r="B656" s="56"/>
      <c r="C656" s="56"/>
      <c r="D656" s="57"/>
      <c r="E656" s="57"/>
      <c r="F656" s="56"/>
      <c r="G656" s="56"/>
      <c r="H656" s="56"/>
      <c r="I656" s="56"/>
      <c r="J656" s="56"/>
      <c r="K656" s="56"/>
      <c r="L656" s="56"/>
      <c r="M656" s="58"/>
      <c r="N656" s="58"/>
      <c r="O656" s="58"/>
      <c r="P656" s="58"/>
      <c r="Q656" s="58"/>
      <c r="R656" s="58"/>
      <c r="S656" s="58"/>
      <c r="T656" s="58"/>
      <c r="U656" s="58"/>
      <c r="V656" s="58"/>
      <c r="W656" s="58"/>
      <c r="X656" s="58"/>
      <c r="Y656" s="58"/>
      <c r="Z656" s="58"/>
      <c r="AA656" s="58"/>
      <c r="AB656" s="58"/>
      <c r="AC656" s="59"/>
      <c r="AD656" s="59"/>
    </row>
    <row r="657" spans="1:30" ht="12.75" customHeight="1" x14ac:dyDescent="0.2">
      <c r="A657" s="56"/>
      <c r="B657" s="56"/>
      <c r="C657" s="56"/>
      <c r="D657" s="57"/>
      <c r="E657" s="57"/>
      <c r="F657" s="56"/>
      <c r="G657" s="56"/>
      <c r="H657" s="56"/>
      <c r="I657" s="56"/>
      <c r="J657" s="56"/>
      <c r="K657" s="56"/>
      <c r="L657" s="56"/>
      <c r="M657" s="58"/>
      <c r="N657" s="58"/>
      <c r="O657" s="58"/>
      <c r="P657" s="58"/>
      <c r="Q657" s="58"/>
      <c r="R657" s="58"/>
      <c r="S657" s="58"/>
      <c r="T657" s="58"/>
      <c r="U657" s="58"/>
      <c r="V657" s="58"/>
      <c r="W657" s="58"/>
      <c r="X657" s="58"/>
      <c r="Y657" s="58"/>
      <c r="Z657" s="58"/>
      <c r="AA657" s="58"/>
      <c r="AB657" s="58"/>
      <c r="AC657" s="59"/>
      <c r="AD657" s="59"/>
    </row>
    <row r="658" spans="1:30" ht="12.75" customHeight="1" x14ac:dyDescent="0.2">
      <c r="A658" s="56"/>
      <c r="B658" s="56"/>
      <c r="C658" s="56"/>
      <c r="D658" s="57"/>
      <c r="E658" s="57"/>
      <c r="F658" s="56"/>
      <c r="G658" s="56"/>
      <c r="H658" s="56"/>
      <c r="I658" s="56"/>
      <c r="J658" s="56"/>
      <c r="K658" s="56"/>
      <c r="L658" s="56"/>
      <c r="M658" s="58"/>
      <c r="N658" s="58"/>
      <c r="O658" s="58"/>
      <c r="P658" s="58"/>
      <c r="Q658" s="58"/>
      <c r="R658" s="58"/>
      <c r="S658" s="58"/>
      <c r="T658" s="58"/>
      <c r="U658" s="58"/>
      <c r="V658" s="58"/>
      <c r="W658" s="58"/>
      <c r="X658" s="58"/>
      <c r="Y658" s="58"/>
      <c r="Z658" s="58"/>
      <c r="AA658" s="58"/>
      <c r="AB658" s="58"/>
      <c r="AC658" s="59"/>
      <c r="AD658" s="59"/>
    </row>
    <row r="659" spans="1:30" ht="12.75" customHeight="1" x14ac:dyDescent="0.2">
      <c r="A659" s="56"/>
      <c r="B659" s="56"/>
      <c r="C659" s="56"/>
      <c r="D659" s="57"/>
      <c r="E659" s="57"/>
      <c r="F659" s="56"/>
      <c r="G659" s="56"/>
      <c r="H659" s="56"/>
      <c r="I659" s="56"/>
      <c r="J659" s="56"/>
      <c r="K659" s="56"/>
      <c r="L659" s="56"/>
      <c r="M659" s="58"/>
      <c r="N659" s="58"/>
      <c r="O659" s="58"/>
      <c r="P659" s="58"/>
      <c r="Q659" s="58"/>
      <c r="R659" s="58"/>
      <c r="S659" s="58"/>
      <c r="T659" s="58"/>
      <c r="U659" s="58"/>
      <c r="V659" s="58"/>
      <c r="W659" s="58"/>
      <c r="X659" s="58"/>
      <c r="Y659" s="58"/>
      <c r="Z659" s="58"/>
      <c r="AA659" s="58"/>
      <c r="AB659" s="58"/>
      <c r="AC659" s="59"/>
      <c r="AD659" s="59"/>
    </row>
    <row r="660" spans="1:30" ht="12.75" customHeight="1" x14ac:dyDescent="0.2">
      <c r="A660" s="56"/>
      <c r="B660" s="56"/>
      <c r="C660" s="56"/>
      <c r="D660" s="57"/>
      <c r="E660" s="57"/>
      <c r="F660" s="56"/>
      <c r="G660" s="56"/>
      <c r="H660" s="56"/>
      <c r="I660" s="56"/>
      <c r="J660" s="56"/>
      <c r="K660" s="56"/>
      <c r="L660" s="56"/>
      <c r="M660" s="58"/>
      <c r="N660" s="58"/>
      <c r="O660" s="58"/>
      <c r="P660" s="58"/>
      <c r="Q660" s="58"/>
      <c r="R660" s="58"/>
      <c r="S660" s="58"/>
      <c r="T660" s="58"/>
      <c r="U660" s="58"/>
      <c r="V660" s="58"/>
      <c r="W660" s="58"/>
      <c r="X660" s="58"/>
      <c r="Y660" s="58"/>
      <c r="Z660" s="58"/>
      <c r="AA660" s="58"/>
      <c r="AB660" s="58"/>
      <c r="AC660" s="59"/>
      <c r="AD660" s="59"/>
    </row>
    <row r="661" spans="1:30" ht="12.75" customHeight="1" x14ac:dyDescent="0.2">
      <c r="A661" s="56"/>
      <c r="B661" s="56"/>
      <c r="C661" s="56"/>
      <c r="D661" s="57"/>
      <c r="E661" s="57"/>
      <c r="F661" s="56"/>
      <c r="G661" s="56"/>
      <c r="H661" s="56"/>
      <c r="I661" s="56"/>
      <c r="J661" s="56"/>
      <c r="K661" s="56"/>
      <c r="L661" s="56"/>
      <c r="M661" s="58"/>
      <c r="N661" s="58"/>
      <c r="O661" s="58"/>
      <c r="P661" s="58"/>
      <c r="Q661" s="58"/>
      <c r="R661" s="58"/>
      <c r="S661" s="58"/>
      <c r="T661" s="58"/>
      <c r="U661" s="58"/>
      <c r="V661" s="58"/>
      <c r="W661" s="58"/>
      <c r="X661" s="58"/>
      <c r="Y661" s="58"/>
      <c r="Z661" s="58"/>
      <c r="AA661" s="58"/>
      <c r="AB661" s="58"/>
      <c r="AC661" s="59"/>
      <c r="AD661" s="59"/>
    </row>
    <row r="662" spans="1:30" ht="12.75" customHeight="1" x14ac:dyDescent="0.2">
      <c r="A662" s="56"/>
      <c r="B662" s="56"/>
      <c r="C662" s="56"/>
      <c r="D662" s="57"/>
      <c r="E662" s="57"/>
      <c r="F662" s="56"/>
      <c r="G662" s="56"/>
      <c r="H662" s="56"/>
      <c r="I662" s="56"/>
      <c r="J662" s="56"/>
      <c r="K662" s="56"/>
      <c r="L662" s="56"/>
      <c r="M662" s="58"/>
      <c r="N662" s="58"/>
      <c r="O662" s="58"/>
      <c r="P662" s="58"/>
      <c r="Q662" s="58"/>
      <c r="R662" s="58"/>
      <c r="S662" s="58"/>
      <c r="T662" s="58"/>
      <c r="U662" s="58"/>
      <c r="V662" s="58"/>
      <c r="W662" s="58"/>
      <c r="X662" s="58"/>
      <c r="Y662" s="58"/>
      <c r="Z662" s="58"/>
      <c r="AA662" s="58"/>
      <c r="AB662" s="58"/>
      <c r="AC662" s="59"/>
      <c r="AD662" s="59"/>
    </row>
    <row r="663" spans="1:30" ht="12.75" customHeight="1" x14ac:dyDescent="0.2">
      <c r="A663" s="56"/>
      <c r="B663" s="56"/>
      <c r="C663" s="56"/>
      <c r="D663" s="57"/>
      <c r="E663" s="57"/>
      <c r="F663" s="56"/>
      <c r="G663" s="56"/>
      <c r="H663" s="56"/>
      <c r="I663" s="56"/>
      <c r="J663" s="56"/>
      <c r="K663" s="56"/>
      <c r="L663" s="56"/>
      <c r="M663" s="58"/>
      <c r="N663" s="58"/>
      <c r="O663" s="58"/>
      <c r="P663" s="58"/>
      <c r="Q663" s="58"/>
      <c r="R663" s="58"/>
      <c r="S663" s="58"/>
      <c r="T663" s="58"/>
      <c r="U663" s="58"/>
      <c r="V663" s="58"/>
      <c r="W663" s="58"/>
      <c r="X663" s="58"/>
      <c r="Y663" s="58"/>
      <c r="Z663" s="58"/>
      <c r="AA663" s="58"/>
      <c r="AB663" s="58"/>
      <c r="AC663" s="59"/>
      <c r="AD663" s="59"/>
    </row>
    <row r="664" spans="1:30" ht="12.75" customHeight="1" x14ac:dyDescent="0.2">
      <c r="A664" s="56"/>
      <c r="B664" s="56"/>
      <c r="C664" s="56"/>
      <c r="D664" s="57"/>
      <c r="E664" s="57"/>
      <c r="F664" s="56"/>
      <c r="G664" s="56"/>
      <c r="H664" s="56"/>
      <c r="I664" s="56"/>
      <c r="J664" s="56"/>
      <c r="K664" s="56"/>
      <c r="L664" s="56"/>
      <c r="M664" s="58"/>
      <c r="N664" s="58"/>
      <c r="O664" s="58"/>
      <c r="P664" s="58"/>
      <c r="Q664" s="58"/>
      <c r="R664" s="58"/>
      <c r="S664" s="58"/>
      <c r="T664" s="58"/>
      <c r="U664" s="58"/>
      <c r="V664" s="58"/>
      <c r="W664" s="58"/>
      <c r="X664" s="58"/>
      <c r="Y664" s="58"/>
      <c r="Z664" s="58"/>
      <c r="AA664" s="58"/>
      <c r="AB664" s="58"/>
      <c r="AC664" s="59"/>
      <c r="AD664" s="59"/>
    </row>
    <row r="665" spans="1:30" ht="12.75" customHeight="1" x14ac:dyDescent="0.2">
      <c r="A665" s="56"/>
      <c r="B665" s="56"/>
      <c r="C665" s="56"/>
      <c r="D665" s="57"/>
      <c r="E665" s="57"/>
      <c r="F665" s="56"/>
      <c r="G665" s="56"/>
      <c r="H665" s="56"/>
      <c r="I665" s="56"/>
      <c r="J665" s="56"/>
      <c r="K665" s="56"/>
      <c r="L665" s="56"/>
      <c r="M665" s="58"/>
      <c r="N665" s="58"/>
      <c r="O665" s="58"/>
      <c r="P665" s="58"/>
      <c r="Q665" s="58"/>
      <c r="R665" s="58"/>
      <c r="S665" s="58"/>
      <c r="T665" s="58"/>
      <c r="U665" s="58"/>
      <c r="V665" s="58"/>
      <c r="W665" s="58"/>
      <c r="X665" s="58"/>
      <c r="Y665" s="58"/>
      <c r="Z665" s="58"/>
      <c r="AA665" s="58"/>
      <c r="AB665" s="58"/>
      <c r="AC665" s="59"/>
      <c r="AD665" s="59"/>
    </row>
    <row r="666" spans="1:30" ht="12.75" customHeight="1" x14ac:dyDescent="0.2">
      <c r="A666" s="56"/>
      <c r="B666" s="56"/>
      <c r="C666" s="56"/>
      <c r="D666" s="57"/>
      <c r="E666" s="57"/>
      <c r="F666" s="56"/>
      <c r="G666" s="56"/>
      <c r="H666" s="56"/>
      <c r="I666" s="56"/>
      <c r="J666" s="56"/>
      <c r="K666" s="56"/>
      <c r="L666" s="56"/>
      <c r="M666" s="58"/>
      <c r="N666" s="58"/>
      <c r="O666" s="58"/>
      <c r="P666" s="58"/>
      <c r="Q666" s="58"/>
      <c r="R666" s="58"/>
      <c r="S666" s="58"/>
      <c r="T666" s="58"/>
      <c r="U666" s="58"/>
      <c r="V666" s="58"/>
      <c r="W666" s="58"/>
      <c r="X666" s="58"/>
      <c r="Y666" s="58"/>
      <c r="Z666" s="58"/>
      <c r="AA666" s="58"/>
      <c r="AB666" s="58"/>
      <c r="AC666" s="59"/>
      <c r="AD666" s="59"/>
    </row>
    <row r="667" spans="1:30" ht="12.75" customHeight="1" x14ac:dyDescent="0.2">
      <c r="A667" s="56"/>
      <c r="B667" s="56"/>
      <c r="C667" s="56"/>
      <c r="D667" s="57"/>
      <c r="E667" s="57"/>
      <c r="F667" s="56"/>
      <c r="G667" s="56"/>
      <c r="H667" s="56"/>
      <c r="I667" s="56"/>
      <c r="J667" s="56"/>
      <c r="K667" s="56"/>
      <c r="L667" s="56"/>
      <c r="M667" s="58"/>
      <c r="N667" s="58"/>
      <c r="O667" s="58"/>
      <c r="P667" s="58"/>
      <c r="Q667" s="58"/>
      <c r="R667" s="58"/>
      <c r="S667" s="58"/>
      <c r="T667" s="58"/>
      <c r="U667" s="58"/>
      <c r="V667" s="58"/>
      <c r="W667" s="58"/>
      <c r="X667" s="58"/>
      <c r="Y667" s="58"/>
      <c r="Z667" s="58"/>
      <c r="AA667" s="58"/>
      <c r="AB667" s="58"/>
      <c r="AC667" s="59"/>
      <c r="AD667" s="59"/>
    </row>
    <row r="668" spans="1:30" ht="12.75" customHeight="1" x14ac:dyDescent="0.2">
      <c r="A668" s="56"/>
      <c r="B668" s="56"/>
      <c r="C668" s="56"/>
      <c r="D668" s="57"/>
      <c r="E668" s="57"/>
      <c r="F668" s="56"/>
      <c r="G668" s="56"/>
      <c r="H668" s="56"/>
      <c r="I668" s="56"/>
      <c r="J668" s="56"/>
      <c r="K668" s="56"/>
      <c r="L668" s="56"/>
      <c r="M668" s="58"/>
      <c r="N668" s="58"/>
      <c r="O668" s="58"/>
      <c r="P668" s="58"/>
      <c r="Q668" s="58"/>
      <c r="R668" s="58"/>
      <c r="S668" s="58"/>
      <c r="T668" s="58"/>
      <c r="U668" s="58"/>
      <c r="V668" s="58"/>
      <c r="W668" s="58"/>
      <c r="X668" s="58"/>
      <c r="Y668" s="58"/>
      <c r="Z668" s="58"/>
      <c r="AA668" s="58"/>
      <c r="AB668" s="58"/>
      <c r="AC668" s="59"/>
      <c r="AD668" s="59"/>
    </row>
    <row r="669" spans="1:30" ht="12.75" customHeight="1" x14ac:dyDescent="0.2">
      <c r="A669" s="56"/>
      <c r="B669" s="56"/>
      <c r="C669" s="56"/>
      <c r="D669" s="57"/>
      <c r="E669" s="57"/>
      <c r="F669" s="56"/>
      <c r="G669" s="56"/>
      <c r="H669" s="56"/>
      <c r="I669" s="56"/>
      <c r="J669" s="56"/>
      <c r="K669" s="56"/>
      <c r="L669" s="56"/>
      <c r="M669" s="58"/>
      <c r="N669" s="58"/>
      <c r="O669" s="58"/>
      <c r="P669" s="58"/>
      <c r="Q669" s="58"/>
      <c r="R669" s="58"/>
      <c r="S669" s="58"/>
      <c r="T669" s="58"/>
      <c r="U669" s="58"/>
      <c r="V669" s="58"/>
      <c r="W669" s="58"/>
      <c r="X669" s="58"/>
      <c r="Y669" s="58"/>
      <c r="Z669" s="58"/>
      <c r="AA669" s="58"/>
      <c r="AB669" s="58"/>
      <c r="AC669" s="59"/>
      <c r="AD669" s="59"/>
    </row>
    <row r="670" spans="1:30" ht="12.75" customHeight="1" x14ac:dyDescent="0.2">
      <c r="A670" s="56"/>
      <c r="B670" s="56"/>
      <c r="C670" s="56"/>
      <c r="D670" s="57"/>
      <c r="E670" s="57"/>
      <c r="F670" s="56"/>
      <c r="G670" s="56"/>
      <c r="H670" s="56"/>
      <c r="I670" s="56"/>
      <c r="J670" s="56"/>
      <c r="K670" s="56"/>
      <c r="L670" s="56"/>
      <c r="M670" s="58"/>
      <c r="N670" s="58"/>
      <c r="O670" s="58"/>
      <c r="P670" s="58"/>
      <c r="Q670" s="58"/>
      <c r="R670" s="58"/>
      <c r="S670" s="58"/>
      <c r="T670" s="58"/>
      <c r="U670" s="58"/>
      <c r="V670" s="58"/>
      <c r="W670" s="58"/>
      <c r="X670" s="58"/>
      <c r="Y670" s="58"/>
      <c r="Z670" s="58"/>
      <c r="AA670" s="58"/>
      <c r="AB670" s="58"/>
      <c r="AC670" s="59"/>
      <c r="AD670" s="59"/>
    </row>
    <row r="671" spans="1:30" ht="12.75" customHeight="1" x14ac:dyDescent="0.2">
      <c r="A671" s="56"/>
      <c r="B671" s="56"/>
      <c r="C671" s="56"/>
      <c r="D671" s="57"/>
      <c r="E671" s="57"/>
      <c r="F671" s="56"/>
      <c r="G671" s="56"/>
      <c r="H671" s="56"/>
      <c r="I671" s="56"/>
      <c r="J671" s="56"/>
      <c r="K671" s="56"/>
      <c r="L671" s="56"/>
      <c r="M671" s="58"/>
      <c r="N671" s="58"/>
      <c r="O671" s="58"/>
      <c r="P671" s="58"/>
      <c r="Q671" s="58"/>
      <c r="R671" s="58"/>
      <c r="S671" s="58"/>
      <c r="T671" s="58"/>
      <c r="U671" s="58"/>
      <c r="V671" s="58"/>
      <c r="W671" s="58"/>
      <c r="X671" s="58"/>
      <c r="Y671" s="58"/>
      <c r="Z671" s="58"/>
      <c r="AA671" s="58"/>
      <c r="AB671" s="58"/>
      <c r="AC671" s="59"/>
      <c r="AD671" s="59"/>
    </row>
    <row r="672" spans="1:30" ht="12.75" customHeight="1" x14ac:dyDescent="0.2">
      <c r="A672" s="56"/>
      <c r="B672" s="56"/>
      <c r="C672" s="56"/>
      <c r="D672" s="57"/>
      <c r="E672" s="57"/>
      <c r="F672" s="56"/>
      <c r="G672" s="56"/>
      <c r="H672" s="56"/>
      <c r="I672" s="56"/>
      <c r="J672" s="56"/>
      <c r="K672" s="56"/>
      <c r="L672" s="56"/>
      <c r="M672" s="58"/>
      <c r="N672" s="58"/>
      <c r="O672" s="58"/>
      <c r="P672" s="58"/>
      <c r="Q672" s="58"/>
      <c r="R672" s="58"/>
      <c r="S672" s="58"/>
      <c r="T672" s="58"/>
      <c r="U672" s="58"/>
      <c r="V672" s="58"/>
      <c r="W672" s="58"/>
      <c r="X672" s="58"/>
      <c r="Y672" s="58"/>
      <c r="Z672" s="58"/>
      <c r="AA672" s="58"/>
      <c r="AB672" s="58"/>
      <c r="AC672" s="59"/>
      <c r="AD672" s="59"/>
    </row>
    <row r="673" spans="1:30" ht="12.75" customHeight="1" x14ac:dyDescent="0.2">
      <c r="A673" s="56"/>
      <c r="B673" s="56"/>
      <c r="C673" s="56"/>
      <c r="D673" s="57"/>
      <c r="E673" s="57"/>
      <c r="F673" s="56"/>
      <c r="G673" s="56"/>
      <c r="H673" s="56"/>
      <c r="I673" s="56"/>
      <c r="J673" s="56"/>
      <c r="K673" s="56"/>
      <c r="L673" s="56"/>
      <c r="M673" s="58"/>
      <c r="N673" s="58"/>
      <c r="O673" s="58"/>
      <c r="P673" s="58"/>
      <c r="Q673" s="58"/>
      <c r="R673" s="58"/>
      <c r="S673" s="58"/>
      <c r="T673" s="58"/>
      <c r="U673" s="58"/>
      <c r="V673" s="58"/>
      <c r="W673" s="58"/>
      <c r="X673" s="58"/>
      <c r="Y673" s="58"/>
      <c r="Z673" s="58"/>
      <c r="AA673" s="58"/>
      <c r="AB673" s="58"/>
      <c r="AC673" s="59"/>
      <c r="AD673" s="59"/>
    </row>
    <row r="674" spans="1:30" ht="12.75" customHeight="1" x14ac:dyDescent="0.2">
      <c r="A674" s="56"/>
      <c r="B674" s="56"/>
      <c r="C674" s="56"/>
      <c r="D674" s="57"/>
      <c r="E674" s="57"/>
      <c r="F674" s="56"/>
      <c r="G674" s="56"/>
      <c r="H674" s="56"/>
      <c r="I674" s="56"/>
      <c r="J674" s="56"/>
      <c r="K674" s="56"/>
      <c r="L674" s="56"/>
      <c r="M674" s="58"/>
      <c r="N674" s="58"/>
      <c r="O674" s="58"/>
      <c r="P674" s="58"/>
      <c r="Q674" s="58"/>
      <c r="R674" s="58"/>
      <c r="S674" s="58"/>
      <c r="T674" s="58"/>
      <c r="U674" s="58"/>
      <c r="V674" s="58"/>
      <c r="W674" s="58"/>
      <c r="X674" s="58"/>
      <c r="Y674" s="58"/>
      <c r="Z674" s="58"/>
      <c r="AA674" s="58"/>
      <c r="AB674" s="58"/>
      <c r="AC674" s="59"/>
      <c r="AD674" s="59"/>
    </row>
    <row r="675" spans="1:30" ht="12.75" customHeight="1" x14ac:dyDescent="0.2">
      <c r="A675" s="56"/>
      <c r="B675" s="56"/>
      <c r="C675" s="56"/>
      <c r="D675" s="57"/>
      <c r="E675" s="57"/>
      <c r="F675" s="56"/>
      <c r="G675" s="56"/>
      <c r="H675" s="56"/>
      <c r="I675" s="56"/>
      <c r="J675" s="56"/>
      <c r="K675" s="56"/>
      <c r="L675" s="56"/>
      <c r="M675" s="58"/>
      <c r="N675" s="58"/>
      <c r="O675" s="58"/>
      <c r="P675" s="58"/>
      <c r="Q675" s="58"/>
      <c r="R675" s="58"/>
      <c r="S675" s="58"/>
      <c r="T675" s="58"/>
      <c r="U675" s="58"/>
      <c r="V675" s="58"/>
      <c r="W675" s="58"/>
      <c r="X675" s="58"/>
      <c r="Y675" s="58"/>
      <c r="Z675" s="58"/>
      <c r="AA675" s="58"/>
      <c r="AB675" s="58"/>
      <c r="AC675" s="59"/>
      <c r="AD675" s="59"/>
    </row>
    <row r="676" spans="1:30" ht="12.75" customHeight="1" x14ac:dyDescent="0.2">
      <c r="A676" s="56"/>
      <c r="B676" s="56"/>
      <c r="C676" s="56"/>
      <c r="D676" s="57"/>
      <c r="E676" s="57"/>
      <c r="F676" s="56"/>
      <c r="G676" s="56"/>
      <c r="H676" s="56"/>
      <c r="I676" s="56"/>
      <c r="J676" s="56"/>
      <c r="K676" s="56"/>
      <c r="L676" s="56"/>
      <c r="M676" s="58"/>
      <c r="N676" s="58"/>
      <c r="O676" s="58"/>
      <c r="P676" s="58"/>
      <c r="Q676" s="58"/>
      <c r="R676" s="58"/>
      <c r="S676" s="58"/>
      <c r="T676" s="58"/>
      <c r="U676" s="58"/>
      <c r="V676" s="58"/>
      <c r="W676" s="58"/>
      <c r="X676" s="58"/>
      <c r="Y676" s="58"/>
      <c r="Z676" s="58"/>
      <c r="AA676" s="58"/>
      <c r="AB676" s="58"/>
      <c r="AC676" s="59"/>
      <c r="AD676" s="59"/>
    </row>
    <row r="677" spans="1:30" ht="12.75" customHeight="1" x14ac:dyDescent="0.2">
      <c r="A677" s="56"/>
      <c r="B677" s="56"/>
      <c r="C677" s="56"/>
      <c r="D677" s="57"/>
      <c r="E677" s="57"/>
      <c r="F677" s="56"/>
      <c r="G677" s="56"/>
      <c r="H677" s="56"/>
      <c r="I677" s="56"/>
      <c r="J677" s="56"/>
      <c r="K677" s="56"/>
      <c r="L677" s="56"/>
      <c r="M677" s="58"/>
      <c r="N677" s="58"/>
      <c r="O677" s="58"/>
      <c r="P677" s="58"/>
      <c r="Q677" s="58"/>
      <c r="R677" s="58"/>
      <c r="S677" s="58"/>
      <c r="T677" s="58"/>
      <c r="U677" s="58"/>
      <c r="V677" s="58"/>
      <c r="W677" s="58"/>
      <c r="X677" s="58"/>
      <c r="Y677" s="58"/>
      <c r="Z677" s="58"/>
      <c r="AA677" s="58"/>
      <c r="AB677" s="58"/>
      <c r="AC677" s="59"/>
      <c r="AD677" s="59"/>
    </row>
    <row r="678" spans="1:30" ht="12.75" customHeight="1" x14ac:dyDescent="0.2">
      <c r="A678" s="56"/>
      <c r="B678" s="56"/>
      <c r="C678" s="56"/>
      <c r="D678" s="57"/>
      <c r="E678" s="57"/>
      <c r="F678" s="56"/>
      <c r="G678" s="56"/>
      <c r="H678" s="56"/>
      <c r="I678" s="56"/>
      <c r="J678" s="56"/>
      <c r="K678" s="56"/>
      <c r="L678" s="56"/>
      <c r="M678" s="58"/>
      <c r="N678" s="58"/>
      <c r="O678" s="58"/>
      <c r="P678" s="58"/>
      <c r="Q678" s="58"/>
      <c r="R678" s="58"/>
      <c r="S678" s="58"/>
      <c r="T678" s="58"/>
      <c r="U678" s="58"/>
      <c r="V678" s="58"/>
      <c r="W678" s="58"/>
      <c r="X678" s="58"/>
      <c r="Y678" s="58"/>
      <c r="Z678" s="58"/>
      <c r="AA678" s="58"/>
      <c r="AB678" s="58"/>
      <c r="AC678" s="59"/>
      <c r="AD678" s="59"/>
    </row>
    <row r="679" spans="1:30" ht="12.75" customHeight="1" x14ac:dyDescent="0.2">
      <c r="A679" s="56"/>
      <c r="B679" s="56"/>
      <c r="C679" s="56"/>
      <c r="D679" s="57"/>
      <c r="E679" s="57"/>
      <c r="F679" s="56"/>
      <c r="G679" s="56"/>
      <c r="H679" s="56"/>
      <c r="I679" s="56"/>
      <c r="J679" s="56"/>
      <c r="K679" s="56"/>
      <c r="L679" s="56"/>
      <c r="M679" s="58"/>
      <c r="N679" s="58"/>
      <c r="O679" s="58"/>
      <c r="P679" s="58"/>
      <c r="Q679" s="58"/>
      <c r="R679" s="58"/>
      <c r="S679" s="58"/>
      <c r="T679" s="58"/>
      <c r="U679" s="58"/>
      <c r="V679" s="58"/>
      <c r="W679" s="58"/>
      <c r="X679" s="58"/>
      <c r="Y679" s="58"/>
      <c r="Z679" s="58"/>
      <c r="AA679" s="58"/>
      <c r="AB679" s="58"/>
      <c r="AC679" s="59"/>
      <c r="AD679" s="59"/>
    </row>
    <row r="680" spans="1:30" ht="12.75" customHeight="1" x14ac:dyDescent="0.2">
      <c r="A680" s="56"/>
      <c r="B680" s="56"/>
      <c r="C680" s="56"/>
      <c r="D680" s="57"/>
      <c r="E680" s="57"/>
      <c r="F680" s="56"/>
      <c r="G680" s="56"/>
      <c r="H680" s="56"/>
      <c r="I680" s="56"/>
      <c r="J680" s="56"/>
      <c r="K680" s="56"/>
      <c r="L680" s="56"/>
      <c r="M680" s="58"/>
      <c r="N680" s="58"/>
      <c r="O680" s="58"/>
      <c r="P680" s="58"/>
      <c r="Q680" s="58"/>
      <c r="R680" s="58"/>
      <c r="S680" s="58"/>
      <c r="T680" s="58"/>
      <c r="U680" s="58"/>
      <c r="V680" s="58"/>
      <c r="W680" s="58"/>
      <c r="X680" s="58"/>
      <c r="Y680" s="58"/>
      <c r="Z680" s="58"/>
      <c r="AA680" s="58"/>
      <c r="AB680" s="58"/>
      <c r="AC680" s="59"/>
      <c r="AD680" s="59"/>
    </row>
    <row r="681" spans="1:30" ht="12.75" customHeight="1" x14ac:dyDescent="0.2">
      <c r="A681" s="56"/>
      <c r="B681" s="56"/>
      <c r="C681" s="56"/>
      <c r="D681" s="57"/>
      <c r="E681" s="57"/>
      <c r="F681" s="56"/>
      <c r="G681" s="56"/>
      <c r="H681" s="56"/>
      <c r="I681" s="56"/>
      <c r="J681" s="56"/>
      <c r="K681" s="56"/>
      <c r="L681" s="56"/>
      <c r="M681" s="58"/>
      <c r="N681" s="58"/>
      <c r="O681" s="58"/>
      <c r="P681" s="58"/>
      <c r="Q681" s="58"/>
      <c r="R681" s="58"/>
      <c r="S681" s="58"/>
      <c r="T681" s="58"/>
      <c r="U681" s="58"/>
      <c r="V681" s="58"/>
      <c r="W681" s="58"/>
      <c r="X681" s="58"/>
      <c r="Y681" s="58"/>
      <c r="Z681" s="58"/>
      <c r="AA681" s="58"/>
      <c r="AB681" s="58"/>
      <c r="AC681" s="59"/>
      <c r="AD681" s="59"/>
    </row>
    <row r="682" spans="1:30" ht="12.75" customHeight="1" x14ac:dyDescent="0.2">
      <c r="A682" s="56"/>
      <c r="B682" s="56"/>
      <c r="C682" s="56"/>
      <c r="D682" s="57"/>
      <c r="E682" s="57"/>
      <c r="F682" s="56"/>
      <c r="G682" s="56"/>
      <c r="H682" s="56"/>
      <c r="I682" s="56"/>
      <c r="J682" s="56"/>
      <c r="K682" s="56"/>
      <c r="L682" s="56"/>
      <c r="M682" s="58"/>
      <c r="N682" s="58"/>
      <c r="O682" s="58"/>
      <c r="P682" s="58"/>
      <c r="Q682" s="58"/>
      <c r="R682" s="58"/>
      <c r="S682" s="58"/>
      <c r="T682" s="58"/>
      <c r="U682" s="58"/>
      <c r="V682" s="58"/>
      <c r="W682" s="58"/>
      <c r="X682" s="58"/>
      <c r="Y682" s="58"/>
      <c r="Z682" s="58"/>
      <c r="AA682" s="58"/>
      <c r="AB682" s="58"/>
      <c r="AC682" s="59"/>
      <c r="AD682" s="59"/>
    </row>
    <row r="683" spans="1:30" ht="12.75" customHeight="1" x14ac:dyDescent="0.2">
      <c r="A683" s="56"/>
      <c r="B683" s="56"/>
      <c r="C683" s="56"/>
      <c r="D683" s="57"/>
      <c r="E683" s="57"/>
      <c r="F683" s="56"/>
      <c r="G683" s="56"/>
      <c r="H683" s="56"/>
      <c r="I683" s="56"/>
      <c r="J683" s="56"/>
      <c r="K683" s="56"/>
      <c r="L683" s="56"/>
      <c r="M683" s="58"/>
      <c r="N683" s="58"/>
      <c r="O683" s="58"/>
      <c r="P683" s="58"/>
      <c r="Q683" s="58"/>
      <c r="R683" s="58"/>
      <c r="S683" s="58"/>
      <c r="T683" s="58"/>
      <c r="U683" s="58"/>
      <c r="V683" s="58"/>
      <c r="W683" s="58"/>
      <c r="X683" s="58"/>
      <c r="Y683" s="58"/>
      <c r="Z683" s="58"/>
      <c r="AA683" s="58"/>
      <c r="AB683" s="58"/>
      <c r="AC683" s="59"/>
      <c r="AD683" s="59"/>
    </row>
    <row r="684" spans="1:30" ht="12.75" customHeight="1" x14ac:dyDescent="0.2">
      <c r="A684" s="56"/>
      <c r="B684" s="56"/>
      <c r="C684" s="56"/>
      <c r="D684" s="57"/>
      <c r="E684" s="57"/>
      <c r="F684" s="56"/>
      <c r="G684" s="56"/>
      <c r="H684" s="56"/>
      <c r="I684" s="56"/>
      <c r="J684" s="56"/>
      <c r="K684" s="56"/>
      <c r="L684" s="56"/>
      <c r="M684" s="58"/>
      <c r="N684" s="58"/>
      <c r="O684" s="58"/>
      <c r="P684" s="58"/>
      <c r="Q684" s="58"/>
      <c r="R684" s="58"/>
      <c r="S684" s="58"/>
      <c r="T684" s="58"/>
      <c r="U684" s="58"/>
      <c r="V684" s="58"/>
      <c r="W684" s="58"/>
      <c r="X684" s="58"/>
      <c r="Y684" s="58"/>
      <c r="Z684" s="58"/>
      <c r="AA684" s="58"/>
      <c r="AB684" s="58"/>
      <c r="AC684" s="59"/>
      <c r="AD684" s="59"/>
    </row>
    <row r="685" spans="1:30" ht="12.75" customHeight="1" x14ac:dyDescent="0.2">
      <c r="A685" s="56"/>
      <c r="B685" s="56"/>
      <c r="C685" s="56"/>
      <c r="D685" s="57"/>
      <c r="E685" s="57"/>
      <c r="F685" s="56"/>
      <c r="G685" s="56"/>
      <c r="H685" s="56"/>
      <c r="I685" s="56"/>
      <c r="J685" s="56"/>
      <c r="K685" s="56"/>
      <c r="L685" s="56"/>
      <c r="M685" s="58"/>
      <c r="N685" s="58"/>
      <c r="O685" s="58"/>
      <c r="P685" s="58"/>
      <c r="Q685" s="58"/>
      <c r="R685" s="58"/>
      <c r="S685" s="58"/>
      <c r="T685" s="58"/>
      <c r="U685" s="58"/>
      <c r="V685" s="58"/>
      <c r="W685" s="58"/>
      <c r="X685" s="58"/>
      <c r="Y685" s="58"/>
      <c r="Z685" s="58"/>
      <c r="AA685" s="58"/>
      <c r="AB685" s="58"/>
      <c r="AC685" s="59"/>
      <c r="AD685" s="59"/>
    </row>
    <row r="686" spans="1:30" ht="12.75" customHeight="1" x14ac:dyDescent="0.2">
      <c r="A686" s="56"/>
      <c r="B686" s="56"/>
      <c r="C686" s="56"/>
      <c r="D686" s="57"/>
      <c r="E686" s="57"/>
      <c r="F686" s="56"/>
      <c r="G686" s="56"/>
      <c r="H686" s="56"/>
      <c r="I686" s="56"/>
      <c r="J686" s="56"/>
      <c r="K686" s="56"/>
      <c r="L686" s="56"/>
      <c r="M686" s="58"/>
      <c r="N686" s="58"/>
      <c r="O686" s="58"/>
      <c r="P686" s="58"/>
      <c r="Q686" s="58"/>
      <c r="R686" s="58"/>
      <c r="S686" s="58"/>
      <c r="T686" s="58"/>
      <c r="U686" s="58"/>
      <c r="V686" s="58"/>
      <c r="W686" s="58"/>
      <c r="X686" s="58"/>
      <c r="Y686" s="58"/>
      <c r="Z686" s="58"/>
      <c r="AA686" s="58"/>
      <c r="AB686" s="58"/>
      <c r="AC686" s="59"/>
      <c r="AD686" s="59"/>
    </row>
    <row r="687" spans="1:30" ht="12.75" customHeight="1" x14ac:dyDescent="0.2">
      <c r="A687" s="56"/>
      <c r="B687" s="56"/>
      <c r="C687" s="56"/>
      <c r="D687" s="57"/>
      <c r="E687" s="57"/>
      <c r="F687" s="56"/>
      <c r="G687" s="56"/>
      <c r="H687" s="56"/>
      <c r="I687" s="56"/>
      <c r="J687" s="56"/>
      <c r="K687" s="56"/>
      <c r="L687" s="56"/>
      <c r="M687" s="58"/>
      <c r="N687" s="58"/>
      <c r="O687" s="58"/>
      <c r="P687" s="58"/>
      <c r="Q687" s="58"/>
      <c r="R687" s="58"/>
      <c r="S687" s="58"/>
      <c r="T687" s="58"/>
      <c r="U687" s="58"/>
      <c r="V687" s="58"/>
      <c r="W687" s="58"/>
      <c r="X687" s="58"/>
      <c r="Y687" s="58"/>
      <c r="Z687" s="58"/>
      <c r="AA687" s="58"/>
      <c r="AB687" s="58"/>
      <c r="AC687" s="59"/>
      <c r="AD687" s="59"/>
    </row>
    <row r="688" spans="1:30" ht="12.75" customHeight="1" x14ac:dyDescent="0.2">
      <c r="A688" s="56"/>
      <c r="B688" s="56"/>
      <c r="C688" s="56"/>
      <c r="D688" s="57"/>
      <c r="E688" s="57"/>
      <c r="F688" s="56"/>
      <c r="G688" s="56"/>
      <c r="H688" s="56"/>
      <c r="I688" s="56"/>
      <c r="J688" s="56"/>
      <c r="K688" s="56"/>
      <c r="L688" s="56"/>
      <c r="M688" s="58"/>
      <c r="N688" s="58"/>
      <c r="O688" s="58"/>
      <c r="P688" s="58"/>
      <c r="Q688" s="58"/>
      <c r="R688" s="58"/>
      <c r="S688" s="58"/>
      <c r="T688" s="58"/>
      <c r="U688" s="58"/>
      <c r="V688" s="58"/>
      <c r="W688" s="58"/>
      <c r="X688" s="58"/>
      <c r="Y688" s="58"/>
      <c r="Z688" s="58"/>
      <c r="AA688" s="58"/>
      <c r="AB688" s="58"/>
      <c r="AC688" s="59"/>
      <c r="AD688" s="59"/>
    </row>
    <row r="689" spans="1:30" ht="12.75" customHeight="1" x14ac:dyDescent="0.2">
      <c r="A689" s="56"/>
      <c r="B689" s="56"/>
      <c r="C689" s="56"/>
      <c r="D689" s="57"/>
      <c r="E689" s="57"/>
      <c r="F689" s="56"/>
      <c r="G689" s="56"/>
      <c r="H689" s="56"/>
      <c r="I689" s="56"/>
      <c r="J689" s="56"/>
      <c r="K689" s="56"/>
      <c r="L689" s="56"/>
      <c r="M689" s="58"/>
      <c r="N689" s="58"/>
      <c r="O689" s="58"/>
      <c r="P689" s="58"/>
      <c r="Q689" s="58"/>
      <c r="R689" s="58"/>
      <c r="S689" s="58"/>
      <c r="T689" s="58"/>
      <c r="U689" s="58"/>
      <c r="V689" s="58"/>
      <c r="W689" s="58"/>
      <c r="X689" s="58"/>
      <c r="Y689" s="58"/>
      <c r="Z689" s="58"/>
      <c r="AA689" s="58"/>
      <c r="AB689" s="58"/>
      <c r="AC689" s="59"/>
      <c r="AD689" s="59"/>
    </row>
    <row r="690" spans="1:30" ht="12.75" customHeight="1" x14ac:dyDescent="0.2">
      <c r="A690" s="56"/>
      <c r="B690" s="56"/>
      <c r="C690" s="56"/>
      <c r="D690" s="57"/>
      <c r="E690" s="57"/>
      <c r="F690" s="56"/>
      <c r="G690" s="56"/>
      <c r="H690" s="56"/>
      <c r="I690" s="56"/>
      <c r="J690" s="56"/>
      <c r="K690" s="56"/>
      <c r="L690" s="56"/>
      <c r="M690" s="58"/>
      <c r="N690" s="58"/>
      <c r="O690" s="58"/>
      <c r="P690" s="58"/>
      <c r="Q690" s="58"/>
      <c r="R690" s="58"/>
      <c r="S690" s="58"/>
      <c r="T690" s="58"/>
      <c r="U690" s="58"/>
      <c r="V690" s="58"/>
      <c r="W690" s="58"/>
      <c r="X690" s="58"/>
      <c r="Y690" s="58"/>
      <c r="Z690" s="58"/>
      <c r="AA690" s="58"/>
      <c r="AB690" s="58"/>
      <c r="AC690" s="59"/>
      <c r="AD690" s="59"/>
    </row>
    <row r="691" spans="1:30" ht="12.75" customHeight="1" x14ac:dyDescent="0.2">
      <c r="A691" s="56"/>
      <c r="B691" s="56"/>
      <c r="C691" s="56"/>
      <c r="D691" s="57"/>
      <c r="E691" s="57"/>
      <c r="F691" s="56"/>
      <c r="G691" s="56"/>
      <c r="H691" s="56"/>
      <c r="I691" s="56"/>
      <c r="J691" s="56"/>
      <c r="K691" s="56"/>
      <c r="L691" s="56"/>
      <c r="M691" s="58"/>
      <c r="N691" s="58"/>
      <c r="O691" s="58"/>
      <c r="P691" s="58"/>
      <c r="Q691" s="58"/>
      <c r="R691" s="58"/>
      <c r="S691" s="58"/>
      <c r="T691" s="58"/>
      <c r="U691" s="58"/>
      <c r="V691" s="58"/>
      <c r="W691" s="58"/>
      <c r="X691" s="58"/>
      <c r="Y691" s="58"/>
      <c r="Z691" s="58"/>
      <c r="AA691" s="58"/>
      <c r="AB691" s="58"/>
      <c r="AC691" s="59"/>
      <c r="AD691" s="59"/>
    </row>
    <row r="692" spans="1:30" ht="12.75" customHeight="1" x14ac:dyDescent="0.2">
      <c r="A692" s="56"/>
      <c r="B692" s="56"/>
      <c r="C692" s="56"/>
      <c r="D692" s="57"/>
      <c r="E692" s="57"/>
      <c r="F692" s="56"/>
      <c r="G692" s="56"/>
      <c r="H692" s="56"/>
      <c r="I692" s="56"/>
      <c r="J692" s="56"/>
      <c r="K692" s="56"/>
      <c r="L692" s="56"/>
      <c r="M692" s="58"/>
      <c r="N692" s="58"/>
      <c r="O692" s="58"/>
      <c r="P692" s="58"/>
      <c r="Q692" s="58"/>
      <c r="R692" s="58"/>
      <c r="S692" s="58"/>
      <c r="T692" s="58"/>
      <c r="U692" s="58"/>
      <c r="V692" s="58"/>
      <c r="W692" s="58"/>
      <c r="X692" s="58"/>
      <c r="Y692" s="58"/>
      <c r="Z692" s="58"/>
      <c r="AA692" s="58"/>
      <c r="AB692" s="58"/>
      <c r="AC692" s="59"/>
      <c r="AD692" s="59"/>
    </row>
    <row r="693" spans="1:30" ht="12.75" customHeight="1" x14ac:dyDescent="0.2">
      <c r="A693" s="56"/>
      <c r="B693" s="56"/>
      <c r="C693" s="56"/>
      <c r="D693" s="57"/>
      <c r="E693" s="57"/>
      <c r="F693" s="56"/>
      <c r="G693" s="56"/>
      <c r="H693" s="56"/>
      <c r="I693" s="56"/>
      <c r="J693" s="56"/>
      <c r="K693" s="56"/>
      <c r="L693" s="56"/>
      <c r="M693" s="58"/>
      <c r="N693" s="58"/>
      <c r="O693" s="58"/>
      <c r="P693" s="58"/>
      <c r="Q693" s="58"/>
      <c r="R693" s="58"/>
      <c r="S693" s="58"/>
      <c r="T693" s="58"/>
      <c r="U693" s="58"/>
      <c r="V693" s="58"/>
      <c r="W693" s="58"/>
      <c r="X693" s="58"/>
      <c r="Y693" s="58"/>
      <c r="Z693" s="58"/>
      <c r="AA693" s="58"/>
      <c r="AB693" s="58"/>
      <c r="AC693" s="59"/>
      <c r="AD693" s="59"/>
    </row>
    <row r="694" spans="1:30" ht="12.75" customHeight="1" x14ac:dyDescent="0.2">
      <c r="A694" s="56"/>
      <c r="B694" s="56"/>
      <c r="C694" s="56"/>
      <c r="D694" s="57"/>
      <c r="E694" s="57"/>
      <c r="F694" s="56"/>
      <c r="G694" s="56"/>
      <c r="H694" s="56"/>
      <c r="I694" s="56"/>
      <c r="J694" s="56"/>
      <c r="K694" s="56"/>
      <c r="L694" s="56"/>
      <c r="M694" s="58"/>
      <c r="N694" s="58"/>
      <c r="O694" s="58"/>
      <c r="P694" s="58"/>
      <c r="Q694" s="58"/>
      <c r="R694" s="58"/>
      <c r="S694" s="58"/>
      <c r="T694" s="58"/>
      <c r="U694" s="58"/>
      <c r="V694" s="58"/>
      <c r="W694" s="58"/>
      <c r="X694" s="58"/>
      <c r="Y694" s="58"/>
      <c r="Z694" s="58"/>
      <c r="AA694" s="58"/>
      <c r="AB694" s="58"/>
      <c r="AC694" s="59"/>
      <c r="AD694" s="59"/>
    </row>
    <row r="695" spans="1:30" ht="12.75" customHeight="1" x14ac:dyDescent="0.2">
      <c r="A695" s="56"/>
      <c r="B695" s="56"/>
      <c r="C695" s="56"/>
      <c r="D695" s="57"/>
      <c r="E695" s="57"/>
      <c r="F695" s="56"/>
      <c r="G695" s="56"/>
      <c r="H695" s="56"/>
      <c r="I695" s="56"/>
      <c r="J695" s="56"/>
      <c r="K695" s="56"/>
      <c r="L695" s="56"/>
      <c r="M695" s="58"/>
      <c r="N695" s="58"/>
      <c r="O695" s="58"/>
      <c r="P695" s="58"/>
      <c r="Q695" s="58"/>
      <c r="R695" s="58"/>
      <c r="S695" s="58"/>
      <c r="T695" s="58"/>
      <c r="U695" s="58"/>
      <c r="V695" s="58"/>
      <c r="W695" s="58"/>
      <c r="X695" s="58"/>
      <c r="Y695" s="58"/>
      <c r="Z695" s="58"/>
      <c r="AA695" s="58"/>
      <c r="AB695" s="58"/>
      <c r="AC695" s="59"/>
      <c r="AD695" s="59"/>
    </row>
    <row r="696" spans="1:30" ht="12.75" customHeight="1" x14ac:dyDescent="0.2">
      <c r="A696" s="56"/>
      <c r="B696" s="56"/>
      <c r="C696" s="56"/>
      <c r="D696" s="57"/>
      <c r="E696" s="57"/>
      <c r="F696" s="56"/>
      <c r="G696" s="56"/>
      <c r="H696" s="56"/>
      <c r="I696" s="56"/>
      <c r="J696" s="56"/>
      <c r="K696" s="56"/>
      <c r="L696" s="56"/>
      <c r="M696" s="58"/>
      <c r="N696" s="58"/>
      <c r="O696" s="58"/>
      <c r="P696" s="58"/>
      <c r="Q696" s="58"/>
      <c r="R696" s="58"/>
      <c r="S696" s="58"/>
      <c r="T696" s="58"/>
      <c r="U696" s="58"/>
      <c r="V696" s="58"/>
      <c r="W696" s="58"/>
      <c r="X696" s="58"/>
      <c r="Y696" s="58"/>
      <c r="Z696" s="58"/>
      <c r="AA696" s="58"/>
      <c r="AB696" s="58"/>
      <c r="AC696" s="59"/>
      <c r="AD696" s="59"/>
    </row>
    <row r="697" spans="1:30" ht="12.75" customHeight="1" x14ac:dyDescent="0.2">
      <c r="A697" s="56"/>
      <c r="B697" s="56"/>
      <c r="C697" s="56"/>
      <c r="D697" s="57"/>
      <c r="E697" s="57"/>
      <c r="F697" s="56"/>
      <c r="G697" s="56"/>
      <c r="H697" s="56"/>
      <c r="I697" s="56"/>
      <c r="J697" s="56"/>
      <c r="K697" s="56"/>
      <c r="L697" s="56"/>
      <c r="M697" s="58"/>
      <c r="N697" s="58"/>
      <c r="O697" s="58"/>
      <c r="P697" s="58"/>
      <c r="Q697" s="58"/>
      <c r="R697" s="58"/>
      <c r="S697" s="58"/>
      <c r="T697" s="58"/>
      <c r="U697" s="58"/>
      <c r="V697" s="58"/>
      <c r="W697" s="58"/>
      <c r="X697" s="58"/>
      <c r="Y697" s="58"/>
      <c r="Z697" s="58"/>
      <c r="AA697" s="58"/>
      <c r="AB697" s="58"/>
      <c r="AC697" s="59"/>
      <c r="AD697" s="59"/>
    </row>
    <row r="698" spans="1:30" ht="12.75" customHeight="1" x14ac:dyDescent="0.2">
      <c r="A698" s="56"/>
      <c r="B698" s="56"/>
      <c r="C698" s="56"/>
      <c r="D698" s="57"/>
      <c r="E698" s="57"/>
      <c r="F698" s="56"/>
      <c r="G698" s="56"/>
      <c r="H698" s="56"/>
      <c r="I698" s="56"/>
      <c r="J698" s="56"/>
      <c r="K698" s="56"/>
      <c r="L698" s="56"/>
      <c r="M698" s="58"/>
      <c r="N698" s="58"/>
      <c r="O698" s="58"/>
      <c r="P698" s="58"/>
      <c r="Q698" s="58"/>
      <c r="R698" s="58"/>
      <c r="S698" s="58"/>
      <c r="T698" s="58"/>
      <c r="U698" s="58"/>
      <c r="V698" s="58"/>
      <c r="W698" s="58"/>
      <c r="X698" s="58"/>
      <c r="Y698" s="58"/>
      <c r="Z698" s="58"/>
      <c r="AA698" s="58"/>
      <c r="AB698" s="58"/>
      <c r="AC698" s="59"/>
      <c r="AD698" s="59"/>
    </row>
    <row r="699" spans="1:30" ht="12.75" customHeight="1" x14ac:dyDescent="0.2">
      <c r="A699" s="56"/>
      <c r="B699" s="56"/>
      <c r="C699" s="56"/>
      <c r="D699" s="57"/>
      <c r="E699" s="57"/>
      <c r="F699" s="56"/>
      <c r="G699" s="56"/>
      <c r="H699" s="56"/>
      <c r="I699" s="56"/>
      <c r="J699" s="56"/>
      <c r="K699" s="56"/>
      <c r="L699" s="56"/>
      <c r="M699" s="58"/>
      <c r="N699" s="58"/>
      <c r="O699" s="58"/>
      <c r="P699" s="58"/>
      <c r="Q699" s="58"/>
      <c r="R699" s="58"/>
      <c r="S699" s="58"/>
      <c r="T699" s="58"/>
      <c r="U699" s="58"/>
      <c r="V699" s="58"/>
      <c r="W699" s="58"/>
      <c r="X699" s="58"/>
      <c r="Y699" s="58"/>
      <c r="Z699" s="58"/>
      <c r="AA699" s="58"/>
      <c r="AB699" s="58"/>
      <c r="AC699" s="59"/>
      <c r="AD699" s="59"/>
    </row>
    <row r="700" spans="1:30" ht="12.75" customHeight="1" x14ac:dyDescent="0.2">
      <c r="A700" s="56"/>
      <c r="B700" s="56"/>
      <c r="C700" s="56"/>
      <c r="D700" s="57"/>
      <c r="E700" s="57"/>
      <c r="F700" s="56"/>
      <c r="G700" s="56"/>
      <c r="H700" s="56"/>
      <c r="I700" s="56"/>
      <c r="J700" s="56"/>
      <c r="K700" s="56"/>
      <c r="L700" s="56"/>
      <c r="M700" s="58"/>
      <c r="N700" s="58"/>
      <c r="O700" s="58"/>
      <c r="P700" s="58"/>
      <c r="Q700" s="58"/>
      <c r="R700" s="58"/>
      <c r="S700" s="58"/>
      <c r="T700" s="58"/>
      <c r="U700" s="58"/>
      <c r="V700" s="58"/>
      <c r="W700" s="58"/>
      <c r="X700" s="58"/>
      <c r="Y700" s="58"/>
      <c r="Z700" s="58"/>
      <c r="AA700" s="58"/>
      <c r="AB700" s="58"/>
      <c r="AC700" s="59"/>
      <c r="AD700" s="59"/>
    </row>
    <row r="701" spans="1:30" ht="12.75" customHeight="1" x14ac:dyDescent="0.2">
      <c r="A701" s="56"/>
      <c r="B701" s="56"/>
      <c r="C701" s="56"/>
      <c r="D701" s="57"/>
      <c r="E701" s="57"/>
      <c r="F701" s="56"/>
      <c r="G701" s="56"/>
      <c r="H701" s="56"/>
      <c r="I701" s="56"/>
      <c r="J701" s="56"/>
      <c r="K701" s="56"/>
      <c r="L701" s="56"/>
      <c r="M701" s="58"/>
      <c r="N701" s="58"/>
      <c r="O701" s="58"/>
      <c r="P701" s="58"/>
      <c r="Q701" s="58"/>
      <c r="R701" s="58"/>
      <c r="S701" s="58"/>
      <c r="T701" s="58"/>
      <c r="U701" s="58"/>
      <c r="V701" s="58"/>
      <c r="W701" s="58"/>
      <c r="X701" s="58"/>
      <c r="Y701" s="58"/>
      <c r="Z701" s="58"/>
      <c r="AA701" s="58"/>
      <c r="AB701" s="58"/>
      <c r="AC701" s="59"/>
      <c r="AD701" s="59"/>
    </row>
    <row r="702" spans="1:30" ht="12.75" customHeight="1" x14ac:dyDescent="0.2">
      <c r="A702" s="56"/>
      <c r="B702" s="56"/>
      <c r="C702" s="56"/>
      <c r="D702" s="57"/>
      <c r="E702" s="57"/>
      <c r="F702" s="56"/>
      <c r="G702" s="56"/>
      <c r="H702" s="56"/>
      <c r="I702" s="56"/>
      <c r="J702" s="56"/>
      <c r="K702" s="56"/>
      <c r="L702" s="56"/>
      <c r="M702" s="58"/>
      <c r="N702" s="58"/>
      <c r="O702" s="58"/>
      <c r="P702" s="58"/>
      <c r="Q702" s="58"/>
      <c r="R702" s="58"/>
      <c r="S702" s="58"/>
      <c r="T702" s="58"/>
      <c r="U702" s="58"/>
      <c r="V702" s="58"/>
      <c r="W702" s="58"/>
      <c r="X702" s="58"/>
      <c r="Y702" s="58"/>
      <c r="Z702" s="58"/>
      <c r="AA702" s="58"/>
      <c r="AB702" s="58"/>
      <c r="AC702" s="59"/>
      <c r="AD702" s="59"/>
    </row>
    <row r="703" spans="1:30" ht="12.75" customHeight="1" x14ac:dyDescent="0.2">
      <c r="A703" s="56"/>
      <c r="B703" s="56"/>
      <c r="C703" s="56"/>
      <c r="D703" s="57"/>
      <c r="E703" s="57"/>
      <c r="F703" s="56"/>
      <c r="G703" s="56"/>
      <c r="H703" s="56"/>
      <c r="I703" s="56"/>
      <c r="J703" s="56"/>
      <c r="K703" s="56"/>
      <c r="L703" s="56"/>
      <c r="M703" s="58"/>
      <c r="N703" s="58"/>
      <c r="O703" s="58"/>
      <c r="P703" s="58"/>
      <c r="Q703" s="58"/>
      <c r="R703" s="58"/>
      <c r="S703" s="58"/>
      <c r="T703" s="58"/>
      <c r="U703" s="58"/>
      <c r="V703" s="58"/>
      <c r="W703" s="58"/>
      <c r="X703" s="58"/>
      <c r="Y703" s="58"/>
      <c r="Z703" s="58"/>
      <c r="AA703" s="58"/>
      <c r="AB703" s="58"/>
      <c r="AC703" s="59"/>
      <c r="AD703" s="59"/>
    </row>
    <row r="704" spans="1:30" ht="12.75" customHeight="1" x14ac:dyDescent="0.2">
      <c r="A704" s="56"/>
      <c r="B704" s="56"/>
      <c r="C704" s="56"/>
      <c r="D704" s="57"/>
      <c r="E704" s="57"/>
      <c r="F704" s="56"/>
      <c r="G704" s="56"/>
      <c r="H704" s="56"/>
      <c r="I704" s="56"/>
      <c r="J704" s="56"/>
      <c r="K704" s="56"/>
      <c r="L704" s="56"/>
      <c r="M704" s="58"/>
      <c r="N704" s="58"/>
      <c r="O704" s="58"/>
      <c r="P704" s="58"/>
      <c r="Q704" s="58"/>
      <c r="R704" s="58"/>
      <c r="S704" s="58"/>
      <c r="T704" s="58"/>
      <c r="U704" s="58"/>
      <c r="V704" s="58"/>
      <c r="W704" s="58"/>
      <c r="X704" s="58"/>
      <c r="Y704" s="58"/>
      <c r="Z704" s="58"/>
      <c r="AA704" s="58"/>
      <c r="AB704" s="58"/>
      <c r="AC704" s="59"/>
      <c r="AD704" s="59"/>
    </row>
    <row r="705" spans="1:30" ht="12.75" customHeight="1" x14ac:dyDescent="0.2">
      <c r="A705" s="56"/>
      <c r="B705" s="56"/>
      <c r="C705" s="56"/>
      <c r="D705" s="57"/>
      <c r="E705" s="57"/>
      <c r="F705" s="56"/>
      <c r="G705" s="56"/>
      <c r="H705" s="56"/>
      <c r="I705" s="56"/>
      <c r="J705" s="56"/>
      <c r="K705" s="56"/>
      <c r="L705" s="56"/>
      <c r="M705" s="58"/>
      <c r="N705" s="58"/>
      <c r="O705" s="58"/>
      <c r="P705" s="58"/>
      <c r="Q705" s="58"/>
      <c r="R705" s="58"/>
      <c r="S705" s="58"/>
      <c r="T705" s="58"/>
      <c r="U705" s="58"/>
      <c r="V705" s="58"/>
      <c r="W705" s="58"/>
      <c r="X705" s="58"/>
      <c r="Y705" s="58"/>
      <c r="Z705" s="58"/>
      <c r="AA705" s="58"/>
      <c r="AB705" s="58"/>
      <c r="AC705" s="59"/>
      <c r="AD705" s="59"/>
    </row>
    <row r="706" spans="1:30" ht="12.75" customHeight="1" x14ac:dyDescent="0.2">
      <c r="A706" s="56"/>
      <c r="B706" s="56"/>
      <c r="C706" s="56"/>
      <c r="D706" s="57"/>
      <c r="E706" s="57"/>
      <c r="F706" s="56"/>
      <c r="G706" s="56"/>
      <c r="H706" s="56"/>
      <c r="I706" s="56"/>
      <c r="J706" s="56"/>
      <c r="K706" s="56"/>
      <c r="L706" s="56"/>
      <c r="M706" s="58"/>
      <c r="N706" s="58"/>
      <c r="O706" s="58"/>
      <c r="P706" s="58"/>
      <c r="Q706" s="58"/>
      <c r="R706" s="58"/>
      <c r="S706" s="58"/>
      <c r="T706" s="58"/>
      <c r="U706" s="58"/>
      <c r="V706" s="58"/>
      <c r="W706" s="58"/>
      <c r="X706" s="58"/>
      <c r="Y706" s="58"/>
      <c r="Z706" s="58"/>
      <c r="AA706" s="58"/>
      <c r="AB706" s="58"/>
      <c r="AC706" s="59"/>
      <c r="AD706" s="59"/>
    </row>
    <row r="707" spans="1:30" ht="12.75" customHeight="1" x14ac:dyDescent="0.2">
      <c r="A707" s="56"/>
      <c r="B707" s="56"/>
      <c r="C707" s="56"/>
      <c r="D707" s="57"/>
      <c r="E707" s="57"/>
      <c r="F707" s="56"/>
      <c r="G707" s="56"/>
      <c r="H707" s="56"/>
      <c r="I707" s="56"/>
      <c r="J707" s="56"/>
      <c r="K707" s="56"/>
      <c r="L707" s="56"/>
      <c r="M707" s="58"/>
      <c r="N707" s="58"/>
      <c r="O707" s="58"/>
      <c r="P707" s="58"/>
      <c r="Q707" s="58"/>
      <c r="R707" s="58"/>
      <c r="S707" s="58"/>
      <c r="T707" s="58"/>
      <c r="U707" s="58"/>
      <c r="V707" s="58"/>
      <c r="W707" s="58"/>
      <c r="X707" s="58"/>
      <c r="Y707" s="58"/>
      <c r="Z707" s="58"/>
      <c r="AA707" s="58"/>
      <c r="AB707" s="58"/>
      <c r="AC707" s="59"/>
      <c r="AD707" s="59"/>
    </row>
    <row r="708" spans="1:30" ht="12.75" customHeight="1" x14ac:dyDescent="0.2">
      <c r="A708" s="56"/>
      <c r="B708" s="56"/>
      <c r="C708" s="56"/>
      <c r="D708" s="57"/>
      <c r="E708" s="57"/>
      <c r="F708" s="56"/>
      <c r="G708" s="56"/>
      <c r="H708" s="56"/>
      <c r="I708" s="56"/>
      <c r="J708" s="56"/>
      <c r="K708" s="56"/>
      <c r="L708" s="56"/>
      <c r="M708" s="58"/>
      <c r="N708" s="58"/>
      <c r="O708" s="58"/>
      <c r="P708" s="58"/>
      <c r="Q708" s="58"/>
      <c r="R708" s="58"/>
      <c r="S708" s="58"/>
      <c r="T708" s="58"/>
      <c r="U708" s="58"/>
      <c r="V708" s="58"/>
      <c r="W708" s="58"/>
      <c r="X708" s="58"/>
      <c r="Y708" s="58"/>
      <c r="Z708" s="58"/>
      <c r="AA708" s="58"/>
      <c r="AB708" s="58"/>
      <c r="AC708" s="59"/>
      <c r="AD708" s="59"/>
    </row>
    <row r="709" spans="1:30" ht="12.75" customHeight="1" x14ac:dyDescent="0.2">
      <c r="A709" s="56"/>
      <c r="B709" s="56"/>
      <c r="C709" s="56"/>
      <c r="D709" s="57"/>
      <c r="E709" s="57"/>
      <c r="F709" s="56"/>
      <c r="G709" s="56"/>
      <c r="H709" s="56"/>
      <c r="I709" s="56"/>
      <c r="J709" s="56"/>
      <c r="K709" s="56"/>
      <c r="L709" s="56"/>
      <c r="M709" s="58"/>
      <c r="N709" s="58"/>
      <c r="O709" s="58"/>
      <c r="P709" s="58"/>
      <c r="Q709" s="58"/>
      <c r="R709" s="58"/>
      <c r="S709" s="58"/>
      <c r="T709" s="58"/>
      <c r="U709" s="58"/>
      <c r="V709" s="58"/>
      <c r="W709" s="58"/>
      <c r="X709" s="58"/>
      <c r="Y709" s="58"/>
      <c r="Z709" s="58"/>
      <c r="AA709" s="58"/>
      <c r="AB709" s="58"/>
      <c r="AC709" s="59"/>
      <c r="AD709" s="59"/>
    </row>
    <row r="710" spans="1:30" ht="12.75" customHeight="1" x14ac:dyDescent="0.2">
      <c r="A710" s="56"/>
      <c r="B710" s="56"/>
      <c r="C710" s="56"/>
      <c r="D710" s="57"/>
      <c r="E710" s="57"/>
      <c r="F710" s="56"/>
      <c r="G710" s="56"/>
      <c r="H710" s="56"/>
      <c r="I710" s="56"/>
      <c r="J710" s="56"/>
      <c r="K710" s="56"/>
      <c r="L710" s="56"/>
      <c r="M710" s="58"/>
      <c r="N710" s="58"/>
      <c r="O710" s="58"/>
      <c r="P710" s="58"/>
      <c r="Q710" s="58"/>
      <c r="R710" s="58"/>
      <c r="S710" s="58"/>
      <c r="T710" s="58"/>
      <c r="U710" s="58"/>
      <c r="V710" s="58"/>
      <c r="W710" s="58"/>
      <c r="X710" s="58"/>
      <c r="Y710" s="58"/>
      <c r="Z710" s="58"/>
      <c r="AA710" s="58"/>
      <c r="AB710" s="58"/>
      <c r="AC710" s="59"/>
      <c r="AD710" s="59"/>
    </row>
    <row r="711" spans="1:30" ht="12.75" customHeight="1" x14ac:dyDescent="0.2">
      <c r="A711" s="56"/>
      <c r="B711" s="56"/>
      <c r="C711" s="56"/>
      <c r="D711" s="57"/>
      <c r="E711" s="57"/>
      <c r="F711" s="56"/>
      <c r="G711" s="56"/>
      <c r="H711" s="56"/>
      <c r="I711" s="56"/>
      <c r="J711" s="56"/>
      <c r="K711" s="56"/>
      <c r="L711" s="56"/>
      <c r="M711" s="58"/>
      <c r="N711" s="58"/>
      <c r="O711" s="58"/>
      <c r="P711" s="58"/>
      <c r="Q711" s="58"/>
      <c r="R711" s="58"/>
      <c r="S711" s="58"/>
      <c r="T711" s="58"/>
      <c r="U711" s="58"/>
      <c r="V711" s="58"/>
      <c r="W711" s="58"/>
      <c r="X711" s="58"/>
      <c r="Y711" s="58"/>
      <c r="Z711" s="58"/>
      <c r="AA711" s="58"/>
      <c r="AB711" s="58"/>
      <c r="AC711" s="59"/>
      <c r="AD711" s="59"/>
    </row>
    <row r="712" spans="1:30" ht="12.75" customHeight="1" x14ac:dyDescent="0.2">
      <c r="A712" s="56"/>
      <c r="B712" s="56"/>
      <c r="C712" s="56"/>
      <c r="D712" s="57"/>
      <c r="E712" s="57"/>
      <c r="F712" s="56"/>
      <c r="G712" s="56"/>
      <c r="H712" s="56"/>
      <c r="I712" s="56"/>
      <c r="J712" s="56"/>
      <c r="K712" s="56"/>
      <c r="L712" s="56"/>
      <c r="M712" s="58"/>
      <c r="N712" s="58"/>
      <c r="O712" s="58"/>
      <c r="P712" s="58"/>
      <c r="Q712" s="58"/>
      <c r="R712" s="58"/>
      <c r="S712" s="58"/>
      <c r="T712" s="58"/>
      <c r="U712" s="58"/>
      <c r="V712" s="58"/>
      <c r="W712" s="58"/>
      <c r="X712" s="58"/>
      <c r="Y712" s="58"/>
      <c r="Z712" s="58"/>
      <c r="AA712" s="58"/>
      <c r="AB712" s="58"/>
      <c r="AC712" s="59"/>
      <c r="AD712" s="59"/>
    </row>
    <row r="713" spans="1:30" ht="12.75" customHeight="1" x14ac:dyDescent="0.2">
      <c r="A713" s="56"/>
      <c r="B713" s="56"/>
      <c r="C713" s="56"/>
      <c r="D713" s="57"/>
      <c r="E713" s="57"/>
      <c r="F713" s="56"/>
      <c r="G713" s="56"/>
      <c r="H713" s="56"/>
      <c r="I713" s="56"/>
      <c r="J713" s="56"/>
      <c r="K713" s="56"/>
      <c r="L713" s="56"/>
      <c r="M713" s="58"/>
      <c r="N713" s="58"/>
      <c r="O713" s="58"/>
      <c r="P713" s="58"/>
      <c r="Q713" s="58"/>
      <c r="R713" s="58"/>
      <c r="S713" s="58"/>
      <c r="T713" s="58"/>
      <c r="U713" s="58"/>
      <c r="V713" s="58"/>
      <c r="W713" s="58"/>
      <c r="X713" s="58"/>
      <c r="Y713" s="58"/>
      <c r="Z713" s="58"/>
      <c r="AA713" s="58"/>
      <c r="AB713" s="58"/>
      <c r="AC713" s="59"/>
      <c r="AD713" s="59"/>
    </row>
    <row r="714" spans="1:30" ht="12.75" customHeight="1" x14ac:dyDescent="0.2">
      <c r="A714" s="56"/>
      <c r="B714" s="56"/>
      <c r="C714" s="56"/>
      <c r="D714" s="57"/>
      <c r="E714" s="57"/>
      <c r="F714" s="56"/>
      <c r="G714" s="56"/>
      <c r="H714" s="56"/>
      <c r="I714" s="56"/>
      <c r="J714" s="56"/>
      <c r="K714" s="56"/>
      <c r="L714" s="56"/>
      <c r="M714" s="58"/>
      <c r="N714" s="58"/>
      <c r="O714" s="58"/>
      <c r="P714" s="58"/>
      <c r="Q714" s="58"/>
      <c r="R714" s="58"/>
      <c r="S714" s="58"/>
      <c r="T714" s="58"/>
      <c r="U714" s="58"/>
      <c r="V714" s="58"/>
      <c r="W714" s="58"/>
      <c r="X714" s="58"/>
      <c r="Y714" s="58"/>
      <c r="Z714" s="58"/>
      <c r="AA714" s="58"/>
      <c r="AB714" s="58"/>
      <c r="AC714" s="59"/>
      <c r="AD714" s="59"/>
    </row>
    <row r="715" spans="1:30" ht="12.75" customHeight="1" x14ac:dyDescent="0.2">
      <c r="A715" s="56"/>
      <c r="B715" s="56"/>
      <c r="C715" s="56"/>
      <c r="D715" s="57"/>
      <c r="E715" s="57"/>
      <c r="F715" s="56"/>
      <c r="G715" s="56"/>
      <c r="H715" s="56"/>
      <c r="I715" s="56"/>
      <c r="J715" s="56"/>
      <c r="K715" s="56"/>
      <c r="L715" s="56"/>
      <c r="M715" s="58"/>
      <c r="N715" s="58"/>
      <c r="O715" s="58"/>
      <c r="P715" s="58"/>
      <c r="Q715" s="58"/>
      <c r="R715" s="58"/>
      <c r="S715" s="58"/>
      <c r="T715" s="58"/>
      <c r="U715" s="58"/>
      <c r="V715" s="58"/>
      <c r="W715" s="58"/>
      <c r="X715" s="58"/>
      <c r="Y715" s="58"/>
      <c r="Z715" s="58"/>
      <c r="AA715" s="58"/>
      <c r="AB715" s="58"/>
      <c r="AC715" s="59"/>
      <c r="AD715" s="59"/>
    </row>
    <row r="716" spans="1:30" ht="12.75" customHeight="1" x14ac:dyDescent="0.2">
      <c r="A716" s="56"/>
      <c r="B716" s="56"/>
      <c r="C716" s="56"/>
      <c r="D716" s="57"/>
      <c r="E716" s="57"/>
      <c r="F716" s="56"/>
      <c r="G716" s="56"/>
      <c r="H716" s="56"/>
      <c r="I716" s="56"/>
      <c r="J716" s="56"/>
      <c r="K716" s="56"/>
      <c r="L716" s="56"/>
      <c r="M716" s="58"/>
      <c r="N716" s="58"/>
      <c r="O716" s="58"/>
      <c r="P716" s="58"/>
      <c r="Q716" s="58"/>
      <c r="R716" s="58"/>
      <c r="S716" s="58"/>
      <c r="T716" s="58"/>
      <c r="U716" s="58"/>
      <c r="V716" s="58"/>
      <c r="W716" s="58"/>
      <c r="X716" s="58"/>
      <c r="Y716" s="58"/>
      <c r="Z716" s="58"/>
      <c r="AA716" s="58"/>
      <c r="AB716" s="58"/>
      <c r="AC716" s="59"/>
      <c r="AD716" s="59"/>
    </row>
    <row r="717" spans="1:30" ht="12.75" customHeight="1" x14ac:dyDescent="0.2">
      <c r="A717" s="56"/>
      <c r="B717" s="56"/>
      <c r="C717" s="56"/>
      <c r="D717" s="57"/>
      <c r="E717" s="57"/>
      <c r="F717" s="56"/>
      <c r="G717" s="56"/>
      <c r="H717" s="56"/>
      <c r="I717" s="56"/>
      <c r="J717" s="56"/>
      <c r="K717" s="56"/>
      <c r="L717" s="56"/>
      <c r="M717" s="58"/>
      <c r="N717" s="58"/>
      <c r="O717" s="58"/>
      <c r="P717" s="58"/>
      <c r="Q717" s="58"/>
      <c r="R717" s="58"/>
      <c r="S717" s="58"/>
      <c r="T717" s="58"/>
      <c r="U717" s="58"/>
      <c r="V717" s="58"/>
      <c r="W717" s="58"/>
      <c r="X717" s="58"/>
      <c r="Y717" s="58"/>
      <c r="Z717" s="58"/>
      <c r="AA717" s="58"/>
      <c r="AB717" s="58"/>
      <c r="AC717" s="59"/>
      <c r="AD717" s="59"/>
    </row>
    <row r="718" spans="1:30" ht="12.75" customHeight="1" x14ac:dyDescent="0.2">
      <c r="A718" s="56"/>
      <c r="B718" s="56"/>
      <c r="C718" s="56"/>
      <c r="D718" s="57"/>
      <c r="E718" s="57"/>
      <c r="F718" s="56"/>
      <c r="G718" s="56"/>
      <c r="H718" s="56"/>
      <c r="I718" s="56"/>
      <c r="J718" s="56"/>
      <c r="K718" s="56"/>
      <c r="L718" s="56"/>
      <c r="M718" s="58"/>
      <c r="N718" s="58"/>
      <c r="O718" s="58"/>
      <c r="P718" s="58"/>
      <c r="Q718" s="58"/>
      <c r="R718" s="58"/>
      <c r="S718" s="58"/>
      <c r="T718" s="58"/>
      <c r="U718" s="58"/>
      <c r="V718" s="58"/>
      <c r="W718" s="58"/>
      <c r="X718" s="58"/>
      <c r="Y718" s="58"/>
      <c r="Z718" s="58"/>
      <c r="AA718" s="58"/>
      <c r="AB718" s="58"/>
      <c r="AC718" s="59"/>
      <c r="AD718" s="59"/>
    </row>
    <row r="719" spans="1:30" ht="12.75" customHeight="1" x14ac:dyDescent="0.2">
      <c r="A719" s="56"/>
      <c r="B719" s="56"/>
      <c r="C719" s="56"/>
      <c r="D719" s="57"/>
      <c r="E719" s="57"/>
      <c r="F719" s="56"/>
      <c r="G719" s="56"/>
      <c r="H719" s="56"/>
      <c r="I719" s="56"/>
      <c r="J719" s="56"/>
      <c r="K719" s="56"/>
      <c r="L719" s="56"/>
      <c r="M719" s="58"/>
      <c r="N719" s="58"/>
      <c r="O719" s="58"/>
      <c r="P719" s="58"/>
      <c r="Q719" s="58"/>
      <c r="R719" s="58"/>
      <c r="S719" s="58"/>
      <c r="T719" s="58"/>
      <c r="U719" s="58"/>
      <c r="V719" s="58"/>
      <c r="W719" s="58"/>
      <c r="X719" s="58"/>
      <c r="Y719" s="58"/>
      <c r="Z719" s="58"/>
      <c r="AA719" s="58"/>
      <c r="AB719" s="58"/>
      <c r="AC719" s="59"/>
      <c r="AD719" s="59"/>
    </row>
    <row r="720" spans="1:30" ht="12.75" customHeight="1" x14ac:dyDescent="0.2">
      <c r="A720" s="56"/>
      <c r="B720" s="56"/>
      <c r="C720" s="56"/>
      <c r="D720" s="57"/>
      <c r="E720" s="57"/>
      <c r="F720" s="56"/>
      <c r="G720" s="56"/>
      <c r="H720" s="56"/>
      <c r="I720" s="56"/>
      <c r="J720" s="56"/>
      <c r="K720" s="56"/>
      <c r="L720" s="56"/>
      <c r="M720" s="58"/>
      <c r="N720" s="58"/>
      <c r="O720" s="58"/>
      <c r="P720" s="58"/>
      <c r="Q720" s="58"/>
      <c r="R720" s="58"/>
      <c r="S720" s="58"/>
      <c r="T720" s="58"/>
      <c r="U720" s="58"/>
      <c r="V720" s="58"/>
      <c r="W720" s="58"/>
      <c r="X720" s="58"/>
      <c r="Y720" s="58"/>
      <c r="Z720" s="58"/>
      <c r="AA720" s="58"/>
      <c r="AB720" s="58"/>
      <c r="AC720" s="59"/>
      <c r="AD720" s="59"/>
    </row>
    <row r="721" spans="1:30" ht="12.75" customHeight="1" x14ac:dyDescent="0.2">
      <c r="A721" s="56"/>
      <c r="B721" s="56"/>
      <c r="C721" s="56"/>
      <c r="D721" s="57"/>
      <c r="E721" s="57"/>
      <c r="F721" s="56"/>
      <c r="G721" s="56"/>
      <c r="H721" s="56"/>
      <c r="I721" s="56"/>
      <c r="J721" s="56"/>
      <c r="K721" s="56"/>
      <c r="L721" s="56"/>
      <c r="M721" s="58"/>
      <c r="N721" s="58"/>
      <c r="O721" s="58"/>
      <c r="P721" s="58"/>
      <c r="Q721" s="58"/>
      <c r="R721" s="58"/>
      <c r="S721" s="58"/>
      <c r="T721" s="58"/>
      <c r="U721" s="58"/>
      <c r="V721" s="58"/>
      <c r="W721" s="58"/>
      <c r="X721" s="58"/>
      <c r="Y721" s="58"/>
      <c r="Z721" s="58"/>
      <c r="AA721" s="58"/>
      <c r="AB721" s="58"/>
      <c r="AC721" s="59"/>
      <c r="AD721" s="59"/>
    </row>
    <row r="722" spans="1:30" ht="12.75" customHeight="1" x14ac:dyDescent="0.2">
      <c r="A722" s="56"/>
      <c r="B722" s="56"/>
      <c r="C722" s="56"/>
      <c r="D722" s="57"/>
      <c r="E722" s="57"/>
      <c r="F722" s="56"/>
      <c r="G722" s="56"/>
      <c r="H722" s="56"/>
      <c r="I722" s="56"/>
      <c r="J722" s="56"/>
      <c r="K722" s="56"/>
      <c r="L722" s="56"/>
      <c r="M722" s="58"/>
      <c r="N722" s="58"/>
      <c r="O722" s="58"/>
      <c r="P722" s="58"/>
      <c r="Q722" s="58"/>
      <c r="R722" s="58"/>
      <c r="S722" s="58"/>
      <c r="T722" s="58"/>
      <c r="U722" s="58"/>
      <c r="V722" s="58"/>
      <c r="W722" s="58"/>
      <c r="X722" s="58"/>
      <c r="Y722" s="58"/>
      <c r="Z722" s="58"/>
      <c r="AA722" s="58"/>
      <c r="AB722" s="58"/>
      <c r="AC722" s="59"/>
      <c r="AD722" s="59"/>
    </row>
    <row r="723" spans="1:30" ht="12.75" customHeight="1" x14ac:dyDescent="0.2">
      <c r="A723" s="56"/>
      <c r="B723" s="56"/>
      <c r="C723" s="56"/>
      <c r="D723" s="57"/>
      <c r="E723" s="57"/>
      <c r="F723" s="56"/>
      <c r="G723" s="56"/>
      <c r="H723" s="56"/>
      <c r="I723" s="56"/>
      <c r="J723" s="56"/>
      <c r="K723" s="56"/>
      <c r="L723" s="56"/>
      <c r="M723" s="58"/>
      <c r="N723" s="58"/>
      <c r="O723" s="58"/>
      <c r="P723" s="58"/>
      <c r="Q723" s="58"/>
      <c r="R723" s="58"/>
      <c r="S723" s="58"/>
      <c r="T723" s="58"/>
      <c r="U723" s="58"/>
      <c r="V723" s="58"/>
      <c r="W723" s="58"/>
      <c r="X723" s="58"/>
      <c r="Y723" s="58"/>
      <c r="Z723" s="58"/>
      <c r="AA723" s="58"/>
      <c r="AB723" s="58"/>
      <c r="AC723" s="59"/>
      <c r="AD723" s="59"/>
    </row>
    <row r="724" spans="1:30" ht="12.75" customHeight="1" x14ac:dyDescent="0.2">
      <c r="A724" s="56"/>
      <c r="B724" s="56"/>
      <c r="C724" s="56"/>
      <c r="D724" s="57"/>
      <c r="E724" s="57"/>
      <c r="F724" s="56"/>
      <c r="G724" s="56"/>
      <c r="H724" s="56"/>
      <c r="I724" s="56"/>
      <c r="J724" s="56"/>
      <c r="K724" s="56"/>
      <c r="L724" s="56"/>
      <c r="M724" s="58"/>
      <c r="N724" s="58"/>
      <c r="O724" s="58"/>
      <c r="P724" s="58"/>
      <c r="Q724" s="58"/>
      <c r="R724" s="58"/>
      <c r="S724" s="58"/>
      <c r="T724" s="58"/>
      <c r="U724" s="58"/>
      <c r="V724" s="58"/>
      <c r="W724" s="58"/>
      <c r="X724" s="58"/>
      <c r="Y724" s="58"/>
      <c r="Z724" s="58"/>
      <c r="AA724" s="58"/>
      <c r="AB724" s="58"/>
      <c r="AC724" s="59"/>
      <c r="AD724" s="59"/>
    </row>
    <row r="725" spans="1:30" ht="12.75" customHeight="1" x14ac:dyDescent="0.2">
      <c r="A725" s="56"/>
      <c r="B725" s="56"/>
      <c r="C725" s="56"/>
      <c r="D725" s="57"/>
      <c r="E725" s="57"/>
      <c r="F725" s="56"/>
      <c r="G725" s="56"/>
      <c r="H725" s="56"/>
      <c r="I725" s="56"/>
      <c r="J725" s="56"/>
      <c r="K725" s="56"/>
      <c r="L725" s="56"/>
      <c r="M725" s="58"/>
      <c r="N725" s="58"/>
      <c r="O725" s="58"/>
      <c r="P725" s="58"/>
      <c r="Q725" s="58"/>
      <c r="R725" s="58"/>
      <c r="S725" s="58"/>
      <c r="T725" s="58"/>
      <c r="U725" s="58"/>
      <c r="V725" s="58"/>
      <c r="W725" s="58"/>
      <c r="X725" s="58"/>
      <c r="Y725" s="58"/>
      <c r="Z725" s="58"/>
      <c r="AA725" s="58"/>
      <c r="AB725" s="58"/>
      <c r="AC725" s="59"/>
      <c r="AD725" s="59"/>
    </row>
    <row r="726" spans="1:30" ht="12.75" customHeight="1" x14ac:dyDescent="0.2">
      <c r="A726" s="56"/>
      <c r="B726" s="56"/>
      <c r="C726" s="56"/>
      <c r="D726" s="57"/>
      <c r="E726" s="57"/>
      <c r="F726" s="56"/>
      <c r="G726" s="56"/>
      <c r="H726" s="56"/>
      <c r="I726" s="56"/>
      <c r="J726" s="56"/>
      <c r="K726" s="56"/>
      <c r="L726" s="56"/>
      <c r="M726" s="58"/>
      <c r="N726" s="58"/>
      <c r="O726" s="58"/>
      <c r="P726" s="58"/>
      <c r="Q726" s="58"/>
      <c r="R726" s="58"/>
      <c r="S726" s="58"/>
      <c r="T726" s="58"/>
      <c r="U726" s="58"/>
      <c r="V726" s="58"/>
      <c r="W726" s="58"/>
      <c r="X726" s="58"/>
      <c r="Y726" s="58"/>
      <c r="Z726" s="58"/>
      <c r="AA726" s="58"/>
      <c r="AB726" s="58"/>
      <c r="AC726" s="59"/>
      <c r="AD726" s="59"/>
    </row>
    <row r="727" spans="1:30" ht="12.75" customHeight="1" x14ac:dyDescent="0.2">
      <c r="A727" s="56"/>
      <c r="B727" s="56"/>
      <c r="C727" s="56"/>
      <c r="D727" s="57"/>
      <c r="E727" s="57"/>
      <c r="F727" s="56"/>
      <c r="G727" s="56"/>
      <c r="H727" s="56"/>
      <c r="I727" s="56"/>
      <c r="J727" s="56"/>
      <c r="K727" s="56"/>
      <c r="L727" s="56"/>
      <c r="M727" s="58"/>
      <c r="N727" s="58"/>
      <c r="O727" s="58"/>
      <c r="P727" s="58"/>
      <c r="Q727" s="58"/>
      <c r="R727" s="58"/>
      <c r="S727" s="58"/>
      <c r="T727" s="58"/>
      <c r="U727" s="58"/>
      <c r="V727" s="58"/>
      <c r="W727" s="58"/>
      <c r="X727" s="58"/>
      <c r="Y727" s="58"/>
      <c r="Z727" s="58"/>
      <c r="AA727" s="58"/>
      <c r="AB727" s="58"/>
      <c r="AC727" s="59"/>
      <c r="AD727" s="59"/>
    </row>
    <row r="728" spans="1:30" ht="12.75" customHeight="1" x14ac:dyDescent="0.2">
      <c r="A728" s="56"/>
      <c r="B728" s="56"/>
      <c r="C728" s="56"/>
      <c r="D728" s="57"/>
      <c r="E728" s="57"/>
      <c r="F728" s="56"/>
      <c r="G728" s="56"/>
      <c r="H728" s="56"/>
      <c r="I728" s="56"/>
      <c r="J728" s="56"/>
      <c r="K728" s="56"/>
      <c r="L728" s="56"/>
      <c r="M728" s="58"/>
      <c r="N728" s="58"/>
      <c r="O728" s="58"/>
      <c r="P728" s="58"/>
      <c r="Q728" s="58"/>
      <c r="R728" s="58"/>
      <c r="S728" s="58"/>
      <c r="T728" s="58"/>
      <c r="U728" s="58"/>
      <c r="V728" s="58"/>
      <c r="W728" s="58"/>
      <c r="X728" s="58"/>
      <c r="Y728" s="58"/>
      <c r="Z728" s="58"/>
      <c r="AA728" s="58"/>
      <c r="AB728" s="58"/>
      <c r="AC728" s="59"/>
      <c r="AD728" s="59"/>
    </row>
    <row r="729" spans="1:30" ht="12.75" customHeight="1" x14ac:dyDescent="0.2">
      <c r="A729" s="56"/>
      <c r="B729" s="56"/>
      <c r="C729" s="56"/>
      <c r="D729" s="57"/>
      <c r="E729" s="57"/>
      <c r="F729" s="56"/>
      <c r="G729" s="56"/>
      <c r="H729" s="56"/>
      <c r="I729" s="56"/>
      <c r="J729" s="56"/>
      <c r="K729" s="56"/>
      <c r="L729" s="56"/>
      <c r="M729" s="58"/>
      <c r="N729" s="58"/>
      <c r="O729" s="58"/>
      <c r="P729" s="58"/>
      <c r="Q729" s="58"/>
      <c r="R729" s="58"/>
      <c r="S729" s="58"/>
      <c r="T729" s="58"/>
      <c r="U729" s="58"/>
      <c r="V729" s="58"/>
      <c r="W729" s="58"/>
      <c r="X729" s="58"/>
      <c r="Y729" s="58"/>
      <c r="Z729" s="58"/>
      <c r="AA729" s="58"/>
      <c r="AB729" s="58"/>
      <c r="AC729" s="59"/>
      <c r="AD729" s="59"/>
    </row>
    <row r="730" spans="1:30" ht="12.75" customHeight="1" x14ac:dyDescent="0.2">
      <c r="A730" s="56"/>
      <c r="B730" s="56"/>
      <c r="C730" s="56"/>
      <c r="D730" s="57"/>
      <c r="E730" s="57"/>
      <c r="F730" s="56"/>
      <c r="G730" s="56"/>
      <c r="H730" s="56"/>
      <c r="I730" s="56"/>
      <c r="J730" s="56"/>
      <c r="K730" s="56"/>
      <c r="L730" s="56"/>
      <c r="M730" s="58"/>
      <c r="N730" s="58"/>
      <c r="O730" s="58"/>
      <c r="P730" s="58"/>
      <c r="Q730" s="58"/>
      <c r="R730" s="58"/>
      <c r="S730" s="58"/>
      <c r="T730" s="58"/>
      <c r="U730" s="58"/>
      <c r="V730" s="58"/>
      <c r="W730" s="58"/>
      <c r="X730" s="58"/>
      <c r="Y730" s="58"/>
      <c r="Z730" s="58"/>
      <c r="AA730" s="58"/>
      <c r="AB730" s="58"/>
      <c r="AC730" s="59"/>
      <c r="AD730" s="59"/>
    </row>
    <row r="731" spans="1:30" ht="12.75" customHeight="1" x14ac:dyDescent="0.2">
      <c r="A731" s="56"/>
      <c r="B731" s="56"/>
      <c r="C731" s="56"/>
      <c r="D731" s="57"/>
      <c r="E731" s="57"/>
      <c r="F731" s="56"/>
      <c r="G731" s="56"/>
      <c r="H731" s="56"/>
      <c r="I731" s="56"/>
      <c r="J731" s="56"/>
      <c r="K731" s="56"/>
      <c r="L731" s="56"/>
      <c r="M731" s="58"/>
      <c r="N731" s="58"/>
      <c r="O731" s="58"/>
      <c r="P731" s="58"/>
      <c r="Q731" s="58"/>
      <c r="R731" s="58"/>
      <c r="S731" s="58"/>
      <c r="T731" s="58"/>
      <c r="U731" s="58"/>
      <c r="V731" s="58"/>
      <c r="W731" s="58"/>
      <c r="X731" s="58"/>
      <c r="Y731" s="58"/>
      <c r="Z731" s="58"/>
      <c r="AA731" s="58"/>
      <c r="AB731" s="58"/>
      <c r="AC731" s="59"/>
      <c r="AD731" s="59"/>
    </row>
    <row r="732" spans="1:30" ht="12.75" customHeight="1" x14ac:dyDescent="0.2">
      <c r="A732" s="56"/>
      <c r="B732" s="56"/>
      <c r="C732" s="56"/>
      <c r="D732" s="57"/>
      <c r="E732" s="57"/>
      <c r="F732" s="56"/>
      <c r="G732" s="56"/>
      <c r="H732" s="56"/>
      <c r="I732" s="56"/>
      <c r="J732" s="56"/>
      <c r="K732" s="56"/>
      <c r="L732" s="56"/>
      <c r="M732" s="58"/>
      <c r="N732" s="58"/>
      <c r="O732" s="58"/>
      <c r="P732" s="58"/>
      <c r="Q732" s="58"/>
      <c r="R732" s="58"/>
      <c r="S732" s="58"/>
      <c r="T732" s="58"/>
      <c r="U732" s="58"/>
      <c r="V732" s="58"/>
      <c r="W732" s="58"/>
      <c r="X732" s="58"/>
      <c r="Y732" s="58"/>
      <c r="Z732" s="58"/>
      <c r="AA732" s="58"/>
      <c r="AB732" s="58"/>
      <c r="AC732" s="59"/>
      <c r="AD732" s="59"/>
    </row>
    <row r="733" spans="1:30" ht="12.75" customHeight="1" x14ac:dyDescent="0.2">
      <c r="A733" s="56"/>
      <c r="B733" s="56"/>
      <c r="C733" s="56"/>
      <c r="D733" s="57"/>
      <c r="E733" s="57"/>
      <c r="F733" s="56"/>
      <c r="G733" s="56"/>
      <c r="H733" s="56"/>
      <c r="I733" s="56"/>
      <c r="J733" s="56"/>
      <c r="K733" s="56"/>
      <c r="L733" s="56"/>
      <c r="M733" s="58"/>
      <c r="N733" s="58"/>
      <c r="O733" s="58"/>
      <c r="P733" s="58"/>
      <c r="Q733" s="58"/>
      <c r="R733" s="58"/>
      <c r="S733" s="58"/>
      <c r="T733" s="58"/>
      <c r="U733" s="58"/>
      <c r="V733" s="58"/>
      <c r="W733" s="58"/>
      <c r="X733" s="58"/>
      <c r="Y733" s="58"/>
      <c r="Z733" s="58"/>
      <c r="AA733" s="58"/>
      <c r="AB733" s="58"/>
      <c r="AC733" s="59"/>
      <c r="AD733" s="59"/>
    </row>
    <row r="734" spans="1:30" ht="12.75" customHeight="1" x14ac:dyDescent="0.2">
      <c r="A734" s="56"/>
      <c r="B734" s="56"/>
      <c r="C734" s="56"/>
      <c r="D734" s="57"/>
      <c r="E734" s="57"/>
      <c r="F734" s="56"/>
      <c r="G734" s="56"/>
      <c r="H734" s="56"/>
      <c r="I734" s="56"/>
      <c r="J734" s="56"/>
      <c r="K734" s="56"/>
      <c r="L734" s="56"/>
      <c r="M734" s="58"/>
      <c r="N734" s="58"/>
      <c r="O734" s="58"/>
      <c r="P734" s="58"/>
      <c r="Q734" s="58"/>
      <c r="R734" s="58"/>
      <c r="S734" s="58"/>
      <c r="T734" s="58"/>
      <c r="U734" s="58"/>
      <c r="V734" s="58"/>
      <c r="W734" s="58"/>
      <c r="X734" s="58"/>
      <c r="Y734" s="58"/>
      <c r="Z734" s="58"/>
      <c r="AA734" s="58"/>
      <c r="AB734" s="58"/>
      <c r="AC734" s="59"/>
      <c r="AD734" s="59"/>
    </row>
    <row r="735" spans="1:30" ht="12.75" customHeight="1" x14ac:dyDescent="0.2">
      <c r="A735" s="56"/>
      <c r="B735" s="56"/>
      <c r="C735" s="56"/>
      <c r="D735" s="57"/>
      <c r="E735" s="57"/>
      <c r="F735" s="56"/>
      <c r="G735" s="56"/>
      <c r="H735" s="56"/>
      <c r="I735" s="56"/>
      <c r="J735" s="56"/>
      <c r="K735" s="56"/>
      <c r="L735" s="56"/>
      <c r="M735" s="58"/>
      <c r="N735" s="58"/>
      <c r="O735" s="58"/>
      <c r="P735" s="58"/>
      <c r="Q735" s="58"/>
      <c r="R735" s="58"/>
      <c r="S735" s="58"/>
      <c r="T735" s="58"/>
      <c r="U735" s="58"/>
      <c r="V735" s="58"/>
      <c r="W735" s="58"/>
      <c r="X735" s="58"/>
      <c r="Y735" s="58"/>
      <c r="Z735" s="58"/>
      <c r="AA735" s="58"/>
      <c r="AB735" s="58"/>
      <c r="AC735" s="59"/>
      <c r="AD735" s="59"/>
    </row>
    <row r="736" spans="1:30" ht="12.75" customHeight="1" x14ac:dyDescent="0.2">
      <c r="A736" s="56"/>
      <c r="B736" s="56"/>
      <c r="C736" s="56"/>
      <c r="D736" s="57"/>
      <c r="E736" s="57"/>
      <c r="F736" s="56"/>
      <c r="G736" s="56"/>
      <c r="H736" s="56"/>
      <c r="I736" s="56"/>
      <c r="J736" s="56"/>
      <c r="K736" s="56"/>
      <c r="L736" s="56"/>
      <c r="M736" s="58"/>
      <c r="N736" s="58"/>
      <c r="O736" s="58"/>
      <c r="P736" s="58"/>
      <c r="Q736" s="58"/>
      <c r="R736" s="58"/>
      <c r="S736" s="58"/>
      <c r="T736" s="58"/>
      <c r="U736" s="58"/>
      <c r="V736" s="58"/>
      <c r="W736" s="58"/>
      <c r="X736" s="58"/>
      <c r="Y736" s="58"/>
      <c r="Z736" s="58"/>
      <c r="AA736" s="58"/>
      <c r="AB736" s="58"/>
      <c r="AC736" s="59"/>
      <c r="AD736" s="59"/>
    </row>
    <row r="737" spans="1:30" ht="12.75" customHeight="1" x14ac:dyDescent="0.2">
      <c r="A737" s="56"/>
      <c r="B737" s="56"/>
      <c r="C737" s="56"/>
      <c r="D737" s="57"/>
      <c r="E737" s="57"/>
      <c r="F737" s="56"/>
      <c r="G737" s="56"/>
      <c r="H737" s="56"/>
      <c r="I737" s="56"/>
      <c r="J737" s="56"/>
      <c r="K737" s="56"/>
      <c r="L737" s="56"/>
      <c r="M737" s="58"/>
      <c r="N737" s="58"/>
      <c r="O737" s="58"/>
      <c r="P737" s="58"/>
      <c r="Q737" s="58"/>
      <c r="R737" s="58"/>
      <c r="S737" s="58"/>
      <c r="T737" s="58"/>
      <c r="U737" s="58"/>
      <c r="V737" s="58"/>
      <c r="W737" s="58"/>
      <c r="X737" s="58"/>
      <c r="Y737" s="58"/>
      <c r="Z737" s="58"/>
      <c r="AA737" s="58"/>
      <c r="AB737" s="58"/>
      <c r="AC737" s="59"/>
      <c r="AD737" s="59"/>
    </row>
    <row r="738" spans="1:30" ht="12.75" customHeight="1" x14ac:dyDescent="0.2">
      <c r="A738" s="56"/>
      <c r="B738" s="56"/>
      <c r="C738" s="56"/>
      <c r="D738" s="57"/>
      <c r="E738" s="57"/>
      <c r="F738" s="56"/>
      <c r="G738" s="56"/>
      <c r="H738" s="56"/>
      <c r="I738" s="56"/>
      <c r="J738" s="56"/>
      <c r="K738" s="56"/>
      <c r="L738" s="56"/>
      <c r="M738" s="58"/>
      <c r="N738" s="58"/>
      <c r="O738" s="58"/>
      <c r="P738" s="58"/>
      <c r="Q738" s="58"/>
      <c r="R738" s="58"/>
      <c r="S738" s="58"/>
      <c r="T738" s="58"/>
      <c r="U738" s="58"/>
      <c r="V738" s="58"/>
      <c r="W738" s="58"/>
      <c r="X738" s="58"/>
      <c r="Y738" s="58"/>
      <c r="Z738" s="58"/>
      <c r="AA738" s="58"/>
      <c r="AB738" s="58"/>
      <c r="AC738" s="59"/>
      <c r="AD738" s="59"/>
    </row>
    <row r="739" spans="1:30" ht="12.75" customHeight="1" x14ac:dyDescent="0.2">
      <c r="A739" s="56"/>
      <c r="B739" s="56"/>
      <c r="C739" s="56"/>
      <c r="D739" s="57"/>
      <c r="E739" s="57"/>
      <c r="F739" s="56"/>
      <c r="G739" s="56"/>
      <c r="H739" s="56"/>
      <c r="I739" s="56"/>
      <c r="J739" s="56"/>
      <c r="K739" s="56"/>
      <c r="L739" s="56"/>
      <c r="M739" s="58"/>
      <c r="N739" s="58"/>
      <c r="O739" s="58"/>
      <c r="P739" s="58"/>
      <c r="Q739" s="58"/>
      <c r="R739" s="58"/>
      <c r="S739" s="58"/>
      <c r="T739" s="58"/>
      <c r="U739" s="58"/>
      <c r="V739" s="58"/>
      <c r="W739" s="58"/>
      <c r="X739" s="58"/>
      <c r="Y739" s="58"/>
      <c r="Z739" s="58"/>
      <c r="AA739" s="58"/>
      <c r="AB739" s="58"/>
      <c r="AC739" s="59"/>
      <c r="AD739" s="59"/>
    </row>
    <row r="740" spans="1:30" ht="12.75" customHeight="1" x14ac:dyDescent="0.2">
      <c r="A740" s="56"/>
      <c r="B740" s="56"/>
      <c r="C740" s="56"/>
      <c r="D740" s="57"/>
      <c r="E740" s="57"/>
      <c r="F740" s="56"/>
      <c r="G740" s="56"/>
      <c r="H740" s="56"/>
      <c r="I740" s="56"/>
      <c r="J740" s="56"/>
      <c r="K740" s="56"/>
      <c r="L740" s="56"/>
      <c r="M740" s="58"/>
      <c r="N740" s="58"/>
      <c r="O740" s="58"/>
      <c r="P740" s="58"/>
      <c r="Q740" s="58"/>
      <c r="R740" s="58"/>
      <c r="S740" s="58"/>
      <c r="T740" s="58"/>
      <c r="U740" s="58"/>
      <c r="V740" s="58"/>
      <c r="W740" s="58"/>
      <c r="X740" s="58"/>
      <c r="Y740" s="58"/>
      <c r="Z740" s="58"/>
      <c r="AA740" s="58"/>
      <c r="AB740" s="58"/>
      <c r="AC740" s="59"/>
      <c r="AD740" s="59"/>
    </row>
    <row r="741" spans="1:30" ht="12.75" customHeight="1" x14ac:dyDescent="0.2">
      <c r="A741" s="56"/>
      <c r="B741" s="56"/>
      <c r="C741" s="56"/>
      <c r="D741" s="57"/>
      <c r="E741" s="57"/>
      <c r="F741" s="56"/>
      <c r="G741" s="56"/>
      <c r="H741" s="56"/>
      <c r="I741" s="56"/>
      <c r="J741" s="56"/>
      <c r="K741" s="56"/>
      <c r="L741" s="56"/>
      <c r="M741" s="58"/>
      <c r="N741" s="58"/>
      <c r="O741" s="58"/>
      <c r="P741" s="58"/>
      <c r="Q741" s="58"/>
      <c r="R741" s="58"/>
      <c r="S741" s="58"/>
      <c r="T741" s="58"/>
      <c r="U741" s="58"/>
      <c r="V741" s="58"/>
      <c r="W741" s="58"/>
      <c r="X741" s="58"/>
      <c r="Y741" s="58"/>
      <c r="Z741" s="58"/>
      <c r="AA741" s="58"/>
      <c r="AB741" s="58"/>
      <c r="AC741" s="59"/>
      <c r="AD741" s="59"/>
    </row>
    <row r="742" spans="1:30" ht="12.75" customHeight="1" x14ac:dyDescent="0.2">
      <c r="A742" s="56"/>
      <c r="B742" s="56"/>
      <c r="C742" s="56"/>
      <c r="D742" s="57"/>
      <c r="E742" s="57"/>
      <c r="F742" s="56"/>
      <c r="G742" s="56"/>
      <c r="H742" s="56"/>
      <c r="I742" s="56"/>
      <c r="J742" s="56"/>
      <c r="K742" s="56"/>
      <c r="L742" s="56"/>
      <c r="M742" s="58"/>
      <c r="N742" s="58"/>
      <c r="O742" s="58"/>
      <c r="P742" s="58"/>
      <c r="Q742" s="58"/>
      <c r="R742" s="58"/>
      <c r="S742" s="58"/>
      <c r="T742" s="58"/>
      <c r="U742" s="58"/>
      <c r="V742" s="58"/>
      <c r="W742" s="58"/>
      <c r="X742" s="58"/>
      <c r="Y742" s="58"/>
      <c r="Z742" s="58"/>
      <c r="AA742" s="58"/>
      <c r="AB742" s="58"/>
      <c r="AC742" s="59"/>
      <c r="AD742" s="59"/>
    </row>
    <row r="743" spans="1:30" ht="12.75" customHeight="1" x14ac:dyDescent="0.2">
      <c r="A743" s="56"/>
      <c r="B743" s="56"/>
      <c r="C743" s="56"/>
      <c r="D743" s="57"/>
      <c r="E743" s="57"/>
      <c r="F743" s="56"/>
      <c r="G743" s="56"/>
      <c r="H743" s="56"/>
      <c r="I743" s="56"/>
      <c r="J743" s="56"/>
      <c r="K743" s="56"/>
      <c r="L743" s="56"/>
      <c r="M743" s="58"/>
      <c r="N743" s="58"/>
      <c r="O743" s="58"/>
      <c r="P743" s="58"/>
      <c r="Q743" s="58"/>
      <c r="R743" s="58"/>
      <c r="S743" s="58"/>
      <c r="T743" s="58"/>
      <c r="U743" s="58"/>
      <c r="V743" s="58"/>
      <c r="W743" s="58"/>
      <c r="X743" s="58"/>
      <c r="Y743" s="58"/>
      <c r="Z743" s="58"/>
      <c r="AA743" s="58"/>
      <c r="AB743" s="58"/>
      <c r="AC743" s="59"/>
      <c r="AD743" s="59"/>
    </row>
    <row r="744" spans="1:30" ht="12.75" customHeight="1" x14ac:dyDescent="0.2">
      <c r="A744" s="56"/>
      <c r="B744" s="56"/>
      <c r="C744" s="56"/>
      <c r="D744" s="57"/>
      <c r="E744" s="57"/>
      <c r="F744" s="56"/>
      <c r="G744" s="56"/>
      <c r="H744" s="56"/>
      <c r="I744" s="56"/>
      <c r="J744" s="56"/>
      <c r="K744" s="56"/>
      <c r="L744" s="56"/>
      <c r="M744" s="58"/>
      <c r="N744" s="58"/>
      <c r="O744" s="58"/>
      <c r="P744" s="58"/>
      <c r="Q744" s="58"/>
      <c r="R744" s="58"/>
      <c r="S744" s="58"/>
      <c r="T744" s="58"/>
      <c r="U744" s="58"/>
      <c r="V744" s="58"/>
      <c r="W744" s="58"/>
      <c r="X744" s="58"/>
      <c r="Y744" s="58"/>
      <c r="Z744" s="58"/>
      <c r="AA744" s="58"/>
      <c r="AB744" s="58"/>
      <c r="AC744" s="59"/>
      <c r="AD744" s="59"/>
    </row>
    <row r="745" spans="1:30" ht="12.75" customHeight="1" x14ac:dyDescent="0.2">
      <c r="A745" s="56"/>
      <c r="B745" s="56"/>
      <c r="C745" s="56"/>
      <c r="D745" s="57"/>
      <c r="E745" s="57"/>
      <c r="F745" s="56"/>
      <c r="G745" s="56"/>
      <c r="H745" s="56"/>
      <c r="I745" s="56"/>
      <c r="J745" s="56"/>
      <c r="K745" s="56"/>
      <c r="L745" s="56"/>
      <c r="M745" s="58"/>
      <c r="N745" s="58"/>
      <c r="O745" s="58"/>
      <c r="P745" s="58"/>
      <c r="Q745" s="58"/>
      <c r="R745" s="58"/>
      <c r="S745" s="58"/>
      <c r="T745" s="58"/>
      <c r="U745" s="58"/>
      <c r="V745" s="58"/>
      <c r="W745" s="58"/>
      <c r="X745" s="58"/>
      <c r="Y745" s="58"/>
      <c r="Z745" s="58"/>
      <c r="AA745" s="58"/>
      <c r="AB745" s="58"/>
      <c r="AC745" s="59"/>
      <c r="AD745" s="59"/>
    </row>
    <row r="746" spans="1:30" ht="12.75" customHeight="1" x14ac:dyDescent="0.2">
      <c r="A746" s="56"/>
      <c r="B746" s="56"/>
      <c r="C746" s="56"/>
      <c r="D746" s="57"/>
      <c r="E746" s="57"/>
      <c r="F746" s="56"/>
      <c r="G746" s="56"/>
      <c r="H746" s="56"/>
      <c r="I746" s="56"/>
      <c r="J746" s="56"/>
      <c r="K746" s="56"/>
      <c r="L746" s="56"/>
      <c r="M746" s="58"/>
      <c r="N746" s="58"/>
      <c r="O746" s="58"/>
      <c r="P746" s="58"/>
      <c r="Q746" s="58"/>
      <c r="R746" s="58"/>
      <c r="S746" s="58"/>
      <c r="T746" s="58"/>
      <c r="U746" s="58"/>
      <c r="V746" s="58"/>
      <c r="W746" s="58"/>
      <c r="X746" s="58"/>
      <c r="Y746" s="58"/>
      <c r="Z746" s="58"/>
      <c r="AA746" s="58"/>
      <c r="AB746" s="58"/>
      <c r="AC746" s="59"/>
      <c r="AD746" s="59"/>
    </row>
    <row r="747" spans="1:30" ht="12.75" customHeight="1" x14ac:dyDescent="0.2">
      <c r="A747" s="56"/>
      <c r="B747" s="56"/>
      <c r="C747" s="56"/>
      <c r="D747" s="57"/>
      <c r="E747" s="57"/>
      <c r="F747" s="56"/>
      <c r="G747" s="56"/>
      <c r="H747" s="56"/>
      <c r="I747" s="56"/>
      <c r="J747" s="56"/>
      <c r="K747" s="56"/>
      <c r="L747" s="56"/>
      <c r="M747" s="58"/>
      <c r="N747" s="58"/>
      <c r="O747" s="58"/>
      <c r="P747" s="58"/>
      <c r="Q747" s="58"/>
      <c r="R747" s="58"/>
      <c r="S747" s="58"/>
      <c r="T747" s="58"/>
      <c r="U747" s="58"/>
      <c r="V747" s="58"/>
      <c r="W747" s="58"/>
      <c r="X747" s="58"/>
      <c r="Y747" s="58"/>
      <c r="Z747" s="58"/>
      <c r="AA747" s="58"/>
      <c r="AB747" s="58"/>
      <c r="AC747" s="59"/>
      <c r="AD747" s="59"/>
    </row>
    <row r="748" spans="1:30" ht="12.75" customHeight="1" x14ac:dyDescent="0.2">
      <c r="A748" s="56"/>
      <c r="B748" s="56"/>
      <c r="C748" s="56"/>
      <c r="D748" s="57"/>
      <c r="E748" s="57"/>
      <c r="F748" s="56"/>
      <c r="G748" s="56"/>
      <c r="H748" s="56"/>
      <c r="I748" s="56"/>
      <c r="J748" s="56"/>
      <c r="K748" s="56"/>
      <c r="L748" s="56"/>
      <c r="M748" s="58"/>
      <c r="N748" s="58"/>
      <c r="O748" s="58"/>
      <c r="P748" s="58"/>
      <c r="Q748" s="58"/>
      <c r="R748" s="58"/>
      <c r="S748" s="58"/>
      <c r="T748" s="58"/>
      <c r="U748" s="58"/>
      <c r="V748" s="58"/>
      <c r="W748" s="58"/>
      <c r="X748" s="58"/>
      <c r="Y748" s="58"/>
      <c r="Z748" s="58"/>
      <c r="AA748" s="58"/>
      <c r="AB748" s="58"/>
      <c r="AC748" s="59"/>
      <c r="AD748" s="59"/>
    </row>
    <row r="749" spans="1:30" ht="12.75" customHeight="1" x14ac:dyDescent="0.2">
      <c r="A749" s="56"/>
      <c r="B749" s="56"/>
      <c r="C749" s="56"/>
      <c r="D749" s="57"/>
      <c r="E749" s="57"/>
      <c r="F749" s="56"/>
      <c r="G749" s="56"/>
      <c r="H749" s="56"/>
      <c r="I749" s="56"/>
      <c r="J749" s="56"/>
      <c r="K749" s="56"/>
      <c r="L749" s="56"/>
      <c r="M749" s="58"/>
      <c r="N749" s="58"/>
      <c r="O749" s="58"/>
      <c r="P749" s="58"/>
      <c r="Q749" s="58"/>
      <c r="R749" s="58"/>
      <c r="S749" s="58"/>
      <c r="T749" s="58"/>
      <c r="U749" s="58"/>
      <c r="V749" s="58"/>
      <c r="W749" s="58"/>
      <c r="X749" s="58"/>
      <c r="Y749" s="58"/>
      <c r="Z749" s="58"/>
      <c r="AA749" s="58"/>
      <c r="AB749" s="58"/>
      <c r="AC749" s="59"/>
      <c r="AD749" s="59"/>
    </row>
    <row r="750" spans="1:30" ht="12.75" customHeight="1" x14ac:dyDescent="0.2">
      <c r="A750" s="56"/>
      <c r="B750" s="56"/>
      <c r="C750" s="56"/>
      <c r="D750" s="57"/>
      <c r="E750" s="57"/>
      <c r="F750" s="56"/>
      <c r="G750" s="56"/>
      <c r="H750" s="56"/>
      <c r="I750" s="56"/>
      <c r="J750" s="56"/>
      <c r="K750" s="56"/>
      <c r="L750" s="56"/>
      <c r="M750" s="58"/>
      <c r="N750" s="58"/>
      <c r="O750" s="58"/>
      <c r="P750" s="58"/>
      <c r="Q750" s="58"/>
      <c r="R750" s="58"/>
      <c r="S750" s="58"/>
      <c r="T750" s="58"/>
      <c r="U750" s="58"/>
      <c r="V750" s="58"/>
      <c r="W750" s="58"/>
      <c r="X750" s="58"/>
      <c r="Y750" s="58"/>
      <c r="Z750" s="58"/>
      <c r="AA750" s="58"/>
      <c r="AB750" s="58"/>
      <c r="AC750" s="59"/>
      <c r="AD750" s="59"/>
    </row>
    <row r="751" spans="1:30" ht="12.75" customHeight="1" x14ac:dyDescent="0.2">
      <c r="A751" s="56"/>
      <c r="B751" s="56"/>
      <c r="C751" s="56"/>
      <c r="D751" s="57"/>
      <c r="E751" s="57"/>
      <c r="F751" s="56"/>
      <c r="G751" s="56"/>
      <c r="H751" s="56"/>
      <c r="I751" s="56"/>
      <c r="J751" s="56"/>
      <c r="K751" s="56"/>
      <c r="L751" s="56"/>
      <c r="M751" s="58"/>
      <c r="N751" s="58"/>
      <c r="O751" s="58"/>
      <c r="P751" s="58"/>
      <c r="Q751" s="58"/>
      <c r="R751" s="58"/>
      <c r="S751" s="58"/>
      <c r="T751" s="58"/>
      <c r="U751" s="58"/>
      <c r="V751" s="58"/>
      <c r="W751" s="58"/>
      <c r="X751" s="58"/>
      <c r="Y751" s="58"/>
      <c r="Z751" s="58"/>
      <c r="AA751" s="58"/>
      <c r="AB751" s="58"/>
      <c r="AC751" s="59"/>
      <c r="AD751" s="59"/>
    </row>
    <row r="752" spans="1:30" ht="12.75" customHeight="1" x14ac:dyDescent="0.2">
      <c r="A752" s="56"/>
      <c r="B752" s="56"/>
      <c r="C752" s="56"/>
      <c r="D752" s="57"/>
      <c r="E752" s="57"/>
      <c r="F752" s="56"/>
      <c r="G752" s="56"/>
      <c r="H752" s="56"/>
      <c r="I752" s="56"/>
      <c r="J752" s="56"/>
      <c r="K752" s="56"/>
      <c r="L752" s="56"/>
      <c r="M752" s="58"/>
      <c r="N752" s="58"/>
      <c r="O752" s="58"/>
      <c r="P752" s="58"/>
      <c r="Q752" s="58"/>
      <c r="R752" s="58"/>
      <c r="S752" s="58"/>
      <c r="T752" s="58"/>
      <c r="U752" s="58"/>
      <c r="V752" s="58"/>
      <c r="W752" s="58"/>
      <c r="X752" s="58"/>
      <c r="Y752" s="58"/>
      <c r="Z752" s="58"/>
      <c r="AA752" s="58"/>
      <c r="AB752" s="58"/>
      <c r="AC752" s="59"/>
      <c r="AD752" s="59"/>
    </row>
    <row r="753" spans="1:30" ht="12.75" customHeight="1" x14ac:dyDescent="0.2">
      <c r="A753" s="56"/>
      <c r="B753" s="56"/>
      <c r="C753" s="56"/>
      <c r="D753" s="57"/>
      <c r="E753" s="57"/>
      <c r="F753" s="56"/>
      <c r="G753" s="56"/>
      <c r="H753" s="56"/>
      <c r="I753" s="56"/>
      <c r="J753" s="56"/>
      <c r="K753" s="56"/>
      <c r="L753" s="56"/>
      <c r="M753" s="58"/>
      <c r="N753" s="58"/>
      <c r="O753" s="58"/>
      <c r="P753" s="58"/>
      <c r="Q753" s="58"/>
      <c r="R753" s="58"/>
      <c r="S753" s="58"/>
      <c r="T753" s="58"/>
      <c r="U753" s="58"/>
      <c r="V753" s="58"/>
      <c r="W753" s="58"/>
      <c r="X753" s="58"/>
      <c r="Y753" s="58"/>
      <c r="Z753" s="58"/>
      <c r="AA753" s="58"/>
      <c r="AB753" s="58"/>
      <c r="AC753" s="59"/>
      <c r="AD753" s="59"/>
    </row>
    <row r="754" spans="1:30" ht="12.75" customHeight="1" x14ac:dyDescent="0.2">
      <c r="A754" s="56"/>
      <c r="B754" s="56"/>
      <c r="C754" s="56"/>
      <c r="D754" s="57"/>
      <c r="E754" s="57"/>
      <c r="F754" s="56"/>
      <c r="G754" s="56"/>
      <c r="H754" s="56"/>
      <c r="I754" s="56"/>
      <c r="J754" s="56"/>
      <c r="K754" s="56"/>
      <c r="L754" s="56"/>
      <c r="M754" s="58"/>
      <c r="N754" s="58"/>
      <c r="O754" s="58"/>
      <c r="P754" s="58"/>
      <c r="Q754" s="58"/>
      <c r="R754" s="58"/>
      <c r="S754" s="58"/>
      <c r="T754" s="58"/>
      <c r="U754" s="58"/>
      <c r="V754" s="58"/>
      <c r="W754" s="58"/>
      <c r="X754" s="58"/>
      <c r="Y754" s="58"/>
      <c r="Z754" s="58"/>
      <c r="AA754" s="58"/>
      <c r="AB754" s="58"/>
      <c r="AC754" s="59"/>
      <c r="AD754" s="59"/>
    </row>
    <row r="755" spans="1:30" ht="12.75" customHeight="1" x14ac:dyDescent="0.2">
      <c r="A755" s="56"/>
      <c r="B755" s="56"/>
      <c r="C755" s="56"/>
      <c r="D755" s="57"/>
      <c r="E755" s="57"/>
      <c r="F755" s="56"/>
      <c r="G755" s="56"/>
      <c r="H755" s="56"/>
      <c r="I755" s="56"/>
      <c r="J755" s="56"/>
      <c r="K755" s="56"/>
      <c r="L755" s="56"/>
      <c r="M755" s="58"/>
      <c r="N755" s="58"/>
      <c r="O755" s="58"/>
      <c r="P755" s="58"/>
      <c r="Q755" s="58"/>
      <c r="R755" s="58"/>
      <c r="S755" s="58"/>
      <c r="T755" s="58"/>
      <c r="U755" s="58"/>
      <c r="V755" s="58"/>
      <c r="W755" s="58"/>
      <c r="X755" s="58"/>
      <c r="Y755" s="58"/>
      <c r="Z755" s="58"/>
      <c r="AA755" s="58"/>
      <c r="AB755" s="58"/>
      <c r="AC755" s="59"/>
      <c r="AD755" s="59"/>
    </row>
    <row r="756" spans="1:30" ht="12.75" customHeight="1" x14ac:dyDescent="0.2">
      <c r="A756" s="56"/>
      <c r="B756" s="56"/>
      <c r="C756" s="56"/>
      <c r="D756" s="57"/>
      <c r="E756" s="57"/>
      <c r="F756" s="56"/>
      <c r="G756" s="56"/>
      <c r="H756" s="56"/>
      <c r="I756" s="56"/>
      <c r="J756" s="56"/>
      <c r="K756" s="56"/>
      <c r="L756" s="56"/>
      <c r="M756" s="58"/>
      <c r="N756" s="58"/>
      <c r="O756" s="58"/>
      <c r="P756" s="58"/>
      <c r="Q756" s="58"/>
      <c r="R756" s="58"/>
      <c r="S756" s="58"/>
      <c r="T756" s="58"/>
      <c r="U756" s="58"/>
      <c r="V756" s="58"/>
      <c r="W756" s="58"/>
      <c r="X756" s="58"/>
      <c r="Y756" s="58"/>
      <c r="Z756" s="58"/>
      <c r="AA756" s="58"/>
      <c r="AB756" s="58"/>
      <c r="AC756" s="59"/>
      <c r="AD756" s="59"/>
    </row>
    <row r="757" spans="1:30" ht="12.75" customHeight="1" x14ac:dyDescent="0.2">
      <c r="A757" s="56"/>
      <c r="B757" s="56"/>
      <c r="C757" s="56"/>
      <c r="D757" s="57"/>
      <c r="E757" s="57"/>
      <c r="F757" s="56"/>
      <c r="G757" s="56"/>
      <c r="H757" s="56"/>
      <c r="I757" s="56"/>
      <c r="J757" s="56"/>
      <c r="K757" s="56"/>
      <c r="L757" s="56"/>
      <c r="M757" s="58"/>
      <c r="N757" s="58"/>
      <c r="O757" s="58"/>
      <c r="P757" s="58"/>
      <c r="Q757" s="58"/>
      <c r="R757" s="58"/>
      <c r="S757" s="58"/>
      <c r="T757" s="58"/>
      <c r="U757" s="58"/>
      <c r="V757" s="58"/>
      <c r="W757" s="58"/>
      <c r="X757" s="58"/>
      <c r="Y757" s="58"/>
      <c r="Z757" s="58"/>
      <c r="AA757" s="58"/>
      <c r="AB757" s="58"/>
      <c r="AC757" s="59"/>
      <c r="AD757" s="59"/>
    </row>
    <row r="758" spans="1:30" ht="12.75" customHeight="1" x14ac:dyDescent="0.2">
      <c r="A758" s="56"/>
      <c r="B758" s="56"/>
      <c r="C758" s="56"/>
      <c r="D758" s="57"/>
      <c r="E758" s="57"/>
      <c r="F758" s="56"/>
      <c r="G758" s="56"/>
      <c r="H758" s="56"/>
      <c r="I758" s="56"/>
      <c r="J758" s="56"/>
      <c r="K758" s="56"/>
      <c r="L758" s="56"/>
      <c r="M758" s="58"/>
      <c r="N758" s="58"/>
      <c r="O758" s="58"/>
      <c r="P758" s="58"/>
      <c r="Q758" s="58"/>
      <c r="R758" s="58"/>
      <c r="S758" s="58"/>
      <c r="T758" s="58"/>
      <c r="U758" s="58"/>
      <c r="V758" s="58"/>
      <c r="W758" s="58"/>
      <c r="X758" s="58"/>
      <c r="Y758" s="58"/>
      <c r="Z758" s="58"/>
      <c r="AA758" s="58"/>
      <c r="AB758" s="58"/>
      <c r="AC758" s="59"/>
      <c r="AD758" s="59"/>
    </row>
    <row r="759" spans="1:30" ht="12.75" customHeight="1" x14ac:dyDescent="0.2">
      <c r="A759" s="56"/>
      <c r="B759" s="56"/>
      <c r="C759" s="56"/>
      <c r="D759" s="57"/>
      <c r="E759" s="57"/>
      <c r="F759" s="56"/>
      <c r="G759" s="56"/>
      <c r="H759" s="56"/>
      <c r="I759" s="56"/>
      <c r="J759" s="56"/>
      <c r="K759" s="56"/>
      <c r="L759" s="56"/>
      <c r="M759" s="58"/>
      <c r="N759" s="58"/>
      <c r="O759" s="58"/>
      <c r="P759" s="58"/>
      <c r="Q759" s="58"/>
      <c r="R759" s="58"/>
      <c r="S759" s="58"/>
      <c r="T759" s="58"/>
      <c r="U759" s="58"/>
      <c r="V759" s="58"/>
      <c r="W759" s="58"/>
      <c r="X759" s="58"/>
      <c r="Y759" s="58"/>
      <c r="Z759" s="58"/>
      <c r="AA759" s="58"/>
      <c r="AB759" s="58"/>
      <c r="AC759" s="59"/>
      <c r="AD759" s="59"/>
    </row>
    <row r="760" spans="1:30" ht="12.75" customHeight="1" x14ac:dyDescent="0.2">
      <c r="A760" s="56"/>
      <c r="B760" s="56"/>
      <c r="C760" s="56"/>
      <c r="D760" s="57"/>
      <c r="E760" s="57"/>
      <c r="F760" s="56"/>
      <c r="G760" s="56"/>
      <c r="H760" s="56"/>
      <c r="I760" s="56"/>
      <c r="J760" s="56"/>
      <c r="K760" s="56"/>
      <c r="L760" s="56"/>
      <c r="M760" s="58"/>
      <c r="N760" s="58"/>
      <c r="O760" s="58"/>
      <c r="P760" s="58"/>
      <c r="Q760" s="58"/>
      <c r="R760" s="58"/>
      <c r="S760" s="58"/>
      <c r="T760" s="58"/>
      <c r="U760" s="58"/>
      <c r="V760" s="58"/>
      <c r="W760" s="58"/>
      <c r="X760" s="58"/>
      <c r="Y760" s="58"/>
      <c r="Z760" s="58"/>
      <c r="AA760" s="58"/>
      <c r="AB760" s="58"/>
      <c r="AC760" s="59"/>
      <c r="AD760" s="59"/>
    </row>
    <row r="761" spans="1:30" ht="12.75" customHeight="1" x14ac:dyDescent="0.2">
      <c r="A761" s="56"/>
      <c r="B761" s="56"/>
      <c r="C761" s="56"/>
      <c r="D761" s="57"/>
      <c r="E761" s="57"/>
      <c r="F761" s="56"/>
      <c r="G761" s="56"/>
      <c r="H761" s="56"/>
      <c r="I761" s="56"/>
      <c r="J761" s="56"/>
      <c r="K761" s="56"/>
      <c r="L761" s="56"/>
      <c r="M761" s="58"/>
      <c r="N761" s="58"/>
      <c r="O761" s="58"/>
      <c r="P761" s="58"/>
      <c r="Q761" s="58"/>
      <c r="R761" s="58"/>
      <c r="S761" s="58"/>
      <c r="T761" s="58"/>
      <c r="U761" s="58"/>
      <c r="V761" s="58"/>
      <c r="W761" s="58"/>
      <c r="X761" s="58"/>
      <c r="Y761" s="58"/>
      <c r="Z761" s="58"/>
      <c r="AA761" s="58"/>
      <c r="AB761" s="58"/>
      <c r="AC761" s="59"/>
      <c r="AD761" s="59"/>
    </row>
    <row r="762" spans="1:30" ht="12.75" customHeight="1" x14ac:dyDescent="0.2">
      <c r="A762" s="56"/>
      <c r="B762" s="56"/>
      <c r="C762" s="56"/>
      <c r="D762" s="57"/>
      <c r="E762" s="57"/>
      <c r="F762" s="56"/>
      <c r="G762" s="56"/>
      <c r="H762" s="56"/>
      <c r="I762" s="56"/>
      <c r="J762" s="56"/>
      <c r="K762" s="56"/>
      <c r="L762" s="56"/>
      <c r="M762" s="58"/>
      <c r="N762" s="58"/>
      <c r="O762" s="58"/>
      <c r="P762" s="58"/>
      <c r="Q762" s="58"/>
      <c r="R762" s="58"/>
      <c r="S762" s="58"/>
      <c r="T762" s="58"/>
      <c r="U762" s="58"/>
      <c r="V762" s="58"/>
      <c r="W762" s="58"/>
      <c r="X762" s="58"/>
      <c r="Y762" s="58"/>
      <c r="Z762" s="58"/>
      <c r="AA762" s="58"/>
      <c r="AB762" s="58"/>
      <c r="AC762" s="59"/>
      <c r="AD762" s="59"/>
    </row>
    <row r="763" spans="1:30" ht="12.75" customHeight="1" x14ac:dyDescent="0.2">
      <c r="A763" s="56"/>
      <c r="B763" s="56"/>
      <c r="C763" s="56"/>
      <c r="D763" s="57"/>
      <c r="E763" s="57"/>
      <c r="F763" s="56"/>
      <c r="G763" s="56"/>
      <c r="H763" s="56"/>
      <c r="I763" s="56"/>
      <c r="J763" s="56"/>
      <c r="K763" s="56"/>
      <c r="L763" s="56"/>
      <c r="M763" s="58"/>
      <c r="N763" s="58"/>
      <c r="O763" s="58"/>
      <c r="P763" s="58"/>
      <c r="Q763" s="58"/>
      <c r="R763" s="58"/>
      <c r="S763" s="58"/>
      <c r="T763" s="58"/>
      <c r="U763" s="58"/>
      <c r="V763" s="58"/>
      <c r="W763" s="58"/>
      <c r="X763" s="58"/>
      <c r="Y763" s="58"/>
      <c r="Z763" s="58"/>
      <c r="AA763" s="58"/>
      <c r="AB763" s="58"/>
      <c r="AC763" s="59"/>
      <c r="AD763" s="59"/>
    </row>
    <row r="764" spans="1:30" ht="12.75" customHeight="1" x14ac:dyDescent="0.2">
      <c r="A764" s="56"/>
      <c r="B764" s="56"/>
      <c r="C764" s="56"/>
      <c r="D764" s="57"/>
      <c r="E764" s="57"/>
      <c r="F764" s="56"/>
      <c r="G764" s="56"/>
      <c r="H764" s="56"/>
      <c r="I764" s="56"/>
      <c r="J764" s="56"/>
      <c r="K764" s="56"/>
      <c r="L764" s="56"/>
      <c r="M764" s="58"/>
      <c r="N764" s="58"/>
      <c r="O764" s="58"/>
      <c r="P764" s="58"/>
      <c r="Q764" s="58"/>
      <c r="R764" s="58"/>
      <c r="S764" s="58"/>
      <c r="T764" s="58"/>
      <c r="U764" s="58"/>
      <c r="V764" s="58"/>
      <c r="W764" s="58"/>
      <c r="X764" s="58"/>
      <c r="Y764" s="58"/>
      <c r="Z764" s="58"/>
      <c r="AA764" s="58"/>
      <c r="AB764" s="58"/>
      <c r="AC764" s="59"/>
      <c r="AD764" s="59"/>
    </row>
    <row r="765" spans="1:30" ht="12.75" customHeight="1" x14ac:dyDescent="0.2">
      <c r="A765" s="56"/>
      <c r="B765" s="56"/>
      <c r="C765" s="56"/>
      <c r="D765" s="57"/>
      <c r="E765" s="57"/>
      <c r="F765" s="56"/>
      <c r="G765" s="56"/>
      <c r="H765" s="56"/>
      <c r="I765" s="56"/>
      <c r="J765" s="56"/>
      <c r="K765" s="56"/>
      <c r="L765" s="56"/>
      <c r="M765" s="58"/>
      <c r="N765" s="58"/>
      <c r="O765" s="58"/>
      <c r="P765" s="58"/>
      <c r="Q765" s="58"/>
      <c r="R765" s="58"/>
      <c r="S765" s="58"/>
      <c r="T765" s="58"/>
      <c r="U765" s="58"/>
      <c r="V765" s="58"/>
      <c r="W765" s="58"/>
      <c r="X765" s="58"/>
      <c r="Y765" s="58"/>
      <c r="Z765" s="58"/>
      <c r="AA765" s="58"/>
      <c r="AB765" s="58"/>
      <c r="AC765" s="59"/>
      <c r="AD765" s="59"/>
    </row>
    <row r="766" spans="1:30" ht="12.75" customHeight="1" x14ac:dyDescent="0.2">
      <c r="A766" s="56"/>
      <c r="B766" s="56"/>
      <c r="C766" s="56"/>
      <c r="D766" s="57"/>
      <c r="E766" s="57"/>
      <c r="F766" s="56"/>
      <c r="G766" s="56"/>
      <c r="H766" s="56"/>
      <c r="I766" s="56"/>
      <c r="J766" s="56"/>
      <c r="K766" s="56"/>
      <c r="L766" s="56"/>
      <c r="M766" s="58"/>
      <c r="N766" s="58"/>
      <c r="O766" s="58"/>
      <c r="P766" s="58"/>
      <c r="Q766" s="58"/>
      <c r="R766" s="58"/>
      <c r="S766" s="58"/>
      <c r="T766" s="58"/>
      <c r="U766" s="58"/>
      <c r="V766" s="58"/>
      <c r="W766" s="58"/>
      <c r="X766" s="58"/>
      <c r="Y766" s="58"/>
      <c r="Z766" s="58"/>
      <c r="AA766" s="58"/>
      <c r="AB766" s="58"/>
      <c r="AC766" s="59"/>
      <c r="AD766" s="59"/>
    </row>
    <row r="767" spans="1:30" ht="12.75" customHeight="1" x14ac:dyDescent="0.2">
      <c r="A767" s="56"/>
      <c r="B767" s="56"/>
      <c r="C767" s="56"/>
      <c r="D767" s="57"/>
      <c r="E767" s="57"/>
      <c r="F767" s="56"/>
      <c r="G767" s="56"/>
      <c r="H767" s="56"/>
      <c r="I767" s="56"/>
      <c r="J767" s="56"/>
      <c r="K767" s="56"/>
      <c r="L767" s="56"/>
      <c r="M767" s="58"/>
      <c r="N767" s="58"/>
      <c r="O767" s="58"/>
      <c r="P767" s="58"/>
      <c r="Q767" s="58"/>
      <c r="R767" s="58"/>
      <c r="S767" s="58"/>
      <c r="T767" s="58"/>
      <c r="U767" s="58"/>
      <c r="V767" s="58"/>
      <c r="W767" s="58"/>
      <c r="X767" s="58"/>
      <c r="Y767" s="58"/>
      <c r="Z767" s="58"/>
      <c r="AA767" s="58"/>
      <c r="AB767" s="58"/>
      <c r="AC767" s="59"/>
      <c r="AD767" s="59"/>
    </row>
    <row r="768" spans="1:30" ht="12.75" customHeight="1" x14ac:dyDescent="0.2">
      <c r="A768" s="56"/>
      <c r="B768" s="56"/>
      <c r="C768" s="56"/>
      <c r="D768" s="57"/>
      <c r="E768" s="57"/>
      <c r="F768" s="56"/>
      <c r="G768" s="56"/>
      <c r="H768" s="56"/>
      <c r="I768" s="56"/>
      <c r="J768" s="56"/>
      <c r="K768" s="56"/>
      <c r="L768" s="56"/>
      <c r="M768" s="58"/>
      <c r="N768" s="58"/>
      <c r="O768" s="58"/>
      <c r="P768" s="58"/>
      <c r="Q768" s="58"/>
      <c r="R768" s="58"/>
      <c r="S768" s="58"/>
      <c r="T768" s="58"/>
      <c r="U768" s="58"/>
      <c r="V768" s="58"/>
      <c r="W768" s="58"/>
      <c r="X768" s="58"/>
      <c r="Y768" s="58"/>
      <c r="Z768" s="58"/>
      <c r="AA768" s="58"/>
      <c r="AB768" s="58"/>
      <c r="AC768" s="59"/>
      <c r="AD768" s="59"/>
    </row>
    <row r="769" spans="1:30" ht="12.75" customHeight="1" x14ac:dyDescent="0.2">
      <c r="A769" s="56"/>
      <c r="B769" s="56"/>
      <c r="C769" s="56"/>
      <c r="D769" s="57"/>
      <c r="E769" s="57"/>
      <c r="F769" s="56"/>
      <c r="G769" s="56"/>
      <c r="H769" s="56"/>
      <c r="I769" s="56"/>
      <c r="J769" s="56"/>
      <c r="K769" s="56"/>
      <c r="L769" s="56"/>
      <c r="M769" s="58"/>
      <c r="N769" s="58"/>
      <c r="O769" s="58"/>
      <c r="P769" s="58"/>
      <c r="Q769" s="58"/>
      <c r="R769" s="58"/>
      <c r="S769" s="58"/>
      <c r="T769" s="58"/>
      <c r="U769" s="58"/>
      <c r="V769" s="58"/>
      <c r="W769" s="58"/>
      <c r="X769" s="58"/>
      <c r="Y769" s="58"/>
      <c r="Z769" s="58"/>
      <c r="AA769" s="58"/>
      <c r="AB769" s="58"/>
      <c r="AC769" s="59"/>
      <c r="AD769" s="59"/>
    </row>
    <row r="770" spans="1:30" ht="12.75" customHeight="1" x14ac:dyDescent="0.2">
      <c r="A770" s="56"/>
      <c r="B770" s="56"/>
      <c r="C770" s="56"/>
      <c r="D770" s="57"/>
      <c r="E770" s="57"/>
      <c r="F770" s="56"/>
      <c r="G770" s="56"/>
      <c r="H770" s="56"/>
      <c r="I770" s="56"/>
      <c r="J770" s="56"/>
      <c r="K770" s="56"/>
      <c r="L770" s="56"/>
      <c r="M770" s="58"/>
      <c r="N770" s="58"/>
      <c r="O770" s="58"/>
      <c r="P770" s="58"/>
      <c r="Q770" s="58"/>
      <c r="R770" s="58"/>
      <c r="S770" s="58"/>
      <c r="T770" s="58"/>
      <c r="U770" s="58"/>
      <c r="V770" s="58"/>
      <c r="W770" s="58"/>
      <c r="X770" s="58"/>
      <c r="Y770" s="58"/>
      <c r="Z770" s="58"/>
      <c r="AA770" s="58"/>
      <c r="AB770" s="58"/>
      <c r="AC770" s="59"/>
      <c r="AD770" s="59"/>
    </row>
    <row r="771" spans="1:30" ht="12.75" customHeight="1" x14ac:dyDescent="0.2">
      <c r="A771" s="56"/>
      <c r="B771" s="56"/>
      <c r="C771" s="56"/>
      <c r="D771" s="57"/>
      <c r="E771" s="57"/>
      <c r="F771" s="56"/>
      <c r="G771" s="56"/>
      <c r="H771" s="56"/>
      <c r="I771" s="56"/>
      <c r="J771" s="56"/>
      <c r="K771" s="56"/>
      <c r="L771" s="56"/>
      <c r="M771" s="58"/>
      <c r="N771" s="58"/>
      <c r="O771" s="58"/>
      <c r="P771" s="58"/>
      <c r="Q771" s="58"/>
      <c r="R771" s="58"/>
      <c r="S771" s="58"/>
      <c r="T771" s="58"/>
      <c r="U771" s="58"/>
      <c r="V771" s="58"/>
      <c r="W771" s="58"/>
      <c r="X771" s="58"/>
      <c r="Y771" s="58"/>
      <c r="Z771" s="58"/>
      <c r="AA771" s="58"/>
      <c r="AB771" s="58"/>
      <c r="AC771" s="59"/>
      <c r="AD771" s="59"/>
    </row>
    <row r="772" spans="1:30" ht="12.75" customHeight="1" x14ac:dyDescent="0.2">
      <c r="A772" s="56"/>
      <c r="B772" s="56"/>
      <c r="C772" s="56"/>
      <c r="D772" s="57"/>
      <c r="E772" s="57"/>
      <c r="F772" s="56"/>
      <c r="G772" s="56"/>
      <c r="H772" s="56"/>
      <c r="I772" s="56"/>
      <c r="J772" s="56"/>
      <c r="K772" s="56"/>
      <c r="L772" s="56"/>
      <c r="M772" s="58"/>
      <c r="N772" s="58"/>
      <c r="O772" s="58"/>
      <c r="P772" s="58"/>
      <c r="Q772" s="58"/>
      <c r="R772" s="58"/>
      <c r="S772" s="58"/>
      <c r="T772" s="58"/>
      <c r="U772" s="58"/>
      <c r="V772" s="58"/>
      <c r="W772" s="58"/>
      <c r="X772" s="58"/>
      <c r="Y772" s="58"/>
      <c r="Z772" s="58"/>
      <c r="AA772" s="58"/>
      <c r="AB772" s="58"/>
      <c r="AC772" s="59"/>
      <c r="AD772" s="59"/>
    </row>
    <row r="773" spans="1:30" ht="12.75" customHeight="1" x14ac:dyDescent="0.2">
      <c r="A773" s="56"/>
      <c r="B773" s="56"/>
      <c r="C773" s="56"/>
      <c r="D773" s="57"/>
      <c r="E773" s="57"/>
      <c r="F773" s="56"/>
      <c r="G773" s="56"/>
      <c r="H773" s="56"/>
      <c r="I773" s="56"/>
      <c r="J773" s="56"/>
      <c r="K773" s="56"/>
      <c r="L773" s="56"/>
      <c r="M773" s="58"/>
      <c r="N773" s="58"/>
      <c r="O773" s="58"/>
      <c r="P773" s="58"/>
      <c r="Q773" s="58"/>
      <c r="R773" s="58"/>
      <c r="S773" s="58"/>
      <c r="T773" s="58"/>
      <c r="U773" s="58"/>
      <c r="V773" s="58"/>
      <c r="W773" s="58"/>
      <c r="X773" s="58"/>
      <c r="Y773" s="58"/>
      <c r="Z773" s="58"/>
      <c r="AA773" s="58"/>
      <c r="AB773" s="58"/>
      <c r="AC773" s="59"/>
      <c r="AD773" s="59"/>
    </row>
    <row r="774" spans="1:30" ht="12.75" customHeight="1" x14ac:dyDescent="0.2">
      <c r="A774" s="56"/>
      <c r="B774" s="56"/>
      <c r="C774" s="56"/>
      <c r="D774" s="57"/>
      <c r="E774" s="57"/>
      <c r="F774" s="56"/>
      <c r="G774" s="56"/>
      <c r="H774" s="56"/>
      <c r="I774" s="56"/>
      <c r="J774" s="56"/>
      <c r="K774" s="56"/>
      <c r="L774" s="56"/>
      <c r="M774" s="58"/>
      <c r="N774" s="58"/>
      <c r="O774" s="58"/>
      <c r="P774" s="58"/>
      <c r="Q774" s="58"/>
      <c r="R774" s="58"/>
      <c r="S774" s="58"/>
      <c r="T774" s="58"/>
      <c r="U774" s="58"/>
      <c r="V774" s="58"/>
      <c r="W774" s="58"/>
      <c r="X774" s="58"/>
      <c r="Y774" s="58"/>
      <c r="Z774" s="58"/>
      <c r="AA774" s="58"/>
      <c r="AB774" s="58"/>
      <c r="AC774" s="59"/>
      <c r="AD774" s="59"/>
    </row>
    <row r="775" spans="1:30" ht="12.75" customHeight="1" x14ac:dyDescent="0.2">
      <c r="A775" s="56"/>
      <c r="B775" s="56"/>
      <c r="C775" s="56"/>
      <c r="D775" s="57"/>
      <c r="E775" s="57"/>
      <c r="F775" s="56"/>
      <c r="G775" s="56"/>
      <c r="H775" s="56"/>
      <c r="I775" s="56"/>
      <c r="J775" s="56"/>
      <c r="K775" s="56"/>
      <c r="L775" s="56"/>
      <c r="M775" s="58"/>
      <c r="N775" s="58"/>
      <c r="O775" s="58"/>
      <c r="P775" s="58"/>
      <c r="Q775" s="58"/>
      <c r="R775" s="58"/>
      <c r="S775" s="58"/>
      <c r="T775" s="58"/>
      <c r="U775" s="58"/>
      <c r="V775" s="58"/>
      <c r="W775" s="58"/>
      <c r="X775" s="58"/>
      <c r="Y775" s="58"/>
      <c r="Z775" s="58"/>
      <c r="AA775" s="58"/>
      <c r="AB775" s="58"/>
      <c r="AC775" s="59"/>
      <c r="AD775" s="59"/>
    </row>
    <row r="776" spans="1:30" ht="12.75" customHeight="1" x14ac:dyDescent="0.2">
      <c r="A776" s="56"/>
      <c r="B776" s="56"/>
      <c r="C776" s="56"/>
      <c r="D776" s="57"/>
      <c r="E776" s="57"/>
      <c r="F776" s="56"/>
      <c r="G776" s="56"/>
      <c r="H776" s="56"/>
      <c r="I776" s="56"/>
      <c r="J776" s="56"/>
      <c r="K776" s="56"/>
      <c r="L776" s="56"/>
      <c r="M776" s="58"/>
      <c r="N776" s="58"/>
      <c r="O776" s="58"/>
      <c r="P776" s="58"/>
      <c r="Q776" s="58"/>
      <c r="R776" s="58"/>
      <c r="S776" s="58"/>
      <c r="T776" s="58"/>
      <c r="U776" s="58"/>
      <c r="V776" s="58"/>
      <c r="W776" s="58"/>
      <c r="X776" s="58"/>
      <c r="Y776" s="58"/>
      <c r="Z776" s="58"/>
      <c r="AA776" s="58"/>
      <c r="AB776" s="58"/>
      <c r="AC776" s="59"/>
      <c r="AD776" s="59"/>
    </row>
    <row r="777" spans="1:30" ht="12.75" customHeight="1" x14ac:dyDescent="0.2">
      <c r="A777" s="56"/>
      <c r="B777" s="56"/>
      <c r="C777" s="56"/>
      <c r="D777" s="57"/>
      <c r="E777" s="57"/>
      <c r="F777" s="56"/>
      <c r="G777" s="56"/>
      <c r="H777" s="56"/>
      <c r="I777" s="56"/>
      <c r="J777" s="56"/>
      <c r="K777" s="56"/>
      <c r="L777" s="56"/>
      <c r="M777" s="58"/>
      <c r="N777" s="58"/>
      <c r="O777" s="58"/>
      <c r="P777" s="58"/>
      <c r="Q777" s="58"/>
      <c r="R777" s="58"/>
      <c r="S777" s="58"/>
      <c r="T777" s="58"/>
      <c r="U777" s="58"/>
      <c r="V777" s="58"/>
      <c r="W777" s="58"/>
      <c r="X777" s="58"/>
      <c r="Y777" s="58"/>
      <c r="Z777" s="58"/>
      <c r="AA777" s="58"/>
      <c r="AB777" s="58"/>
      <c r="AC777" s="59"/>
      <c r="AD777" s="59"/>
    </row>
    <row r="778" spans="1:30" ht="12.75" customHeight="1" x14ac:dyDescent="0.2">
      <c r="A778" s="56"/>
      <c r="B778" s="56"/>
      <c r="C778" s="56"/>
      <c r="D778" s="57"/>
      <c r="E778" s="57"/>
      <c r="F778" s="56"/>
      <c r="G778" s="56"/>
      <c r="H778" s="56"/>
      <c r="I778" s="56"/>
      <c r="J778" s="56"/>
      <c r="K778" s="56"/>
      <c r="L778" s="56"/>
      <c r="M778" s="58"/>
      <c r="N778" s="58"/>
      <c r="O778" s="58"/>
      <c r="P778" s="58"/>
      <c r="Q778" s="58"/>
      <c r="R778" s="58"/>
      <c r="S778" s="58"/>
      <c r="T778" s="58"/>
      <c r="U778" s="58"/>
      <c r="V778" s="58"/>
      <c r="W778" s="58"/>
      <c r="X778" s="58"/>
      <c r="Y778" s="58"/>
      <c r="Z778" s="58"/>
      <c r="AA778" s="58"/>
      <c r="AB778" s="58"/>
      <c r="AC778" s="59"/>
      <c r="AD778" s="59"/>
    </row>
    <row r="779" spans="1:30" ht="12.75" customHeight="1" x14ac:dyDescent="0.2">
      <c r="A779" s="56"/>
      <c r="B779" s="56"/>
      <c r="C779" s="56"/>
      <c r="D779" s="57"/>
      <c r="E779" s="57"/>
      <c r="F779" s="56"/>
      <c r="G779" s="56"/>
      <c r="H779" s="56"/>
      <c r="I779" s="56"/>
      <c r="J779" s="56"/>
      <c r="K779" s="56"/>
      <c r="L779" s="56"/>
      <c r="M779" s="58"/>
      <c r="N779" s="58"/>
      <c r="O779" s="58"/>
      <c r="P779" s="58"/>
      <c r="Q779" s="58"/>
      <c r="R779" s="58"/>
      <c r="S779" s="58"/>
      <c r="T779" s="58"/>
      <c r="U779" s="58"/>
      <c r="V779" s="58"/>
      <c r="W779" s="58"/>
      <c r="X779" s="58"/>
      <c r="Y779" s="58"/>
      <c r="Z779" s="58"/>
      <c r="AA779" s="58"/>
      <c r="AB779" s="58"/>
      <c r="AC779" s="59"/>
      <c r="AD779" s="59"/>
    </row>
    <row r="780" spans="1:30" ht="12.75" customHeight="1" x14ac:dyDescent="0.2">
      <c r="A780" s="56"/>
      <c r="B780" s="56"/>
      <c r="C780" s="56"/>
      <c r="D780" s="57"/>
      <c r="E780" s="57"/>
      <c r="F780" s="56"/>
      <c r="G780" s="56"/>
      <c r="H780" s="56"/>
      <c r="I780" s="56"/>
      <c r="J780" s="56"/>
      <c r="K780" s="56"/>
      <c r="L780" s="56"/>
      <c r="M780" s="58"/>
      <c r="N780" s="58"/>
      <c r="O780" s="58"/>
      <c r="P780" s="58"/>
      <c r="Q780" s="58"/>
      <c r="R780" s="58"/>
      <c r="S780" s="58"/>
      <c r="T780" s="58"/>
      <c r="U780" s="58"/>
      <c r="V780" s="58"/>
      <c r="W780" s="58"/>
      <c r="X780" s="58"/>
      <c r="Y780" s="58"/>
      <c r="Z780" s="58"/>
      <c r="AA780" s="58"/>
      <c r="AB780" s="58"/>
      <c r="AC780" s="59"/>
      <c r="AD780" s="59"/>
    </row>
    <row r="781" spans="1:30" ht="12.75" customHeight="1" x14ac:dyDescent="0.2">
      <c r="A781" s="56"/>
      <c r="B781" s="56"/>
      <c r="C781" s="56"/>
      <c r="D781" s="57"/>
      <c r="E781" s="57"/>
      <c r="F781" s="56"/>
      <c r="G781" s="56"/>
      <c r="H781" s="56"/>
      <c r="I781" s="56"/>
      <c r="J781" s="56"/>
      <c r="K781" s="56"/>
      <c r="L781" s="56"/>
      <c r="M781" s="58"/>
      <c r="N781" s="58"/>
      <c r="O781" s="58"/>
      <c r="P781" s="58"/>
      <c r="Q781" s="58"/>
      <c r="R781" s="58"/>
      <c r="S781" s="58"/>
      <c r="T781" s="58"/>
      <c r="U781" s="58"/>
      <c r="V781" s="58"/>
      <c r="W781" s="58"/>
      <c r="X781" s="58"/>
      <c r="Y781" s="58"/>
      <c r="Z781" s="58"/>
      <c r="AA781" s="58"/>
      <c r="AB781" s="58"/>
      <c r="AC781" s="59"/>
      <c r="AD781" s="59"/>
    </row>
    <row r="782" spans="1:30" ht="12.75" customHeight="1" x14ac:dyDescent="0.2">
      <c r="A782" s="56"/>
      <c r="B782" s="56"/>
      <c r="C782" s="56"/>
      <c r="D782" s="57"/>
      <c r="E782" s="57"/>
      <c r="F782" s="56"/>
      <c r="G782" s="56"/>
      <c r="H782" s="56"/>
      <c r="I782" s="56"/>
      <c r="J782" s="56"/>
      <c r="K782" s="56"/>
      <c r="L782" s="56"/>
      <c r="M782" s="58"/>
      <c r="N782" s="58"/>
      <c r="O782" s="58"/>
      <c r="P782" s="58"/>
      <c r="Q782" s="58"/>
      <c r="R782" s="58"/>
      <c r="S782" s="58"/>
      <c r="T782" s="58"/>
      <c r="U782" s="58"/>
      <c r="V782" s="58"/>
      <c r="W782" s="58"/>
      <c r="X782" s="58"/>
      <c r="Y782" s="58"/>
      <c r="Z782" s="58"/>
      <c r="AA782" s="58"/>
      <c r="AB782" s="58"/>
      <c r="AC782" s="59"/>
      <c r="AD782" s="59"/>
    </row>
    <row r="783" spans="1:30" ht="12.75" customHeight="1" x14ac:dyDescent="0.2">
      <c r="A783" s="56"/>
      <c r="B783" s="56"/>
      <c r="C783" s="56"/>
      <c r="D783" s="57"/>
      <c r="E783" s="57"/>
      <c r="F783" s="56"/>
      <c r="G783" s="56"/>
      <c r="H783" s="56"/>
      <c r="I783" s="56"/>
      <c r="J783" s="56"/>
      <c r="K783" s="56"/>
      <c r="L783" s="56"/>
      <c r="M783" s="58"/>
      <c r="N783" s="58"/>
      <c r="O783" s="58"/>
      <c r="P783" s="58"/>
      <c r="Q783" s="58"/>
      <c r="R783" s="58"/>
      <c r="S783" s="58"/>
      <c r="T783" s="58"/>
      <c r="U783" s="58"/>
      <c r="V783" s="58"/>
      <c r="W783" s="58"/>
      <c r="X783" s="58"/>
      <c r="Y783" s="58"/>
      <c r="Z783" s="58"/>
      <c r="AA783" s="58"/>
      <c r="AB783" s="58"/>
      <c r="AC783" s="59"/>
      <c r="AD783" s="59"/>
    </row>
    <row r="784" spans="1:30" ht="12.75" customHeight="1" x14ac:dyDescent="0.2">
      <c r="A784" s="56"/>
      <c r="B784" s="56"/>
      <c r="C784" s="56"/>
      <c r="D784" s="57"/>
      <c r="E784" s="57"/>
      <c r="F784" s="56"/>
      <c r="G784" s="56"/>
      <c r="H784" s="56"/>
      <c r="I784" s="56"/>
      <c r="J784" s="56"/>
      <c r="K784" s="56"/>
      <c r="L784" s="56"/>
      <c r="M784" s="58"/>
      <c r="N784" s="58"/>
      <c r="O784" s="58"/>
      <c r="P784" s="58"/>
      <c r="Q784" s="58"/>
      <c r="R784" s="58"/>
      <c r="S784" s="58"/>
      <c r="T784" s="58"/>
      <c r="U784" s="58"/>
      <c r="V784" s="58"/>
      <c r="W784" s="58"/>
      <c r="X784" s="58"/>
      <c r="Y784" s="58"/>
      <c r="Z784" s="58"/>
      <c r="AA784" s="58"/>
      <c r="AB784" s="58"/>
      <c r="AC784" s="59"/>
      <c r="AD784" s="59"/>
    </row>
    <row r="785" spans="1:30" ht="12.75" customHeight="1" x14ac:dyDescent="0.2">
      <c r="A785" s="56"/>
      <c r="B785" s="56"/>
      <c r="C785" s="56"/>
      <c r="D785" s="57"/>
      <c r="E785" s="57"/>
      <c r="F785" s="56"/>
      <c r="G785" s="56"/>
      <c r="H785" s="56"/>
      <c r="I785" s="56"/>
      <c r="J785" s="56"/>
      <c r="K785" s="56"/>
      <c r="L785" s="56"/>
      <c r="M785" s="58"/>
      <c r="N785" s="58"/>
      <c r="O785" s="58"/>
      <c r="P785" s="58"/>
      <c r="Q785" s="58"/>
      <c r="R785" s="58"/>
      <c r="S785" s="58"/>
      <c r="T785" s="58"/>
      <c r="U785" s="58"/>
      <c r="V785" s="58"/>
      <c r="W785" s="58"/>
      <c r="X785" s="58"/>
      <c r="Y785" s="58"/>
      <c r="Z785" s="58"/>
      <c r="AA785" s="58"/>
      <c r="AB785" s="58"/>
      <c r="AC785" s="59"/>
      <c r="AD785" s="59"/>
    </row>
    <row r="786" spans="1:30" ht="12.75" customHeight="1" x14ac:dyDescent="0.2">
      <c r="A786" s="56"/>
      <c r="B786" s="56"/>
      <c r="C786" s="56"/>
      <c r="D786" s="57"/>
      <c r="E786" s="57"/>
      <c r="F786" s="56"/>
      <c r="G786" s="56"/>
      <c r="H786" s="56"/>
      <c r="I786" s="56"/>
      <c r="J786" s="56"/>
      <c r="K786" s="56"/>
      <c r="L786" s="56"/>
      <c r="M786" s="58"/>
      <c r="N786" s="58"/>
      <c r="O786" s="58"/>
      <c r="P786" s="58"/>
      <c r="Q786" s="58"/>
      <c r="R786" s="58"/>
      <c r="S786" s="58"/>
      <c r="T786" s="58"/>
      <c r="U786" s="58"/>
      <c r="V786" s="58"/>
      <c r="W786" s="58"/>
      <c r="X786" s="58"/>
      <c r="Y786" s="58"/>
      <c r="Z786" s="58"/>
      <c r="AA786" s="58"/>
      <c r="AB786" s="58"/>
      <c r="AC786" s="59"/>
      <c r="AD786" s="59"/>
    </row>
    <row r="787" spans="1:30" ht="12.75" customHeight="1" x14ac:dyDescent="0.2">
      <c r="A787" s="56"/>
      <c r="B787" s="56"/>
      <c r="C787" s="56"/>
      <c r="D787" s="57"/>
      <c r="E787" s="57"/>
      <c r="F787" s="56"/>
      <c r="G787" s="56"/>
      <c r="H787" s="56"/>
      <c r="I787" s="56"/>
      <c r="J787" s="56"/>
      <c r="K787" s="56"/>
      <c r="L787" s="56"/>
      <c r="M787" s="58"/>
      <c r="N787" s="58"/>
      <c r="O787" s="58"/>
      <c r="P787" s="58"/>
      <c r="Q787" s="58"/>
      <c r="R787" s="58"/>
      <c r="S787" s="58"/>
      <c r="T787" s="58"/>
      <c r="U787" s="58"/>
      <c r="V787" s="58"/>
      <c r="W787" s="58"/>
      <c r="X787" s="58"/>
      <c r="Y787" s="58"/>
      <c r="Z787" s="58"/>
      <c r="AA787" s="58"/>
      <c r="AB787" s="58"/>
      <c r="AC787" s="59"/>
      <c r="AD787" s="59"/>
    </row>
    <row r="788" spans="1:30" ht="12.75" customHeight="1" x14ac:dyDescent="0.2">
      <c r="A788" s="56"/>
      <c r="B788" s="56"/>
      <c r="C788" s="56"/>
      <c r="D788" s="57"/>
      <c r="E788" s="57"/>
      <c r="F788" s="56"/>
      <c r="G788" s="56"/>
      <c r="H788" s="56"/>
      <c r="I788" s="56"/>
      <c r="J788" s="56"/>
      <c r="K788" s="56"/>
      <c r="L788" s="56"/>
      <c r="M788" s="58"/>
      <c r="N788" s="58"/>
      <c r="O788" s="58"/>
      <c r="P788" s="58"/>
      <c r="Q788" s="58"/>
      <c r="R788" s="58"/>
      <c r="S788" s="58"/>
      <c r="T788" s="58"/>
      <c r="U788" s="58"/>
      <c r="V788" s="58"/>
      <c r="W788" s="58"/>
      <c r="X788" s="58"/>
      <c r="Y788" s="58"/>
      <c r="Z788" s="58"/>
      <c r="AA788" s="58"/>
      <c r="AB788" s="58"/>
      <c r="AC788" s="59"/>
      <c r="AD788" s="59"/>
    </row>
    <row r="789" spans="1:30" ht="12.75" customHeight="1" x14ac:dyDescent="0.2">
      <c r="A789" s="56"/>
      <c r="B789" s="56"/>
      <c r="C789" s="56"/>
      <c r="D789" s="57"/>
      <c r="E789" s="57"/>
      <c r="F789" s="56"/>
      <c r="G789" s="56"/>
      <c r="H789" s="56"/>
      <c r="I789" s="56"/>
      <c r="J789" s="56"/>
      <c r="K789" s="56"/>
      <c r="L789" s="56"/>
      <c r="M789" s="58"/>
      <c r="N789" s="58"/>
      <c r="O789" s="58"/>
      <c r="P789" s="58"/>
      <c r="Q789" s="58"/>
      <c r="R789" s="58"/>
      <c r="S789" s="58"/>
      <c r="T789" s="58"/>
      <c r="U789" s="58"/>
      <c r="V789" s="58"/>
      <c r="W789" s="58"/>
      <c r="X789" s="58"/>
      <c r="Y789" s="58"/>
      <c r="Z789" s="58"/>
      <c r="AA789" s="58"/>
      <c r="AB789" s="58"/>
      <c r="AC789" s="59"/>
      <c r="AD789" s="59"/>
    </row>
    <row r="790" spans="1:30" ht="12.75" customHeight="1" x14ac:dyDescent="0.2">
      <c r="A790" s="56"/>
      <c r="B790" s="56"/>
      <c r="C790" s="56"/>
      <c r="D790" s="57"/>
      <c r="E790" s="57"/>
      <c r="F790" s="56"/>
      <c r="G790" s="56"/>
      <c r="H790" s="56"/>
      <c r="I790" s="56"/>
      <c r="J790" s="56"/>
      <c r="K790" s="56"/>
      <c r="L790" s="56"/>
      <c r="M790" s="58"/>
      <c r="N790" s="58"/>
      <c r="O790" s="58"/>
      <c r="P790" s="58"/>
      <c r="Q790" s="58"/>
      <c r="R790" s="58"/>
      <c r="S790" s="58"/>
      <c r="T790" s="58"/>
      <c r="U790" s="58"/>
      <c r="V790" s="58"/>
      <c r="W790" s="58"/>
      <c r="X790" s="58"/>
      <c r="Y790" s="58"/>
      <c r="Z790" s="58"/>
      <c r="AA790" s="58"/>
      <c r="AB790" s="58"/>
      <c r="AC790" s="59"/>
      <c r="AD790" s="59"/>
    </row>
    <row r="791" spans="1:30" ht="12.75" customHeight="1" x14ac:dyDescent="0.2">
      <c r="A791" s="56"/>
      <c r="B791" s="56"/>
      <c r="C791" s="56"/>
      <c r="D791" s="57"/>
      <c r="E791" s="57"/>
      <c r="F791" s="56"/>
      <c r="G791" s="56"/>
      <c r="H791" s="56"/>
      <c r="I791" s="56"/>
      <c r="J791" s="56"/>
      <c r="K791" s="56"/>
      <c r="L791" s="56"/>
      <c r="M791" s="58"/>
      <c r="N791" s="58"/>
      <c r="O791" s="58"/>
      <c r="P791" s="58"/>
      <c r="Q791" s="58"/>
      <c r="R791" s="58"/>
      <c r="S791" s="58"/>
      <c r="T791" s="58"/>
      <c r="U791" s="58"/>
      <c r="V791" s="58"/>
      <c r="W791" s="58"/>
      <c r="X791" s="58"/>
      <c r="Y791" s="58"/>
      <c r="Z791" s="58"/>
      <c r="AA791" s="58"/>
      <c r="AB791" s="58"/>
      <c r="AC791" s="59"/>
      <c r="AD791" s="59"/>
    </row>
    <row r="792" spans="1:30" ht="12.75" customHeight="1" x14ac:dyDescent="0.2">
      <c r="A792" s="56"/>
      <c r="B792" s="56"/>
      <c r="C792" s="56"/>
      <c r="D792" s="57"/>
      <c r="E792" s="57"/>
      <c r="F792" s="56"/>
      <c r="G792" s="56"/>
      <c r="H792" s="56"/>
      <c r="I792" s="56"/>
      <c r="J792" s="56"/>
      <c r="K792" s="56"/>
      <c r="L792" s="56"/>
      <c r="M792" s="58"/>
      <c r="N792" s="58"/>
      <c r="O792" s="58"/>
      <c r="P792" s="58"/>
      <c r="Q792" s="58"/>
      <c r="R792" s="58"/>
      <c r="S792" s="58"/>
      <c r="T792" s="58"/>
      <c r="U792" s="58"/>
      <c r="V792" s="58"/>
      <c r="W792" s="58"/>
      <c r="X792" s="58"/>
      <c r="Y792" s="58"/>
      <c r="Z792" s="58"/>
      <c r="AA792" s="58"/>
      <c r="AB792" s="58"/>
      <c r="AC792" s="59"/>
      <c r="AD792" s="59"/>
    </row>
    <row r="793" spans="1:30" ht="12.75" customHeight="1" x14ac:dyDescent="0.2">
      <c r="A793" s="56"/>
      <c r="B793" s="56"/>
      <c r="C793" s="56"/>
      <c r="D793" s="57"/>
      <c r="E793" s="57"/>
      <c r="F793" s="56"/>
      <c r="G793" s="56"/>
      <c r="H793" s="56"/>
      <c r="I793" s="56"/>
      <c r="J793" s="56"/>
      <c r="K793" s="56"/>
      <c r="L793" s="56"/>
      <c r="M793" s="58"/>
      <c r="N793" s="58"/>
      <c r="O793" s="58"/>
      <c r="P793" s="58"/>
      <c r="Q793" s="58"/>
      <c r="R793" s="58"/>
      <c r="S793" s="58"/>
      <c r="T793" s="58"/>
      <c r="U793" s="58"/>
      <c r="V793" s="58"/>
      <c r="W793" s="58"/>
      <c r="X793" s="58"/>
      <c r="Y793" s="58"/>
      <c r="Z793" s="58"/>
      <c r="AA793" s="58"/>
      <c r="AB793" s="58"/>
      <c r="AC793" s="59"/>
      <c r="AD793" s="59"/>
    </row>
    <row r="794" spans="1:30" ht="12.75" customHeight="1" x14ac:dyDescent="0.2">
      <c r="A794" s="56"/>
      <c r="B794" s="56"/>
      <c r="C794" s="56"/>
      <c r="D794" s="57"/>
      <c r="E794" s="57"/>
      <c r="F794" s="56"/>
      <c r="G794" s="56"/>
      <c r="H794" s="56"/>
      <c r="I794" s="56"/>
      <c r="J794" s="56"/>
      <c r="K794" s="56"/>
      <c r="L794" s="56"/>
      <c r="M794" s="58"/>
      <c r="N794" s="58"/>
      <c r="O794" s="58"/>
      <c r="P794" s="58"/>
      <c r="Q794" s="58"/>
      <c r="R794" s="58"/>
      <c r="S794" s="58"/>
      <c r="T794" s="58"/>
      <c r="U794" s="58"/>
      <c r="V794" s="58"/>
      <c r="W794" s="58"/>
      <c r="X794" s="58"/>
      <c r="Y794" s="58"/>
      <c r="Z794" s="58"/>
      <c r="AA794" s="58"/>
      <c r="AB794" s="58"/>
      <c r="AC794" s="59"/>
      <c r="AD794" s="59"/>
    </row>
    <row r="795" spans="1:30" ht="12.75" customHeight="1" x14ac:dyDescent="0.2">
      <c r="A795" s="56"/>
      <c r="B795" s="56"/>
      <c r="C795" s="56"/>
      <c r="D795" s="57"/>
      <c r="E795" s="57"/>
      <c r="F795" s="56"/>
      <c r="G795" s="56"/>
      <c r="H795" s="56"/>
      <c r="I795" s="56"/>
      <c r="J795" s="56"/>
      <c r="K795" s="56"/>
      <c r="L795" s="56"/>
      <c r="M795" s="58"/>
      <c r="N795" s="58"/>
      <c r="O795" s="58"/>
      <c r="P795" s="58"/>
      <c r="Q795" s="58"/>
      <c r="R795" s="58"/>
      <c r="S795" s="58"/>
      <c r="T795" s="58"/>
      <c r="U795" s="58"/>
      <c r="V795" s="58"/>
      <c r="W795" s="58"/>
      <c r="X795" s="58"/>
      <c r="Y795" s="58"/>
      <c r="Z795" s="58"/>
      <c r="AA795" s="58"/>
      <c r="AB795" s="58"/>
      <c r="AC795" s="59"/>
      <c r="AD795" s="59"/>
    </row>
    <row r="796" spans="1:30" ht="12.75" customHeight="1" x14ac:dyDescent="0.2">
      <c r="A796" s="56"/>
      <c r="B796" s="56"/>
      <c r="C796" s="56"/>
      <c r="D796" s="57"/>
      <c r="E796" s="57"/>
      <c r="F796" s="56"/>
      <c r="G796" s="56"/>
      <c r="H796" s="56"/>
      <c r="I796" s="56"/>
      <c r="J796" s="56"/>
      <c r="K796" s="56"/>
      <c r="L796" s="56"/>
      <c r="M796" s="58"/>
      <c r="N796" s="58"/>
      <c r="O796" s="58"/>
      <c r="P796" s="58"/>
      <c r="Q796" s="58"/>
      <c r="R796" s="58"/>
      <c r="S796" s="58"/>
      <c r="T796" s="58"/>
      <c r="U796" s="58"/>
      <c r="V796" s="58"/>
      <c r="W796" s="58"/>
      <c r="X796" s="58"/>
      <c r="Y796" s="58"/>
      <c r="Z796" s="58"/>
      <c r="AA796" s="58"/>
      <c r="AB796" s="58"/>
      <c r="AC796" s="59"/>
      <c r="AD796" s="59"/>
    </row>
    <row r="797" spans="1:30" ht="12.75" customHeight="1" x14ac:dyDescent="0.2">
      <c r="A797" s="56"/>
      <c r="B797" s="56"/>
      <c r="C797" s="56"/>
      <c r="D797" s="57"/>
      <c r="E797" s="57"/>
      <c r="F797" s="56"/>
      <c r="G797" s="56"/>
      <c r="H797" s="56"/>
      <c r="I797" s="56"/>
      <c r="J797" s="56"/>
      <c r="K797" s="56"/>
      <c r="L797" s="56"/>
      <c r="M797" s="58"/>
      <c r="N797" s="58"/>
      <c r="O797" s="58"/>
      <c r="P797" s="58"/>
      <c r="Q797" s="58"/>
      <c r="R797" s="58"/>
      <c r="S797" s="58"/>
      <c r="T797" s="58"/>
      <c r="U797" s="58"/>
      <c r="V797" s="58"/>
      <c r="W797" s="58"/>
      <c r="X797" s="58"/>
      <c r="Y797" s="58"/>
      <c r="Z797" s="58"/>
      <c r="AA797" s="58"/>
      <c r="AB797" s="58"/>
      <c r="AC797" s="59"/>
      <c r="AD797" s="59"/>
    </row>
    <row r="798" spans="1:30" ht="12.75" customHeight="1" x14ac:dyDescent="0.2">
      <c r="A798" s="56"/>
      <c r="B798" s="56"/>
      <c r="C798" s="56"/>
      <c r="D798" s="57"/>
      <c r="E798" s="57"/>
      <c r="F798" s="56"/>
      <c r="G798" s="56"/>
      <c r="H798" s="56"/>
      <c r="I798" s="56"/>
      <c r="J798" s="56"/>
      <c r="K798" s="56"/>
      <c r="L798" s="56"/>
      <c r="M798" s="58"/>
      <c r="N798" s="58"/>
      <c r="O798" s="58"/>
      <c r="P798" s="58"/>
      <c r="Q798" s="58"/>
      <c r="R798" s="58"/>
      <c r="S798" s="58"/>
      <c r="T798" s="58"/>
      <c r="U798" s="58"/>
      <c r="V798" s="58"/>
      <c r="W798" s="58"/>
      <c r="X798" s="58"/>
      <c r="Y798" s="58"/>
      <c r="Z798" s="58"/>
      <c r="AA798" s="58"/>
      <c r="AB798" s="58"/>
      <c r="AC798" s="59"/>
      <c r="AD798" s="59"/>
    </row>
    <row r="799" spans="1:30" ht="12.75" customHeight="1" x14ac:dyDescent="0.2">
      <c r="A799" s="56"/>
      <c r="B799" s="56"/>
      <c r="C799" s="56"/>
      <c r="D799" s="57"/>
      <c r="E799" s="57"/>
      <c r="F799" s="56"/>
      <c r="G799" s="56"/>
      <c r="H799" s="56"/>
      <c r="I799" s="56"/>
      <c r="J799" s="56"/>
      <c r="K799" s="56"/>
      <c r="L799" s="56"/>
      <c r="M799" s="58"/>
      <c r="N799" s="58"/>
      <c r="O799" s="58"/>
      <c r="P799" s="58"/>
      <c r="Q799" s="58"/>
      <c r="R799" s="58"/>
      <c r="S799" s="58"/>
      <c r="T799" s="58"/>
      <c r="U799" s="58"/>
      <c r="V799" s="58"/>
      <c r="W799" s="58"/>
      <c r="X799" s="58"/>
      <c r="Y799" s="58"/>
      <c r="Z799" s="58"/>
      <c r="AA799" s="58"/>
      <c r="AB799" s="58"/>
      <c r="AC799" s="59"/>
      <c r="AD799" s="59"/>
    </row>
    <row r="800" spans="1:30" ht="12.75" customHeight="1" x14ac:dyDescent="0.2">
      <c r="A800" s="56"/>
      <c r="B800" s="56"/>
      <c r="C800" s="56"/>
      <c r="D800" s="57"/>
      <c r="E800" s="57"/>
      <c r="F800" s="56"/>
      <c r="G800" s="56"/>
      <c r="H800" s="56"/>
      <c r="I800" s="56"/>
      <c r="J800" s="56"/>
      <c r="K800" s="56"/>
      <c r="L800" s="56"/>
      <c r="M800" s="58"/>
      <c r="N800" s="58"/>
      <c r="O800" s="58"/>
      <c r="P800" s="58"/>
      <c r="Q800" s="58"/>
      <c r="R800" s="58"/>
      <c r="S800" s="58"/>
      <c r="T800" s="58"/>
      <c r="U800" s="58"/>
      <c r="V800" s="58"/>
      <c r="W800" s="58"/>
      <c r="X800" s="58"/>
      <c r="Y800" s="58"/>
      <c r="Z800" s="58"/>
      <c r="AA800" s="58"/>
      <c r="AB800" s="58"/>
      <c r="AC800" s="59"/>
      <c r="AD800" s="59"/>
    </row>
    <row r="801" spans="1:30" ht="12.75" customHeight="1" x14ac:dyDescent="0.2">
      <c r="A801" s="56"/>
      <c r="B801" s="56"/>
      <c r="C801" s="56"/>
      <c r="D801" s="57"/>
      <c r="E801" s="57"/>
      <c r="F801" s="56"/>
      <c r="G801" s="56"/>
      <c r="H801" s="56"/>
      <c r="I801" s="56"/>
      <c r="J801" s="56"/>
      <c r="K801" s="56"/>
      <c r="L801" s="56"/>
      <c r="M801" s="58"/>
      <c r="N801" s="58"/>
      <c r="O801" s="58"/>
      <c r="P801" s="58"/>
      <c r="Q801" s="58"/>
      <c r="R801" s="58"/>
      <c r="S801" s="58"/>
      <c r="T801" s="58"/>
      <c r="U801" s="58"/>
      <c r="V801" s="58"/>
      <c r="W801" s="58"/>
      <c r="X801" s="58"/>
      <c r="Y801" s="58"/>
      <c r="Z801" s="58"/>
      <c r="AA801" s="58"/>
      <c r="AB801" s="58"/>
      <c r="AC801" s="59"/>
      <c r="AD801" s="59"/>
    </row>
    <row r="802" spans="1:30" ht="12.75" customHeight="1" x14ac:dyDescent="0.2">
      <c r="A802" s="56"/>
      <c r="B802" s="56"/>
      <c r="C802" s="56"/>
      <c r="D802" s="57"/>
      <c r="E802" s="57"/>
      <c r="F802" s="56"/>
      <c r="G802" s="56"/>
      <c r="H802" s="56"/>
      <c r="I802" s="56"/>
      <c r="J802" s="56"/>
      <c r="K802" s="56"/>
      <c r="L802" s="56"/>
      <c r="M802" s="58"/>
      <c r="N802" s="58"/>
      <c r="O802" s="58"/>
      <c r="P802" s="58"/>
      <c r="Q802" s="58"/>
      <c r="R802" s="58"/>
      <c r="S802" s="58"/>
      <c r="T802" s="58"/>
      <c r="U802" s="58"/>
      <c r="V802" s="58"/>
      <c r="W802" s="58"/>
      <c r="X802" s="58"/>
      <c r="Y802" s="58"/>
      <c r="Z802" s="58"/>
      <c r="AA802" s="58"/>
      <c r="AB802" s="58"/>
      <c r="AC802" s="59"/>
      <c r="AD802" s="59"/>
    </row>
    <row r="803" spans="1:30" ht="12.75" customHeight="1" x14ac:dyDescent="0.2">
      <c r="A803" s="56"/>
      <c r="B803" s="56"/>
      <c r="C803" s="56"/>
      <c r="D803" s="57"/>
      <c r="E803" s="57"/>
      <c r="F803" s="56"/>
      <c r="G803" s="56"/>
      <c r="H803" s="56"/>
      <c r="I803" s="56"/>
      <c r="J803" s="56"/>
      <c r="K803" s="56"/>
      <c r="L803" s="56"/>
      <c r="M803" s="58"/>
      <c r="N803" s="58"/>
      <c r="O803" s="58"/>
      <c r="P803" s="58"/>
      <c r="Q803" s="58"/>
      <c r="R803" s="58"/>
      <c r="S803" s="58"/>
      <c r="T803" s="58"/>
      <c r="U803" s="58"/>
      <c r="V803" s="58"/>
      <c r="W803" s="58"/>
      <c r="X803" s="58"/>
      <c r="Y803" s="58"/>
      <c r="Z803" s="58"/>
      <c r="AA803" s="58"/>
      <c r="AB803" s="58"/>
      <c r="AC803" s="59"/>
      <c r="AD803" s="59"/>
    </row>
    <row r="804" spans="1:30" ht="12.75" customHeight="1" x14ac:dyDescent="0.2">
      <c r="A804" s="56"/>
      <c r="B804" s="56"/>
      <c r="C804" s="56"/>
      <c r="D804" s="57"/>
      <c r="E804" s="57"/>
      <c r="F804" s="56"/>
      <c r="G804" s="56"/>
      <c r="H804" s="56"/>
      <c r="I804" s="56"/>
      <c r="J804" s="56"/>
      <c r="K804" s="56"/>
      <c r="L804" s="56"/>
      <c r="M804" s="58"/>
      <c r="N804" s="58"/>
      <c r="O804" s="58"/>
      <c r="P804" s="58"/>
      <c r="Q804" s="58"/>
      <c r="R804" s="58"/>
      <c r="S804" s="58"/>
      <c r="T804" s="58"/>
      <c r="U804" s="58"/>
      <c r="V804" s="58"/>
      <c r="W804" s="58"/>
      <c r="X804" s="58"/>
      <c r="Y804" s="58"/>
      <c r="Z804" s="58"/>
      <c r="AA804" s="58"/>
      <c r="AB804" s="58"/>
      <c r="AC804" s="59"/>
      <c r="AD804" s="59"/>
    </row>
    <row r="805" spans="1:30" ht="12.75" customHeight="1" x14ac:dyDescent="0.2">
      <c r="A805" s="56"/>
      <c r="B805" s="56"/>
      <c r="C805" s="56"/>
      <c r="D805" s="57"/>
      <c r="E805" s="57"/>
      <c r="F805" s="56"/>
      <c r="G805" s="56"/>
      <c r="H805" s="56"/>
      <c r="I805" s="56"/>
      <c r="J805" s="56"/>
      <c r="K805" s="56"/>
      <c r="L805" s="56"/>
      <c r="M805" s="58"/>
      <c r="N805" s="58"/>
      <c r="O805" s="58"/>
      <c r="P805" s="58"/>
      <c r="Q805" s="58"/>
      <c r="R805" s="58"/>
      <c r="S805" s="58"/>
      <c r="T805" s="58"/>
      <c r="U805" s="58"/>
      <c r="V805" s="58"/>
      <c r="W805" s="58"/>
      <c r="X805" s="58"/>
      <c r="Y805" s="58"/>
      <c r="Z805" s="58"/>
      <c r="AA805" s="58"/>
      <c r="AB805" s="58"/>
      <c r="AC805" s="59"/>
      <c r="AD805" s="59"/>
    </row>
    <row r="806" spans="1:30" ht="12.75" customHeight="1" x14ac:dyDescent="0.2">
      <c r="A806" s="56"/>
      <c r="B806" s="56"/>
      <c r="C806" s="56"/>
      <c r="D806" s="57"/>
      <c r="E806" s="57"/>
      <c r="F806" s="56"/>
      <c r="G806" s="56"/>
      <c r="H806" s="56"/>
      <c r="I806" s="56"/>
      <c r="J806" s="56"/>
      <c r="K806" s="56"/>
      <c r="L806" s="56"/>
      <c r="M806" s="58"/>
      <c r="N806" s="58"/>
      <c r="O806" s="58"/>
      <c r="P806" s="58"/>
      <c r="Q806" s="58"/>
      <c r="R806" s="58"/>
      <c r="S806" s="58"/>
      <c r="T806" s="58"/>
      <c r="U806" s="58"/>
      <c r="V806" s="58"/>
      <c r="W806" s="58"/>
      <c r="X806" s="58"/>
      <c r="Y806" s="58"/>
      <c r="Z806" s="58"/>
      <c r="AA806" s="58"/>
      <c r="AB806" s="58"/>
      <c r="AC806" s="59"/>
      <c r="AD806" s="59"/>
    </row>
    <row r="807" spans="1:30" ht="12.75" customHeight="1" x14ac:dyDescent="0.2">
      <c r="A807" s="56"/>
      <c r="B807" s="56"/>
      <c r="C807" s="56"/>
      <c r="D807" s="57"/>
      <c r="E807" s="57"/>
      <c r="F807" s="56"/>
      <c r="G807" s="56"/>
      <c r="H807" s="56"/>
      <c r="I807" s="56"/>
      <c r="J807" s="56"/>
      <c r="K807" s="56"/>
      <c r="L807" s="56"/>
      <c r="M807" s="58"/>
      <c r="N807" s="58"/>
      <c r="O807" s="58"/>
      <c r="P807" s="58"/>
      <c r="Q807" s="58"/>
      <c r="R807" s="58"/>
      <c r="S807" s="58"/>
      <c r="T807" s="58"/>
      <c r="U807" s="58"/>
      <c r="V807" s="58"/>
      <c r="W807" s="58"/>
      <c r="X807" s="58"/>
      <c r="Y807" s="58"/>
      <c r="Z807" s="58"/>
      <c r="AA807" s="58"/>
      <c r="AB807" s="58"/>
      <c r="AC807" s="59"/>
      <c r="AD807" s="59"/>
    </row>
    <row r="808" spans="1:30" ht="12.75" customHeight="1" x14ac:dyDescent="0.2">
      <c r="A808" s="56"/>
      <c r="B808" s="56"/>
      <c r="C808" s="56"/>
      <c r="D808" s="57"/>
      <c r="E808" s="57"/>
      <c r="F808" s="56"/>
      <c r="G808" s="56"/>
      <c r="H808" s="56"/>
      <c r="I808" s="56"/>
      <c r="J808" s="56"/>
      <c r="K808" s="56"/>
      <c r="L808" s="56"/>
      <c r="M808" s="58"/>
      <c r="N808" s="58"/>
      <c r="O808" s="58"/>
      <c r="P808" s="58"/>
      <c r="Q808" s="58"/>
      <c r="R808" s="58"/>
      <c r="S808" s="58"/>
      <c r="T808" s="58"/>
      <c r="U808" s="58"/>
      <c r="V808" s="58"/>
      <c r="W808" s="58"/>
      <c r="X808" s="58"/>
      <c r="Y808" s="58"/>
      <c r="Z808" s="58"/>
      <c r="AA808" s="58"/>
      <c r="AB808" s="58"/>
      <c r="AC808" s="59"/>
      <c r="AD808" s="59"/>
    </row>
    <row r="809" spans="1:30" ht="12.75" customHeight="1" x14ac:dyDescent="0.2">
      <c r="A809" s="56"/>
      <c r="B809" s="56"/>
      <c r="C809" s="56"/>
      <c r="D809" s="57"/>
      <c r="E809" s="57"/>
      <c r="F809" s="56"/>
      <c r="G809" s="56"/>
      <c r="H809" s="56"/>
      <c r="I809" s="56"/>
      <c r="J809" s="56"/>
      <c r="K809" s="56"/>
      <c r="L809" s="56"/>
      <c r="M809" s="58"/>
      <c r="N809" s="58"/>
      <c r="O809" s="58"/>
      <c r="P809" s="58"/>
      <c r="Q809" s="58"/>
      <c r="R809" s="58"/>
      <c r="S809" s="58"/>
      <c r="T809" s="58"/>
      <c r="U809" s="58"/>
      <c r="V809" s="58"/>
      <c r="W809" s="58"/>
      <c r="X809" s="58"/>
      <c r="Y809" s="58"/>
      <c r="Z809" s="58"/>
      <c r="AA809" s="58"/>
      <c r="AB809" s="58"/>
      <c r="AC809" s="59"/>
      <c r="AD809" s="59"/>
    </row>
    <row r="810" spans="1:30" ht="12.75" customHeight="1" x14ac:dyDescent="0.2">
      <c r="A810" s="56"/>
      <c r="B810" s="56"/>
      <c r="C810" s="56"/>
      <c r="D810" s="57"/>
      <c r="E810" s="57"/>
      <c r="F810" s="56"/>
      <c r="G810" s="56"/>
      <c r="H810" s="56"/>
      <c r="I810" s="56"/>
      <c r="J810" s="56"/>
      <c r="K810" s="56"/>
      <c r="L810" s="56"/>
      <c r="M810" s="58"/>
      <c r="N810" s="58"/>
      <c r="O810" s="58"/>
      <c r="P810" s="58"/>
      <c r="Q810" s="58"/>
      <c r="R810" s="58"/>
      <c r="S810" s="58"/>
      <c r="T810" s="58"/>
      <c r="U810" s="58"/>
      <c r="V810" s="58"/>
      <c r="W810" s="58"/>
      <c r="X810" s="58"/>
      <c r="Y810" s="58"/>
      <c r="Z810" s="58"/>
      <c r="AA810" s="58"/>
      <c r="AB810" s="58"/>
      <c r="AC810" s="59"/>
      <c r="AD810" s="59"/>
    </row>
    <row r="811" spans="1:30" ht="12.75" customHeight="1" x14ac:dyDescent="0.2">
      <c r="A811" s="56"/>
      <c r="B811" s="56"/>
      <c r="C811" s="56"/>
      <c r="D811" s="57"/>
      <c r="E811" s="57"/>
      <c r="F811" s="56"/>
      <c r="G811" s="56"/>
      <c r="H811" s="56"/>
      <c r="I811" s="56"/>
      <c r="J811" s="56"/>
      <c r="K811" s="56"/>
      <c r="L811" s="56"/>
      <c r="M811" s="58"/>
      <c r="N811" s="58"/>
      <c r="O811" s="58"/>
      <c r="P811" s="58"/>
      <c r="Q811" s="58"/>
      <c r="R811" s="58"/>
      <c r="S811" s="58"/>
      <c r="T811" s="58"/>
      <c r="U811" s="58"/>
      <c r="V811" s="58"/>
      <c r="W811" s="58"/>
      <c r="X811" s="58"/>
      <c r="Y811" s="58"/>
      <c r="Z811" s="58"/>
      <c r="AA811" s="58"/>
      <c r="AB811" s="58"/>
      <c r="AC811" s="59"/>
      <c r="AD811" s="59"/>
    </row>
    <row r="812" spans="1:30" ht="12.75" customHeight="1" x14ac:dyDescent="0.2">
      <c r="A812" s="56"/>
      <c r="B812" s="56"/>
      <c r="C812" s="56"/>
      <c r="D812" s="57"/>
      <c r="E812" s="57"/>
      <c r="F812" s="56"/>
      <c r="G812" s="56"/>
      <c r="H812" s="56"/>
      <c r="I812" s="56"/>
      <c r="J812" s="56"/>
      <c r="K812" s="56"/>
      <c r="L812" s="56"/>
      <c r="M812" s="58"/>
      <c r="N812" s="58"/>
      <c r="O812" s="58"/>
      <c r="P812" s="58"/>
      <c r="Q812" s="58"/>
      <c r="R812" s="58"/>
      <c r="S812" s="58"/>
      <c r="T812" s="58"/>
      <c r="U812" s="58"/>
      <c r="V812" s="58"/>
      <c r="W812" s="58"/>
      <c r="X812" s="58"/>
      <c r="Y812" s="58"/>
      <c r="Z812" s="58"/>
      <c r="AA812" s="58"/>
      <c r="AB812" s="58"/>
      <c r="AC812" s="59"/>
      <c r="AD812" s="59"/>
    </row>
    <row r="813" spans="1:30" ht="12.75" customHeight="1" x14ac:dyDescent="0.2">
      <c r="A813" s="56"/>
      <c r="B813" s="56"/>
      <c r="C813" s="56"/>
      <c r="D813" s="57"/>
      <c r="E813" s="57"/>
      <c r="F813" s="56"/>
      <c r="G813" s="56"/>
      <c r="H813" s="56"/>
      <c r="I813" s="56"/>
      <c r="J813" s="56"/>
      <c r="K813" s="56"/>
      <c r="L813" s="56"/>
      <c r="M813" s="58"/>
      <c r="N813" s="58"/>
      <c r="O813" s="58"/>
      <c r="P813" s="58"/>
      <c r="Q813" s="58"/>
      <c r="R813" s="58"/>
      <c r="S813" s="58"/>
      <c r="T813" s="58"/>
      <c r="U813" s="58"/>
      <c r="V813" s="58"/>
      <c r="W813" s="58"/>
      <c r="X813" s="58"/>
      <c r="Y813" s="58"/>
      <c r="Z813" s="58"/>
      <c r="AA813" s="58"/>
      <c r="AB813" s="58"/>
      <c r="AC813" s="59"/>
      <c r="AD813" s="59"/>
    </row>
    <row r="814" spans="1:30" ht="12.75" customHeight="1" x14ac:dyDescent="0.2">
      <c r="A814" s="56"/>
      <c r="B814" s="56"/>
      <c r="C814" s="56"/>
      <c r="D814" s="57"/>
      <c r="E814" s="57"/>
      <c r="F814" s="56"/>
      <c r="G814" s="56"/>
      <c r="H814" s="56"/>
      <c r="I814" s="56"/>
      <c r="J814" s="56"/>
      <c r="K814" s="56"/>
      <c r="L814" s="56"/>
      <c r="M814" s="58"/>
      <c r="N814" s="58"/>
      <c r="O814" s="58"/>
      <c r="P814" s="58"/>
      <c r="Q814" s="58"/>
      <c r="R814" s="58"/>
      <c r="S814" s="58"/>
      <c r="T814" s="58"/>
      <c r="U814" s="58"/>
      <c r="V814" s="58"/>
      <c r="W814" s="58"/>
      <c r="X814" s="58"/>
      <c r="Y814" s="58"/>
      <c r="Z814" s="58"/>
      <c r="AA814" s="58"/>
      <c r="AB814" s="58"/>
      <c r="AC814" s="59"/>
      <c r="AD814" s="59"/>
    </row>
    <row r="815" spans="1:30" ht="12.75" customHeight="1" x14ac:dyDescent="0.2">
      <c r="A815" s="56"/>
      <c r="B815" s="56"/>
      <c r="C815" s="56"/>
      <c r="D815" s="57"/>
      <c r="E815" s="57"/>
      <c r="F815" s="56"/>
      <c r="G815" s="56"/>
      <c r="H815" s="56"/>
      <c r="I815" s="56"/>
      <c r="J815" s="56"/>
      <c r="K815" s="56"/>
      <c r="L815" s="56"/>
      <c r="M815" s="58"/>
      <c r="N815" s="58"/>
      <c r="O815" s="58"/>
      <c r="P815" s="58"/>
      <c r="Q815" s="58"/>
      <c r="R815" s="58"/>
      <c r="S815" s="58"/>
      <c r="T815" s="58"/>
      <c r="U815" s="58"/>
      <c r="V815" s="58"/>
      <c r="W815" s="58"/>
      <c r="X815" s="58"/>
      <c r="Y815" s="58"/>
      <c r="Z815" s="58"/>
      <c r="AA815" s="58"/>
      <c r="AB815" s="58"/>
      <c r="AC815" s="59"/>
      <c r="AD815" s="59"/>
    </row>
    <row r="816" spans="1:30" ht="12.75" customHeight="1" x14ac:dyDescent="0.2">
      <c r="A816" s="56"/>
      <c r="B816" s="56"/>
      <c r="C816" s="56"/>
      <c r="D816" s="57"/>
      <c r="E816" s="57"/>
      <c r="F816" s="56"/>
      <c r="G816" s="56"/>
      <c r="H816" s="56"/>
      <c r="I816" s="56"/>
      <c r="J816" s="56"/>
      <c r="K816" s="56"/>
      <c r="L816" s="56"/>
      <c r="M816" s="58"/>
      <c r="N816" s="58"/>
      <c r="O816" s="58"/>
      <c r="P816" s="58"/>
      <c r="Q816" s="58"/>
      <c r="R816" s="58"/>
      <c r="S816" s="58"/>
      <c r="T816" s="58"/>
      <c r="U816" s="58"/>
      <c r="V816" s="58"/>
      <c r="W816" s="58"/>
      <c r="X816" s="58"/>
      <c r="Y816" s="58"/>
      <c r="Z816" s="58"/>
      <c r="AA816" s="58"/>
      <c r="AB816" s="58"/>
      <c r="AC816" s="59"/>
      <c r="AD816" s="59"/>
    </row>
    <row r="817" spans="1:30" ht="12.75" customHeight="1" x14ac:dyDescent="0.2">
      <c r="A817" s="56"/>
      <c r="B817" s="56"/>
      <c r="C817" s="56"/>
      <c r="D817" s="57"/>
      <c r="E817" s="57"/>
      <c r="F817" s="56"/>
      <c r="G817" s="56"/>
      <c r="H817" s="56"/>
      <c r="I817" s="56"/>
      <c r="J817" s="56"/>
      <c r="K817" s="56"/>
      <c r="L817" s="56"/>
      <c r="M817" s="58"/>
      <c r="N817" s="58"/>
      <c r="O817" s="58"/>
      <c r="P817" s="58"/>
      <c r="Q817" s="58"/>
      <c r="R817" s="58"/>
      <c r="S817" s="58"/>
      <c r="T817" s="58"/>
      <c r="U817" s="58"/>
      <c r="V817" s="58"/>
      <c r="W817" s="58"/>
      <c r="X817" s="58"/>
      <c r="Y817" s="58"/>
      <c r="Z817" s="58"/>
      <c r="AA817" s="58"/>
      <c r="AB817" s="58"/>
      <c r="AC817" s="59"/>
      <c r="AD817" s="59"/>
    </row>
    <row r="818" spans="1:30" ht="12.75" customHeight="1" x14ac:dyDescent="0.2">
      <c r="A818" s="56"/>
      <c r="B818" s="56"/>
      <c r="C818" s="56"/>
      <c r="D818" s="57"/>
      <c r="E818" s="57"/>
      <c r="F818" s="56"/>
      <c r="G818" s="56"/>
      <c r="H818" s="56"/>
      <c r="I818" s="56"/>
      <c r="J818" s="56"/>
      <c r="K818" s="56"/>
      <c r="L818" s="56"/>
      <c r="M818" s="58"/>
      <c r="N818" s="58"/>
      <c r="O818" s="58"/>
      <c r="P818" s="58"/>
      <c r="Q818" s="58"/>
      <c r="R818" s="58"/>
      <c r="S818" s="58"/>
      <c r="T818" s="58"/>
      <c r="U818" s="58"/>
      <c r="V818" s="58"/>
      <c r="W818" s="58"/>
      <c r="X818" s="58"/>
      <c r="Y818" s="58"/>
      <c r="Z818" s="58"/>
      <c r="AA818" s="58"/>
      <c r="AB818" s="58"/>
      <c r="AC818" s="59"/>
      <c r="AD818" s="59"/>
    </row>
    <row r="819" spans="1:30" ht="12.75" customHeight="1" x14ac:dyDescent="0.2">
      <c r="A819" s="56"/>
      <c r="B819" s="56"/>
      <c r="C819" s="56"/>
      <c r="D819" s="57"/>
      <c r="E819" s="57"/>
      <c r="F819" s="56"/>
      <c r="G819" s="56"/>
      <c r="H819" s="56"/>
      <c r="I819" s="56"/>
      <c r="J819" s="56"/>
      <c r="K819" s="56"/>
      <c r="L819" s="56"/>
      <c r="M819" s="58"/>
      <c r="N819" s="58"/>
      <c r="O819" s="58"/>
      <c r="P819" s="58"/>
      <c r="Q819" s="58"/>
      <c r="R819" s="58"/>
      <c r="S819" s="58"/>
      <c r="T819" s="58"/>
      <c r="U819" s="58"/>
      <c r="V819" s="58"/>
      <c r="W819" s="58"/>
      <c r="X819" s="58"/>
      <c r="Y819" s="58"/>
      <c r="Z819" s="58"/>
      <c r="AA819" s="58"/>
      <c r="AB819" s="58"/>
      <c r="AC819" s="59"/>
      <c r="AD819" s="59"/>
    </row>
    <row r="820" spans="1:30" ht="12.75" customHeight="1" x14ac:dyDescent="0.2">
      <c r="A820" s="56"/>
      <c r="B820" s="56"/>
      <c r="C820" s="56"/>
      <c r="D820" s="57"/>
      <c r="E820" s="57"/>
      <c r="F820" s="56"/>
      <c r="G820" s="56"/>
      <c r="H820" s="56"/>
      <c r="I820" s="56"/>
      <c r="J820" s="56"/>
      <c r="K820" s="56"/>
      <c r="L820" s="56"/>
      <c r="M820" s="58"/>
      <c r="N820" s="58"/>
      <c r="O820" s="58"/>
      <c r="P820" s="58"/>
      <c r="Q820" s="58"/>
      <c r="R820" s="58"/>
      <c r="S820" s="58"/>
      <c r="T820" s="58"/>
      <c r="U820" s="58"/>
      <c r="V820" s="58"/>
      <c r="W820" s="58"/>
      <c r="X820" s="58"/>
      <c r="Y820" s="58"/>
      <c r="Z820" s="58"/>
      <c r="AA820" s="58"/>
      <c r="AB820" s="58"/>
      <c r="AC820" s="59"/>
      <c r="AD820" s="59"/>
    </row>
    <row r="821" spans="1:30" ht="12.75" customHeight="1" x14ac:dyDescent="0.2">
      <c r="A821" s="56"/>
      <c r="B821" s="56"/>
      <c r="C821" s="56"/>
      <c r="D821" s="57"/>
      <c r="E821" s="57"/>
      <c r="F821" s="56"/>
      <c r="G821" s="56"/>
      <c r="H821" s="56"/>
      <c r="I821" s="56"/>
      <c r="J821" s="56"/>
      <c r="K821" s="56"/>
      <c r="L821" s="56"/>
      <c r="M821" s="58"/>
      <c r="N821" s="58"/>
      <c r="O821" s="58"/>
      <c r="P821" s="58"/>
      <c r="Q821" s="58"/>
      <c r="R821" s="58"/>
      <c r="S821" s="58"/>
      <c r="T821" s="58"/>
      <c r="U821" s="58"/>
      <c r="V821" s="58"/>
      <c r="W821" s="58"/>
      <c r="X821" s="58"/>
      <c r="Y821" s="58"/>
      <c r="Z821" s="58"/>
      <c r="AA821" s="58"/>
      <c r="AB821" s="58"/>
      <c r="AC821" s="59"/>
      <c r="AD821" s="59"/>
    </row>
    <row r="822" spans="1:30" ht="12.75" customHeight="1" x14ac:dyDescent="0.2">
      <c r="A822" s="56"/>
      <c r="B822" s="56"/>
      <c r="C822" s="56"/>
      <c r="D822" s="57"/>
      <c r="E822" s="57"/>
      <c r="F822" s="56"/>
      <c r="G822" s="56"/>
      <c r="H822" s="56"/>
      <c r="I822" s="56"/>
      <c r="J822" s="56"/>
      <c r="K822" s="56"/>
      <c r="L822" s="56"/>
      <c r="M822" s="58"/>
      <c r="N822" s="58"/>
      <c r="O822" s="58"/>
      <c r="P822" s="58"/>
      <c r="Q822" s="58"/>
      <c r="R822" s="58"/>
      <c r="S822" s="58"/>
      <c r="T822" s="58"/>
      <c r="U822" s="58"/>
      <c r="V822" s="58"/>
      <c r="W822" s="58"/>
      <c r="X822" s="58"/>
      <c r="Y822" s="58"/>
      <c r="Z822" s="58"/>
      <c r="AA822" s="58"/>
      <c r="AB822" s="58"/>
      <c r="AC822" s="59"/>
      <c r="AD822" s="59"/>
    </row>
    <row r="823" spans="1:30" ht="12.75" customHeight="1" x14ac:dyDescent="0.2">
      <c r="A823" s="56"/>
      <c r="B823" s="56"/>
      <c r="C823" s="56"/>
      <c r="D823" s="57"/>
      <c r="E823" s="57"/>
      <c r="F823" s="56"/>
      <c r="G823" s="56"/>
      <c r="H823" s="56"/>
      <c r="I823" s="56"/>
      <c r="J823" s="56"/>
      <c r="K823" s="56"/>
      <c r="L823" s="56"/>
      <c r="M823" s="58"/>
      <c r="N823" s="58"/>
      <c r="O823" s="58"/>
      <c r="P823" s="58"/>
      <c r="Q823" s="58"/>
      <c r="R823" s="58"/>
      <c r="S823" s="58"/>
      <c r="T823" s="58"/>
      <c r="U823" s="58"/>
      <c r="V823" s="58"/>
      <c r="W823" s="58"/>
      <c r="X823" s="58"/>
      <c r="Y823" s="58"/>
      <c r="Z823" s="58"/>
      <c r="AA823" s="58"/>
      <c r="AB823" s="58"/>
      <c r="AC823" s="59"/>
      <c r="AD823" s="59"/>
    </row>
    <row r="824" spans="1:30" ht="12.75" customHeight="1" x14ac:dyDescent="0.2">
      <c r="A824" s="56"/>
      <c r="B824" s="56"/>
      <c r="C824" s="56"/>
      <c r="D824" s="57"/>
      <c r="E824" s="57"/>
      <c r="F824" s="56"/>
      <c r="G824" s="56"/>
      <c r="H824" s="56"/>
      <c r="I824" s="56"/>
      <c r="J824" s="56"/>
      <c r="K824" s="56"/>
      <c r="L824" s="56"/>
      <c r="M824" s="58"/>
      <c r="N824" s="58"/>
      <c r="O824" s="58"/>
      <c r="P824" s="58"/>
      <c r="Q824" s="58"/>
      <c r="R824" s="58"/>
      <c r="S824" s="58"/>
      <c r="T824" s="58"/>
      <c r="U824" s="58"/>
      <c r="V824" s="58"/>
      <c r="W824" s="58"/>
      <c r="X824" s="58"/>
      <c r="Y824" s="58"/>
      <c r="Z824" s="58"/>
      <c r="AA824" s="58"/>
      <c r="AB824" s="58"/>
      <c r="AC824" s="59"/>
      <c r="AD824" s="59"/>
    </row>
    <row r="825" spans="1:30" ht="12.75" customHeight="1" x14ac:dyDescent="0.2">
      <c r="A825" s="56"/>
      <c r="B825" s="56"/>
      <c r="C825" s="56"/>
      <c r="D825" s="57"/>
      <c r="E825" s="57"/>
      <c r="F825" s="56"/>
      <c r="G825" s="56"/>
      <c r="H825" s="56"/>
      <c r="I825" s="56"/>
      <c r="J825" s="56"/>
      <c r="K825" s="56"/>
      <c r="L825" s="56"/>
      <c r="M825" s="58"/>
      <c r="N825" s="58"/>
      <c r="O825" s="58"/>
      <c r="P825" s="58"/>
      <c r="Q825" s="58"/>
      <c r="R825" s="58"/>
      <c r="S825" s="58"/>
      <c r="T825" s="58"/>
      <c r="U825" s="58"/>
      <c r="V825" s="58"/>
      <c r="W825" s="58"/>
      <c r="X825" s="58"/>
      <c r="Y825" s="58"/>
      <c r="Z825" s="58"/>
      <c r="AA825" s="58"/>
      <c r="AB825" s="58"/>
      <c r="AC825" s="59"/>
      <c r="AD825" s="59"/>
    </row>
    <row r="826" spans="1:30" ht="12.75" customHeight="1" x14ac:dyDescent="0.2">
      <c r="A826" s="56"/>
      <c r="B826" s="56"/>
      <c r="C826" s="56"/>
      <c r="D826" s="57"/>
      <c r="E826" s="57"/>
      <c r="F826" s="56"/>
      <c r="G826" s="56"/>
      <c r="H826" s="56"/>
      <c r="I826" s="56"/>
      <c r="J826" s="56"/>
      <c r="K826" s="56"/>
      <c r="L826" s="56"/>
      <c r="M826" s="58"/>
      <c r="N826" s="58"/>
      <c r="O826" s="58"/>
      <c r="P826" s="58"/>
      <c r="Q826" s="58"/>
      <c r="R826" s="58"/>
      <c r="S826" s="58"/>
      <c r="T826" s="58"/>
      <c r="U826" s="58"/>
      <c r="V826" s="58"/>
      <c r="W826" s="58"/>
      <c r="X826" s="58"/>
      <c r="Y826" s="58"/>
      <c r="Z826" s="58"/>
      <c r="AA826" s="58"/>
      <c r="AB826" s="58"/>
      <c r="AC826" s="59"/>
      <c r="AD826" s="59"/>
    </row>
    <row r="827" spans="1:30" ht="12.75" customHeight="1" x14ac:dyDescent="0.2">
      <c r="A827" s="56"/>
      <c r="B827" s="56"/>
      <c r="C827" s="56"/>
      <c r="D827" s="57"/>
      <c r="E827" s="57"/>
      <c r="F827" s="56"/>
      <c r="G827" s="56"/>
      <c r="H827" s="56"/>
      <c r="I827" s="56"/>
      <c r="J827" s="56"/>
      <c r="K827" s="56"/>
      <c r="L827" s="56"/>
      <c r="M827" s="58"/>
      <c r="N827" s="58"/>
      <c r="O827" s="58"/>
      <c r="P827" s="58"/>
      <c r="Q827" s="58"/>
      <c r="R827" s="58"/>
      <c r="S827" s="58"/>
      <c r="T827" s="58"/>
      <c r="U827" s="58"/>
      <c r="V827" s="58"/>
      <c r="W827" s="58"/>
      <c r="X827" s="58"/>
      <c r="Y827" s="58"/>
      <c r="Z827" s="58"/>
      <c r="AA827" s="58"/>
      <c r="AB827" s="58"/>
      <c r="AC827" s="59"/>
      <c r="AD827" s="59"/>
    </row>
    <row r="828" spans="1:30" ht="12.75" customHeight="1" x14ac:dyDescent="0.2">
      <c r="A828" s="56"/>
      <c r="B828" s="56"/>
      <c r="C828" s="56"/>
      <c r="D828" s="57"/>
      <c r="E828" s="57"/>
      <c r="F828" s="56"/>
      <c r="G828" s="56"/>
      <c r="H828" s="56"/>
      <c r="I828" s="56"/>
      <c r="J828" s="56"/>
      <c r="K828" s="56"/>
      <c r="L828" s="56"/>
      <c r="M828" s="58"/>
      <c r="N828" s="58"/>
      <c r="O828" s="58"/>
      <c r="P828" s="58"/>
      <c r="Q828" s="58"/>
      <c r="R828" s="58"/>
      <c r="S828" s="58"/>
      <c r="T828" s="58"/>
      <c r="U828" s="58"/>
      <c r="V828" s="58"/>
      <c r="W828" s="58"/>
      <c r="X828" s="58"/>
      <c r="Y828" s="58"/>
      <c r="Z828" s="58"/>
      <c r="AA828" s="58"/>
      <c r="AB828" s="58"/>
      <c r="AC828" s="59"/>
      <c r="AD828" s="59"/>
    </row>
    <row r="829" spans="1:30" ht="12.75" customHeight="1" x14ac:dyDescent="0.2">
      <c r="A829" s="56"/>
      <c r="B829" s="56"/>
      <c r="C829" s="56"/>
      <c r="D829" s="57"/>
      <c r="E829" s="57"/>
      <c r="F829" s="56"/>
      <c r="G829" s="56"/>
      <c r="H829" s="56"/>
      <c r="I829" s="56"/>
      <c r="J829" s="56"/>
      <c r="K829" s="56"/>
      <c r="L829" s="56"/>
      <c r="M829" s="58"/>
      <c r="N829" s="58"/>
      <c r="O829" s="58"/>
      <c r="P829" s="58"/>
      <c r="Q829" s="58"/>
      <c r="R829" s="58"/>
      <c r="S829" s="58"/>
      <c r="T829" s="58"/>
      <c r="U829" s="58"/>
      <c r="V829" s="58"/>
      <c r="W829" s="58"/>
      <c r="X829" s="58"/>
      <c r="Y829" s="58"/>
      <c r="Z829" s="58"/>
      <c r="AA829" s="58"/>
      <c r="AB829" s="58"/>
      <c r="AC829" s="59"/>
      <c r="AD829" s="59"/>
    </row>
    <row r="830" spans="1:30" ht="12.75" customHeight="1" x14ac:dyDescent="0.2">
      <c r="A830" s="56"/>
      <c r="B830" s="56"/>
      <c r="C830" s="56"/>
      <c r="D830" s="57"/>
      <c r="E830" s="57"/>
      <c r="F830" s="56"/>
      <c r="G830" s="56"/>
      <c r="H830" s="56"/>
      <c r="I830" s="56"/>
      <c r="J830" s="56"/>
      <c r="K830" s="56"/>
      <c r="L830" s="56"/>
      <c r="M830" s="58"/>
      <c r="N830" s="58"/>
      <c r="O830" s="58"/>
      <c r="P830" s="58"/>
      <c r="Q830" s="58"/>
      <c r="R830" s="58"/>
      <c r="S830" s="58"/>
      <c r="T830" s="58"/>
      <c r="U830" s="58"/>
      <c r="V830" s="58"/>
      <c r="W830" s="58"/>
      <c r="X830" s="58"/>
      <c r="Y830" s="58"/>
      <c r="Z830" s="58"/>
      <c r="AA830" s="58"/>
      <c r="AB830" s="58"/>
      <c r="AC830" s="59"/>
      <c r="AD830" s="59"/>
    </row>
    <row r="831" spans="1:30" ht="12.75" customHeight="1" x14ac:dyDescent="0.2">
      <c r="A831" s="56"/>
      <c r="B831" s="56"/>
      <c r="C831" s="56"/>
      <c r="D831" s="57"/>
      <c r="E831" s="57"/>
      <c r="F831" s="56"/>
      <c r="G831" s="56"/>
      <c r="H831" s="56"/>
      <c r="I831" s="56"/>
      <c r="J831" s="56"/>
      <c r="K831" s="56"/>
      <c r="L831" s="56"/>
      <c r="M831" s="58"/>
      <c r="N831" s="58"/>
      <c r="O831" s="58"/>
      <c r="P831" s="58"/>
      <c r="Q831" s="58"/>
      <c r="R831" s="58"/>
      <c r="S831" s="58"/>
      <c r="T831" s="58"/>
      <c r="U831" s="58"/>
      <c r="V831" s="58"/>
      <c r="W831" s="58"/>
      <c r="X831" s="58"/>
      <c r="Y831" s="58"/>
      <c r="Z831" s="58"/>
      <c r="AA831" s="58"/>
      <c r="AB831" s="58"/>
      <c r="AC831" s="59"/>
      <c r="AD831" s="59"/>
    </row>
    <row r="832" spans="1:30" ht="12.75" customHeight="1" x14ac:dyDescent="0.2">
      <c r="A832" s="56"/>
      <c r="B832" s="56"/>
      <c r="C832" s="56"/>
      <c r="D832" s="57"/>
      <c r="E832" s="57"/>
      <c r="F832" s="56"/>
      <c r="G832" s="56"/>
      <c r="H832" s="56"/>
      <c r="I832" s="56"/>
      <c r="J832" s="56"/>
      <c r="K832" s="56"/>
      <c r="L832" s="56"/>
      <c r="M832" s="58"/>
      <c r="N832" s="58"/>
      <c r="O832" s="58"/>
      <c r="P832" s="58"/>
      <c r="Q832" s="58"/>
      <c r="R832" s="58"/>
      <c r="S832" s="58"/>
      <c r="T832" s="58"/>
      <c r="U832" s="58"/>
      <c r="V832" s="58"/>
      <c r="W832" s="58"/>
      <c r="X832" s="58"/>
      <c r="Y832" s="58"/>
      <c r="Z832" s="58"/>
      <c r="AA832" s="58"/>
      <c r="AB832" s="58"/>
      <c r="AC832" s="59"/>
      <c r="AD832" s="59"/>
    </row>
    <row r="833" spans="1:30" ht="12.75" customHeight="1" x14ac:dyDescent="0.2">
      <c r="A833" s="56"/>
      <c r="B833" s="56"/>
      <c r="C833" s="56"/>
      <c r="D833" s="57"/>
      <c r="E833" s="57"/>
      <c r="F833" s="56"/>
      <c r="G833" s="56"/>
      <c r="H833" s="56"/>
      <c r="I833" s="56"/>
      <c r="J833" s="56"/>
      <c r="K833" s="56"/>
      <c r="L833" s="56"/>
      <c r="M833" s="58"/>
      <c r="N833" s="58"/>
      <c r="O833" s="58"/>
      <c r="P833" s="58"/>
      <c r="Q833" s="58"/>
      <c r="R833" s="58"/>
      <c r="S833" s="58"/>
      <c r="T833" s="58"/>
      <c r="U833" s="58"/>
      <c r="V833" s="58"/>
      <c r="W833" s="58"/>
      <c r="X833" s="58"/>
      <c r="Y833" s="58"/>
      <c r="Z833" s="58"/>
      <c r="AA833" s="58"/>
      <c r="AB833" s="58"/>
      <c r="AC833" s="59"/>
      <c r="AD833" s="59"/>
    </row>
    <row r="834" spans="1:30" ht="12.75" customHeight="1" x14ac:dyDescent="0.2">
      <c r="A834" s="56"/>
      <c r="B834" s="56"/>
      <c r="C834" s="56"/>
      <c r="D834" s="57"/>
      <c r="E834" s="57"/>
      <c r="F834" s="56"/>
      <c r="G834" s="56"/>
      <c r="H834" s="56"/>
      <c r="I834" s="56"/>
      <c r="J834" s="56"/>
      <c r="K834" s="56"/>
      <c r="L834" s="56"/>
      <c r="M834" s="58"/>
      <c r="N834" s="58"/>
      <c r="O834" s="58"/>
      <c r="P834" s="58"/>
      <c r="Q834" s="58"/>
      <c r="R834" s="58"/>
      <c r="S834" s="58"/>
      <c r="T834" s="58"/>
      <c r="U834" s="58"/>
      <c r="V834" s="58"/>
      <c r="W834" s="58"/>
      <c r="X834" s="58"/>
      <c r="Y834" s="58"/>
      <c r="Z834" s="58"/>
      <c r="AA834" s="58"/>
      <c r="AB834" s="58"/>
      <c r="AC834" s="59"/>
      <c r="AD834" s="59"/>
    </row>
    <row r="835" spans="1:30" ht="12.75" customHeight="1" x14ac:dyDescent="0.2">
      <c r="A835" s="56"/>
      <c r="B835" s="56"/>
      <c r="C835" s="56"/>
      <c r="D835" s="57"/>
      <c r="E835" s="57"/>
      <c r="F835" s="56"/>
      <c r="G835" s="56"/>
      <c r="H835" s="56"/>
      <c r="I835" s="56"/>
      <c r="J835" s="56"/>
      <c r="K835" s="56"/>
      <c r="L835" s="56"/>
      <c r="M835" s="58"/>
      <c r="N835" s="58"/>
      <c r="O835" s="58"/>
      <c r="P835" s="58"/>
      <c r="Q835" s="58"/>
      <c r="R835" s="58"/>
      <c r="S835" s="58"/>
      <c r="T835" s="58"/>
      <c r="U835" s="58"/>
      <c r="V835" s="58"/>
      <c r="W835" s="58"/>
      <c r="X835" s="58"/>
      <c r="Y835" s="58"/>
      <c r="Z835" s="58"/>
      <c r="AA835" s="58"/>
      <c r="AB835" s="58"/>
      <c r="AC835" s="59"/>
      <c r="AD835" s="59"/>
    </row>
    <row r="836" spans="1:30" ht="12.75" customHeight="1" x14ac:dyDescent="0.2">
      <c r="A836" s="56"/>
      <c r="B836" s="56"/>
      <c r="C836" s="56"/>
      <c r="D836" s="57"/>
      <c r="E836" s="57"/>
      <c r="F836" s="56"/>
      <c r="G836" s="56"/>
      <c r="H836" s="56"/>
      <c r="I836" s="56"/>
      <c r="J836" s="56"/>
      <c r="K836" s="56"/>
      <c r="L836" s="56"/>
      <c r="M836" s="58"/>
      <c r="N836" s="58"/>
      <c r="O836" s="58"/>
      <c r="P836" s="58"/>
      <c r="Q836" s="58"/>
      <c r="R836" s="58"/>
      <c r="S836" s="58"/>
      <c r="T836" s="58"/>
      <c r="U836" s="58"/>
      <c r="V836" s="58"/>
      <c r="W836" s="58"/>
      <c r="X836" s="58"/>
      <c r="Y836" s="58"/>
      <c r="Z836" s="58"/>
      <c r="AA836" s="58"/>
      <c r="AB836" s="58"/>
      <c r="AC836" s="59"/>
      <c r="AD836" s="59"/>
    </row>
    <row r="837" spans="1:30" ht="12.75" customHeight="1" x14ac:dyDescent="0.2">
      <c r="A837" s="56"/>
      <c r="B837" s="56"/>
      <c r="C837" s="56"/>
      <c r="D837" s="57"/>
      <c r="E837" s="57"/>
      <c r="F837" s="56"/>
      <c r="G837" s="56"/>
      <c r="H837" s="56"/>
      <c r="I837" s="56"/>
      <c r="J837" s="56"/>
      <c r="K837" s="56"/>
      <c r="L837" s="56"/>
      <c r="M837" s="58"/>
      <c r="N837" s="58"/>
      <c r="O837" s="58"/>
      <c r="P837" s="58"/>
      <c r="Q837" s="58"/>
      <c r="R837" s="58"/>
      <c r="S837" s="58"/>
      <c r="T837" s="58"/>
      <c r="U837" s="58"/>
      <c r="V837" s="58"/>
      <c r="W837" s="58"/>
      <c r="X837" s="58"/>
      <c r="Y837" s="58"/>
      <c r="Z837" s="58"/>
      <c r="AA837" s="58"/>
      <c r="AB837" s="58"/>
      <c r="AC837" s="59"/>
      <c r="AD837" s="59"/>
    </row>
    <row r="838" spans="1:30" ht="12.75" customHeight="1" x14ac:dyDescent="0.2">
      <c r="A838" s="56"/>
      <c r="B838" s="56"/>
      <c r="C838" s="56"/>
      <c r="D838" s="57"/>
      <c r="E838" s="57"/>
      <c r="F838" s="56"/>
      <c r="G838" s="56"/>
      <c r="H838" s="56"/>
      <c r="I838" s="56"/>
      <c r="J838" s="56"/>
      <c r="K838" s="56"/>
      <c r="L838" s="56"/>
      <c r="M838" s="58"/>
      <c r="N838" s="58"/>
      <c r="O838" s="58"/>
      <c r="P838" s="58"/>
      <c r="Q838" s="58"/>
      <c r="R838" s="58"/>
      <c r="S838" s="58"/>
      <c r="T838" s="58"/>
      <c r="U838" s="58"/>
      <c r="V838" s="58"/>
      <c r="W838" s="58"/>
      <c r="X838" s="58"/>
      <c r="Y838" s="58"/>
      <c r="Z838" s="58"/>
      <c r="AA838" s="58"/>
      <c r="AB838" s="58"/>
      <c r="AC838" s="59"/>
      <c r="AD838" s="59"/>
    </row>
    <row r="839" spans="1:30" ht="12.75" customHeight="1" x14ac:dyDescent="0.2">
      <c r="A839" s="56"/>
      <c r="B839" s="56"/>
      <c r="C839" s="56"/>
      <c r="D839" s="57"/>
      <c r="E839" s="57"/>
      <c r="F839" s="56"/>
      <c r="G839" s="56"/>
      <c r="H839" s="56"/>
      <c r="I839" s="56"/>
      <c r="J839" s="56"/>
      <c r="K839" s="56"/>
      <c r="L839" s="56"/>
      <c r="M839" s="58"/>
      <c r="N839" s="58"/>
      <c r="O839" s="58"/>
      <c r="P839" s="58"/>
      <c r="Q839" s="58"/>
      <c r="R839" s="58"/>
      <c r="S839" s="58"/>
      <c r="T839" s="58"/>
      <c r="U839" s="58"/>
      <c r="V839" s="58"/>
      <c r="W839" s="58"/>
      <c r="X839" s="58"/>
      <c r="Y839" s="58"/>
      <c r="Z839" s="58"/>
      <c r="AA839" s="58"/>
      <c r="AB839" s="58"/>
      <c r="AC839" s="59"/>
      <c r="AD839" s="59"/>
    </row>
    <row r="840" spans="1:30" ht="12.75" customHeight="1" x14ac:dyDescent="0.2">
      <c r="A840" s="56"/>
      <c r="B840" s="56"/>
      <c r="C840" s="56"/>
      <c r="D840" s="57"/>
      <c r="E840" s="57"/>
      <c r="F840" s="56"/>
      <c r="G840" s="56"/>
      <c r="H840" s="56"/>
      <c r="I840" s="56"/>
      <c r="J840" s="56"/>
      <c r="K840" s="56"/>
      <c r="L840" s="56"/>
      <c r="M840" s="58"/>
      <c r="N840" s="58"/>
      <c r="O840" s="58"/>
      <c r="P840" s="58"/>
      <c r="Q840" s="58"/>
      <c r="R840" s="58"/>
      <c r="S840" s="58"/>
      <c r="T840" s="58"/>
      <c r="U840" s="58"/>
      <c r="V840" s="58"/>
      <c r="W840" s="58"/>
      <c r="X840" s="58"/>
      <c r="Y840" s="58"/>
      <c r="Z840" s="58"/>
      <c r="AA840" s="58"/>
      <c r="AB840" s="58"/>
      <c r="AC840" s="59"/>
      <c r="AD840" s="59"/>
    </row>
    <row r="841" spans="1:30" ht="12.75" customHeight="1" x14ac:dyDescent="0.2">
      <c r="A841" s="56"/>
      <c r="B841" s="56"/>
      <c r="C841" s="56"/>
      <c r="D841" s="57"/>
      <c r="E841" s="57"/>
      <c r="F841" s="56"/>
      <c r="G841" s="56"/>
      <c r="H841" s="56"/>
      <c r="I841" s="56"/>
      <c r="J841" s="56"/>
      <c r="K841" s="56"/>
      <c r="L841" s="56"/>
      <c r="M841" s="58"/>
      <c r="N841" s="58"/>
      <c r="O841" s="58"/>
      <c r="P841" s="58"/>
      <c r="Q841" s="58"/>
      <c r="R841" s="58"/>
      <c r="S841" s="58"/>
      <c r="T841" s="58"/>
      <c r="U841" s="58"/>
      <c r="V841" s="58"/>
      <c r="W841" s="58"/>
      <c r="X841" s="58"/>
      <c r="Y841" s="58"/>
      <c r="Z841" s="58"/>
      <c r="AA841" s="58"/>
      <c r="AB841" s="58"/>
      <c r="AC841" s="59"/>
      <c r="AD841" s="59"/>
    </row>
    <row r="842" spans="1:30" ht="12.75" customHeight="1" x14ac:dyDescent="0.2">
      <c r="A842" s="56"/>
      <c r="B842" s="56"/>
      <c r="C842" s="56"/>
      <c r="D842" s="57"/>
      <c r="E842" s="57"/>
      <c r="F842" s="56"/>
      <c r="G842" s="56"/>
      <c r="H842" s="56"/>
      <c r="I842" s="56"/>
      <c r="J842" s="56"/>
      <c r="K842" s="56"/>
      <c r="L842" s="56"/>
      <c r="M842" s="58"/>
      <c r="N842" s="58"/>
      <c r="O842" s="58"/>
      <c r="P842" s="58"/>
      <c r="Q842" s="58"/>
      <c r="R842" s="58"/>
      <c r="S842" s="58"/>
      <c r="T842" s="58"/>
      <c r="U842" s="58"/>
      <c r="V842" s="58"/>
      <c r="W842" s="58"/>
      <c r="X842" s="58"/>
      <c r="Y842" s="58"/>
      <c r="Z842" s="58"/>
      <c r="AA842" s="58"/>
      <c r="AB842" s="58"/>
      <c r="AC842" s="59"/>
      <c r="AD842" s="59"/>
    </row>
    <row r="843" spans="1:30" ht="12.75" customHeight="1" x14ac:dyDescent="0.2">
      <c r="A843" s="56"/>
      <c r="B843" s="56"/>
      <c r="C843" s="56"/>
      <c r="D843" s="57"/>
      <c r="E843" s="57"/>
      <c r="F843" s="56"/>
      <c r="G843" s="56"/>
      <c r="H843" s="56"/>
      <c r="I843" s="56"/>
      <c r="J843" s="56"/>
      <c r="K843" s="56"/>
      <c r="L843" s="56"/>
      <c r="M843" s="58"/>
      <c r="N843" s="58"/>
      <c r="O843" s="58"/>
      <c r="P843" s="58"/>
      <c r="Q843" s="58"/>
      <c r="R843" s="58"/>
      <c r="S843" s="58"/>
      <c r="T843" s="58"/>
      <c r="U843" s="58"/>
      <c r="V843" s="58"/>
      <c r="W843" s="58"/>
      <c r="X843" s="58"/>
      <c r="Y843" s="58"/>
      <c r="Z843" s="58"/>
      <c r="AA843" s="58"/>
      <c r="AB843" s="58"/>
      <c r="AC843" s="59"/>
      <c r="AD843" s="59"/>
    </row>
    <row r="844" spans="1:30" ht="12.75" customHeight="1" x14ac:dyDescent="0.2">
      <c r="A844" s="56"/>
      <c r="B844" s="56"/>
      <c r="C844" s="56"/>
      <c r="D844" s="57"/>
      <c r="E844" s="57"/>
      <c r="F844" s="56"/>
      <c r="G844" s="56"/>
      <c r="H844" s="56"/>
      <c r="I844" s="56"/>
      <c r="J844" s="56"/>
      <c r="K844" s="56"/>
      <c r="L844" s="56"/>
      <c r="M844" s="58"/>
      <c r="N844" s="58"/>
      <c r="O844" s="58"/>
      <c r="P844" s="58"/>
      <c r="Q844" s="58"/>
      <c r="R844" s="58"/>
      <c r="S844" s="58"/>
      <c r="T844" s="58"/>
      <c r="U844" s="58"/>
      <c r="V844" s="58"/>
      <c r="W844" s="58"/>
      <c r="X844" s="58"/>
      <c r="Y844" s="58"/>
      <c r="Z844" s="58"/>
      <c r="AA844" s="58"/>
      <c r="AB844" s="58"/>
      <c r="AC844" s="59"/>
      <c r="AD844" s="59"/>
    </row>
    <row r="845" spans="1:30" ht="12.75" customHeight="1" x14ac:dyDescent="0.2">
      <c r="A845" s="56"/>
      <c r="B845" s="56"/>
      <c r="C845" s="56"/>
      <c r="D845" s="57"/>
      <c r="E845" s="57"/>
      <c r="F845" s="56"/>
      <c r="G845" s="56"/>
      <c r="H845" s="56"/>
      <c r="I845" s="56"/>
      <c r="J845" s="56"/>
      <c r="K845" s="56"/>
      <c r="L845" s="56"/>
      <c r="M845" s="58"/>
      <c r="N845" s="58"/>
      <c r="O845" s="58"/>
      <c r="P845" s="58"/>
      <c r="Q845" s="58"/>
      <c r="R845" s="58"/>
      <c r="S845" s="58"/>
      <c r="T845" s="58"/>
      <c r="U845" s="58"/>
      <c r="V845" s="58"/>
      <c r="W845" s="58"/>
      <c r="X845" s="58"/>
      <c r="Y845" s="58"/>
      <c r="Z845" s="58"/>
      <c r="AA845" s="58"/>
      <c r="AB845" s="58"/>
      <c r="AC845" s="59"/>
      <c r="AD845" s="59"/>
    </row>
    <row r="846" spans="1:30" ht="12.75" customHeight="1" x14ac:dyDescent="0.2">
      <c r="A846" s="56"/>
      <c r="B846" s="56"/>
      <c r="C846" s="56"/>
      <c r="D846" s="57"/>
      <c r="E846" s="57"/>
      <c r="F846" s="56"/>
      <c r="G846" s="56"/>
      <c r="H846" s="56"/>
      <c r="I846" s="56"/>
      <c r="J846" s="56"/>
      <c r="K846" s="56"/>
      <c r="L846" s="56"/>
      <c r="M846" s="58"/>
      <c r="N846" s="58"/>
      <c r="O846" s="58"/>
      <c r="P846" s="58"/>
      <c r="Q846" s="58"/>
      <c r="R846" s="58"/>
      <c r="S846" s="58"/>
      <c r="T846" s="58"/>
      <c r="U846" s="58"/>
      <c r="V846" s="58"/>
      <c r="W846" s="58"/>
      <c r="X846" s="58"/>
      <c r="Y846" s="58"/>
      <c r="Z846" s="58"/>
      <c r="AA846" s="58"/>
      <c r="AB846" s="58"/>
      <c r="AC846" s="59"/>
      <c r="AD846" s="59"/>
    </row>
    <row r="847" spans="1:30" ht="12.75" customHeight="1" x14ac:dyDescent="0.2">
      <c r="A847" s="56"/>
      <c r="B847" s="56"/>
      <c r="C847" s="56"/>
      <c r="D847" s="57"/>
      <c r="E847" s="57"/>
      <c r="F847" s="56"/>
      <c r="G847" s="56"/>
      <c r="H847" s="56"/>
      <c r="I847" s="56"/>
      <c r="J847" s="56"/>
      <c r="K847" s="56"/>
      <c r="L847" s="56"/>
      <c r="M847" s="58"/>
      <c r="N847" s="58"/>
      <c r="O847" s="58"/>
      <c r="P847" s="58"/>
      <c r="Q847" s="58"/>
      <c r="R847" s="58"/>
      <c r="S847" s="58"/>
      <c r="T847" s="58"/>
      <c r="U847" s="58"/>
      <c r="V847" s="58"/>
      <c r="W847" s="58"/>
      <c r="X847" s="58"/>
      <c r="Y847" s="58"/>
      <c r="Z847" s="58"/>
      <c r="AA847" s="58"/>
      <c r="AB847" s="58"/>
      <c r="AC847" s="59"/>
      <c r="AD847" s="59"/>
    </row>
    <row r="848" spans="1:30" ht="12.75" customHeight="1" x14ac:dyDescent="0.2">
      <c r="A848" s="56"/>
      <c r="B848" s="56"/>
      <c r="C848" s="56"/>
      <c r="D848" s="57"/>
      <c r="E848" s="57"/>
      <c r="F848" s="56"/>
      <c r="G848" s="56"/>
      <c r="H848" s="56"/>
      <c r="I848" s="56"/>
      <c r="J848" s="56"/>
      <c r="K848" s="56"/>
      <c r="L848" s="56"/>
      <c r="M848" s="58"/>
      <c r="N848" s="58"/>
      <c r="O848" s="58"/>
      <c r="P848" s="58"/>
      <c r="Q848" s="58"/>
      <c r="R848" s="58"/>
      <c r="S848" s="58"/>
      <c r="T848" s="58"/>
      <c r="U848" s="58"/>
      <c r="V848" s="58"/>
      <c r="W848" s="58"/>
      <c r="X848" s="58"/>
      <c r="Y848" s="58"/>
      <c r="Z848" s="58"/>
      <c r="AA848" s="58"/>
      <c r="AB848" s="58"/>
      <c r="AC848" s="59"/>
      <c r="AD848" s="59"/>
    </row>
    <row r="849" spans="1:30" ht="12.75" customHeight="1" x14ac:dyDescent="0.2">
      <c r="A849" s="56"/>
      <c r="B849" s="56"/>
      <c r="C849" s="56"/>
      <c r="D849" s="57"/>
      <c r="E849" s="57"/>
      <c r="F849" s="56"/>
      <c r="G849" s="56"/>
      <c r="H849" s="56"/>
      <c r="I849" s="56"/>
      <c r="J849" s="56"/>
      <c r="K849" s="56"/>
      <c r="L849" s="56"/>
      <c r="M849" s="58"/>
      <c r="N849" s="58"/>
      <c r="O849" s="58"/>
      <c r="P849" s="58"/>
      <c r="Q849" s="58"/>
      <c r="R849" s="58"/>
      <c r="S849" s="58"/>
      <c r="T849" s="58"/>
      <c r="U849" s="58"/>
      <c r="V849" s="58"/>
      <c r="W849" s="58"/>
      <c r="X849" s="58"/>
      <c r="Y849" s="58"/>
      <c r="Z849" s="58"/>
      <c r="AA849" s="58"/>
      <c r="AB849" s="58"/>
      <c r="AC849" s="59"/>
      <c r="AD849" s="59"/>
    </row>
    <row r="850" spans="1:30" ht="12.75" customHeight="1" x14ac:dyDescent="0.2">
      <c r="A850" s="56"/>
      <c r="B850" s="56"/>
      <c r="C850" s="56"/>
      <c r="D850" s="57"/>
      <c r="E850" s="57"/>
      <c r="F850" s="56"/>
      <c r="G850" s="56"/>
      <c r="H850" s="56"/>
      <c r="I850" s="56"/>
      <c r="J850" s="56"/>
      <c r="K850" s="56"/>
      <c r="L850" s="56"/>
      <c r="M850" s="58"/>
      <c r="N850" s="58"/>
      <c r="O850" s="58"/>
      <c r="P850" s="58"/>
      <c r="Q850" s="58"/>
      <c r="R850" s="58"/>
      <c r="S850" s="58"/>
      <c r="T850" s="58"/>
      <c r="U850" s="58"/>
      <c r="V850" s="58"/>
      <c r="W850" s="58"/>
      <c r="X850" s="58"/>
      <c r="Y850" s="58"/>
      <c r="Z850" s="58"/>
      <c r="AA850" s="58"/>
      <c r="AB850" s="58"/>
      <c r="AC850" s="59"/>
      <c r="AD850" s="59"/>
    </row>
    <row r="851" spans="1:30" ht="12.75" customHeight="1" x14ac:dyDescent="0.2">
      <c r="A851" s="56"/>
      <c r="B851" s="56"/>
      <c r="C851" s="56"/>
      <c r="D851" s="57"/>
      <c r="E851" s="57"/>
      <c r="F851" s="56"/>
      <c r="G851" s="56"/>
      <c r="H851" s="56"/>
      <c r="I851" s="56"/>
      <c r="J851" s="56"/>
      <c r="K851" s="56"/>
      <c r="L851" s="56"/>
      <c r="M851" s="58"/>
      <c r="N851" s="58"/>
      <c r="O851" s="58"/>
      <c r="P851" s="58"/>
      <c r="Q851" s="58"/>
      <c r="R851" s="58"/>
      <c r="S851" s="58"/>
      <c r="T851" s="58"/>
      <c r="U851" s="58"/>
      <c r="V851" s="58"/>
      <c r="W851" s="58"/>
      <c r="X851" s="58"/>
      <c r="Y851" s="58"/>
      <c r="Z851" s="58"/>
      <c r="AA851" s="58"/>
      <c r="AB851" s="58"/>
      <c r="AC851" s="59"/>
      <c r="AD851" s="59"/>
    </row>
    <row r="852" spans="1:30" ht="12.75" customHeight="1" x14ac:dyDescent="0.2">
      <c r="A852" s="56"/>
      <c r="B852" s="56"/>
      <c r="C852" s="56"/>
      <c r="D852" s="57"/>
      <c r="E852" s="57"/>
      <c r="F852" s="56"/>
      <c r="G852" s="56"/>
      <c r="H852" s="56"/>
      <c r="I852" s="56"/>
      <c r="J852" s="56"/>
      <c r="K852" s="56"/>
      <c r="L852" s="56"/>
      <c r="M852" s="58"/>
      <c r="N852" s="58"/>
      <c r="O852" s="58"/>
      <c r="P852" s="58"/>
      <c r="Q852" s="58"/>
      <c r="R852" s="58"/>
      <c r="S852" s="58"/>
      <c r="T852" s="58"/>
      <c r="U852" s="58"/>
      <c r="V852" s="58"/>
      <c r="W852" s="58"/>
      <c r="X852" s="58"/>
      <c r="Y852" s="58"/>
      <c r="Z852" s="58"/>
      <c r="AA852" s="58"/>
      <c r="AB852" s="58"/>
      <c r="AC852" s="59"/>
      <c r="AD852" s="59"/>
    </row>
    <row r="853" spans="1:30" ht="12.75" customHeight="1" x14ac:dyDescent="0.2">
      <c r="A853" s="56"/>
      <c r="B853" s="56"/>
      <c r="C853" s="56"/>
      <c r="D853" s="57"/>
      <c r="E853" s="57"/>
      <c r="F853" s="56"/>
      <c r="G853" s="56"/>
      <c r="H853" s="56"/>
      <c r="I853" s="56"/>
      <c r="J853" s="56"/>
      <c r="K853" s="56"/>
      <c r="L853" s="56"/>
      <c r="M853" s="58"/>
      <c r="N853" s="58"/>
      <c r="O853" s="58"/>
      <c r="P853" s="58"/>
      <c r="Q853" s="58"/>
      <c r="R853" s="58"/>
      <c r="S853" s="58"/>
      <c r="T853" s="58"/>
      <c r="U853" s="58"/>
      <c r="V853" s="58"/>
      <c r="W853" s="58"/>
      <c r="X853" s="58"/>
      <c r="Y853" s="58"/>
      <c r="Z853" s="58"/>
      <c r="AA853" s="58"/>
      <c r="AB853" s="58"/>
      <c r="AC853" s="59"/>
      <c r="AD853" s="59"/>
    </row>
    <row r="854" spans="1:30" ht="12.75" customHeight="1" x14ac:dyDescent="0.2">
      <c r="A854" s="56"/>
      <c r="B854" s="56"/>
      <c r="C854" s="56"/>
      <c r="D854" s="57"/>
      <c r="E854" s="57"/>
      <c r="F854" s="56"/>
      <c r="G854" s="56"/>
      <c r="H854" s="56"/>
      <c r="I854" s="56"/>
      <c r="J854" s="56"/>
      <c r="K854" s="56"/>
      <c r="L854" s="56"/>
      <c r="M854" s="58"/>
      <c r="N854" s="58"/>
      <c r="O854" s="58"/>
      <c r="P854" s="58"/>
      <c r="Q854" s="58"/>
      <c r="R854" s="58"/>
      <c r="S854" s="58"/>
      <c r="T854" s="58"/>
      <c r="U854" s="58"/>
      <c r="V854" s="58"/>
      <c r="W854" s="58"/>
      <c r="X854" s="58"/>
      <c r="Y854" s="58"/>
      <c r="Z854" s="58"/>
      <c r="AA854" s="58"/>
      <c r="AB854" s="58"/>
      <c r="AC854" s="59"/>
      <c r="AD854" s="59"/>
    </row>
    <row r="855" spans="1:30" ht="12.75" customHeight="1" x14ac:dyDescent="0.2">
      <c r="A855" s="56"/>
      <c r="B855" s="56"/>
      <c r="C855" s="56"/>
      <c r="D855" s="57"/>
      <c r="E855" s="57"/>
      <c r="F855" s="56"/>
      <c r="G855" s="56"/>
      <c r="H855" s="56"/>
      <c r="I855" s="56"/>
      <c r="J855" s="56"/>
      <c r="K855" s="56"/>
      <c r="L855" s="56"/>
      <c r="M855" s="58"/>
      <c r="N855" s="58"/>
      <c r="O855" s="58"/>
      <c r="P855" s="58"/>
      <c r="Q855" s="58"/>
      <c r="R855" s="58"/>
      <c r="S855" s="58"/>
      <c r="T855" s="58"/>
      <c r="U855" s="58"/>
      <c r="V855" s="58"/>
      <c r="W855" s="58"/>
      <c r="X855" s="58"/>
      <c r="Y855" s="58"/>
      <c r="Z855" s="58"/>
      <c r="AA855" s="58"/>
      <c r="AB855" s="58"/>
      <c r="AC855" s="59"/>
      <c r="AD855" s="59"/>
    </row>
    <row r="856" spans="1:30" ht="12.75" customHeight="1" x14ac:dyDescent="0.2">
      <c r="A856" s="56"/>
      <c r="B856" s="56"/>
      <c r="C856" s="56"/>
      <c r="D856" s="57"/>
      <c r="E856" s="57"/>
      <c r="F856" s="56"/>
      <c r="G856" s="56"/>
      <c r="H856" s="56"/>
      <c r="I856" s="56"/>
      <c r="J856" s="56"/>
      <c r="K856" s="56"/>
      <c r="L856" s="56"/>
      <c r="M856" s="58"/>
      <c r="N856" s="58"/>
      <c r="O856" s="58"/>
      <c r="P856" s="58"/>
      <c r="Q856" s="58"/>
      <c r="R856" s="58"/>
      <c r="S856" s="58"/>
      <c r="T856" s="58"/>
      <c r="U856" s="58"/>
      <c r="V856" s="58"/>
      <c r="W856" s="58"/>
      <c r="X856" s="58"/>
      <c r="Y856" s="58"/>
      <c r="Z856" s="58"/>
      <c r="AA856" s="58"/>
      <c r="AB856" s="58"/>
      <c r="AC856" s="59"/>
      <c r="AD856" s="59"/>
    </row>
    <row r="857" spans="1:30" ht="12.75" customHeight="1" x14ac:dyDescent="0.2">
      <c r="A857" s="56"/>
      <c r="B857" s="56"/>
      <c r="C857" s="56"/>
      <c r="D857" s="57"/>
      <c r="E857" s="57"/>
      <c r="F857" s="56"/>
      <c r="G857" s="56"/>
      <c r="H857" s="56"/>
      <c r="I857" s="56"/>
      <c r="J857" s="56"/>
      <c r="K857" s="56"/>
      <c r="L857" s="56"/>
      <c r="M857" s="58"/>
      <c r="N857" s="58"/>
      <c r="O857" s="58"/>
      <c r="P857" s="58"/>
      <c r="Q857" s="58"/>
      <c r="R857" s="58"/>
      <c r="S857" s="58"/>
      <c r="T857" s="58"/>
      <c r="U857" s="58"/>
      <c r="V857" s="58"/>
      <c r="W857" s="58"/>
      <c r="X857" s="58"/>
      <c r="Y857" s="58"/>
      <c r="Z857" s="58"/>
      <c r="AA857" s="58"/>
      <c r="AB857" s="58"/>
      <c r="AC857" s="59"/>
      <c r="AD857" s="59"/>
    </row>
    <row r="858" spans="1:30" ht="12.75" customHeight="1" x14ac:dyDescent="0.2">
      <c r="A858" s="56"/>
      <c r="B858" s="56"/>
      <c r="C858" s="56"/>
      <c r="D858" s="57"/>
      <c r="E858" s="57"/>
      <c r="F858" s="56"/>
      <c r="G858" s="56"/>
      <c r="H858" s="56"/>
      <c r="I858" s="56"/>
      <c r="J858" s="56"/>
      <c r="K858" s="56"/>
      <c r="L858" s="56"/>
      <c r="M858" s="58"/>
      <c r="N858" s="58"/>
      <c r="O858" s="58"/>
      <c r="P858" s="58"/>
      <c r="Q858" s="58"/>
      <c r="R858" s="58"/>
      <c r="S858" s="58"/>
      <c r="T858" s="58"/>
      <c r="U858" s="58"/>
      <c r="V858" s="58"/>
      <c r="W858" s="58"/>
      <c r="X858" s="58"/>
      <c r="Y858" s="58"/>
      <c r="Z858" s="58"/>
      <c r="AA858" s="58"/>
      <c r="AB858" s="58"/>
      <c r="AC858" s="59"/>
      <c r="AD858" s="59"/>
    </row>
    <row r="859" spans="1:30" ht="12.75" customHeight="1" x14ac:dyDescent="0.2">
      <c r="A859" s="56"/>
      <c r="B859" s="56"/>
      <c r="C859" s="56"/>
      <c r="D859" s="57"/>
      <c r="E859" s="57"/>
      <c r="F859" s="56"/>
      <c r="G859" s="56"/>
      <c r="H859" s="56"/>
      <c r="I859" s="56"/>
      <c r="J859" s="56"/>
      <c r="K859" s="56"/>
      <c r="L859" s="56"/>
      <c r="M859" s="58"/>
      <c r="N859" s="58"/>
      <c r="O859" s="58"/>
      <c r="P859" s="58"/>
      <c r="Q859" s="58"/>
      <c r="R859" s="58"/>
      <c r="S859" s="58"/>
      <c r="T859" s="58"/>
      <c r="U859" s="58"/>
      <c r="V859" s="58"/>
      <c r="W859" s="58"/>
      <c r="X859" s="58"/>
      <c r="Y859" s="58"/>
      <c r="Z859" s="58"/>
      <c r="AA859" s="58"/>
      <c r="AB859" s="58"/>
      <c r="AC859" s="59"/>
      <c r="AD859" s="59"/>
    </row>
    <row r="860" spans="1:30" ht="12.75" customHeight="1" x14ac:dyDescent="0.2">
      <c r="A860" s="56"/>
      <c r="B860" s="56"/>
      <c r="C860" s="56"/>
      <c r="D860" s="57"/>
      <c r="E860" s="57"/>
      <c r="F860" s="56"/>
      <c r="G860" s="56"/>
      <c r="H860" s="56"/>
      <c r="I860" s="56"/>
      <c r="J860" s="56"/>
      <c r="K860" s="56"/>
      <c r="L860" s="56"/>
      <c r="M860" s="58"/>
      <c r="N860" s="58"/>
      <c r="O860" s="58"/>
      <c r="P860" s="58"/>
      <c r="Q860" s="58"/>
      <c r="R860" s="58"/>
      <c r="S860" s="58"/>
      <c r="T860" s="58"/>
      <c r="U860" s="58"/>
      <c r="V860" s="58"/>
      <c r="W860" s="58"/>
      <c r="X860" s="58"/>
      <c r="Y860" s="58"/>
      <c r="Z860" s="58"/>
      <c r="AA860" s="58"/>
      <c r="AB860" s="58"/>
      <c r="AC860" s="59"/>
      <c r="AD860" s="59"/>
    </row>
    <row r="861" spans="1:30" ht="12.75" customHeight="1" x14ac:dyDescent="0.2">
      <c r="A861" s="56"/>
      <c r="B861" s="56"/>
      <c r="C861" s="56"/>
      <c r="D861" s="57"/>
      <c r="E861" s="57"/>
      <c r="F861" s="56"/>
      <c r="G861" s="56"/>
      <c r="H861" s="56"/>
      <c r="I861" s="56"/>
      <c r="J861" s="56"/>
      <c r="K861" s="56"/>
      <c r="L861" s="56"/>
      <c r="M861" s="58"/>
      <c r="N861" s="58"/>
      <c r="O861" s="58"/>
      <c r="P861" s="58"/>
      <c r="Q861" s="58"/>
      <c r="R861" s="58"/>
      <c r="S861" s="58"/>
      <c r="T861" s="58"/>
      <c r="U861" s="58"/>
      <c r="V861" s="58"/>
      <c r="W861" s="58"/>
      <c r="X861" s="58"/>
      <c r="Y861" s="58"/>
      <c r="Z861" s="58"/>
      <c r="AA861" s="58"/>
      <c r="AB861" s="58"/>
      <c r="AC861" s="59"/>
      <c r="AD861" s="59"/>
    </row>
    <row r="862" spans="1:30" ht="12.75" customHeight="1" x14ac:dyDescent="0.2">
      <c r="A862" s="56"/>
      <c r="B862" s="56"/>
      <c r="C862" s="56"/>
      <c r="D862" s="57"/>
      <c r="E862" s="57"/>
      <c r="F862" s="56"/>
      <c r="G862" s="56"/>
      <c r="H862" s="56"/>
      <c r="I862" s="56"/>
      <c r="J862" s="56"/>
      <c r="K862" s="56"/>
      <c r="L862" s="56"/>
      <c r="M862" s="58"/>
      <c r="N862" s="58"/>
      <c r="O862" s="58"/>
      <c r="P862" s="58"/>
      <c r="Q862" s="58"/>
      <c r="R862" s="58"/>
      <c r="S862" s="58"/>
      <c r="T862" s="58"/>
      <c r="U862" s="58"/>
      <c r="V862" s="58"/>
      <c r="W862" s="58"/>
      <c r="X862" s="58"/>
      <c r="Y862" s="58"/>
      <c r="Z862" s="58"/>
      <c r="AA862" s="58"/>
      <c r="AB862" s="58"/>
      <c r="AC862" s="59"/>
      <c r="AD862" s="59"/>
    </row>
    <row r="863" spans="1:30" ht="12.75" customHeight="1" x14ac:dyDescent="0.2">
      <c r="A863" s="56"/>
      <c r="B863" s="56"/>
      <c r="C863" s="56"/>
      <c r="D863" s="57"/>
      <c r="E863" s="57"/>
      <c r="F863" s="56"/>
      <c r="G863" s="56"/>
      <c r="H863" s="56"/>
      <c r="I863" s="56"/>
      <c r="J863" s="56"/>
      <c r="K863" s="56"/>
      <c r="L863" s="56"/>
      <c r="M863" s="58"/>
      <c r="N863" s="58"/>
      <c r="O863" s="58"/>
      <c r="P863" s="58"/>
      <c r="Q863" s="58"/>
      <c r="R863" s="58"/>
      <c r="S863" s="58"/>
      <c r="T863" s="58"/>
      <c r="U863" s="58"/>
      <c r="V863" s="58"/>
      <c r="W863" s="58"/>
      <c r="X863" s="58"/>
      <c r="Y863" s="58"/>
      <c r="Z863" s="58"/>
      <c r="AA863" s="58"/>
      <c r="AB863" s="58"/>
      <c r="AC863" s="59"/>
      <c r="AD863" s="59"/>
    </row>
    <row r="864" spans="1:30" ht="12.75" customHeight="1" x14ac:dyDescent="0.2">
      <c r="A864" s="56"/>
      <c r="B864" s="56"/>
      <c r="C864" s="56"/>
      <c r="D864" s="57"/>
      <c r="E864" s="57"/>
      <c r="F864" s="56"/>
      <c r="G864" s="56"/>
      <c r="H864" s="56"/>
      <c r="I864" s="56"/>
      <c r="J864" s="56"/>
      <c r="K864" s="56"/>
      <c r="L864" s="56"/>
      <c r="M864" s="58"/>
      <c r="N864" s="58"/>
      <c r="O864" s="58"/>
      <c r="P864" s="58"/>
      <c r="Q864" s="58"/>
      <c r="R864" s="58"/>
      <c r="S864" s="58"/>
      <c r="T864" s="58"/>
      <c r="U864" s="58"/>
      <c r="V864" s="58"/>
      <c r="W864" s="58"/>
      <c r="X864" s="58"/>
      <c r="Y864" s="58"/>
      <c r="Z864" s="58"/>
      <c r="AA864" s="58"/>
      <c r="AB864" s="58"/>
      <c r="AC864" s="59"/>
      <c r="AD864" s="59"/>
    </row>
    <row r="865" spans="1:30" ht="12.75" customHeight="1" x14ac:dyDescent="0.2">
      <c r="A865" s="56"/>
      <c r="B865" s="56"/>
      <c r="C865" s="56"/>
      <c r="D865" s="57"/>
      <c r="E865" s="57"/>
      <c r="F865" s="56"/>
      <c r="G865" s="56"/>
      <c r="H865" s="56"/>
      <c r="I865" s="56"/>
      <c r="J865" s="56"/>
      <c r="K865" s="56"/>
      <c r="L865" s="56"/>
      <c r="M865" s="58"/>
      <c r="N865" s="58"/>
      <c r="O865" s="58"/>
      <c r="P865" s="58"/>
      <c r="Q865" s="58"/>
      <c r="R865" s="58"/>
      <c r="S865" s="58"/>
      <c r="T865" s="58"/>
      <c r="U865" s="58"/>
      <c r="V865" s="58"/>
      <c r="W865" s="58"/>
      <c r="X865" s="58"/>
      <c r="Y865" s="58"/>
      <c r="Z865" s="58"/>
      <c r="AA865" s="58"/>
      <c r="AB865" s="58"/>
      <c r="AC865" s="59"/>
      <c r="AD865" s="59"/>
    </row>
    <row r="866" spans="1:30" ht="12.75" customHeight="1" x14ac:dyDescent="0.2">
      <c r="A866" s="56"/>
      <c r="B866" s="56"/>
      <c r="C866" s="56"/>
      <c r="D866" s="57"/>
      <c r="E866" s="57"/>
      <c r="F866" s="56"/>
      <c r="G866" s="56"/>
      <c r="H866" s="56"/>
      <c r="I866" s="56"/>
      <c r="J866" s="56"/>
      <c r="K866" s="56"/>
      <c r="L866" s="56"/>
      <c r="M866" s="58"/>
      <c r="N866" s="58"/>
      <c r="O866" s="58"/>
      <c r="P866" s="58"/>
      <c r="Q866" s="58"/>
      <c r="R866" s="58"/>
      <c r="S866" s="58"/>
      <c r="T866" s="58"/>
      <c r="U866" s="58"/>
      <c r="V866" s="58"/>
      <c r="W866" s="58"/>
      <c r="X866" s="58"/>
      <c r="Y866" s="58"/>
      <c r="Z866" s="58"/>
      <c r="AA866" s="58"/>
      <c r="AB866" s="58"/>
      <c r="AC866" s="59"/>
      <c r="AD866" s="59"/>
    </row>
    <row r="867" spans="1:30" ht="12.75" customHeight="1" x14ac:dyDescent="0.2">
      <c r="A867" s="56"/>
      <c r="B867" s="56"/>
      <c r="C867" s="56"/>
      <c r="D867" s="57"/>
      <c r="E867" s="57"/>
      <c r="F867" s="56"/>
      <c r="G867" s="56"/>
      <c r="H867" s="56"/>
      <c r="I867" s="56"/>
      <c r="J867" s="56"/>
      <c r="K867" s="56"/>
      <c r="L867" s="56"/>
      <c r="M867" s="58"/>
      <c r="N867" s="58"/>
      <c r="O867" s="58"/>
      <c r="P867" s="58"/>
      <c r="Q867" s="58"/>
      <c r="R867" s="58"/>
      <c r="S867" s="58"/>
      <c r="T867" s="58"/>
      <c r="U867" s="58"/>
      <c r="V867" s="58"/>
      <c r="W867" s="58"/>
      <c r="X867" s="58"/>
      <c r="Y867" s="58"/>
      <c r="Z867" s="58"/>
      <c r="AA867" s="58"/>
      <c r="AB867" s="58"/>
      <c r="AC867" s="59"/>
      <c r="AD867" s="59"/>
    </row>
    <row r="868" spans="1:30" ht="12.75" customHeight="1" x14ac:dyDescent="0.2">
      <c r="A868" s="56"/>
      <c r="B868" s="56"/>
      <c r="C868" s="56"/>
      <c r="D868" s="57"/>
      <c r="E868" s="57"/>
      <c r="F868" s="56"/>
      <c r="G868" s="56"/>
      <c r="H868" s="56"/>
      <c r="I868" s="56"/>
      <c r="J868" s="56"/>
      <c r="K868" s="56"/>
      <c r="L868" s="56"/>
      <c r="M868" s="58"/>
      <c r="N868" s="58"/>
      <c r="O868" s="58"/>
      <c r="P868" s="58"/>
      <c r="Q868" s="58"/>
      <c r="R868" s="58"/>
      <c r="S868" s="58"/>
      <c r="T868" s="58"/>
      <c r="U868" s="58"/>
      <c r="V868" s="58"/>
      <c r="W868" s="58"/>
      <c r="X868" s="58"/>
      <c r="Y868" s="58"/>
      <c r="Z868" s="58"/>
      <c r="AA868" s="58"/>
      <c r="AB868" s="58"/>
      <c r="AC868" s="59"/>
      <c r="AD868" s="59"/>
    </row>
    <row r="869" spans="1:30" ht="12.75" customHeight="1" x14ac:dyDescent="0.2">
      <c r="A869" s="56"/>
      <c r="B869" s="56"/>
      <c r="C869" s="56"/>
      <c r="D869" s="57"/>
      <c r="E869" s="57"/>
      <c r="F869" s="56"/>
      <c r="G869" s="56"/>
      <c r="H869" s="56"/>
      <c r="I869" s="56"/>
      <c r="J869" s="56"/>
      <c r="K869" s="56"/>
      <c r="L869" s="56"/>
      <c r="M869" s="58"/>
      <c r="N869" s="58"/>
      <c r="O869" s="58"/>
      <c r="P869" s="58"/>
      <c r="Q869" s="58"/>
      <c r="R869" s="58"/>
      <c r="S869" s="58"/>
      <c r="T869" s="58"/>
      <c r="U869" s="58"/>
      <c r="V869" s="58"/>
      <c r="W869" s="58"/>
      <c r="X869" s="58"/>
      <c r="Y869" s="58"/>
      <c r="Z869" s="58"/>
      <c r="AA869" s="58"/>
      <c r="AB869" s="58"/>
      <c r="AC869" s="59"/>
      <c r="AD869" s="59"/>
    </row>
    <row r="870" spans="1:30" ht="12.75" customHeight="1" x14ac:dyDescent="0.2">
      <c r="A870" s="56"/>
      <c r="B870" s="56"/>
      <c r="C870" s="56"/>
      <c r="D870" s="57"/>
      <c r="E870" s="57"/>
      <c r="F870" s="56"/>
      <c r="G870" s="56"/>
      <c r="H870" s="56"/>
      <c r="I870" s="56"/>
      <c r="J870" s="56"/>
      <c r="K870" s="56"/>
      <c r="L870" s="56"/>
      <c r="M870" s="58"/>
      <c r="N870" s="58"/>
      <c r="O870" s="58"/>
      <c r="P870" s="58"/>
      <c r="Q870" s="58"/>
      <c r="R870" s="58"/>
      <c r="S870" s="58"/>
      <c r="T870" s="58"/>
      <c r="U870" s="58"/>
      <c r="V870" s="58"/>
      <c r="W870" s="58"/>
      <c r="X870" s="58"/>
      <c r="Y870" s="58"/>
      <c r="Z870" s="58"/>
      <c r="AA870" s="58"/>
      <c r="AB870" s="58"/>
      <c r="AC870" s="59"/>
      <c r="AD870" s="59"/>
    </row>
    <row r="871" spans="1:30" ht="12.75" customHeight="1" x14ac:dyDescent="0.2">
      <c r="A871" s="56"/>
      <c r="B871" s="56"/>
      <c r="C871" s="56"/>
      <c r="D871" s="57"/>
      <c r="E871" s="57"/>
      <c r="F871" s="56"/>
      <c r="G871" s="56"/>
      <c r="H871" s="56"/>
      <c r="I871" s="56"/>
      <c r="J871" s="56"/>
      <c r="K871" s="56"/>
      <c r="L871" s="56"/>
      <c r="M871" s="58"/>
      <c r="N871" s="58"/>
      <c r="O871" s="58"/>
      <c r="P871" s="58"/>
      <c r="Q871" s="58"/>
      <c r="R871" s="58"/>
      <c r="S871" s="58"/>
      <c r="T871" s="58"/>
      <c r="U871" s="58"/>
      <c r="V871" s="58"/>
      <c r="W871" s="58"/>
      <c r="X871" s="58"/>
      <c r="Y871" s="58"/>
      <c r="Z871" s="58"/>
      <c r="AA871" s="58"/>
      <c r="AB871" s="58"/>
      <c r="AC871" s="59"/>
      <c r="AD871" s="59"/>
    </row>
    <row r="872" spans="1:30" ht="12.75" customHeight="1" x14ac:dyDescent="0.2">
      <c r="A872" s="56"/>
      <c r="B872" s="56"/>
      <c r="C872" s="56"/>
      <c r="D872" s="57"/>
      <c r="E872" s="57"/>
      <c r="F872" s="56"/>
      <c r="G872" s="56"/>
      <c r="H872" s="56"/>
      <c r="I872" s="56"/>
      <c r="J872" s="56"/>
      <c r="K872" s="56"/>
      <c r="L872" s="56"/>
      <c r="M872" s="58"/>
      <c r="N872" s="58"/>
      <c r="O872" s="58"/>
      <c r="P872" s="58"/>
      <c r="Q872" s="58"/>
      <c r="R872" s="58"/>
      <c r="S872" s="58"/>
      <c r="T872" s="58"/>
      <c r="U872" s="58"/>
      <c r="V872" s="58"/>
      <c r="W872" s="58"/>
      <c r="X872" s="58"/>
      <c r="Y872" s="58"/>
      <c r="Z872" s="58"/>
      <c r="AA872" s="58"/>
      <c r="AB872" s="58"/>
      <c r="AC872" s="59"/>
      <c r="AD872" s="59"/>
    </row>
    <row r="873" spans="1:30" ht="12.75" customHeight="1" x14ac:dyDescent="0.2">
      <c r="A873" s="56"/>
      <c r="B873" s="56"/>
      <c r="C873" s="56"/>
      <c r="D873" s="57"/>
      <c r="E873" s="57"/>
      <c r="F873" s="56"/>
      <c r="G873" s="56"/>
      <c r="H873" s="56"/>
      <c r="I873" s="56"/>
      <c r="J873" s="56"/>
      <c r="K873" s="56"/>
      <c r="L873" s="56"/>
      <c r="M873" s="58"/>
      <c r="N873" s="58"/>
      <c r="O873" s="58"/>
      <c r="P873" s="58"/>
      <c r="Q873" s="58"/>
      <c r="R873" s="58"/>
      <c r="S873" s="58"/>
      <c r="T873" s="58"/>
      <c r="U873" s="58"/>
      <c r="V873" s="58"/>
      <c r="W873" s="58"/>
      <c r="X873" s="58"/>
      <c r="Y873" s="58"/>
      <c r="Z873" s="58"/>
      <c r="AA873" s="58"/>
      <c r="AB873" s="58"/>
      <c r="AC873" s="59"/>
      <c r="AD873" s="59"/>
    </row>
    <row r="874" spans="1:30" ht="12.75" customHeight="1" x14ac:dyDescent="0.2">
      <c r="A874" s="56"/>
      <c r="B874" s="56"/>
      <c r="C874" s="56"/>
      <c r="D874" s="57"/>
      <c r="E874" s="57"/>
      <c r="F874" s="56"/>
      <c r="G874" s="56"/>
      <c r="H874" s="56"/>
      <c r="I874" s="56"/>
      <c r="J874" s="56"/>
      <c r="K874" s="56"/>
      <c r="L874" s="56"/>
      <c r="M874" s="58"/>
      <c r="N874" s="58"/>
      <c r="O874" s="58"/>
      <c r="P874" s="58"/>
      <c r="Q874" s="58"/>
      <c r="R874" s="58"/>
      <c r="S874" s="58"/>
      <c r="T874" s="58"/>
      <c r="U874" s="58"/>
      <c r="V874" s="58"/>
      <c r="W874" s="58"/>
      <c r="X874" s="58"/>
      <c r="Y874" s="58"/>
      <c r="Z874" s="58"/>
      <c r="AA874" s="58"/>
      <c r="AB874" s="58"/>
      <c r="AC874" s="59"/>
      <c r="AD874" s="59"/>
    </row>
    <row r="875" spans="1:30" ht="12.75" customHeight="1" x14ac:dyDescent="0.2">
      <c r="A875" s="56"/>
      <c r="B875" s="56"/>
      <c r="C875" s="56"/>
      <c r="D875" s="57"/>
      <c r="E875" s="57"/>
      <c r="F875" s="56"/>
      <c r="G875" s="56"/>
      <c r="H875" s="56"/>
      <c r="I875" s="56"/>
      <c r="J875" s="56"/>
      <c r="K875" s="56"/>
      <c r="L875" s="56"/>
      <c r="M875" s="58"/>
      <c r="N875" s="58"/>
      <c r="O875" s="58"/>
      <c r="P875" s="58"/>
      <c r="Q875" s="58"/>
      <c r="R875" s="58"/>
      <c r="S875" s="58"/>
      <c r="T875" s="58"/>
      <c r="U875" s="58"/>
      <c r="V875" s="58"/>
      <c r="W875" s="58"/>
      <c r="X875" s="58"/>
      <c r="Y875" s="58"/>
      <c r="Z875" s="58"/>
      <c r="AA875" s="58"/>
      <c r="AB875" s="58"/>
      <c r="AC875" s="59"/>
      <c r="AD875" s="59"/>
    </row>
    <row r="876" spans="1:30" ht="12.75" customHeight="1" x14ac:dyDescent="0.2">
      <c r="A876" s="56"/>
      <c r="B876" s="56"/>
      <c r="C876" s="56"/>
      <c r="D876" s="57"/>
      <c r="E876" s="57"/>
      <c r="F876" s="56"/>
      <c r="G876" s="56"/>
      <c r="H876" s="56"/>
      <c r="I876" s="56"/>
      <c r="J876" s="56"/>
      <c r="K876" s="56"/>
      <c r="L876" s="56"/>
      <c r="M876" s="58"/>
      <c r="N876" s="58"/>
      <c r="O876" s="58"/>
      <c r="P876" s="58"/>
      <c r="Q876" s="58"/>
      <c r="R876" s="58"/>
      <c r="S876" s="58"/>
      <c r="T876" s="58"/>
      <c r="U876" s="58"/>
      <c r="V876" s="58"/>
      <c r="W876" s="58"/>
      <c r="X876" s="58"/>
      <c r="Y876" s="58"/>
      <c r="Z876" s="58"/>
      <c r="AA876" s="58"/>
      <c r="AB876" s="58"/>
      <c r="AC876" s="59"/>
      <c r="AD876" s="59"/>
    </row>
    <row r="877" spans="1:30" ht="12.75" customHeight="1" x14ac:dyDescent="0.2">
      <c r="A877" s="56"/>
      <c r="B877" s="56"/>
      <c r="C877" s="56"/>
      <c r="D877" s="57"/>
      <c r="E877" s="57"/>
      <c r="F877" s="56"/>
      <c r="G877" s="56"/>
      <c r="H877" s="56"/>
      <c r="I877" s="56"/>
      <c r="J877" s="56"/>
      <c r="K877" s="56"/>
      <c r="L877" s="56"/>
      <c r="M877" s="58"/>
      <c r="N877" s="58"/>
      <c r="O877" s="58"/>
      <c r="P877" s="58"/>
      <c r="Q877" s="58"/>
      <c r="R877" s="58"/>
      <c r="S877" s="58"/>
      <c r="T877" s="58"/>
      <c r="U877" s="58"/>
      <c r="V877" s="58"/>
      <c r="W877" s="58"/>
      <c r="X877" s="58"/>
      <c r="Y877" s="58"/>
      <c r="Z877" s="58"/>
      <c r="AA877" s="58"/>
      <c r="AB877" s="58"/>
      <c r="AC877" s="59"/>
      <c r="AD877" s="59"/>
    </row>
    <row r="878" spans="1:30" ht="12.75" customHeight="1" x14ac:dyDescent="0.2">
      <c r="A878" s="56"/>
      <c r="B878" s="56"/>
      <c r="C878" s="56"/>
      <c r="D878" s="57"/>
      <c r="E878" s="57"/>
      <c r="F878" s="56"/>
      <c r="G878" s="56"/>
      <c r="H878" s="56"/>
      <c r="I878" s="56"/>
      <c r="J878" s="56"/>
      <c r="K878" s="56"/>
      <c r="L878" s="56"/>
      <c r="M878" s="58"/>
      <c r="N878" s="58"/>
      <c r="O878" s="58"/>
      <c r="P878" s="58"/>
      <c r="Q878" s="58"/>
      <c r="R878" s="58"/>
      <c r="S878" s="58"/>
      <c r="T878" s="58"/>
      <c r="U878" s="58"/>
      <c r="V878" s="58"/>
      <c r="W878" s="58"/>
      <c r="X878" s="58"/>
      <c r="Y878" s="58"/>
      <c r="Z878" s="58"/>
      <c r="AA878" s="58"/>
      <c r="AB878" s="58"/>
      <c r="AC878" s="59"/>
      <c r="AD878" s="59"/>
    </row>
    <row r="879" spans="1:30" ht="12.75" customHeight="1" x14ac:dyDescent="0.2">
      <c r="A879" s="56"/>
      <c r="B879" s="56"/>
      <c r="C879" s="56"/>
      <c r="D879" s="57"/>
      <c r="E879" s="57"/>
      <c r="F879" s="56"/>
      <c r="G879" s="56"/>
      <c r="H879" s="56"/>
      <c r="I879" s="56"/>
      <c r="J879" s="56"/>
      <c r="K879" s="56"/>
      <c r="L879" s="56"/>
      <c r="M879" s="58"/>
      <c r="N879" s="58"/>
      <c r="O879" s="58"/>
      <c r="P879" s="58"/>
      <c r="Q879" s="58"/>
      <c r="R879" s="58"/>
      <c r="S879" s="58"/>
      <c r="T879" s="58"/>
      <c r="U879" s="58"/>
      <c r="V879" s="58"/>
      <c r="W879" s="58"/>
      <c r="X879" s="58"/>
      <c r="Y879" s="58"/>
      <c r="Z879" s="58"/>
      <c r="AA879" s="58"/>
      <c r="AB879" s="58"/>
      <c r="AC879" s="59"/>
      <c r="AD879" s="59"/>
    </row>
    <row r="880" spans="1:30" ht="12.75" customHeight="1" x14ac:dyDescent="0.2">
      <c r="A880" s="56"/>
      <c r="B880" s="56"/>
      <c r="C880" s="56"/>
      <c r="D880" s="57"/>
      <c r="E880" s="57"/>
      <c r="F880" s="56"/>
      <c r="G880" s="56"/>
      <c r="H880" s="56"/>
      <c r="I880" s="56"/>
      <c r="J880" s="56"/>
      <c r="K880" s="56"/>
      <c r="L880" s="56"/>
      <c r="M880" s="58"/>
      <c r="N880" s="58"/>
      <c r="O880" s="58"/>
      <c r="P880" s="58"/>
      <c r="Q880" s="58"/>
      <c r="R880" s="58"/>
      <c r="S880" s="58"/>
      <c r="T880" s="58"/>
      <c r="U880" s="58"/>
      <c r="V880" s="58"/>
      <c r="W880" s="58"/>
      <c r="X880" s="58"/>
      <c r="Y880" s="58"/>
      <c r="Z880" s="58"/>
      <c r="AA880" s="58"/>
      <c r="AB880" s="58"/>
      <c r="AC880" s="59"/>
      <c r="AD880" s="59"/>
    </row>
    <row r="881" spans="1:30" ht="12.75" customHeight="1" x14ac:dyDescent="0.2">
      <c r="A881" s="56"/>
      <c r="B881" s="56"/>
      <c r="C881" s="56"/>
      <c r="D881" s="57"/>
      <c r="E881" s="57"/>
      <c r="F881" s="56"/>
      <c r="G881" s="56"/>
      <c r="H881" s="56"/>
      <c r="I881" s="56"/>
      <c r="J881" s="56"/>
      <c r="K881" s="56"/>
      <c r="L881" s="56"/>
      <c r="M881" s="58"/>
      <c r="N881" s="58"/>
      <c r="O881" s="58"/>
      <c r="P881" s="58"/>
      <c r="Q881" s="58"/>
      <c r="R881" s="58"/>
      <c r="S881" s="58"/>
      <c r="T881" s="58"/>
      <c r="U881" s="58"/>
      <c r="V881" s="58"/>
      <c r="W881" s="58"/>
      <c r="X881" s="58"/>
      <c r="Y881" s="58"/>
      <c r="Z881" s="58"/>
      <c r="AA881" s="58"/>
      <c r="AB881" s="58"/>
      <c r="AC881" s="59"/>
      <c r="AD881" s="59"/>
    </row>
    <row r="882" spans="1:30" ht="12.75" customHeight="1" x14ac:dyDescent="0.2">
      <c r="A882" s="56"/>
      <c r="B882" s="56"/>
      <c r="C882" s="56"/>
      <c r="D882" s="57"/>
      <c r="E882" s="57"/>
      <c r="F882" s="56"/>
      <c r="G882" s="56"/>
      <c r="H882" s="56"/>
      <c r="I882" s="56"/>
      <c r="J882" s="56"/>
      <c r="K882" s="56"/>
      <c r="L882" s="56"/>
      <c r="M882" s="58"/>
      <c r="N882" s="58"/>
      <c r="O882" s="58"/>
      <c r="P882" s="58"/>
      <c r="Q882" s="58"/>
      <c r="R882" s="58"/>
      <c r="S882" s="58"/>
      <c r="T882" s="58"/>
      <c r="U882" s="58"/>
      <c r="V882" s="58"/>
      <c r="W882" s="58"/>
      <c r="X882" s="58"/>
      <c r="Y882" s="58"/>
      <c r="Z882" s="58"/>
      <c r="AA882" s="58"/>
      <c r="AB882" s="58"/>
      <c r="AC882" s="59"/>
      <c r="AD882" s="59"/>
    </row>
    <row r="883" spans="1:30" ht="12.75" customHeight="1" x14ac:dyDescent="0.2">
      <c r="A883" s="56"/>
      <c r="B883" s="56"/>
      <c r="C883" s="56"/>
      <c r="D883" s="57"/>
      <c r="E883" s="57"/>
      <c r="F883" s="56"/>
      <c r="G883" s="56"/>
      <c r="H883" s="56"/>
      <c r="I883" s="56"/>
      <c r="J883" s="56"/>
      <c r="K883" s="56"/>
      <c r="L883" s="56"/>
      <c r="M883" s="58"/>
      <c r="N883" s="58"/>
      <c r="O883" s="58"/>
      <c r="P883" s="58"/>
      <c r="Q883" s="58"/>
      <c r="R883" s="58"/>
      <c r="S883" s="58"/>
      <c r="T883" s="58"/>
      <c r="U883" s="58"/>
      <c r="V883" s="58"/>
      <c r="W883" s="58"/>
      <c r="X883" s="58"/>
      <c r="Y883" s="58"/>
      <c r="Z883" s="58"/>
      <c r="AA883" s="58"/>
      <c r="AB883" s="58"/>
      <c r="AC883" s="59"/>
      <c r="AD883" s="59"/>
    </row>
    <row r="884" spans="1:30" ht="12.75" customHeight="1" x14ac:dyDescent="0.2">
      <c r="A884" s="56"/>
      <c r="B884" s="56"/>
      <c r="C884" s="56"/>
      <c r="D884" s="57"/>
      <c r="E884" s="57"/>
      <c r="F884" s="56"/>
      <c r="G884" s="56"/>
      <c r="H884" s="56"/>
      <c r="I884" s="56"/>
      <c r="J884" s="56"/>
      <c r="K884" s="56"/>
      <c r="L884" s="56"/>
      <c r="M884" s="58"/>
      <c r="N884" s="58"/>
      <c r="O884" s="58"/>
      <c r="P884" s="58"/>
      <c r="Q884" s="58"/>
      <c r="R884" s="58"/>
      <c r="S884" s="58"/>
      <c r="T884" s="58"/>
      <c r="U884" s="58"/>
      <c r="V884" s="58"/>
      <c r="W884" s="58"/>
      <c r="X884" s="58"/>
      <c r="Y884" s="58"/>
      <c r="Z884" s="58"/>
      <c r="AA884" s="58"/>
      <c r="AB884" s="58"/>
      <c r="AC884" s="59"/>
      <c r="AD884" s="59"/>
    </row>
    <row r="885" spans="1:30" ht="12.75" customHeight="1" x14ac:dyDescent="0.2">
      <c r="A885" s="56"/>
      <c r="B885" s="56"/>
      <c r="C885" s="56"/>
      <c r="D885" s="57"/>
      <c r="E885" s="57"/>
      <c r="F885" s="56"/>
      <c r="G885" s="56"/>
      <c r="H885" s="56"/>
      <c r="I885" s="56"/>
      <c r="J885" s="56"/>
      <c r="K885" s="56"/>
      <c r="L885" s="56"/>
      <c r="M885" s="58"/>
      <c r="N885" s="58"/>
      <c r="O885" s="58"/>
      <c r="P885" s="58"/>
      <c r="Q885" s="58"/>
      <c r="R885" s="58"/>
      <c r="S885" s="58"/>
      <c r="T885" s="58"/>
      <c r="U885" s="58"/>
      <c r="V885" s="58"/>
      <c r="W885" s="58"/>
      <c r="X885" s="58"/>
      <c r="Y885" s="58"/>
      <c r="Z885" s="58"/>
      <c r="AA885" s="58"/>
      <c r="AB885" s="58"/>
      <c r="AC885" s="59"/>
      <c r="AD885" s="59"/>
    </row>
    <row r="886" spans="1:30" ht="12.75" customHeight="1" x14ac:dyDescent="0.2">
      <c r="A886" s="56"/>
      <c r="B886" s="56"/>
      <c r="C886" s="56"/>
      <c r="D886" s="57"/>
      <c r="E886" s="57"/>
      <c r="F886" s="56"/>
      <c r="G886" s="56"/>
      <c r="H886" s="56"/>
      <c r="I886" s="56"/>
      <c r="J886" s="56"/>
      <c r="K886" s="56"/>
      <c r="L886" s="56"/>
      <c r="M886" s="58"/>
      <c r="N886" s="58"/>
      <c r="O886" s="58"/>
      <c r="P886" s="58"/>
      <c r="Q886" s="58"/>
      <c r="R886" s="58"/>
      <c r="S886" s="58"/>
      <c r="T886" s="58"/>
      <c r="U886" s="58"/>
      <c r="V886" s="58"/>
      <c r="W886" s="58"/>
      <c r="X886" s="58"/>
      <c r="Y886" s="58"/>
      <c r="Z886" s="58"/>
      <c r="AA886" s="58"/>
      <c r="AB886" s="58"/>
      <c r="AC886" s="59"/>
      <c r="AD886" s="59"/>
    </row>
    <row r="887" spans="1:30" ht="12.75" customHeight="1" x14ac:dyDescent="0.2">
      <c r="A887" s="56"/>
      <c r="B887" s="56"/>
      <c r="C887" s="56"/>
      <c r="D887" s="57"/>
      <c r="E887" s="57"/>
      <c r="F887" s="56"/>
      <c r="G887" s="56"/>
      <c r="H887" s="56"/>
      <c r="I887" s="56"/>
      <c r="J887" s="56"/>
      <c r="K887" s="56"/>
      <c r="L887" s="56"/>
      <c r="M887" s="58"/>
      <c r="N887" s="58"/>
      <c r="O887" s="58"/>
      <c r="P887" s="58"/>
      <c r="Q887" s="58"/>
      <c r="R887" s="58"/>
      <c r="S887" s="58"/>
      <c r="T887" s="58"/>
      <c r="U887" s="58"/>
      <c r="V887" s="58"/>
      <c r="W887" s="58"/>
      <c r="X887" s="58"/>
      <c r="Y887" s="58"/>
      <c r="Z887" s="58"/>
      <c r="AA887" s="58"/>
      <c r="AB887" s="58"/>
      <c r="AC887" s="59"/>
      <c r="AD887" s="59"/>
    </row>
    <row r="888" spans="1:30" ht="12.75" customHeight="1" x14ac:dyDescent="0.2">
      <c r="A888" s="56"/>
      <c r="B888" s="56"/>
      <c r="C888" s="56"/>
      <c r="D888" s="57"/>
      <c r="E888" s="57"/>
      <c r="F888" s="56"/>
      <c r="G888" s="56"/>
      <c r="H888" s="56"/>
      <c r="I888" s="56"/>
      <c r="J888" s="56"/>
      <c r="K888" s="56"/>
      <c r="L888" s="56"/>
      <c r="M888" s="58"/>
      <c r="N888" s="58"/>
      <c r="O888" s="58"/>
      <c r="P888" s="58"/>
      <c r="Q888" s="58"/>
      <c r="R888" s="58"/>
      <c r="S888" s="58"/>
      <c r="T888" s="58"/>
      <c r="U888" s="58"/>
      <c r="V888" s="58"/>
      <c r="W888" s="58"/>
      <c r="X888" s="58"/>
      <c r="Y888" s="58"/>
      <c r="Z888" s="58"/>
      <c r="AA888" s="58"/>
      <c r="AB888" s="58"/>
      <c r="AC888" s="59"/>
      <c r="AD888" s="59"/>
    </row>
    <row r="889" spans="1:30" ht="12.75" customHeight="1" x14ac:dyDescent="0.2">
      <c r="A889" s="56"/>
      <c r="B889" s="56"/>
      <c r="C889" s="56"/>
      <c r="D889" s="57"/>
      <c r="E889" s="57"/>
      <c r="F889" s="56"/>
      <c r="G889" s="56"/>
      <c r="H889" s="56"/>
      <c r="I889" s="56"/>
      <c r="J889" s="56"/>
      <c r="K889" s="56"/>
      <c r="L889" s="56"/>
      <c r="M889" s="58"/>
      <c r="N889" s="58"/>
      <c r="O889" s="58"/>
      <c r="P889" s="58"/>
      <c r="Q889" s="58"/>
      <c r="R889" s="58"/>
      <c r="S889" s="58"/>
      <c r="T889" s="58"/>
      <c r="U889" s="58"/>
      <c r="V889" s="58"/>
      <c r="W889" s="58"/>
      <c r="X889" s="58"/>
      <c r="Y889" s="58"/>
      <c r="Z889" s="58"/>
      <c r="AA889" s="58"/>
      <c r="AB889" s="58"/>
      <c r="AC889" s="59"/>
      <c r="AD889" s="59"/>
    </row>
    <row r="890" spans="1:30" ht="12.75" customHeight="1" x14ac:dyDescent="0.2">
      <c r="A890" s="56"/>
      <c r="B890" s="56"/>
      <c r="C890" s="56"/>
      <c r="D890" s="57"/>
      <c r="E890" s="57"/>
      <c r="F890" s="56"/>
      <c r="G890" s="56"/>
      <c r="H890" s="56"/>
      <c r="I890" s="56"/>
      <c r="J890" s="56"/>
      <c r="K890" s="56"/>
      <c r="L890" s="56"/>
      <c r="M890" s="58"/>
      <c r="N890" s="58"/>
      <c r="O890" s="58"/>
      <c r="P890" s="58"/>
      <c r="Q890" s="58"/>
      <c r="R890" s="58"/>
      <c r="S890" s="58"/>
      <c r="T890" s="58"/>
      <c r="U890" s="58"/>
      <c r="V890" s="58"/>
      <c r="W890" s="58"/>
      <c r="X890" s="58"/>
      <c r="Y890" s="58"/>
      <c r="Z890" s="58"/>
      <c r="AA890" s="58"/>
      <c r="AB890" s="58"/>
      <c r="AC890" s="59"/>
      <c r="AD890" s="59"/>
    </row>
    <row r="891" spans="1:30" ht="12.75" customHeight="1" x14ac:dyDescent="0.2">
      <c r="A891" s="56"/>
      <c r="B891" s="56"/>
      <c r="C891" s="56"/>
      <c r="D891" s="57"/>
      <c r="E891" s="57"/>
      <c r="F891" s="56"/>
      <c r="G891" s="56"/>
      <c r="H891" s="56"/>
      <c r="I891" s="56"/>
      <c r="J891" s="56"/>
      <c r="K891" s="56"/>
      <c r="L891" s="56"/>
      <c r="M891" s="58"/>
      <c r="N891" s="58"/>
      <c r="O891" s="58"/>
      <c r="P891" s="58"/>
      <c r="Q891" s="58"/>
      <c r="R891" s="58"/>
      <c r="S891" s="58"/>
      <c r="T891" s="58"/>
      <c r="U891" s="58"/>
      <c r="V891" s="58"/>
      <c r="W891" s="58"/>
      <c r="X891" s="58"/>
      <c r="Y891" s="58"/>
      <c r="Z891" s="58"/>
      <c r="AA891" s="58"/>
      <c r="AB891" s="58"/>
      <c r="AC891" s="59"/>
      <c r="AD891" s="59"/>
    </row>
    <row r="892" spans="1:30" ht="12.75" customHeight="1" x14ac:dyDescent="0.2">
      <c r="A892" s="56"/>
      <c r="B892" s="56"/>
      <c r="C892" s="56"/>
      <c r="D892" s="57"/>
      <c r="E892" s="57"/>
      <c r="F892" s="56"/>
      <c r="G892" s="56"/>
      <c r="H892" s="56"/>
      <c r="I892" s="56"/>
      <c r="J892" s="56"/>
      <c r="K892" s="56"/>
      <c r="L892" s="56"/>
      <c r="M892" s="58"/>
      <c r="N892" s="58"/>
      <c r="O892" s="58"/>
      <c r="P892" s="58"/>
      <c r="Q892" s="58"/>
      <c r="R892" s="58"/>
      <c r="S892" s="58"/>
      <c r="T892" s="58"/>
      <c r="U892" s="58"/>
      <c r="V892" s="58"/>
      <c r="W892" s="58"/>
      <c r="X892" s="58"/>
      <c r="Y892" s="58"/>
      <c r="Z892" s="58"/>
      <c r="AA892" s="58"/>
      <c r="AB892" s="58"/>
      <c r="AC892" s="59"/>
      <c r="AD892" s="59"/>
    </row>
    <row r="893" spans="1:30" ht="12.75" customHeight="1" x14ac:dyDescent="0.2">
      <c r="A893" s="56"/>
      <c r="B893" s="56"/>
      <c r="C893" s="56"/>
      <c r="D893" s="57"/>
      <c r="E893" s="57"/>
      <c r="F893" s="56"/>
      <c r="G893" s="56"/>
      <c r="H893" s="56"/>
      <c r="I893" s="56"/>
      <c r="J893" s="56"/>
      <c r="K893" s="56"/>
      <c r="L893" s="56"/>
      <c r="M893" s="58"/>
      <c r="N893" s="58"/>
      <c r="O893" s="58"/>
      <c r="P893" s="58"/>
      <c r="Q893" s="58"/>
      <c r="R893" s="58"/>
      <c r="S893" s="58"/>
      <c r="T893" s="58"/>
      <c r="U893" s="58"/>
      <c r="V893" s="58"/>
      <c r="W893" s="58"/>
      <c r="X893" s="58"/>
      <c r="Y893" s="58"/>
      <c r="Z893" s="58"/>
      <c r="AA893" s="58"/>
      <c r="AB893" s="58"/>
      <c r="AC893" s="59"/>
      <c r="AD893" s="59"/>
    </row>
    <row r="894" spans="1:30" ht="12.75" customHeight="1" x14ac:dyDescent="0.2">
      <c r="A894" s="56"/>
      <c r="B894" s="56"/>
      <c r="C894" s="56"/>
      <c r="D894" s="57"/>
      <c r="E894" s="57"/>
      <c r="F894" s="56"/>
      <c r="G894" s="56"/>
      <c r="H894" s="56"/>
      <c r="I894" s="56"/>
      <c r="J894" s="56"/>
      <c r="K894" s="56"/>
      <c r="L894" s="56"/>
      <c r="M894" s="58"/>
      <c r="N894" s="58"/>
      <c r="O894" s="58"/>
      <c r="P894" s="58"/>
      <c r="Q894" s="58"/>
      <c r="R894" s="58"/>
      <c r="S894" s="58"/>
      <c r="T894" s="58"/>
      <c r="U894" s="58"/>
      <c r="V894" s="58"/>
      <c r="W894" s="58"/>
      <c r="X894" s="58"/>
      <c r="Y894" s="58"/>
      <c r="Z894" s="58"/>
      <c r="AA894" s="58"/>
      <c r="AB894" s="58"/>
      <c r="AC894" s="59"/>
      <c r="AD894" s="59"/>
    </row>
    <row r="895" spans="1:30" ht="12.75" customHeight="1" x14ac:dyDescent="0.2">
      <c r="A895" s="56"/>
      <c r="B895" s="56"/>
      <c r="C895" s="56"/>
      <c r="D895" s="57"/>
      <c r="E895" s="57"/>
      <c r="F895" s="56"/>
      <c r="G895" s="56"/>
      <c r="H895" s="56"/>
      <c r="I895" s="56"/>
      <c r="J895" s="56"/>
      <c r="K895" s="56"/>
      <c r="L895" s="56"/>
      <c r="M895" s="58"/>
      <c r="N895" s="58"/>
      <c r="O895" s="58"/>
      <c r="P895" s="58"/>
      <c r="Q895" s="58"/>
      <c r="R895" s="58"/>
      <c r="S895" s="58"/>
      <c r="T895" s="58"/>
      <c r="U895" s="58"/>
      <c r="V895" s="58"/>
      <c r="W895" s="58"/>
      <c r="X895" s="58"/>
      <c r="Y895" s="58"/>
      <c r="Z895" s="58"/>
      <c r="AA895" s="58"/>
      <c r="AB895" s="58"/>
      <c r="AC895" s="59"/>
      <c r="AD895" s="59"/>
    </row>
    <row r="896" spans="1:30" ht="12.75" customHeight="1" x14ac:dyDescent="0.2">
      <c r="A896" s="56"/>
      <c r="B896" s="56"/>
      <c r="C896" s="56"/>
      <c r="D896" s="57"/>
      <c r="E896" s="57"/>
      <c r="F896" s="56"/>
      <c r="G896" s="56"/>
      <c r="H896" s="56"/>
      <c r="I896" s="56"/>
      <c r="J896" s="56"/>
      <c r="K896" s="56"/>
      <c r="L896" s="56"/>
      <c r="M896" s="58"/>
      <c r="N896" s="58"/>
      <c r="O896" s="58"/>
      <c r="P896" s="58"/>
      <c r="Q896" s="58"/>
      <c r="R896" s="58"/>
      <c r="S896" s="58"/>
      <c r="T896" s="58"/>
      <c r="U896" s="58"/>
      <c r="V896" s="58"/>
      <c r="W896" s="58"/>
      <c r="X896" s="58"/>
      <c r="Y896" s="58"/>
      <c r="Z896" s="58"/>
      <c r="AA896" s="58"/>
      <c r="AB896" s="58"/>
      <c r="AC896" s="59"/>
      <c r="AD896" s="59"/>
    </row>
    <row r="897" spans="1:30" ht="12.75" customHeight="1" x14ac:dyDescent="0.2">
      <c r="A897" s="56"/>
      <c r="B897" s="56"/>
      <c r="C897" s="56"/>
      <c r="D897" s="57"/>
      <c r="E897" s="57"/>
      <c r="F897" s="56"/>
      <c r="G897" s="56"/>
      <c r="H897" s="56"/>
      <c r="I897" s="56"/>
      <c r="J897" s="56"/>
      <c r="K897" s="56"/>
      <c r="L897" s="56"/>
      <c r="M897" s="58"/>
      <c r="N897" s="58"/>
      <c r="O897" s="58"/>
      <c r="P897" s="58"/>
      <c r="Q897" s="58"/>
      <c r="R897" s="58"/>
      <c r="S897" s="58"/>
      <c r="T897" s="58"/>
      <c r="U897" s="58"/>
      <c r="V897" s="58"/>
      <c r="W897" s="58"/>
      <c r="X897" s="58"/>
      <c r="Y897" s="58"/>
      <c r="Z897" s="58"/>
      <c r="AA897" s="58"/>
      <c r="AB897" s="58"/>
      <c r="AC897" s="59"/>
      <c r="AD897" s="59"/>
    </row>
    <row r="898" spans="1:30" ht="12.75" customHeight="1" x14ac:dyDescent="0.2">
      <c r="A898" s="56"/>
      <c r="B898" s="56"/>
      <c r="C898" s="56"/>
      <c r="D898" s="57"/>
      <c r="E898" s="57"/>
      <c r="F898" s="56"/>
      <c r="G898" s="56"/>
      <c r="H898" s="56"/>
      <c r="I898" s="56"/>
      <c r="J898" s="56"/>
      <c r="K898" s="56"/>
      <c r="L898" s="56"/>
      <c r="M898" s="58"/>
      <c r="N898" s="58"/>
      <c r="O898" s="58"/>
      <c r="P898" s="58"/>
      <c r="Q898" s="58"/>
      <c r="R898" s="58"/>
      <c r="S898" s="58"/>
      <c r="T898" s="58"/>
      <c r="U898" s="58"/>
      <c r="V898" s="58"/>
      <c r="W898" s="58"/>
      <c r="X898" s="58"/>
      <c r="Y898" s="58"/>
      <c r="Z898" s="58"/>
      <c r="AA898" s="58"/>
      <c r="AB898" s="58"/>
      <c r="AC898" s="59"/>
      <c r="AD898" s="59"/>
    </row>
    <row r="899" spans="1:30" ht="12.75" customHeight="1" x14ac:dyDescent="0.2">
      <c r="A899" s="56"/>
      <c r="B899" s="56"/>
      <c r="C899" s="56"/>
      <c r="D899" s="57"/>
      <c r="E899" s="57"/>
      <c r="F899" s="56"/>
      <c r="G899" s="56"/>
      <c r="H899" s="56"/>
      <c r="I899" s="56"/>
      <c r="J899" s="56"/>
      <c r="K899" s="56"/>
      <c r="L899" s="56"/>
      <c r="M899" s="58"/>
      <c r="N899" s="58"/>
      <c r="O899" s="58"/>
      <c r="P899" s="58"/>
      <c r="Q899" s="58"/>
      <c r="R899" s="58"/>
      <c r="S899" s="58"/>
      <c r="T899" s="58"/>
      <c r="U899" s="58"/>
      <c r="V899" s="58"/>
      <c r="W899" s="58"/>
      <c r="X899" s="58"/>
      <c r="Y899" s="58"/>
      <c r="Z899" s="58"/>
      <c r="AA899" s="58"/>
      <c r="AB899" s="58"/>
      <c r="AC899" s="59"/>
      <c r="AD899" s="59"/>
    </row>
    <row r="900" spans="1:30" ht="12.75" customHeight="1" x14ac:dyDescent="0.2">
      <c r="A900" s="56"/>
      <c r="B900" s="56"/>
      <c r="C900" s="56"/>
      <c r="D900" s="57"/>
      <c r="E900" s="57"/>
      <c r="F900" s="56"/>
      <c r="G900" s="56"/>
      <c r="H900" s="56"/>
      <c r="I900" s="56"/>
      <c r="J900" s="56"/>
      <c r="K900" s="56"/>
      <c r="L900" s="56"/>
      <c r="M900" s="58"/>
      <c r="N900" s="58"/>
      <c r="O900" s="58"/>
      <c r="P900" s="58"/>
      <c r="Q900" s="58"/>
      <c r="R900" s="58"/>
      <c r="S900" s="58"/>
      <c r="T900" s="58"/>
      <c r="U900" s="58"/>
      <c r="V900" s="58"/>
      <c r="W900" s="58"/>
      <c r="X900" s="58"/>
      <c r="Y900" s="58"/>
      <c r="Z900" s="58"/>
      <c r="AA900" s="58"/>
      <c r="AB900" s="58"/>
      <c r="AC900" s="59"/>
      <c r="AD900" s="59"/>
    </row>
    <row r="901" spans="1:30" ht="12.75" customHeight="1" x14ac:dyDescent="0.2">
      <c r="A901" s="56"/>
      <c r="B901" s="56"/>
      <c r="C901" s="56"/>
      <c r="D901" s="57"/>
      <c r="E901" s="57"/>
      <c r="F901" s="56"/>
      <c r="G901" s="56"/>
      <c r="H901" s="56"/>
      <c r="I901" s="56"/>
      <c r="J901" s="56"/>
      <c r="K901" s="56"/>
      <c r="L901" s="56"/>
      <c r="M901" s="58"/>
      <c r="N901" s="58"/>
      <c r="O901" s="58"/>
      <c r="P901" s="58"/>
      <c r="Q901" s="58"/>
      <c r="R901" s="58"/>
      <c r="S901" s="58"/>
      <c r="T901" s="58"/>
      <c r="U901" s="58"/>
      <c r="V901" s="58"/>
      <c r="W901" s="58"/>
      <c r="X901" s="58"/>
      <c r="Y901" s="58"/>
      <c r="Z901" s="58"/>
      <c r="AA901" s="58"/>
      <c r="AB901" s="58"/>
      <c r="AC901" s="59"/>
      <c r="AD901" s="59"/>
    </row>
    <row r="902" spans="1:30" ht="12.75" customHeight="1" x14ac:dyDescent="0.2">
      <c r="A902" s="56"/>
      <c r="B902" s="56"/>
      <c r="C902" s="56"/>
      <c r="D902" s="57"/>
      <c r="E902" s="57"/>
      <c r="F902" s="56"/>
      <c r="G902" s="56"/>
      <c r="H902" s="56"/>
      <c r="I902" s="56"/>
      <c r="J902" s="56"/>
      <c r="K902" s="56"/>
      <c r="L902" s="56"/>
      <c r="M902" s="58"/>
      <c r="N902" s="58"/>
      <c r="O902" s="58"/>
      <c r="P902" s="58"/>
      <c r="Q902" s="58"/>
      <c r="R902" s="58"/>
      <c r="S902" s="58"/>
      <c r="T902" s="58"/>
      <c r="U902" s="58"/>
      <c r="V902" s="58"/>
      <c r="W902" s="58"/>
      <c r="X902" s="58"/>
      <c r="Y902" s="58"/>
      <c r="Z902" s="58"/>
      <c r="AA902" s="58"/>
      <c r="AB902" s="58"/>
      <c r="AC902" s="59"/>
      <c r="AD902" s="59"/>
    </row>
    <row r="903" spans="1:30" ht="12.75" customHeight="1" x14ac:dyDescent="0.2">
      <c r="A903" s="56"/>
      <c r="B903" s="56"/>
      <c r="C903" s="56"/>
      <c r="D903" s="57"/>
      <c r="E903" s="57"/>
      <c r="F903" s="56"/>
      <c r="G903" s="56"/>
      <c r="H903" s="56"/>
      <c r="I903" s="56"/>
      <c r="J903" s="56"/>
      <c r="K903" s="56"/>
      <c r="L903" s="56"/>
      <c r="M903" s="58"/>
      <c r="N903" s="58"/>
      <c r="O903" s="58"/>
      <c r="P903" s="58"/>
      <c r="Q903" s="58"/>
      <c r="R903" s="58"/>
      <c r="S903" s="58"/>
      <c r="T903" s="58"/>
      <c r="U903" s="58"/>
      <c r="V903" s="58"/>
      <c r="W903" s="58"/>
      <c r="X903" s="58"/>
      <c r="Y903" s="58"/>
      <c r="Z903" s="58"/>
      <c r="AA903" s="58"/>
      <c r="AB903" s="58"/>
      <c r="AC903" s="59"/>
      <c r="AD903" s="59"/>
    </row>
    <row r="904" spans="1:30" ht="12.75" customHeight="1" x14ac:dyDescent="0.2">
      <c r="A904" s="56"/>
      <c r="B904" s="56"/>
      <c r="C904" s="56"/>
      <c r="D904" s="57"/>
      <c r="E904" s="57"/>
      <c r="F904" s="56"/>
      <c r="G904" s="56"/>
      <c r="H904" s="56"/>
      <c r="I904" s="56"/>
      <c r="J904" s="56"/>
      <c r="K904" s="56"/>
      <c r="L904" s="56"/>
      <c r="M904" s="58"/>
      <c r="N904" s="58"/>
      <c r="O904" s="58"/>
      <c r="P904" s="58"/>
      <c r="Q904" s="58"/>
      <c r="R904" s="58"/>
      <c r="S904" s="58"/>
      <c r="T904" s="58"/>
      <c r="U904" s="58"/>
      <c r="V904" s="58"/>
      <c r="W904" s="58"/>
      <c r="X904" s="58"/>
      <c r="Y904" s="58"/>
      <c r="Z904" s="58"/>
      <c r="AA904" s="58"/>
      <c r="AB904" s="58"/>
      <c r="AC904" s="59"/>
      <c r="AD904" s="59"/>
    </row>
    <row r="905" spans="1:30" ht="12.75" customHeight="1" x14ac:dyDescent="0.2">
      <c r="A905" s="56"/>
      <c r="B905" s="56"/>
      <c r="C905" s="56"/>
      <c r="D905" s="57"/>
      <c r="E905" s="57"/>
      <c r="F905" s="56"/>
      <c r="G905" s="56"/>
      <c r="H905" s="56"/>
      <c r="I905" s="56"/>
      <c r="J905" s="56"/>
      <c r="K905" s="56"/>
      <c r="L905" s="56"/>
      <c r="M905" s="58"/>
      <c r="N905" s="58"/>
      <c r="O905" s="58"/>
      <c r="P905" s="58"/>
      <c r="Q905" s="58"/>
      <c r="R905" s="58"/>
      <c r="S905" s="58"/>
      <c r="T905" s="58"/>
      <c r="U905" s="58"/>
      <c r="V905" s="58"/>
      <c r="W905" s="58"/>
      <c r="X905" s="58"/>
      <c r="Y905" s="58"/>
      <c r="Z905" s="58"/>
      <c r="AA905" s="58"/>
      <c r="AB905" s="58"/>
      <c r="AC905" s="59"/>
      <c r="AD905" s="59"/>
    </row>
    <row r="906" spans="1:30" ht="12.75" customHeight="1" x14ac:dyDescent="0.2">
      <c r="A906" s="56"/>
      <c r="B906" s="56"/>
      <c r="C906" s="56"/>
      <c r="D906" s="57"/>
      <c r="E906" s="57"/>
      <c r="F906" s="56"/>
      <c r="G906" s="56"/>
      <c r="H906" s="56"/>
      <c r="I906" s="56"/>
      <c r="J906" s="56"/>
      <c r="K906" s="56"/>
      <c r="L906" s="56"/>
      <c r="M906" s="58"/>
      <c r="N906" s="58"/>
      <c r="O906" s="58"/>
      <c r="P906" s="58"/>
      <c r="Q906" s="58"/>
      <c r="R906" s="58"/>
      <c r="S906" s="58"/>
      <c r="T906" s="58"/>
      <c r="U906" s="58"/>
      <c r="V906" s="58"/>
      <c r="W906" s="58"/>
      <c r="X906" s="58"/>
      <c r="Y906" s="58"/>
      <c r="Z906" s="58"/>
      <c r="AA906" s="58"/>
      <c r="AB906" s="58"/>
      <c r="AC906" s="59"/>
      <c r="AD906" s="59"/>
    </row>
    <row r="907" spans="1:30" ht="12.75" customHeight="1" x14ac:dyDescent="0.2">
      <c r="A907" s="56"/>
      <c r="B907" s="56"/>
      <c r="C907" s="56"/>
      <c r="D907" s="57"/>
      <c r="E907" s="57"/>
      <c r="F907" s="56"/>
      <c r="G907" s="56"/>
      <c r="H907" s="56"/>
      <c r="I907" s="56"/>
      <c r="J907" s="56"/>
      <c r="K907" s="56"/>
      <c r="L907" s="56"/>
      <c r="M907" s="58"/>
      <c r="N907" s="58"/>
      <c r="O907" s="58"/>
      <c r="P907" s="58"/>
      <c r="Q907" s="58"/>
      <c r="R907" s="58"/>
      <c r="S907" s="58"/>
      <c r="T907" s="58"/>
      <c r="U907" s="58"/>
      <c r="V907" s="58"/>
      <c r="W907" s="58"/>
      <c r="X907" s="58"/>
      <c r="Y907" s="58"/>
      <c r="Z907" s="58"/>
      <c r="AA907" s="58"/>
      <c r="AB907" s="58"/>
      <c r="AC907" s="59"/>
      <c r="AD907" s="59"/>
    </row>
    <row r="908" spans="1:30" ht="12.75" customHeight="1" x14ac:dyDescent="0.2">
      <c r="A908" s="56"/>
      <c r="B908" s="56"/>
      <c r="C908" s="56"/>
      <c r="D908" s="57"/>
      <c r="E908" s="57"/>
      <c r="F908" s="56"/>
      <c r="G908" s="56"/>
      <c r="H908" s="56"/>
      <c r="I908" s="56"/>
      <c r="J908" s="56"/>
      <c r="K908" s="56"/>
      <c r="L908" s="56"/>
      <c r="M908" s="58"/>
      <c r="N908" s="58"/>
      <c r="O908" s="58"/>
      <c r="P908" s="58"/>
      <c r="Q908" s="58"/>
      <c r="R908" s="58"/>
      <c r="S908" s="58"/>
      <c r="T908" s="58"/>
      <c r="U908" s="58"/>
      <c r="V908" s="58"/>
      <c r="W908" s="58"/>
      <c r="X908" s="58"/>
      <c r="Y908" s="58"/>
      <c r="Z908" s="58"/>
      <c r="AA908" s="58"/>
      <c r="AB908" s="58"/>
      <c r="AC908" s="59"/>
      <c r="AD908" s="59"/>
    </row>
    <row r="909" spans="1:30" ht="12.75" customHeight="1" x14ac:dyDescent="0.2">
      <c r="A909" s="56"/>
      <c r="B909" s="56"/>
      <c r="C909" s="56"/>
      <c r="D909" s="57"/>
      <c r="E909" s="57"/>
      <c r="F909" s="56"/>
      <c r="G909" s="56"/>
      <c r="H909" s="56"/>
      <c r="I909" s="56"/>
      <c r="J909" s="56"/>
      <c r="K909" s="56"/>
      <c r="L909" s="56"/>
      <c r="M909" s="58"/>
      <c r="N909" s="58"/>
      <c r="O909" s="58"/>
      <c r="P909" s="58"/>
      <c r="Q909" s="58"/>
      <c r="R909" s="58"/>
      <c r="S909" s="58"/>
      <c r="T909" s="58"/>
      <c r="U909" s="58"/>
      <c r="V909" s="58"/>
      <c r="W909" s="58"/>
      <c r="X909" s="58"/>
      <c r="Y909" s="58"/>
      <c r="Z909" s="58"/>
      <c r="AA909" s="58"/>
      <c r="AB909" s="58"/>
      <c r="AC909" s="59"/>
      <c r="AD909" s="59"/>
    </row>
    <row r="910" spans="1:30" ht="12.75" customHeight="1" x14ac:dyDescent="0.2">
      <c r="A910" s="56"/>
      <c r="B910" s="56"/>
      <c r="C910" s="56"/>
      <c r="D910" s="57"/>
      <c r="E910" s="57"/>
      <c r="F910" s="56"/>
      <c r="G910" s="56"/>
      <c r="H910" s="56"/>
      <c r="I910" s="56"/>
      <c r="J910" s="56"/>
      <c r="K910" s="56"/>
      <c r="L910" s="56"/>
      <c r="M910" s="58"/>
      <c r="N910" s="58"/>
      <c r="O910" s="58"/>
      <c r="P910" s="58"/>
      <c r="Q910" s="58"/>
      <c r="R910" s="58"/>
      <c r="S910" s="58"/>
      <c r="T910" s="58"/>
      <c r="U910" s="58"/>
      <c r="V910" s="58"/>
      <c r="W910" s="58"/>
      <c r="X910" s="58"/>
      <c r="Y910" s="58"/>
      <c r="Z910" s="58"/>
      <c r="AA910" s="58"/>
      <c r="AB910" s="58"/>
      <c r="AC910" s="59"/>
      <c r="AD910" s="59"/>
    </row>
    <row r="911" spans="1:30" ht="12.75" customHeight="1" x14ac:dyDescent="0.2">
      <c r="A911" s="56"/>
      <c r="B911" s="56"/>
      <c r="C911" s="56"/>
      <c r="D911" s="57"/>
      <c r="E911" s="57"/>
      <c r="F911" s="56"/>
      <c r="G911" s="56"/>
      <c r="H911" s="56"/>
      <c r="I911" s="56"/>
      <c r="J911" s="56"/>
      <c r="K911" s="56"/>
      <c r="L911" s="56"/>
      <c r="M911" s="58"/>
      <c r="N911" s="58"/>
      <c r="O911" s="58"/>
      <c r="P911" s="58"/>
      <c r="Q911" s="58"/>
      <c r="R911" s="58"/>
      <c r="S911" s="58"/>
      <c r="T911" s="58"/>
      <c r="U911" s="58"/>
      <c r="V911" s="58"/>
      <c r="W911" s="58"/>
      <c r="X911" s="58"/>
      <c r="Y911" s="58"/>
      <c r="Z911" s="58"/>
      <c r="AA911" s="58"/>
      <c r="AB911" s="58"/>
      <c r="AC911" s="59"/>
      <c r="AD911" s="59"/>
    </row>
    <row r="912" spans="1:30" ht="12.75" customHeight="1" x14ac:dyDescent="0.2">
      <c r="A912" s="56"/>
      <c r="B912" s="56"/>
      <c r="C912" s="56"/>
      <c r="D912" s="57"/>
      <c r="E912" s="57"/>
      <c r="F912" s="56"/>
      <c r="G912" s="56"/>
      <c r="H912" s="56"/>
      <c r="I912" s="56"/>
      <c r="J912" s="56"/>
      <c r="K912" s="56"/>
      <c r="L912" s="56"/>
      <c r="M912" s="58"/>
      <c r="N912" s="58"/>
      <c r="O912" s="58"/>
      <c r="P912" s="58"/>
      <c r="Q912" s="58"/>
      <c r="R912" s="58"/>
      <c r="S912" s="58"/>
      <c r="T912" s="58"/>
      <c r="U912" s="58"/>
      <c r="V912" s="58"/>
      <c r="W912" s="58"/>
      <c r="X912" s="58"/>
      <c r="Y912" s="58"/>
      <c r="Z912" s="58"/>
      <c r="AA912" s="58"/>
      <c r="AB912" s="58"/>
      <c r="AC912" s="59"/>
      <c r="AD912" s="59"/>
    </row>
    <row r="913" spans="1:30" ht="12.75" customHeight="1" x14ac:dyDescent="0.2">
      <c r="A913" s="56"/>
      <c r="B913" s="56"/>
      <c r="C913" s="56"/>
      <c r="D913" s="57"/>
      <c r="E913" s="57"/>
      <c r="F913" s="56"/>
      <c r="G913" s="56"/>
      <c r="H913" s="56"/>
      <c r="I913" s="56"/>
      <c r="J913" s="56"/>
      <c r="K913" s="56"/>
      <c r="L913" s="56"/>
      <c r="M913" s="58"/>
      <c r="N913" s="58"/>
      <c r="O913" s="58"/>
      <c r="P913" s="58"/>
      <c r="Q913" s="58"/>
      <c r="R913" s="58"/>
      <c r="S913" s="58"/>
      <c r="T913" s="58"/>
      <c r="U913" s="58"/>
      <c r="V913" s="58"/>
      <c r="W913" s="58"/>
      <c r="X913" s="58"/>
      <c r="Y913" s="58"/>
      <c r="Z913" s="58"/>
      <c r="AA913" s="58"/>
      <c r="AB913" s="58"/>
      <c r="AC913" s="59"/>
      <c r="AD913" s="59"/>
    </row>
    <row r="914" spans="1:30" ht="12.75" customHeight="1" x14ac:dyDescent="0.2">
      <c r="A914" s="56"/>
      <c r="B914" s="56"/>
      <c r="C914" s="56"/>
      <c r="D914" s="57"/>
      <c r="E914" s="57"/>
      <c r="F914" s="56"/>
      <c r="G914" s="56"/>
      <c r="H914" s="56"/>
      <c r="I914" s="56"/>
      <c r="J914" s="56"/>
      <c r="K914" s="56"/>
      <c r="L914" s="56"/>
      <c r="M914" s="58"/>
      <c r="N914" s="58"/>
      <c r="O914" s="58"/>
      <c r="P914" s="58"/>
      <c r="Q914" s="58"/>
      <c r="R914" s="58"/>
      <c r="S914" s="58"/>
      <c r="T914" s="58"/>
      <c r="U914" s="58"/>
      <c r="V914" s="58"/>
      <c r="W914" s="58"/>
      <c r="X914" s="58"/>
      <c r="Y914" s="58"/>
      <c r="Z914" s="58"/>
      <c r="AA914" s="58"/>
      <c r="AB914" s="58"/>
      <c r="AC914" s="59"/>
      <c r="AD914" s="59"/>
    </row>
    <row r="915" spans="1:30" ht="12.75" customHeight="1" x14ac:dyDescent="0.2">
      <c r="A915" s="56"/>
      <c r="B915" s="56"/>
      <c r="C915" s="56"/>
      <c r="D915" s="57"/>
      <c r="E915" s="57"/>
      <c r="F915" s="56"/>
      <c r="G915" s="56"/>
      <c r="H915" s="56"/>
      <c r="I915" s="56"/>
      <c r="J915" s="56"/>
      <c r="K915" s="56"/>
      <c r="L915" s="56"/>
      <c r="M915" s="58"/>
      <c r="N915" s="58"/>
      <c r="O915" s="58"/>
      <c r="P915" s="58"/>
      <c r="Q915" s="58"/>
      <c r="R915" s="58"/>
      <c r="S915" s="58"/>
      <c r="T915" s="58"/>
      <c r="U915" s="58"/>
      <c r="V915" s="58"/>
      <c r="W915" s="58"/>
      <c r="X915" s="58"/>
      <c r="Y915" s="58"/>
      <c r="Z915" s="58"/>
      <c r="AA915" s="58"/>
      <c r="AB915" s="58"/>
      <c r="AC915" s="59"/>
      <c r="AD915" s="59"/>
    </row>
    <row r="916" spans="1:30" ht="12.75" customHeight="1" x14ac:dyDescent="0.2">
      <c r="A916" s="56"/>
      <c r="B916" s="56"/>
      <c r="C916" s="56"/>
      <c r="D916" s="57"/>
      <c r="E916" s="57"/>
      <c r="F916" s="56"/>
      <c r="G916" s="56"/>
      <c r="H916" s="56"/>
      <c r="I916" s="56"/>
      <c r="J916" s="56"/>
      <c r="K916" s="56"/>
      <c r="L916" s="56"/>
      <c r="M916" s="58"/>
      <c r="N916" s="58"/>
      <c r="O916" s="58"/>
      <c r="P916" s="58"/>
      <c r="Q916" s="58"/>
      <c r="R916" s="58"/>
      <c r="S916" s="58"/>
      <c r="T916" s="58"/>
      <c r="U916" s="58"/>
      <c r="V916" s="58"/>
      <c r="W916" s="58"/>
      <c r="X916" s="58"/>
      <c r="Y916" s="58"/>
      <c r="Z916" s="58"/>
      <c r="AA916" s="58"/>
      <c r="AB916" s="58"/>
      <c r="AC916" s="59"/>
      <c r="AD916" s="59"/>
    </row>
    <row r="917" spans="1:30" ht="12.75" customHeight="1" x14ac:dyDescent="0.2">
      <c r="A917" s="56"/>
      <c r="B917" s="56"/>
      <c r="C917" s="56"/>
      <c r="D917" s="57"/>
      <c r="E917" s="57"/>
      <c r="F917" s="56"/>
      <c r="G917" s="56"/>
      <c r="H917" s="56"/>
      <c r="I917" s="56"/>
      <c r="J917" s="56"/>
      <c r="K917" s="56"/>
      <c r="L917" s="56"/>
      <c r="M917" s="58"/>
      <c r="N917" s="58"/>
      <c r="O917" s="58"/>
      <c r="P917" s="58"/>
      <c r="Q917" s="58"/>
      <c r="R917" s="58"/>
      <c r="S917" s="58"/>
      <c r="T917" s="58"/>
      <c r="U917" s="58"/>
      <c r="V917" s="58"/>
      <c r="W917" s="58"/>
      <c r="X917" s="58"/>
      <c r="Y917" s="58"/>
      <c r="Z917" s="58"/>
      <c r="AA917" s="58"/>
      <c r="AB917" s="58"/>
      <c r="AC917" s="59"/>
      <c r="AD917" s="59"/>
    </row>
    <row r="918" spans="1:30" ht="12.75" customHeight="1" x14ac:dyDescent="0.2">
      <c r="A918" s="56"/>
      <c r="B918" s="56"/>
      <c r="C918" s="56"/>
      <c r="D918" s="57"/>
      <c r="E918" s="57"/>
      <c r="F918" s="56"/>
      <c r="G918" s="56"/>
      <c r="H918" s="56"/>
      <c r="I918" s="56"/>
      <c r="J918" s="56"/>
      <c r="K918" s="56"/>
      <c r="L918" s="56"/>
      <c r="M918" s="58"/>
      <c r="N918" s="58"/>
      <c r="O918" s="58"/>
      <c r="P918" s="58"/>
      <c r="Q918" s="58"/>
      <c r="R918" s="58"/>
      <c r="S918" s="58"/>
      <c r="T918" s="58"/>
      <c r="U918" s="58"/>
      <c r="V918" s="58"/>
      <c r="W918" s="58"/>
      <c r="X918" s="58"/>
      <c r="Y918" s="58"/>
      <c r="Z918" s="58"/>
      <c r="AA918" s="58"/>
      <c r="AB918" s="58"/>
      <c r="AC918" s="59"/>
      <c r="AD918" s="59"/>
    </row>
    <row r="919" spans="1:30" ht="12.75" customHeight="1" x14ac:dyDescent="0.2">
      <c r="A919" s="56"/>
      <c r="B919" s="56"/>
      <c r="C919" s="56"/>
      <c r="D919" s="57"/>
      <c r="E919" s="57"/>
      <c r="F919" s="56"/>
      <c r="G919" s="56"/>
      <c r="H919" s="56"/>
      <c r="I919" s="56"/>
      <c r="J919" s="56"/>
      <c r="K919" s="56"/>
      <c r="L919" s="56"/>
      <c r="M919" s="58"/>
      <c r="N919" s="58"/>
      <c r="O919" s="58"/>
      <c r="P919" s="58"/>
      <c r="Q919" s="58"/>
      <c r="R919" s="58"/>
      <c r="S919" s="58"/>
      <c r="T919" s="58"/>
      <c r="U919" s="58"/>
      <c r="V919" s="58"/>
      <c r="W919" s="58"/>
      <c r="X919" s="58"/>
      <c r="Y919" s="58"/>
      <c r="Z919" s="58"/>
      <c r="AA919" s="58"/>
      <c r="AB919" s="58"/>
      <c r="AC919" s="59"/>
      <c r="AD919" s="59"/>
    </row>
    <row r="920" spans="1:30" ht="12.75" customHeight="1" x14ac:dyDescent="0.2">
      <c r="A920" s="56"/>
      <c r="B920" s="56"/>
      <c r="C920" s="56"/>
      <c r="D920" s="57"/>
      <c r="E920" s="57"/>
      <c r="F920" s="56"/>
      <c r="G920" s="56"/>
      <c r="H920" s="56"/>
      <c r="I920" s="56"/>
      <c r="J920" s="56"/>
      <c r="K920" s="56"/>
      <c r="L920" s="56"/>
      <c r="M920" s="58"/>
      <c r="N920" s="58"/>
      <c r="O920" s="58"/>
      <c r="P920" s="58"/>
      <c r="Q920" s="58"/>
      <c r="R920" s="58"/>
      <c r="S920" s="58"/>
      <c r="T920" s="58"/>
      <c r="U920" s="58"/>
      <c r="V920" s="58"/>
      <c r="W920" s="58"/>
      <c r="X920" s="58"/>
      <c r="Y920" s="58"/>
      <c r="Z920" s="58"/>
      <c r="AA920" s="58"/>
      <c r="AB920" s="58"/>
      <c r="AC920" s="59"/>
      <c r="AD920" s="59"/>
    </row>
    <row r="921" spans="1:30" ht="12.75" customHeight="1" x14ac:dyDescent="0.2">
      <c r="A921" s="56"/>
      <c r="B921" s="56"/>
      <c r="C921" s="56"/>
      <c r="D921" s="57"/>
      <c r="E921" s="57"/>
      <c r="F921" s="56"/>
      <c r="G921" s="56"/>
      <c r="H921" s="56"/>
      <c r="I921" s="56"/>
      <c r="J921" s="56"/>
      <c r="K921" s="56"/>
      <c r="L921" s="56"/>
      <c r="M921" s="58"/>
      <c r="N921" s="58"/>
      <c r="O921" s="58"/>
      <c r="P921" s="58"/>
      <c r="Q921" s="58"/>
      <c r="R921" s="58"/>
      <c r="S921" s="58"/>
      <c r="T921" s="58"/>
      <c r="U921" s="58"/>
      <c r="V921" s="58"/>
      <c r="W921" s="58"/>
      <c r="X921" s="58"/>
      <c r="Y921" s="58"/>
      <c r="Z921" s="58"/>
      <c r="AA921" s="58"/>
      <c r="AB921" s="58"/>
      <c r="AC921" s="59"/>
      <c r="AD921" s="59"/>
    </row>
    <row r="922" spans="1:30" ht="12.75" customHeight="1" x14ac:dyDescent="0.2">
      <c r="A922" s="56"/>
      <c r="B922" s="56"/>
      <c r="C922" s="56"/>
      <c r="D922" s="57"/>
      <c r="E922" s="57"/>
      <c r="F922" s="56"/>
      <c r="G922" s="56"/>
      <c r="H922" s="56"/>
      <c r="I922" s="56"/>
      <c r="J922" s="56"/>
      <c r="K922" s="56"/>
      <c r="L922" s="56"/>
      <c r="M922" s="58"/>
      <c r="N922" s="58"/>
      <c r="O922" s="58"/>
      <c r="P922" s="58"/>
      <c r="Q922" s="58"/>
      <c r="R922" s="58"/>
      <c r="S922" s="58"/>
      <c r="T922" s="58"/>
      <c r="U922" s="58"/>
      <c r="V922" s="58"/>
      <c r="W922" s="58"/>
      <c r="X922" s="58"/>
      <c r="Y922" s="58"/>
      <c r="Z922" s="58"/>
      <c r="AA922" s="58"/>
      <c r="AB922" s="58"/>
      <c r="AC922" s="59"/>
      <c r="AD922" s="59"/>
    </row>
    <row r="923" spans="1:30" ht="12.75" customHeight="1" x14ac:dyDescent="0.2">
      <c r="A923" s="56"/>
      <c r="B923" s="56"/>
      <c r="C923" s="56"/>
      <c r="D923" s="57"/>
      <c r="E923" s="57"/>
      <c r="F923" s="56"/>
      <c r="G923" s="56"/>
      <c r="H923" s="56"/>
      <c r="I923" s="56"/>
      <c r="J923" s="56"/>
      <c r="K923" s="56"/>
      <c r="L923" s="56"/>
      <c r="M923" s="58"/>
      <c r="N923" s="58"/>
      <c r="O923" s="58"/>
      <c r="P923" s="58"/>
      <c r="Q923" s="58"/>
      <c r="R923" s="58"/>
      <c r="S923" s="58"/>
      <c r="T923" s="58"/>
      <c r="U923" s="58"/>
      <c r="V923" s="58"/>
      <c r="W923" s="58"/>
      <c r="X923" s="58"/>
      <c r="Y923" s="58"/>
      <c r="Z923" s="58"/>
      <c r="AA923" s="58"/>
      <c r="AB923" s="58"/>
      <c r="AC923" s="59"/>
      <c r="AD923" s="59"/>
    </row>
    <row r="924" spans="1:30" ht="12.75" customHeight="1" x14ac:dyDescent="0.2">
      <c r="A924" s="56"/>
      <c r="B924" s="56"/>
      <c r="C924" s="56"/>
      <c r="D924" s="57"/>
      <c r="E924" s="57"/>
      <c r="F924" s="56"/>
      <c r="G924" s="56"/>
      <c r="H924" s="56"/>
      <c r="I924" s="56"/>
      <c r="J924" s="56"/>
      <c r="K924" s="56"/>
      <c r="L924" s="56"/>
      <c r="M924" s="58"/>
      <c r="N924" s="58"/>
      <c r="O924" s="58"/>
      <c r="P924" s="58"/>
      <c r="Q924" s="58"/>
      <c r="R924" s="58"/>
      <c r="S924" s="58"/>
      <c r="T924" s="58"/>
      <c r="U924" s="58"/>
      <c r="V924" s="58"/>
      <c r="W924" s="58"/>
      <c r="X924" s="58"/>
      <c r="Y924" s="58"/>
      <c r="Z924" s="58"/>
      <c r="AA924" s="58"/>
      <c r="AB924" s="58"/>
      <c r="AC924" s="59"/>
      <c r="AD924" s="59"/>
    </row>
    <row r="925" spans="1:30" ht="12.75" customHeight="1" x14ac:dyDescent="0.2">
      <c r="A925" s="56"/>
      <c r="B925" s="56"/>
      <c r="C925" s="56"/>
      <c r="D925" s="57"/>
      <c r="E925" s="57"/>
      <c r="F925" s="56"/>
      <c r="G925" s="56"/>
      <c r="H925" s="56"/>
      <c r="I925" s="56"/>
      <c r="J925" s="56"/>
      <c r="K925" s="56"/>
      <c r="L925" s="56"/>
      <c r="M925" s="58"/>
      <c r="N925" s="58"/>
      <c r="O925" s="58"/>
      <c r="P925" s="58"/>
      <c r="Q925" s="58"/>
      <c r="R925" s="58"/>
      <c r="S925" s="58"/>
      <c r="T925" s="58"/>
      <c r="U925" s="58"/>
      <c r="V925" s="58"/>
      <c r="W925" s="58"/>
      <c r="X925" s="58"/>
      <c r="Y925" s="58"/>
      <c r="Z925" s="58"/>
      <c r="AA925" s="58"/>
      <c r="AB925" s="58"/>
      <c r="AC925" s="59"/>
      <c r="AD925" s="59"/>
    </row>
    <row r="926" spans="1:30" ht="12.75" customHeight="1" x14ac:dyDescent="0.2">
      <c r="A926" s="56"/>
      <c r="B926" s="56"/>
      <c r="C926" s="56"/>
      <c r="D926" s="57"/>
      <c r="E926" s="57"/>
      <c r="F926" s="56"/>
      <c r="G926" s="56"/>
      <c r="H926" s="56"/>
      <c r="I926" s="56"/>
      <c r="J926" s="56"/>
      <c r="K926" s="56"/>
      <c r="L926" s="56"/>
      <c r="M926" s="58"/>
      <c r="N926" s="58"/>
      <c r="O926" s="58"/>
      <c r="P926" s="58"/>
      <c r="Q926" s="58"/>
      <c r="R926" s="58"/>
      <c r="S926" s="58"/>
      <c r="T926" s="58"/>
      <c r="U926" s="58"/>
      <c r="V926" s="58"/>
      <c r="W926" s="58"/>
      <c r="X926" s="58"/>
      <c r="Y926" s="58"/>
      <c r="Z926" s="58"/>
      <c r="AA926" s="58"/>
      <c r="AB926" s="58"/>
      <c r="AC926" s="59"/>
      <c r="AD926" s="59"/>
    </row>
    <row r="927" spans="1:30" ht="12.75" customHeight="1" x14ac:dyDescent="0.2">
      <c r="A927" s="56"/>
      <c r="B927" s="56"/>
      <c r="C927" s="56"/>
      <c r="D927" s="57"/>
      <c r="E927" s="57"/>
      <c r="F927" s="56"/>
      <c r="G927" s="56"/>
      <c r="H927" s="56"/>
      <c r="I927" s="56"/>
      <c r="J927" s="56"/>
      <c r="K927" s="56"/>
      <c r="L927" s="56"/>
      <c r="M927" s="58"/>
      <c r="N927" s="58"/>
      <c r="O927" s="58"/>
      <c r="P927" s="58"/>
      <c r="Q927" s="58"/>
      <c r="R927" s="58"/>
      <c r="S927" s="58"/>
      <c r="T927" s="58"/>
      <c r="U927" s="58"/>
      <c r="V927" s="58"/>
      <c r="W927" s="58"/>
      <c r="X927" s="58"/>
      <c r="Y927" s="58"/>
      <c r="Z927" s="58"/>
      <c r="AA927" s="58"/>
      <c r="AB927" s="58"/>
      <c r="AC927" s="59"/>
      <c r="AD927" s="59"/>
    </row>
    <row r="928" spans="1:30" ht="12.75" customHeight="1" x14ac:dyDescent="0.2">
      <c r="A928" s="56"/>
      <c r="B928" s="56"/>
      <c r="C928" s="56"/>
      <c r="D928" s="57"/>
      <c r="E928" s="57"/>
      <c r="F928" s="56"/>
      <c r="G928" s="56"/>
      <c r="H928" s="56"/>
      <c r="I928" s="56"/>
      <c r="J928" s="56"/>
      <c r="K928" s="56"/>
      <c r="L928" s="56"/>
      <c r="M928" s="58"/>
      <c r="N928" s="58"/>
      <c r="O928" s="58"/>
      <c r="P928" s="58"/>
      <c r="Q928" s="58"/>
      <c r="R928" s="58"/>
      <c r="S928" s="58"/>
      <c r="T928" s="58"/>
      <c r="U928" s="58"/>
      <c r="V928" s="58"/>
      <c r="W928" s="58"/>
      <c r="X928" s="58"/>
      <c r="Y928" s="58"/>
      <c r="Z928" s="58"/>
      <c r="AA928" s="58"/>
      <c r="AB928" s="58"/>
      <c r="AC928" s="59"/>
      <c r="AD928" s="59"/>
    </row>
    <row r="929" spans="1:30" ht="12.75" customHeight="1" x14ac:dyDescent="0.2">
      <c r="A929" s="56"/>
      <c r="B929" s="56"/>
      <c r="C929" s="56"/>
      <c r="D929" s="57"/>
      <c r="E929" s="57"/>
      <c r="F929" s="56"/>
      <c r="G929" s="56"/>
      <c r="H929" s="56"/>
      <c r="I929" s="56"/>
      <c r="J929" s="56"/>
      <c r="K929" s="56"/>
      <c r="L929" s="56"/>
      <c r="M929" s="58"/>
      <c r="N929" s="58"/>
      <c r="O929" s="58"/>
      <c r="P929" s="58"/>
      <c r="Q929" s="58"/>
      <c r="R929" s="58"/>
      <c r="S929" s="58"/>
      <c r="T929" s="58"/>
      <c r="U929" s="58"/>
      <c r="V929" s="58"/>
      <c r="W929" s="58"/>
      <c r="X929" s="58"/>
      <c r="Y929" s="58"/>
      <c r="Z929" s="58"/>
      <c r="AA929" s="58"/>
      <c r="AB929" s="58"/>
      <c r="AC929" s="59"/>
      <c r="AD929" s="59"/>
    </row>
    <row r="930" spans="1:30" ht="12.75" customHeight="1" x14ac:dyDescent="0.2">
      <c r="A930" s="56"/>
      <c r="B930" s="56"/>
      <c r="C930" s="56"/>
      <c r="D930" s="57"/>
      <c r="E930" s="57"/>
      <c r="F930" s="56"/>
      <c r="G930" s="56"/>
      <c r="H930" s="56"/>
      <c r="I930" s="56"/>
      <c r="J930" s="56"/>
      <c r="K930" s="56"/>
      <c r="L930" s="56"/>
      <c r="M930" s="58"/>
      <c r="N930" s="58"/>
      <c r="O930" s="58"/>
      <c r="P930" s="58"/>
      <c r="Q930" s="58"/>
      <c r="R930" s="58"/>
      <c r="S930" s="58"/>
      <c r="T930" s="58"/>
      <c r="U930" s="58"/>
      <c r="V930" s="58"/>
      <c r="W930" s="58"/>
      <c r="X930" s="58"/>
      <c r="Y930" s="58"/>
      <c r="Z930" s="58"/>
      <c r="AA930" s="58"/>
      <c r="AB930" s="58"/>
      <c r="AC930" s="59"/>
      <c r="AD930" s="59"/>
    </row>
    <row r="931" spans="1:30" ht="12.75" customHeight="1" x14ac:dyDescent="0.2">
      <c r="A931" s="56"/>
      <c r="B931" s="56"/>
      <c r="C931" s="56"/>
      <c r="D931" s="57"/>
      <c r="E931" s="57"/>
      <c r="F931" s="56"/>
      <c r="G931" s="56"/>
      <c r="H931" s="56"/>
      <c r="I931" s="56"/>
      <c r="J931" s="56"/>
      <c r="K931" s="56"/>
      <c r="L931" s="56"/>
      <c r="M931" s="58"/>
      <c r="N931" s="58"/>
      <c r="O931" s="58"/>
      <c r="P931" s="58"/>
      <c r="Q931" s="58"/>
      <c r="R931" s="58"/>
      <c r="S931" s="58"/>
      <c r="T931" s="58"/>
      <c r="U931" s="58"/>
      <c r="V931" s="58"/>
      <c r="W931" s="58"/>
      <c r="X931" s="58"/>
      <c r="Y931" s="58"/>
      <c r="Z931" s="58"/>
      <c r="AA931" s="58"/>
      <c r="AB931" s="58"/>
      <c r="AC931" s="59"/>
      <c r="AD931" s="59"/>
    </row>
    <row r="932" spans="1:30" ht="12.75" customHeight="1" x14ac:dyDescent="0.2">
      <c r="A932" s="56"/>
      <c r="B932" s="56"/>
      <c r="C932" s="56"/>
      <c r="D932" s="57"/>
      <c r="E932" s="57"/>
      <c r="F932" s="56"/>
      <c r="G932" s="56"/>
      <c r="H932" s="56"/>
      <c r="I932" s="56"/>
      <c r="J932" s="56"/>
      <c r="K932" s="56"/>
      <c r="L932" s="56"/>
      <c r="M932" s="58"/>
      <c r="N932" s="58"/>
      <c r="O932" s="58"/>
      <c r="P932" s="58"/>
      <c r="Q932" s="58"/>
      <c r="R932" s="58"/>
      <c r="S932" s="58"/>
      <c r="T932" s="58"/>
      <c r="U932" s="58"/>
      <c r="V932" s="58"/>
      <c r="W932" s="58"/>
      <c r="X932" s="58"/>
      <c r="Y932" s="58"/>
      <c r="Z932" s="58"/>
      <c r="AA932" s="58"/>
      <c r="AB932" s="58"/>
      <c r="AC932" s="59"/>
      <c r="AD932" s="59"/>
    </row>
    <row r="933" spans="1:30" ht="12.75" customHeight="1" x14ac:dyDescent="0.2">
      <c r="A933" s="56"/>
      <c r="B933" s="56"/>
      <c r="C933" s="56"/>
      <c r="D933" s="57"/>
      <c r="E933" s="57"/>
      <c r="F933" s="56"/>
      <c r="G933" s="56"/>
      <c r="H933" s="56"/>
      <c r="I933" s="56"/>
      <c r="J933" s="56"/>
      <c r="K933" s="56"/>
      <c r="L933" s="56"/>
      <c r="M933" s="58"/>
      <c r="N933" s="58"/>
      <c r="O933" s="58"/>
      <c r="P933" s="58"/>
      <c r="Q933" s="58"/>
      <c r="R933" s="58"/>
      <c r="S933" s="58"/>
      <c r="T933" s="58"/>
      <c r="U933" s="58"/>
      <c r="V933" s="58"/>
      <c r="W933" s="58"/>
      <c r="X933" s="58"/>
      <c r="Y933" s="58"/>
      <c r="Z933" s="58"/>
      <c r="AA933" s="58"/>
      <c r="AB933" s="58"/>
      <c r="AC933" s="59"/>
      <c r="AD933" s="59"/>
    </row>
    <row r="934" spans="1:30" ht="12.75" customHeight="1" x14ac:dyDescent="0.2">
      <c r="A934" s="56"/>
      <c r="B934" s="56"/>
      <c r="C934" s="56"/>
      <c r="D934" s="57"/>
      <c r="E934" s="57"/>
      <c r="F934" s="56"/>
      <c r="G934" s="56"/>
      <c r="H934" s="56"/>
      <c r="I934" s="56"/>
      <c r="J934" s="56"/>
      <c r="K934" s="56"/>
      <c r="L934" s="56"/>
      <c r="M934" s="58"/>
      <c r="N934" s="58"/>
      <c r="O934" s="58"/>
      <c r="P934" s="58"/>
      <c r="Q934" s="58"/>
      <c r="R934" s="58"/>
      <c r="S934" s="58"/>
      <c r="T934" s="58"/>
      <c r="U934" s="58"/>
      <c r="V934" s="58"/>
      <c r="W934" s="58"/>
      <c r="X934" s="58"/>
      <c r="Y934" s="58"/>
      <c r="Z934" s="58"/>
      <c r="AA934" s="58"/>
      <c r="AB934" s="58"/>
      <c r="AC934" s="59"/>
      <c r="AD934" s="59"/>
    </row>
    <row r="935" spans="1:30" ht="12.75" customHeight="1" x14ac:dyDescent="0.2">
      <c r="A935" s="56"/>
      <c r="B935" s="56"/>
      <c r="C935" s="56"/>
      <c r="D935" s="57"/>
      <c r="E935" s="57"/>
      <c r="F935" s="56"/>
      <c r="G935" s="56"/>
      <c r="H935" s="56"/>
      <c r="I935" s="56"/>
      <c r="J935" s="56"/>
      <c r="K935" s="56"/>
      <c r="L935" s="56"/>
      <c r="M935" s="58"/>
      <c r="N935" s="58"/>
      <c r="O935" s="58"/>
      <c r="P935" s="58"/>
      <c r="Q935" s="58"/>
      <c r="R935" s="58"/>
      <c r="S935" s="58"/>
      <c r="T935" s="58"/>
      <c r="U935" s="58"/>
      <c r="V935" s="58"/>
      <c r="W935" s="58"/>
      <c r="X935" s="58"/>
      <c r="Y935" s="58"/>
      <c r="Z935" s="58"/>
      <c r="AA935" s="58"/>
      <c r="AB935" s="58"/>
      <c r="AC935" s="59"/>
      <c r="AD935" s="59"/>
    </row>
    <row r="936" spans="1:30" ht="12.75" customHeight="1" x14ac:dyDescent="0.2">
      <c r="A936" s="56"/>
      <c r="B936" s="56"/>
      <c r="C936" s="56"/>
      <c r="D936" s="57"/>
      <c r="E936" s="57"/>
      <c r="F936" s="56"/>
      <c r="G936" s="56"/>
      <c r="H936" s="56"/>
      <c r="I936" s="56"/>
      <c r="J936" s="56"/>
      <c r="K936" s="56"/>
      <c r="L936" s="56"/>
      <c r="M936" s="58"/>
      <c r="N936" s="58"/>
      <c r="O936" s="58"/>
      <c r="P936" s="58"/>
      <c r="Q936" s="58"/>
      <c r="R936" s="58"/>
      <c r="S936" s="58"/>
      <c r="T936" s="58"/>
      <c r="U936" s="58"/>
      <c r="V936" s="58"/>
      <c r="W936" s="58"/>
      <c r="X936" s="58"/>
      <c r="Y936" s="58"/>
      <c r="Z936" s="58"/>
      <c r="AA936" s="58"/>
      <c r="AB936" s="58"/>
      <c r="AC936" s="59"/>
      <c r="AD936" s="59"/>
    </row>
    <row r="937" spans="1:30" ht="12.75" customHeight="1" x14ac:dyDescent="0.2">
      <c r="A937" s="56"/>
      <c r="B937" s="56"/>
      <c r="C937" s="56"/>
      <c r="D937" s="57"/>
      <c r="E937" s="57"/>
      <c r="F937" s="56"/>
      <c r="G937" s="56"/>
      <c r="H937" s="56"/>
      <c r="I937" s="56"/>
      <c r="J937" s="56"/>
      <c r="K937" s="56"/>
      <c r="L937" s="56"/>
      <c r="M937" s="58"/>
      <c r="N937" s="58"/>
      <c r="O937" s="58"/>
      <c r="P937" s="58"/>
      <c r="Q937" s="58"/>
      <c r="R937" s="58"/>
      <c r="S937" s="58"/>
      <c r="T937" s="58"/>
      <c r="U937" s="58"/>
      <c r="V937" s="58"/>
      <c r="W937" s="58"/>
      <c r="X937" s="58"/>
      <c r="Y937" s="58"/>
      <c r="Z937" s="58"/>
      <c r="AA937" s="58"/>
      <c r="AB937" s="58"/>
      <c r="AC937" s="59"/>
      <c r="AD937" s="59"/>
    </row>
    <row r="938" spans="1:30" ht="12.75" customHeight="1" x14ac:dyDescent="0.2">
      <c r="A938" s="56"/>
      <c r="B938" s="56"/>
      <c r="C938" s="56"/>
      <c r="D938" s="57"/>
      <c r="E938" s="57"/>
      <c r="F938" s="56"/>
      <c r="G938" s="56"/>
      <c r="H938" s="56"/>
      <c r="I938" s="56"/>
      <c r="J938" s="56"/>
      <c r="K938" s="56"/>
      <c r="L938" s="56"/>
      <c r="M938" s="58"/>
      <c r="N938" s="58"/>
      <c r="O938" s="58"/>
      <c r="P938" s="58"/>
      <c r="Q938" s="58"/>
      <c r="R938" s="58"/>
      <c r="S938" s="58"/>
      <c r="T938" s="58"/>
      <c r="U938" s="58"/>
      <c r="V938" s="58"/>
      <c r="W938" s="58"/>
      <c r="X938" s="58"/>
      <c r="Y938" s="58"/>
      <c r="Z938" s="58"/>
      <c r="AA938" s="58"/>
      <c r="AB938" s="58"/>
      <c r="AC938" s="59"/>
      <c r="AD938" s="59"/>
    </row>
    <row r="939" spans="1:30" ht="12.75" customHeight="1" x14ac:dyDescent="0.2">
      <c r="A939" s="56"/>
      <c r="B939" s="56"/>
      <c r="C939" s="56"/>
      <c r="D939" s="57"/>
      <c r="E939" s="57"/>
      <c r="F939" s="56"/>
      <c r="G939" s="56"/>
      <c r="H939" s="56"/>
      <c r="I939" s="56"/>
      <c r="J939" s="56"/>
      <c r="K939" s="56"/>
      <c r="L939" s="56"/>
      <c r="M939" s="58"/>
      <c r="N939" s="58"/>
      <c r="O939" s="58"/>
      <c r="P939" s="58"/>
      <c r="Q939" s="58"/>
      <c r="R939" s="58"/>
      <c r="S939" s="58"/>
      <c r="T939" s="58"/>
      <c r="U939" s="58"/>
      <c r="V939" s="58"/>
      <c r="W939" s="58"/>
      <c r="X939" s="58"/>
      <c r="Y939" s="58"/>
      <c r="Z939" s="58"/>
      <c r="AA939" s="58"/>
      <c r="AB939" s="58"/>
      <c r="AC939" s="59"/>
      <c r="AD939" s="59"/>
    </row>
    <row r="940" spans="1:30" ht="12.75" customHeight="1" x14ac:dyDescent="0.2">
      <c r="A940" s="56"/>
      <c r="B940" s="56"/>
      <c r="C940" s="56"/>
      <c r="D940" s="57"/>
      <c r="E940" s="57"/>
      <c r="F940" s="56"/>
      <c r="G940" s="56"/>
      <c r="H940" s="56"/>
      <c r="I940" s="56"/>
      <c r="J940" s="56"/>
      <c r="K940" s="56"/>
      <c r="L940" s="56"/>
      <c r="M940" s="58"/>
      <c r="N940" s="58"/>
      <c r="O940" s="58"/>
      <c r="P940" s="58"/>
      <c r="Q940" s="58"/>
      <c r="R940" s="58"/>
      <c r="S940" s="58"/>
      <c r="T940" s="58"/>
      <c r="U940" s="58"/>
      <c r="V940" s="58"/>
      <c r="W940" s="58"/>
      <c r="X940" s="58"/>
      <c r="Y940" s="58"/>
      <c r="Z940" s="58"/>
      <c r="AA940" s="58"/>
      <c r="AB940" s="58"/>
      <c r="AC940" s="59"/>
      <c r="AD940" s="59"/>
    </row>
    <row r="941" spans="1:30" ht="12.75" customHeight="1" x14ac:dyDescent="0.2">
      <c r="A941" s="56"/>
      <c r="B941" s="56"/>
      <c r="C941" s="56"/>
      <c r="D941" s="57"/>
      <c r="E941" s="57"/>
      <c r="F941" s="56"/>
      <c r="G941" s="56"/>
      <c r="H941" s="56"/>
      <c r="I941" s="56"/>
      <c r="J941" s="56"/>
      <c r="K941" s="56"/>
      <c r="L941" s="56"/>
      <c r="M941" s="58"/>
      <c r="N941" s="58"/>
      <c r="O941" s="58"/>
      <c r="P941" s="58"/>
      <c r="Q941" s="58"/>
      <c r="R941" s="58"/>
      <c r="S941" s="58"/>
      <c r="T941" s="58"/>
      <c r="U941" s="58"/>
      <c r="V941" s="58"/>
      <c r="W941" s="58"/>
      <c r="X941" s="58"/>
      <c r="Y941" s="58"/>
      <c r="Z941" s="58"/>
      <c r="AA941" s="58"/>
      <c r="AB941" s="58"/>
      <c r="AC941" s="59"/>
      <c r="AD941" s="59"/>
    </row>
    <row r="942" spans="1:30" ht="12.75" customHeight="1" x14ac:dyDescent="0.2">
      <c r="A942" s="56"/>
      <c r="B942" s="56"/>
      <c r="C942" s="56"/>
      <c r="D942" s="57"/>
      <c r="E942" s="57"/>
      <c r="F942" s="56"/>
      <c r="G942" s="56"/>
      <c r="H942" s="56"/>
      <c r="I942" s="56"/>
      <c r="J942" s="56"/>
      <c r="K942" s="56"/>
      <c r="L942" s="56"/>
      <c r="M942" s="58"/>
      <c r="N942" s="58"/>
      <c r="O942" s="58"/>
      <c r="P942" s="58"/>
      <c r="Q942" s="58"/>
      <c r="R942" s="58"/>
      <c r="S942" s="58"/>
      <c r="T942" s="58"/>
      <c r="U942" s="58"/>
      <c r="V942" s="58"/>
      <c r="W942" s="58"/>
      <c r="X942" s="58"/>
      <c r="Y942" s="58"/>
      <c r="Z942" s="58"/>
      <c r="AA942" s="58"/>
      <c r="AB942" s="58"/>
      <c r="AC942" s="59"/>
      <c r="AD942" s="59"/>
    </row>
    <row r="943" spans="1:30" ht="12.75" customHeight="1" x14ac:dyDescent="0.2">
      <c r="A943" s="56"/>
      <c r="B943" s="56"/>
      <c r="C943" s="56"/>
      <c r="D943" s="57"/>
      <c r="E943" s="57"/>
      <c r="F943" s="56"/>
      <c r="G943" s="56"/>
      <c r="H943" s="56"/>
      <c r="I943" s="56"/>
      <c r="J943" s="56"/>
      <c r="K943" s="56"/>
      <c r="L943" s="56"/>
      <c r="M943" s="58"/>
      <c r="N943" s="58"/>
      <c r="O943" s="58"/>
      <c r="P943" s="58"/>
      <c r="Q943" s="58"/>
      <c r="R943" s="58"/>
      <c r="S943" s="58"/>
      <c r="T943" s="58"/>
      <c r="U943" s="58"/>
      <c r="V943" s="58"/>
      <c r="W943" s="58"/>
      <c r="X943" s="58"/>
      <c r="Y943" s="58"/>
      <c r="Z943" s="58"/>
      <c r="AA943" s="58"/>
      <c r="AB943" s="58"/>
      <c r="AC943" s="59"/>
      <c r="AD943" s="59"/>
    </row>
    <row r="944" spans="1:30" ht="12.75" customHeight="1" x14ac:dyDescent="0.2">
      <c r="A944" s="56"/>
      <c r="B944" s="56"/>
      <c r="C944" s="56"/>
      <c r="D944" s="57"/>
      <c r="E944" s="57"/>
      <c r="F944" s="56"/>
      <c r="G944" s="56"/>
      <c r="H944" s="56"/>
      <c r="I944" s="56"/>
      <c r="J944" s="56"/>
      <c r="K944" s="56"/>
      <c r="L944" s="56"/>
      <c r="M944" s="58"/>
      <c r="N944" s="58"/>
      <c r="O944" s="58"/>
      <c r="P944" s="58"/>
      <c r="Q944" s="58"/>
      <c r="R944" s="58"/>
      <c r="S944" s="58"/>
      <c r="T944" s="58"/>
      <c r="U944" s="58"/>
      <c r="V944" s="58"/>
      <c r="W944" s="58"/>
      <c r="X944" s="58"/>
      <c r="Y944" s="58"/>
      <c r="Z944" s="58"/>
      <c r="AA944" s="58"/>
      <c r="AB944" s="58"/>
      <c r="AC944" s="59"/>
      <c r="AD944" s="59"/>
    </row>
    <row r="945" spans="1:30" ht="12.75" customHeight="1" x14ac:dyDescent="0.2">
      <c r="A945" s="56"/>
      <c r="B945" s="56"/>
      <c r="C945" s="56"/>
      <c r="D945" s="57"/>
      <c r="E945" s="57"/>
      <c r="F945" s="56"/>
      <c r="G945" s="56"/>
      <c r="H945" s="56"/>
      <c r="I945" s="56"/>
      <c r="J945" s="56"/>
      <c r="K945" s="56"/>
      <c r="L945" s="56"/>
      <c r="M945" s="58"/>
      <c r="N945" s="58"/>
      <c r="O945" s="58"/>
      <c r="P945" s="58"/>
      <c r="Q945" s="58"/>
      <c r="R945" s="58"/>
      <c r="S945" s="58"/>
      <c r="T945" s="58"/>
      <c r="U945" s="58"/>
      <c r="V945" s="58"/>
      <c r="W945" s="58"/>
      <c r="X945" s="58"/>
      <c r="Y945" s="58"/>
      <c r="Z945" s="58"/>
      <c r="AA945" s="58"/>
      <c r="AB945" s="58"/>
      <c r="AC945" s="59"/>
      <c r="AD945" s="59"/>
    </row>
    <row r="946" spans="1:30" ht="12.75" customHeight="1" x14ac:dyDescent="0.2">
      <c r="A946" s="56"/>
      <c r="B946" s="56"/>
      <c r="C946" s="56"/>
      <c r="D946" s="57"/>
      <c r="E946" s="57"/>
      <c r="F946" s="56"/>
      <c r="G946" s="56"/>
      <c r="H946" s="56"/>
      <c r="I946" s="56"/>
      <c r="J946" s="56"/>
      <c r="K946" s="56"/>
      <c r="L946" s="56"/>
      <c r="M946" s="58"/>
      <c r="N946" s="58"/>
      <c r="O946" s="58"/>
      <c r="P946" s="58"/>
      <c r="Q946" s="58"/>
      <c r="R946" s="58"/>
      <c r="S946" s="58"/>
      <c r="T946" s="58"/>
      <c r="U946" s="58"/>
      <c r="V946" s="58"/>
      <c r="W946" s="58"/>
      <c r="X946" s="58"/>
      <c r="Y946" s="58"/>
      <c r="Z946" s="58"/>
      <c r="AA946" s="58"/>
      <c r="AB946" s="58"/>
      <c r="AC946" s="59"/>
      <c r="AD946" s="59"/>
    </row>
    <row r="947" spans="1:30" ht="12.75" customHeight="1" x14ac:dyDescent="0.2">
      <c r="A947" s="56"/>
      <c r="B947" s="56"/>
      <c r="C947" s="56"/>
      <c r="D947" s="57"/>
      <c r="E947" s="57"/>
      <c r="F947" s="56"/>
      <c r="G947" s="56"/>
      <c r="H947" s="56"/>
      <c r="I947" s="56"/>
      <c r="J947" s="56"/>
      <c r="K947" s="56"/>
      <c r="L947" s="56"/>
      <c r="M947" s="58"/>
      <c r="N947" s="58"/>
      <c r="O947" s="58"/>
      <c r="P947" s="58"/>
      <c r="Q947" s="58"/>
      <c r="R947" s="58"/>
      <c r="S947" s="58"/>
      <c r="T947" s="58"/>
      <c r="U947" s="58"/>
      <c r="V947" s="58"/>
      <c r="W947" s="58"/>
      <c r="X947" s="58"/>
      <c r="Y947" s="58"/>
      <c r="Z947" s="58"/>
      <c r="AA947" s="58"/>
      <c r="AB947" s="58"/>
      <c r="AC947" s="59"/>
      <c r="AD947" s="59"/>
    </row>
    <row r="948" spans="1:30" ht="12.75" customHeight="1" x14ac:dyDescent="0.2">
      <c r="A948" s="56"/>
      <c r="B948" s="56"/>
      <c r="C948" s="56"/>
      <c r="D948" s="57"/>
      <c r="E948" s="57"/>
      <c r="F948" s="56"/>
      <c r="G948" s="56"/>
      <c r="H948" s="56"/>
      <c r="I948" s="56"/>
      <c r="J948" s="56"/>
      <c r="K948" s="56"/>
      <c r="L948" s="56"/>
      <c r="M948" s="58"/>
      <c r="N948" s="58"/>
      <c r="O948" s="58"/>
      <c r="P948" s="58"/>
      <c r="Q948" s="58"/>
      <c r="R948" s="58"/>
      <c r="S948" s="58"/>
      <c r="T948" s="58"/>
      <c r="U948" s="58"/>
      <c r="V948" s="58"/>
      <c r="W948" s="58"/>
      <c r="X948" s="58"/>
      <c r="Y948" s="58"/>
      <c r="Z948" s="58"/>
      <c r="AA948" s="58"/>
      <c r="AB948" s="58"/>
      <c r="AC948" s="59"/>
      <c r="AD948" s="59"/>
    </row>
    <row r="949" spans="1:30" ht="12.75" customHeight="1" x14ac:dyDescent="0.2">
      <c r="A949" s="56"/>
      <c r="B949" s="56"/>
      <c r="C949" s="56"/>
      <c r="D949" s="57"/>
      <c r="E949" s="57"/>
      <c r="F949" s="56"/>
      <c r="G949" s="56"/>
      <c r="H949" s="56"/>
      <c r="I949" s="56"/>
      <c r="J949" s="56"/>
      <c r="K949" s="56"/>
      <c r="L949" s="56"/>
      <c r="M949" s="58"/>
      <c r="N949" s="58"/>
      <c r="O949" s="58"/>
      <c r="P949" s="58"/>
      <c r="Q949" s="58"/>
      <c r="R949" s="58"/>
      <c r="S949" s="58"/>
      <c r="T949" s="58"/>
      <c r="U949" s="58"/>
      <c r="V949" s="58"/>
      <c r="W949" s="58"/>
      <c r="X949" s="58"/>
      <c r="Y949" s="58"/>
      <c r="Z949" s="58"/>
      <c r="AA949" s="58"/>
      <c r="AB949" s="58"/>
      <c r="AC949" s="59"/>
      <c r="AD949" s="59"/>
    </row>
    <row r="950" spans="1:30" ht="12.75" customHeight="1" x14ac:dyDescent="0.2">
      <c r="A950" s="56"/>
      <c r="B950" s="56"/>
      <c r="C950" s="56"/>
      <c r="D950" s="57"/>
      <c r="E950" s="57"/>
      <c r="F950" s="56"/>
      <c r="G950" s="56"/>
      <c r="H950" s="56"/>
      <c r="I950" s="56"/>
      <c r="J950" s="56"/>
      <c r="K950" s="56"/>
      <c r="L950" s="56"/>
      <c r="M950" s="58"/>
      <c r="N950" s="58"/>
      <c r="O950" s="58"/>
      <c r="P950" s="58"/>
      <c r="Q950" s="58"/>
      <c r="R950" s="58"/>
      <c r="S950" s="58"/>
      <c r="T950" s="58"/>
      <c r="U950" s="58"/>
      <c r="V950" s="58"/>
      <c r="W950" s="58"/>
      <c r="X950" s="58"/>
      <c r="Y950" s="58"/>
      <c r="Z950" s="58"/>
      <c r="AA950" s="58"/>
      <c r="AB950" s="58"/>
      <c r="AC950" s="59"/>
      <c r="AD950" s="59"/>
    </row>
    <row r="951" spans="1:30" ht="12.75" customHeight="1" x14ac:dyDescent="0.2">
      <c r="A951" s="56"/>
      <c r="B951" s="56"/>
      <c r="C951" s="56"/>
      <c r="D951" s="57"/>
      <c r="E951" s="57"/>
      <c r="F951" s="56"/>
      <c r="G951" s="56"/>
      <c r="H951" s="56"/>
      <c r="I951" s="56"/>
      <c r="J951" s="56"/>
      <c r="K951" s="56"/>
      <c r="L951" s="56"/>
      <c r="M951" s="58"/>
      <c r="N951" s="58"/>
      <c r="O951" s="58"/>
      <c r="P951" s="58"/>
      <c r="Q951" s="58"/>
      <c r="R951" s="58"/>
      <c r="S951" s="58"/>
      <c r="T951" s="58"/>
      <c r="U951" s="58"/>
      <c r="V951" s="58"/>
      <c r="W951" s="58"/>
      <c r="X951" s="58"/>
      <c r="Y951" s="58"/>
      <c r="Z951" s="58"/>
      <c r="AA951" s="58"/>
      <c r="AB951" s="58"/>
      <c r="AC951" s="59"/>
      <c r="AD951" s="59"/>
    </row>
    <row r="952" spans="1:30" ht="12.75" customHeight="1" x14ac:dyDescent="0.2">
      <c r="A952" s="56"/>
      <c r="B952" s="56"/>
      <c r="C952" s="56"/>
      <c r="D952" s="57"/>
      <c r="E952" s="57"/>
      <c r="F952" s="56"/>
      <c r="G952" s="56"/>
      <c r="H952" s="56"/>
      <c r="I952" s="56"/>
      <c r="J952" s="56"/>
      <c r="K952" s="56"/>
      <c r="L952" s="56"/>
      <c r="M952" s="58"/>
      <c r="N952" s="58"/>
      <c r="O952" s="58"/>
      <c r="P952" s="58"/>
      <c r="Q952" s="58"/>
      <c r="R952" s="58"/>
      <c r="S952" s="58"/>
      <c r="T952" s="58"/>
      <c r="U952" s="58"/>
      <c r="V952" s="58"/>
      <c r="W952" s="58"/>
      <c r="X952" s="58"/>
      <c r="Y952" s="58"/>
      <c r="Z952" s="58"/>
      <c r="AA952" s="58"/>
      <c r="AB952" s="58"/>
      <c r="AC952" s="59"/>
      <c r="AD952" s="59"/>
    </row>
    <row r="953" spans="1:30" ht="12.75" customHeight="1" x14ac:dyDescent="0.2">
      <c r="A953" s="56"/>
      <c r="B953" s="56"/>
      <c r="C953" s="56"/>
      <c r="D953" s="57"/>
      <c r="E953" s="57"/>
      <c r="F953" s="56"/>
      <c r="G953" s="56"/>
      <c r="H953" s="56"/>
      <c r="I953" s="56"/>
      <c r="J953" s="56"/>
      <c r="K953" s="56"/>
      <c r="L953" s="56"/>
      <c r="M953" s="58"/>
      <c r="N953" s="58"/>
      <c r="O953" s="58"/>
      <c r="P953" s="58"/>
      <c r="Q953" s="58"/>
      <c r="R953" s="58"/>
      <c r="S953" s="58"/>
      <c r="T953" s="58"/>
      <c r="U953" s="58"/>
      <c r="V953" s="58"/>
      <c r="W953" s="58"/>
      <c r="X953" s="58"/>
      <c r="Y953" s="58"/>
      <c r="Z953" s="58"/>
      <c r="AA953" s="58"/>
      <c r="AB953" s="58"/>
      <c r="AC953" s="59"/>
      <c r="AD953" s="59"/>
    </row>
    <row r="954" spans="1:30" ht="12.75" customHeight="1" x14ac:dyDescent="0.2">
      <c r="A954" s="56"/>
      <c r="B954" s="56"/>
      <c r="C954" s="56"/>
      <c r="D954" s="57"/>
      <c r="E954" s="57"/>
      <c r="F954" s="56"/>
      <c r="G954" s="56"/>
      <c r="H954" s="56"/>
      <c r="I954" s="56"/>
      <c r="J954" s="56"/>
      <c r="K954" s="56"/>
      <c r="L954" s="56"/>
      <c r="M954" s="58"/>
      <c r="N954" s="58"/>
      <c r="O954" s="58"/>
      <c r="P954" s="58"/>
      <c r="Q954" s="58"/>
      <c r="R954" s="58"/>
      <c r="S954" s="58"/>
      <c r="T954" s="58"/>
      <c r="U954" s="58"/>
      <c r="V954" s="58"/>
      <c r="W954" s="58"/>
      <c r="X954" s="58"/>
      <c r="Y954" s="58"/>
      <c r="Z954" s="58"/>
      <c r="AA954" s="58"/>
      <c r="AB954" s="58"/>
      <c r="AC954" s="59"/>
      <c r="AD954" s="59"/>
    </row>
    <row r="955" spans="1:30" ht="12.75" customHeight="1" x14ac:dyDescent="0.2">
      <c r="A955" s="56"/>
      <c r="B955" s="56"/>
      <c r="C955" s="56"/>
      <c r="D955" s="57"/>
      <c r="E955" s="57"/>
      <c r="F955" s="56"/>
      <c r="G955" s="56"/>
      <c r="H955" s="56"/>
      <c r="I955" s="56"/>
      <c r="J955" s="56"/>
      <c r="K955" s="56"/>
      <c r="L955" s="56"/>
      <c r="M955" s="58"/>
      <c r="N955" s="58"/>
      <c r="O955" s="58"/>
      <c r="P955" s="58"/>
      <c r="Q955" s="58"/>
      <c r="R955" s="58"/>
      <c r="S955" s="58"/>
      <c r="T955" s="58"/>
      <c r="U955" s="58"/>
      <c r="V955" s="58"/>
      <c r="W955" s="58"/>
      <c r="X955" s="58"/>
      <c r="Y955" s="58"/>
      <c r="Z955" s="58"/>
      <c r="AA955" s="58"/>
      <c r="AB955" s="58"/>
      <c r="AC955" s="59"/>
      <c r="AD955" s="59"/>
    </row>
    <row r="956" spans="1:30" ht="12.75" customHeight="1" x14ac:dyDescent="0.2">
      <c r="A956" s="56"/>
      <c r="B956" s="56"/>
      <c r="C956" s="56"/>
      <c r="D956" s="57"/>
      <c r="E956" s="57"/>
      <c r="F956" s="56"/>
      <c r="G956" s="56"/>
      <c r="H956" s="56"/>
      <c r="I956" s="56"/>
      <c r="J956" s="56"/>
      <c r="K956" s="56"/>
      <c r="L956" s="56"/>
      <c r="M956" s="58"/>
      <c r="N956" s="58"/>
      <c r="O956" s="58"/>
      <c r="P956" s="58"/>
      <c r="Q956" s="58"/>
      <c r="R956" s="58"/>
      <c r="S956" s="58"/>
      <c r="T956" s="58"/>
      <c r="U956" s="58"/>
      <c r="V956" s="58"/>
      <c r="W956" s="58"/>
      <c r="X956" s="58"/>
      <c r="Y956" s="58"/>
      <c r="Z956" s="58"/>
      <c r="AA956" s="58"/>
      <c r="AB956" s="58"/>
      <c r="AC956" s="59"/>
      <c r="AD956" s="59"/>
    </row>
    <row r="957" spans="1:30" ht="12.75" customHeight="1" x14ac:dyDescent="0.2">
      <c r="A957" s="56"/>
      <c r="B957" s="56"/>
      <c r="C957" s="56"/>
      <c r="D957" s="57"/>
      <c r="E957" s="57"/>
      <c r="F957" s="56"/>
      <c r="G957" s="56"/>
      <c r="H957" s="56"/>
      <c r="I957" s="56"/>
      <c r="J957" s="56"/>
      <c r="K957" s="56"/>
      <c r="L957" s="56"/>
      <c r="M957" s="58"/>
      <c r="N957" s="58"/>
      <c r="O957" s="58"/>
      <c r="P957" s="58"/>
      <c r="Q957" s="58"/>
      <c r="R957" s="58"/>
      <c r="S957" s="58"/>
      <c r="T957" s="58"/>
      <c r="U957" s="58"/>
      <c r="V957" s="58"/>
      <c r="W957" s="58"/>
      <c r="X957" s="58"/>
      <c r="Y957" s="58"/>
      <c r="Z957" s="58"/>
      <c r="AA957" s="58"/>
      <c r="AB957" s="58"/>
      <c r="AC957" s="59"/>
      <c r="AD957" s="59"/>
    </row>
    <row r="958" spans="1:30" ht="12.75" customHeight="1" x14ac:dyDescent="0.2">
      <c r="A958" s="56"/>
      <c r="B958" s="56"/>
      <c r="C958" s="56"/>
      <c r="D958" s="57"/>
      <c r="E958" s="57"/>
      <c r="F958" s="56"/>
      <c r="G958" s="56"/>
      <c r="H958" s="56"/>
      <c r="I958" s="56"/>
      <c r="J958" s="56"/>
      <c r="K958" s="56"/>
      <c r="L958" s="56"/>
      <c r="M958" s="58"/>
      <c r="N958" s="58"/>
      <c r="O958" s="58"/>
      <c r="P958" s="58"/>
      <c r="Q958" s="58"/>
      <c r="R958" s="58"/>
      <c r="S958" s="58"/>
      <c r="T958" s="58"/>
      <c r="U958" s="58"/>
      <c r="V958" s="58"/>
      <c r="W958" s="58"/>
      <c r="X958" s="58"/>
      <c r="Y958" s="58"/>
      <c r="Z958" s="58"/>
      <c r="AA958" s="58"/>
      <c r="AB958" s="58"/>
      <c r="AC958" s="59"/>
      <c r="AD958" s="59"/>
    </row>
    <row r="959" spans="1:30" ht="12.75" customHeight="1" x14ac:dyDescent="0.2">
      <c r="A959" s="56"/>
      <c r="B959" s="56"/>
      <c r="C959" s="56"/>
      <c r="D959" s="57"/>
      <c r="E959" s="57"/>
      <c r="F959" s="56"/>
      <c r="G959" s="56"/>
      <c r="H959" s="56"/>
      <c r="I959" s="56"/>
      <c r="J959" s="56"/>
      <c r="K959" s="56"/>
      <c r="L959" s="56"/>
      <c r="M959" s="58"/>
      <c r="N959" s="58"/>
      <c r="O959" s="58"/>
      <c r="P959" s="58"/>
      <c r="Q959" s="58"/>
      <c r="R959" s="58"/>
      <c r="S959" s="58"/>
      <c r="T959" s="58"/>
      <c r="U959" s="58"/>
      <c r="V959" s="58"/>
      <c r="W959" s="58"/>
      <c r="X959" s="58"/>
      <c r="Y959" s="58"/>
      <c r="Z959" s="58"/>
      <c r="AA959" s="58"/>
      <c r="AB959" s="58"/>
      <c r="AC959" s="59"/>
      <c r="AD959" s="59"/>
    </row>
    <row r="960" spans="1:30" ht="12.75" customHeight="1" x14ac:dyDescent="0.2">
      <c r="A960" s="56"/>
      <c r="B960" s="56"/>
      <c r="C960" s="56"/>
      <c r="D960" s="57"/>
      <c r="E960" s="57"/>
      <c r="F960" s="56"/>
      <c r="G960" s="56"/>
      <c r="H960" s="56"/>
      <c r="I960" s="56"/>
      <c r="J960" s="56"/>
      <c r="K960" s="56"/>
      <c r="L960" s="56"/>
      <c r="M960" s="58"/>
      <c r="N960" s="58"/>
      <c r="O960" s="58"/>
      <c r="P960" s="58"/>
      <c r="Q960" s="58"/>
      <c r="R960" s="58"/>
      <c r="S960" s="58"/>
      <c r="T960" s="58"/>
      <c r="U960" s="58"/>
      <c r="V960" s="58"/>
      <c r="W960" s="58"/>
      <c r="X960" s="58"/>
      <c r="Y960" s="58"/>
      <c r="Z960" s="58"/>
      <c r="AA960" s="58"/>
      <c r="AB960" s="58"/>
      <c r="AC960" s="59"/>
      <c r="AD960" s="59"/>
    </row>
    <row r="961" spans="1:30" ht="12.75" customHeight="1" x14ac:dyDescent="0.2">
      <c r="A961" s="56"/>
      <c r="B961" s="56"/>
      <c r="C961" s="56"/>
      <c r="D961" s="57"/>
      <c r="E961" s="57"/>
      <c r="F961" s="56"/>
      <c r="G961" s="56"/>
      <c r="H961" s="56"/>
      <c r="I961" s="56"/>
      <c r="J961" s="56"/>
      <c r="K961" s="56"/>
      <c r="L961" s="56"/>
      <c r="M961" s="58"/>
      <c r="N961" s="58"/>
      <c r="O961" s="58"/>
      <c r="P961" s="58"/>
      <c r="Q961" s="58"/>
      <c r="R961" s="58"/>
      <c r="S961" s="58"/>
      <c r="T961" s="58"/>
      <c r="U961" s="58"/>
      <c r="V961" s="58"/>
      <c r="W961" s="58"/>
      <c r="X961" s="58"/>
      <c r="Y961" s="58"/>
      <c r="Z961" s="58"/>
      <c r="AA961" s="58"/>
      <c r="AB961" s="58"/>
      <c r="AC961" s="59"/>
      <c r="AD961" s="59"/>
    </row>
    <row r="962" spans="1:30" ht="12.75" customHeight="1" x14ac:dyDescent="0.2">
      <c r="A962" s="56"/>
      <c r="B962" s="56"/>
      <c r="C962" s="56"/>
      <c r="D962" s="57"/>
      <c r="E962" s="57"/>
      <c r="F962" s="56"/>
      <c r="G962" s="56"/>
      <c r="H962" s="56"/>
      <c r="I962" s="56"/>
      <c r="J962" s="56"/>
      <c r="K962" s="56"/>
      <c r="L962" s="56"/>
      <c r="M962" s="58"/>
      <c r="N962" s="58"/>
      <c r="O962" s="58"/>
      <c r="P962" s="58"/>
      <c r="Q962" s="58"/>
      <c r="R962" s="58"/>
      <c r="S962" s="58"/>
      <c r="T962" s="58"/>
      <c r="U962" s="58"/>
      <c r="V962" s="58"/>
      <c r="W962" s="58"/>
      <c r="X962" s="58"/>
      <c r="Y962" s="58"/>
      <c r="Z962" s="58"/>
      <c r="AA962" s="58"/>
      <c r="AB962" s="58"/>
      <c r="AC962" s="59"/>
      <c r="AD962" s="59"/>
    </row>
    <row r="963" spans="1:30" ht="12.75" customHeight="1" x14ac:dyDescent="0.2">
      <c r="A963" s="56"/>
      <c r="B963" s="56"/>
      <c r="C963" s="56"/>
      <c r="D963" s="57"/>
      <c r="E963" s="57"/>
      <c r="F963" s="56"/>
      <c r="G963" s="56"/>
      <c r="H963" s="56"/>
      <c r="I963" s="56"/>
      <c r="J963" s="56"/>
      <c r="K963" s="56"/>
      <c r="L963" s="56"/>
      <c r="M963" s="58"/>
      <c r="N963" s="58"/>
      <c r="O963" s="58"/>
      <c r="P963" s="58"/>
      <c r="Q963" s="58"/>
      <c r="R963" s="58"/>
      <c r="S963" s="58"/>
      <c r="T963" s="58"/>
      <c r="U963" s="58"/>
      <c r="V963" s="58"/>
      <c r="W963" s="58"/>
      <c r="X963" s="58"/>
      <c r="Y963" s="58"/>
      <c r="Z963" s="58"/>
      <c r="AA963" s="58"/>
      <c r="AB963" s="58"/>
      <c r="AC963" s="59"/>
      <c r="AD963" s="59"/>
    </row>
  </sheetData>
  <mergeCells count="21">
    <mergeCell ref="A20:A22"/>
    <mergeCell ref="B20:B22"/>
    <mergeCell ref="C20:C22"/>
    <mergeCell ref="B9:B14"/>
    <mergeCell ref="C9:C14"/>
    <mergeCell ref="A9:A14"/>
    <mergeCell ref="A15:A19"/>
    <mergeCell ref="B15:B19"/>
    <mergeCell ref="C15:C19"/>
    <mergeCell ref="D6:AD6"/>
    <mergeCell ref="A6:C6"/>
    <mergeCell ref="A7:L7"/>
    <mergeCell ref="M7:Y7"/>
    <mergeCell ref="Z7:AB7"/>
    <mergeCell ref="AC7:AD7"/>
    <mergeCell ref="A1:C4"/>
    <mergeCell ref="D1:AB4"/>
    <mergeCell ref="AC1:AD2"/>
    <mergeCell ref="AC3:AD4"/>
    <mergeCell ref="A5:C5"/>
    <mergeCell ref="D5:AD5"/>
  </mergeCells>
  <dataValidations count="9">
    <dataValidation type="list" allowBlank="1" showErrorMessage="1" sqref="I9:I22" xr:uid="{00000000-0002-0000-0600-000000000000}">
      <formula1>"Prevenir,Detectar,No es un control,Seleccione"</formula1>
    </dataValidation>
    <dataValidation type="list" allowBlank="1" showErrorMessage="1" sqref="J9:J22" xr:uid="{00000000-0002-0000-0600-000001000000}">
      <formula1>"Confiable,No Confiable,Seleccione"</formula1>
    </dataValidation>
    <dataValidation type="list" allowBlank="1" showErrorMessage="1" sqref="F9:F22" xr:uid="{00000000-0002-0000-0600-000002000000}">
      <formula1>"Asignado,No asignado,Seleccione"</formula1>
    </dataValidation>
    <dataValidation type="list" allowBlank="1" showErrorMessage="1" sqref="K9:K22" xr:uid="{00000000-0002-0000-0600-000003000000}">
      <formula1>"Se investigan y resuelven oportunamente,No se investigan y resuelven oportunamente,Seleccione"</formula1>
    </dataValidation>
    <dataValidation type="list" allowBlank="1" showErrorMessage="1" sqref="Z9:Z22" xr:uid="{00000000-0002-0000-0600-000004000000}">
      <formula1>"Siempre se ejecuta,Algunas veces se ejecuta,No se ejecuta,Seleccione"</formula1>
    </dataValidation>
    <dataValidation type="list" allowBlank="1" showErrorMessage="1" sqref="U9:V22" xr:uid="{00000000-0002-0000-0600-000005000000}">
      <formula1>"SI,NO,Seleccione"</formula1>
    </dataValidation>
    <dataValidation type="list" allowBlank="1" showErrorMessage="1" sqref="H9:H22" xr:uid="{00000000-0002-0000-0600-000006000000}">
      <formula1>"Oportuna,Inoportuna,Seleccione"</formula1>
    </dataValidation>
    <dataValidation type="list" allowBlank="1" showErrorMessage="1" sqref="L9:L22" xr:uid="{00000000-0002-0000-0600-000007000000}">
      <formula1>"Completa,Incompleta,No existe,Seleccione"</formula1>
    </dataValidation>
    <dataValidation type="list" allowBlank="1" showErrorMessage="1" sqref="G9:G22" xr:uid="{00000000-0002-0000-0600-000008000000}">
      <formula1>"Adecuado,Inadecuado,Seleccione"</formula1>
    </dataValidation>
  </dataValidations>
  <pageMargins left="0.11811023622047245" right="0.11811023622047245" top="1.1417322834645669" bottom="0.74803149606299213" header="0" footer="0"/>
  <pageSetup orientation="landscape" r:id="rId1"/>
  <headerFooter>
    <oddHeader>&amp;C Matriz de Riesgos</oddHeader>
  </headerFooter>
  <rowBreaks count="1" manualBreakCount="1">
    <brk id="19" man="1"/>
  </rowBreaks>
  <colBreaks count="1" manualBreakCount="1">
    <brk id="12" man="1"/>
  </colBreaks>
  <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E7"/>
  <sheetViews>
    <sheetView showGridLines="0" topLeftCell="C7" zoomScale="160" zoomScaleNormal="160" zoomScaleSheetLayoutView="115" zoomScalePageLayoutView="90" workbookViewId="0">
      <selection activeCell="D7" sqref="D7:E7"/>
    </sheetView>
  </sheetViews>
  <sheetFormatPr baseColWidth="10" defaultRowHeight="15" x14ac:dyDescent="0.25"/>
  <cols>
    <col min="1" max="1" width="13.625" style="743" customWidth="1"/>
    <col min="2" max="2" width="37.125" style="743" customWidth="1"/>
    <col min="3" max="3" width="50.5" style="743" customWidth="1"/>
    <col min="4" max="4" width="14.25" style="743" customWidth="1"/>
    <col min="5" max="5" width="33.25" style="743" customWidth="1"/>
    <col min="6" max="16384" width="11" style="743"/>
  </cols>
  <sheetData>
    <row r="1" spans="1:5" x14ac:dyDescent="0.25">
      <c r="A1" s="1568"/>
      <c r="B1" s="1569" t="s">
        <v>837</v>
      </c>
      <c r="C1" s="1570"/>
      <c r="D1" s="1570"/>
      <c r="E1" s="1571" t="s">
        <v>29</v>
      </c>
    </row>
    <row r="2" spans="1:5" x14ac:dyDescent="0.25">
      <c r="A2" s="1568"/>
      <c r="B2" s="1570"/>
      <c r="C2" s="1570"/>
      <c r="D2" s="1570"/>
      <c r="E2" s="1571"/>
    </row>
    <row r="3" spans="1:5" x14ac:dyDescent="0.25">
      <c r="A3" s="1568"/>
      <c r="B3" s="1570"/>
      <c r="C3" s="1570"/>
      <c r="D3" s="1570"/>
      <c r="E3" s="1572" t="s">
        <v>2</v>
      </c>
    </row>
    <row r="4" spans="1:5" ht="15.75" thickBot="1" x14ac:dyDescent="0.3">
      <c r="A4" s="1568"/>
      <c r="B4" s="1570"/>
      <c r="C4" s="1570"/>
      <c r="D4" s="1570"/>
      <c r="E4" s="1572"/>
    </row>
    <row r="5" spans="1:5" ht="15.75" thickBot="1" x14ac:dyDescent="0.3">
      <c r="A5" s="1573" t="s">
        <v>30</v>
      </c>
      <c r="B5" s="1574"/>
      <c r="C5" s="1574"/>
      <c r="D5" s="1574"/>
      <c r="E5" s="1575"/>
    </row>
    <row r="6" spans="1:5" ht="15" customHeight="1" x14ac:dyDescent="0.25">
      <c r="A6" s="744" t="s">
        <v>31</v>
      </c>
      <c r="B6" s="745" t="s">
        <v>32</v>
      </c>
      <c r="C6" s="744" t="s">
        <v>33</v>
      </c>
      <c r="D6" s="1576" t="s">
        <v>34</v>
      </c>
      <c r="E6" s="1577"/>
    </row>
    <row r="7" spans="1:5" ht="409.5" customHeight="1" x14ac:dyDescent="0.25">
      <c r="A7" s="746"/>
      <c r="B7" s="747" t="s">
        <v>996</v>
      </c>
      <c r="C7" s="748" t="s">
        <v>997</v>
      </c>
      <c r="D7" s="1566" t="s">
        <v>998</v>
      </c>
      <c r="E7" s="1567"/>
    </row>
  </sheetData>
  <mergeCells count="7">
    <mergeCell ref="D7:E7"/>
    <mergeCell ref="A1:A4"/>
    <mergeCell ref="B1:D4"/>
    <mergeCell ref="E1:E2"/>
    <mergeCell ref="E3:E4"/>
    <mergeCell ref="A5:E5"/>
    <mergeCell ref="D6:E6"/>
  </mergeCells>
  <pageMargins left="0.31496062992125984" right="0.31496062992125984" top="1.1417322834645669" bottom="0.35433070866141736" header="0.31496062992125984" footer="0.31496062992125984"/>
  <pageSetup scale="88" orientation="landscape" horizontalDpi="1200" verticalDpi="1200" r:id="rId1"/>
  <headerFooter>
    <oddHeader>&amp;L&amp;G&amp;C
&amp;"-,Negrita"Matriz de Riesgos</oddHeader>
  </headerFooter>
  <drawing r:id="rId2"/>
  <legacyDrawing r:id="rId3"/>
  <legacyDrawingHF r:id="rId4"/>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N10"/>
  <sheetViews>
    <sheetView showGridLines="0" topLeftCell="G10" zoomScale="145" zoomScaleNormal="145" zoomScaleSheetLayoutView="130" zoomScalePageLayoutView="90" workbookViewId="0">
      <selection activeCell="H13" sqref="H13"/>
    </sheetView>
  </sheetViews>
  <sheetFormatPr baseColWidth="10" defaultRowHeight="15" x14ac:dyDescent="0.25"/>
  <cols>
    <col min="1" max="2" width="8.5" style="743" customWidth="1"/>
    <col min="3" max="3" width="15" style="743" customWidth="1"/>
    <col min="4" max="4" width="3.625" style="746" customWidth="1"/>
    <col min="5" max="5" width="26.875" style="743" customWidth="1"/>
    <col min="6" max="6" width="21.625" style="743" customWidth="1"/>
    <col min="7" max="7" width="15" style="743" customWidth="1"/>
    <col min="8" max="8" width="40.375" style="743" customWidth="1"/>
    <col min="9" max="9" width="33.375" style="743" customWidth="1"/>
    <col min="10" max="10" width="20.625" style="743" customWidth="1"/>
    <col min="11" max="11" width="14.75" style="743" customWidth="1"/>
    <col min="12" max="12" width="18.75" style="743" customWidth="1"/>
    <col min="13" max="13" width="12.75" style="743" customWidth="1"/>
    <col min="14" max="14" width="27.125" style="743" customWidth="1"/>
    <col min="15" max="16384" width="11" style="743"/>
  </cols>
  <sheetData>
    <row r="1" spans="1:14" x14ac:dyDescent="0.25">
      <c r="A1" s="1578"/>
      <c r="B1" s="1578"/>
      <c r="C1" s="1578"/>
      <c r="D1" s="1580" t="s">
        <v>0</v>
      </c>
      <c r="E1" s="1580"/>
      <c r="F1" s="1580"/>
      <c r="G1" s="1580"/>
      <c r="H1" s="1580"/>
      <c r="I1" s="1580"/>
      <c r="J1" s="1580"/>
      <c r="K1" s="1580"/>
      <c r="L1" s="1580"/>
      <c r="M1" s="1581"/>
      <c r="N1" s="1584" t="s">
        <v>35</v>
      </c>
    </row>
    <row r="2" spans="1:14" x14ac:dyDescent="0.25">
      <c r="A2" s="1578"/>
      <c r="B2" s="1578"/>
      <c r="C2" s="1578"/>
      <c r="D2" s="1580"/>
      <c r="E2" s="1580"/>
      <c r="F2" s="1580"/>
      <c r="G2" s="1580"/>
      <c r="H2" s="1580"/>
      <c r="I2" s="1580"/>
      <c r="J2" s="1580"/>
      <c r="K2" s="1580"/>
      <c r="L2" s="1580"/>
      <c r="M2" s="1581"/>
      <c r="N2" s="1584"/>
    </row>
    <row r="3" spans="1:14" x14ac:dyDescent="0.25">
      <c r="A3" s="1578"/>
      <c r="B3" s="1578"/>
      <c r="C3" s="1578"/>
      <c r="D3" s="1580"/>
      <c r="E3" s="1580"/>
      <c r="F3" s="1580"/>
      <c r="G3" s="1580"/>
      <c r="H3" s="1580"/>
      <c r="I3" s="1580"/>
      <c r="J3" s="1580"/>
      <c r="K3" s="1580"/>
      <c r="L3" s="1580"/>
      <c r="M3" s="1581"/>
      <c r="N3" s="1584" t="s">
        <v>2</v>
      </c>
    </row>
    <row r="4" spans="1:14" x14ac:dyDescent="0.25">
      <c r="A4" s="1579"/>
      <c r="B4" s="1579"/>
      <c r="C4" s="1579"/>
      <c r="D4" s="1582"/>
      <c r="E4" s="1582"/>
      <c r="F4" s="1582"/>
      <c r="G4" s="1582"/>
      <c r="H4" s="1582"/>
      <c r="I4" s="1582"/>
      <c r="J4" s="1582"/>
      <c r="K4" s="1582"/>
      <c r="L4" s="1582"/>
      <c r="M4" s="1583"/>
      <c r="N4" s="1584"/>
    </row>
    <row r="5" spans="1:14" ht="15.75" x14ac:dyDescent="0.25">
      <c r="A5" s="1585" t="s">
        <v>36</v>
      </c>
      <c r="B5" s="1586"/>
      <c r="C5" s="1587"/>
      <c r="D5" s="1588" t="s">
        <v>999</v>
      </c>
      <c r="E5" s="1589"/>
      <c r="F5" s="1589"/>
      <c r="G5" s="1589"/>
      <c r="H5" s="1589"/>
      <c r="I5" s="1589"/>
      <c r="J5" s="1589"/>
      <c r="K5" s="1589"/>
      <c r="L5" s="1589"/>
      <c r="M5" s="1589"/>
      <c r="N5" s="1590"/>
    </row>
    <row r="6" spans="1:14" ht="15.75" x14ac:dyDescent="0.25">
      <c r="A6" s="1585" t="s">
        <v>37</v>
      </c>
      <c r="B6" s="1586"/>
      <c r="C6" s="1587"/>
      <c r="D6" s="1588" t="s">
        <v>1000</v>
      </c>
      <c r="E6" s="1589"/>
      <c r="F6" s="1589"/>
      <c r="G6" s="1589"/>
      <c r="H6" s="1589"/>
      <c r="I6" s="1589"/>
      <c r="J6" s="1589"/>
      <c r="K6" s="1589"/>
      <c r="L6" s="1589"/>
      <c r="M6" s="1589"/>
      <c r="N6" s="1590"/>
    </row>
    <row r="7" spans="1:14" x14ac:dyDescent="0.25">
      <c r="A7" s="1591" t="s">
        <v>38</v>
      </c>
      <c r="B7" s="1592"/>
      <c r="C7" s="1593"/>
      <c r="D7" s="1594" t="s">
        <v>39</v>
      </c>
      <c r="E7" s="1595"/>
      <c r="F7" s="1595"/>
      <c r="G7" s="1595"/>
      <c r="H7" s="1595"/>
      <c r="I7" s="1596"/>
      <c r="J7" s="1597" t="s">
        <v>40</v>
      </c>
      <c r="K7" s="1597"/>
      <c r="L7" s="1597"/>
      <c r="M7" s="1597"/>
      <c r="N7" s="1597"/>
    </row>
    <row r="8" spans="1:14" ht="36" x14ac:dyDescent="0.25">
      <c r="A8" s="749" t="s">
        <v>41</v>
      </c>
      <c r="B8" s="749" t="s">
        <v>42</v>
      </c>
      <c r="C8" s="749" t="s">
        <v>43</v>
      </c>
      <c r="D8" s="749" t="s">
        <v>44</v>
      </c>
      <c r="E8" s="749" t="s">
        <v>45</v>
      </c>
      <c r="F8" s="749" t="s">
        <v>46</v>
      </c>
      <c r="G8" s="749" t="s">
        <v>47</v>
      </c>
      <c r="H8" s="749" t="s">
        <v>48</v>
      </c>
      <c r="I8" s="749" t="s">
        <v>49</v>
      </c>
      <c r="J8" s="750" t="s">
        <v>50</v>
      </c>
      <c r="K8" s="750" t="s">
        <v>51</v>
      </c>
      <c r="L8" s="750" t="s">
        <v>52</v>
      </c>
      <c r="M8" s="750" t="s">
        <v>53</v>
      </c>
      <c r="N8" s="750" t="s">
        <v>54</v>
      </c>
    </row>
    <row r="9" spans="1:14" ht="148.5" customHeight="1" x14ac:dyDescent="0.25">
      <c r="A9" s="751"/>
      <c r="B9" s="752" t="s">
        <v>219</v>
      </c>
      <c r="C9" s="752"/>
      <c r="D9" s="542">
        <v>1</v>
      </c>
      <c r="E9" s="554" t="s">
        <v>1001</v>
      </c>
      <c r="F9" s="753" t="s">
        <v>1002</v>
      </c>
      <c r="G9" s="754" t="s">
        <v>208</v>
      </c>
      <c r="H9" s="755" t="s">
        <v>1003</v>
      </c>
      <c r="I9" s="303" t="s">
        <v>1004</v>
      </c>
      <c r="J9" s="754" t="s">
        <v>122</v>
      </c>
      <c r="K9" s="754" t="s">
        <v>122</v>
      </c>
      <c r="L9" s="754" t="s">
        <v>122</v>
      </c>
      <c r="M9" s="754" t="s">
        <v>122</v>
      </c>
      <c r="N9" s="756" t="str">
        <f t="shared" ref="N9:N10" si="0">IF(COUNTIF(J9:M9,"SI")=4,"Riesgo de Corrupción","No es Riesgo de Corrupción")</f>
        <v>Riesgo de Corrupción</v>
      </c>
    </row>
    <row r="10" spans="1:14" ht="129.75" customHeight="1" x14ac:dyDescent="0.25">
      <c r="A10" s="751"/>
      <c r="B10" s="751"/>
      <c r="C10" s="751" t="s">
        <v>233</v>
      </c>
      <c r="D10" s="542">
        <v>2</v>
      </c>
      <c r="E10" s="162" t="s">
        <v>1005</v>
      </c>
      <c r="F10" s="466" t="s">
        <v>1006</v>
      </c>
      <c r="G10" s="754" t="s">
        <v>252</v>
      </c>
      <c r="H10" s="303" t="s">
        <v>1007</v>
      </c>
      <c r="I10" s="303" t="s">
        <v>1008</v>
      </c>
      <c r="J10" s="754" t="s">
        <v>263</v>
      </c>
      <c r="K10" s="754" t="s">
        <v>263</v>
      </c>
      <c r="L10" s="754" t="s">
        <v>263</v>
      </c>
      <c r="M10" s="754" t="s">
        <v>263</v>
      </c>
      <c r="N10" s="756" t="str">
        <f t="shared" si="0"/>
        <v>No es Riesgo de Corrupción</v>
      </c>
    </row>
  </sheetData>
  <mergeCells count="11">
    <mergeCell ref="A6:C6"/>
    <mergeCell ref="D6:N6"/>
    <mergeCell ref="A7:C7"/>
    <mergeCell ref="D7:I7"/>
    <mergeCell ref="J7:N7"/>
    <mergeCell ref="A1:C4"/>
    <mergeCell ref="D1:M4"/>
    <mergeCell ref="N1:N2"/>
    <mergeCell ref="N3:N4"/>
    <mergeCell ref="A5:C5"/>
    <mergeCell ref="D5:N5"/>
  </mergeCells>
  <dataValidations count="1">
    <dataValidation type="list" allowBlank="1" showInputMessage="1" showErrorMessage="1" sqref="J9:M10" xr:uid="{00000000-0002-0000-4600-000000000000}">
      <formula1>"SI,NO"</formula1>
    </dataValidation>
  </dataValidations>
  <pageMargins left="0.11811023622047245" right="0.11811023622047245" top="1.1417322834645669" bottom="0.19685039370078741" header="0.31496062992125984" footer="0.31496062992125984"/>
  <pageSetup scale="79" orientation="landscape" horizontalDpi="1200" verticalDpi="1200" r:id="rId1"/>
  <headerFooter>
    <oddHeader>&amp;L&amp;G&amp;C
&amp;"-,Negrita"Matriz de Riesgos</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600-000001000000}">
          <x14:formula1>
            <xm:f>'C:\Users\sgomez.UPME\Documents\UPME 2020\Documents\Mapas de riesgos\[Mapa de Riesgos. Divulgación.xlsx]Datos'!#REF!</xm:f>
          </x14:formula1>
          <xm:sqref>A9:C10 G9:G10</xm:sqref>
        </x14:dataValidation>
      </x14:dataValidations>
    </ext>
  </extLs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AK8"/>
  <sheetViews>
    <sheetView showGridLines="0" showWhiteSpace="0" topLeftCell="A4" zoomScaleNormal="100" zoomScaleSheetLayoutView="85" zoomScalePageLayoutView="70" workbookViewId="0">
      <selection activeCell="A7" sqref="A7"/>
    </sheetView>
  </sheetViews>
  <sheetFormatPr baseColWidth="10" defaultRowHeight="15" x14ac:dyDescent="0.25"/>
  <cols>
    <col min="1" max="1" width="4.75" style="746" customWidth="1"/>
    <col min="2" max="2" width="30" style="743" customWidth="1"/>
    <col min="3" max="3" width="44.875" style="800" customWidth="1"/>
    <col min="4" max="4" width="26.25" style="801" customWidth="1"/>
    <col min="5" max="5" width="2.875" style="746" customWidth="1"/>
    <col min="6" max="6" width="17.25" style="746" customWidth="1"/>
    <col min="7" max="7" width="12.875" style="746" customWidth="1"/>
    <col min="8" max="8" width="5" style="746" customWidth="1"/>
    <col min="9" max="9" width="14" style="743" customWidth="1"/>
    <col min="10" max="10" width="8.375" style="743" customWidth="1"/>
    <col min="11" max="11" width="27.5" style="802" customWidth="1"/>
    <col min="12" max="12" width="41" style="743" customWidth="1"/>
    <col min="13" max="13" width="13.75" style="743" customWidth="1"/>
    <col min="14" max="14" width="15" style="743" customWidth="1"/>
    <col min="15" max="15" width="19.25" style="743" customWidth="1"/>
    <col min="16" max="16" width="18.875" style="743" customWidth="1"/>
    <col min="17" max="17" width="12" style="743" customWidth="1"/>
    <col min="18" max="18" width="12.625" style="743" customWidth="1"/>
    <col min="19" max="19" width="13.625" style="746" customWidth="1"/>
    <col min="20" max="20" width="13.625" style="743" customWidth="1"/>
    <col min="21" max="21" width="17.5" style="743" customWidth="1"/>
    <col min="22" max="22" width="12.125" style="743" customWidth="1"/>
    <col min="23" max="23" width="13.875" style="743" customWidth="1"/>
    <col min="24" max="24" width="14.375" style="743" customWidth="1"/>
    <col min="25" max="25" width="35.75" style="743" customWidth="1"/>
    <col min="26" max="26" width="24.25" style="743" customWidth="1"/>
    <col min="27" max="28" width="10.875" style="743" customWidth="1"/>
    <col min="29" max="29" width="31.125" style="743" customWidth="1"/>
    <col min="30" max="33" width="22.5" style="743" customWidth="1"/>
    <col min="34" max="35" width="18.5" style="743" customWidth="1"/>
    <col min="36" max="36" width="39.5" style="743" customWidth="1"/>
    <col min="37" max="37" width="59.375" style="743" customWidth="1"/>
    <col min="38" max="16384" width="11" style="743"/>
  </cols>
  <sheetData>
    <row r="1" spans="1:37" x14ac:dyDescent="0.25">
      <c r="A1" s="1598"/>
      <c r="B1" s="1598"/>
      <c r="C1" s="1598"/>
      <c r="D1" s="1599" t="s">
        <v>55</v>
      </c>
      <c r="E1" s="1599"/>
      <c r="F1" s="1599"/>
      <c r="G1" s="1599"/>
      <c r="H1" s="1599"/>
      <c r="I1" s="1599"/>
      <c r="J1" s="1599"/>
      <c r="K1" s="1599"/>
      <c r="L1" s="1599"/>
      <c r="M1" s="1599"/>
      <c r="N1" s="1599"/>
      <c r="O1" s="1599"/>
      <c r="P1" s="1599"/>
      <c r="Q1" s="1599"/>
      <c r="R1" s="1599"/>
      <c r="S1" s="1599"/>
      <c r="T1" s="1599"/>
      <c r="U1" s="1599"/>
      <c r="V1" s="1599"/>
      <c r="W1" s="1599"/>
      <c r="X1" s="1599"/>
      <c r="Y1" s="1599"/>
      <c r="Z1" s="1599"/>
      <c r="AA1" s="1599"/>
      <c r="AB1" s="1599"/>
      <c r="AC1" s="1599"/>
      <c r="AD1" s="1599"/>
      <c r="AE1" s="1599"/>
      <c r="AF1" s="1599"/>
      <c r="AG1" s="1599"/>
      <c r="AH1" s="1599"/>
      <c r="AI1" s="1599"/>
      <c r="AJ1" s="1599"/>
      <c r="AK1" s="1600" t="s">
        <v>35</v>
      </c>
    </row>
    <row r="2" spans="1:37" x14ac:dyDescent="0.25">
      <c r="A2" s="1598"/>
      <c r="B2" s="1598"/>
      <c r="C2" s="1598"/>
      <c r="D2" s="1599"/>
      <c r="E2" s="1599"/>
      <c r="F2" s="1599"/>
      <c r="G2" s="1599"/>
      <c r="H2" s="1599"/>
      <c r="I2" s="1599"/>
      <c r="J2" s="1599"/>
      <c r="K2" s="1599"/>
      <c r="L2" s="1599"/>
      <c r="M2" s="1599"/>
      <c r="N2" s="1599"/>
      <c r="O2" s="1599"/>
      <c r="P2" s="1599"/>
      <c r="Q2" s="1599"/>
      <c r="R2" s="1599"/>
      <c r="S2" s="1599"/>
      <c r="T2" s="1599"/>
      <c r="U2" s="1599"/>
      <c r="V2" s="1599"/>
      <c r="W2" s="1599"/>
      <c r="X2" s="1599"/>
      <c r="Y2" s="1599"/>
      <c r="Z2" s="1599"/>
      <c r="AA2" s="1599"/>
      <c r="AB2" s="1599"/>
      <c r="AC2" s="1599"/>
      <c r="AD2" s="1599"/>
      <c r="AE2" s="1599"/>
      <c r="AF2" s="1599"/>
      <c r="AG2" s="1599"/>
      <c r="AH2" s="1599"/>
      <c r="AI2" s="1599"/>
      <c r="AJ2" s="1599"/>
      <c r="AK2" s="1600"/>
    </row>
    <row r="3" spans="1:37" x14ac:dyDescent="0.25">
      <c r="A3" s="1598"/>
      <c r="B3" s="1598"/>
      <c r="C3" s="1598"/>
      <c r="D3" s="1599"/>
      <c r="E3" s="1599"/>
      <c r="F3" s="1599"/>
      <c r="G3" s="1599"/>
      <c r="H3" s="1599"/>
      <c r="I3" s="1599"/>
      <c r="J3" s="1599"/>
      <c r="K3" s="1599"/>
      <c r="L3" s="1599"/>
      <c r="M3" s="1599"/>
      <c r="N3" s="1599"/>
      <c r="O3" s="1599"/>
      <c r="P3" s="1599"/>
      <c r="Q3" s="1599"/>
      <c r="R3" s="1599"/>
      <c r="S3" s="1599"/>
      <c r="T3" s="1599"/>
      <c r="U3" s="1599"/>
      <c r="V3" s="1599"/>
      <c r="W3" s="1599"/>
      <c r="X3" s="1599"/>
      <c r="Y3" s="1599"/>
      <c r="Z3" s="1599"/>
      <c r="AA3" s="1599"/>
      <c r="AB3" s="1599"/>
      <c r="AC3" s="1599"/>
      <c r="AD3" s="1599"/>
      <c r="AE3" s="1599"/>
      <c r="AF3" s="1599"/>
      <c r="AG3" s="1599"/>
      <c r="AH3" s="1599"/>
      <c r="AI3" s="1599"/>
      <c r="AJ3" s="1599"/>
      <c r="AK3" s="1600" t="s">
        <v>56</v>
      </c>
    </row>
    <row r="4" spans="1:37" ht="15.75" thickBot="1" x14ac:dyDescent="0.3">
      <c r="A4" s="1598"/>
      <c r="B4" s="1598"/>
      <c r="C4" s="1598"/>
      <c r="D4" s="1599"/>
      <c r="E4" s="1599"/>
      <c r="F4" s="1599"/>
      <c r="G4" s="1599"/>
      <c r="H4" s="1599"/>
      <c r="I4" s="1599"/>
      <c r="J4" s="1599"/>
      <c r="K4" s="1599"/>
      <c r="L4" s="1599"/>
      <c r="M4" s="1599"/>
      <c r="N4" s="1599"/>
      <c r="O4" s="1599"/>
      <c r="P4" s="1599"/>
      <c r="Q4" s="1599"/>
      <c r="R4" s="1599"/>
      <c r="S4" s="1599"/>
      <c r="T4" s="1599"/>
      <c r="U4" s="1599"/>
      <c r="V4" s="1599"/>
      <c r="W4" s="1599"/>
      <c r="X4" s="1599"/>
      <c r="Y4" s="1599"/>
      <c r="Z4" s="1599"/>
      <c r="AA4" s="1599"/>
      <c r="AB4" s="1599"/>
      <c r="AC4" s="1599"/>
      <c r="AD4" s="1599"/>
      <c r="AE4" s="1599"/>
      <c r="AF4" s="1599"/>
      <c r="AG4" s="1599"/>
      <c r="AH4" s="1599"/>
      <c r="AI4" s="1599"/>
      <c r="AJ4" s="1599"/>
      <c r="AK4" s="1600"/>
    </row>
    <row r="5" spans="1:37" ht="18.75" customHeight="1" thickBot="1" x14ac:dyDescent="0.3">
      <c r="A5" s="1601" t="s">
        <v>57</v>
      </c>
      <c r="B5" s="1602"/>
      <c r="C5" s="1602"/>
      <c r="D5" s="1602"/>
      <c r="E5" s="1602"/>
      <c r="F5" s="1602"/>
      <c r="G5" s="1602"/>
      <c r="H5" s="1602"/>
      <c r="I5" s="1603"/>
      <c r="J5" s="757"/>
      <c r="K5" s="1604" t="s">
        <v>58</v>
      </c>
      <c r="L5" s="1604"/>
      <c r="M5" s="1604"/>
      <c r="N5" s="1604"/>
      <c r="O5" s="1604"/>
      <c r="P5" s="1605"/>
      <c r="Q5" s="1606" t="s">
        <v>59</v>
      </c>
      <c r="R5" s="1606"/>
      <c r="S5" s="1606"/>
      <c r="T5" s="1606"/>
      <c r="U5" s="1606"/>
      <c r="V5" s="1606"/>
      <c r="W5" s="1606"/>
      <c r="X5" s="1606"/>
      <c r="Y5" s="1607" t="s">
        <v>60</v>
      </c>
      <c r="Z5" s="1606"/>
      <c r="AA5" s="1606"/>
      <c r="AB5" s="1606"/>
      <c r="AC5" s="1608"/>
      <c r="AD5" s="1609" t="s">
        <v>61</v>
      </c>
      <c r="AE5" s="1604"/>
      <c r="AF5" s="1604"/>
      <c r="AG5" s="1604"/>
      <c r="AH5" s="1604"/>
      <c r="AI5" s="1605"/>
      <c r="AJ5" s="758" t="s">
        <v>62</v>
      </c>
      <c r="AK5" s="758" t="s">
        <v>63</v>
      </c>
    </row>
    <row r="6" spans="1:37" s="763" customFormat="1" ht="51.75" thickBot="1" x14ac:dyDescent="0.25">
      <c r="A6" s="536" t="s">
        <v>44</v>
      </c>
      <c r="B6" s="537" t="s">
        <v>64</v>
      </c>
      <c r="C6" s="537" t="s">
        <v>65</v>
      </c>
      <c r="D6" s="759" t="s">
        <v>66</v>
      </c>
      <c r="E6" s="537" t="s">
        <v>67</v>
      </c>
      <c r="F6" s="537" t="s">
        <v>68</v>
      </c>
      <c r="G6" s="759" t="s">
        <v>69</v>
      </c>
      <c r="H6" s="759" t="s">
        <v>70</v>
      </c>
      <c r="I6" s="538" t="s">
        <v>71</v>
      </c>
      <c r="J6" s="760" t="s">
        <v>72</v>
      </c>
      <c r="K6" s="761" t="s">
        <v>73</v>
      </c>
      <c r="L6" s="537" t="s">
        <v>74</v>
      </c>
      <c r="M6" s="762" t="s">
        <v>75</v>
      </c>
      <c r="N6" s="537" t="s">
        <v>76</v>
      </c>
      <c r="O6" s="537" t="s">
        <v>77</v>
      </c>
      <c r="P6" s="538" t="s">
        <v>78</v>
      </c>
      <c r="Q6" s="761" t="s">
        <v>79</v>
      </c>
      <c r="R6" s="537" t="s">
        <v>80</v>
      </c>
      <c r="S6" s="537" t="s">
        <v>67</v>
      </c>
      <c r="T6" s="537" t="s">
        <v>70</v>
      </c>
      <c r="U6" s="537" t="s">
        <v>81</v>
      </c>
      <c r="V6" s="537" t="s">
        <v>82</v>
      </c>
      <c r="W6" s="537" t="s">
        <v>83</v>
      </c>
      <c r="X6" s="539" t="s">
        <v>84</v>
      </c>
      <c r="Y6" s="536" t="s">
        <v>85</v>
      </c>
      <c r="Z6" s="537" t="s">
        <v>86</v>
      </c>
      <c r="AA6" s="537" t="s">
        <v>87</v>
      </c>
      <c r="AB6" s="537" t="s">
        <v>88</v>
      </c>
      <c r="AC6" s="538" t="s">
        <v>89</v>
      </c>
      <c r="AD6" s="536" t="s">
        <v>90</v>
      </c>
      <c r="AE6" s="537" t="s">
        <v>91</v>
      </c>
      <c r="AF6" s="537" t="s">
        <v>92</v>
      </c>
      <c r="AG6" s="537" t="s">
        <v>91</v>
      </c>
      <c r="AH6" s="537" t="s">
        <v>93</v>
      </c>
      <c r="AI6" s="538" t="s">
        <v>91</v>
      </c>
      <c r="AJ6" s="540" t="s">
        <v>94</v>
      </c>
      <c r="AK6" s="540" t="s">
        <v>95</v>
      </c>
    </row>
    <row r="7" spans="1:37" s="780" customFormat="1" ht="172.5" customHeight="1" thickBot="1" x14ac:dyDescent="0.25">
      <c r="A7" s="764">
        <f>'[11]Identificación del Riesgo D'!D9</f>
        <v>1</v>
      </c>
      <c r="B7" s="765" t="str">
        <f>'[11]Identificación del Riesgo D'!E9</f>
        <v>Incumplimiento del procedimiento de de divulgación.</v>
      </c>
      <c r="C7" s="765" t="str">
        <f>'[11]Identificación del Riesgo D'!H9</f>
        <v>El procedimiento actual no define las tipificaciones necesarias de las excepciones que conlleve a priorizar las fechas de las publicaciones.
Posibles incumplimientos del procedimiento de divulgación por parte de los funcionarios responsables de la publicación.
Falta de socialización del procedimiento de divulgación en los funcionarios de la entidad.</v>
      </c>
      <c r="D7" s="766" t="s">
        <v>181</v>
      </c>
      <c r="E7" s="767">
        <f>IF(D7="Selecciona un descriptor de frecuencia."," ",IF(D7="","",VLOOKUP(D7,[11]Datos!$G$8:$J$12,2,FALSE)))</f>
        <v>5</v>
      </c>
      <c r="F7" s="767" t="str">
        <f>IF(D7="Selecciona un descriptor de frecuencia."," ",IF(D7="","",VLOOKUP(D7,[11]Datos!$G$8:$J$12,3,FALSE)))</f>
        <v>Casi Seguro</v>
      </c>
      <c r="G7" s="766" t="s">
        <v>204</v>
      </c>
      <c r="H7" s="767">
        <f>IF(G7="Selecciona un descriptor de impacto."," ",IF(G7="","",VLOOKUP(G7,[11]Datos!$K$8:$L$12,2,FALSE)))</f>
        <v>3</v>
      </c>
      <c r="I7" s="768" t="str">
        <f>IF(D7="Selecciona un descriptor de frecuencia."," ",IF(G7="Selecciona un descriptor de impacto."," ",IF(E7+H7=" ","",IF(E7="","",VLOOKUP(E7,[11]Datos!$U$8:$Z$12,MATCH(H7,[11]Datos!$V$7:$Z$7,0)+1,FALSE)))))</f>
        <v>EXTREMO</v>
      </c>
      <c r="J7" s="769" t="s">
        <v>122</v>
      </c>
      <c r="K7" s="770" t="s">
        <v>1009</v>
      </c>
      <c r="L7" s="771" t="s">
        <v>1010</v>
      </c>
      <c r="M7" s="772">
        <f>[11]Controles!T9</f>
        <v>100</v>
      </c>
      <c r="N7" s="772" t="str">
        <f>[11]Controles!AB9</f>
        <v>No</v>
      </c>
      <c r="O7" s="773">
        <f>[11]Controles!W9</f>
        <v>1</v>
      </c>
      <c r="P7" s="773">
        <f>[11]Controles!X9</f>
        <v>1</v>
      </c>
      <c r="Q7" s="773">
        <f>SUM(O7:O7)</f>
        <v>1</v>
      </c>
      <c r="R7" s="773">
        <f>SUM(P7:P7)</f>
        <v>1</v>
      </c>
      <c r="S7" s="774">
        <f>IF(D7="Selecciona un descriptor de frecuencia."," ",IF(ROUNDUP(E7-Q7,0)&lt;0,1,ROUNDUP(E7-Q7,0)))</f>
        <v>4</v>
      </c>
      <c r="T7" s="774">
        <f>IF(G7="Selecciona un descriptor de impacto."," ",IF(ROUNDUP(H7-R7,0)&lt;0,1,ROUNDUP(H7-R7,0)))</f>
        <v>2</v>
      </c>
      <c r="U7" s="773" t="str">
        <f>IF(D7="Selecciona un descriptor de frecuencia."," ",VLOOKUP(S7,[11]Datos!$H$8:$I$12,2,FALSE))</f>
        <v>Probable</v>
      </c>
      <c r="V7" s="773" t="str">
        <f>IF(G7="Selecciona un descriptor de impacto."," ",VLOOKUP(T7,[11]Datos!$L$8:$M$12,2,FALSE))</f>
        <v>Menor</v>
      </c>
      <c r="W7" s="768" t="str">
        <f>IF(S7=" "," ",VLOOKUP(S7,[11]Datos!$U$8:$Z$12,MATCH(T7,[11]Datos!$V$7:$Z$7,0)+1,FALSE))</f>
        <v>ALTO</v>
      </c>
      <c r="X7" s="766" t="s">
        <v>202</v>
      </c>
      <c r="Y7" s="771" t="s">
        <v>1011</v>
      </c>
      <c r="Z7" s="775" t="s">
        <v>1012</v>
      </c>
      <c r="AA7" s="776" t="s">
        <v>1013</v>
      </c>
      <c r="AB7" s="776" t="s">
        <v>1014</v>
      </c>
      <c r="AC7" s="777" t="s">
        <v>1015</v>
      </c>
      <c r="AD7" s="778"/>
      <c r="AE7" s="778"/>
      <c r="AF7" s="778"/>
      <c r="AG7" s="778"/>
      <c r="AH7" s="778"/>
      <c r="AI7" s="778"/>
      <c r="AJ7" s="778"/>
      <c r="AK7" s="779"/>
    </row>
    <row r="8" spans="1:37" s="799" customFormat="1" ht="56.25" customHeight="1" thickBot="1" x14ac:dyDescent="0.25">
      <c r="A8" s="781">
        <f>'[11]Identificación del Riesgo D'!D10</f>
        <v>2</v>
      </c>
      <c r="B8" s="782" t="str">
        <f>'[11]Identificación del Riesgo D'!E10</f>
        <v>Incumplimientos de la normatividad de Transparencia y acceso a la información pública</v>
      </c>
      <c r="C8" s="782" t="str">
        <f>'[11]Identificación del Riesgo D'!H10</f>
        <v>No se ha determinado en el procedimiento de divulgación el ciclo de vida de las publicaciones.</v>
      </c>
      <c r="D8" s="783" t="s">
        <v>210</v>
      </c>
      <c r="E8" s="784">
        <f>IF(D8="Selecciona un descriptor de frecuencia."," ",IF(D8="","",VLOOKUP(D8,[11]Datos!$G$8:$J$12,2,FALSE)))</f>
        <v>3</v>
      </c>
      <c r="F8" s="784" t="str">
        <f>IF(D8="Selecciona un descriptor de frecuencia."," ",IF(D8="","",VLOOKUP(D8,[11]Datos!$G$8:$J$12,3,FALSE)))</f>
        <v>Posible</v>
      </c>
      <c r="G8" s="783" t="s">
        <v>199</v>
      </c>
      <c r="H8" s="785">
        <f>IF(G8="","",VLOOKUP(G8,[11]Datos!$K$8:$L$12,2,FALSE))</f>
        <v>4</v>
      </c>
      <c r="I8" s="786" t="str">
        <f>IF(D8="Selecciona un descriptor de frecuencia."," ",IF(G8="Selecciona un descriptor de impacto."," ",IF(E8+H8=" ","",IF(E8="","",VLOOKUP(E8,[11]Datos!$U$8:$Z$12,MATCH(H8,[11]Datos!$V$7:$Z$7,0)+1,FALSE)))))</f>
        <v>EXTREMO</v>
      </c>
      <c r="J8" s="783" t="s">
        <v>122</v>
      </c>
      <c r="K8" s="787" t="s">
        <v>1009</v>
      </c>
      <c r="L8" s="788" t="s">
        <v>1010</v>
      </c>
      <c r="M8" s="789">
        <f>[11]Controles!T10</f>
        <v>100</v>
      </c>
      <c r="N8" s="789" t="str">
        <f>[11]Controles!AB10</f>
        <v>No</v>
      </c>
      <c r="O8" s="790">
        <f>[11]Controles!W10</f>
        <v>1</v>
      </c>
      <c r="P8" s="790">
        <f>[11]Controles!X10</f>
        <v>1</v>
      </c>
      <c r="Q8" s="791">
        <f>SUM(O8:O8)</f>
        <v>1</v>
      </c>
      <c r="R8" s="791">
        <f>SUM(P8:P8)</f>
        <v>1</v>
      </c>
      <c r="S8" s="792">
        <f t="shared" ref="S8" si="0">IF(D8="Selecciona un descriptor de frecuencia."," ",IF(ROUNDUP(E8-Q8,0)&lt;0,1,ROUNDUP(E8-Q8,0)))</f>
        <v>2</v>
      </c>
      <c r="T8" s="792">
        <f t="shared" ref="T8" si="1">IF(G8="Selecciona un descriptor de impacto."," ",IF(ROUNDUP(H8-R8,0)&lt;0,1,ROUNDUP(H8-R8,0)))</f>
        <v>3</v>
      </c>
      <c r="U8" s="790" t="str">
        <f>IF(D8="Selecciona un descriptor de frecuencia."," ",VLOOKUP(S8,[11]Datos!$H$8:$I$12,2,FALSE))</f>
        <v>Improbable</v>
      </c>
      <c r="V8" s="790" t="str">
        <f>IF(G8="Selecciona un descriptor de impacto."," ",VLOOKUP(T8,[11]Datos!$L$8:$M$12,2,FALSE))</f>
        <v>Moderado</v>
      </c>
      <c r="W8" s="786" t="str">
        <f>IF(S8=" "," ",VLOOKUP(S8,[11]Datos!$U$8:$Z$12,MATCH(T8,[11]Datos!$V$7:$Z$7,0)+1,FALSE))</f>
        <v>MODERADO</v>
      </c>
      <c r="X8" s="766" t="s">
        <v>202</v>
      </c>
      <c r="Y8" s="793" t="s">
        <v>1016</v>
      </c>
      <c r="Z8" s="794" t="s">
        <v>1017</v>
      </c>
      <c r="AA8" s="795">
        <v>44256</v>
      </c>
      <c r="AB8" s="795">
        <v>44285</v>
      </c>
      <c r="AC8" s="796" t="s">
        <v>1018</v>
      </c>
      <c r="AD8" s="797"/>
      <c r="AE8" s="797"/>
      <c r="AF8" s="797"/>
      <c r="AG8" s="797"/>
      <c r="AH8" s="797"/>
      <c r="AI8" s="797"/>
      <c r="AJ8" s="797"/>
      <c r="AK8" s="798"/>
    </row>
  </sheetData>
  <mergeCells count="9">
    <mergeCell ref="A1:C4"/>
    <mergeCell ref="D1:AJ4"/>
    <mergeCell ref="AK1:AK2"/>
    <mergeCell ref="AK3:AK4"/>
    <mergeCell ref="A5:I5"/>
    <mergeCell ref="K5:P5"/>
    <mergeCell ref="Q5:X5"/>
    <mergeCell ref="Y5:AC5"/>
    <mergeCell ref="AD5:AI5"/>
  </mergeCells>
  <conditionalFormatting sqref="I7:J8 W7:X8">
    <cfRule type="cellIs" dxfId="79" priority="1" operator="equal">
      <formula>"Extremo"</formula>
    </cfRule>
    <cfRule type="cellIs" dxfId="78" priority="2" operator="equal">
      <formula>"Moderado"</formula>
    </cfRule>
    <cfRule type="cellIs" dxfId="77" priority="3" operator="equal">
      <formula>"Bajo"</formula>
    </cfRule>
    <cfRule type="cellIs" dxfId="76" priority="4" operator="equal">
      <formula>"Alto"</formula>
    </cfRule>
  </conditionalFormatting>
  <dataValidations count="1">
    <dataValidation type="list" allowBlank="1" showInputMessage="1" showErrorMessage="1" sqref="J7:J8" xr:uid="{00000000-0002-0000-4700-000000000000}">
      <formula1>"SI,NO"</formula1>
    </dataValidation>
  </dataValidations>
  <pageMargins left="7.874015748031496E-2" right="7.874015748031496E-2" top="1.1417322834645669" bottom="0.15748031496062992" header="0.31496062992125984" footer="0.31496062992125984"/>
  <pageSetup scale="38" orientation="landscape" horizontalDpi="1200" verticalDpi="1200" r:id="rId1"/>
  <headerFooter>
    <oddHeader>&amp;L&amp;G&amp;C
&amp;"-,Negrita"Matriz de Riesgos</oddHeader>
  </headerFooter>
  <colBreaks count="2" manualBreakCount="2">
    <brk id="16" max="1048575" man="1"/>
    <brk id="29" max="1048575" man="1"/>
  </col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700-000001000000}">
          <x14:formula1>
            <xm:f>'C:\Users\sgomez.UPME\Documents\UPME 2020\Documents\Mapas de riesgos\[Mapa de Riesgos. Divulgación.xlsx]Datos'!#REF!</xm:f>
          </x14:formula1>
          <xm:sqref>G7:G8 X7:X8 D7:D8</xm:sqref>
        </x14:dataValidation>
      </x14:dataValidations>
    </ext>
  </extLs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BEAE25"/>
  </sheetPr>
  <dimension ref="A1:X8"/>
  <sheetViews>
    <sheetView showGridLines="0" view="pageBreakPreview" topLeftCell="A5" zoomScale="115" zoomScaleNormal="100" zoomScaleSheetLayoutView="115" workbookViewId="0">
      <selection activeCell="E7" sqref="E7"/>
    </sheetView>
  </sheetViews>
  <sheetFormatPr baseColWidth="10" defaultRowHeight="15" x14ac:dyDescent="0.25"/>
  <cols>
    <col min="1" max="1" width="5.625" style="743" customWidth="1"/>
    <col min="2" max="2" width="21.625" style="743" customWidth="1"/>
    <col min="3" max="3" width="15.75" style="743" customWidth="1"/>
    <col min="4" max="4" width="17.875" style="743" customWidth="1"/>
    <col min="5" max="11" width="16.625" style="743" customWidth="1"/>
    <col min="12" max="12" width="21.375" style="743" customWidth="1"/>
    <col min="13" max="14" width="16.625" style="743" customWidth="1"/>
    <col min="15" max="15" width="18.5" style="743" customWidth="1"/>
    <col min="16" max="16" width="16.625" style="743" customWidth="1"/>
    <col min="17" max="23" width="13.75" style="743" customWidth="1"/>
    <col min="24" max="24" width="9.125" style="746" bestFit="1" customWidth="1"/>
    <col min="25" max="26" width="25.625" style="743" customWidth="1"/>
    <col min="27" max="16384" width="11" style="743"/>
  </cols>
  <sheetData>
    <row r="1" spans="1:24" ht="15" customHeight="1" x14ac:dyDescent="0.25">
      <c r="A1" s="1610"/>
      <c r="B1" s="1611"/>
      <c r="C1" s="1611"/>
      <c r="D1" s="1612"/>
      <c r="E1" s="1615" t="s">
        <v>0</v>
      </c>
      <c r="F1" s="1616"/>
      <c r="G1" s="1616"/>
      <c r="H1" s="1616"/>
      <c r="I1" s="1616"/>
      <c r="J1" s="1616"/>
      <c r="K1" s="1616"/>
      <c r="L1" s="1616"/>
      <c r="M1" s="1616"/>
      <c r="N1" s="1616"/>
      <c r="O1" s="1616"/>
      <c r="P1" s="1616"/>
      <c r="Q1" s="1616"/>
      <c r="R1" s="1616"/>
      <c r="S1" s="1616"/>
      <c r="T1" s="1617"/>
      <c r="U1" s="1621" t="s">
        <v>98</v>
      </c>
      <c r="V1" s="1622"/>
      <c r="W1" s="1622"/>
      <c r="X1" s="1623"/>
    </row>
    <row r="2" spans="1:24" ht="15" customHeight="1" x14ac:dyDescent="0.25">
      <c r="A2" s="1613"/>
      <c r="B2" s="1614"/>
      <c r="C2" s="1614"/>
      <c r="D2" s="1568"/>
      <c r="E2" s="1618"/>
      <c r="F2" s="1619"/>
      <c r="G2" s="1619"/>
      <c r="H2" s="1619"/>
      <c r="I2" s="1619"/>
      <c r="J2" s="1619"/>
      <c r="K2" s="1619"/>
      <c r="L2" s="1619"/>
      <c r="M2" s="1619"/>
      <c r="N2" s="1619"/>
      <c r="O2" s="1619"/>
      <c r="P2" s="1619"/>
      <c r="Q2" s="1619"/>
      <c r="R2" s="1619"/>
      <c r="S2" s="1619"/>
      <c r="T2" s="1620"/>
      <c r="U2" s="1624"/>
      <c r="V2" s="1625"/>
      <c r="W2" s="1625"/>
      <c r="X2" s="1626"/>
    </row>
    <row r="3" spans="1:24" ht="15" customHeight="1" x14ac:dyDescent="0.25">
      <c r="A3" s="1613"/>
      <c r="B3" s="1614"/>
      <c r="C3" s="1614"/>
      <c r="D3" s="1568"/>
      <c r="E3" s="1618"/>
      <c r="F3" s="1619"/>
      <c r="G3" s="1619"/>
      <c r="H3" s="1619"/>
      <c r="I3" s="1619"/>
      <c r="J3" s="1619"/>
      <c r="K3" s="1619"/>
      <c r="L3" s="1619"/>
      <c r="M3" s="1619"/>
      <c r="N3" s="1619"/>
      <c r="O3" s="1619"/>
      <c r="P3" s="1619"/>
      <c r="Q3" s="1619"/>
      <c r="R3" s="1619"/>
      <c r="S3" s="1619"/>
      <c r="T3" s="1620"/>
      <c r="U3" s="1621" t="s">
        <v>367</v>
      </c>
      <c r="V3" s="1622"/>
      <c r="W3" s="1622"/>
      <c r="X3" s="1622"/>
    </row>
    <row r="4" spans="1:24" ht="15" customHeight="1" x14ac:dyDescent="0.25">
      <c r="A4" s="1613"/>
      <c r="B4" s="1614"/>
      <c r="C4" s="1614"/>
      <c r="D4" s="1568"/>
      <c r="E4" s="1618"/>
      <c r="F4" s="1619"/>
      <c r="G4" s="1619"/>
      <c r="H4" s="1619"/>
      <c r="I4" s="1619"/>
      <c r="J4" s="1619"/>
      <c r="K4" s="1619"/>
      <c r="L4" s="1619"/>
      <c r="M4" s="1619"/>
      <c r="N4" s="1619"/>
      <c r="O4" s="1619"/>
      <c r="P4" s="1619"/>
      <c r="Q4" s="1619"/>
      <c r="R4" s="1619"/>
      <c r="S4" s="1619"/>
      <c r="T4" s="1620"/>
      <c r="U4" s="1627"/>
      <c r="V4" s="1628"/>
      <c r="W4" s="1628"/>
      <c r="X4" s="1628"/>
    </row>
    <row r="5" spans="1:24" ht="15" customHeight="1" x14ac:dyDescent="0.25">
      <c r="A5" s="1560" t="s">
        <v>100</v>
      </c>
      <c r="B5" s="1560"/>
      <c r="C5" s="1560"/>
      <c r="D5" s="1629"/>
      <c r="E5" s="1591" t="s">
        <v>101</v>
      </c>
      <c r="F5" s="1592"/>
      <c r="G5" s="1592"/>
      <c r="H5" s="1592"/>
      <c r="I5" s="1592"/>
      <c r="J5" s="1592"/>
      <c r="K5" s="1592"/>
      <c r="L5" s="1592"/>
      <c r="M5" s="1592"/>
      <c r="N5" s="1592"/>
      <c r="O5" s="1592"/>
      <c r="P5" s="1592"/>
      <c r="Q5" s="1592"/>
      <c r="R5" s="1592"/>
      <c r="S5" s="1592"/>
      <c r="T5" s="1592"/>
      <c r="U5" s="1592"/>
      <c r="V5" s="1592"/>
      <c r="W5" s="1592"/>
      <c r="X5" s="1593"/>
    </row>
    <row r="6" spans="1:24" s="804" customFormat="1" ht="114.75" customHeight="1" x14ac:dyDescent="0.2">
      <c r="A6" s="749" t="s">
        <v>44</v>
      </c>
      <c r="B6" s="803" t="s">
        <v>64</v>
      </c>
      <c r="C6" s="803" t="s">
        <v>70</v>
      </c>
      <c r="D6" s="803" t="s">
        <v>69</v>
      </c>
      <c r="E6" s="749" t="s">
        <v>102</v>
      </c>
      <c r="F6" s="749" t="s">
        <v>103</v>
      </c>
      <c r="G6" s="749" t="s">
        <v>104</v>
      </c>
      <c r="H6" s="749" t="s">
        <v>105</v>
      </c>
      <c r="I6" s="803" t="s">
        <v>106</v>
      </c>
      <c r="J6" s="803" t="s">
        <v>107</v>
      </c>
      <c r="K6" s="803" t="s">
        <v>108</v>
      </c>
      <c r="L6" s="803" t="s">
        <v>793</v>
      </c>
      <c r="M6" s="803" t="s">
        <v>110</v>
      </c>
      <c r="N6" s="803" t="s">
        <v>111</v>
      </c>
      <c r="O6" s="803" t="s">
        <v>112</v>
      </c>
      <c r="P6" s="803" t="s">
        <v>113</v>
      </c>
      <c r="Q6" s="803" t="s">
        <v>114</v>
      </c>
      <c r="R6" s="803" t="s">
        <v>115</v>
      </c>
      <c r="S6" s="803" t="s">
        <v>116</v>
      </c>
      <c r="T6" s="803" t="s">
        <v>117</v>
      </c>
      <c r="U6" s="803" t="s">
        <v>118</v>
      </c>
      <c r="V6" s="803" t="s">
        <v>119</v>
      </c>
      <c r="W6" s="803" t="s">
        <v>120</v>
      </c>
      <c r="X6" s="803" t="s">
        <v>121</v>
      </c>
    </row>
    <row r="7" spans="1:24" s="809" customFormat="1" ht="111" customHeight="1" x14ac:dyDescent="0.2">
      <c r="A7" s="805">
        <f>'[11]Identificación del Riesgo D'!D9</f>
        <v>1</v>
      </c>
      <c r="B7" s="805" t="str">
        <f>'[11]Identificación del Riesgo D'!E9</f>
        <v>Incumplimiento del procedimiento de de divulgación.</v>
      </c>
      <c r="C7" s="756" t="str">
        <f>IF(D7="PENDIENTE EVALUAR EL IMPACTO","PENDIENTE EVALUAR EL IMPACTO COLUMNAS H-W",VLOOKUP(D7,[11]Datos!$K$8:$L$12,2,FALSE))</f>
        <v>PENDIENTE EVALUAR EL IMPACTO COLUMNAS H-W</v>
      </c>
      <c r="D7" s="756" t="str">
        <f>IF(X7=0,"PENDIENTE EVALUAR EL IMPACTO",IF(X7&lt;=5,"MODERADO",IF(X7&lt;=11,"MAYOR","CATASTRÓFICO")))</f>
        <v>PENDIENTE EVALUAR EL IMPACTO</v>
      </c>
      <c r="E7" s="806"/>
      <c r="F7" s="806"/>
      <c r="G7" s="806"/>
      <c r="H7" s="806"/>
      <c r="I7" s="807"/>
      <c r="J7" s="807"/>
      <c r="K7" s="807"/>
      <c r="L7" s="807"/>
      <c r="M7" s="807"/>
      <c r="N7" s="807"/>
      <c r="O7" s="807"/>
      <c r="P7" s="807"/>
      <c r="Q7" s="807"/>
      <c r="R7" s="807"/>
      <c r="S7" s="807"/>
      <c r="T7" s="807"/>
      <c r="U7" s="807"/>
      <c r="V7" s="807"/>
      <c r="W7" s="807"/>
      <c r="X7" s="808">
        <f>COUNTIF(E7:W7,"SI")</f>
        <v>0</v>
      </c>
    </row>
    <row r="8" spans="1:24" ht="84.75" customHeight="1" x14ac:dyDescent="0.25">
      <c r="A8" s="805">
        <f>'[11]Identificación del Riesgo D'!D10</f>
        <v>2</v>
      </c>
      <c r="B8" s="805" t="str">
        <f>'[11]Identificación del Riesgo D'!E10</f>
        <v>Incumplimientos de la normatividad de Transparencia y acceso a la información pública</v>
      </c>
      <c r="C8" s="756">
        <f>IF(D8="PENDIENTE EVALUAR EL IMPACTO","PENDIENTE EVALUAR EL IMPACTO COLUMNAS H-W",VLOOKUP(D8,[11]Datos!$K$8:$L$12,2,FALSE))</f>
        <v>4</v>
      </c>
      <c r="D8" s="805" t="str">
        <f>IF(X8=0,"PENDIENTE EVALUAR EL IMPACTO",IF(X8&lt;=5,"MODERADO",IF(X8&lt;=11,"MAYOR","CATASTRÓFICO")))</f>
        <v>MAYOR</v>
      </c>
      <c r="E8" s="810" t="s">
        <v>122</v>
      </c>
      <c r="F8" s="810" t="s">
        <v>122</v>
      </c>
      <c r="G8" s="810" t="s">
        <v>122</v>
      </c>
      <c r="H8" s="810" t="s">
        <v>122</v>
      </c>
      <c r="I8" s="754" t="s">
        <v>122</v>
      </c>
      <c r="J8" s="754" t="s">
        <v>263</v>
      </c>
      <c r="K8" s="754" t="s">
        <v>122</v>
      </c>
      <c r="L8" s="754" t="s">
        <v>263</v>
      </c>
      <c r="M8" s="754" t="s">
        <v>263</v>
      </c>
      <c r="N8" s="754" t="s">
        <v>122</v>
      </c>
      <c r="O8" s="754" t="s">
        <v>122</v>
      </c>
      <c r="P8" s="754" t="s">
        <v>122</v>
      </c>
      <c r="Q8" s="754" t="s">
        <v>263</v>
      </c>
      <c r="R8" s="754" t="s">
        <v>263</v>
      </c>
      <c r="S8" s="754" t="s">
        <v>122</v>
      </c>
      <c r="T8" s="754" t="s">
        <v>263</v>
      </c>
      <c r="U8" s="754" t="s">
        <v>263</v>
      </c>
      <c r="V8" s="754" t="s">
        <v>122</v>
      </c>
      <c r="W8" s="754" t="s">
        <v>263</v>
      </c>
      <c r="X8" s="808">
        <f t="shared" ref="X8" si="0">COUNTIF(E8:W8,"SI")</f>
        <v>11</v>
      </c>
    </row>
  </sheetData>
  <mergeCells count="6">
    <mergeCell ref="A1:D4"/>
    <mergeCell ref="E1:T4"/>
    <mergeCell ref="U1:X2"/>
    <mergeCell ref="U3:X4"/>
    <mergeCell ref="A5:D5"/>
    <mergeCell ref="E5:X5"/>
  </mergeCells>
  <dataValidations count="1">
    <dataValidation type="list" allowBlank="1" showInputMessage="1" showErrorMessage="1" sqref="E7:W8" xr:uid="{00000000-0002-0000-4800-000000000000}">
      <formula1>"SI,NO"</formula1>
    </dataValidation>
  </dataValidations>
  <pageMargins left="0.51181102362204722" right="0.70866141732283472" top="1.1417322834645669" bottom="0.74803149606299213" header="0.31496062992125984" footer="0.31496062992125984"/>
  <pageSetup scale="35" orientation="landscape" horizontalDpi="1200" verticalDpi="1200" r:id="rId1"/>
  <headerFooter>
    <oddHeader>&amp;L&amp;G&amp;C
&amp;"-,Negrita"Matriz de Riesgos</oddHeader>
  </headerFooter>
  <colBreaks count="1" manualBreakCount="1">
    <brk id="4" max="1048575" man="1"/>
  </colBreaks>
  <drawing r:id="rId2"/>
  <legacyDrawing r:id="rId3"/>
  <legacyDrawingHF r:id="rId4"/>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AD10"/>
  <sheetViews>
    <sheetView topLeftCell="U7" zoomScaleNormal="100" zoomScaleSheetLayoutView="160" workbookViewId="0">
      <selection activeCell="AB10" sqref="AB10"/>
    </sheetView>
  </sheetViews>
  <sheetFormatPr baseColWidth="10" defaultColWidth="10" defaultRowHeight="12.75" x14ac:dyDescent="0.2"/>
  <cols>
    <col min="1" max="1" width="6.625" style="811" customWidth="1"/>
    <col min="2" max="2" width="16.75" style="811" customWidth="1"/>
    <col min="3" max="3" width="47.5" style="811" customWidth="1"/>
    <col min="4" max="4" width="22" style="763" customWidth="1"/>
    <col min="5" max="5" width="38" style="763" customWidth="1"/>
    <col min="6" max="10" width="21.75" style="811" customWidth="1"/>
    <col min="11" max="11" width="33.875" style="811" customWidth="1"/>
    <col min="12" max="12" width="21.75" style="811" customWidth="1"/>
    <col min="13" max="17" width="19.25" style="825" hidden="1" customWidth="1"/>
    <col min="18" max="18" width="22.625" style="825" hidden="1" customWidth="1"/>
    <col min="19" max="19" width="19.25" style="825" hidden="1" customWidth="1"/>
    <col min="20" max="20" width="8" style="825" customWidth="1"/>
    <col min="21" max="22" width="18.125" style="825" customWidth="1"/>
    <col min="23" max="23" width="17.75" style="825" customWidth="1"/>
    <col min="24" max="24" width="16.25" style="825" customWidth="1"/>
    <col min="25" max="25" width="15.25" style="825" customWidth="1"/>
    <col min="26" max="26" width="18.875" style="825" customWidth="1"/>
    <col min="27" max="27" width="15.625" style="825" customWidth="1"/>
    <col min="28" max="28" width="23.125" style="825" customWidth="1"/>
    <col min="29" max="29" width="22.25" style="826" customWidth="1"/>
    <col min="30" max="30" width="26.5" style="826" customWidth="1"/>
    <col min="31" max="16384" width="10" style="811"/>
  </cols>
  <sheetData>
    <row r="1" spans="1:30" ht="15.75" customHeight="1" x14ac:dyDescent="0.2">
      <c r="A1" s="1630"/>
      <c r="B1" s="1630"/>
      <c r="C1" s="1630"/>
      <c r="D1" s="1631" t="s">
        <v>0</v>
      </c>
      <c r="E1" s="1631"/>
      <c r="F1" s="1631"/>
      <c r="G1" s="1631"/>
      <c r="H1" s="1631"/>
      <c r="I1" s="1631"/>
      <c r="J1" s="1631"/>
      <c r="K1" s="1631"/>
      <c r="L1" s="1631"/>
      <c r="M1" s="1631"/>
      <c r="N1" s="1631"/>
      <c r="O1" s="1631"/>
      <c r="P1" s="1631"/>
      <c r="Q1" s="1631"/>
      <c r="R1" s="1631"/>
      <c r="S1" s="1631"/>
      <c r="T1" s="1631"/>
      <c r="U1" s="1631"/>
      <c r="V1" s="1631"/>
      <c r="W1" s="1631"/>
      <c r="X1" s="1631"/>
      <c r="Y1" s="1631"/>
      <c r="Z1" s="1631"/>
      <c r="AA1" s="1631"/>
      <c r="AB1" s="1631"/>
      <c r="AC1" s="1632" t="s">
        <v>128</v>
      </c>
      <c r="AD1" s="1632"/>
    </row>
    <row r="2" spans="1:30" ht="15.75" customHeight="1" x14ac:dyDescent="0.2">
      <c r="A2" s="1630"/>
      <c r="B2" s="1630"/>
      <c r="C2" s="1630"/>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2"/>
      <c r="AD2" s="1632"/>
    </row>
    <row r="3" spans="1:30" ht="15.75" customHeight="1" x14ac:dyDescent="0.2">
      <c r="A3" s="1630"/>
      <c r="B3" s="1630"/>
      <c r="C3" s="1630"/>
      <c r="D3" s="1631"/>
      <c r="E3" s="1631"/>
      <c r="F3" s="1631"/>
      <c r="G3" s="1631"/>
      <c r="H3" s="1631"/>
      <c r="I3" s="1631"/>
      <c r="J3" s="1631"/>
      <c r="K3" s="1631"/>
      <c r="L3" s="1631"/>
      <c r="M3" s="1631"/>
      <c r="N3" s="1631"/>
      <c r="O3" s="1631"/>
      <c r="P3" s="1631"/>
      <c r="Q3" s="1631"/>
      <c r="R3" s="1631"/>
      <c r="S3" s="1631"/>
      <c r="T3" s="1631"/>
      <c r="U3" s="1631"/>
      <c r="V3" s="1631"/>
      <c r="W3" s="1631"/>
      <c r="X3" s="1631"/>
      <c r="Y3" s="1631"/>
      <c r="Z3" s="1631"/>
      <c r="AA3" s="1631"/>
      <c r="AB3" s="1631"/>
      <c r="AC3" s="1632" t="s">
        <v>2</v>
      </c>
      <c r="AD3" s="1632"/>
    </row>
    <row r="4" spans="1:30" ht="15.75" customHeight="1" x14ac:dyDescent="0.2">
      <c r="A4" s="1630"/>
      <c r="B4" s="1630"/>
      <c r="C4" s="1630"/>
      <c r="D4" s="1631"/>
      <c r="E4" s="1631"/>
      <c r="F4" s="1631"/>
      <c r="G4" s="1631"/>
      <c r="H4" s="1631"/>
      <c r="I4" s="1631"/>
      <c r="J4" s="1631"/>
      <c r="K4" s="1631"/>
      <c r="L4" s="1631"/>
      <c r="M4" s="1631"/>
      <c r="N4" s="1631"/>
      <c r="O4" s="1631"/>
      <c r="P4" s="1631"/>
      <c r="Q4" s="1631"/>
      <c r="R4" s="1631"/>
      <c r="S4" s="1631"/>
      <c r="T4" s="1631"/>
      <c r="U4" s="1631"/>
      <c r="V4" s="1631"/>
      <c r="W4" s="1631"/>
      <c r="X4" s="1631"/>
      <c r="Y4" s="1631"/>
      <c r="Z4" s="1631"/>
      <c r="AA4" s="1631"/>
      <c r="AB4" s="1631"/>
      <c r="AC4" s="1632"/>
      <c r="AD4" s="1632"/>
    </row>
    <row r="5" spans="1:30" ht="15.75" customHeight="1" x14ac:dyDescent="0.2">
      <c r="A5" s="1585" t="s">
        <v>36</v>
      </c>
      <c r="B5" s="1586"/>
      <c r="C5" s="1587"/>
      <c r="D5" s="1633" t="s">
        <v>1000</v>
      </c>
      <c r="E5" s="1634"/>
      <c r="F5" s="1634"/>
      <c r="G5" s="1634"/>
      <c r="H5" s="1634"/>
      <c r="I5" s="1634"/>
      <c r="J5" s="1634"/>
      <c r="K5" s="1634"/>
      <c r="L5" s="1634"/>
      <c r="M5" s="1634"/>
      <c r="N5" s="1634"/>
      <c r="O5" s="1634"/>
      <c r="P5" s="1634"/>
      <c r="Q5" s="1634"/>
      <c r="R5" s="1634"/>
      <c r="S5" s="1634"/>
      <c r="T5" s="1634"/>
      <c r="U5" s="1634"/>
      <c r="V5" s="1634"/>
      <c r="W5" s="1634"/>
      <c r="X5" s="1634"/>
      <c r="Y5" s="1634"/>
      <c r="Z5" s="1634"/>
      <c r="AA5" s="1634"/>
      <c r="AB5" s="1634"/>
      <c r="AC5" s="1634"/>
      <c r="AD5" s="1634"/>
    </row>
    <row r="6" spans="1:30" ht="15.75" customHeight="1" thickBot="1" x14ac:dyDescent="0.25">
      <c r="A6" s="1585" t="s">
        <v>37</v>
      </c>
      <c r="B6" s="1586"/>
      <c r="C6" s="1587"/>
      <c r="D6" s="1633"/>
      <c r="E6" s="1634"/>
      <c r="F6" s="1634"/>
      <c r="G6" s="1634"/>
      <c r="H6" s="1634"/>
      <c r="I6" s="1634"/>
      <c r="J6" s="1634"/>
      <c r="K6" s="1634"/>
      <c r="L6" s="1634"/>
      <c r="M6" s="1634"/>
      <c r="N6" s="1634"/>
      <c r="O6" s="1634"/>
      <c r="P6" s="1634"/>
      <c r="Q6" s="1634"/>
      <c r="R6" s="1634"/>
      <c r="S6" s="1634"/>
      <c r="T6" s="1634"/>
      <c r="U6" s="1634"/>
      <c r="V6" s="1634"/>
      <c r="W6" s="1634"/>
      <c r="X6" s="1634"/>
      <c r="Y6" s="1634"/>
      <c r="Z6" s="1634"/>
      <c r="AA6" s="1634"/>
      <c r="AB6" s="1634"/>
      <c r="AC6" s="1634"/>
      <c r="AD6" s="1634"/>
    </row>
    <row r="7" spans="1:30" ht="15" customHeight="1" x14ac:dyDescent="0.2">
      <c r="A7" s="1635" t="s">
        <v>129</v>
      </c>
      <c r="B7" s="1636"/>
      <c r="C7" s="1636"/>
      <c r="D7" s="1636"/>
      <c r="E7" s="1636"/>
      <c r="F7" s="1636"/>
      <c r="G7" s="1636"/>
      <c r="H7" s="1636"/>
      <c r="I7" s="1636"/>
      <c r="J7" s="1636"/>
      <c r="K7" s="1636"/>
      <c r="L7" s="1636"/>
      <c r="M7" s="1636" t="s">
        <v>75</v>
      </c>
      <c r="N7" s="1636"/>
      <c r="O7" s="1636"/>
      <c r="P7" s="1636"/>
      <c r="Q7" s="1636"/>
      <c r="R7" s="1636"/>
      <c r="S7" s="1636"/>
      <c r="T7" s="1636"/>
      <c r="U7" s="1636"/>
      <c r="V7" s="1636"/>
      <c r="W7" s="1636"/>
      <c r="X7" s="1636"/>
      <c r="Y7" s="1636"/>
      <c r="Z7" s="1637" t="s">
        <v>130</v>
      </c>
      <c r="AA7" s="1637"/>
      <c r="AB7" s="1637"/>
      <c r="AC7" s="1638" t="s">
        <v>131</v>
      </c>
      <c r="AD7" s="1639"/>
    </row>
    <row r="8" spans="1:30" ht="51" x14ac:dyDescent="0.2">
      <c r="A8" s="812" t="s">
        <v>44</v>
      </c>
      <c r="B8" s="813" t="s">
        <v>64</v>
      </c>
      <c r="C8" s="813" t="s">
        <v>132</v>
      </c>
      <c r="D8" s="813" t="s">
        <v>73</v>
      </c>
      <c r="E8" s="813" t="s">
        <v>133</v>
      </c>
      <c r="F8" s="813" t="s">
        <v>134</v>
      </c>
      <c r="G8" s="813" t="s">
        <v>135</v>
      </c>
      <c r="H8" s="813" t="s">
        <v>136</v>
      </c>
      <c r="I8" s="813" t="s">
        <v>137</v>
      </c>
      <c r="J8" s="813" t="s">
        <v>138</v>
      </c>
      <c r="K8" s="813" t="s">
        <v>139</v>
      </c>
      <c r="L8" s="813" t="s">
        <v>140</v>
      </c>
      <c r="M8" s="813" t="s">
        <v>134</v>
      </c>
      <c r="N8" s="813" t="s">
        <v>135</v>
      </c>
      <c r="O8" s="813" t="s">
        <v>141</v>
      </c>
      <c r="P8" s="813" t="s">
        <v>137</v>
      </c>
      <c r="Q8" s="813" t="s">
        <v>138</v>
      </c>
      <c r="R8" s="813" t="s">
        <v>139</v>
      </c>
      <c r="S8" s="813" t="s">
        <v>140</v>
      </c>
      <c r="T8" s="814" t="s">
        <v>121</v>
      </c>
      <c r="U8" s="813" t="s">
        <v>142</v>
      </c>
      <c r="V8" s="813" t="s">
        <v>143</v>
      </c>
      <c r="W8" s="813" t="s">
        <v>142</v>
      </c>
      <c r="X8" s="813" t="s">
        <v>143</v>
      </c>
      <c r="Y8" s="813" t="s">
        <v>144</v>
      </c>
      <c r="Z8" s="813" t="s">
        <v>145</v>
      </c>
      <c r="AA8" s="813" t="s">
        <v>146</v>
      </c>
      <c r="AB8" s="813" t="s">
        <v>76</v>
      </c>
      <c r="AC8" s="813" t="s">
        <v>147</v>
      </c>
      <c r="AD8" s="815" t="s">
        <v>148</v>
      </c>
    </row>
    <row r="9" spans="1:30" s="780" customFormat="1" ht="162" customHeight="1" x14ac:dyDescent="0.2">
      <c r="A9" s="816">
        <f>'[11]Identificación del Riesgo D'!D9</f>
        <v>1</v>
      </c>
      <c r="B9" s="654" t="str">
        <f>'[11]Identificación del Riesgo D'!E9</f>
        <v>Incumplimiento del procedimiento de de divulgación.</v>
      </c>
      <c r="C9" s="817" t="str">
        <f>'[11]Identificación del Riesgo D'!H9</f>
        <v>El procedimiento actual no define las tipificaciones necesarias de las excepciones que conlleve a priorizar las fechas de las publicaciones.
Posibles incumplimientos del procedimiento de divulgación por parte de los funcionarios responsables de la publicación.
Falta de socialización del procedimiento de divulgación en los funcionarios de la entidad.</v>
      </c>
      <c r="D9" s="654" t="str">
        <f>'[11]Analisis Riesgo'!K7</f>
        <v>P-DI-04 Procedimiento Publicaciones Web</v>
      </c>
      <c r="E9" s="654" t="str">
        <f>'[11]Analisis Riesgo'!L7</f>
        <v>Determina los lineamientos para realizar la publicación estandarizada de documentos, definiendo las interacciones entre los procesos</v>
      </c>
      <c r="F9" s="818" t="s">
        <v>296</v>
      </c>
      <c r="G9" s="818" t="s">
        <v>299</v>
      </c>
      <c r="H9" s="818" t="s">
        <v>300</v>
      </c>
      <c r="I9" s="818" t="s">
        <v>301</v>
      </c>
      <c r="J9" s="818" t="s">
        <v>302</v>
      </c>
      <c r="K9" s="819" t="s">
        <v>303</v>
      </c>
      <c r="L9" s="818" t="s">
        <v>304</v>
      </c>
      <c r="M9" s="820">
        <f>IF(F9="Asignado", 15,0)</f>
        <v>15</v>
      </c>
      <c r="N9" s="820">
        <f>IF(G9="Adecuado",15,0)</f>
        <v>15</v>
      </c>
      <c r="O9" s="820">
        <f t="shared" ref="O9:O10" si="0">IF(H9="Oportuna",15,0)</f>
        <v>15</v>
      </c>
      <c r="P9" s="820">
        <f t="shared" ref="P9:P10" si="1">IF(I9="Prevenir",15,IF(I9="Detectar",10,0))</f>
        <v>15</v>
      </c>
      <c r="Q9" s="820">
        <f t="shared" ref="Q9:Q10" si="2">IF(J9="Confiable", 15,0)</f>
        <v>15</v>
      </c>
      <c r="R9" s="820">
        <f>IF(K9="Se investigan y resuelven oportunamente", 15,0)</f>
        <v>15</v>
      </c>
      <c r="S9" s="820">
        <f t="shared" ref="S9:S10" si="3">IF(L9="Completa",10,IF(L9="Incompleta",5,0))</f>
        <v>10</v>
      </c>
      <c r="T9" s="820">
        <f>SUM(M9:S9)</f>
        <v>100</v>
      </c>
      <c r="U9" s="818" t="s">
        <v>122</v>
      </c>
      <c r="V9" s="818" t="s">
        <v>122</v>
      </c>
      <c r="W9" s="820">
        <f t="shared" ref="W9:W10" si="4">IF(U9="SI",1,0)*T9/100</f>
        <v>1</v>
      </c>
      <c r="X9" s="820">
        <f t="shared" ref="X9:X10" si="5">IF(V9="SI",1,0)*T9/100</f>
        <v>1</v>
      </c>
      <c r="Y9" s="820" t="str">
        <f>IF(W9&gt;=0.96,"Fuerte",IF(W9&gt;=0.86,"Moderado","Debil"))</f>
        <v>Fuerte</v>
      </c>
      <c r="Z9" s="818" t="s">
        <v>305</v>
      </c>
      <c r="AA9" s="820" t="str">
        <f t="shared" ref="AA9:AA10" si="6">IF(Z9="Siempre se ejecuta","Fuerte",IF(Z9="Algunas veces se ejecuta","Moderado","Debil"))</f>
        <v>Fuerte</v>
      </c>
      <c r="AB9" s="820" t="str">
        <f>IF(Y9="Fuerte",IF(AA9="Fuerte","No","SI"),"SI")</f>
        <v>No</v>
      </c>
      <c r="AC9" s="821"/>
      <c r="AD9" s="822"/>
    </row>
    <row r="10" spans="1:30" s="780" customFormat="1" ht="118.5" customHeight="1" x14ac:dyDescent="0.2">
      <c r="A10" s="816">
        <f>'[11]Identificación del Riesgo D'!D10</f>
        <v>2</v>
      </c>
      <c r="B10" s="654" t="str">
        <f>'[11]Identificación del Riesgo D'!E10</f>
        <v>Incumplimientos de la normatividad de Transparencia y acceso a la información pública</v>
      </c>
      <c r="C10" s="823" t="str">
        <f>'[11]Identificación del Riesgo D'!H10</f>
        <v>No se ha determinado en el procedimiento de divulgación el ciclo de vida de las publicaciones.</v>
      </c>
      <c r="D10" s="654" t="str">
        <f>'[11]Analisis Riesgo'!K8</f>
        <v>P-DI-04 Procedimiento Publicaciones Web</v>
      </c>
      <c r="E10" s="654" t="str">
        <f>'[11]Analisis Riesgo'!L8</f>
        <v>Determina los lineamientos para realizar la publicación estandarizada de documentos, definiendo las interacciones entre los procesos</v>
      </c>
      <c r="F10" s="818" t="s">
        <v>296</v>
      </c>
      <c r="G10" s="818" t="s">
        <v>299</v>
      </c>
      <c r="H10" s="818" t="s">
        <v>300</v>
      </c>
      <c r="I10" s="818" t="s">
        <v>301</v>
      </c>
      <c r="J10" s="818" t="s">
        <v>302</v>
      </c>
      <c r="K10" s="819" t="s">
        <v>303</v>
      </c>
      <c r="L10" s="818" t="s">
        <v>304</v>
      </c>
      <c r="M10" s="820">
        <f t="shared" ref="M10" si="7">IF(F10="Asignado", 15,0)</f>
        <v>15</v>
      </c>
      <c r="N10" s="820">
        <f t="shared" ref="N10" si="8">IF(G10="Adecuado",15,0)</f>
        <v>15</v>
      </c>
      <c r="O10" s="820">
        <f t="shared" si="0"/>
        <v>15</v>
      </c>
      <c r="P10" s="820">
        <f t="shared" si="1"/>
        <v>15</v>
      </c>
      <c r="Q10" s="820">
        <f t="shared" si="2"/>
        <v>15</v>
      </c>
      <c r="R10" s="820">
        <f>IF(K10="Se investigan y resuelven oportunamente", 15,0)</f>
        <v>15</v>
      </c>
      <c r="S10" s="820">
        <f t="shared" si="3"/>
        <v>10</v>
      </c>
      <c r="T10" s="820">
        <f t="shared" ref="T10" si="9">SUM(M10:S10)</f>
        <v>100</v>
      </c>
      <c r="U10" s="818" t="s">
        <v>122</v>
      </c>
      <c r="V10" s="818" t="s">
        <v>122</v>
      </c>
      <c r="W10" s="820">
        <f t="shared" si="4"/>
        <v>1</v>
      </c>
      <c r="X10" s="820">
        <f t="shared" si="5"/>
        <v>1</v>
      </c>
      <c r="Y10" s="820" t="str">
        <f t="shared" ref="Y10" si="10">IF(W10&gt;=0.96,"Fuerte",IF(W10&gt;=0.86,"Moderado","Debil"))</f>
        <v>Fuerte</v>
      </c>
      <c r="Z10" s="818" t="s">
        <v>305</v>
      </c>
      <c r="AA10" s="820" t="str">
        <f t="shared" si="6"/>
        <v>Fuerte</v>
      </c>
      <c r="AB10" s="820" t="str">
        <f t="shared" ref="AB10" si="11">IF(Y10="Fuerte",IF(AA10="Fuerte","No","SI"),"SI")</f>
        <v>No</v>
      </c>
      <c r="AC10" s="824"/>
      <c r="AD10" s="822"/>
    </row>
  </sheetData>
  <mergeCells count="12">
    <mergeCell ref="A6:C6"/>
    <mergeCell ref="D6:AD6"/>
    <mergeCell ref="A7:L7"/>
    <mergeCell ref="M7:Y7"/>
    <mergeCell ref="Z7:AB7"/>
    <mergeCell ref="AC7:AD7"/>
    <mergeCell ref="A1:C4"/>
    <mergeCell ref="D1:AB4"/>
    <mergeCell ref="AC1:AD2"/>
    <mergeCell ref="AC3:AD4"/>
    <mergeCell ref="A5:C5"/>
    <mergeCell ref="D5:AD5"/>
  </mergeCells>
  <dataValidations count="10">
    <dataValidation type="list" allowBlank="1" showInputMessage="1" showErrorMessage="1" sqref="Z10" xr:uid="{00000000-0002-0000-4900-000000000000}">
      <formula1>"Siempre se ejecuta,Algunas veces se ejecuta,No se ejecuta"</formula1>
    </dataValidation>
    <dataValidation type="list" allowBlank="1" showInputMessage="1" showErrorMessage="1" sqref="Z9" xr:uid="{00000000-0002-0000-4900-000001000000}">
      <formula1>"Siempre se ejecuta,Algunas veces se ejecuta,No se ejecuta,Seleccione"</formula1>
    </dataValidation>
    <dataValidation type="list" allowBlank="1" showInputMessage="1" showErrorMessage="1" sqref="U9:V10" xr:uid="{00000000-0002-0000-4900-000002000000}">
      <formula1>"SI, NO,Seleccione"</formula1>
    </dataValidation>
    <dataValidation type="list" allowBlank="1" showInputMessage="1" showErrorMessage="1" sqref="L9:L10" xr:uid="{00000000-0002-0000-4900-000003000000}">
      <formula1>"Completa, Incompleta, No existe,Seleccione"</formula1>
    </dataValidation>
    <dataValidation type="list" allowBlank="1" showInputMessage="1" showErrorMessage="1" sqref="K9:K10" xr:uid="{00000000-0002-0000-4900-000004000000}">
      <formula1>"Se investigan y resuelven oportunamente, No se investigan y resuelven oportunamente,Seleccione"</formula1>
    </dataValidation>
    <dataValidation type="list" allowBlank="1" showInputMessage="1" showErrorMessage="1" sqref="J9:J10" xr:uid="{00000000-0002-0000-4900-000005000000}">
      <formula1>"Confiable, No Confiable,Seleccione"</formula1>
    </dataValidation>
    <dataValidation type="list" allowBlank="1" showInputMessage="1" showErrorMessage="1" sqref="I9:I10" xr:uid="{00000000-0002-0000-4900-000006000000}">
      <formula1>"Prevenir, Detectar, No es un control,Seleccione"</formula1>
    </dataValidation>
    <dataValidation type="list" allowBlank="1" showInputMessage="1" showErrorMessage="1" sqref="H9:H10" xr:uid="{00000000-0002-0000-4900-000007000000}">
      <formula1>"Oportuna, Inoportuna,Seleccione"</formula1>
    </dataValidation>
    <dataValidation type="list" allowBlank="1" showInputMessage="1" showErrorMessage="1" sqref="G9:G10" xr:uid="{00000000-0002-0000-4900-000008000000}">
      <formula1>"Adecuado, Inadecuado,Seleccione"</formula1>
    </dataValidation>
    <dataValidation type="list" allowBlank="1" showInputMessage="1" showErrorMessage="1" sqref="F9:F10" xr:uid="{00000000-0002-0000-4900-000009000000}">
      <formula1>"Asignado, No asignado, Seleccione"</formula1>
    </dataValidation>
  </dataValidations>
  <pageMargins left="0.11811023622047245" right="0.11811023622047245" top="1.1417322834645669" bottom="0.74803149606299213" header="0.31496062992125984" footer="0.31496062992125984"/>
  <pageSetup scale="36" orientation="landscape" horizontalDpi="1200" verticalDpi="1200" r:id="rId1"/>
  <headerFooter>
    <oddHeader>&amp;L&amp;G&amp;C
&amp;"-,Negrita"Matriz de Riesgos</oddHeader>
  </headerFooter>
  <colBreaks count="1" manualBreakCount="1">
    <brk id="12" max="1048575" man="1"/>
  </colBreaks>
  <drawing r:id="rId2"/>
  <legacyDrawingHF r:id="rId3"/>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X6"/>
  <sheetViews>
    <sheetView workbookViewId="0">
      <selection activeCell="C5" sqref="C5"/>
    </sheetView>
  </sheetViews>
  <sheetFormatPr baseColWidth="10" defaultRowHeight="18" customHeight="1" x14ac:dyDescent="0.2"/>
  <cols>
    <col min="1" max="1" width="3.625" style="534" customWidth="1"/>
    <col min="2" max="2" width="28.75" style="534" customWidth="1"/>
    <col min="3" max="3" width="48.375" style="534" customWidth="1"/>
    <col min="4" max="4" width="38.5" style="534" customWidth="1"/>
    <col min="5" max="5" width="20.5" style="534" customWidth="1"/>
    <col min="6" max="6" width="11" style="534"/>
    <col min="7" max="7" width="23" style="534" customWidth="1"/>
    <col min="8" max="10" width="19.375" style="534" customWidth="1"/>
    <col min="11" max="11" width="18.25" style="534" customWidth="1"/>
    <col min="12" max="12" width="41.625" style="534" customWidth="1"/>
    <col min="13" max="13" width="27.25" style="534" customWidth="1"/>
    <col min="14" max="15" width="10.75" style="534" customWidth="1"/>
    <col min="16" max="16" width="27.25" style="534" customWidth="1"/>
    <col min="17" max="22" width="25.75" style="534" customWidth="1"/>
    <col min="23" max="23" width="33.5" style="534" customWidth="1"/>
    <col min="24" max="24" width="45.625" style="534" customWidth="1"/>
    <col min="25" max="16384" width="11" style="534"/>
  </cols>
  <sheetData>
    <row r="1" spans="1:24" ht="30.75" customHeight="1" x14ac:dyDescent="0.2">
      <c r="A1" s="1179"/>
      <c r="B1" s="1179"/>
      <c r="C1" s="1179"/>
      <c r="D1" s="1180" t="s">
        <v>314</v>
      </c>
      <c r="E1" s="1181"/>
      <c r="F1" s="1181"/>
      <c r="G1" s="1181"/>
      <c r="H1" s="1181"/>
      <c r="I1" s="1181"/>
      <c r="J1" s="1181"/>
      <c r="K1" s="1181"/>
      <c r="L1" s="1181"/>
      <c r="M1" s="1181"/>
      <c r="N1" s="1181"/>
      <c r="O1" s="1181"/>
      <c r="P1" s="1181"/>
      <c r="Q1" s="1181"/>
      <c r="R1" s="1181"/>
      <c r="S1" s="1181"/>
      <c r="T1" s="1181"/>
      <c r="U1" s="1181"/>
      <c r="V1" s="1182"/>
      <c r="W1" s="532" t="s">
        <v>315</v>
      </c>
      <c r="X1" s="533"/>
    </row>
    <row r="2" spans="1:24" ht="29.25" customHeight="1" thickBot="1" x14ac:dyDescent="0.25">
      <c r="A2" s="1179"/>
      <c r="B2" s="1179"/>
      <c r="C2" s="1179"/>
      <c r="D2" s="1183"/>
      <c r="E2" s="1184"/>
      <c r="F2" s="1184"/>
      <c r="G2" s="1184"/>
      <c r="H2" s="1184"/>
      <c r="I2" s="1184"/>
      <c r="J2" s="1184"/>
      <c r="K2" s="1184"/>
      <c r="L2" s="1184"/>
      <c r="M2" s="1184"/>
      <c r="N2" s="1184"/>
      <c r="O2" s="1184"/>
      <c r="P2" s="1184"/>
      <c r="Q2" s="1184"/>
      <c r="R2" s="1184"/>
      <c r="S2" s="1184"/>
      <c r="T2" s="1184"/>
      <c r="U2" s="1184"/>
      <c r="V2" s="1185"/>
      <c r="W2" s="532" t="s">
        <v>316</v>
      </c>
      <c r="X2" s="533"/>
    </row>
    <row r="3" spans="1:24" ht="18" customHeight="1" x14ac:dyDescent="0.25">
      <c r="A3" s="1186" t="s">
        <v>57</v>
      </c>
      <c r="B3" s="1187"/>
      <c r="C3" s="1187"/>
      <c r="D3" s="1187"/>
      <c r="E3" s="1187"/>
      <c r="F3" s="1187"/>
      <c r="G3" s="1188"/>
      <c r="H3" s="1189"/>
      <c r="I3" s="1189"/>
      <c r="J3" s="1189"/>
      <c r="K3" s="1189"/>
      <c r="L3" s="1607" t="s">
        <v>60</v>
      </c>
      <c r="M3" s="1606"/>
      <c r="N3" s="1606"/>
      <c r="O3" s="1606"/>
      <c r="P3" s="1608"/>
      <c r="Q3" s="1609" t="s">
        <v>61</v>
      </c>
      <c r="R3" s="1604"/>
      <c r="S3" s="1604"/>
      <c r="T3" s="1604"/>
      <c r="U3" s="1604"/>
      <c r="V3" s="1605"/>
      <c r="W3" s="758" t="s">
        <v>62</v>
      </c>
      <c r="X3" s="758" t="s">
        <v>63</v>
      </c>
    </row>
    <row r="4" spans="1:24" ht="30.75" customHeight="1" thickBot="1" x14ac:dyDescent="0.25">
      <c r="A4" s="698" t="s">
        <v>44</v>
      </c>
      <c r="B4" s="699" t="s">
        <v>64</v>
      </c>
      <c r="C4" s="699" t="s">
        <v>65</v>
      </c>
      <c r="D4" s="699" t="s">
        <v>317</v>
      </c>
      <c r="E4" s="699" t="s">
        <v>68</v>
      </c>
      <c r="F4" s="699" t="s">
        <v>69</v>
      </c>
      <c r="G4" s="700" t="s">
        <v>71</v>
      </c>
      <c r="H4" s="699" t="s">
        <v>81</v>
      </c>
      <c r="I4" s="699" t="s">
        <v>82</v>
      </c>
      <c r="J4" s="699" t="s">
        <v>83</v>
      </c>
      <c r="K4" s="701" t="s">
        <v>84</v>
      </c>
      <c r="L4" s="827" t="s">
        <v>85</v>
      </c>
      <c r="M4" s="828" t="s">
        <v>86</v>
      </c>
      <c r="N4" s="828" t="s">
        <v>87</v>
      </c>
      <c r="O4" s="828" t="s">
        <v>88</v>
      </c>
      <c r="P4" s="829" t="s">
        <v>89</v>
      </c>
      <c r="Q4" s="827" t="s">
        <v>90</v>
      </c>
      <c r="R4" s="828" t="s">
        <v>91</v>
      </c>
      <c r="S4" s="828" t="s">
        <v>92</v>
      </c>
      <c r="T4" s="828" t="s">
        <v>91</v>
      </c>
      <c r="U4" s="828" t="s">
        <v>93</v>
      </c>
      <c r="V4" s="829" t="s">
        <v>91</v>
      </c>
      <c r="W4" s="830" t="s">
        <v>94</v>
      </c>
      <c r="X4" s="830" t="s">
        <v>95</v>
      </c>
    </row>
    <row r="5" spans="1:24" ht="147.75" customHeight="1" x14ac:dyDescent="0.2">
      <c r="A5" s="703">
        <f>+'[9]Analisis Riesgo'!A7</f>
        <v>1</v>
      </c>
      <c r="B5" s="703" t="str">
        <f>+'[11]Identificación del Riesgo D'!E9</f>
        <v>Incumplimiento del procedimiento de de divulgación.</v>
      </c>
      <c r="C5" s="703" t="str">
        <f>+'[11]Identificación del Riesgo D'!H9</f>
        <v>El procedimiento actual no define las tipificaciones necesarias de las excepciones que conlleve a priorizar las fechas de las publicaciones.
Posibles incumplimientos del procedimiento de divulgación por parte de los funcionarios responsables de la publicación.
Falta de socialización del procedimiento de divulgación en los funcionarios de la entidad.</v>
      </c>
      <c r="D5" s="703" t="str">
        <f>+'[11]Identificación del Riesgo D'!I9</f>
        <v>Demoras en la publicación.
Aumento del tiempo de respuesta.
Reprocesos en las solicitudes de divulgación.</v>
      </c>
      <c r="E5" s="705" t="str">
        <f>+'[11]Analisis Riesgo'!U7</f>
        <v>Probable</v>
      </c>
      <c r="F5" s="705" t="str">
        <f>+'[11]Analisis Riesgo'!V7</f>
        <v>Menor</v>
      </c>
      <c r="G5" s="831" t="str">
        <f>+'[11]Analisis Riesgo'!W7</f>
        <v>ALTO</v>
      </c>
      <c r="H5" s="705" t="str">
        <f>+'[11]Analisis Riesgo'!U7</f>
        <v>Probable</v>
      </c>
      <c r="I5" s="705" t="str">
        <f>+'[11]Analisis Riesgo'!V7</f>
        <v>Menor</v>
      </c>
      <c r="J5" s="831" t="str">
        <f>+'[11]Analisis Riesgo'!W7</f>
        <v>ALTO</v>
      </c>
      <c r="K5" s="703"/>
      <c r="L5" s="725" t="s">
        <v>1011</v>
      </c>
      <c r="M5" s="726" t="s">
        <v>1012</v>
      </c>
      <c r="N5" s="832" t="s">
        <v>1013</v>
      </c>
      <c r="O5" s="832" t="s">
        <v>1014</v>
      </c>
      <c r="P5" s="728" t="s">
        <v>1015</v>
      </c>
      <c r="Q5" s="833"/>
      <c r="R5" s="834"/>
      <c r="S5" s="834"/>
      <c r="T5" s="834"/>
      <c r="U5" s="834"/>
      <c r="V5" s="835"/>
      <c r="W5" s="836"/>
      <c r="X5" s="836"/>
    </row>
    <row r="6" spans="1:24" ht="68.25" customHeight="1" x14ac:dyDescent="0.2">
      <c r="A6" s="703">
        <f>+'[9]Analisis Riesgo'!A8</f>
        <v>2</v>
      </c>
      <c r="B6" s="703" t="str">
        <f>+'[11]Identificación del Riesgo D'!E10</f>
        <v>Incumplimientos de la normatividad de Transparencia y acceso a la información pública</v>
      </c>
      <c r="C6" s="703" t="str">
        <f>+'[11]Identificación del Riesgo D'!H10</f>
        <v>No se ha determinado en el procedimiento de divulgación el ciclo de vida de las publicaciones.</v>
      </c>
      <c r="D6" s="703" t="str">
        <f>+'[11]Identificación del Riesgo D'!I10</f>
        <v>Hallazgos de control interno.
Hallazgos disciplinarios.</v>
      </c>
      <c r="E6" s="705" t="str">
        <f>+'[11]Analisis Riesgo'!U8</f>
        <v>Improbable</v>
      </c>
      <c r="F6" s="705" t="str">
        <f>+'[11]Analisis Riesgo'!V8</f>
        <v>Moderado</v>
      </c>
      <c r="G6" s="716" t="str">
        <f>+'[11]Analisis Riesgo'!W8</f>
        <v>MODERADO</v>
      </c>
      <c r="H6" s="705" t="str">
        <f>+'[11]Analisis Riesgo'!U8</f>
        <v>Improbable</v>
      </c>
      <c r="I6" s="705" t="str">
        <f>+'[11]Analisis Riesgo'!V8</f>
        <v>Moderado</v>
      </c>
      <c r="J6" s="716" t="str">
        <f>+'[11]Analisis Riesgo'!W8</f>
        <v>MODERADO</v>
      </c>
      <c r="K6" s="703"/>
      <c r="L6" s="732" t="s">
        <v>1016</v>
      </c>
      <c r="M6" s="726" t="s">
        <v>1017</v>
      </c>
      <c r="N6" s="727">
        <v>44256</v>
      </c>
      <c r="O6" s="727">
        <v>44285</v>
      </c>
      <c r="P6" s="728" t="s">
        <v>1018</v>
      </c>
      <c r="Q6" s="837"/>
      <c r="R6" s="838"/>
      <c r="S6" s="838"/>
      <c r="T6" s="838"/>
      <c r="U6" s="838"/>
      <c r="V6" s="839"/>
      <c r="W6" s="840"/>
      <c r="X6" s="840"/>
    </row>
  </sheetData>
  <mergeCells count="6">
    <mergeCell ref="A1:C2"/>
    <mergeCell ref="D1:V2"/>
    <mergeCell ref="A3:G3"/>
    <mergeCell ref="H3:K3"/>
    <mergeCell ref="L3:P3"/>
    <mergeCell ref="Q3:V3"/>
  </mergeCells>
  <pageMargins left="0.7" right="0.7" top="0.75" bottom="0.75" header="0.3" footer="0.3"/>
  <drawing r:id="rId1"/>
  <legacyDrawing r:id="rId2"/>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E21"/>
  <sheetViews>
    <sheetView showGridLines="0" topLeftCell="A7" zoomScaleNormal="100" zoomScaleSheetLayoutView="115" zoomScalePageLayoutView="90" workbookViewId="0">
      <selection activeCell="C7" sqref="C7"/>
    </sheetView>
  </sheetViews>
  <sheetFormatPr baseColWidth="10" defaultRowHeight="15" x14ac:dyDescent="0.25"/>
  <cols>
    <col min="1" max="1" width="20.375" style="743" customWidth="1"/>
    <col min="2" max="2" width="37.125" style="743" customWidth="1"/>
    <col min="3" max="3" width="39" style="743" customWidth="1"/>
    <col min="4" max="4" width="14.25" style="743" customWidth="1"/>
    <col min="5" max="5" width="21.125" style="743" customWidth="1"/>
    <col min="6" max="16384" width="11" style="743"/>
  </cols>
  <sheetData>
    <row r="1" spans="1:5" x14ac:dyDescent="0.25">
      <c r="A1" s="1568"/>
      <c r="B1" s="1570" t="s">
        <v>0</v>
      </c>
      <c r="C1" s="1570"/>
      <c r="D1" s="1570"/>
      <c r="E1" s="1571" t="s">
        <v>29</v>
      </c>
    </row>
    <row r="2" spans="1:5" x14ac:dyDescent="0.25">
      <c r="A2" s="1568"/>
      <c r="B2" s="1570"/>
      <c r="C2" s="1570"/>
      <c r="D2" s="1570"/>
      <c r="E2" s="1571"/>
    </row>
    <row r="3" spans="1:5" x14ac:dyDescent="0.25">
      <c r="A3" s="1568"/>
      <c r="B3" s="1570"/>
      <c r="C3" s="1570"/>
      <c r="D3" s="1570"/>
      <c r="E3" s="1572" t="s">
        <v>2</v>
      </c>
    </row>
    <row r="4" spans="1:5" ht="15.75" thickBot="1" x14ac:dyDescent="0.3">
      <c r="A4" s="1568"/>
      <c r="B4" s="1570"/>
      <c r="C4" s="1570"/>
      <c r="D4" s="1570"/>
      <c r="E4" s="1572"/>
    </row>
    <row r="5" spans="1:5" ht="15.75" thickBot="1" x14ac:dyDescent="0.3">
      <c r="A5" s="1573" t="s">
        <v>30</v>
      </c>
      <c r="B5" s="1574"/>
      <c r="C5" s="1574"/>
      <c r="D5" s="1574"/>
      <c r="E5" s="1575"/>
    </row>
    <row r="6" spans="1:5" ht="15" customHeight="1" x14ac:dyDescent="0.25">
      <c r="A6" s="744" t="s">
        <v>31</v>
      </c>
      <c r="B6" s="745" t="s">
        <v>32</v>
      </c>
      <c r="C6" s="744" t="s">
        <v>33</v>
      </c>
      <c r="D6" s="1576" t="s">
        <v>34</v>
      </c>
      <c r="E6" s="1577"/>
    </row>
    <row r="7" spans="1:5" ht="409.5" customHeight="1" x14ac:dyDescent="0.25">
      <c r="A7" s="841"/>
      <c r="B7" s="842" t="s">
        <v>1019</v>
      </c>
      <c r="C7" s="843" t="s">
        <v>1020</v>
      </c>
      <c r="D7" s="1640" t="s">
        <v>1021</v>
      </c>
      <c r="E7" s="1641"/>
    </row>
    <row r="15" spans="1:5" x14ac:dyDescent="0.25">
      <c r="C15" s="844"/>
    </row>
    <row r="16" spans="1:5" x14ac:dyDescent="0.25">
      <c r="C16" s="844"/>
    </row>
    <row r="17" spans="2:3" ht="90" x14ac:dyDescent="0.25">
      <c r="B17" s="541" t="s">
        <v>801</v>
      </c>
      <c r="C17" s="844"/>
    </row>
    <row r="18" spans="2:3" x14ac:dyDescent="0.25">
      <c r="C18" s="844"/>
    </row>
    <row r="19" spans="2:3" x14ac:dyDescent="0.25">
      <c r="C19" s="844"/>
    </row>
    <row r="20" spans="2:3" x14ac:dyDescent="0.25">
      <c r="C20" s="844"/>
    </row>
    <row r="21" spans="2:3" x14ac:dyDescent="0.25">
      <c r="C21" s="845"/>
    </row>
  </sheetData>
  <mergeCells count="7">
    <mergeCell ref="D7:E7"/>
    <mergeCell ref="A1:A4"/>
    <mergeCell ref="B1:D4"/>
    <mergeCell ref="E1:E2"/>
    <mergeCell ref="E3:E4"/>
    <mergeCell ref="A5:E5"/>
    <mergeCell ref="D6:E6"/>
  </mergeCells>
  <pageMargins left="0.31496062992125984" right="0.31496062992125984" top="1.1417322834645669" bottom="0.35433070866141736" header="0.31496062992125984" footer="0.31496062992125984"/>
  <pageSetup scale="88" orientation="landscape" horizontalDpi="1200" verticalDpi="1200" r:id="rId1"/>
  <headerFooter>
    <oddHeader>&amp;L&amp;G&amp;C
&amp;"-,Negrita"Matriz de Riesgos</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B00-000000000000}">
          <x14:formula1>
            <xm:f>'C:\Users\sgomez.UPME\Documents\UPME 2020\Documents\Mapas de riesgos\[Mapa de riesgos. Gestion administrativa.xlsx]Datos'!#REF!</xm:f>
          </x14:formula1>
          <xm:sqref>A7</xm:sqref>
        </x14:dataValidation>
      </x14:dataValidations>
    </ext>
  </extLst>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N12"/>
  <sheetViews>
    <sheetView showGridLines="0" topLeftCell="A4" zoomScale="80" zoomScaleNormal="80" zoomScaleSheetLayoutView="130" zoomScalePageLayoutView="90" workbookViewId="0">
      <pane xSplit="3" ySplit="5" topLeftCell="D9" activePane="bottomRight" state="frozen"/>
      <selection activeCell="A4" sqref="A4"/>
      <selection pane="topRight" activeCell="D4" sqref="D4"/>
      <selection pane="bottomLeft" activeCell="A9" sqref="A9"/>
      <selection pane="bottomRight" activeCell="F9" sqref="F9"/>
    </sheetView>
  </sheetViews>
  <sheetFormatPr baseColWidth="10" defaultRowHeight="15" x14ac:dyDescent="0.25"/>
  <cols>
    <col min="1" max="2" width="13.25" style="743" customWidth="1"/>
    <col min="3" max="3" width="16.875" style="743" customWidth="1"/>
    <col min="4" max="4" width="3.625" style="746" customWidth="1"/>
    <col min="5" max="5" width="18.375" style="743" customWidth="1"/>
    <col min="6" max="6" width="21.625" style="743" customWidth="1"/>
    <col min="7" max="7" width="15" style="743" customWidth="1"/>
    <col min="8" max="8" width="28" style="743" customWidth="1"/>
    <col min="9" max="9" width="33.375" style="743" customWidth="1"/>
    <col min="10" max="10" width="20.625" style="743" customWidth="1"/>
    <col min="11" max="11" width="14.75" style="743" customWidth="1"/>
    <col min="12" max="12" width="18.75" style="743" customWidth="1"/>
    <col min="13" max="13" width="12.75" style="743" customWidth="1"/>
    <col min="14" max="14" width="27.125" style="743" customWidth="1"/>
    <col min="15" max="16384" width="11" style="743"/>
  </cols>
  <sheetData>
    <row r="1" spans="1:14" ht="15" customHeight="1" x14ac:dyDescent="0.25">
      <c r="A1" s="1578"/>
      <c r="B1" s="1578"/>
      <c r="C1" s="1578"/>
      <c r="D1" s="1580" t="s">
        <v>0</v>
      </c>
      <c r="E1" s="1580"/>
      <c r="F1" s="1580"/>
      <c r="G1" s="1580"/>
      <c r="H1" s="1580"/>
      <c r="I1" s="1580"/>
      <c r="J1" s="1580"/>
      <c r="K1" s="1580"/>
      <c r="L1" s="1580"/>
      <c r="M1" s="1581"/>
      <c r="N1" s="1584" t="s">
        <v>35</v>
      </c>
    </row>
    <row r="2" spans="1:14" ht="15" customHeight="1" x14ac:dyDescent="0.25">
      <c r="A2" s="1578"/>
      <c r="B2" s="1578"/>
      <c r="C2" s="1578"/>
      <c r="D2" s="1580"/>
      <c r="E2" s="1580"/>
      <c r="F2" s="1580"/>
      <c r="G2" s="1580"/>
      <c r="H2" s="1580"/>
      <c r="I2" s="1580"/>
      <c r="J2" s="1580"/>
      <c r="K2" s="1580"/>
      <c r="L2" s="1580"/>
      <c r="M2" s="1581"/>
      <c r="N2" s="1584"/>
    </row>
    <row r="3" spans="1:14" ht="15" customHeight="1" x14ac:dyDescent="0.25">
      <c r="A3" s="1578"/>
      <c r="B3" s="1578"/>
      <c r="C3" s="1578"/>
      <c r="D3" s="1580"/>
      <c r="E3" s="1580"/>
      <c r="F3" s="1580"/>
      <c r="G3" s="1580"/>
      <c r="H3" s="1580"/>
      <c r="I3" s="1580"/>
      <c r="J3" s="1580"/>
      <c r="K3" s="1580"/>
      <c r="L3" s="1580"/>
      <c r="M3" s="1581"/>
      <c r="N3" s="1584" t="s">
        <v>2</v>
      </c>
    </row>
    <row r="4" spans="1:14" ht="15" customHeight="1" x14ac:dyDescent="0.25">
      <c r="A4" s="1579"/>
      <c r="B4" s="1579"/>
      <c r="C4" s="1579"/>
      <c r="D4" s="1582"/>
      <c r="E4" s="1582"/>
      <c r="F4" s="1582"/>
      <c r="G4" s="1582"/>
      <c r="H4" s="1582"/>
      <c r="I4" s="1582"/>
      <c r="J4" s="1582"/>
      <c r="K4" s="1582"/>
      <c r="L4" s="1582"/>
      <c r="M4" s="1583"/>
      <c r="N4" s="1584"/>
    </row>
    <row r="5" spans="1:14" ht="21" x14ac:dyDescent="0.25">
      <c r="A5" s="1585" t="s">
        <v>36</v>
      </c>
      <c r="B5" s="1586"/>
      <c r="C5" s="1587"/>
      <c r="D5" s="1642" t="s">
        <v>1022</v>
      </c>
      <c r="E5" s="1643"/>
      <c r="F5" s="1643"/>
      <c r="G5" s="1643"/>
      <c r="H5" s="1643"/>
      <c r="I5" s="1643"/>
      <c r="J5" s="1643"/>
      <c r="K5" s="1643"/>
      <c r="L5" s="1643"/>
      <c r="M5" s="1643"/>
      <c r="N5" s="1644"/>
    </row>
    <row r="6" spans="1:14" ht="15.75" x14ac:dyDescent="0.25">
      <c r="A6" s="1585" t="s">
        <v>37</v>
      </c>
      <c r="B6" s="1586"/>
      <c r="C6" s="1587"/>
      <c r="D6" s="1645" t="s">
        <v>1023</v>
      </c>
      <c r="E6" s="1646"/>
      <c r="F6" s="1646"/>
      <c r="G6" s="1646"/>
      <c r="H6" s="1646"/>
      <c r="I6" s="1646"/>
      <c r="J6" s="1646"/>
      <c r="K6" s="1646"/>
      <c r="L6" s="1646"/>
      <c r="M6" s="1646"/>
      <c r="N6" s="1647"/>
    </row>
    <row r="7" spans="1:14" x14ac:dyDescent="0.25">
      <c r="A7" s="1591" t="s">
        <v>38</v>
      </c>
      <c r="B7" s="1592"/>
      <c r="C7" s="1593"/>
      <c r="D7" s="1594" t="s">
        <v>39</v>
      </c>
      <c r="E7" s="1595"/>
      <c r="F7" s="1595"/>
      <c r="G7" s="1595"/>
      <c r="H7" s="1595"/>
      <c r="I7" s="1596"/>
      <c r="J7" s="1597" t="s">
        <v>40</v>
      </c>
      <c r="K7" s="1597"/>
      <c r="L7" s="1597"/>
      <c r="M7" s="1597"/>
      <c r="N7" s="1597"/>
    </row>
    <row r="8" spans="1:14" ht="36" x14ac:dyDescent="0.25">
      <c r="A8" s="749" t="s">
        <v>41</v>
      </c>
      <c r="B8" s="749" t="s">
        <v>42</v>
      </c>
      <c r="C8" s="749" t="s">
        <v>43</v>
      </c>
      <c r="D8" s="749" t="s">
        <v>44</v>
      </c>
      <c r="E8" s="749" t="s">
        <v>45</v>
      </c>
      <c r="F8" s="749" t="s">
        <v>46</v>
      </c>
      <c r="G8" s="749" t="s">
        <v>47</v>
      </c>
      <c r="H8" s="749" t="s">
        <v>48</v>
      </c>
      <c r="I8" s="749" t="s">
        <v>49</v>
      </c>
      <c r="J8" s="750" t="s">
        <v>50</v>
      </c>
      <c r="K8" s="750" t="s">
        <v>51</v>
      </c>
      <c r="L8" s="750" t="s">
        <v>52</v>
      </c>
      <c r="M8" s="750" t="s">
        <v>53</v>
      </c>
      <c r="N8" s="750" t="s">
        <v>54</v>
      </c>
    </row>
    <row r="9" spans="1:14" ht="175.5" customHeight="1" x14ac:dyDescent="0.25">
      <c r="A9" s="751"/>
      <c r="B9" s="752" t="s">
        <v>177</v>
      </c>
      <c r="C9" s="752" t="s">
        <v>193</v>
      </c>
      <c r="D9" s="542">
        <v>1</v>
      </c>
      <c r="E9" s="162" t="s">
        <v>1024</v>
      </c>
      <c r="F9" s="162" t="s">
        <v>1025</v>
      </c>
      <c r="G9" s="754" t="s">
        <v>208</v>
      </c>
      <c r="H9" s="162" t="s">
        <v>1026</v>
      </c>
      <c r="I9" s="303" t="s">
        <v>1027</v>
      </c>
      <c r="J9" s="754" t="s">
        <v>122</v>
      </c>
      <c r="K9" s="754" t="s">
        <v>263</v>
      </c>
      <c r="L9" s="754" t="s">
        <v>263</v>
      </c>
      <c r="M9" s="754" t="s">
        <v>263</v>
      </c>
      <c r="N9" s="756" t="str">
        <f t="shared" ref="N9:N12" si="0">IF(COUNTIF(J9:M9,"SI")=4,"Riesgo de Corrupción","No es Riesgo de Corrupción")</f>
        <v>No es Riesgo de Corrupción</v>
      </c>
    </row>
    <row r="10" spans="1:14" ht="213" customHeight="1" x14ac:dyDescent="0.25">
      <c r="A10" s="751"/>
      <c r="B10" s="751" t="s">
        <v>177</v>
      </c>
      <c r="C10" s="751" t="s">
        <v>178</v>
      </c>
      <c r="D10" s="542">
        <v>2</v>
      </c>
      <c r="E10" s="554" t="s">
        <v>1028</v>
      </c>
      <c r="F10" s="753" t="s">
        <v>1029</v>
      </c>
      <c r="G10" s="754" t="s">
        <v>208</v>
      </c>
      <c r="H10" s="755" t="s">
        <v>1030</v>
      </c>
      <c r="I10" s="303" t="s">
        <v>1031</v>
      </c>
      <c r="J10" s="754" t="s">
        <v>122</v>
      </c>
      <c r="K10" s="754" t="s">
        <v>263</v>
      </c>
      <c r="L10" s="754" t="s">
        <v>263</v>
      </c>
      <c r="M10" s="754" t="s">
        <v>263</v>
      </c>
      <c r="N10" s="756" t="str">
        <f t="shared" si="0"/>
        <v>No es Riesgo de Corrupción</v>
      </c>
    </row>
    <row r="11" spans="1:14" ht="165.75" customHeight="1" x14ac:dyDescent="0.25">
      <c r="A11" s="751"/>
      <c r="B11" s="751" t="s">
        <v>219</v>
      </c>
      <c r="C11" s="751" t="s">
        <v>233</v>
      </c>
      <c r="D11" s="542">
        <v>3</v>
      </c>
      <c r="E11" s="162" t="s">
        <v>1032</v>
      </c>
      <c r="F11" s="162" t="s">
        <v>1033</v>
      </c>
      <c r="G11" s="754" t="s">
        <v>208</v>
      </c>
      <c r="H11" s="162" t="s">
        <v>1034</v>
      </c>
      <c r="I11" s="303" t="s">
        <v>1035</v>
      </c>
      <c r="J11" s="754" t="s">
        <v>122</v>
      </c>
      <c r="K11" s="754" t="s">
        <v>263</v>
      </c>
      <c r="L11" s="754" t="s">
        <v>263</v>
      </c>
      <c r="M11" s="754" t="s">
        <v>263</v>
      </c>
      <c r="N11" s="756" t="str">
        <f t="shared" si="0"/>
        <v>No es Riesgo de Corrupción</v>
      </c>
    </row>
    <row r="12" spans="1:14" ht="160.5" customHeight="1" x14ac:dyDescent="0.25">
      <c r="A12" s="751"/>
      <c r="B12" s="751" t="s">
        <v>219</v>
      </c>
      <c r="C12" s="751" t="s">
        <v>178</v>
      </c>
      <c r="D12" s="542">
        <v>4</v>
      </c>
      <c r="E12" s="554" t="s">
        <v>1036</v>
      </c>
      <c r="F12" s="554" t="s">
        <v>1037</v>
      </c>
      <c r="G12" s="754" t="s">
        <v>252</v>
      </c>
      <c r="H12" s="755" t="s">
        <v>1038</v>
      </c>
      <c r="I12" s="303" t="s">
        <v>1039</v>
      </c>
      <c r="J12" s="754" t="s">
        <v>122</v>
      </c>
      <c r="K12" s="754" t="s">
        <v>122</v>
      </c>
      <c r="L12" s="754" t="s">
        <v>122</v>
      </c>
      <c r="M12" s="754" t="s">
        <v>122</v>
      </c>
      <c r="N12" s="756" t="str">
        <f t="shared" si="0"/>
        <v>Riesgo de Corrupción</v>
      </c>
    </row>
  </sheetData>
  <mergeCells count="11">
    <mergeCell ref="A6:C6"/>
    <mergeCell ref="D6:N6"/>
    <mergeCell ref="A7:C7"/>
    <mergeCell ref="D7:I7"/>
    <mergeCell ref="J7:N7"/>
    <mergeCell ref="A1:C4"/>
    <mergeCell ref="D1:M4"/>
    <mergeCell ref="N1:N2"/>
    <mergeCell ref="N3:N4"/>
    <mergeCell ref="A5:C5"/>
    <mergeCell ref="D5:N5"/>
  </mergeCells>
  <dataValidations count="1">
    <dataValidation type="list" allowBlank="1" showInputMessage="1" showErrorMessage="1" sqref="J9:M12" xr:uid="{00000000-0002-0000-4C00-000000000000}">
      <formula1>"SI,NO"</formula1>
    </dataValidation>
  </dataValidations>
  <pageMargins left="0.11811023622047245" right="0.11811023622047245" top="1.1417322834645669" bottom="0.19685039370078741" header="0.31496062992125984" footer="0.31496062992125984"/>
  <pageSetup scale="79" orientation="landscape" horizontalDpi="1200" verticalDpi="1200" r:id="rId1"/>
  <headerFooter>
    <oddHeader>&amp;L&amp;G&amp;C
&amp;"-,Negrita"Matriz de Riesgos</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C00-000001000000}">
          <x14:formula1>
            <xm:f>'C:\Users\sgomez.UPME\Documents\UPME 2020\Documents\Mapas de riesgos\[Mapa de riesgos. Gestion administrativa.xlsx]Datos'!#REF!</xm:f>
          </x14:formula1>
          <xm:sqref>A9:C12 G9:G12</xm:sqref>
        </x14:dataValidation>
      </x14:dataValidations>
    </ext>
  </extLst>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X10"/>
  <sheetViews>
    <sheetView showGridLines="0" showWhiteSpace="0" zoomScale="55" zoomScaleNormal="55" zoomScaleSheetLayoutView="85" zoomScalePageLayoutView="70" workbookViewId="0">
      <pane xSplit="3" ySplit="6" topLeftCell="D7" activePane="bottomRight" state="frozen"/>
      <selection pane="topRight" activeCell="D1" sqref="D1"/>
      <selection pane="bottomLeft" activeCell="A7" sqref="A7"/>
      <selection pane="bottomRight" activeCell="C8" sqref="C8"/>
    </sheetView>
  </sheetViews>
  <sheetFormatPr baseColWidth="10" defaultRowHeight="15" x14ac:dyDescent="0.25"/>
  <cols>
    <col min="1" max="1" width="4.75" style="746" customWidth="1"/>
    <col min="2" max="2" width="18.125" style="743" customWidth="1"/>
    <col min="3" max="3" width="56.25" style="800" customWidth="1"/>
    <col min="4" max="4" width="26.25" style="801" customWidth="1"/>
    <col min="5" max="5" width="10.625" style="746" customWidth="1"/>
    <col min="6" max="6" width="17.25" style="746" customWidth="1"/>
    <col min="7" max="7" width="12.875" style="746" customWidth="1"/>
    <col min="8" max="8" width="5.375" style="746" customWidth="1"/>
    <col min="9" max="9" width="14" style="743" customWidth="1"/>
    <col min="10" max="10" width="12.75" style="743" customWidth="1"/>
    <col min="11" max="11" width="22.875" style="802" customWidth="1"/>
    <col min="12" max="12" width="41" style="743" customWidth="1"/>
    <col min="13" max="13" width="13.75" style="743" customWidth="1"/>
    <col min="14" max="14" width="15" style="743" customWidth="1"/>
    <col min="15" max="15" width="19.25" style="743" customWidth="1"/>
    <col min="16" max="16" width="18.875" style="743" customWidth="1"/>
    <col min="17" max="17" width="12" style="743" customWidth="1"/>
    <col min="18" max="18" width="12.625" style="743" customWidth="1"/>
    <col min="19" max="19" width="13.625" style="746" customWidth="1"/>
    <col min="20" max="20" width="13.625" style="743" customWidth="1"/>
    <col min="21" max="21" width="17.5" style="743" customWidth="1"/>
    <col min="22" max="22" width="12.125" style="743" customWidth="1"/>
    <col min="23" max="23" width="13.875" style="743" customWidth="1"/>
    <col min="24" max="24" width="14.375" style="743" customWidth="1"/>
    <col min="25" max="16384" width="11" style="743"/>
  </cols>
  <sheetData>
    <row r="1" spans="1:24" ht="15" customHeight="1" x14ac:dyDescent="0.25">
      <c r="A1" s="1598"/>
      <c r="B1" s="1598"/>
      <c r="C1" s="1598"/>
      <c r="D1" s="1599" t="s">
        <v>55</v>
      </c>
      <c r="E1" s="1599"/>
      <c r="F1" s="1599"/>
      <c r="G1" s="1599"/>
      <c r="H1" s="1599"/>
      <c r="I1" s="1599"/>
      <c r="J1" s="1599"/>
      <c r="K1" s="1599"/>
      <c r="L1" s="1599"/>
      <c r="M1" s="1599"/>
      <c r="N1" s="1599"/>
      <c r="O1" s="1599"/>
      <c r="P1" s="1599"/>
      <c r="Q1" s="1599"/>
      <c r="R1" s="1599"/>
      <c r="S1" s="1599"/>
      <c r="T1" s="1599"/>
      <c r="U1" s="1599"/>
      <c r="V1" s="1599"/>
      <c r="W1" s="1599"/>
      <c r="X1" s="1600" t="s">
        <v>35</v>
      </c>
    </row>
    <row r="2" spans="1:24" ht="15" customHeight="1" x14ac:dyDescent="0.25">
      <c r="A2" s="1598"/>
      <c r="B2" s="1598"/>
      <c r="C2" s="1598"/>
      <c r="D2" s="1599"/>
      <c r="E2" s="1599"/>
      <c r="F2" s="1599"/>
      <c r="G2" s="1599"/>
      <c r="H2" s="1599"/>
      <c r="I2" s="1599"/>
      <c r="J2" s="1599"/>
      <c r="K2" s="1599"/>
      <c r="L2" s="1599"/>
      <c r="M2" s="1599"/>
      <c r="N2" s="1599"/>
      <c r="O2" s="1599"/>
      <c r="P2" s="1599"/>
      <c r="Q2" s="1599"/>
      <c r="R2" s="1599"/>
      <c r="S2" s="1599"/>
      <c r="T2" s="1599"/>
      <c r="U2" s="1599"/>
      <c r="V2" s="1599"/>
      <c r="W2" s="1599"/>
      <c r="X2" s="1600"/>
    </row>
    <row r="3" spans="1:24" ht="15" customHeight="1" x14ac:dyDescent="0.25">
      <c r="A3" s="1598"/>
      <c r="B3" s="1598"/>
      <c r="C3" s="1598"/>
      <c r="D3" s="1599"/>
      <c r="E3" s="1599"/>
      <c r="F3" s="1599"/>
      <c r="G3" s="1599"/>
      <c r="H3" s="1599"/>
      <c r="I3" s="1599"/>
      <c r="J3" s="1599"/>
      <c r="K3" s="1599"/>
      <c r="L3" s="1599"/>
      <c r="M3" s="1599"/>
      <c r="N3" s="1599"/>
      <c r="O3" s="1599"/>
      <c r="P3" s="1599"/>
      <c r="Q3" s="1599"/>
      <c r="R3" s="1599"/>
      <c r="S3" s="1599"/>
      <c r="T3" s="1599"/>
      <c r="U3" s="1599"/>
      <c r="V3" s="1599"/>
      <c r="W3" s="1599"/>
      <c r="X3" s="1600" t="s">
        <v>56</v>
      </c>
    </row>
    <row r="4" spans="1:24" ht="15.75" customHeight="1" x14ac:dyDescent="0.25">
      <c r="A4" s="1598"/>
      <c r="B4" s="1598"/>
      <c r="C4" s="1598"/>
      <c r="D4" s="1599"/>
      <c r="E4" s="1599"/>
      <c r="F4" s="1599"/>
      <c r="G4" s="1599"/>
      <c r="H4" s="1599"/>
      <c r="I4" s="1599"/>
      <c r="J4" s="1599"/>
      <c r="K4" s="1599"/>
      <c r="L4" s="1599"/>
      <c r="M4" s="1599"/>
      <c r="N4" s="1599"/>
      <c r="O4" s="1599"/>
      <c r="P4" s="1599"/>
      <c r="Q4" s="1599"/>
      <c r="R4" s="1599"/>
      <c r="S4" s="1599"/>
      <c r="T4" s="1599"/>
      <c r="U4" s="1599"/>
      <c r="V4" s="1599"/>
      <c r="W4" s="1599"/>
      <c r="X4" s="1600"/>
    </row>
    <row r="5" spans="1:24" ht="18.75" customHeight="1" x14ac:dyDescent="0.25">
      <c r="A5" s="1648" t="s">
        <v>57</v>
      </c>
      <c r="B5" s="1648"/>
      <c r="C5" s="1648"/>
      <c r="D5" s="1648"/>
      <c r="E5" s="1648"/>
      <c r="F5" s="1648"/>
      <c r="G5" s="1648"/>
      <c r="H5" s="1648"/>
      <c r="I5" s="1648"/>
      <c r="J5" s="749"/>
      <c r="K5" s="1597" t="s">
        <v>58</v>
      </c>
      <c r="L5" s="1597"/>
      <c r="M5" s="1597"/>
      <c r="N5" s="1597"/>
      <c r="O5" s="1597"/>
      <c r="P5" s="1597"/>
      <c r="Q5" s="1597" t="s">
        <v>59</v>
      </c>
      <c r="R5" s="1597"/>
      <c r="S5" s="1597"/>
      <c r="T5" s="1597"/>
      <c r="U5" s="1597"/>
      <c r="V5" s="1597"/>
      <c r="W5" s="1597"/>
      <c r="X5" s="1597"/>
    </row>
    <row r="6" spans="1:24" s="763" customFormat="1" ht="51" x14ac:dyDescent="0.2">
      <c r="A6" s="813" t="s">
        <v>44</v>
      </c>
      <c r="B6" s="813" t="s">
        <v>64</v>
      </c>
      <c r="C6" s="813" t="s">
        <v>65</v>
      </c>
      <c r="D6" s="814" t="s">
        <v>66</v>
      </c>
      <c r="E6" s="813" t="s">
        <v>67</v>
      </c>
      <c r="F6" s="813" t="s">
        <v>68</v>
      </c>
      <c r="G6" s="814" t="s">
        <v>69</v>
      </c>
      <c r="H6" s="814" t="s">
        <v>70</v>
      </c>
      <c r="I6" s="813" t="s">
        <v>71</v>
      </c>
      <c r="J6" s="813" t="s">
        <v>72</v>
      </c>
      <c r="K6" s="813" t="s">
        <v>73</v>
      </c>
      <c r="L6" s="813" t="s">
        <v>74</v>
      </c>
      <c r="M6" s="846" t="s">
        <v>75</v>
      </c>
      <c r="N6" s="813" t="s">
        <v>76</v>
      </c>
      <c r="O6" s="813" t="s">
        <v>77</v>
      </c>
      <c r="P6" s="813" t="s">
        <v>78</v>
      </c>
      <c r="Q6" s="813" t="s">
        <v>79</v>
      </c>
      <c r="R6" s="813" t="s">
        <v>80</v>
      </c>
      <c r="S6" s="813" t="s">
        <v>67</v>
      </c>
      <c r="T6" s="813" t="s">
        <v>70</v>
      </c>
      <c r="U6" s="813" t="s">
        <v>81</v>
      </c>
      <c r="V6" s="813" t="s">
        <v>82</v>
      </c>
      <c r="W6" s="813" t="s">
        <v>83</v>
      </c>
      <c r="X6" s="813" t="s">
        <v>84</v>
      </c>
    </row>
    <row r="7" spans="1:24" s="780" customFormat="1" ht="85.5" customHeight="1" x14ac:dyDescent="0.2">
      <c r="A7" s="847">
        <f>'[12]Identificación del Riesgo GA'!D9</f>
        <v>1</v>
      </c>
      <c r="B7" s="848" t="str">
        <f>'[12]Identificación del Riesgo GA'!E9</f>
        <v xml:space="preserve">Insatisfacción en la provisión de bienes y servicios </v>
      </c>
      <c r="C7" s="848" t="str">
        <f>'[12]Identificación del Riesgo GA'!H9</f>
        <v>Por demoras en la atención de requerimientos
Los bienes y servicios suministrados no cumplen con la calidad requerida
Los bienes y servicios suministrados no son funcionales
Planeación deficiente acorde con las necesidades de la UPME</v>
      </c>
      <c r="D7" s="819" t="s">
        <v>223</v>
      </c>
      <c r="E7" s="847">
        <f>IF(D7="Selecciona un descriptor de frecuencia."," ",IF(D7="","",VLOOKUP(D7,[12]Datos!$G$8:$J$12,2,FALSE)))</f>
        <v>2</v>
      </c>
      <c r="F7" s="847" t="str">
        <f>IF(D7="Selecciona un descriptor de frecuencia."," ",IF(D7="","",VLOOKUP(D7,[12]Datos!$G$8:$J$12,3,FALSE)))</f>
        <v>Improbable</v>
      </c>
      <c r="G7" s="819" t="s">
        <v>226</v>
      </c>
      <c r="H7" s="847">
        <f>IF(G7="Selecciona un descriptor de impacto."," ",IF(G7="","",VLOOKUP(G7,[12]Datos!$K$8:$L$12,2,FALSE)))</f>
        <v>2</v>
      </c>
      <c r="I7" s="849" t="str">
        <f>IF(D7="Selecciona un descriptor de frecuencia."," ",IF(G7="Selecciona un descriptor de impacto."," ",IF(E7+H7=" ","",IF(E7="","",VLOOKUP(E7,[12]Datos!$U$8:$Z$12,MATCH(H7,[12]Datos!$V$7:$Z$7,0)+1,FALSE)))))</f>
        <v>BAJO</v>
      </c>
      <c r="J7" s="818" t="s">
        <v>122</v>
      </c>
      <c r="K7" s="707" t="s">
        <v>1040</v>
      </c>
      <c r="L7" s="707" t="s">
        <v>1041</v>
      </c>
      <c r="M7" s="820">
        <f>[12]Controles!T9</f>
        <v>55</v>
      </c>
      <c r="N7" s="820" t="str">
        <f>[12]Controles!AB9</f>
        <v>SI</v>
      </c>
      <c r="O7" s="547">
        <f>[12]Controles!W9</f>
        <v>0.55000000000000004</v>
      </c>
      <c r="P7" s="547">
        <f>[12]Controles!X9</f>
        <v>0.55000000000000004</v>
      </c>
      <c r="Q7" s="547">
        <f t="shared" ref="Q7:R10" si="0">SUM(O7:O7)</f>
        <v>0.55000000000000004</v>
      </c>
      <c r="R7" s="547">
        <f t="shared" si="0"/>
        <v>0.55000000000000004</v>
      </c>
      <c r="S7" s="850">
        <f>IF(D7="Selecciona un descriptor de frecuencia."," ",IF(ROUNDUP(E7-Q7,0)&lt;0,1,ROUNDUP(E7-Q7,0)))</f>
        <v>2</v>
      </c>
      <c r="T7" s="850">
        <f>IF(G7="Selecciona un descriptor de impacto."," ",IF(ROUNDUP(H7-R7,0)&lt;0,1,ROUNDUP(H7-R7,0)))</f>
        <v>2</v>
      </c>
      <c r="U7" s="547" t="str">
        <f>IF(D7="Selecciona un descriptor de frecuencia."," ",VLOOKUP(S7,[12]Datos!$H$8:$I$12,2,FALSE))</f>
        <v>Improbable</v>
      </c>
      <c r="V7" s="547" t="str">
        <f>IF(G7="Selecciona un descriptor de impacto."," ",VLOOKUP(T7,[12]Datos!$L$8:$M$12,2,FALSE))</f>
        <v>Menor</v>
      </c>
      <c r="W7" s="849" t="str">
        <f>IF(S7=" "," ",VLOOKUP(S7,[12]Datos!$U$8:$Z$12,MATCH(T7,[12]Datos!$V$7:$Z$7,0)+1,FALSE))</f>
        <v>BAJO</v>
      </c>
      <c r="X7" s="819" t="s">
        <v>202</v>
      </c>
    </row>
    <row r="8" spans="1:24" s="799" customFormat="1" ht="85.5" x14ac:dyDescent="0.2">
      <c r="A8" s="851">
        <f>'[12]Identificación del Riesgo GA'!D10</f>
        <v>2</v>
      </c>
      <c r="B8" s="848" t="str">
        <f>'[12]Identificación del Riesgo GA'!E10</f>
        <v>Deterioro prematuro de los bienes de la Entidad</v>
      </c>
      <c r="C8" s="848" t="str">
        <f>'[12]Identificación del Riesgo GA'!H10</f>
        <v xml:space="preserve">Mantenimientos deficientes
Planeación deficiente de los mantenimientos
Carencia de mantenimientos a la infraestructura
</v>
      </c>
      <c r="D8" s="819" t="s">
        <v>236</v>
      </c>
      <c r="E8" s="847">
        <f>IF(D8="Selecciona un descriptor de frecuencia."," ",IF(D8="","",VLOOKUP(D8,[12]Datos!$G$8:$J$12,2,FALSE)))</f>
        <v>1</v>
      </c>
      <c r="F8" s="847" t="str">
        <f>IF(D8="Selecciona un descriptor de frecuencia."," ",IF(D8="","",VLOOKUP(D8,[12]Datos!$G$8:$J$12,3,FALSE)))</f>
        <v>Rara vez</v>
      </c>
      <c r="G8" s="819" t="s">
        <v>204</v>
      </c>
      <c r="H8" s="851">
        <f>IF(G8="","",VLOOKUP(G8,[12]Datos!$K$8:$L$12,2,FALSE))</f>
        <v>3</v>
      </c>
      <c r="I8" s="849" t="str">
        <f>IF(D8="Selecciona un descriptor de frecuencia."," ",IF(G8="Selecciona un descriptor de impacto."," ",IF(E8+H8=" ","",IF(E8="","",VLOOKUP(E8,[12]Datos!$U$8:$Z$12,MATCH(H8,[12]Datos!$V$7:$Z$7,0)+1,FALSE)))))</f>
        <v>MODERADO</v>
      </c>
      <c r="J8" s="819" t="s">
        <v>122</v>
      </c>
      <c r="K8" s="707" t="s">
        <v>1042</v>
      </c>
      <c r="L8" s="707" t="s">
        <v>1043</v>
      </c>
      <c r="M8" s="820">
        <f>[12]Controles!T10</f>
        <v>55</v>
      </c>
      <c r="N8" s="820" t="str">
        <f>[12]Controles!AB10</f>
        <v>SI</v>
      </c>
      <c r="O8" s="547">
        <f>[12]Controles!W10</f>
        <v>0.55000000000000004</v>
      </c>
      <c r="P8" s="547">
        <f>[12]Controles!X10</f>
        <v>0.55000000000000004</v>
      </c>
      <c r="Q8" s="852">
        <f t="shared" si="0"/>
        <v>0.55000000000000004</v>
      </c>
      <c r="R8" s="852">
        <f t="shared" si="0"/>
        <v>0.55000000000000004</v>
      </c>
      <c r="S8" s="850">
        <f t="shared" ref="S8:S10" si="1">IF(D8="Selecciona un descriptor de frecuencia."," ",IF(ROUNDUP(E8-Q8,0)&lt;0,1,ROUNDUP(E8-Q8,0)))</f>
        <v>1</v>
      </c>
      <c r="T8" s="850">
        <f t="shared" ref="T8:T10" si="2">IF(G8="Selecciona un descriptor de impacto."," ",IF(ROUNDUP(H8-R8,0)&lt;0,1,ROUNDUP(H8-R8,0)))</f>
        <v>3</v>
      </c>
      <c r="U8" s="547" t="str">
        <f>IF(D8="Selecciona un descriptor de frecuencia."," ",VLOOKUP(S8,[12]Datos!$H$8:$I$12,2,FALSE))</f>
        <v>Rara vez</v>
      </c>
      <c r="V8" s="547" t="str">
        <f>IF(G8="Selecciona un descriptor de impacto."," ",VLOOKUP(T8,[12]Datos!$L$8:$M$12,2,FALSE))</f>
        <v>Moderado</v>
      </c>
      <c r="W8" s="849" t="str">
        <f>IF(S8=" "," ",VLOOKUP(S8,[12]Datos!$U$8:$Z$12,MATCH(T8,[12]Datos!$V$7:$Z$7,0)+1,FALSE))</f>
        <v>MODERADO</v>
      </c>
      <c r="X8" s="819" t="s">
        <v>202</v>
      </c>
    </row>
    <row r="9" spans="1:24" s="780" customFormat="1" ht="114" x14ac:dyDescent="0.2">
      <c r="A9" s="851">
        <f>'[12]Identificación del Riesgo GA'!D11</f>
        <v>3</v>
      </c>
      <c r="B9" s="848" t="str">
        <f>'[12]Identificación del Riesgo GA'!E11</f>
        <v>Uso indebido de los activos de la Entidad</v>
      </c>
      <c r="C9" s="848" t="str">
        <f>'[12]Identificación del Riesgo GA'!H11</f>
        <v xml:space="preserve">Desconocimiento de los lineamientos sobre la responsabilidad de los activos de la Entidad, por parte de los servidores publicos
Falta de apropiación y compromiso por parte de los servidores publicos respecto al buen uso de los activos
Inventarios de los servidores publicos desactualizados
</v>
      </c>
      <c r="D9" s="819" t="s">
        <v>210</v>
      </c>
      <c r="E9" s="847">
        <f>IF(D9="Selecciona un descriptor de frecuencia."," ",IF(D9="","",VLOOKUP(D9,[12]Datos!$G$8:$J$12,2,FALSE)))</f>
        <v>3</v>
      </c>
      <c r="F9" s="847" t="str">
        <f>IF(D9="Selecciona un descriptor de frecuencia."," ",IF(D9="","",VLOOKUP(D9,[12]Datos!$G$8:$J$12,3,FALSE)))</f>
        <v>Posible</v>
      </c>
      <c r="G9" s="819" t="s">
        <v>239</v>
      </c>
      <c r="H9" s="851">
        <f>IF(G9="","",VLOOKUP(G9,[12]Datos!$K$8:$L$12,2,FALSE))</f>
        <v>1</v>
      </c>
      <c r="I9" s="849" t="str">
        <f>IF(D9="Selecciona un descriptor de frecuencia."," ",IF(G9="Selecciona un descriptor de impacto."," ",IF(E9+H9=" ","",IF(E9="","",VLOOKUP(E9,[12]Datos!$U$8:$Z$12,MATCH(H9,[12]Datos!$V$7:$Z$7,0)+1,FALSE)))))</f>
        <v>BAJO</v>
      </c>
      <c r="J9" s="819" t="s">
        <v>122</v>
      </c>
      <c r="K9" s="853" t="s">
        <v>1044</v>
      </c>
      <c r="L9" s="853" t="s">
        <v>1045</v>
      </c>
      <c r="M9" s="820">
        <f>[12]Controles!T11</f>
        <v>85</v>
      </c>
      <c r="N9" s="820" t="str">
        <f>[12]Controles!AB11</f>
        <v>SI</v>
      </c>
      <c r="O9" s="547">
        <f>[12]Controles!W11</f>
        <v>0</v>
      </c>
      <c r="P9" s="547">
        <f>[12]Controles!X11</f>
        <v>0</v>
      </c>
      <c r="Q9" s="852">
        <f t="shared" si="0"/>
        <v>0</v>
      </c>
      <c r="R9" s="852">
        <f t="shared" si="0"/>
        <v>0</v>
      </c>
      <c r="S9" s="850">
        <f t="shared" si="1"/>
        <v>3</v>
      </c>
      <c r="T9" s="850">
        <f t="shared" si="2"/>
        <v>1</v>
      </c>
      <c r="U9" s="547" t="str">
        <f>IF(D9="Selecciona un descriptor de frecuencia."," ",VLOOKUP(S9,[12]Datos!$H$8:$I$12,2,FALSE))</f>
        <v>Posible</v>
      </c>
      <c r="V9" s="547" t="str">
        <f>IF(G9="Selecciona un descriptor de impacto."," ",VLOOKUP(T9,[12]Datos!$L$8:$M$12,2,FALSE))</f>
        <v>Insignificante</v>
      </c>
      <c r="W9" s="849" t="str">
        <f>IF(S9=" "," ",VLOOKUP(S9,[12]Datos!$U$8:$Z$12,MATCH(T9,[12]Datos!$V$7:$Z$7,0)+1,FALSE))</f>
        <v>BAJO</v>
      </c>
      <c r="X9" s="819" t="s">
        <v>202</v>
      </c>
    </row>
    <row r="10" spans="1:24" s="780" customFormat="1" ht="85.5" x14ac:dyDescent="0.2">
      <c r="A10" s="851">
        <f>'[12]Identificación del Riesgo GA'!D12</f>
        <v>4</v>
      </c>
      <c r="B10" s="848" t="str">
        <f>'[12]Identificación del Riesgo GA'!E12</f>
        <v>Perdida de los activos de la Entidad</v>
      </c>
      <c r="C10" s="848" t="str">
        <f>'[12]Identificación del Riesgo GA'!H12</f>
        <v>Inventarios desactualizados
Falta de lineamientos para el control de inventarios de la Entidad
Acciones para beneficio propio o de un tercero</v>
      </c>
      <c r="D10" s="819" t="s">
        <v>223</v>
      </c>
      <c r="E10" s="847">
        <f>IF(D10="Selecciona un descriptor de frecuencia."," ",IF(D10="","",VLOOKUP(D10,[12]Datos!$G$8:$J$12,2,FALSE)))</f>
        <v>2</v>
      </c>
      <c r="F10" s="847" t="str">
        <f>IF(D10="Selecciona un descriptor de frecuencia."," ",IF(D10="","",VLOOKUP(D10,[12]Datos!$G$8:$J$12,3,FALSE)))</f>
        <v>Improbable</v>
      </c>
      <c r="G10" s="819" t="s">
        <v>199</v>
      </c>
      <c r="H10" s="851">
        <f>IF(G10="","",VLOOKUP(G10,[12]Datos!$K$8:$L$12,2,FALSE))</f>
        <v>4</v>
      </c>
      <c r="I10" s="849" t="str">
        <f>IF(D10="Selecciona un descriptor de frecuencia."," ",IF(G10="Selecciona un descriptor de impacto."," ",IF(E10+H10=" ","",IF(E10="","",VLOOKUP(E10,[12]Datos!$U$8:$Z$12,MATCH(H10,[12]Datos!$V$7:$Z$7,0)+1,FALSE)))))</f>
        <v>ALTO</v>
      </c>
      <c r="J10" s="819" t="s">
        <v>122</v>
      </c>
      <c r="K10" s="853" t="s">
        <v>1046</v>
      </c>
      <c r="L10" s="853" t="s">
        <v>1047</v>
      </c>
      <c r="M10" s="820">
        <f>[12]Controles!T12</f>
        <v>100</v>
      </c>
      <c r="N10" s="820" t="str">
        <f>[12]Controles!AB12</f>
        <v>No</v>
      </c>
      <c r="O10" s="547">
        <f>[12]Controles!W12</f>
        <v>1</v>
      </c>
      <c r="P10" s="547">
        <f>[12]Controles!X12</f>
        <v>1</v>
      </c>
      <c r="Q10" s="852">
        <f t="shared" si="0"/>
        <v>1</v>
      </c>
      <c r="R10" s="852">
        <f t="shared" si="0"/>
        <v>1</v>
      </c>
      <c r="S10" s="850">
        <f t="shared" si="1"/>
        <v>1</v>
      </c>
      <c r="T10" s="850">
        <f t="shared" si="2"/>
        <v>3</v>
      </c>
      <c r="U10" s="547" t="str">
        <f>IF(D10="Selecciona un descriptor de frecuencia."," ",VLOOKUP(S10,[12]Datos!$H$8:$I$12,2,FALSE))</f>
        <v>Rara vez</v>
      </c>
      <c r="V10" s="547" t="str">
        <f>IF(G10="Selecciona un descriptor de impacto."," ",VLOOKUP(T10,[12]Datos!$L$8:$M$12,2,FALSE))</f>
        <v>Moderado</v>
      </c>
      <c r="W10" s="849" t="str">
        <f>IF(S10=" "," ",VLOOKUP(S10,[12]Datos!$U$8:$Z$12,MATCH(T10,[12]Datos!$V$7:$Z$7,0)+1,FALSE))</f>
        <v>MODERADO</v>
      </c>
      <c r="X10" s="819" t="s">
        <v>202</v>
      </c>
    </row>
  </sheetData>
  <mergeCells count="7">
    <mergeCell ref="A1:C4"/>
    <mergeCell ref="D1:W4"/>
    <mergeCell ref="X1:X2"/>
    <mergeCell ref="X3:X4"/>
    <mergeCell ref="A5:I5"/>
    <mergeCell ref="K5:P5"/>
    <mergeCell ref="Q5:X5"/>
  </mergeCells>
  <conditionalFormatting sqref="W7:X7 X8 I7:J10 W8:W10">
    <cfRule type="cellIs" dxfId="75" priority="9" operator="equal">
      <formula>"Extremo"</formula>
    </cfRule>
    <cfRule type="cellIs" dxfId="74" priority="10" operator="equal">
      <formula>"Moderado"</formula>
    </cfRule>
    <cfRule type="cellIs" dxfId="73" priority="11" operator="equal">
      <formula>"Bajo"</formula>
    </cfRule>
    <cfRule type="cellIs" dxfId="72" priority="12" operator="equal">
      <formula>"Alto"</formula>
    </cfRule>
  </conditionalFormatting>
  <conditionalFormatting sqref="X9">
    <cfRule type="cellIs" dxfId="71" priority="5" operator="equal">
      <formula>"Extremo"</formula>
    </cfRule>
    <cfRule type="cellIs" dxfId="70" priority="6" operator="equal">
      <formula>"Moderado"</formula>
    </cfRule>
    <cfRule type="cellIs" dxfId="69" priority="7" operator="equal">
      <formula>"Bajo"</formula>
    </cfRule>
    <cfRule type="cellIs" dxfId="68" priority="8" operator="equal">
      <formula>"Alto"</formula>
    </cfRule>
  </conditionalFormatting>
  <conditionalFormatting sqref="X10">
    <cfRule type="cellIs" dxfId="67" priority="1" operator="equal">
      <formula>"Extremo"</formula>
    </cfRule>
    <cfRule type="cellIs" dxfId="66" priority="2" operator="equal">
      <formula>"Moderado"</formula>
    </cfRule>
    <cfRule type="cellIs" dxfId="65" priority="3" operator="equal">
      <formula>"Bajo"</formula>
    </cfRule>
    <cfRule type="cellIs" dxfId="64" priority="4" operator="equal">
      <formula>"Alto"</formula>
    </cfRule>
  </conditionalFormatting>
  <dataValidations count="2">
    <dataValidation type="list" allowBlank="1" showInputMessage="1" showErrorMessage="1" sqref="X8:X10" xr:uid="{00000000-0002-0000-4D00-000000000000}">
      <formula1>$U$4:$U$5</formula1>
    </dataValidation>
    <dataValidation type="list" allowBlank="1" showInputMessage="1" showErrorMessage="1" sqref="J7:J10" xr:uid="{00000000-0002-0000-4D00-000001000000}">
      <formula1>"SI,NO"</formula1>
    </dataValidation>
  </dataValidations>
  <pageMargins left="7.874015748031496E-2" right="7.874015748031496E-2" top="1.1417322834645669" bottom="0.15748031496062992" header="0.31496062992125984" footer="0.31496062992125984"/>
  <pageSetup scale="38" orientation="landscape" horizontalDpi="1200" verticalDpi="1200" r:id="rId1"/>
  <headerFooter>
    <oddHeader>&amp;L&amp;G&amp;C
&amp;"-,Negrita"Matriz de Riesgos</oddHeader>
  </headerFooter>
  <rowBreaks count="1" manualBreakCount="1">
    <brk id="8" max="16383" man="1"/>
  </rowBreaks>
  <colBreaks count="1" manualBreakCount="1">
    <brk id="16" max="1048575" man="1"/>
  </col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D00-000002000000}">
          <x14:formula1>
            <xm:f>'C:\Users\sgomez.UPME\Documents\UPME 2020\Documents\Mapas de riesgos\[Mapa de riesgos. Gestion administrativa.xlsx]Datos'!#REF!</xm:f>
          </x14:formula1>
          <xm:sqref>G7:G10 X7 D7:D10</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AD12"/>
  <sheetViews>
    <sheetView topLeftCell="A7" zoomScale="70" zoomScaleNormal="70" zoomScaleSheetLayoutView="160" workbookViewId="0">
      <selection activeCell="B10" sqref="B10"/>
    </sheetView>
  </sheetViews>
  <sheetFormatPr baseColWidth="10" defaultColWidth="10" defaultRowHeight="12.75" x14ac:dyDescent="0.2"/>
  <cols>
    <col min="1" max="1" width="6.625" style="811" customWidth="1"/>
    <col min="2" max="2" width="16.75" style="811" customWidth="1"/>
    <col min="3" max="3" width="53.25" style="811" customWidth="1"/>
    <col min="4" max="4" width="22" style="763" customWidth="1"/>
    <col min="5" max="5" width="43.875" style="763" customWidth="1"/>
    <col min="6" max="10" width="21.75" style="811" customWidth="1"/>
    <col min="11" max="11" width="33.875" style="811" customWidth="1"/>
    <col min="12" max="12" width="21.75" style="811" customWidth="1"/>
    <col min="13" max="17" width="19.25" style="825" hidden="1" customWidth="1"/>
    <col min="18" max="18" width="22.625" style="825" hidden="1" customWidth="1"/>
    <col min="19" max="19" width="19.25" style="825" hidden="1" customWidth="1"/>
    <col min="20" max="20" width="8" style="825" customWidth="1"/>
    <col min="21" max="22" width="18.125" style="825" customWidth="1"/>
    <col min="23" max="23" width="17.75" style="825" hidden="1" customWidth="1"/>
    <col min="24" max="24" width="16.25" style="825" hidden="1" customWidth="1"/>
    <col min="25" max="25" width="15.25" style="825" customWidth="1"/>
    <col min="26" max="26" width="18.875" style="825" customWidth="1"/>
    <col min="27" max="27" width="15.625" style="825" customWidth="1"/>
    <col min="28" max="28" width="23.125" style="825" customWidth="1"/>
    <col min="29" max="29" width="22.25" style="826" customWidth="1"/>
    <col min="30" max="30" width="26.5" style="826" customWidth="1"/>
    <col min="31" max="16384" width="10" style="811"/>
  </cols>
  <sheetData>
    <row r="1" spans="1:30" ht="15.75" customHeight="1" x14ac:dyDescent="0.2">
      <c r="A1" s="1630"/>
      <c r="B1" s="1630"/>
      <c r="C1" s="1630"/>
      <c r="D1" s="1631" t="s">
        <v>0</v>
      </c>
      <c r="E1" s="1631"/>
      <c r="F1" s="1631"/>
      <c r="G1" s="1631"/>
      <c r="H1" s="1631"/>
      <c r="I1" s="1631"/>
      <c r="J1" s="1631"/>
      <c r="K1" s="1631"/>
      <c r="L1" s="1631"/>
      <c r="M1" s="1631"/>
      <c r="N1" s="1631"/>
      <c r="O1" s="1631"/>
      <c r="P1" s="1631"/>
      <c r="Q1" s="1631"/>
      <c r="R1" s="1631"/>
      <c r="S1" s="1631"/>
      <c r="T1" s="1631"/>
      <c r="U1" s="1631"/>
      <c r="V1" s="1631"/>
      <c r="W1" s="1631"/>
      <c r="X1" s="1631"/>
      <c r="Y1" s="1631"/>
      <c r="Z1" s="1631"/>
      <c r="AA1" s="1631"/>
      <c r="AB1" s="1631"/>
      <c r="AC1" s="1632" t="s">
        <v>128</v>
      </c>
      <c r="AD1" s="1632"/>
    </row>
    <row r="2" spans="1:30" ht="15.75" customHeight="1" x14ac:dyDescent="0.2">
      <c r="A2" s="1630"/>
      <c r="B2" s="1630"/>
      <c r="C2" s="1630"/>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2"/>
      <c r="AD2" s="1632"/>
    </row>
    <row r="3" spans="1:30" ht="15.75" customHeight="1" x14ac:dyDescent="0.2">
      <c r="A3" s="1630"/>
      <c r="B3" s="1630"/>
      <c r="C3" s="1630"/>
      <c r="D3" s="1631"/>
      <c r="E3" s="1631"/>
      <c r="F3" s="1631"/>
      <c r="G3" s="1631"/>
      <c r="H3" s="1631"/>
      <c r="I3" s="1631"/>
      <c r="J3" s="1631"/>
      <c r="K3" s="1631"/>
      <c r="L3" s="1631"/>
      <c r="M3" s="1631"/>
      <c r="N3" s="1631"/>
      <c r="O3" s="1631"/>
      <c r="P3" s="1631"/>
      <c r="Q3" s="1631"/>
      <c r="R3" s="1631"/>
      <c r="S3" s="1631"/>
      <c r="T3" s="1631"/>
      <c r="U3" s="1631"/>
      <c r="V3" s="1631"/>
      <c r="W3" s="1631"/>
      <c r="X3" s="1631"/>
      <c r="Y3" s="1631"/>
      <c r="Z3" s="1631"/>
      <c r="AA3" s="1631"/>
      <c r="AB3" s="1631"/>
      <c r="AC3" s="1632" t="s">
        <v>2</v>
      </c>
      <c r="AD3" s="1632"/>
    </row>
    <row r="4" spans="1:30" ht="15.75" customHeight="1" x14ac:dyDescent="0.2">
      <c r="A4" s="1630"/>
      <c r="B4" s="1630"/>
      <c r="C4" s="1630"/>
      <c r="D4" s="1631"/>
      <c r="E4" s="1631"/>
      <c r="F4" s="1631"/>
      <c r="G4" s="1631"/>
      <c r="H4" s="1631"/>
      <c r="I4" s="1631"/>
      <c r="J4" s="1631"/>
      <c r="K4" s="1631"/>
      <c r="L4" s="1631"/>
      <c r="M4" s="1631"/>
      <c r="N4" s="1631"/>
      <c r="O4" s="1631"/>
      <c r="P4" s="1631"/>
      <c r="Q4" s="1631"/>
      <c r="R4" s="1631"/>
      <c r="S4" s="1631"/>
      <c r="T4" s="1631"/>
      <c r="U4" s="1631"/>
      <c r="V4" s="1631"/>
      <c r="W4" s="1631"/>
      <c r="X4" s="1631"/>
      <c r="Y4" s="1631"/>
      <c r="Z4" s="1631"/>
      <c r="AA4" s="1631"/>
      <c r="AB4" s="1631"/>
      <c r="AC4" s="1632"/>
      <c r="AD4" s="1632"/>
    </row>
    <row r="5" spans="1:30" ht="15.75" customHeight="1" x14ac:dyDescent="0.2">
      <c r="A5" s="1585" t="s">
        <v>36</v>
      </c>
      <c r="B5" s="1586"/>
      <c r="C5" s="1587"/>
      <c r="D5" s="1633" t="str">
        <f t="array" ref="D5">+'[12]Identificación del Riesgo GA'!D5:N5</f>
        <v>GESTIÓN DE SERVICIOS ADMINISTRATIVOS</v>
      </c>
      <c r="E5" s="1634"/>
      <c r="F5" s="1634"/>
      <c r="G5" s="1634"/>
      <c r="H5" s="1634"/>
      <c r="I5" s="1634"/>
      <c r="J5" s="1634"/>
      <c r="K5" s="1634"/>
      <c r="L5" s="1634"/>
      <c r="M5" s="1634"/>
      <c r="N5" s="1634"/>
      <c r="O5" s="1634"/>
      <c r="P5" s="1634"/>
      <c r="Q5" s="1634"/>
      <c r="R5" s="1634"/>
      <c r="S5" s="1634"/>
      <c r="T5" s="1634"/>
      <c r="U5" s="1634"/>
      <c r="V5" s="1634"/>
      <c r="W5" s="1634"/>
      <c r="X5" s="1634"/>
      <c r="Y5" s="1634"/>
      <c r="Z5" s="1634"/>
      <c r="AA5" s="1634"/>
      <c r="AB5" s="1634"/>
      <c r="AC5" s="1634"/>
      <c r="AD5" s="1634"/>
    </row>
    <row r="6" spans="1:30" ht="15.75" customHeight="1" thickBot="1" x14ac:dyDescent="0.25">
      <c r="A6" s="1585" t="s">
        <v>37</v>
      </c>
      <c r="B6" s="1586"/>
      <c r="C6" s="1587"/>
      <c r="D6" s="1633" t="str">
        <f t="array" ref="D6">+'[12]Identificación del Riesgo GA'!D6:N6</f>
        <v>Administrar y custodiar los bienes muebles e inmuebles  que se encuentran bajo responsabilidad de la UPME, con criterios de eficiencia, compromiso ambiental  y  bienestar.</v>
      </c>
      <c r="E6" s="1634"/>
      <c r="F6" s="1634"/>
      <c r="G6" s="1634"/>
      <c r="H6" s="1634"/>
      <c r="I6" s="1634"/>
      <c r="J6" s="1634"/>
      <c r="K6" s="1634"/>
      <c r="L6" s="1634"/>
      <c r="M6" s="1634"/>
      <c r="N6" s="1634"/>
      <c r="O6" s="1634"/>
      <c r="P6" s="1634"/>
      <c r="Q6" s="1634"/>
      <c r="R6" s="1634"/>
      <c r="S6" s="1634"/>
      <c r="T6" s="1634"/>
      <c r="U6" s="1634"/>
      <c r="V6" s="1634"/>
      <c r="W6" s="1634"/>
      <c r="X6" s="1634"/>
      <c r="Y6" s="1634"/>
      <c r="Z6" s="1634"/>
      <c r="AA6" s="1634"/>
      <c r="AB6" s="1634"/>
      <c r="AC6" s="1634"/>
      <c r="AD6" s="1634"/>
    </row>
    <row r="7" spans="1:30" ht="15" customHeight="1" x14ac:dyDescent="0.2">
      <c r="A7" s="1635" t="s">
        <v>129</v>
      </c>
      <c r="B7" s="1636"/>
      <c r="C7" s="1636"/>
      <c r="D7" s="1636"/>
      <c r="E7" s="1636"/>
      <c r="F7" s="1636"/>
      <c r="G7" s="1636"/>
      <c r="H7" s="1636"/>
      <c r="I7" s="1636"/>
      <c r="J7" s="1636"/>
      <c r="K7" s="1636"/>
      <c r="L7" s="1636"/>
      <c r="M7" s="1636" t="s">
        <v>75</v>
      </c>
      <c r="N7" s="1636"/>
      <c r="O7" s="1636"/>
      <c r="P7" s="1636"/>
      <c r="Q7" s="1636"/>
      <c r="R7" s="1636"/>
      <c r="S7" s="1636"/>
      <c r="T7" s="1636"/>
      <c r="U7" s="1636"/>
      <c r="V7" s="1636"/>
      <c r="W7" s="1636"/>
      <c r="X7" s="1636"/>
      <c r="Y7" s="1636"/>
      <c r="Z7" s="1637" t="s">
        <v>130</v>
      </c>
      <c r="AA7" s="1637"/>
      <c r="AB7" s="1637"/>
      <c r="AC7" s="1638" t="s">
        <v>131</v>
      </c>
      <c r="AD7" s="1639"/>
    </row>
    <row r="8" spans="1:30" ht="51" x14ac:dyDescent="0.2">
      <c r="A8" s="812" t="s">
        <v>44</v>
      </c>
      <c r="B8" s="813" t="s">
        <v>64</v>
      </c>
      <c r="C8" s="813" t="s">
        <v>132</v>
      </c>
      <c r="D8" s="813" t="s">
        <v>73</v>
      </c>
      <c r="E8" s="813" t="s">
        <v>133</v>
      </c>
      <c r="F8" s="813" t="s">
        <v>134</v>
      </c>
      <c r="G8" s="813" t="s">
        <v>135</v>
      </c>
      <c r="H8" s="813" t="s">
        <v>136</v>
      </c>
      <c r="I8" s="813" t="s">
        <v>137</v>
      </c>
      <c r="J8" s="813" t="s">
        <v>138</v>
      </c>
      <c r="K8" s="813" t="s">
        <v>139</v>
      </c>
      <c r="L8" s="813" t="s">
        <v>140</v>
      </c>
      <c r="M8" s="813" t="s">
        <v>134</v>
      </c>
      <c r="N8" s="813" t="s">
        <v>135</v>
      </c>
      <c r="O8" s="813" t="s">
        <v>141</v>
      </c>
      <c r="P8" s="813" t="s">
        <v>137</v>
      </c>
      <c r="Q8" s="813" t="s">
        <v>138</v>
      </c>
      <c r="R8" s="813" t="s">
        <v>139</v>
      </c>
      <c r="S8" s="813" t="s">
        <v>140</v>
      </c>
      <c r="T8" s="814" t="s">
        <v>121</v>
      </c>
      <c r="U8" s="813" t="s">
        <v>142</v>
      </c>
      <c r="V8" s="813" t="s">
        <v>143</v>
      </c>
      <c r="W8" s="813" t="s">
        <v>142</v>
      </c>
      <c r="X8" s="813" t="s">
        <v>143</v>
      </c>
      <c r="Y8" s="813" t="s">
        <v>144</v>
      </c>
      <c r="Z8" s="813" t="s">
        <v>145</v>
      </c>
      <c r="AA8" s="813" t="s">
        <v>146</v>
      </c>
      <c r="AB8" s="813" t="s">
        <v>76</v>
      </c>
      <c r="AC8" s="813" t="s">
        <v>147</v>
      </c>
      <c r="AD8" s="815" t="s">
        <v>148</v>
      </c>
    </row>
    <row r="9" spans="1:30" s="780" customFormat="1" ht="158.25" customHeight="1" x14ac:dyDescent="0.2">
      <c r="A9" s="816">
        <f>'[12]Identificación del Riesgo GA'!D9</f>
        <v>1</v>
      </c>
      <c r="B9" s="654" t="str">
        <f>'[12]Identificación del Riesgo GA'!E9</f>
        <v xml:space="preserve">Insatisfacción en la provisión de bienes y servicios </v>
      </c>
      <c r="C9" s="817" t="str">
        <f>'[12]Identificación del Riesgo GA'!H9</f>
        <v>Por demoras en la atención de requerimientos
Los bienes y servicios suministrados no cumplen con la calidad requerida
Los bienes y servicios suministrados no son funcionales
Planeación deficiente acorde con las necesidades de la UPME</v>
      </c>
      <c r="D9" s="654" t="str">
        <f>'[12]Analisis Riesgo'!K7</f>
        <v>Plan de Adquisiciones estructurado</v>
      </c>
      <c r="E9" s="654" t="str">
        <f>'[12]Analisis Riesgo'!L7</f>
        <v>Plan anual de Adquisiciones estructurado respecto al presupuesto de funcionamiento</v>
      </c>
      <c r="F9" s="818" t="s">
        <v>296</v>
      </c>
      <c r="G9" s="818" t="s">
        <v>834</v>
      </c>
      <c r="H9" s="818" t="s">
        <v>300</v>
      </c>
      <c r="I9" s="818" t="s">
        <v>868</v>
      </c>
      <c r="J9" s="818" t="s">
        <v>302</v>
      </c>
      <c r="K9" s="819" t="s">
        <v>303</v>
      </c>
      <c r="L9" s="818" t="s">
        <v>304</v>
      </c>
      <c r="M9" s="820">
        <f>IF(F9="Asignado", 15,0)</f>
        <v>15</v>
      </c>
      <c r="N9" s="820">
        <f>IF(G9="Adecuado",15,0)</f>
        <v>0</v>
      </c>
      <c r="O9" s="820">
        <f t="shared" ref="O9:O12" si="0">IF(H9="Oportuna",15,0)</f>
        <v>15</v>
      </c>
      <c r="P9" s="820">
        <f t="shared" ref="P9:P12" si="1">IF(I9="Prevenir",15,IF(I9="Detectar",10,0))</f>
        <v>0</v>
      </c>
      <c r="Q9" s="820">
        <f t="shared" ref="Q9:Q12" si="2">IF(J9="Confiable", 15,0)</f>
        <v>15</v>
      </c>
      <c r="R9" s="820">
        <f t="shared" ref="R9:R12" si="3">IF(K9="Se invesigan y resuelven oportunamente",15,0)</f>
        <v>0</v>
      </c>
      <c r="S9" s="820">
        <f t="shared" ref="S9:S12" si="4">IF(L9="Completa",10,IF(L9="Incompleta",5,0))</f>
        <v>10</v>
      </c>
      <c r="T9" s="820">
        <f t="shared" ref="T9:T12" si="5">SUM(M9:S9)</f>
        <v>55</v>
      </c>
      <c r="U9" s="818" t="s">
        <v>122</v>
      </c>
      <c r="V9" s="818" t="s">
        <v>122</v>
      </c>
      <c r="W9" s="820">
        <f t="shared" ref="W9:W12" si="6">IF(U9="SI",1,0)*T9/100</f>
        <v>0.55000000000000004</v>
      </c>
      <c r="X9" s="820">
        <f t="shared" ref="X9:X12" si="7">IF(V9="SI",1,0)*T9/100</f>
        <v>0.55000000000000004</v>
      </c>
      <c r="Y9" s="820" t="str">
        <f t="shared" ref="Y9:Y12" si="8">IF(W9&gt;=0.96,"Fuerte",IF(W9&gt;=0.86,"Moderado","Debil"))</f>
        <v>Debil</v>
      </c>
      <c r="Z9" s="818" t="s">
        <v>305</v>
      </c>
      <c r="AA9" s="820" t="str">
        <f t="shared" ref="AA9:AA12" si="9">IF(Z9="Siempre se ejecuta","Fuerte",IF(Z9="Algunas veces se ejecuta","Moderado","Debil"))</f>
        <v>Fuerte</v>
      </c>
      <c r="AB9" s="820" t="str">
        <f>IF(Y9="Fuerte",IF(AA9="Fuerte","No","SI"),"SI")</f>
        <v>SI</v>
      </c>
      <c r="AC9" s="821" t="s">
        <v>1048</v>
      </c>
      <c r="AD9" s="822"/>
    </row>
    <row r="10" spans="1:30" s="780" customFormat="1" ht="107.25" customHeight="1" x14ac:dyDescent="0.2">
      <c r="A10" s="816">
        <f>'[12]Identificación del Riesgo GA'!D10</f>
        <v>2</v>
      </c>
      <c r="B10" s="654" t="str">
        <f>'[12]Identificación del Riesgo GA'!E10</f>
        <v>Deterioro prematuro de los bienes de la Entidad</v>
      </c>
      <c r="C10" s="823" t="str">
        <f>'[12]Identificación del Riesgo GA'!H10</f>
        <v xml:space="preserve">Mantenimientos deficientes
Planeación deficiente de los mantenimientos
Carencia de mantenimientos a la infraestructura
</v>
      </c>
      <c r="D10" s="654" t="str">
        <f>'[12]Analisis Riesgo'!K8</f>
        <v xml:space="preserve">Programación de mantenimientos dentro del Plan de Adquisiciones </v>
      </c>
      <c r="E10" s="654" t="str">
        <f>'[12]Analisis Riesgo'!L8</f>
        <v xml:space="preserve">Inclusion de los mantenimientos dentro del Plan anual de Adquisiciones </v>
      </c>
      <c r="F10" s="818" t="s">
        <v>296</v>
      </c>
      <c r="G10" s="818" t="s">
        <v>834</v>
      </c>
      <c r="H10" s="818" t="s">
        <v>300</v>
      </c>
      <c r="I10" s="818" t="s">
        <v>868</v>
      </c>
      <c r="J10" s="818" t="s">
        <v>302</v>
      </c>
      <c r="K10" s="819" t="s">
        <v>303</v>
      </c>
      <c r="L10" s="818" t="s">
        <v>304</v>
      </c>
      <c r="M10" s="820">
        <f>IF(F10="Asignado", 15,0)</f>
        <v>15</v>
      </c>
      <c r="N10" s="820">
        <f>IF(G10="Adecuado",15,0)</f>
        <v>0</v>
      </c>
      <c r="O10" s="820">
        <f t="shared" si="0"/>
        <v>15</v>
      </c>
      <c r="P10" s="820">
        <f t="shared" si="1"/>
        <v>0</v>
      </c>
      <c r="Q10" s="820">
        <f t="shared" si="2"/>
        <v>15</v>
      </c>
      <c r="R10" s="820">
        <f t="shared" si="3"/>
        <v>0</v>
      </c>
      <c r="S10" s="820">
        <f t="shared" si="4"/>
        <v>10</v>
      </c>
      <c r="T10" s="820">
        <f t="shared" si="5"/>
        <v>55</v>
      </c>
      <c r="U10" s="818" t="s">
        <v>122</v>
      </c>
      <c r="V10" s="818" t="s">
        <v>122</v>
      </c>
      <c r="W10" s="820">
        <f t="shared" si="6"/>
        <v>0.55000000000000004</v>
      </c>
      <c r="X10" s="820">
        <f t="shared" si="7"/>
        <v>0.55000000000000004</v>
      </c>
      <c r="Y10" s="820" t="str">
        <f t="shared" si="8"/>
        <v>Debil</v>
      </c>
      <c r="Z10" s="818" t="s">
        <v>305</v>
      </c>
      <c r="AA10" s="820" t="str">
        <f t="shared" si="9"/>
        <v>Fuerte</v>
      </c>
      <c r="AB10" s="820" t="str">
        <f>IF(Y10="Fuerte",IF(AA10="Fuerte","No","SI"),"SI")</f>
        <v>SI</v>
      </c>
      <c r="AC10" s="821" t="s">
        <v>1048</v>
      </c>
      <c r="AD10" s="822"/>
    </row>
    <row r="11" spans="1:30" s="780" customFormat="1" ht="154.5" customHeight="1" x14ac:dyDescent="0.2">
      <c r="A11" s="816">
        <f>'[12]Identificación del Riesgo GA'!D11</f>
        <v>3</v>
      </c>
      <c r="B11" s="654" t="str">
        <f>'[12]Identificación del Riesgo GA'!E11</f>
        <v>Uso indebido de los activos de la Entidad</v>
      </c>
      <c r="C11" s="823" t="str">
        <f>'[12]Identificación del Riesgo GA'!H11</f>
        <v xml:space="preserve">Desconocimiento de los lineamientos sobre la responsabilidad de los activos de la Entidad, por parte de los servidores publicos
Falta de apropiación y compromiso por parte de los servidores publicos respecto al buen uso de los activos
Inventarios de los servidores publicos desactualizados
</v>
      </c>
      <c r="D11" s="654" t="str">
        <f>'[12]Analisis Riesgo'!K9</f>
        <v>Inventario de los activos para  los servidores publicos</v>
      </c>
      <c r="E11" s="654" t="str">
        <f>'[12]Analisis Riesgo'!L9</f>
        <v>Elaboración de inventario de los activos suministrados a los servidores publicos</v>
      </c>
      <c r="F11" s="818" t="s">
        <v>296</v>
      </c>
      <c r="G11" s="818" t="s">
        <v>299</v>
      </c>
      <c r="H11" s="818" t="s">
        <v>300</v>
      </c>
      <c r="I11" s="818" t="s">
        <v>868</v>
      </c>
      <c r="J11" s="818" t="s">
        <v>302</v>
      </c>
      <c r="K11" s="819" t="s">
        <v>368</v>
      </c>
      <c r="L11" s="818" t="s">
        <v>304</v>
      </c>
      <c r="M11" s="820">
        <f t="shared" ref="M11:M12" si="10">IF(F11="Asignado", 15,0)</f>
        <v>15</v>
      </c>
      <c r="N11" s="820">
        <f t="shared" ref="N11:N12" si="11">IF(G11="Adecuado",15,0)</f>
        <v>15</v>
      </c>
      <c r="O11" s="820">
        <f t="shared" si="0"/>
        <v>15</v>
      </c>
      <c r="P11" s="820">
        <f t="shared" si="1"/>
        <v>0</v>
      </c>
      <c r="Q11" s="820">
        <f t="shared" si="2"/>
        <v>15</v>
      </c>
      <c r="R11" s="820">
        <f t="shared" si="3"/>
        <v>15</v>
      </c>
      <c r="S11" s="820">
        <f t="shared" si="4"/>
        <v>10</v>
      </c>
      <c r="T11" s="820">
        <f t="shared" si="5"/>
        <v>85</v>
      </c>
      <c r="U11" s="818" t="s">
        <v>263</v>
      </c>
      <c r="V11" s="818" t="s">
        <v>263</v>
      </c>
      <c r="W11" s="820">
        <f t="shared" si="6"/>
        <v>0</v>
      </c>
      <c r="X11" s="820">
        <f t="shared" si="7"/>
        <v>0</v>
      </c>
      <c r="Y11" s="820" t="str">
        <f t="shared" si="8"/>
        <v>Debil</v>
      </c>
      <c r="Z11" s="818" t="s">
        <v>305</v>
      </c>
      <c r="AA11" s="820" t="str">
        <f t="shared" si="9"/>
        <v>Fuerte</v>
      </c>
      <c r="AB11" s="820" t="str">
        <f t="shared" ref="AB11:AB12" si="12">IF(Y11="Fuerte",IF(AA11="Fuerte","No","SI"),"SI")</f>
        <v>SI</v>
      </c>
      <c r="AC11" s="854" t="s">
        <v>1049</v>
      </c>
      <c r="AD11" s="822"/>
    </row>
    <row r="12" spans="1:30" s="780" customFormat="1" ht="85.5" customHeight="1" x14ac:dyDescent="0.2">
      <c r="A12" s="816">
        <f>'[12]Identificación del Riesgo GA'!D12</f>
        <v>4</v>
      </c>
      <c r="B12" s="654" t="str">
        <f>'[12]Identificación del Riesgo GA'!E12</f>
        <v>Perdida de los activos de la Entidad</v>
      </c>
      <c r="C12" s="823" t="str">
        <f>'[12]Identificación del Riesgo GA'!H12</f>
        <v>Inventarios desactualizados
Falta de lineamientos para el control de inventarios de la Entidad
Acciones para beneficio propio o de un tercero</v>
      </c>
      <c r="D12" s="654" t="str">
        <f>'[12]Analisis Riesgo'!K10</f>
        <v>Inventario de los activos para  los servidores publicos. Tercerización seguridad de las instalaciones de la UPME</v>
      </c>
      <c r="E12" s="654" t="str">
        <f>'[12]Analisis Riesgo'!L10</f>
        <v>Elaboración de inventario de los activos suministrados a los servidores publicos. Tercerización seguridad de las instalaciones de la UPME, a traves de vigilancia privada, circuito cerrado de vigilancia y control de acceso a las instalaciones</v>
      </c>
      <c r="F12" s="818" t="s">
        <v>296</v>
      </c>
      <c r="G12" s="818" t="s">
        <v>299</v>
      </c>
      <c r="H12" s="818" t="s">
        <v>300</v>
      </c>
      <c r="I12" s="818" t="s">
        <v>301</v>
      </c>
      <c r="J12" s="818" t="s">
        <v>302</v>
      </c>
      <c r="K12" s="819" t="s">
        <v>368</v>
      </c>
      <c r="L12" s="818" t="s">
        <v>304</v>
      </c>
      <c r="M12" s="820">
        <f t="shared" si="10"/>
        <v>15</v>
      </c>
      <c r="N12" s="820">
        <f t="shared" si="11"/>
        <v>15</v>
      </c>
      <c r="O12" s="820">
        <f t="shared" si="0"/>
        <v>15</v>
      </c>
      <c r="P12" s="820">
        <f t="shared" si="1"/>
        <v>15</v>
      </c>
      <c r="Q12" s="820">
        <f t="shared" si="2"/>
        <v>15</v>
      </c>
      <c r="R12" s="820">
        <f t="shared" si="3"/>
        <v>15</v>
      </c>
      <c r="S12" s="820">
        <f t="shared" si="4"/>
        <v>10</v>
      </c>
      <c r="T12" s="820">
        <f t="shared" si="5"/>
        <v>100</v>
      </c>
      <c r="U12" s="818" t="s">
        <v>122</v>
      </c>
      <c r="V12" s="818" t="s">
        <v>122</v>
      </c>
      <c r="W12" s="820">
        <f t="shared" si="6"/>
        <v>1</v>
      </c>
      <c r="X12" s="820">
        <f t="shared" si="7"/>
        <v>1</v>
      </c>
      <c r="Y12" s="820" t="str">
        <f t="shared" si="8"/>
        <v>Fuerte</v>
      </c>
      <c r="Z12" s="818" t="s">
        <v>305</v>
      </c>
      <c r="AA12" s="820" t="str">
        <f t="shared" si="9"/>
        <v>Fuerte</v>
      </c>
      <c r="AB12" s="820" t="str">
        <f t="shared" si="12"/>
        <v>No</v>
      </c>
      <c r="AC12" s="854" t="s">
        <v>1049</v>
      </c>
      <c r="AD12" s="822"/>
    </row>
  </sheetData>
  <mergeCells count="12">
    <mergeCell ref="A6:C6"/>
    <mergeCell ref="D6:AD6"/>
    <mergeCell ref="A7:L7"/>
    <mergeCell ref="M7:Y7"/>
    <mergeCell ref="Z7:AB7"/>
    <mergeCell ref="AC7:AD7"/>
    <mergeCell ref="A1:C4"/>
    <mergeCell ref="D1:AB4"/>
    <mergeCell ref="AC1:AD2"/>
    <mergeCell ref="AC3:AD4"/>
    <mergeCell ref="A5:C5"/>
    <mergeCell ref="D5:AD5"/>
  </mergeCells>
  <dataValidations count="17">
    <dataValidation type="list" allowBlank="1" showInputMessage="1" showErrorMessage="1" sqref="Z11:Z12" xr:uid="{00000000-0002-0000-4E00-000000000000}">
      <formula1>"Siempre se ejecuta,Algunas veces se ejecuta,No se ejecuta"</formula1>
    </dataValidation>
    <dataValidation type="list" allowBlank="1" showInputMessage="1" showErrorMessage="1" sqref="F11:F12" xr:uid="{00000000-0002-0000-4E00-000001000000}">
      <formula1>"Asignado, No asignado"</formula1>
    </dataValidation>
    <dataValidation type="list" allowBlank="1" showInputMessage="1" showErrorMessage="1" sqref="G11:G12" xr:uid="{00000000-0002-0000-4E00-000002000000}">
      <formula1>"Adecuado, Inadecuado"</formula1>
    </dataValidation>
    <dataValidation type="list" allowBlank="1" showInputMessage="1" showErrorMessage="1" sqref="H11:H12" xr:uid="{00000000-0002-0000-4E00-000003000000}">
      <formula1>"Oportuna, Inoportuna"</formula1>
    </dataValidation>
    <dataValidation type="list" allowBlank="1" showInputMessage="1" showErrorMessage="1" sqref="I11:I12" xr:uid="{00000000-0002-0000-4E00-000004000000}">
      <formula1>"Prevenir, Detectar, No es un control"</formula1>
    </dataValidation>
    <dataValidation type="list" allowBlank="1" showInputMessage="1" showErrorMessage="1" sqref="J11:J12" xr:uid="{00000000-0002-0000-4E00-000005000000}">
      <formula1>"Confiable, No Confiable"</formula1>
    </dataValidation>
    <dataValidation type="list" allowBlank="1" showInputMessage="1" showErrorMessage="1" sqref="K11:K12" xr:uid="{00000000-0002-0000-4E00-000006000000}">
      <formula1>"Se invesigan y resuelven oportunamente, No se investigan y resuelven oportunamente"</formula1>
    </dataValidation>
    <dataValidation type="list" allowBlank="1" showInputMessage="1" showErrorMessage="1" sqref="L11:L12" xr:uid="{00000000-0002-0000-4E00-000007000000}">
      <formula1>"Completa, Incompleta, No existe"</formula1>
    </dataValidation>
    <dataValidation type="list" allowBlank="1" showInputMessage="1" showErrorMessage="1" sqref="Z9:Z10" xr:uid="{00000000-0002-0000-4E00-000008000000}">
      <formula1>"Siempre se ejecuta,Algunas veces se ejecuta,No se ejecuta,Seleccione"</formula1>
    </dataValidation>
    <dataValidation type="list" allowBlank="1" showInputMessage="1" showErrorMessage="1" sqref="U9:V12" xr:uid="{00000000-0002-0000-4E00-000009000000}">
      <formula1>"SI, NO,Seleccione"</formula1>
    </dataValidation>
    <dataValidation type="list" allowBlank="1" showInputMessage="1" showErrorMessage="1" sqref="L9:L10" xr:uid="{00000000-0002-0000-4E00-00000A000000}">
      <formula1>"Completa, Incompleta, No existe,Seleccione"</formula1>
    </dataValidation>
    <dataValidation type="list" allowBlank="1" showInputMessage="1" showErrorMessage="1" sqref="K9:K10" xr:uid="{00000000-0002-0000-4E00-00000B000000}">
      <formula1>"Se investigan y resuelven oportunamente, No se investigan y resuelven oportunamente,Seleccione"</formula1>
    </dataValidation>
    <dataValidation type="list" allowBlank="1" showInputMessage="1" showErrorMessage="1" sqref="J9:J10" xr:uid="{00000000-0002-0000-4E00-00000C000000}">
      <formula1>"Confiable, No Confiable,Seleccione"</formula1>
    </dataValidation>
    <dataValidation type="list" allowBlank="1" showInputMessage="1" showErrorMessage="1" sqref="I9:I10" xr:uid="{00000000-0002-0000-4E00-00000D000000}">
      <formula1>"Prevenir, Detectar, No es un control,Seleccione"</formula1>
    </dataValidation>
    <dataValidation type="list" allowBlank="1" showInputMessage="1" showErrorMessage="1" sqref="H9:H10" xr:uid="{00000000-0002-0000-4E00-00000E000000}">
      <formula1>"Oportuna, Inoportuna,Seleccione"</formula1>
    </dataValidation>
    <dataValidation type="list" allowBlank="1" showInputMessage="1" showErrorMessage="1" sqref="G9:G10" xr:uid="{00000000-0002-0000-4E00-00000F000000}">
      <formula1>"Adecuado, Inadecuado,Seleccione"</formula1>
    </dataValidation>
    <dataValidation type="list" allowBlank="1" showInputMessage="1" showErrorMessage="1" sqref="F9:F10" xr:uid="{00000000-0002-0000-4E00-000010000000}">
      <formula1>"Asignado, No asignado, Seleccione"</formula1>
    </dataValidation>
  </dataValidations>
  <pageMargins left="0.11811023622047245" right="0.11811023622047245" top="1.1417322834645669" bottom="0.74803149606299213" header="0.31496062992125984" footer="0.31496062992125984"/>
  <pageSetup scale="36" orientation="landscape" horizontalDpi="1200" verticalDpi="1200" r:id="rId1"/>
  <headerFooter>
    <oddHeader>&amp;L&amp;G&amp;C
&amp;"-,Negrita"Matriz de Riesgos</oddHeader>
  </headerFooter>
  <rowBreaks count="1" manualBreakCount="1">
    <brk id="10" max="16383" man="1"/>
  </rowBreaks>
  <colBreaks count="1" manualBreakCount="1">
    <brk id="12" max="1048575" man="1"/>
  </colBreaks>
  <drawing r:id="rId2"/>
  <legacyDrawingHF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X8"/>
  <sheetViews>
    <sheetView showGridLines="0" topLeftCell="A7" workbookViewId="0">
      <selection activeCell="C7" sqref="C7:C8"/>
    </sheetView>
  </sheetViews>
  <sheetFormatPr baseColWidth="10" defaultRowHeight="14.25" x14ac:dyDescent="0.2"/>
  <cols>
    <col min="1" max="1" width="3.625" style="128" customWidth="1"/>
    <col min="2" max="2" width="26.625" style="128" customWidth="1"/>
    <col min="3" max="3" width="38.875" style="128" customWidth="1"/>
    <col min="4" max="4" width="38.5" style="128" customWidth="1"/>
    <col min="5" max="5" width="20.5" style="128" customWidth="1"/>
    <col min="6" max="6" width="25.875" style="128" customWidth="1"/>
    <col min="7" max="7" width="23" style="128" customWidth="1"/>
    <col min="8" max="10" width="19.375" style="128" customWidth="1"/>
    <col min="11" max="11" width="18.25" style="128" customWidth="1"/>
    <col min="12" max="12" width="41.625" style="128" customWidth="1"/>
    <col min="13" max="13" width="27.25" style="128" customWidth="1"/>
    <col min="14" max="15" width="10.75" style="128" customWidth="1"/>
    <col min="16" max="16" width="27.25" style="128" customWidth="1"/>
    <col min="17" max="22" width="25.75" style="128" customWidth="1"/>
    <col min="23" max="23" width="33.5" style="128" customWidth="1"/>
    <col min="24" max="24" width="45.625" style="128" customWidth="1"/>
    <col min="25" max="16384" width="11" style="128"/>
  </cols>
  <sheetData>
    <row r="1" spans="1:24" ht="33.75" customHeight="1" x14ac:dyDescent="0.2">
      <c r="A1" s="1058"/>
      <c r="B1" s="1058"/>
      <c r="C1" s="1058"/>
      <c r="D1" s="1059" t="s">
        <v>314</v>
      </c>
      <c r="E1" s="1060"/>
      <c r="F1" s="1060"/>
      <c r="G1" s="1060"/>
      <c r="H1" s="1060"/>
      <c r="I1" s="1060"/>
      <c r="J1" s="1060"/>
      <c r="K1" s="1060"/>
      <c r="L1" s="1060"/>
      <c r="M1" s="1060"/>
      <c r="N1" s="1060"/>
      <c r="O1" s="1060"/>
      <c r="P1" s="1060"/>
      <c r="Q1" s="1060"/>
      <c r="R1" s="1060"/>
      <c r="S1" s="1060"/>
      <c r="T1" s="1060"/>
      <c r="U1" s="1060"/>
      <c r="V1" s="1061"/>
      <c r="W1" s="126" t="s">
        <v>315</v>
      </c>
      <c r="X1" s="127"/>
    </row>
    <row r="2" spans="1:24" ht="48" customHeight="1" x14ac:dyDescent="0.2">
      <c r="A2" s="1058"/>
      <c r="B2" s="1058"/>
      <c r="C2" s="1058"/>
      <c r="D2" s="1062"/>
      <c r="E2" s="1063"/>
      <c r="F2" s="1063"/>
      <c r="G2" s="1063"/>
      <c r="H2" s="1063"/>
      <c r="I2" s="1063"/>
      <c r="J2" s="1063"/>
      <c r="K2" s="1063"/>
      <c r="L2" s="1063"/>
      <c r="M2" s="1063"/>
      <c r="N2" s="1063"/>
      <c r="O2" s="1063"/>
      <c r="P2" s="1063"/>
      <c r="Q2" s="1063"/>
      <c r="R2" s="1063"/>
      <c r="S2" s="1063"/>
      <c r="T2" s="1063"/>
      <c r="U2" s="1063"/>
      <c r="V2" s="1064"/>
      <c r="W2" s="126" t="s">
        <v>316</v>
      </c>
      <c r="X2" s="127"/>
    </row>
    <row r="3" spans="1:24" ht="30" x14ac:dyDescent="0.2">
      <c r="A3" s="1065" t="s">
        <v>57</v>
      </c>
      <c r="B3" s="1066"/>
      <c r="C3" s="1066"/>
      <c r="D3" s="1066"/>
      <c r="E3" s="1066"/>
      <c r="F3" s="1066"/>
      <c r="G3" s="1067"/>
      <c r="H3" s="1068"/>
      <c r="I3" s="1068"/>
      <c r="J3" s="1068"/>
      <c r="K3" s="1068"/>
      <c r="L3" s="1069" t="s">
        <v>60</v>
      </c>
      <c r="M3" s="1068"/>
      <c r="N3" s="1068"/>
      <c r="O3" s="1068"/>
      <c r="P3" s="1070"/>
      <c r="Q3" s="1071" t="s">
        <v>61</v>
      </c>
      <c r="R3" s="1072"/>
      <c r="S3" s="1072"/>
      <c r="T3" s="1072"/>
      <c r="U3" s="1072"/>
      <c r="V3" s="1073"/>
      <c r="W3" s="129" t="s">
        <v>62</v>
      </c>
      <c r="X3" s="129" t="s">
        <v>63</v>
      </c>
    </row>
    <row r="4" spans="1:24" s="141" customFormat="1" ht="38.25" x14ac:dyDescent="0.2">
      <c r="A4" s="130" t="s">
        <v>44</v>
      </c>
      <c r="B4" s="131" t="s">
        <v>64</v>
      </c>
      <c r="C4" s="131" t="s">
        <v>65</v>
      </c>
      <c r="D4" s="131" t="s">
        <v>317</v>
      </c>
      <c r="E4" s="131" t="s">
        <v>68</v>
      </c>
      <c r="F4" s="131" t="s">
        <v>69</v>
      </c>
      <c r="G4" s="132" t="s">
        <v>71</v>
      </c>
      <c r="H4" s="131" t="s">
        <v>81</v>
      </c>
      <c r="I4" s="131" t="s">
        <v>82</v>
      </c>
      <c r="J4" s="131" t="s">
        <v>83</v>
      </c>
      <c r="K4" s="139" t="s">
        <v>84</v>
      </c>
      <c r="L4" s="130" t="s">
        <v>85</v>
      </c>
      <c r="M4" s="131" t="s">
        <v>86</v>
      </c>
      <c r="N4" s="131" t="s">
        <v>87</v>
      </c>
      <c r="O4" s="131" t="s">
        <v>88</v>
      </c>
      <c r="P4" s="132" t="s">
        <v>89</v>
      </c>
      <c r="Q4" s="130" t="s">
        <v>90</v>
      </c>
      <c r="R4" s="131" t="s">
        <v>91</v>
      </c>
      <c r="S4" s="131" t="s">
        <v>92</v>
      </c>
      <c r="T4" s="131" t="s">
        <v>91</v>
      </c>
      <c r="U4" s="131" t="s">
        <v>93</v>
      </c>
      <c r="V4" s="132" t="s">
        <v>91</v>
      </c>
      <c r="W4" s="140" t="s">
        <v>94</v>
      </c>
      <c r="X4" s="140" t="s">
        <v>95</v>
      </c>
    </row>
    <row r="5" spans="1:24" ht="141.75" customHeight="1" x14ac:dyDescent="0.2">
      <c r="A5" s="20">
        <v>1</v>
      </c>
      <c r="B5" s="22" t="s">
        <v>264</v>
      </c>
      <c r="C5" s="119" t="s">
        <v>276</v>
      </c>
      <c r="D5" s="99" t="s">
        <v>259</v>
      </c>
      <c r="E5" s="138" t="s">
        <v>211</v>
      </c>
      <c r="F5" s="138" t="s">
        <v>204</v>
      </c>
      <c r="G5" s="142" t="s">
        <v>149</v>
      </c>
      <c r="H5" s="143" t="s">
        <v>237</v>
      </c>
      <c r="I5" s="143" t="s">
        <v>239</v>
      </c>
      <c r="J5" s="142" t="s">
        <v>152</v>
      </c>
      <c r="K5" s="138" t="s">
        <v>187</v>
      </c>
      <c r="L5" s="133"/>
      <c r="M5" s="134"/>
      <c r="N5" s="135"/>
      <c r="O5" s="135"/>
      <c r="P5" s="136"/>
      <c r="Q5" s="137"/>
      <c r="R5" s="137"/>
      <c r="S5" s="137"/>
      <c r="T5" s="137"/>
      <c r="U5" s="137"/>
      <c r="V5" s="137"/>
      <c r="W5" s="137"/>
      <c r="X5" s="137"/>
    </row>
    <row r="6" spans="1:24" ht="120" customHeight="1" x14ac:dyDescent="0.2">
      <c r="A6" s="144">
        <v>2</v>
      </c>
      <c r="B6" s="145" t="s">
        <v>262</v>
      </c>
      <c r="C6" s="146" t="s">
        <v>298</v>
      </c>
      <c r="D6" s="147" t="s">
        <v>267</v>
      </c>
      <c r="E6" s="148" t="s">
        <v>211</v>
      </c>
      <c r="F6" s="148" t="s">
        <v>199</v>
      </c>
      <c r="G6" s="149" t="s">
        <v>150</v>
      </c>
      <c r="H6" s="150" t="s">
        <v>318</v>
      </c>
      <c r="I6" s="150" t="s">
        <v>204</v>
      </c>
      <c r="J6" s="149" t="s">
        <v>151</v>
      </c>
      <c r="K6" s="148" t="s">
        <v>202</v>
      </c>
      <c r="L6" s="117" t="s">
        <v>312</v>
      </c>
      <c r="M6" s="113" t="s">
        <v>307</v>
      </c>
      <c r="N6" s="125">
        <v>43844</v>
      </c>
      <c r="O6" s="125">
        <v>44195</v>
      </c>
      <c r="P6" s="117" t="s">
        <v>313</v>
      </c>
      <c r="Q6" s="137"/>
      <c r="R6" s="137"/>
      <c r="S6" s="137"/>
      <c r="T6" s="137"/>
      <c r="U6" s="137"/>
      <c r="V6" s="137"/>
      <c r="W6" s="137"/>
      <c r="X6" s="137"/>
    </row>
    <row r="7" spans="1:24" ht="41.25" customHeight="1" x14ac:dyDescent="0.2">
      <c r="A7" s="1051">
        <v>3</v>
      </c>
      <c r="B7" s="1052" t="s">
        <v>284</v>
      </c>
      <c r="C7" s="1053" t="s">
        <v>297</v>
      </c>
      <c r="D7" s="1054" t="s">
        <v>260</v>
      </c>
      <c r="E7" s="1055" t="s">
        <v>197</v>
      </c>
      <c r="F7" s="1055" t="s">
        <v>204</v>
      </c>
      <c r="G7" s="1056" t="s">
        <v>149</v>
      </c>
      <c r="H7" s="1057" t="s">
        <v>224</v>
      </c>
      <c r="I7" s="1057" t="s">
        <v>226</v>
      </c>
      <c r="J7" s="1056" t="s">
        <v>152</v>
      </c>
      <c r="K7" s="1055" t="s">
        <v>202</v>
      </c>
      <c r="L7" s="117" t="s">
        <v>309</v>
      </c>
      <c r="M7" s="113" t="s">
        <v>307</v>
      </c>
      <c r="N7" s="125">
        <v>44088</v>
      </c>
      <c r="O7" s="125">
        <v>44195</v>
      </c>
      <c r="P7" s="117" t="s">
        <v>310</v>
      </c>
      <c r="Q7" s="137"/>
      <c r="R7" s="137"/>
      <c r="S7" s="137"/>
      <c r="T7" s="137"/>
      <c r="U7" s="137"/>
      <c r="V7" s="137"/>
      <c r="W7" s="137"/>
      <c r="X7" s="137"/>
    </row>
    <row r="8" spans="1:24" ht="81" customHeight="1" x14ac:dyDescent="0.2">
      <c r="A8" s="1051"/>
      <c r="B8" s="1052"/>
      <c r="C8" s="1053"/>
      <c r="D8" s="1054"/>
      <c r="E8" s="1055"/>
      <c r="F8" s="1055"/>
      <c r="G8" s="1056"/>
      <c r="H8" s="1057"/>
      <c r="I8" s="1057"/>
      <c r="J8" s="1056"/>
      <c r="K8" s="1055"/>
      <c r="L8" s="113" t="s">
        <v>308</v>
      </c>
      <c r="M8" s="113" t="s">
        <v>307</v>
      </c>
      <c r="N8" s="125">
        <v>44088</v>
      </c>
      <c r="O8" s="125">
        <v>44195</v>
      </c>
      <c r="P8" s="117" t="s">
        <v>311</v>
      </c>
      <c r="Q8" s="137"/>
      <c r="R8" s="137"/>
      <c r="S8" s="137"/>
      <c r="T8" s="137"/>
      <c r="U8" s="137"/>
      <c r="V8" s="137"/>
      <c r="W8" s="137"/>
      <c r="X8" s="137"/>
    </row>
  </sheetData>
  <mergeCells count="17">
    <mergeCell ref="A1:C2"/>
    <mergeCell ref="D1:V2"/>
    <mergeCell ref="A3:G3"/>
    <mergeCell ref="H3:K3"/>
    <mergeCell ref="L3:P3"/>
    <mergeCell ref="Q3:V3"/>
    <mergeCell ref="A7:A8"/>
    <mergeCell ref="B7:B8"/>
    <mergeCell ref="C7:C8"/>
    <mergeCell ref="D7:D8"/>
    <mergeCell ref="K7:K8"/>
    <mergeCell ref="J7:J8"/>
    <mergeCell ref="G7:G8"/>
    <mergeCell ref="H7:H8"/>
    <mergeCell ref="I7:I8"/>
    <mergeCell ref="F7:F8"/>
    <mergeCell ref="E7:E8"/>
  </mergeCells>
  <conditionalFormatting sqref="G5">
    <cfRule type="cellIs" dxfId="447" priority="21" operator="equal">
      <formula>"Extremo"</formula>
    </cfRule>
  </conditionalFormatting>
  <conditionalFormatting sqref="G5">
    <cfRule type="cellIs" dxfId="446" priority="22" operator="equal">
      <formula>"Moderado"</formula>
    </cfRule>
  </conditionalFormatting>
  <conditionalFormatting sqref="G5">
    <cfRule type="cellIs" dxfId="445" priority="23" operator="equal">
      <formula>"Bajo"</formula>
    </cfRule>
  </conditionalFormatting>
  <conditionalFormatting sqref="G5">
    <cfRule type="cellIs" dxfId="444" priority="24" operator="equal">
      <formula>"Alto"</formula>
    </cfRule>
  </conditionalFormatting>
  <conditionalFormatting sqref="G6">
    <cfRule type="cellIs" dxfId="443" priority="17" operator="equal">
      <formula>"Extremo"</formula>
    </cfRule>
  </conditionalFormatting>
  <conditionalFormatting sqref="G6">
    <cfRule type="cellIs" dxfId="442" priority="18" operator="equal">
      <formula>"Moderado"</formula>
    </cfRule>
  </conditionalFormatting>
  <conditionalFormatting sqref="G6">
    <cfRule type="cellIs" dxfId="441" priority="19" operator="equal">
      <formula>"Bajo"</formula>
    </cfRule>
  </conditionalFormatting>
  <conditionalFormatting sqref="G6">
    <cfRule type="cellIs" dxfId="440" priority="20" operator="equal">
      <formula>"Alto"</formula>
    </cfRule>
  </conditionalFormatting>
  <conditionalFormatting sqref="G7">
    <cfRule type="cellIs" dxfId="439" priority="13" operator="equal">
      <formula>"Extremo"</formula>
    </cfRule>
  </conditionalFormatting>
  <conditionalFormatting sqref="G7">
    <cfRule type="cellIs" dxfId="438" priority="14" operator="equal">
      <formula>"Moderado"</formula>
    </cfRule>
  </conditionalFormatting>
  <conditionalFormatting sqref="G7">
    <cfRule type="cellIs" dxfId="437" priority="15" operator="equal">
      <formula>"Bajo"</formula>
    </cfRule>
  </conditionalFormatting>
  <conditionalFormatting sqref="G7">
    <cfRule type="cellIs" dxfId="436" priority="16" operator="equal">
      <formula>"Alto"</formula>
    </cfRule>
  </conditionalFormatting>
  <conditionalFormatting sqref="J5">
    <cfRule type="cellIs" dxfId="435" priority="9" operator="equal">
      <formula>"Extremo"</formula>
    </cfRule>
  </conditionalFormatting>
  <conditionalFormatting sqref="J5">
    <cfRule type="cellIs" dxfId="434" priority="10" operator="equal">
      <formula>"Moderado"</formula>
    </cfRule>
  </conditionalFormatting>
  <conditionalFormatting sqref="J5">
    <cfRule type="cellIs" dxfId="433" priority="11" operator="equal">
      <formula>"Bajo"</formula>
    </cfRule>
  </conditionalFormatting>
  <conditionalFormatting sqref="J5">
    <cfRule type="cellIs" dxfId="432" priority="12" operator="equal">
      <formula>"Alto"</formula>
    </cfRule>
  </conditionalFormatting>
  <conditionalFormatting sqref="J6">
    <cfRule type="cellIs" dxfId="431" priority="5" operator="equal">
      <formula>"Extremo"</formula>
    </cfRule>
  </conditionalFormatting>
  <conditionalFormatting sqref="J6">
    <cfRule type="cellIs" dxfId="430" priority="6" operator="equal">
      <formula>"Moderado"</formula>
    </cfRule>
  </conditionalFormatting>
  <conditionalFormatting sqref="J6">
    <cfRule type="cellIs" dxfId="429" priority="7" operator="equal">
      <formula>"Bajo"</formula>
    </cfRule>
  </conditionalFormatting>
  <conditionalFormatting sqref="J6">
    <cfRule type="cellIs" dxfId="428" priority="8" operator="equal">
      <formula>"Alto"</formula>
    </cfRule>
  </conditionalFormatting>
  <conditionalFormatting sqref="J7">
    <cfRule type="cellIs" dxfId="427" priority="1" operator="equal">
      <formula>"Extremo"</formula>
    </cfRule>
  </conditionalFormatting>
  <conditionalFormatting sqref="J7">
    <cfRule type="cellIs" dxfId="426" priority="2" operator="equal">
      <formula>"Moderado"</formula>
    </cfRule>
  </conditionalFormatting>
  <conditionalFormatting sqref="J7">
    <cfRule type="cellIs" dxfId="425" priority="3" operator="equal">
      <formula>"Bajo"</formula>
    </cfRule>
  </conditionalFormatting>
  <conditionalFormatting sqref="J7">
    <cfRule type="cellIs" dxfId="424" priority="4" operator="equal">
      <formula>"Alto"</formula>
    </cfRule>
  </conditionalFormatting>
  <pageMargins left="0.7" right="0.7" top="0.75" bottom="0.75" header="0.3" footer="0.3"/>
  <pageSetup orientation="portrait" horizontalDpi="1200" verticalDpi="1200" r:id="rId1"/>
  <drawing r:id="rId2"/>
  <legacyDrawing r:id="rId3"/>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X9"/>
  <sheetViews>
    <sheetView zoomScale="55" zoomScaleNormal="55" workbookViewId="0">
      <selection sqref="A1:C2"/>
    </sheetView>
  </sheetViews>
  <sheetFormatPr baseColWidth="10" defaultRowHeight="18" customHeight="1" x14ac:dyDescent="0.2"/>
  <cols>
    <col min="1" max="1" width="3.625" style="534" customWidth="1"/>
    <col min="2" max="2" width="28.75" style="534" customWidth="1"/>
    <col min="3" max="3" width="48.375" style="534" customWidth="1"/>
    <col min="4" max="4" width="38.5" style="534" customWidth="1"/>
    <col min="5" max="5" width="32.875" style="534" customWidth="1"/>
    <col min="6" max="6" width="15.75" style="534" customWidth="1"/>
    <col min="7" max="7" width="23" style="534" customWidth="1"/>
    <col min="8" max="10" width="19.375" style="534" customWidth="1"/>
    <col min="11" max="11" width="18.25" style="534" customWidth="1"/>
    <col min="12" max="12" width="80.375" style="534" customWidth="1"/>
    <col min="13" max="13" width="42.75" style="534" customWidth="1"/>
    <col min="14" max="14" width="26.875" style="534" customWidth="1"/>
    <col min="15" max="15" width="24.375" style="534" customWidth="1"/>
    <col min="16" max="16" width="41.125" style="534" customWidth="1"/>
    <col min="17" max="22" width="25.75" style="534" customWidth="1"/>
    <col min="23" max="23" width="33.5" style="534" customWidth="1"/>
    <col min="24" max="24" width="45.625" style="534" customWidth="1"/>
    <col min="25" max="16384" width="11" style="534"/>
  </cols>
  <sheetData>
    <row r="1" spans="1:24" ht="18.75" x14ac:dyDescent="0.2">
      <c r="A1" s="1179"/>
      <c r="B1" s="1179"/>
      <c r="C1" s="1179"/>
      <c r="D1" s="1180" t="s">
        <v>314</v>
      </c>
      <c r="E1" s="1181"/>
      <c r="F1" s="1181"/>
      <c r="G1" s="1181"/>
      <c r="H1" s="1181"/>
      <c r="I1" s="1181"/>
      <c r="J1" s="1181"/>
      <c r="K1" s="1181"/>
      <c r="L1" s="1181"/>
      <c r="M1" s="1181"/>
      <c r="N1" s="1181"/>
      <c r="O1" s="1181"/>
      <c r="P1" s="1181"/>
      <c r="Q1" s="1181"/>
      <c r="R1" s="1181"/>
      <c r="S1" s="1181"/>
      <c r="T1" s="1181"/>
      <c r="U1" s="1181"/>
      <c r="V1" s="1182"/>
      <c r="W1" s="532" t="s">
        <v>315</v>
      </c>
      <c r="X1" s="533"/>
    </row>
    <row r="2" spans="1:24" ht="19.5" thickBot="1" x14ac:dyDescent="0.25">
      <c r="A2" s="1179"/>
      <c r="B2" s="1179"/>
      <c r="C2" s="1179"/>
      <c r="D2" s="1183"/>
      <c r="E2" s="1184"/>
      <c r="F2" s="1184"/>
      <c r="G2" s="1184"/>
      <c r="H2" s="1184"/>
      <c r="I2" s="1184"/>
      <c r="J2" s="1184"/>
      <c r="K2" s="1184"/>
      <c r="L2" s="1184"/>
      <c r="M2" s="1184"/>
      <c r="N2" s="1184"/>
      <c r="O2" s="1184"/>
      <c r="P2" s="1184"/>
      <c r="Q2" s="1184"/>
      <c r="R2" s="1184"/>
      <c r="S2" s="1184"/>
      <c r="T2" s="1184"/>
      <c r="U2" s="1184"/>
      <c r="V2" s="1185"/>
      <c r="W2" s="532" t="s">
        <v>316</v>
      </c>
      <c r="X2" s="533"/>
    </row>
    <row r="3" spans="1:24" ht="30" x14ac:dyDescent="0.25">
      <c r="A3" s="1186" t="s">
        <v>57</v>
      </c>
      <c r="B3" s="1187"/>
      <c r="C3" s="1187"/>
      <c r="D3" s="1187"/>
      <c r="E3" s="1187"/>
      <c r="F3" s="1187"/>
      <c r="G3" s="1188"/>
      <c r="H3" s="1189"/>
      <c r="I3" s="1189"/>
      <c r="J3" s="1189"/>
      <c r="K3" s="1189"/>
      <c r="L3" s="1649" t="s">
        <v>60</v>
      </c>
      <c r="M3" s="1650"/>
      <c r="N3" s="1650"/>
      <c r="O3" s="1650"/>
      <c r="P3" s="1651"/>
      <c r="Q3" s="1652" t="s">
        <v>61</v>
      </c>
      <c r="R3" s="1653"/>
      <c r="S3" s="1653"/>
      <c r="T3" s="1653"/>
      <c r="U3" s="1653"/>
      <c r="V3" s="1654"/>
      <c r="W3" s="855" t="s">
        <v>62</v>
      </c>
      <c r="X3" s="855" t="s">
        <v>63</v>
      </c>
    </row>
    <row r="4" spans="1:24" ht="26.25" thickBot="1" x14ac:dyDescent="0.25">
      <c r="A4" s="698" t="s">
        <v>44</v>
      </c>
      <c r="B4" s="699" t="s">
        <v>64</v>
      </c>
      <c r="C4" s="699" t="s">
        <v>65</v>
      </c>
      <c r="D4" s="699" t="s">
        <v>317</v>
      </c>
      <c r="E4" s="699" t="s">
        <v>68</v>
      </c>
      <c r="F4" s="699" t="s">
        <v>69</v>
      </c>
      <c r="G4" s="700" t="s">
        <v>71</v>
      </c>
      <c r="H4" s="699" t="s">
        <v>81</v>
      </c>
      <c r="I4" s="699" t="s">
        <v>82</v>
      </c>
      <c r="J4" s="699" t="s">
        <v>83</v>
      </c>
      <c r="K4" s="701" t="s">
        <v>84</v>
      </c>
      <c r="L4" s="827" t="s">
        <v>85</v>
      </c>
      <c r="M4" s="828" t="s">
        <v>86</v>
      </c>
      <c r="N4" s="828" t="s">
        <v>87</v>
      </c>
      <c r="O4" s="828" t="s">
        <v>88</v>
      </c>
      <c r="P4" s="829" t="s">
        <v>89</v>
      </c>
      <c r="Q4" s="827" t="s">
        <v>90</v>
      </c>
      <c r="R4" s="828" t="s">
        <v>91</v>
      </c>
      <c r="S4" s="828" t="s">
        <v>92</v>
      </c>
      <c r="T4" s="828" t="s">
        <v>91</v>
      </c>
      <c r="U4" s="828" t="s">
        <v>93</v>
      </c>
      <c r="V4" s="829" t="s">
        <v>91</v>
      </c>
      <c r="W4" s="830" t="s">
        <v>94</v>
      </c>
      <c r="X4" s="830" t="s">
        <v>95</v>
      </c>
    </row>
    <row r="5" spans="1:24" ht="209.25" customHeight="1" x14ac:dyDescent="0.2">
      <c r="A5" s="703">
        <v>1</v>
      </c>
      <c r="B5" s="703" t="str">
        <f>+'[12]Identificación del Riesgo GA'!E9</f>
        <v xml:space="preserve">Insatisfacción en la provisión de bienes y servicios </v>
      </c>
      <c r="C5" s="703" t="str">
        <f>+'[12]Identificación del Riesgo GA'!H9</f>
        <v>Por demoras en la atención de requerimientos
Los bienes y servicios suministrados no cumplen con la calidad requerida
Los bienes y servicios suministrados no son funcionales
Planeación deficiente acorde con las necesidades de la UPME</v>
      </c>
      <c r="D5" s="703" t="str">
        <f>+'[12]Identificación del Riesgo GA'!I9</f>
        <v>Detrimento patrimonial
Clima laboral inadecuado
Enfermedades laborales
Estrés laboral
Insatisfacción de las partes interesadas (usuarios)
Mala imagen institucional</v>
      </c>
      <c r="E5" s="705" t="str">
        <f>+'[12]Analisis Riesgo'!F7</f>
        <v>Improbable</v>
      </c>
      <c r="F5" s="705" t="str">
        <f>+'[12]Analisis Riesgo'!G7</f>
        <v>Menor</v>
      </c>
      <c r="G5" s="706" t="str">
        <f>+'[12]Analisis Riesgo'!I7</f>
        <v>BAJO</v>
      </c>
      <c r="H5" s="705" t="str">
        <f>+'[12]Analisis Riesgo'!U7</f>
        <v>Improbable</v>
      </c>
      <c r="I5" s="705" t="str">
        <f>+'[12]Analisis Riesgo'!V7</f>
        <v>Menor</v>
      </c>
      <c r="J5" s="706" t="str">
        <f>+'[12]Analisis Riesgo'!W7</f>
        <v>BAJO</v>
      </c>
      <c r="K5" s="703" t="str">
        <f>+'[12]Analisis Riesgo'!X7</f>
        <v>Reducir el riesgo</v>
      </c>
      <c r="L5" s="732" t="s">
        <v>1050</v>
      </c>
      <c r="M5" s="726" t="s">
        <v>1051</v>
      </c>
      <c r="N5" s="832" t="s">
        <v>1052</v>
      </c>
      <c r="O5" s="832" t="s">
        <v>1052</v>
      </c>
      <c r="P5" s="728" t="s">
        <v>1053</v>
      </c>
      <c r="Q5" s="856"/>
      <c r="R5" s="857"/>
      <c r="S5" s="857"/>
      <c r="T5" s="857"/>
      <c r="U5" s="857"/>
      <c r="V5" s="858"/>
      <c r="W5" s="859"/>
      <c r="X5" s="859"/>
    </row>
    <row r="6" spans="1:24" ht="93.75" customHeight="1" x14ac:dyDescent="0.2">
      <c r="A6" s="703">
        <v>2</v>
      </c>
      <c r="B6" s="703" t="str">
        <f>+'[12]Identificación del Riesgo GA'!E10</f>
        <v>Deterioro prematuro de los bienes de la Entidad</v>
      </c>
      <c r="C6" s="703" t="str">
        <f>+'[12]Identificación del Riesgo GA'!H10</f>
        <v xml:space="preserve">Mantenimientos deficientes
Planeación deficiente de los mantenimientos
Carencia de mantenimientos a la infraestructura
</v>
      </c>
      <c r="D6" s="703" t="str">
        <f>+'[12]Identificación del Riesgo GA'!I10</f>
        <v xml:space="preserve">
Deterioro de los bienes de la UPME
Detrimento patrimonial
Siniestros
Mala imagen institucional
Insatisfacción de las partes interesadas</v>
      </c>
      <c r="E6" s="705" t="str">
        <f>+'[12]Analisis Riesgo'!F8</f>
        <v>Rara vez</v>
      </c>
      <c r="F6" s="705" t="str">
        <f>+'[12]Analisis Riesgo'!G8</f>
        <v>Moderado</v>
      </c>
      <c r="G6" s="716" t="str">
        <f>+'[12]Analisis Riesgo'!I8</f>
        <v>MODERADO</v>
      </c>
      <c r="H6" s="705" t="str">
        <f>+'[12]Analisis Riesgo'!U8</f>
        <v>Rara vez</v>
      </c>
      <c r="I6" s="705" t="str">
        <f>+'[12]Analisis Riesgo'!V8</f>
        <v>Moderado</v>
      </c>
      <c r="J6" s="716" t="str">
        <f>+'[12]Analisis Riesgo'!W8</f>
        <v>MODERADO</v>
      </c>
      <c r="K6" s="703" t="str">
        <f>+'[12]Analisis Riesgo'!X8</f>
        <v>Reducir el riesgo</v>
      </c>
      <c r="L6" s="725" t="s">
        <v>1054</v>
      </c>
      <c r="M6" s="726" t="s">
        <v>1051</v>
      </c>
      <c r="N6" s="832" t="s">
        <v>1052</v>
      </c>
      <c r="O6" s="832" t="s">
        <v>1052</v>
      </c>
      <c r="P6" s="728" t="s">
        <v>1055</v>
      </c>
      <c r="Q6" s="837"/>
      <c r="R6" s="838"/>
      <c r="S6" s="838"/>
      <c r="T6" s="838"/>
      <c r="U6" s="838"/>
      <c r="V6" s="839"/>
      <c r="W6" s="840"/>
      <c r="X6" s="840"/>
    </row>
    <row r="7" spans="1:24" ht="93.75" customHeight="1" x14ac:dyDescent="0.2">
      <c r="A7" s="703">
        <v>3</v>
      </c>
      <c r="B7" s="703" t="str">
        <f>+'[12]Identificación del Riesgo GA'!E11</f>
        <v>Uso indebido de los activos de la Entidad</v>
      </c>
      <c r="C7" s="703" t="str">
        <f>+'[12]Identificación del Riesgo GA'!H11</f>
        <v xml:space="preserve">Desconocimiento de los lineamientos sobre la responsabilidad de los activos de la Entidad, por parte de los servidores publicos
Falta de apropiación y compromiso por parte de los servidores publicos respecto al buen uso de los activos
Inventarios de los servidores publicos desactualizados
</v>
      </c>
      <c r="D7" s="703" t="str">
        <f>+'[12]Identificación del Riesgo GA'!I11</f>
        <v>Detrimentos
Procesos Disciplinarios
Entorpecimiento de las actividades a desarrollar por los servidores publicos</v>
      </c>
      <c r="E7" s="705" t="str">
        <f>+'[12]Analisis Riesgo'!F9</f>
        <v>Posible</v>
      </c>
      <c r="F7" s="705" t="str">
        <f>+'[12]Analisis Riesgo'!G9</f>
        <v>Insignificante</v>
      </c>
      <c r="G7" s="706" t="str">
        <f>+'[12]Analisis Riesgo'!I9</f>
        <v>BAJO</v>
      </c>
      <c r="H7" s="705" t="str">
        <f>+'[12]Analisis Riesgo'!U9</f>
        <v>Posible</v>
      </c>
      <c r="I7" s="705" t="str">
        <f>+'[12]Analisis Riesgo'!V9</f>
        <v>Insignificante</v>
      </c>
      <c r="J7" s="706" t="str">
        <f>+'[12]Analisis Riesgo'!W9</f>
        <v>BAJO</v>
      </c>
      <c r="K7" s="703" t="str">
        <f>+'[12]Analisis Riesgo'!X9</f>
        <v>Reducir el riesgo</v>
      </c>
      <c r="L7" s="734" t="s">
        <v>1056</v>
      </c>
      <c r="M7" s="726" t="s">
        <v>1057</v>
      </c>
      <c r="N7" s="832" t="s">
        <v>1052</v>
      </c>
      <c r="O7" s="832" t="s">
        <v>1058</v>
      </c>
      <c r="P7" s="728" t="s">
        <v>1059</v>
      </c>
      <c r="Q7" s="837"/>
      <c r="R7" s="838"/>
      <c r="S7" s="838"/>
      <c r="T7" s="838"/>
      <c r="U7" s="838"/>
      <c r="V7" s="839"/>
      <c r="W7" s="840"/>
      <c r="X7" s="840"/>
    </row>
    <row r="8" spans="1:24" ht="174.75" customHeight="1" x14ac:dyDescent="0.2">
      <c r="A8" s="703">
        <v>4</v>
      </c>
      <c r="B8" s="703" t="str">
        <f>+'[12]Identificación del Riesgo GA'!E12</f>
        <v>Perdida de los activos de la Entidad</v>
      </c>
      <c r="C8" s="703" t="str">
        <f>+'[12]Identificación del Riesgo GA'!H12</f>
        <v>Inventarios desactualizados
Falta de lineamientos para el control de inventarios de la Entidad
Acciones para beneficio propio o de un tercero</v>
      </c>
      <c r="D8" s="703" t="str">
        <f>+'[12]Identificación del Riesgo GA'!I12</f>
        <v>Detrimentos
Procesos Disciplinarios
Entorpecimiento de las actividades a desarrollar por los servidores publicos
Sobre costos</v>
      </c>
      <c r="E8" s="705" t="str">
        <f>+'[12]Analisis Riesgo'!F10</f>
        <v>Improbable</v>
      </c>
      <c r="F8" s="705" t="str">
        <f>+'[12]Analisis Riesgo'!G10</f>
        <v>Mayor</v>
      </c>
      <c r="G8" s="831" t="str">
        <f>+'[12]Analisis Riesgo'!I10</f>
        <v>ALTO</v>
      </c>
      <c r="H8" s="705" t="str">
        <f>+'[12]Analisis Riesgo'!U10</f>
        <v>Rara vez</v>
      </c>
      <c r="I8" s="705" t="str">
        <f>+'[12]Analisis Riesgo'!V10</f>
        <v>Moderado</v>
      </c>
      <c r="J8" s="716" t="str">
        <f>+'[12]Analisis Riesgo'!W10</f>
        <v>MODERADO</v>
      </c>
      <c r="K8" s="703" t="str">
        <f>+'[12]Analisis Riesgo'!X10</f>
        <v>Reducir el riesgo</v>
      </c>
      <c r="L8" s="734" t="s">
        <v>1060</v>
      </c>
      <c r="M8" s="708" t="s">
        <v>1061</v>
      </c>
      <c r="N8" s="709">
        <v>44200</v>
      </c>
      <c r="O8" s="860">
        <v>44561</v>
      </c>
      <c r="P8" s="736" t="s">
        <v>1062</v>
      </c>
      <c r="Q8" s="837"/>
      <c r="R8" s="838"/>
      <c r="S8" s="838"/>
      <c r="T8" s="838"/>
      <c r="U8" s="838"/>
      <c r="V8" s="839"/>
      <c r="W8" s="840"/>
      <c r="X8" s="840"/>
    </row>
    <row r="9" spans="1:24" ht="93.75" customHeight="1" x14ac:dyDescent="0.2"/>
  </sheetData>
  <mergeCells count="6">
    <mergeCell ref="A1:C2"/>
    <mergeCell ref="D1:V2"/>
    <mergeCell ref="A3:G3"/>
    <mergeCell ref="H3:K3"/>
    <mergeCell ref="L3:P3"/>
    <mergeCell ref="Q3:V3"/>
  </mergeCells>
  <pageMargins left="0.7" right="0.7" top="0.75" bottom="0.75" header="0.3" footer="0.3"/>
  <drawing r:id="rId1"/>
  <legacyDrawing r:id="rId2"/>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E7"/>
  <sheetViews>
    <sheetView showGridLines="0" topLeftCell="B7" zoomScale="130" zoomScaleNormal="130" zoomScaleSheetLayoutView="115" zoomScalePageLayoutView="90" workbookViewId="0">
      <selection activeCell="C7" sqref="C7"/>
    </sheetView>
  </sheetViews>
  <sheetFormatPr baseColWidth="10" defaultRowHeight="15" x14ac:dyDescent="0.25"/>
  <cols>
    <col min="1" max="1" width="13.625" style="743" customWidth="1"/>
    <col min="2" max="2" width="37.125" style="743" customWidth="1"/>
    <col min="3" max="3" width="39.75" style="743" customWidth="1"/>
    <col min="4" max="4" width="37.25" style="743" customWidth="1"/>
    <col min="5" max="5" width="33.25" style="743" customWidth="1"/>
    <col min="6" max="16384" width="11" style="743"/>
  </cols>
  <sheetData>
    <row r="1" spans="1:5" x14ac:dyDescent="0.25">
      <c r="A1" s="1568"/>
      <c r="B1" s="1569" t="s">
        <v>837</v>
      </c>
      <c r="C1" s="1570"/>
      <c r="D1" s="1570"/>
      <c r="E1" s="1571" t="s">
        <v>29</v>
      </c>
    </row>
    <row r="2" spans="1:5" x14ac:dyDescent="0.25">
      <c r="A2" s="1568"/>
      <c r="B2" s="1570"/>
      <c r="C2" s="1570"/>
      <c r="D2" s="1570"/>
      <c r="E2" s="1571"/>
    </row>
    <row r="3" spans="1:5" x14ac:dyDescent="0.25">
      <c r="A3" s="1568"/>
      <c r="B3" s="1570"/>
      <c r="C3" s="1570"/>
      <c r="D3" s="1570"/>
      <c r="E3" s="1572" t="s">
        <v>2</v>
      </c>
    </row>
    <row r="4" spans="1:5" ht="15.75" thickBot="1" x14ac:dyDescent="0.3">
      <c r="A4" s="1568"/>
      <c r="B4" s="1570"/>
      <c r="C4" s="1570"/>
      <c r="D4" s="1570"/>
      <c r="E4" s="1572"/>
    </row>
    <row r="5" spans="1:5" ht="15.75" thickBot="1" x14ac:dyDescent="0.3">
      <c r="A5" s="1573" t="s">
        <v>30</v>
      </c>
      <c r="B5" s="1574"/>
      <c r="C5" s="1574"/>
      <c r="D5" s="1574"/>
      <c r="E5" s="1575"/>
    </row>
    <row r="6" spans="1:5" ht="15" customHeight="1" x14ac:dyDescent="0.25">
      <c r="A6" s="744" t="s">
        <v>31</v>
      </c>
      <c r="B6" s="745" t="s">
        <v>32</v>
      </c>
      <c r="C6" s="744" t="s">
        <v>33</v>
      </c>
      <c r="D6" s="1576" t="s">
        <v>34</v>
      </c>
      <c r="E6" s="1577"/>
    </row>
    <row r="7" spans="1:5" ht="409.5" customHeight="1" x14ac:dyDescent="0.25">
      <c r="A7" s="746"/>
      <c r="B7" s="747" t="s">
        <v>1063</v>
      </c>
      <c r="C7" s="748" t="s">
        <v>1064</v>
      </c>
      <c r="D7" s="748" t="s">
        <v>1065</v>
      </c>
      <c r="E7" s="748"/>
    </row>
  </sheetData>
  <mergeCells count="6">
    <mergeCell ref="D6:E6"/>
    <mergeCell ref="A1:A4"/>
    <mergeCell ref="B1:D4"/>
    <mergeCell ref="E1:E2"/>
    <mergeCell ref="E3:E4"/>
    <mergeCell ref="A5:E5"/>
  </mergeCells>
  <pageMargins left="0.31496062992125984" right="0.31496062992125984" top="1.1417322834645669" bottom="0.35433070866141736" header="0.31496062992125984" footer="0.31496062992125984"/>
  <pageSetup scale="88" orientation="landscape" horizontalDpi="1200" verticalDpi="1200" r:id="rId1"/>
  <headerFooter>
    <oddHeader>&amp;L&amp;G&amp;C
&amp;"-,Negrita"Matriz de Riesgos</oddHeader>
  </headerFooter>
  <drawing r:id="rId2"/>
  <legacyDrawing r:id="rId3"/>
  <legacyDrawingHF r:id="rId4"/>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N13"/>
  <sheetViews>
    <sheetView showGridLines="0" topLeftCell="I7" zoomScale="145" zoomScaleNormal="145" zoomScaleSheetLayoutView="130" zoomScalePageLayoutView="90" workbookViewId="0">
      <pane ySplit="2" topLeftCell="A9" activePane="bottomLeft" state="frozen"/>
      <selection activeCell="E7" sqref="E7"/>
      <selection pane="bottomLeft" activeCell="I11" sqref="I11"/>
    </sheetView>
  </sheetViews>
  <sheetFormatPr baseColWidth="10" defaultRowHeight="15" x14ac:dyDescent="0.25"/>
  <cols>
    <col min="1" max="2" width="11.75" style="743" customWidth="1"/>
    <col min="3" max="3" width="17.5" style="743" customWidth="1"/>
    <col min="4" max="4" width="3.625" style="746" customWidth="1"/>
    <col min="5" max="5" width="23.25" style="743" customWidth="1"/>
    <col min="6" max="6" width="32.5" style="743" customWidth="1"/>
    <col min="7" max="7" width="15" style="743" customWidth="1"/>
    <col min="8" max="8" width="46.5" style="743" customWidth="1"/>
    <col min="9" max="9" width="33.375" style="743" customWidth="1"/>
    <col min="10" max="10" width="20.625" style="743" customWidth="1"/>
    <col min="11" max="11" width="14.75" style="743" customWidth="1"/>
    <col min="12" max="12" width="18.75" style="743" customWidth="1"/>
    <col min="13" max="13" width="12.75" style="743" customWidth="1"/>
    <col min="14" max="14" width="27.125" style="743" customWidth="1"/>
    <col min="15" max="16384" width="11" style="743"/>
  </cols>
  <sheetData>
    <row r="1" spans="1:14" x14ac:dyDescent="0.25">
      <c r="A1" s="1578"/>
      <c r="B1" s="1578"/>
      <c r="C1" s="1578"/>
      <c r="D1" s="1580" t="s">
        <v>0</v>
      </c>
      <c r="E1" s="1580"/>
      <c r="F1" s="1580"/>
      <c r="G1" s="1580"/>
      <c r="H1" s="1580"/>
      <c r="I1" s="1580"/>
      <c r="J1" s="1580"/>
      <c r="K1" s="1580"/>
      <c r="L1" s="1580"/>
      <c r="M1" s="1581"/>
      <c r="N1" s="1584" t="s">
        <v>35</v>
      </c>
    </row>
    <row r="2" spans="1:14" x14ac:dyDescent="0.25">
      <c r="A2" s="1578"/>
      <c r="B2" s="1578"/>
      <c r="C2" s="1578"/>
      <c r="D2" s="1580"/>
      <c r="E2" s="1580"/>
      <c r="F2" s="1580"/>
      <c r="G2" s="1580"/>
      <c r="H2" s="1580"/>
      <c r="I2" s="1580"/>
      <c r="J2" s="1580"/>
      <c r="K2" s="1580"/>
      <c r="L2" s="1580"/>
      <c r="M2" s="1581"/>
      <c r="N2" s="1584"/>
    </row>
    <row r="3" spans="1:14" x14ac:dyDescent="0.25">
      <c r="A3" s="1578"/>
      <c r="B3" s="1578"/>
      <c r="C3" s="1578"/>
      <c r="D3" s="1580"/>
      <c r="E3" s="1580"/>
      <c r="F3" s="1580"/>
      <c r="G3" s="1580"/>
      <c r="H3" s="1580"/>
      <c r="I3" s="1580"/>
      <c r="J3" s="1580"/>
      <c r="K3" s="1580"/>
      <c r="L3" s="1580"/>
      <c r="M3" s="1581"/>
      <c r="N3" s="1584" t="s">
        <v>2</v>
      </c>
    </row>
    <row r="4" spans="1:14" x14ac:dyDescent="0.25">
      <c r="A4" s="1579"/>
      <c r="B4" s="1579"/>
      <c r="C4" s="1579"/>
      <c r="D4" s="1582"/>
      <c r="E4" s="1582"/>
      <c r="F4" s="1582"/>
      <c r="G4" s="1582"/>
      <c r="H4" s="1582"/>
      <c r="I4" s="1582"/>
      <c r="J4" s="1582"/>
      <c r="K4" s="1582"/>
      <c r="L4" s="1582"/>
      <c r="M4" s="1583"/>
      <c r="N4" s="1584"/>
    </row>
    <row r="5" spans="1:14" ht="15.75" x14ac:dyDescent="0.25">
      <c r="A5" s="1585" t="s">
        <v>36</v>
      </c>
      <c r="B5" s="1586"/>
      <c r="C5" s="1587"/>
      <c r="D5" s="1588"/>
      <c r="E5" s="1589"/>
      <c r="F5" s="1589"/>
      <c r="G5" s="1589"/>
      <c r="H5" s="1589"/>
      <c r="I5" s="1589"/>
      <c r="J5" s="1589"/>
      <c r="K5" s="1589"/>
      <c r="L5" s="1589"/>
      <c r="M5" s="1589"/>
      <c r="N5" s="1590"/>
    </row>
    <row r="6" spans="1:14" ht="15.75" x14ac:dyDescent="0.25">
      <c r="A6" s="1585" t="s">
        <v>37</v>
      </c>
      <c r="B6" s="1586"/>
      <c r="C6" s="1587"/>
      <c r="D6" s="1588"/>
      <c r="E6" s="1589"/>
      <c r="F6" s="1589"/>
      <c r="G6" s="1589"/>
      <c r="H6" s="1589"/>
      <c r="I6" s="1589"/>
      <c r="J6" s="1589"/>
      <c r="K6" s="1589"/>
      <c r="L6" s="1589"/>
      <c r="M6" s="1589"/>
      <c r="N6" s="1590"/>
    </row>
    <row r="7" spans="1:14" x14ac:dyDescent="0.25">
      <c r="A7" s="1591" t="s">
        <v>38</v>
      </c>
      <c r="B7" s="1592"/>
      <c r="C7" s="1593"/>
      <c r="D7" s="1594" t="s">
        <v>39</v>
      </c>
      <c r="E7" s="1595"/>
      <c r="F7" s="1595"/>
      <c r="G7" s="1595"/>
      <c r="H7" s="1595"/>
      <c r="I7" s="1596"/>
      <c r="J7" s="1597" t="s">
        <v>40</v>
      </c>
      <c r="K7" s="1597"/>
      <c r="L7" s="1597"/>
      <c r="M7" s="1597"/>
      <c r="N7" s="1597"/>
    </row>
    <row r="8" spans="1:14" ht="36" x14ac:dyDescent="0.25">
      <c r="A8" s="749" t="s">
        <v>41</v>
      </c>
      <c r="B8" s="749" t="s">
        <v>42</v>
      </c>
      <c r="C8" s="749" t="s">
        <v>43</v>
      </c>
      <c r="D8" s="749" t="s">
        <v>44</v>
      </c>
      <c r="E8" s="749" t="s">
        <v>45</v>
      </c>
      <c r="F8" s="749" t="s">
        <v>46</v>
      </c>
      <c r="G8" s="749" t="s">
        <v>47</v>
      </c>
      <c r="H8" s="749" t="s">
        <v>48</v>
      </c>
      <c r="I8" s="749" t="s">
        <v>49</v>
      </c>
      <c r="J8" s="750" t="s">
        <v>50</v>
      </c>
      <c r="K8" s="750" t="s">
        <v>51</v>
      </c>
      <c r="L8" s="750" t="s">
        <v>52</v>
      </c>
      <c r="M8" s="750" t="s">
        <v>53</v>
      </c>
      <c r="N8" s="750" t="s">
        <v>54</v>
      </c>
    </row>
    <row r="9" spans="1:14" ht="63.75" x14ac:dyDescent="0.25">
      <c r="A9" s="751"/>
      <c r="B9" s="752"/>
      <c r="C9" s="752" t="s">
        <v>193</v>
      </c>
      <c r="D9" s="542">
        <v>1</v>
      </c>
      <c r="E9" s="162" t="s">
        <v>1066</v>
      </c>
      <c r="F9" s="466" t="s">
        <v>1067</v>
      </c>
      <c r="G9" s="754" t="s">
        <v>208</v>
      </c>
      <c r="H9" s="303" t="s">
        <v>1068</v>
      </c>
      <c r="I9" s="303" t="s">
        <v>1069</v>
      </c>
      <c r="J9" s="754" t="s">
        <v>263</v>
      </c>
      <c r="K9" s="754" t="s">
        <v>263</v>
      </c>
      <c r="L9" s="754" t="s">
        <v>263</v>
      </c>
      <c r="M9" s="754" t="s">
        <v>263</v>
      </c>
      <c r="N9" s="756" t="str">
        <f t="shared" ref="N9:N13" si="0">IF(COUNTIF(J9:M9,"SI")=4,"Riesgo de Corrupción","No es Riesgo de Corrupción")</f>
        <v>No es Riesgo de Corrupción</v>
      </c>
    </row>
    <row r="10" spans="1:14" ht="63.75" x14ac:dyDescent="0.25">
      <c r="A10" s="751"/>
      <c r="B10" s="751"/>
      <c r="C10" s="751" t="s">
        <v>178</v>
      </c>
      <c r="D10" s="542">
        <v>2</v>
      </c>
      <c r="E10" s="554" t="s">
        <v>1070</v>
      </c>
      <c r="F10" s="753" t="s">
        <v>1071</v>
      </c>
      <c r="G10" s="754" t="s">
        <v>208</v>
      </c>
      <c r="H10" s="755" t="s">
        <v>1072</v>
      </c>
      <c r="I10" s="303" t="s">
        <v>1073</v>
      </c>
      <c r="J10" s="754" t="s">
        <v>263</v>
      </c>
      <c r="K10" s="754" t="s">
        <v>263</v>
      </c>
      <c r="L10" s="754" t="s">
        <v>263</v>
      </c>
      <c r="M10" s="754" t="s">
        <v>263</v>
      </c>
      <c r="N10" s="756" t="str">
        <f t="shared" si="0"/>
        <v>No es Riesgo de Corrupción</v>
      </c>
    </row>
    <row r="11" spans="1:14" ht="106.5" customHeight="1" x14ac:dyDescent="0.25">
      <c r="A11" s="751"/>
      <c r="B11" s="751"/>
      <c r="C11" s="751" t="s">
        <v>178</v>
      </c>
      <c r="D11" s="542">
        <v>3</v>
      </c>
      <c r="E11" s="554" t="s">
        <v>1074</v>
      </c>
      <c r="F11" s="753" t="s">
        <v>1075</v>
      </c>
      <c r="G11" s="754" t="s">
        <v>208</v>
      </c>
      <c r="H11" s="755" t="s">
        <v>1076</v>
      </c>
      <c r="I11" s="303" t="s">
        <v>1077</v>
      </c>
      <c r="J11" s="754" t="s">
        <v>263</v>
      </c>
      <c r="K11" s="754" t="s">
        <v>263</v>
      </c>
      <c r="L11" s="754" t="s">
        <v>263</v>
      </c>
      <c r="M11" s="754" t="s">
        <v>263</v>
      </c>
      <c r="N11" s="756" t="str">
        <f t="shared" si="0"/>
        <v>No es Riesgo de Corrupción</v>
      </c>
    </row>
    <row r="12" spans="1:14" ht="78" customHeight="1" x14ac:dyDescent="0.25">
      <c r="A12" s="751"/>
      <c r="B12" s="751"/>
      <c r="C12" s="751" t="s">
        <v>220</v>
      </c>
      <c r="D12" s="542">
        <v>4</v>
      </c>
      <c r="E12" s="554" t="s">
        <v>1078</v>
      </c>
      <c r="F12" s="753" t="s">
        <v>1079</v>
      </c>
      <c r="G12" s="754" t="s">
        <v>252</v>
      </c>
      <c r="H12" s="755" t="s">
        <v>1080</v>
      </c>
      <c r="I12" s="303" t="s">
        <v>1081</v>
      </c>
      <c r="J12" s="754" t="s">
        <v>122</v>
      </c>
      <c r="K12" s="754" t="s">
        <v>122</v>
      </c>
      <c r="L12" s="754" t="s">
        <v>122</v>
      </c>
      <c r="M12" s="754" t="s">
        <v>122</v>
      </c>
      <c r="N12" s="756" t="str">
        <f t="shared" si="0"/>
        <v>Riesgo de Corrupción</v>
      </c>
    </row>
    <row r="13" spans="1:14" ht="70.5" customHeight="1" x14ac:dyDescent="0.25">
      <c r="A13" s="751"/>
      <c r="B13" s="751"/>
      <c r="C13" s="751" t="s">
        <v>220</v>
      </c>
      <c r="D13" s="542">
        <v>5</v>
      </c>
      <c r="E13" s="554" t="s">
        <v>1082</v>
      </c>
      <c r="F13" s="753" t="s">
        <v>1083</v>
      </c>
      <c r="G13" s="754" t="s">
        <v>208</v>
      </c>
      <c r="H13" s="755" t="s">
        <v>1084</v>
      </c>
      <c r="I13" s="303" t="s">
        <v>1081</v>
      </c>
      <c r="J13" s="754" t="s">
        <v>263</v>
      </c>
      <c r="K13" s="754" t="s">
        <v>263</v>
      </c>
      <c r="L13" s="754" t="s">
        <v>263</v>
      </c>
      <c r="M13" s="754" t="s">
        <v>263</v>
      </c>
      <c r="N13" s="756" t="str">
        <f t="shared" si="0"/>
        <v>No es Riesgo de Corrupción</v>
      </c>
    </row>
  </sheetData>
  <mergeCells count="11">
    <mergeCell ref="A6:C6"/>
    <mergeCell ref="D6:N6"/>
    <mergeCell ref="A7:C7"/>
    <mergeCell ref="D7:I7"/>
    <mergeCell ref="J7:N7"/>
    <mergeCell ref="A1:C4"/>
    <mergeCell ref="D1:M4"/>
    <mergeCell ref="N1:N2"/>
    <mergeCell ref="N3:N4"/>
    <mergeCell ref="A5:C5"/>
    <mergeCell ref="D5:N5"/>
  </mergeCells>
  <dataValidations count="1">
    <dataValidation type="list" allowBlank="1" showInputMessage="1" showErrorMessage="1" sqref="J9:M13" xr:uid="{00000000-0002-0000-5100-000000000000}">
      <formula1>"SI,NO"</formula1>
    </dataValidation>
  </dataValidations>
  <pageMargins left="0.11811023622047245" right="0.11811023622047245" top="1.1417322834645669" bottom="0.19685039370078741" header="0.31496062992125984" footer="0.31496062992125984"/>
  <pageSetup scale="79" orientation="landscape" horizontalDpi="1200" verticalDpi="1200" r:id="rId1"/>
  <headerFooter>
    <oddHeader>&amp;L&amp;G&amp;C
&amp;"-,Negrita"Matriz de Riesgos</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100-000001000000}">
          <x14:formula1>
            <xm:f>'C:\Users\sgomez.UPME\Documents\UPME 2020\Documents\Mapas de riesgos\[Mapa de riesgos. Gestión Contractual.xlsx]Datos'!#REF!</xm:f>
          </x14:formula1>
          <xm:sqref>A9:C13 G9:G13</xm:sqref>
        </x14:dataValidation>
      </x14:dataValidations>
    </ext>
  </extLst>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X11"/>
  <sheetViews>
    <sheetView showGridLines="0" showWhiteSpace="0" topLeftCell="L1" zoomScale="70" zoomScaleNormal="70" zoomScaleSheetLayoutView="85" zoomScalePageLayoutView="70" workbookViewId="0">
      <selection activeCell="S8" sqref="S8"/>
    </sheetView>
  </sheetViews>
  <sheetFormatPr baseColWidth="10" defaultRowHeight="15" x14ac:dyDescent="0.25"/>
  <cols>
    <col min="1" max="1" width="4.75" style="746" customWidth="1"/>
    <col min="2" max="2" width="30" style="743" customWidth="1"/>
    <col min="3" max="3" width="48.375" style="800" customWidth="1"/>
    <col min="4" max="4" width="26.25" style="801" customWidth="1"/>
    <col min="5" max="5" width="2.875" style="746" customWidth="1"/>
    <col min="6" max="6" width="17.25" style="746" customWidth="1"/>
    <col min="7" max="7" width="12.875" style="746" customWidth="1"/>
    <col min="8" max="8" width="5" style="746" customWidth="1"/>
    <col min="9" max="9" width="14" style="743" customWidth="1"/>
    <col min="10" max="10" width="13.875" style="743" customWidth="1"/>
    <col min="11" max="11" width="27.5" style="802" customWidth="1"/>
    <col min="12" max="12" width="41" style="743" customWidth="1"/>
    <col min="13" max="13" width="13.75" style="743" customWidth="1"/>
    <col min="14" max="14" width="15" style="743" customWidth="1"/>
    <col min="15" max="15" width="19.25" style="743" customWidth="1"/>
    <col min="16" max="16" width="18.875" style="743" customWidth="1"/>
    <col min="17" max="17" width="12" style="743" customWidth="1"/>
    <col min="18" max="18" width="12.625" style="743" customWidth="1"/>
    <col min="19" max="19" width="13.625" style="746" customWidth="1"/>
    <col min="20" max="20" width="13.625" style="743" customWidth="1"/>
    <col min="21" max="21" width="17.5" style="743" customWidth="1"/>
    <col min="22" max="22" width="12.125" style="743" customWidth="1"/>
    <col min="23" max="23" width="13.875" style="743" customWidth="1"/>
    <col min="24" max="24" width="14.375" style="743" customWidth="1"/>
    <col min="25" max="16384" width="11" style="743"/>
  </cols>
  <sheetData>
    <row r="1" spans="1:24" ht="15" customHeight="1" x14ac:dyDescent="0.25">
      <c r="A1" s="1598"/>
      <c r="B1" s="1598"/>
      <c r="C1" s="1598"/>
      <c r="D1" s="1655" t="s">
        <v>55</v>
      </c>
      <c r="E1" s="1656"/>
      <c r="F1" s="1656"/>
      <c r="G1" s="1656"/>
      <c r="H1" s="1656"/>
      <c r="I1" s="1656"/>
      <c r="J1" s="1656"/>
      <c r="K1" s="1656"/>
      <c r="L1" s="1656"/>
      <c r="M1" s="1656"/>
      <c r="N1" s="1656"/>
      <c r="O1" s="1656"/>
      <c r="P1" s="1656"/>
      <c r="Q1" s="1656"/>
      <c r="R1" s="1656"/>
      <c r="S1" s="1656"/>
      <c r="T1" s="1656"/>
      <c r="U1" s="1656"/>
      <c r="V1" s="1656"/>
      <c r="W1" s="1657"/>
      <c r="X1" s="1600" t="s">
        <v>35</v>
      </c>
    </row>
    <row r="2" spans="1:24" ht="15" customHeight="1" x14ac:dyDescent="0.25">
      <c r="A2" s="1598"/>
      <c r="B2" s="1598"/>
      <c r="C2" s="1598"/>
      <c r="D2" s="1658"/>
      <c r="E2" s="1659"/>
      <c r="F2" s="1659"/>
      <c r="G2" s="1659"/>
      <c r="H2" s="1659"/>
      <c r="I2" s="1659"/>
      <c r="J2" s="1659"/>
      <c r="K2" s="1659"/>
      <c r="L2" s="1659"/>
      <c r="M2" s="1659"/>
      <c r="N2" s="1659"/>
      <c r="O2" s="1659"/>
      <c r="P2" s="1659"/>
      <c r="Q2" s="1659"/>
      <c r="R2" s="1659"/>
      <c r="S2" s="1659"/>
      <c r="T2" s="1659"/>
      <c r="U2" s="1659"/>
      <c r="V2" s="1659"/>
      <c r="W2" s="1660"/>
      <c r="X2" s="1600"/>
    </row>
    <row r="3" spans="1:24" ht="15" customHeight="1" x14ac:dyDescent="0.25">
      <c r="A3" s="1598"/>
      <c r="B3" s="1598"/>
      <c r="C3" s="1598"/>
      <c r="D3" s="1658"/>
      <c r="E3" s="1659"/>
      <c r="F3" s="1659"/>
      <c r="G3" s="1659"/>
      <c r="H3" s="1659"/>
      <c r="I3" s="1659"/>
      <c r="J3" s="1659"/>
      <c r="K3" s="1659"/>
      <c r="L3" s="1659"/>
      <c r="M3" s="1659"/>
      <c r="N3" s="1659"/>
      <c r="O3" s="1659"/>
      <c r="P3" s="1659"/>
      <c r="Q3" s="1659"/>
      <c r="R3" s="1659"/>
      <c r="S3" s="1659"/>
      <c r="T3" s="1659"/>
      <c r="U3" s="1659"/>
      <c r="V3" s="1659"/>
      <c r="W3" s="1660"/>
      <c r="X3" s="1600" t="s">
        <v>56</v>
      </c>
    </row>
    <row r="4" spans="1:24" ht="15.75" customHeight="1" thickBot="1" x14ac:dyDescent="0.3">
      <c r="A4" s="1598"/>
      <c r="B4" s="1598"/>
      <c r="C4" s="1598"/>
      <c r="D4" s="1661"/>
      <c r="E4" s="1662"/>
      <c r="F4" s="1662"/>
      <c r="G4" s="1662"/>
      <c r="H4" s="1662"/>
      <c r="I4" s="1662"/>
      <c r="J4" s="1662"/>
      <c r="K4" s="1662"/>
      <c r="L4" s="1662"/>
      <c r="M4" s="1662"/>
      <c r="N4" s="1662"/>
      <c r="O4" s="1662"/>
      <c r="P4" s="1662"/>
      <c r="Q4" s="1662"/>
      <c r="R4" s="1662"/>
      <c r="S4" s="1662"/>
      <c r="T4" s="1662"/>
      <c r="U4" s="1662"/>
      <c r="V4" s="1662"/>
      <c r="W4" s="1663"/>
      <c r="X4" s="1600"/>
    </row>
    <row r="5" spans="1:24" ht="18.75" customHeight="1" thickBot="1" x14ac:dyDescent="0.3">
      <c r="A5" s="1601" t="s">
        <v>57</v>
      </c>
      <c r="B5" s="1602"/>
      <c r="C5" s="1602"/>
      <c r="D5" s="1602"/>
      <c r="E5" s="1602"/>
      <c r="F5" s="1602"/>
      <c r="G5" s="1602"/>
      <c r="H5" s="1602"/>
      <c r="I5" s="1603"/>
      <c r="J5" s="757"/>
      <c r="K5" s="1604" t="s">
        <v>58</v>
      </c>
      <c r="L5" s="1604"/>
      <c r="M5" s="1604"/>
      <c r="N5" s="1604"/>
      <c r="O5" s="1604"/>
      <c r="P5" s="1605"/>
      <c r="Q5" s="1606" t="s">
        <v>59</v>
      </c>
      <c r="R5" s="1606"/>
      <c r="S5" s="1606"/>
      <c r="T5" s="1606"/>
      <c r="U5" s="1606"/>
      <c r="V5" s="1606"/>
      <c r="W5" s="1606"/>
      <c r="X5" s="1606"/>
    </row>
    <row r="6" spans="1:24" s="763" customFormat="1" ht="51.75" thickBot="1" x14ac:dyDescent="0.25">
      <c r="A6" s="827" t="s">
        <v>44</v>
      </c>
      <c r="B6" s="828" t="s">
        <v>64</v>
      </c>
      <c r="C6" s="828" t="s">
        <v>65</v>
      </c>
      <c r="D6" s="861" t="s">
        <v>66</v>
      </c>
      <c r="E6" s="828" t="s">
        <v>67</v>
      </c>
      <c r="F6" s="828" t="s">
        <v>68</v>
      </c>
      <c r="G6" s="861" t="s">
        <v>69</v>
      </c>
      <c r="H6" s="861" t="s">
        <v>70</v>
      </c>
      <c r="I6" s="829" t="s">
        <v>71</v>
      </c>
      <c r="J6" s="862" t="s">
        <v>72</v>
      </c>
      <c r="K6" s="863" t="s">
        <v>73</v>
      </c>
      <c r="L6" s="828" t="s">
        <v>74</v>
      </c>
      <c r="M6" s="864" t="s">
        <v>75</v>
      </c>
      <c r="N6" s="828" t="s">
        <v>76</v>
      </c>
      <c r="O6" s="828" t="s">
        <v>77</v>
      </c>
      <c r="P6" s="829" t="s">
        <v>78</v>
      </c>
      <c r="Q6" s="863" t="s">
        <v>79</v>
      </c>
      <c r="R6" s="828" t="s">
        <v>80</v>
      </c>
      <c r="S6" s="828" t="s">
        <v>67</v>
      </c>
      <c r="T6" s="828" t="s">
        <v>70</v>
      </c>
      <c r="U6" s="828" t="s">
        <v>81</v>
      </c>
      <c r="V6" s="828" t="s">
        <v>82</v>
      </c>
      <c r="W6" s="828" t="s">
        <v>83</v>
      </c>
      <c r="X6" s="539" t="s">
        <v>84</v>
      </c>
    </row>
    <row r="7" spans="1:24" s="780" customFormat="1" ht="96" customHeight="1" x14ac:dyDescent="0.2">
      <c r="A7" s="865">
        <f>'[13]Identificación del Riesgo GC'!D9</f>
        <v>1</v>
      </c>
      <c r="B7" s="866" t="str">
        <f>'[13]Identificación del Riesgo GC'!E9</f>
        <v>Demoras en el inicio de los contratos.</v>
      </c>
      <c r="C7" s="866" t="str">
        <f>'[13]Identificación del Riesgo GC'!H9</f>
        <v>Demoras en la entrega de información por parte del contratista para formalización del contrato.
Demoras en el inicio de la ejecución de contratos derivadas de inconsistencias en las pólizas de cumplimiento.</v>
      </c>
      <c r="D7" s="867" t="s">
        <v>181</v>
      </c>
      <c r="E7" s="868">
        <f>IF(D7="Selecciona un descriptor de frecuencia."," ",IF(D7="","",VLOOKUP(D7,[13]Datos!$G$8:$J$12,2,FALSE)))</f>
        <v>5</v>
      </c>
      <c r="F7" s="868" t="str">
        <f>IF(D7="Selecciona un descriptor de frecuencia."," ",IF(D7="","",VLOOKUP(D7,[13]Datos!$G$8:$J$12,3,FALSE)))</f>
        <v>Casi Seguro</v>
      </c>
      <c r="G7" s="867" t="s">
        <v>184</v>
      </c>
      <c r="H7" s="868">
        <f>IF(G7="Selecciona un descriptor de impacto."," ",IF(G7="","",VLOOKUP(G7,[13]Datos!$K$8:$L$12,2,FALSE)))</f>
        <v>5</v>
      </c>
      <c r="I7" s="869" t="str">
        <f>IF(D7="Selecciona un descriptor de frecuencia."," ",IF(G7="Selecciona un descriptor de impacto."," ",IF(E7+H7=" ","",IF(E7="","",VLOOKUP(E7,[13]Datos!$U$8:$Z$12,MATCH(H7,[13]Datos!$V$7:$Z$7,0)+1,FALSE)))))</f>
        <v>EXTREMO</v>
      </c>
      <c r="J7" s="870" t="s">
        <v>122</v>
      </c>
      <c r="K7" s="871" t="s">
        <v>1085</v>
      </c>
      <c r="L7" s="872" t="s">
        <v>1086</v>
      </c>
      <c r="M7" s="873">
        <f>[13]Controles!T9</f>
        <v>100</v>
      </c>
      <c r="N7" s="873" t="str">
        <f>[13]Controles!AB9</f>
        <v>No</v>
      </c>
      <c r="O7" s="874">
        <f>[13]Controles!W9</f>
        <v>1</v>
      </c>
      <c r="P7" s="875">
        <f>[13]Controles!X9</f>
        <v>1</v>
      </c>
      <c r="Q7" s="876">
        <f t="shared" ref="Q7:R11" si="0">SUM(O7:O7)</f>
        <v>1</v>
      </c>
      <c r="R7" s="877">
        <f t="shared" si="0"/>
        <v>1</v>
      </c>
      <c r="S7" s="878">
        <f>IF(D7="Selecciona un descriptor de frecuencia."," ",IF(ROUNDUP(E7-Q7,0)&lt;0,1,ROUNDUP(E7-Q7,0)))</f>
        <v>4</v>
      </c>
      <c r="T7" s="878">
        <f>IF(G7="Selecciona un descriptor de impacto."," ",IF(ROUNDUP(H7-R7,0)&lt;0,1,ROUNDUP(H7-R7,0)))</f>
        <v>4</v>
      </c>
      <c r="U7" s="877" t="str">
        <f>IF(D7="Selecciona un descriptor de frecuencia."," ",VLOOKUP(S7,[13]Datos!$H$8:$I$12,2,FALSE))</f>
        <v>Probable</v>
      </c>
      <c r="V7" s="877" t="str">
        <f>IF(G7="Selecciona un descriptor de impacto."," ",VLOOKUP(T7,[13]Datos!$L$8:$M$12,2,FALSE))</f>
        <v>Mayor</v>
      </c>
      <c r="W7" s="879" t="str">
        <f>IF(S7=" "," ",VLOOKUP(S7,[13]Datos!$U$8:$Z$12,MATCH(T7,[13]Datos!$V$7:$Z$7,0)+1,FALSE))</f>
        <v>EXTREMO</v>
      </c>
      <c r="X7" s="819" t="s">
        <v>202</v>
      </c>
    </row>
    <row r="8" spans="1:24" s="799" customFormat="1" ht="134.25" customHeight="1" x14ac:dyDescent="0.2">
      <c r="A8" s="880">
        <f>'[13]Identificación del Riesgo GC'!D10</f>
        <v>2</v>
      </c>
      <c r="B8" s="881" t="str">
        <f>'[13]Identificación del Riesgo GC'!E10</f>
        <v>Realizar la gestión contractual con falta de Eficacia y oportunidad</v>
      </c>
      <c r="C8" s="881" t="str">
        <f>'[13]Identificación del Riesgo GC'!H10</f>
        <v>Desconocimiento por parte de los supervisores sobre sus responsabilidades durante la ejecución de los contratos
Desconocimiento de los futuros supervisores de contratos sobre la plataforma del SECOP II</v>
      </c>
      <c r="D8" s="882" t="s">
        <v>181</v>
      </c>
      <c r="E8" s="883">
        <f>IF(D8="Selecciona un descriptor de frecuencia."," ",IF(D8="","",VLOOKUP(D8,[13]Datos!$G$8:$J$12,2,FALSE)))</f>
        <v>5</v>
      </c>
      <c r="F8" s="883" t="str">
        <f>IF(D8="Selecciona un descriptor de frecuencia."," ",IF(D8="","",VLOOKUP(D8,[13]Datos!$G$8:$J$12,3,FALSE)))</f>
        <v>Casi Seguro</v>
      </c>
      <c r="G8" s="882" t="s">
        <v>199</v>
      </c>
      <c r="H8" s="884">
        <f>IF(G8="","",VLOOKUP(G8,[13]Datos!$K$8:$L$12,2,FALSE))</f>
        <v>4</v>
      </c>
      <c r="I8" s="885" t="str">
        <f>IF(D8="Selecciona un descriptor de frecuencia."," ",IF(G8="Selecciona un descriptor de impacto."," ",IF(E8+H8=" ","",IF(E8="","",VLOOKUP(E8,[13]Datos!$U$8:$Z$12,MATCH(H8,[13]Datos!$V$7:$Z$7,0)+1,FALSE)))))</f>
        <v>EXTREMO</v>
      </c>
      <c r="J8" s="886" t="s">
        <v>263</v>
      </c>
      <c r="K8" s="887" t="s">
        <v>1087</v>
      </c>
      <c r="L8" s="887" t="s">
        <v>1087</v>
      </c>
      <c r="M8" s="820">
        <f>[13]Controles!T10</f>
        <v>0</v>
      </c>
      <c r="N8" s="820" t="str">
        <f>[13]Controles!AB10</f>
        <v>SI</v>
      </c>
      <c r="O8" s="547">
        <f>[13]Controles!W10</f>
        <v>0</v>
      </c>
      <c r="P8" s="888">
        <f>[13]Controles!X10</f>
        <v>0</v>
      </c>
      <c r="Q8" s="889">
        <f t="shared" si="0"/>
        <v>0</v>
      </c>
      <c r="R8" s="890">
        <f t="shared" si="0"/>
        <v>0</v>
      </c>
      <c r="S8" s="891">
        <f t="shared" ref="S8:S11" si="1">IF(D8="Selecciona un descriptor de frecuencia."," ",IF(ROUNDUP(E8-Q8,0)&lt;0,1,ROUNDUP(E8-Q8,0)))</f>
        <v>5</v>
      </c>
      <c r="T8" s="891">
        <f t="shared" ref="T8:T11" si="2">IF(G8="Selecciona un descriptor de impacto."," ",IF(ROUNDUP(H8-R8,0)&lt;0,1,ROUNDUP(H8-R8,0)))</f>
        <v>4</v>
      </c>
      <c r="U8" s="892" t="str">
        <f>IF(D8="Selecciona un descriptor de frecuencia."," ",VLOOKUP(S8,[13]Datos!$H$8:$I$12,2,FALSE))</f>
        <v>Casi Seguro</v>
      </c>
      <c r="V8" s="892" t="str">
        <f>IF(G8="Selecciona un descriptor de impacto."," ",VLOOKUP(T8,[13]Datos!$L$8:$M$12,2,FALSE))</f>
        <v>Mayor</v>
      </c>
      <c r="W8" s="893" t="str">
        <f>IF(S8=" "," ",VLOOKUP(S8,[13]Datos!$U$8:$Z$12,MATCH(T8,[13]Datos!$V$7:$Z$7,0)+1,FALSE))</f>
        <v>EXTREMO</v>
      </c>
      <c r="X8" s="819" t="s">
        <v>202</v>
      </c>
    </row>
    <row r="9" spans="1:24" s="780" customFormat="1" ht="90" customHeight="1" x14ac:dyDescent="0.2">
      <c r="A9" s="880">
        <f>'[13]Identificación del Riesgo GC'!D11</f>
        <v>3</v>
      </c>
      <c r="B9" s="881" t="str">
        <f>'[13]Identificación del Riesgo GC'!E11</f>
        <v>Realizar convenios que no incluyan la totalidad de obligaciones.</v>
      </c>
      <c r="C9" s="881" t="str">
        <f>'[13]Identificación del Riesgo GC'!H11</f>
        <v xml:space="preserve">Desconocimiento de los servidores públicos sobre la importancia de incluir la totalidad de las obligaciones en los convenios. </v>
      </c>
      <c r="D9" s="882" t="s">
        <v>181</v>
      </c>
      <c r="E9" s="883">
        <f>IF(D9="Selecciona un descriptor de frecuencia."," ",IF(D9="","",VLOOKUP(D9,[13]Datos!$G$8:$J$12,2,FALSE)))</f>
        <v>5</v>
      </c>
      <c r="F9" s="883" t="str">
        <f>IF(D9="Selecciona un descriptor de frecuencia."," ",IF(D9="","",VLOOKUP(D9,[13]Datos!$G$8:$J$12,3,FALSE)))</f>
        <v>Casi Seguro</v>
      </c>
      <c r="G9" s="882" t="s">
        <v>204</v>
      </c>
      <c r="H9" s="884">
        <f>IF(G9="","",VLOOKUP(G9,[13]Datos!$K$8:$L$12,2,FALSE))</f>
        <v>3</v>
      </c>
      <c r="I9" s="885" t="str">
        <f>IF(D9="Selecciona un descriptor de frecuencia."," ",IF(G9="Selecciona un descriptor de impacto."," ",IF(E9+H9=" ","",IF(E9="","",VLOOKUP(E9,[13]Datos!$U$8:$Z$12,MATCH(H9,[13]Datos!$V$7:$Z$7,0)+1,FALSE)))))</f>
        <v>EXTREMO</v>
      </c>
      <c r="J9" s="886" t="s">
        <v>122</v>
      </c>
      <c r="K9" s="887" t="s">
        <v>1088</v>
      </c>
      <c r="L9" s="853" t="s">
        <v>1089</v>
      </c>
      <c r="M9" s="820">
        <f>[13]Controles!T11</f>
        <v>100</v>
      </c>
      <c r="N9" s="820" t="str">
        <f>[13]Controles!AB11</f>
        <v>No</v>
      </c>
      <c r="O9" s="547">
        <f>[13]Controles!W11</f>
        <v>1</v>
      </c>
      <c r="P9" s="888">
        <f>[13]Controles!X11</f>
        <v>1</v>
      </c>
      <c r="Q9" s="889">
        <f t="shared" si="0"/>
        <v>1</v>
      </c>
      <c r="R9" s="890">
        <f t="shared" si="0"/>
        <v>1</v>
      </c>
      <c r="S9" s="891">
        <f t="shared" si="1"/>
        <v>4</v>
      </c>
      <c r="T9" s="891">
        <f t="shared" si="2"/>
        <v>2</v>
      </c>
      <c r="U9" s="892" t="str">
        <f>IF(D9="Selecciona un descriptor de frecuencia."," ",VLOOKUP(S9,[13]Datos!$H$8:$I$12,2,FALSE))</f>
        <v>Probable</v>
      </c>
      <c r="V9" s="892" t="str">
        <f>IF(G9="Selecciona un descriptor de impacto."," ",VLOOKUP(T9,[13]Datos!$L$8:$M$12,2,FALSE))</f>
        <v>Menor</v>
      </c>
      <c r="W9" s="893" t="str">
        <f>IF(S9=" "," ",VLOOKUP(S9,[13]Datos!$U$8:$Z$12,MATCH(T9,[13]Datos!$V$7:$Z$7,0)+1,FALSE))</f>
        <v>ALTO</v>
      </c>
      <c r="X9" s="819" t="s">
        <v>202</v>
      </c>
    </row>
    <row r="10" spans="1:24" s="780" customFormat="1" ht="100.5" customHeight="1" x14ac:dyDescent="0.2">
      <c r="A10" s="880">
        <f>'[13]Identificación del Riesgo GC'!D12</f>
        <v>4</v>
      </c>
      <c r="B10" s="881" t="str">
        <f>'[13]Identificación del Riesgo GC'!E12</f>
        <v>Favorecimiento a un contratista específico.</v>
      </c>
      <c r="C10" s="881" t="str">
        <f>'[13]Identificación del Riesgo GC'!H12</f>
        <v>Realizar un sondeo del mercado deficiente por parte del área líder.</v>
      </c>
      <c r="D10" s="882" t="s">
        <v>210</v>
      </c>
      <c r="E10" s="883">
        <f>IF(D10="Selecciona un descriptor de frecuencia."," ",IF(D10="","",VLOOKUP(D10,[13]Datos!$G$8:$J$12,2,FALSE)))</f>
        <v>3</v>
      </c>
      <c r="F10" s="883" t="str">
        <f>IF(D10="Selecciona un descriptor de frecuencia."," ",IF(D10="","",VLOOKUP(D10,[13]Datos!$G$8:$J$12,3,FALSE)))</f>
        <v>Posible</v>
      </c>
      <c r="G10" s="882" t="s">
        <v>184</v>
      </c>
      <c r="H10" s="884">
        <f>IF(G10="","",VLOOKUP(G10,[13]Datos!$K$8:$L$12,2,FALSE))</f>
        <v>5</v>
      </c>
      <c r="I10" s="885" t="str">
        <f>IF(D10="Selecciona un descriptor de frecuencia."," ",IF(G10="Selecciona un descriptor de impacto."," ",IF(E10+H10=" ","",IF(E10="","",VLOOKUP(E10,[13]Datos!$U$8:$Z$12,MATCH(H10,[13]Datos!$V$7:$Z$7,0)+1,FALSE)))))</f>
        <v>EXTREMO</v>
      </c>
      <c r="J10" s="886" t="s">
        <v>263</v>
      </c>
      <c r="K10" s="887" t="s">
        <v>1087</v>
      </c>
      <c r="L10" s="887" t="s">
        <v>1087</v>
      </c>
      <c r="M10" s="820">
        <f>[13]Controles!T12</f>
        <v>0</v>
      </c>
      <c r="N10" s="820" t="str">
        <f>[13]Controles!AB12</f>
        <v>SI</v>
      </c>
      <c r="O10" s="547">
        <f>[13]Controles!W12</f>
        <v>0</v>
      </c>
      <c r="P10" s="888">
        <f>[13]Controles!X12</f>
        <v>0</v>
      </c>
      <c r="Q10" s="889">
        <f t="shared" si="0"/>
        <v>0</v>
      </c>
      <c r="R10" s="890">
        <f t="shared" si="0"/>
        <v>0</v>
      </c>
      <c r="S10" s="891">
        <f t="shared" si="1"/>
        <v>3</v>
      </c>
      <c r="T10" s="891">
        <f t="shared" si="2"/>
        <v>5</v>
      </c>
      <c r="U10" s="892" t="str">
        <f>IF(D10="Selecciona un descriptor de frecuencia."," ",VLOOKUP(S10,[13]Datos!$H$8:$I$12,2,FALSE))</f>
        <v>Posible</v>
      </c>
      <c r="V10" s="892" t="str">
        <f>IF(G10="Selecciona un descriptor de impacto."," ",VLOOKUP(T10,[13]Datos!$L$8:$M$12,2,FALSE))</f>
        <v>Catastrófico</v>
      </c>
      <c r="W10" s="893" t="str">
        <f>IF(S10=" "," ",VLOOKUP(S10,[13]Datos!$U$8:$Z$12,MATCH(T10,[13]Datos!$V$7:$Z$7,0)+1,FALSE))</f>
        <v>EXTREMO</v>
      </c>
      <c r="X10" s="819" t="s">
        <v>202</v>
      </c>
    </row>
    <row r="11" spans="1:24" s="780" customFormat="1" ht="91.5" customHeight="1" x14ac:dyDescent="0.2">
      <c r="A11" s="894">
        <f>'[13]Identificación del Riesgo GC'!D13</f>
        <v>5</v>
      </c>
      <c r="B11" s="881" t="str">
        <f>'[13]Identificación del Riesgo GC'!E13</f>
        <v>Actuaciones improvisadas por parte de los supervisores</v>
      </c>
      <c r="C11" s="881" t="str">
        <f>'[13]Identificación del Riesgo GC'!H13</f>
        <v>Desconocimiento del supervisor sobre las diferentes situaciones jurídicas contractuales.</v>
      </c>
      <c r="D11" s="882" t="s">
        <v>210</v>
      </c>
      <c r="E11" s="883">
        <f>IF(D11="Selecciona un descriptor de frecuencia."," ",IF(D11="","",VLOOKUP(D11,[13]Datos!$G$8:$J$12,2,FALSE)))</f>
        <v>3</v>
      </c>
      <c r="F11" s="883" t="str">
        <f>IF(D11="Selecciona un descriptor de frecuencia."," ",IF(D11="","",VLOOKUP(D11,[13]Datos!$G$8:$J$12,3,FALSE)))</f>
        <v>Posible</v>
      </c>
      <c r="G11" s="882" t="s">
        <v>184</v>
      </c>
      <c r="H11" s="884">
        <f>IF(G11="","",VLOOKUP(G11,[13]Datos!$K$8:$L$12,2,FALSE))</f>
        <v>5</v>
      </c>
      <c r="I11" s="885" t="str">
        <f>IF(D11="Selecciona un descriptor de frecuencia."," ",IF(G11="Selecciona un descriptor de impacto."," ",IF(E11+H11=" ","",IF(E11="","",VLOOKUP(E11,[13]Datos!$U$8:$Z$12,MATCH(H11,[13]Datos!$V$7:$Z$7,0)+1,FALSE)))))</f>
        <v>EXTREMO</v>
      </c>
      <c r="J11" s="886" t="s">
        <v>263</v>
      </c>
      <c r="K11" s="887" t="s">
        <v>1087</v>
      </c>
      <c r="L11" s="887" t="s">
        <v>1087</v>
      </c>
      <c r="M11" s="820">
        <f>[13]Controles!T13</f>
        <v>0</v>
      </c>
      <c r="N11" s="820" t="str">
        <f>[13]Controles!AB13</f>
        <v>SI</v>
      </c>
      <c r="O11" s="547">
        <f>[13]Controles!W13</f>
        <v>0</v>
      </c>
      <c r="P11" s="888">
        <f>[13]Controles!X13</f>
        <v>0</v>
      </c>
      <c r="Q11" s="889">
        <f t="shared" si="0"/>
        <v>0</v>
      </c>
      <c r="R11" s="890">
        <f t="shared" si="0"/>
        <v>0</v>
      </c>
      <c r="S11" s="891">
        <f t="shared" si="1"/>
        <v>3</v>
      </c>
      <c r="T11" s="891">
        <f t="shared" si="2"/>
        <v>5</v>
      </c>
      <c r="U11" s="892" t="str">
        <f>IF(D11="Selecciona un descriptor de frecuencia."," ",VLOOKUP(S11,[13]Datos!$H$8:$I$12,2,FALSE))</f>
        <v>Posible</v>
      </c>
      <c r="V11" s="892" t="str">
        <f>IF(G11="Selecciona un descriptor de impacto."," ",VLOOKUP(T11,[13]Datos!$L$8:$M$12,2,FALSE))</f>
        <v>Catastrófico</v>
      </c>
      <c r="W11" s="893" t="str">
        <f>IF(S11=" "," ",VLOOKUP(S11,[13]Datos!$U$8:$Z$12,MATCH(T11,[13]Datos!$V$7:$Z$7,0)+1,FALSE))</f>
        <v>EXTREMO</v>
      </c>
      <c r="X11" s="819" t="s">
        <v>202</v>
      </c>
    </row>
  </sheetData>
  <mergeCells count="7">
    <mergeCell ref="A1:C4"/>
    <mergeCell ref="D1:W4"/>
    <mergeCell ref="X1:X2"/>
    <mergeCell ref="X3:X4"/>
    <mergeCell ref="A5:I5"/>
    <mergeCell ref="K5:P5"/>
    <mergeCell ref="Q5:X5"/>
  </mergeCells>
  <conditionalFormatting sqref="I7:J11 W7:X11">
    <cfRule type="cellIs" dxfId="63" priority="1" operator="equal">
      <formula>"Extremo"</formula>
    </cfRule>
    <cfRule type="cellIs" dxfId="62" priority="2" operator="equal">
      <formula>"Moderado"</formula>
    </cfRule>
    <cfRule type="cellIs" dxfId="61" priority="3" operator="equal">
      <formula>"Bajo"</formula>
    </cfRule>
    <cfRule type="cellIs" dxfId="60" priority="4" operator="equal">
      <formula>"Alto"</formula>
    </cfRule>
  </conditionalFormatting>
  <dataValidations count="1">
    <dataValidation type="list" allowBlank="1" showInputMessage="1" showErrorMessage="1" sqref="J7:J11" xr:uid="{00000000-0002-0000-5200-000000000000}">
      <formula1>"SI,NO"</formula1>
    </dataValidation>
  </dataValidations>
  <pageMargins left="7.874015748031496E-2" right="7.874015748031496E-2" top="1.1417322834645669" bottom="0.15748031496062992" header="0.31496062992125984" footer="0.31496062992125984"/>
  <pageSetup scale="38" orientation="landscape" horizontalDpi="1200" verticalDpi="1200" r:id="rId1"/>
  <headerFooter>
    <oddHeader>&amp;L&amp;G&amp;C
&amp;"-,Negrita"Matriz de Riesgos</oddHeader>
  </headerFooter>
  <rowBreaks count="2" manualBreakCount="2">
    <brk id="8" max="16383" man="1"/>
    <brk id="10" max="16383" man="1"/>
  </rowBreaks>
  <colBreaks count="1" manualBreakCount="1">
    <brk id="16" max="1048575" man="1"/>
  </col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200-000001000000}">
          <x14:formula1>
            <xm:f>'C:\Users\sgomez.UPME\Documents\UPME 2020\Documents\Mapas de riesgos\[Mapa de riesgos. Gestión Contractual.xlsx]Datos'!#REF!</xm:f>
          </x14:formula1>
          <xm:sqref>G7:G11 X7:X11 D7:D11</xm:sqref>
        </x14:dataValidation>
      </x14:dataValidations>
    </ext>
  </extLst>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BEAE25"/>
  </sheetPr>
  <dimension ref="A1:X16"/>
  <sheetViews>
    <sheetView showGridLines="0" view="pageBreakPreview" zoomScale="115" zoomScaleNormal="100" zoomScaleSheetLayoutView="115" workbookViewId="0">
      <selection activeCell="E7" sqref="E7"/>
    </sheetView>
  </sheetViews>
  <sheetFormatPr baseColWidth="10" defaultRowHeight="15" x14ac:dyDescent="0.25"/>
  <cols>
    <col min="1" max="1" width="5.625" style="743" customWidth="1"/>
    <col min="2" max="2" width="21.625" style="743" customWidth="1"/>
    <col min="3" max="3" width="15.75" style="743" customWidth="1"/>
    <col min="4" max="4" width="17.875" style="743" customWidth="1"/>
    <col min="5" max="11" width="16.625" style="743" customWidth="1"/>
    <col min="12" max="12" width="21.375" style="743" customWidth="1"/>
    <col min="13" max="14" width="16.625" style="743" customWidth="1"/>
    <col min="15" max="15" width="18.5" style="743" customWidth="1"/>
    <col min="16" max="16" width="16.625" style="743" customWidth="1"/>
    <col min="17" max="23" width="13.75" style="743" customWidth="1"/>
    <col min="24" max="24" width="9.125" style="746" bestFit="1" customWidth="1"/>
    <col min="25" max="26" width="25.625" style="743" customWidth="1"/>
    <col min="27" max="16384" width="11" style="743"/>
  </cols>
  <sheetData>
    <row r="1" spans="1:24" ht="15" customHeight="1" x14ac:dyDescent="0.25">
      <c r="A1" s="1610"/>
      <c r="B1" s="1611"/>
      <c r="C1" s="1611"/>
      <c r="D1" s="1612"/>
      <c r="E1" s="1615" t="s">
        <v>0</v>
      </c>
      <c r="F1" s="1616"/>
      <c r="G1" s="1616"/>
      <c r="H1" s="1616"/>
      <c r="I1" s="1616"/>
      <c r="J1" s="1616"/>
      <c r="K1" s="1616"/>
      <c r="L1" s="1616"/>
      <c r="M1" s="1616"/>
      <c r="N1" s="1616"/>
      <c r="O1" s="1616"/>
      <c r="P1" s="1616"/>
      <c r="Q1" s="1616"/>
      <c r="R1" s="1616"/>
      <c r="S1" s="1616"/>
      <c r="T1" s="1617"/>
      <c r="U1" s="1621" t="s">
        <v>98</v>
      </c>
      <c r="V1" s="1622"/>
      <c r="W1" s="1622"/>
      <c r="X1" s="1623"/>
    </row>
    <row r="2" spans="1:24" ht="15" customHeight="1" x14ac:dyDescent="0.25">
      <c r="A2" s="1613"/>
      <c r="B2" s="1614"/>
      <c r="C2" s="1614"/>
      <c r="D2" s="1568"/>
      <c r="E2" s="1618"/>
      <c r="F2" s="1619"/>
      <c r="G2" s="1619"/>
      <c r="H2" s="1619"/>
      <c r="I2" s="1619"/>
      <c r="J2" s="1619"/>
      <c r="K2" s="1619"/>
      <c r="L2" s="1619"/>
      <c r="M2" s="1619"/>
      <c r="N2" s="1619"/>
      <c r="O2" s="1619"/>
      <c r="P2" s="1619"/>
      <c r="Q2" s="1619"/>
      <c r="R2" s="1619"/>
      <c r="S2" s="1619"/>
      <c r="T2" s="1620"/>
      <c r="U2" s="1624"/>
      <c r="V2" s="1625"/>
      <c r="W2" s="1625"/>
      <c r="X2" s="1626"/>
    </row>
    <row r="3" spans="1:24" ht="15" customHeight="1" x14ac:dyDescent="0.25">
      <c r="A3" s="1613"/>
      <c r="B3" s="1614"/>
      <c r="C3" s="1614"/>
      <c r="D3" s="1568"/>
      <c r="E3" s="1618"/>
      <c r="F3" s="1619"/>
      <c r="G3" s="1619"/>
      <c r="H3" s="1619"/>
      <c r="I3" s="1619"/>
      <c r="J3" s="1619"/>
      <c r="K3" s="1619"/>
      <c r="L3" s="1619"/>
      <c r="M3" s="1619"/>
      <c r="N3" s="1619"/>
      <c r="O3" s="1619"/>
      <c r="P3" s="1619"/>
      <c r="Q3" s="1619"/>
      <c r="R3" s="1619"/>
      <c r="S3" s="1619"/>
      <c r="T3" s="1620"/>
      <c r="U3" s="1621" t="s">
        <v>367</v>
      </c>
      <c r="V3" s="1622"/>
      <c r="W3" s="1622"/>
      <c r="X3" s="1622"/>
    </row>
    <row r="4" spans="1:24" ht="15" customHeight="1" x14ac:dyDescent="0.25">
      <c r="A4" s="1613"/>
      <c r="B4" s="1614"/>
      <c r="C4" s="1614"/>
      <c r="D4" s="1568"/>
      <c r="E4" s="1618"/>
      <c r="F4" s="1619"/>
      <c r="G4" s="1619"/>
      <c r="H4" s="1619"/>
      <c r="I4" s="1619"/>
      <c r="J4" s="1619"/>
      <c r="K4" s="1619"/>
      <c r="L4" s="1619"/>
      <c r="M4" s="1619"/>
      <c r="N4" s="1619"/>
      <c r="O4" s="1619"/>
      <c r="P4" s="1619"/>
      <c r="Q4" s="1619"/>
      <c r="R4" s="1619"/>
      <c r="S4" s="1619"/>
      <c r="T4" s="1620"/>
      <c r="U4" s="1627"/>
      <c r="V4" s="1628"/>
      <c r="W4" s="1628"/>
      <c r="X4" s="1628"/>
    </row>
    <row r="5" spans="1:24" ht="15" customHeight="1" x14ac:dyDescent="0.25">
      <c r="A5" s="1560" t="s">
        <v>100</v>
      </c>
      <c r="B5" s="1560"/>
      <c r="C5" s="1560"/>
      <c r="D5" s="1629"/>
      <c r="E5" s="1591" t="s">
        <v>101</v>
      </c>
      <c r="F5" s="1592"/>
      <c r="G5" s="1592"/>
      <c r="H5" s="1592"/>
      <c r="I5" s="1592"/>
      <c r="J5" s="1592"/>
      <c r="K5" s="1592"/>
      <c r="L5" s="1592"/>
      <c r="M5" s="1592"/>
      <c r="N5" s="1592"/>
      <c r="O5" s="1592"/>
      <c r="P5" s="1592"/>
      <c r="Q5" s="1592"/>
      <c r="R5" s="1592"/>
      <c r="S5" s="1592"/>
      <c r="T5" s="1592"/>
      <c r="U5" s="1592"/>
      <c r="V5" s="1592"/>
      <c r="W5" s="1592"/>
      <c r="X5" s="1593"/>
    </row>
    <row r="6" spans="1:24" s="804" customFormat="1" ht="114.75" customHeight="1" x14ac:dyDescent="0.2">
      <c r="A6" s="749" t="s">
        <v>44</v>
      </c>
      <c r="B6" s="803" t="s">
        <v>64</v>
      </c>
      <c r="C6" s="803" t="s">
        <v>70</v>
      </c>
      <c r="D6" s="803" t="s">
        <v>69</v>
      </c>
      <c r="E6" s="749" t="s">
        <v>102</v>
      </c>
      <c r="F6" s="749" t="s">
        <v>103</v>
      </c>
      <c r="G6" s="749" t="s">
        <v>104</v>
      </c>
      <c r="H6" s="749" t="s">
        <v>105</v>
      </c>
      <c r="I6" s="803" t="s">
        <v>106</v>
      </c>
      <c r="J6" s="803" t="s">
        <v>107</v>
      </c>
      <c r="K6" s="803" t="s">
        <v>108</v>
      </c>
      <c r="L6" s="803" t="s">
        <v>109</v>
      </c>
      <c r="M6" s="803" t="s">
        <v>110</v>
      </c>
      <c r="N6" s="803" t="s">
        <v>111</v>
      </c>
      <c r="O6" s="803" t="s">
        <v>112</v>
      </c>
      <c r="P6" s="803" t="s">
        <v>113</v>
      </c>
      <c r="Q6" s="803" t="s">
        <v>114</v>
      </c>
      <c r="R6" s="803" t="s">
        <v>115</v>
      </c>
      <c r="S6" s="803" t="s">
        <v>116</v>
      </c>
      <c r="T6" s="803" t="s">
        <v>117</v>
      </c>
      <c r="U6" s="803" t="s">
        <v>118</v>
      </c>
      <c r="V6" s="803" t="s">
        <v>119</v>
      </c>
      <c r="W6" s="803" t="s">
        <v>120</v>
      </c>
      <c r="X6" s="803" t="s">
        <v>121</v>
      </c>
    </row>
    <row r="7" spans="1:24" s="809" customFormat="1" ht="111" customHeight="1" x14ac:dyDescent="0.2">
      <c r="A7" s="805">
        <f>'[13]Identificación del Riesgo GC'!D9</f>
        <v>1</v>
      </c>
      <c r="B7" s="805" t="str">
        <f>'[13]Identificación del Riesgo GC'!E9</f>
        <v>Demoras en el inicio de los contratos.</v>
      </c>
      <c r="C7" s="756" t="str">
        <f>IF(D7="PENDIENTE EVALUAR EL IMPACTO","PENDIENTE EVALUAR EL IMPACTO COLUMNAS H-W",VLOOKUP(D7,[13]Datos!$K$8:$L$12,2,FALSE))</f>
        <v>PENDIENTE EVALUAR EL IMPACTO COLUMNAS H-W</v>
      </c>
      <c r="D7" s="756" t="str">
        <f>IF(X7=0,"PENDIENTE EVALUAR EL IMPACTO",IF(X7&lt;=5,"MODERADO",IF(X7&lt;=11,"MAYOR","CATASTRÓFICO")))</f>
        <v>PENDIENTE EVALUAR EL IMPACTO</v>
      </c>
      <c r="E7" s="806"/>
      <c r="F7" s="806"/>
      <c r="G7" s="806"/>
      <c r="H7" s="806"/>
      <c r="I7" s="807"/>
      <c r="J7" s="807"/>
      <c r="K7" s="807"/>
      <c r="L7" s="807"/>
      <c r="M7" s="807"/>
      <c r="N7" s="807"/>
      <c r="O7" s="807"/>
      <c r="P7" s="807"/>
      <c r="Q7" s="807"/>
      <c r="R7" s="807"/>
      <c r="S7" s="807"/>
      <c r="T7" s="807"/>
      <c r="U7" s="807"/>
      <c r="V7" s="807"/>
      <c r="W7" s="807"/>
      <c r="X7" s="808">
        <f>COUNTIF(E7:W7,"SI")</f>
        <v>0</v>
      </c>
    </row>
    <row r="8" spans="1:24" ht="84.75" customHeight="1" x14ac:dyDescent="0.25">
      <c r="A8" s="805">
        <f>'[13]Identificación del Riesgo GC'!D10</f>
        <v>2</v>
      </c>
      <c r="B8" s="805" t="str">
        <f>'[13]Identificación del Riesgo GC'!E10</f>
        <v>Realizar la gestión contractual con falta de Eficacia y oportunidad</v>
      </c>
      <c r="C8" s="756">
        <f>IF(D8="PENDIENTE EVALUAR EL IMPACTO","PENDIENTE EVALUAR EL IMPACTO COLUMNAS H-W",VLOOKUP(D8,[13]Datos!$K$8:$L$12,2,FALSE))</f>
        <v>4</v>
      </c>
      <c r="D8" s="805" t="str">
        <f>IF(X8=0,"PENDIENTE EVALUAR EL IMPACTO",IF(X8&lt;=5,"MODERADO",IF(X8&lt;=11,"MAYOR","CATASTRÓFICO")))</f>
        <v>MAYOR</v>
      </c>
      <c r="E8" s="810" t="s">
        <v>122</v>
      </c>
      <c r="F8" s="810" t="s">
        <v>122</v>
      </c>
      <c r="G8" s="810" t="s">
        <v>122</v>
      </c>
      <c r="H8" s="810"/>
      <c r="I8" s="754" t="s">
        <v>122</v>
      </c>
      <c r="J8" s="754"/>
      <c r="K8" s="754"/>
      <c r="L8" s="754" t="s">
        <v>122</v>
      </c>
      <c r="M8" s="754" t="s">
        <v>122</v>
      </c>
      <c r="N8" s="754"/>
      <c r="O8" s="754"/>
      <c r="P8" s="754" t="s">
        <v>122</v>
      </c>
      <c r="Q8" s="754"/>
      <c r="R8" s="754"/>
      <c r="S8" s="754" t="s">
        <v>122</v>
      </c>
      <c r="T8" s="754"/>
      <c r="U8" s="754" t="s">
        <v>122</v>
      </c>
      <c r="V8" s="754"/>
      <c r="W8" s="754" t="s">
        <v>122</v>
      </c>
      <c r="X8" s="808">
        <f t="shared" ref="X8:X16" si="0">COUNTIF(E8:W8,"SI")</f>
        <v>10</v>
      </c>
    </row>
    <row r="9" spans="1:24" ht="72.75" customHeight="1" x14ac:dyDescent="0.25">
      <c r="A9" s="805">
        <f>'[13]Identificación del Riesgo GC'!D11</f>
        <v>3</v>
      </c>
      <c r="B9" s="805" t="str">
        <f>'[13]Identificación del Riesgo GC'!E11</f>
        <v>Realizar convenios que no incluyan la totalidad de obligaciones.</v>
      </c>
      <c r="C9" s="756" t="str">
        <f>IF(D9="PENDIENTE EVALUAR EL IMPACTO","PENDIENTE EVALUAR EL IMPACTO COLUMNAS H-W",VLOOKUP(D9,[13]Datos!$K$8:$L$12,2,FALSE))</f>
        <v>PENDIENTE EVALUAR EL IMPACTO COLUMNAS H-W</v>
      </c>
      <c r="D9" s="805" t="str">
        <f t="shared" ref="D9:D16" si="1">IF(X9=0,"PENDIENTE EVALUAR EL IMPACTO",IF(X9&lt;=5,"MODERADO",IF(X9&lt;=11,"MAYOR","CATASTRÓFICO")))</f>
        <v>PENDIENTE EVALUAR EL IMPACTO</v>
      </c>
      <c r="E9" s="895"/>
      <c r="F9" s="895"/>
      <c r="G9" s="895"/>
      <c r="H9" s="895"/>
      <c r="I9" s="895"/>
      <c r="J9" s="895"/>
      <c r="K9" s="895"/>
      <c r="L9" s="895"/>
      <c r="M9" s="895"/>
      <c r="N9" s="895"/>
      <c r="O9" s="895"/>
      <c r="P9" s="895"/>
      <c r="Q9" s="895"/>
      <c r="R9" s="895"/>
      <c r="S9" s="895"/>
      <c r="T9" s="895"/>
      <c r="U9" s="895"/>
      <c r="V9" s="895"/>
      <c r="W9" s="895"/>
      <c r="X9" s="808">
        <f t="shared" si="0"/>
        <v>0</v>
      </c>
    </row>
    <row r="10" spans="1:24" ht="105" customHeight="1" x14ac:dyDescent="0.25">
      <c r="A10" s="805">
        <f>'[13]Identificación del Riesgo GC'!D12</f>
        <v>4</v>
      </c>
      <c r="B10" s="805" t="str">
        <f>'[13]Identificación del Riesgo GC'!E12</f>
        <v>Favorecimiento a un contratista específico.</v>
      </c>
      <c r="C10" s="756" t="str">
        <f>IF(D10="PENDIENTE EVALUAR EL IMPACTO","PENDIENTE EVALUAR EL IMPACTO COLUMNAS H-W",VLOOKUP(D10,[13]Datos!$K$8:$L$12,2,FALSE))</f>
        <v>PENDIENTE EVALUAR EL IMPACTO COLUMNAS H-W</v>
      </c>
      <c r="D10" s="805" t="str">
        <f t="shared" si="1"/>
        <v>PENDIENTE EVALUAR EL IMPACTO</v>
      </c>
      <c r="E10" s="895"/>
      <c r="F10" s="895"/>
      <c r="G10" s="895"/>
      <c r="H10" s="895"/>
      <c r="I10" s="895"/>
      <c r="J10" s="895"/>
      <c r="K10" s="895"/>
      <c r="L10" s="895"/>
      <c r="M10" s="895"/>
      <c r="N10" s="895"/>
      <c r="O10" s="895"/>
      <c r="P10" s="895"/>
      <c r="Q10" s="895"/>
      <c r="R10" s="895"/>
      <c r="S10" s="895"/>
      <c r="T10" s="895"/>
      <c r="U10" s="895"/>
      <c r="V10" s="895"/>
      <c r="W10" s="895"/>
      <c r="X10" s="808">
        <f t="shared" si="0"/>
        <v>0</v>
      </c>
    </row>
    <row r="11" spans="1:24" ht="60" x14ac:dyDescent="0.25">
      <c r="A11" s="805">
        <f>'[13]Identificación del Riesgo GC'!D13</f>
        <v>5</v>
      </c>
      <c r="B11" s="805" t="str">
        <f>'[13]Identificación del Riesgo GC'!E13</f>
        <v>Actuaciones improvisadas por parte de los supervisores</v>
      </c>
      <c r="C11" s="756" t="str">
        <f>IF(D11="PENDIENTE EVALUAR EL IMPACTO","PENDIENTE EVALUAR EL IMPACTO COLUMNAS H-W",VLOOKUP(D11,[13]Datos!$K$8:$L$12,2,FALSE))</f>
        <v>PENDIENTE EVALUAR EL IMPACTO COLUMNAS H-W</v>
      </c>
      <c r="D11" s="805" t="str">
        <f t="shared" si="1"/>
        <v>PENDIENTE EVALUAR EL IMPACTO</v>
      </c>
      <c r="E11" s="895"/>
      <c r="F11" s="895"/>
      <c r="G11" s="895"/>
      <c r="H11" s="895"/>
      <c r="I11" s="895"/>
      <c r="J11" s="895"/>
      <c r="K11" s="895"/>
      <c r="L11" s="895"/>
      <c r="M11" s="895"/>
      <c r="N11" s="895"/>
      <c r="O11" s="895"/>
      <c r="P11" s="895"/>
      <c r="Q11" s="895"/>
      <c r="R11" s="895"/>
      <c r="S11" s="895"/>
      <c r="T11" s="895"/>
      <c r="U11" s="895"/>
      <c r="V11" s="895"/>
      <c r="W11" s="895"/>
      <c r="X11" s="808">
        <f t="shared" si="0"/>
        <v>0</v>
      </c>
    </row>
    <row r="12" spans="1:24" ht="60" x14ac:dyDescent="0.25">
      <c r="A12" s="805" t="e">
        <f>'[13]Identificación del Riesgo GC'!#REF!</f>
        <v>#REF!</v>
      </c>
      <c r="B12" s="805" t="e">
        <f>'[13]Identificación del Riesgo GC'!#REF!</f>
        <v>#REF!</v>
      </c>
      <c r="C12" s="756" t="str">
        <f>IF(D12="PENDIENTE EVALUAR EL IMPACTO","PENDIENTE EVALUAR EL IMPACTO COLUMNAS H-W",VLOOKUP(D12,[13]Datos!$K$8:$L$12,2,FALSE))</f>
        <v>PENDIENTE EVALUAR EL IMPACTO COLUMNAS H-W</v>
      </c>
      <c r="D12" s="805" t="str">
        <f t="shared" si="1"/>
        <v>PENDIENTE EVALUAR EL IMPACTO</v>
      </c>
      <c r="E12" s="895"/>
      <c r="F12" s="895"/>
      <c r="G12" s="895"/>
      <c r="H12" s="895"/>
      <c r="I12" s="895"/>
      <c r="J12" s="895"/>
      <c r="K12" s="895"/>
      <c r="L12" s="895"/>
      <c r="M12" s="895"/>
      <c r="N12" s="895"/>
      <c r="O12" s="895"/>
      <c r="P12" s="895"/>
      <c r="Q12" s="895"/>
      <c r="R12" s="895"/>
      <c r="S12" s="895"/>
      <c r="T12" s="895"/>
      <c r="U12" s="895"/>
      <c r="V12" s="895"/>
      <c r="W12" s="895"/>
      <c r="X12" s="808">
        <f t="shared" si="0"/>
        <v>0</v>
      </c>
    </row>
    <row r="13" spans="1:24" ht="60" x14ac:dyDescent="0.25">
      <c r="A13" s="805" t="e">
        <f>'[13]Identificación del Riesgo GC'!#REF!</f>
        <v>#REF!</v>
      </c>
      <c r="B13" s="805" t="e">
        <f>'[13]Identificación del Riesgo GC'!#REF!</f>
        <v>#REF!</v>
      </c>
      <c r="C13" s="756" t="str">
        <f>IF(D13="PENDIENTE EVALUAR EL IMPACTO","PENDIENTE EVALUAR EL IMPACTO COLUMNAS H-W",VLOOKUP(D13,[13]Datos!$K$8:$L$12,2,FALSE))</f>
        <v>PENDIENTE EVALUAR EL IMPACTO COLUMNAS H-W</v>
      </c>
      <c r="D13" s="805" t="str">
        <f t="shared" si="1"/>
        <v>PENDIENTE EVALUAR EL IMPACTO</v>
      </c>
      <c r="E13" s="895"/>
      <c r="F13" s="895"/>
      <c r="G13" s="895"/>
      <c r="H13" s="895"/>
      <c r="I13" s="895"/>
      <c r="J13" s="895"/>
      <c r="K13" s="895"/>
      <c r="L13" s="895"/>
      <c r="M13" s="895"/>
      <c r="N13" s="895"/>
      <c r="O13" s="895"/>
      <c r="P13" s="895"/>
      <c r="Q13" s="895"/>
      <c r="R13" s="895"/>
      <c r="S13" s="895"/>
      <c r="T13" s="895"/>
      <c r="U13" s="895"/>
      <c r="V13" s="895"/>
      <c r="W13" s="895"/>
      <c r="X13" s="808">
        <f t="shared" si="0"/>
        <v>0</v>
      </c>
    </row>
    <row r="14" spans="1:24" ht="60" x14ac:dyDescent="0.25">
      <c r="A14" s="805" t="e">
        <f>'[13]Identificación del Riesgo GC'!#REF!</f>
        <v>#REF!</v>
      </c>
      <c r="B14" s="805" t="e">
        <f>'[13]Identificación del Riesgo GC'!#REF!</f>
        <v>#REF!</v>
      </c>
      <c r="C14" s="756" t="str">
        <f>IF(D14="PENDIENTE EVALUAR EL IMPACTO","PENDIENTE EVALUAR EL IMPACTO COLUMNAS H-W",VLOOKUP(D14,[13]Datos!$K$8:$L$12,2,FALSE))</f>
        <v>PENDIENTE EVALUAR EL IMPACTO COLUMNAS H-W</v>
      </c>
      <c r="D14" s="805" t="str">
        <f t="shared" si="1"/>
        <v>PENDIENTE EVALUAR EL IMPACTO</v>
      </c>
      <c r="E14" s="895"/>
      <c r="F14" s="895"/>
      <c r="G14" s="895"/>
      <c r="H14" s="895"/>
      <c r="I14" s="895"/>
      <c r="J14" s="895"/>
      <c r="K14" s="895"/>
      <c r="L14" s="895"/>
      <c r="M14" s="895"/>
      <c r="N14" s="895"/>
      <c r="O14" s="895"/>
      <c r="P14" s="895"/>
      <c r="Q14" s="895"/>
      <c r="R14" s="895"/>
      <c r="S14" s="895"/>
      <c r="T14" s="895"/>
      <c r="U14" s="895"/>
      <c r="V14" s="895"/>
      <c r="W14" s="895"/>
      <c r="X14" s="808">
        <f t="shared" si="0"/>
        <v>0</v>
      </c>
    </row>
    <row r="15" spans="1:24" ht="60" x14ac:dyDescent="0.25">
      <c r="A15" s="805" t="e">
        <f>'[13]Identificación del Riesgo GC'!#REF!</f>
        <v>#REF!</v>
      </c>
      <c r="B15" s="805" t="e">
        <f>'[13]Identificación del Riesgo GC'!#REF!</f>
        <v>#REF!</v>
      </c>
      <c r="C15" s="756" t="str">
        <f>IF(D15="PENDIENTE EVALUAR EL IMPACTO","PENDIENTE EVALUAR EL IMPACTO COLUMNAS H-W",VLOOKUP(D15,[13]Datos!$K$8:$L$12,2,FALSE))</f>
        <v>PENDIENTE EVALUAR EL IMPACTO COLUMNAS H-W</v>
      </c>
      <c r="D15" s="805" t="str">
        <f t="shared" si="1"/>
        <v>PENDIENTE EVALUAR EL IMPACTO</v>
      </c>
      <c r="E15" s="895"/>
      <c r="F15" s="895"/>
      <c r="G15" s="895"/>
      <c r="H15" s="895"/>
      <c r="I15" s="895"/>
      <c r="J15" s="895"/>
      <c r="K15" s="895"/>
      <c r="L15" s="895"/>
      <c r="M15" s="895"/>
      <c r="N15" s="895"/>
      <c r="O15" s="895"/>
      <c r="P15" s="895"/>
      <c r="Q15" s="895"/>
      <c r="R15" s="895"/>
      <c r="S15" s="895"/>
      <c r="T15" s="895"/>
      <c r="U15" s="895"/>
      <c r="V15" s="895"/>
      <c r="W15" s="895"/>
      <c r="X15" s="808">
        <f t="shared" si="0"/>
        <v>0</v>
      </c>
    </row>
    <row r="16" spans="1:24" ht="60" x14ac:dyDescent="0.25">
      <c r="A16" s="805" t="e">
        <f>'[13]Identificación del Riesgo GC'!#REF!</f>
        <v>#REF!</v>
      </c>
      <c r="B16" s="805" t="e">
        <f>'[13]Identificación del Riesgo GC'!#REF!</f>
        <v>#REF!</v>
      </c>
      <c r="C16" s="756" t="str">
        <f>IF(D16="PENDIENTE EVALUAR EL IMPACTO","PENDIENTE EVALUAR EL IMPACTO COLUMNAS H-W",VLOOKUP(D16,[13]Datos!$K$8:$L$12,2,FALSE))</f>
        <v>PENDIENTE EVALUAR EL IMPACTO COLUMNAS H-W</v>
      </c>
      <c r="D16" s="805" t="str">
        <f t="shared" si="1"/>
        <v>PENDIENTE EVALUAR EL IMPACTO</v>
      </c>
      <c r="E16" s="895"/>
      <c r="F16" s="895"/>
      <c r="G16" s="895"/>
      <c r="H16" s="895"/>
      <c r="I16" s="895"/>
      <c r="J16" s="895"/>
      <c r="K16" s="895"/>
      <c r="L16" s="895"/>
      <c r="M16" s="895"/>
      <c r="N16" s="895"/>
      <c r="O16" s="895"/>
      <c r="P16" s="895"/>
      <c r="Q16" s="895"/>
      <c r="R16" s="895"/>
      <c r="S16" s="895"/>
      <c r="T16" s="895"/>
      <c r="U16" s="895"/>
      <c r="V16" s="895"/>
      <c r="W16" s="895"/>
      <c r="X16" s="808">
        <f t="shared" si="0"/>
        <v>0</v>
      </c>
    </row>
  </sheetData>
  <mergeCells count="6">
    <mergeCell ref="A1:D4"/>
    <mergeCell ref="E1:T4"/>
    <mergeCell ref="U1:X2"/>
    <mergeCell ref="U3:X4"/>
    <mergeCell ref="A5:D5"/>
    <mergeCell ref="E5:X5"/>
  </mergeCells>
  <dataValidations count="1">
    <dataValidation type="list" allowBlank="1" showInputMessage="1" showErrorMessage="1" sqref="E7:W16" xr:uid="{00000000-0002-0000-5300-000000000000}">
      <formula1>"SI,NO"</formula1>
    </dataValidation>
  </dataValidations>
  <pageMargins left="0.51181102362204722" right="0.70866141732283472" top="1.1417322834645669" bottom="0.74803149606299213" header="0.31496062992125984" footer="0.31496062992125984"/>
  <pageSetup scale="35" orientation="landscape" horizontalDpi="1200" verticalDpi="1200" r:id="rId1"/>
  <headerFooter>
    <oddHeader>&amp;L&amp;G&amp;C
&amp;"-,Negrita"Matriz de Riesgos</oddHeader>
  </headerFooter>
  <colBreaks count="1" manualBreakCount="1">
    <brk id="4" max="1048575" man="1"/>
  </colBreaks>
  <drawing r:id="rId2"/>
  <legacyDrawing r:id="rId3"/>
  <legacyDrawingHF r:id="rId4"/>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AD13"/>
  <sheetViews>
    <sheetView topLeftCell="V1" zoomScaleNormal="100" zoomScaleSheetLayoutView="160" workbookViewId="0">
      <selection activeCell="Z9" sqref="Z9"/>
    </sheetView>
  </sheetViews>
  <sheetFormatPr baseColWidth="10" defaultColWidth="10" defaultRowHeight="12.75" x14ac:dyDescent="0.2"/>
  <cols>
    <col min="1" max="1" width="6.625" style="811" customWidth="1"/>
    <col min="2" max="2" width="16.75" style="811" customWidth="1"/>
    <col min="3" max="3" width="55.125" style="811" customWidth="1"/>
    <col min="4" max="4" width="22" style="763" customWidth="1"/>
    <col min="5" max="5" width="38" style="763" customWidth="1"/>
    <col min="6" max="10" width="21.75" style="811" customWidth="1"/>
    <col min="11" max="11" width="33.875" style="811" customWidth="1"/>
    <col min="12" max="12" width="21.75" style="811" customWidth="1"/>
    <col min="13" max="17" width="19.25" style="825" customWidth="1"/>
    <col min="18" max="18" width="22.625" style="825" customWidth="1"/>
    <col min="19" max="19" width="19.25" style="825" customWidth="1"/>
    <col min="20" max="20" width="8" style="825" customWidth="1"/>
    <col min="21" max="21" width="18.125" style="825" customWidth="1"/>
    <col min="22" max="25" width="9.625" style="825" customWidth="1"/>
    <col min="26" max="26" width="18.875" style="825" customWidth="1"/>
    <col min="27" max="27" width="15.625" style="825" customWidth="1"/>
    <col min="28" max="28" width="23.125" style="825" customWidth="1"/>
    <col min="29" max="29" width="22.25" style="826" customWidth="1"/>
    <col min="30" max="30" width="26.5" style="826" customWidth="1"/>
    <col min="31" max="16384" width="10" style="811"/>
  </cols>
  <sheetData>
    <row r="1" spans="1:30" ht="15.75" customHeight="1" x14ac:dyDescent="0.2">
      <c r="A1" s="1630"/>
      <c r="B1" s="1630"/>
      <c r="C1" s="1630"/>
      <c r="D1" s="1631" t="s">
        <v>0</v>
      </c>
      <c r="E1" s="1631"/>
      <c r="F1" s="1631"/>
      <c r="G1" s="1631"/>
      <c r="H1" s="1631"/>
      <c r="I1" s="1631"/>
      <c r="J1" s="1631"/>
      <c r="K1" s="1631"/>
      <c r="L1" s="1631"/>
      <c r="M1" s="1631"/>
      <c r="N1" s="1631"/>
      <c r="O1" s="1631"/>
      <c r="P1" s="1631"/>
      <c r="Q1" s="1631"/>
      <c r="R1" s="1631"/>
      <c r="S1" s="1631"/>
      <c r="T1" s="1631"/>
      <c r="U1" s="1631"/>
      <c r="V1" s="1631"/>
      <c r="W1" s="1631"/>
      <c r="X1" s="1631"/>
      <c r="Y1" s="1631"/>
      <c r="Z1" s="1631"/>
      <c r="AA1" s="1631"/>
      <c r="AB1" s="1631"/>
      <c r="AC1" s="1632" t="s">
        <v>128</v>
      </c>
      <c r="AD1" s="1632"/>
    </row>
    <row r="2" spans="1:30" ht="15.75" customHeight="1" x14ac:dyDescent="0.2">
      <c r="A2" s="1630"/>
      <c r="B2" s="1630"/>
      <c r="C2" s="1630"/>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2"/>
      <c r="AD2" s="1632"/>
    </row>
    <row r="3" spans="1:30" ht="15.75" customHeight="1" x14ac:dyDescent="0.2">
      <c r="A3" s="1630"/>
      <c r="B3" s="1630"/>
      <c r="C3" s="1630"/>
      <c r="D3" s="1631"/>
      <c r="E3" s="1631"/>
      <c r="F3" s="1631"/>
      <c r="G3" s="1631"/>
      <c r="H3" s="1631"/>
      <c r="I3" s="1631"/>
      <c r="J3" s="1631"/>
      <c r="K3" s="1631"/>
      <c r="L3" s="1631"/>
      <c r="M3" s="1631"/>
      <c r="N3" s="1631"/>
      <c r="O3" s="1631"/>
      <c r="P3" s="1631"/>
      <c r="Q3" s="1631"/>
      <c r="R3" s="1631"/>
      <c r="S3" s="1631"/>
      <c r="T3" s="1631"/>
      <c r="U3" s="1631"/>
      <c r="V3" s="1631"/>
      <c r="W3" s="1631"/>
      <c r="X3" s="1631"/>
      <c r="Y3" s="1631"/>
      <c r="Z3" s="1631"/>
      <c r="AA3" s="1631"/>
      <c r="AB3" s="1631"/>
      <c r="AC3" s="1632" t="s">
        <v>2</v>
      </c>
      <c r="AD3" s="1632"/>
    </row>
    <row r="4" spans="1:30" ht="15.75" customHeight="1" x14ac:dyDescent="0.2">
      <c r="A4" s="1630"/>
      <c r="B4" s="1630"/>
      <c r="C4" s="1630"/>
      <c r="D4" s="1631"/>
      <c r="E4" s="1631"/>
      <c r="F4" s="1631"/>
      <c r="G4" s="1631"/>
      <c r="H4" s="1631"/>
      <c r="I4" s="1631"/>
      <c r="J4" s="1631"/>
      <c r="K4" s="1631"/>
      <c r="L4" s="1631"/>
      <c r="M4" s="1631"/>
      <c r="N4" s="1631"/>
      <c r="O4" s="1631"/>
      <c r="P4" s="1631"/>
      <c r="Q4" s="1631"/>
      <c r="R4" s="1631"/>
      <c r="S4" s="1631"/>
      <c r="T4" s="1631"/>
      <c r="U4" s="1631"/>
      <c r="V4" s="1631"/>
      <c r="W4" s="1631"/>
      <c r="X4" s="1631"/>
      <c r="Y4" s="1631"/>
      <c r="Z4" s="1631"/>
      <c r="AA4" s="1631"/>
      <c r="AB4" s="1631"/>
      <c r="AC4" s="1632"/>
      <c r="AD4" s="1632"/>
    </row>
    <row r="5" spans="1:30" ht="15.75" customHeight="1" x14ac:dyDescent="0.2">
      <c r="A5" s="1585" t="s">
        <v>36</v>
      </c>
      <c r="B5" s="1586"/>
      <c r="C5" s="1587"/>
      <c r="D5" s="1633" t="s">
        <v>1090</v>
      </c>
      <c r="E5" s="1634"/>
      <c r="F5" s="1634"/>
      <c r="G5" s="1634"/>
      <c r="H5" s="1634"/>
      <c r="I5" s="1634"/>
      <c r="J5" s="1634"/>
      <c r="K5" s="1634"/>
      <c r="L5" s="1634"/>
      <c r="M5" s="1634"/>
      <c r="N5" s="1634"/>
      <c r="O5" s="1634"/>
      <c r="P5" s="1634"/>
      <c r="Q5" s="1634"/>
      <c r="R5" s="1634"/>
      <c r="S5" s="1634"/>
      <c r="T5" s="1634"/>
      <c r="U5" s="1634"/>
      <c r="V5" s="1634"/>
      <c r="W5" s="1634"/>
      <c r="X5" s="1634"/>
      <c r="Y5" s="1634"/>
      <c r="Z5" s="1634"/>
      <c r="AA5" s="1634"/>
      <c r="AB5" s="1634"/>
      <c r="AC5" s="1634"/>
      <c r="AD5" s="1634"/>
    </row>
    <row r="6" spans="1:30" ht="15.75" customHeight="1" thickBot="1" x14ac:dyDescent="0.25">
      <c r="A6" s="1585" t="s">
        <v>37</v>
      </c>
      <c r="B6" s="1586"/>
      <c r="C6" s="1587"/>
      <c r="D6" s="1633" t="s">
        <v>1091</v>
      </c>
      <c r="E6" s="1634"/>
      <c r="F6" s="1634"/>
      <c r="G6" s="1634"/>
      <c r="H6" s="1634"/>
      <c r="I6" s="1634"/>
      <c r="J6" s="1634"/>
      <c r="K6" s="1634"/>
      <c r="L6" s="1634"/>
      <c r="M6" s="1634"/>
      <c r="N6" s="1634"/>
      <c r="O6" s="1634"/>
      <c r="P6" s="1634"/>
      <c r="Q6" s="1634"/>
      <c r="R6" s="1634"/>
      <c r="S6" s="1634"/>
      <c r="T6" s="1634"/>
      <c r="U6" s="1634"/>
      <c r="V6" s="1634"/>
      <c r="W6" s="1634"/>
      <c r="X6" s="1634"/>
      <c r="Y6" s="1634"/>
      <c r="Z6" s="1634"/>
      <c r="AA6" s="1634"/>
      <c r="AB6" s="1634"/>
      <c r="AC6" s="1634"/>
      <c r="AD6" s="1634"/>
    </row>
    <row r="7" spans="1:30" ht="15" customHeight="1" x14ac:dyDescent="0.2">
      <c r="A7" s="1635" t="s">
        <v>129</v>
      </c>
      <c r="B7" s="1636"/>
      <c r="C7" s="1636"/>
      <c r="D7" s="1636"/>
      <c r="E7" s="1636"/>
      <c r="F7" s="1636"/>
      <c r="G7" s="1636"/>
      <c r="H7" s="1636"/>
      <c r="I7" s="1636"/>
      <c r="J7" s="1636"/>
      <c r="K7" s="1636"/>
      <c r="L7" s="1636"/>
      <c r="M7" s="1636" t="s">
        <v>75</v>
      </c>
      <c r="N7" s="1636"/>
      <c r="O7" s="1636"/>
      <c r="P7" s="1636"/>
      <c r="Q7" s="1636"/>
      <c r="R7" s="1636"/>
      <c r="S7" s="1636"/>
      <c r="T7" s="1636"/>
      <c r="U7" s="1636"/>
      <c r="V7" s="1636"/>
      <c r="W7" s="1636"/>
      <c r="X7" s="1636"/>
      <c r="Y7" s="1636"/>
      <c r="Z7" s="1637" t="s">
        <v>130</v>
      </c>
      <c r="AA7" s="1637"/>
      <c r="AB7" s="1637"/>
      <c r="AC7" s="1638" t="s">
        <v>131</v>
      </c>
      <c r="AD7" s="1639"/>
    </row>
    <row r="8" spans="1:30" ht="51" x14ac:dyDescent="0.2">
      <c r="A8" s="812" t="s">
        <v>44</v>
      </c>
      <c r="B8" s="813" t="s">
        <v>64</v>
      </c>
      <c r="C8" s="813" t="s">
        <v>132</v>
      </c>
      <c r="D8" s="813" t="s">
        <v>73</v>
      </c>
      <c r="E8" s="813" t="s">
        <v>133</v>
      </c>
      <c r="F8" s="813" t="s">
        <v>134</v>
      </c>
      <c r="G8" s="813" t="s">
        <v>135</v>
      </c>
      <c r="H8" s="813" t="s">
        <v>136</v>
      </c>
      <c r="I8" s="813" t="s">
        <v>137</v>
      </c>
      <c r="J8" s="813" t="s">
        <v>138</v>
      </c>
      <c r="K8" s="813" t="s">
        <v>139</v>
      </c>
      <c r="L8" s="813" t="s">
        <v>140</v>
      </c>
      <c r="M8" s="813" t="s">
        <v>134</v>
      </c>
      <c r="N8" s="813" t="s">
        <v>135</v>
      </c>
      <c r="O8" s="813" t="s">
        <v>141</v>
      </c>
      <c r="P8" s="813" t="s">
        <v>137</v>
      </c>
      <c r="Q8" s="813" t="s">
        <v>138</v>
      </c>
      <c r="R8" s="813" t="s">
        <v>139</v>
      </c>
      <c r="S8" s="813" t="s">
        <v>140</v>
      </c>
      <c r="T8" s="814" t="s">
        <v>121</v>
      </c>
      <c r="U8" s="813" t="s">
        <v>142</v>
      </c>
      <c r="V8" s="813" t="s">
        <v>143</v>
      </c>
      <c r="W8" s="813" t="s">
        <v>142</v>
      </c>
      <c r="X8" s="813" t="s">
        <v>143</v>
      </c>
      <c r="Y8" s="813" t="s">
        <v>144</v>
      </c>
      <c r="Z8" s="813" t="s">
        <v>145</v>
      </c>
      <c r="AA8" s="813" t="s">
        <v>146</v>
      </c>
      <c r="AB8" s="813" t="s">
        <v>76</v>
      </c>
      <c r="AC8" s="813" t="s">
        <v>147</v>
      </c>
      <c r="AD8" s="815" t="s">
        <v>148</v>
      </c>
    </row>
    <row r="9" spans="1:30" s="780" customFormat="1" ht="86.25" customHeight="1" x14ac:dyDescent="0.2">
      <c r="A9" s="816">
        <f>'[13]Identificación del Riesgo GC'!D9</f>
        <v>1</v>
      </c>
      <c r="B9" s="654" t="str">
        <f>'[13]Identificación del Riesgo GC'!E9</f>
        <v>Demoras en el inicio de los contratos.</v>
      </c>
      <c r="C9" s="896" t="str">
        <f>'[13]Identificación del Riesgo GC'!H9</f>
        <v>Demoras en la entrega de información por parte del contratista para formalización del contrato.
Demoras en el inicio de la ejecución de contratos derivadas de inconsistencias en las pólizas de cumplimiento.</v>
      </c>
      <c r="D9" s="654" t="str">
        <f>'[13]Analisis Riesgo'!K7</f>
        <v>Manual de contratación.</v>
      </c>
      <c r="E9" s="654" t="str">
        <f>'[13]Analisis Riesgo'!L7</f>
        <v>El artículo 2.2.1.2.5.3 del Decreto 1082 de 2015 establece que las Entidades Estatales deben contar con un manual de contratación, el cual debe cumplir con los lineamientos que para el efecto señale Colombia Compra Eficiente</v>
      </c>
      <c r="F9" s="818" t="s">
        <v>296</v>
      </c>
      <c r="G9" s="818" t="s">
        <v>299</v>
      </c>
      <c r="H9" s="818" t="s">
        <v>300</v>
      </c>
      <c r="I9" s="818" t="s">
        <v>301</v>
      </c>
      <c r="J9" s="818" t="s">
        <v>302</v>
      </c>
      <c r="K9" s="819" t="s">
        <v>303</v>
      </c>
      <c r="L9" s="818" t="s">
        <v>304</v>
      </c>
      <c r="M9" s="820">
        <f>IF(F9="Asignado", 15,0)</f>
        <v>15</v>
      </c>
      <c r="N9" s="820">
        <f>IF(G9="Adecuado",15,0)</f>
        <v>15</v>
      </c>
      <c r="O9" s="820">
        <f>IF(H9="Oportuna",15,0)</f>
        <v>15</v>
      </c>
      <c r="P9" s="820">
        <f>IF(I9="Prevenir",15,IF(I9="Detectar",10,0))</f>
        <v>15</v>
      </c>
      <c r="Q9" s="820">
        <f>IF(J9="Confiable", 15,0)</f>
        <v>15</v>
      </c>
      <c r="R9" s="820">
        <f>IF(K9="Se investigan y resuelven oportunamente",15,0)</f>
        <v>15</v>
      </c>
      <c r="S9" s="820">
        <f t="shared" ref="S9:S13" si="0">IF(L9="Completa",10,IF(L9="Incompleta",5,0))</f>
        <v>10</v>
      </c>
      <c r="T9" s="820">
        <f>SUM(M9:S9)</f>
        <v>100</v>
      </c>
      <c r="U9" s="818" t="s">
        <v>122</v>
      </c>
      <c r="V9" s="818" t="s">
        <v>122</v>
      </c>
      <c r="W9" s="820">
        <f t="shared" ref="W9:W13" si="1">IF(U9="SI",1,0)*T9/100</f>
        <v>1</v>
      </c>
      <c r="X9" s="820">
        <f t="shared" ref="X9:X13" si="2">IF(V9="SI",1,0)*T9/100</f>
        <v>1</v>
      </c>
      <c r="Y9" s="820" t="str">
        <f t="shared" ref="Y9:Y13" si="3">IF(W9&gt;=0.96,"Fuerte",IF(W9&gt;=0.86,"Moderado","Debil"))</f>
        <v>Fuerte</v>
      </c>
      <c r="Z9" s="818" t="s">
        <v>305</v>
      </c>
      <c r="AA9" s="820" t="str">
        <f t="shared" ref="AA9:AA13" si="4">IF(Z9="Siempre se ejecuta","Fuerte",IF(Z9="Algunas veces se ejecuta","Moderado","Debil"))</f>
        <v>Fuerte</v>
      </c>
      <c r="AB9" s="820" t="str">
        <f>IF(Y9="Fuerte",IF(AA9="Fuerte","No","SI"),"SI")</f>
        <v>No</v>
      </c>
      <c r="AC9" s="821"/>
      <c r="AD9" s="822"/>
    </row>
    <row r="10" spans="1:30" s="780" customFormat="1" ht="86.25" customHeight="1" x14ac:dyDescent="0.2">
      <c r="A10" s="816">
        <f>'[13]Identificación del Riesgo GC'!D10</f>
        <v>2</v>
      </c>
      <c r="B10" s="654" t="str">
        <f>'[13]Identificación del Riesgo GC'!E10</f>
        <v>Realizar la gestión contractual con falta de Eficacia y oportunidad</v>
      </c>
      <c r="C10" s="656" t="str">
        <f>'[13]Identificación del Riesgo GC'!H10</f>
        <v>Desconocimiento por parte de los supervisores sobre sus responsabilidades durante la ejecución de los contratos
Desconocimiento de los futuros supervisores de contratos sobre la plataforma del SECOP II</v>
      </c>
      <c r="D10" s="654" t="str">
        <f>'[13]Analisis Riesgo'!K8</f>
        <v>No se cuentan con controles</v>
      </c>
      <c r="E10" s="654" t="str">
        <f>'[13]Analisis Riesgo'!L8</f>
        <v>No se cuentan con controles</v>
      </c>
      <c r="F10" s="818" t="s">
        <v>833</v>
      </c>
      <c r="G10" s="818" t="s">
        <v>834</v>
      </c>
      <c r="H10" s="818" t="s">
        <v>867</v>
      </c>
      <c r="I10" s="818" t="s">
        <v>868</v>
      </c>
      <c r="J10" s="818" t="s">
        <v>869</v>
      </c>
      <c r="K10" s="819" t="s">
        <v>870</v>
      </c>
      <c r="L10" s="818" t="s">
        <v>871</v>
      </c>
      <c r="M10" s="820">
        <f t="shared" ref="M10:M13" si="5">IF(F10="Asignado", 15,0)</f>
        <v>0</v>
      </c>
      <c r="N10" s="820">
        <f t="shared" ref="N10:N13" si="6">IF(G10="Adecuado",15,0)</f>
        <v>0</v>
      </c>
      <c r="O10" s="820">
        <f t="shared" ref="O10:O13" si="7">IF(H10="Oportuna",15,0)</f>
        <v>0</v>
      </c>
      <c r="P10" s="820">
        <f t="shared" ref="P10:P13" si="8">IF(I10="Prevenir",15,IF(I10="Detectar",10,0))</f>
        <v>0</v>
      </c>
      <c r="Q10" s="820">
        <f t="shared" ref="Q10:Q13" si="9">IF(J10="Confiable", 15,0)</f>
        <v>0</v>
      </c>
      <c r="R10" s="820">
        <f t="shared" ref="R10:R13" si="10">IF(K10="Se investigan y resuelven oportunamente",15,0)</f>
        <v>0</v>
      </c>
      <c r="S10" s="820">
        <f t="shared" si="0"/>
        <v>0</v>
      </c>
      <c r="T10" s="820">
        <f t="shared" ref="T10:T13" si="11">SUM(M10:S10)</f>
        <v>0</v>
      </c>
      <c r="U10" s="818" t="s">
        <v>263</v>
      </c>
      <c r="V10" s="818" t="s">
        <v>263</v>
      </c>
      <c r="W10" s="820">
        <f t="shared" si="1"/>
        <v>0</v>
      </c>
      <c r="X10" s="820">
        <f t="shared" si="2"/>
        <v>0</v>
      </c>
      <c r="Y10" s="820" t="str">
        <f t="shared" si="3"/>
        <v>Debil</v>
      </c>
      <c r="Z10" s="818" t="s">
        <v>872</v>
      </c>
      <c r="AA10" s="820" t="str">
        <f t="shared" si="4"/>
        <v>Debil</v>
      </c>
      <c r="AB10" s="820" t="str">
        <f t="shared" ref="AB10:AB13" si="12">IF(Y10="Fuerte",IF(AA10="Fuerte","No","SI"),"SI")</f>
        <v>SI</v>
      </c>
      <c r="AC10" s="824"/>
      <c r="AD10" s="822"/>
    </row>
    <row r="11" spans="1:30" s="780" customFormat="1" ht="86.25" customHeight="1" x14ac:dyDescent="0.2">
      <c r="A11" s="816">
        <f>'[13]Identificación del Riesgo GC'!D11</f>
        <v>3</v>
      </c>
      <c r="B11" s="654" t="str">
        <f>'[13]Identificación del Riesgo GC'!E11</f>
        <v>Realizar convenios que no incluyan la totalidad de obligaciones.</v>
      </c>
      <c r="C11" s="656" t="str">
        <f>'[13]Identificación del Riesgo GC'!H11</f>
        <v xml:space="preserve">Desconocimiento de los servidores públicos sobre la importancia de incluir la totalidad de las obligaciones en los convenios. </v>
      </c>
      <c r="D11" s="654" t="str">
        <f>'[13]Analisis Riesgo'!K9</f>
        <v>Plataforma SIGUEME.</v>
      </c>
      <c r="E11" s="654" t="str">
        <f>'[13]Analisis Riesgo'!L9</f>
        <v>La plataforma que permite obtener la información vigente de la UPME a través de documentos aprobados mediante metodología planificada por el sistema de Gestión de calidad.</v>
      </c>
      <c r="F11" s="818" t="s">
        <v>296</v>
      </c>
      <c r="G11" s="818" t="s">
        <v>299</v>
      </c>
      <c r="H11" s="818" t="s">
        <v>300</v>
      </c>
      <c r="I11" s="818" t="s">
        <v>301</v>
      </c>
      <c r="J11" s="818" t="s">
        <v>302</v>
      </c>
      <c r="K11" s="819" t="s">
        <v>303</v>
      </c>
      <c r="L11" s="818" t="s">
        <v>304</v>
      </c>
      <c r="M11" s="820">
        <f t="shared" si="5"/>
        <v>15</v>
      </c>
      <c r="N11" s="820">
        <f t="shared" si="6"/>
        <v>15</v>
      </c>
      <c r="O11" s="820">
        <f t="shared" si="7"/>
        <v>15</v>
      </c>
      <c r="P11" s="820">
        <f t="shared" si="8"/>
        <v>15</v>
      </c>
      <c r="Q11" s="820">
        <f t="shared" si="9"/>
        <v>15</v>
      </c>
      <c r="R11" s="820">
        <f t="shared" si="10"/>
        <v>15</v>
      </c>
      <c r="S11" s="820">
        <f t="shared" si="0"/>
        <v>10</v>
      </c>
      <c r="T11" s="820">
        <f t="shared" si="11"/>
        <v>100</v>
      </c>
      <c r="U11" s="818" t="s">
        <v>122</v>
      </c>
      <c r="V11" s="818" t="s">
        <v>122</v>
      </c>
      <c r="W11" s="820">
        <f t="shared" si="1"/>
        <v>1</v>
      </c>
      <c r="X11" s="820">
        <f t="shared" si="2"/>
        <v>1</v>
      </c>
      <c r="Y11" s="820" t="str">
        <f t="shared" si="3"/>
        <v>Fuerte</v>
      </c>
      <c r="Z11" s="818" t="s">
        <v>305</v>
      </c>
      <c r="AA11" s="820" t="str">
        <f t="shared" si="4"/>
        <v>Fuerte</v>
      </c>
      <c r="AB11" s="820" t="str">
        <f t="shared" si="12"/>
        <v>No</v>
      </c>
      <c r="AC11" s="854"/>
      <c r="AD11" s="822"/>
    </row>
    <row r="12" spans="1:30" s="780" customFormat="1" ht="86.25" customHeight="1" x14ac:dyDescent="0.2">
      <c r="A12" s="816">
        <f>'[13]Identificación del Riesgo GC'!D12</f>
        <v>4</v>
      </c>
      <c r="B12" s="654" t="str">
        <f>'[13]Identificación del Riesgo GC'!E12</f>
        <v>Favorecimiento a un contratista específico.</v>
      </c>
      <c r="C12" s="656" t="str">
        <f>'[13]Identificación del Riesgo GC'!H12</f>
        <v>Realizar un sondeo del mercado deficiente por parte del área líder.</v>
      </c>
      <c r="D12" s="654" t="str">
        <f>'[13]Analisis Riesgo'!K10</f>
        <v>No se cuentan con controles</v>
      </c>
      <c r="E12" s="654" t="str">
        <f>'[13]Analisis Riesgo'!L10</f>
        <v>No se cuentan con controles</v>
      </c>
      <c r="F12" s="818" t="s">
        <v>833</v>
      </c>
      <c r="G12" s="818" t="s">
        <v>834</v>
      </c>
      <c r="H12" s="818" t="s">
        <v>867</v>
      </c>
      <c r="I12" s="818" t="s">
        <v>868</v>
      </c>
      <c r="J12" s="818" t="s">
        <v>869</v>
      </c>
      <c r="K12" s="819" t="s">
        <v>870</v>
      </c>
      <c r="L12" s="818" t="s">
        <v>871</v>
      </c>
      <c r="M12" s="820">
        <f t="shared" si="5"/>
        <v>0</v>
      </c>
      <c r="N12" s="820">
        <f t="shared" si="6"/>
        <v>0</v>
      </c>
      <c r="O12" s="820">
        <f t="shared" si="7"/>
        <v>0</v>
      </c>
      <c r="P12" s="820">
        <f t="shared" si="8"/>
        <v>0</v>
      </c>
      <c r="Q12" s="820">
        <f t="shared" si="9"/>
        <v>0</v>
      </c>
      <c r="R12" s="820">
        <f t="shared" si="10"/>
        <v>0</v>
      </c>
      <c r="S12" s="820">
        <f t="shared" si="0"/>
        <v>0</v>
      </c>
      <c r="T12" s="820">
        <f t="shared" si="11"/>
        <v>0</v>
      </c>
      <c r="U12" s="818" t="s">
        <v>263</v>
      </c>
      <c r="V12" s="818" t="s">
        <v>263</v>
      </c>
      <c r="W12" s="820">
        <f t="shared" si="1"/>
        <v>0</v>
      </c>
      <c r="X12" s="820">
        <f t="shared" si="2"/>
        <v>0</v>
      </c>
      <c r="Y12" s="820" t="str">
        <f t="shared" si="3"/>
        <v>Debil</v>
      </c>
      <c r="Z12" s="818" t="s">
        <v>872</v>
      </c>
      <c r="AA12" s="820" t="str">
        <f t="shared" si="4"/>
        <v>Debil</v>
      </c>
      <c r="AB12" s="820" t="str">
        <f t="shared" si="12"/>
        <v>SI</v>
      </c>
      <c r="AC12" s="897"/>
      <c r="AD12" s="822"/>
    </row>
    <row r="13" spans="1:30" s="780" customFormat="1" ht="86.25" customHeight="1" x14ac:dyDescent="0.2">
      <c r="A13" s="816">
        <f>'[13]Identificación del Riesgo GC'!D13</f>
        <v>5</v>
      </c>
      <c r="B13" s="654" t="str">
        <f>'[13]Identificación del Riesgo GC'!E13</f>
        <v>Actuaciones improvisadas por parte de los supervisores</v>
      </c>
      <c r="C13" s="656" t="str">
        <f>'[13]Identificación del Riesgo GC'!H13</f>
        <v>Desconocimiento del supervisor sobre las diferentes situaciones jurídicas contractuales.</v>
      </c>
      <c r="D13" s="654" t="str">
        <f>'[13]Analisis Riesgo'!K11</f>
        <v>No se cuentan con controles</v>
      </c>
      <c r="E13" s="654" t="str">
        <f>'[13]Analisis Riesgo'!L11</f>
        <v>No se cuentan con controles</v>
      </c>
      <c r="F13" s="818" t="s">
        <v>833</v>
      </c>
      <c r="G13" s="818" t="s">
        <v>834</v>
      </c>
      <c r="H13" s="818" t="s">
        <v>867</v>
      </c>
      <c r="I13" s="818" t="s">
        <v>868</v>
      </c>
      <c r="J13" s="818" t="s">
        <v>869</v>
      </c>
      <c r="K13" s="819" t="s">
        <v>870</v>
      </c>
      <c r="L13" s="818" t="s">
        <v>871</v>
      </c>
      <c r="M13" s="820">
        <f t="shared" si="5"/>
        <v>0</v>
      </c>
      <c r="N13" s="820">
        <f t="shared" si="6"/>
        <v>0</v>
      </c>
      <c r="O13" s="820">
        <f t="shared" si="7"/>
        <v>0</v>
      </c>
      <c r="P13" s="820">
        <f t="shared" si="8"/>
        <v>0</v>
      </c>
      <c r="Q13" s="820">
        <f t="shared" si="9"/>
        <v>0</v>
      </c>
      <c r="R13" s="820">
        <f t="shared" si="10"/>
        <v>0</v>
      </c>
      <c r="S13" s="820">
        <f t="shared" si="0"/>
        <v>0</v>
      </c>
      <c r="T13" s="820">
        <f t="shared" si="11"/>
        <v>0</v>
      </c>
      <c r="U13" s="818" t="s">
        <v>263</v>
      </c>
      <c r="V13" s="818" t="s">
        <v>263</v>
      </c>
      <c r="W13" s="820">
        <f t="shared" si="1"/>
        <v>0</v>
      </c>
      <c r="X13" s="820">
        <f t="shared" si="2"/>
        <v>0</v>
      </c>
      <c r="Y13" s="820" t="str">
        <f t="shared" si="3"/>
        <v>Debil</v>
      </c>
      <c r="Z13" s="818" t="s">
        <v>872</v>
      </c>
      <c r="AA13" s="820" t="str">
        <f t="shared" si="4"/>
        <v>Debil</v>
      </c>
      <c r="AB13" s="820" t="str">
        <f t="shared" si="12"/>
        <v>SI</v>
      </c>
      <c r="AC13" s="897"/>
      <c r="AD13" s="822"/>
    </row>
  </sheetData>
  <mergeCells count="12">
    <mergeCell ref="A6:C6"/>
    <mergeCell ref="D6:AD6"/>
    <mergeCell ref="A7:L7"/>
    <mergeCell ref="M7:Y7"/>
    <mergeCell ref="Z7:AB7"/>
    <mergeCell ref="AC7:AD7"/>
    <mergeCell ref="A1:C4"/>
    <mergeCell ref="D1:AB4"/>
    <mergeCell ref="AC1:AD2"/>
    <mergeCell ref="AC3:AD4"/>
    <mergeCell ref="A5:C5"/>
    <mergeCell ref="D5:AD5"/>
  </mergeCells>
  <dataValidations count="18">
    <dataValidation type="list" allowBlank="1" showInputMessage="1" showErrorMessage="1" sqref="Z10:Z13" xr:uid="{00000000-0002-0000-5400-000000000000}">
      <formula1>"Siempre se ejecuta,Algunas veces se ejecuta,No se ejecuta"</formula1>
    </dataValidation>
    <dataValidation type="list" allowBlank="1" showInputMessage="1" showErrorMessage="1" sqref="F10 F12:F13" xr:uid="{00000000-0002-0000-5400-000001000000}">
      <formula1>"Asignado, No asignado"</formula1>
    </dataValidation>
    <dataValidation type="list" allowBlank="1" showInputMessage="1" showErrorMessage="1" sqref="G10 G12:G13" xr:uid="{00000000-0002-0000-5400-000002000000}">
      <formula1>"Adecuado, Inadecuado"</formula1>
    </dataValidation>
    <dataValidation type="list" allowBlank="1" showInputMessage="1" showErrorMessage="1" sqref="H10 H12:H13" xr:uid="{00000000-0002-0000-5400-000003000000}">
      <formula1>"Oportuna, Inoportuna"</formula1>
    </dataValidation>
    <dataValidation type="list" allowBlank="1" showInputMessage="1" showErrorMessage="1" sqref="I10 I12:I13" xr:uid="{00000000-0002-0000-5400-000004000000}">
      <formula1>"Prevenir, Detectar, No es un control"</formula1>
    </dataValidation>
    <dataValidation type="list" allowBlank="1" showInputMessage="1" showErrorMessage="1" sqref="J10 J12:J13" xr:uid="{00000000-0002-0000-5400-000005000000}">
      <formula1>"Confiable, No Confiable"</formula1>
    </dataValidation>
    <dataValidation type="list" allowBlank="1" showInputMessage="1" showErrorMessage="1" sqref="K10 K12:K13" xr:uid="{00000000-0002-0000-5400-000006000000}">
      <formula1>"Se invesigan y resuelven oportunamente, No se investigan y resuelven oportunamente"</formula1>
    </dataValidation>
    <dataValidation type="list" allowBlank="1" showInputMessage="1" showErrorMessage="1" sqref="L10 L12:L13" xr:uid="{00000000-0002-0000-5400-000007000000}">
      <formula1>"Completa, Incompleta, No existe"</formula1>
    </dataValidation>
    <dataValidation type="list" allowBlank="1" showInputMessage="1" showErrorMessage="1" sqref="U10:V10 U12:V13" xr:uid="{00000000-0002-0000-5400-000008000000}">
      <formula1>"SI, NO"</formula1>
    </dataValidation>
    <dataValidation type="list" allowBlank="1" showInputMessage="1" showErrorMessage="1" sqref="Z9" xr:uid="{00000000-0002-0000-5400-000009000000}">
      <formula1>"Siempre se ejecuta,Algunas veces se ejecuta,No se ejecuta,Seleccione"</formula1>
    </dataValidation>
    <dataValidation type="list" allowBlank="1" showInputMessage="1" showErrorMessage="1" sqref="U9:V9 U11:V11" xr:uid="{00000000-0002-0000-5400-00000A000000}">
      <formula1>"SI, NO,Seleccione"</formula1>
    </dataValidation>
    <dataValidation type="list" allowBlank="1" showInputMessage="1" showErrorMessage="1" sqref="L9 L11" xr:uid="{00000000-0002-0000-5400-00000B000000}">
      <formula1>"Completa, Incompleta, No existe,Seleccione"</formula1>
    </dataValidation>
    <dataValidation type="list" allowBlank="1" showInputMessage="1" showErrorMessage="1" sqref="K9 K11" xr:uid="{00000000-0002-0000-5400-00000C000000}">
      <formula1>"Se investigan y resuelven oportunamente, No se investigan y resuelven oportunamente,Seleccione"</formula1>
    </dataValidation>
    <dataValidation type="list" allowBlank="1" showInputMessage="1" showErrorMessage="1" sqref="J9 J11" xr:uid="{00000000-0002-0000-5400-00000D000000}">
      <formula1>"Confiable, No Confiable,Seleccione"</formula1>
    </dataValidation>
    <dataValidation type="list" allowBlank="1" showInputMessage="1" showErrorMessage="1" sqref="I9 I11" xr:uid="{00000000-0002-0000-5400-00000E000000}">
      <formula1>"Prevenir, Detectar, No es un control,Seleccione"</formula1>
    </dataValidation>
    <dataValidation type="list" allowBlank="1" showInputMessage="1" showErrorMessage="1" sqref="H9 H11" xr:uid="{00000000-0002-0000-5400-00000F000000}">
      <formula1>"Oportuna, Inoportuna,Seleccione"</formula1>
    </dataValidation>
    <dataValidation type="list" allowBlank="1" showInputMessage="1" showErrorMessage="1" sqref="G9 G11" xr:uid="{00000000-0002-0000-5400-000010000000}">
      <formula1>"Adecuado, Inadecuado,Seleccione"</formula1>
    </dataValidation>
    <dataValidation type="list" allowBlank="1" showInputMessage="1" showErrorMessage="1" sqref="F9 F11" xr:uid="{00000000-0002-0000-5400-000011000000}">
      <formula1>"Asignado, No asignado, Seleccione"</formula1>
    </dataValidation>
  </dataValidations>
  <pageMargins left="0.11811023622047245" right="0.11811023622047245" top="1.1417322834645669" bottom="0.74803149606299213" header="0.31496062992125984" footer="0.31496062992125984"/>
  <pageSetup scale="36" orientation="landscape" horizontalDpi="1200" verticalDpi="1200" r:id="rId1"/>
  <headerFooter>
    <oddHeader>&amp;L&amp;G&amp;C
&amp;"-,Negrita"Matriz de Riesgos</oddHeader>
  </headerFooter>
  <rowBreaks count="2" manualBreakCount="2">
    <brk id="10" max="16383" man="1"/>
    <brk id="12" max="16383" man="1"/>
  </rowBreaks>
  <colBreaks count="1" manualBreakCount="1">
    <brk id="12" max="1048575" man="1"/>
  </colBreaks>
  <drawing r:id="rId2"/>
  <legacyDrawingHF r:id="rId3"/>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X9"/>
  <sheetViews>
    <sheetView workbookViewId="0">
      <selection activeCell="C6" sqref="C6"/>
    </sheetView>
  </sheetViews>
  <sheetFormatPr baseColWidth="10" defaultRowHeight="18" customHeight="1" x14ac:dyDescent="0.2"/>
  <cols>
    <col min="1" max="1" width="3.625" style="534" customWidth="1"/>
    <col min="2" max="2" width="28.75" style="534" customWidth="1"/>
    <col min="3" max="3" width="48.375" style="534" customWidth="1"/>
    <col min="4" max="4" width="38.5" style="534" customWidth="1"/>
    <col min="5" max="5" width="20.5" style="534" customWidth="1"/>
    <col min="6" max="6" width="15.75" style="534" customWidth="1"/>
    <col min="7" max="7" width="23" style="534" customWidth="1"/>
    <col min="8" max="10" width="19.375" style="534" customWidth="1"/>
    <col min="11" max="11" width="18.25" style="534" customWidth="1"/>
    <col min="12" max="12" width="41.625" style="534" customWidth="1"/>
    <col min="13" max="13" width="27.25" style="534" customWidth="1"/>
    <col min="14" max="15" width="10.75" style="534" customWidth="1"/>
    <col min="16" max="16" width="27.25" style="534" customWidth="1"/>
    <col min="17" max="22" width="25.75" style="534" customWidth="1"/>
    <col min="23" max="23" width="33.5" style="534" customWidth="1"/>
    <col min="24" max="24" width="45.625" style="534" customWidth="1"/>
    <col min="25" max="16384" width="11" style="534"/>
  </cols>
  <sheetData>
    <row r="1" spans="1:24" ht="18.75" x14ac:dyDescent="0.2">
      <c r="A1" s="1179"/>
      <c r="B1" s="1179"/>
      <c r="C1" s="1179"/>
      <c r="D1" s="1180" t="s">
        <v>314</v>
      </c>
      <c r="E1" s="1181"/>
      <c r="F1" s="1181"/>
      <c r="G1" s="1181"/>
      <c r="H1" s="1181"/>
      <c r="I1" s="1181"/>
      <c r="J1" s="1181"/>
      <c r="K1" s="1181"/>
      <c r="L1" s="1181"/>
      <c r="M1" s="1181"/>
      <c r="N1" s="1181"/>
      <c r="O1" s="1181"/>
      <c r="P1" s="1181"/>
      <c r="Q1" s="1181"/>
      <c r="R1" s="1181"/>
      <c r="S1" s="1181"/>
      <c r="T1" s="1181"/>
      <c r="U1" s="1181"/>
      <c r="V1" s="1182"/>
      <c r="W1" s="532" t="s">
        <v>315</v>
      </c>
      <c r="X1" s="533"/>
    </row>
    <row r="2" spans="1:24" ht="18.75" customHeight="1" thickBot="1" x14ac:dyDescent="0.25">
      <c r="A2" s="1179"/>
      <c r="B2" s="1179"/>
      <c r="C2" s="1179"/>
      <c r="D2" s="1183"/>
      <c r="E2" s="1184"/>
      <c r="F2" s="1184"/>
      <c r="G2" s="1184"/>
      <c r="H2" s="1184"/>
      <c r="I2" s="1184"/>
      <c r="J2" s="1184"/>
      <c r="K2" s="1184"/>
      <c r="L2" s="1184"/>
      <c r="M2" s="1184"/>
      <c r="N2" s="1184"/>
      <c r="O2" s="1184"/>
      <c r="P2" s="1184"/>
      <c r="Q2" s="1184"/>
      <c r="R2" s="1184"/>
      <c r="S2" s="1184"/>
      <c r="T2" s="1184"/>
      <c r="U2" s="1184"/>
      <c r="V2" s="1185"/>
      <c r="W2" s="532" t="s">
        <v>316</v>
      </c>
      <c r="X2" s="533"/>
    </row>
    <row r="3" spans="1:24" ht="18.75" x14ac:dyDescent="0.25">
      <c r="A3" s="1186" t="s">
        <v>57</v>
      </c>
      <c r="B3" s="1187"/>
      <c r="C3" s="1187"/>
      <c r="D3" s="1187"/>
      <c r="E3" s="1187"/>
      <c r="F3" s="1187"/>
      <c r="G3" s="1188"/>
      <c r="H3" s="1189"/>
      <c r="I3" s="1189"/>
      <c r="J3" s="1189"/>
      <c r="K3" s="1189"/>
      <c r="L3" s="1607" t="s">
        <v>60</v>
      </c>
      <c r="M3" s="1606"/>
      <c r="N3" s="1606"/>
      <c r="O3" s="1606"/>
      <c r="P3" s="1608"/>
      <c r="Q3" s="1609" t="s">
        <v>61</v>
      </c>
      <c r="R3" s="1604"/>
      <c r="S3" s="1604"/>
      <c r="T3" s="1604"/>
      <c r="U3" s="1604"/>
      <c r="V3" s="1605"/>
      <c r="W3" s="758" t="s">
        <v>62</v>
      </c>
      <c r="X3" s="758" t="s">
        <v>63</v>
      </c>
    </row>
    <row r="4" spans="1:24" ht="39" thickBot="1" x14ac:dyDescent="0.25">
      <c r="A4" s="698" t="s">
        <v>44</v>
      </c>
      <c r="B4" s="699" t="s">
        <v>64</v>
      </c>
      <c r="C4" s="699" t="s">
        <v>65</v>
      </c>
      <c r="D4" s="699" t="s">
        <v>317</v>
      </c>
      <c r="E4" s="699" t="s">
        <v>68</v>
      </c>
      <c r="F4" s="699" t="s">
        <v>69</v>
      </c>
      <c r="G4" s="700" t="s">
        <v>71</v>
      </c>
      <c r="H4" s="699" t="s">
        <v>81</v>
      </c>
      <c r="I4" s="699" t="s">
        <v>82</v>
      </c>
      <c r="J4" s="699" t="s">
        <v>83</v>
      </c>
      <c r="K4" s="701" t="s">
        <v>84</v>
      </c>
      <c r="L4" s="827" t="s">
        <v>85</v>
      </c>
      <c r="M4" s="828" t="s">
        <v>86</v>
      </c>
      <c r="N4" s="828" t="s">
        <v>87</v>
      </c>
      <c r="O4" s="828" t="s">
        <v>88</v>
      </c>
      <c r="P4" s="829" t="s">
        <v>89</v>
      </c>
      <c r="Q4" s="827" t="s">
        <v>90</v>
      </c>
      <c r="R4" s="828" t="s">
        <v>91</v>
      </c>
      <c r="S4" s="828" t="s">
        <v>92</v>
      </c>
      <c r="T4" s="828" t="s">
        <v>91</v>
      </c>
      <c r="U4" s="828" t="s">
        <v>93</v>
      </c>
      <c r="V4" s="829" t="s">
        <v>91</v>
      </c>
      <c r="W4" s="830" t="s">
        <v>94</v>
      </c>
      <c r="X4" s="830" t="s">
        <v>95</v>
      </c>
    </row>
    <row r="5" spans="1:24" ht="85.5" x14ac:dyDescent="0.2">
      <c r="A5" s="703">
        <f>+'[9]Analisis Riesgo'!A7</f>
        <v>1</v>
      </c>
      <c r="B5" s="703" t="str">
        <f>+'[13]Identificación del Riesgo GC'!E9</f>
        <v>Demoras en el inicio de los contratos.</v>
      </c>
      <c r="C5" s="703" t="str">
        <f>+'[13]Identificación del Riesgo GC'!H9</f>
        <v>Demoras en la entrega de información por parte del contratista para formalización del contrato.
Demoras en el inicio de la ejecución de contratos derivadas de inconsistencias en las pólizas de cumplimiento.</v>
      </c>
      <c r="D5" s="703" t="str">
        <f>+'[13]Identificación del Riesgo GC'!I9</f>
        <v>Menor ejecución de contratos.</v>
      </c>
      <c r="E5" s="705" t="str">
        <f>+'[13]Analisis Riesgo'!F7</f>
        <v>Casi Seguro</v>
      </c>
      <c r="F5" s="705" t="str">
        <f>+'[13]Analisis Riesgo'!G7</f>
        <v>Catastrófico</v>
      </c>
      <c r="G5" s="898" t="str">
        <f>+'[13]Analisis Riesgo'!I7</f>
        <v>EXTREMO</v>
      </c>
      <c r="H5" s="705" t="str">
        <f>+'[13]Analisis Riesgo'!U7</f>
        <v>Probable</v>
      </c>
      <c r="I5" s="705" t="str">
        <f>+'[13]Analisis Riesgo'!V7</f>
        <v>Mayor</v>
      </c>
      <c r="J5" s="898" t="str">
        <f>+'[13]Analisis Riesgo'!W7</f>
        <v>EXTREMO</v>
      </c>
      <c r="K5" s="703" t="str">
        <f>+'[13]Analisis Riesgo'!X7</f>
        <v>Reducir el riesgo</v>
      </c>
      <c r="L5" s="725" t="s">
        <v>1092</v>
      </c>
      <c r="M5" s="726" t="s">
        <v>1093</v>
      </c>
      <c r="N5" s="727">
        <v>44299</v>
      </c>
      <c r="O5" s="709">
        <v>44561</v>
      </c>
      <c r="P5" s="728" t="s">
        <v>1094</v>
      </c>
      <c r="Q5" s="833"/>
      <c r="R5" s="834"/>
      <c r="S5" s="834"/>
      <c r="T5" s="834"/>
      <c r="U5" s="834"/>
      <c r="V5" s="835"/>
      <c r="W5" s="836"/>
      <c r="X5" s="836"/>
    </row>
    <row r="6" spans="1:24" ht="127.5" customHeight="1" x14ac:dyDescent="0.2">
      <c r="A6" s="703">
        <f>+'[9]Analisis Riesgo'!A8</f>
        <v>2</v>
      </c>
      <c r="B6" s="703" t="str">
        <f>+'[13]Identificación del Riesgo GC'!E10</f>
        <v>Realizar la gestión contractual con falta de Eficacia y oportunidad</v>
      </c>
      <c r="C6" s="703" t="str">
        <f>+'[13]Identificación del Riesgo GC'!H10</f>
        <v>Desconocimiento por parte de los supervisores sobre sus responsabilidades durante la ejecución de los contratos
Desconocimiento de los futuros supervisores de contratos sobre la plataforma del SECOP II</v>
      </c>
      <c r="D6" s="703" t="str">
        <f>+'[13]Identificación del Riesgo GC'!I10</f>
        <v>No llevar a cabo la contratación.
Incumplimiento del presupuesto.</v>
      </c>
      <c r="E6" s="705" t="str">
        <f>+'[13]Analisis Riesgo'!F8</f>
        <v>Casi Seguro</v>
      </c>
      <c r="F6" s="705" t="str">
        <f>+'[13]Analisis Riesgo'!G8</f>
        <v>Mayor</v>
      </c>
      <c r="G6" s="898" t="str">
        <f>+'[13]Analisis Riesgo'!I8</f>
        <v>EXTREMO</v>
      </c>
      <c r="H6" s="705" t="str">
        <f>+'[13]Analisis Riesgo'!U8</f>
        <v>Casi Seguro</v>
      </c>
      <c r="I6" s="705" t="str">
        <f>+'[13]Analisis Riesgo'!V8</f>
        <v>Mayor</v>
      </c>
      <c r="J6" s="898" t="str">
        <f>+'[13]Analisis Riesgo'!W8</f>
        <v>EXTREMO</v>
      </c>
      <c r="K6" s="703" t="str">
        <f>+'[13]Analisis Riesgo'!X8</f>
        <v>Reducir el riesgo</v>
      </c>
      <c r="L6" s="732" t="s">
        <v>1095</v>
      </c>
      <c r="M6" s="726" t="s">
        <v>1093</v>
      </c>
      <c r="N6" s="727">
        <v>44299</v>
      </c>
      <c r="O6" s="727">
        <v>44377</v>
      </c>
      <c r="P6" s="733" t="s">
        <v>1096</v>
      </c>
      <c r="Q6" s="837"/>
      <c r="R6" s="838"/>
      <c r="S6" s="838"/>
      <c r="T6" s="838"/>
      <c r="U6" s="838"/>
      <c r="V6" s="839"/>
      <c r="W6" s="840"/>
      <c r="X6" s="840"/>
    </row>
    <row r="7" spans="1:24" ht="57" x14ac:dyDescent="0.2">
      <c r="A7" s="703">
        <f>+'[9]Analisis Riesgo'!A9</f>
        <v>3</v>
      </c>
      <c r="B7" s="703" t="str">
        <f>+'[13]Identificación del Riesgo GC'!E11</f>
        <v>Realizar convenios que no incluyan la totalidad de obligaciones.</v>
      </c>
      <c r="C7" s="703" t="str">
        <f>+'[13]Identificación del Riesgo GC'!H11</f>
        <v xml:space="preserve">Desconocimiento de los servidores públicos sobre la importancia de incluir la totalidad de las obligaciones en los convenios. </v>
      </c>
      <c r="D7" s="703" t="str">
        <f>+'[13]Identificación del Riesgo GC'!I11</f>
        <v>Inadecuada ejecución.
Suscripción de Otro sí.</v>
      </c>
      <c r="E7" s="705" t="str">
        <f>+'[13]Analisis Riesgo'!F9</f>
        <v>Casi Seguro</v>
      </c>
      <c r="F7" s="705" t="str">
        <f>+'[13]Analisis Riesgo'!G9</f>
        <v>Moderado</v>
      </c>
      <c r="G7" s="898" t="str">
        <f>+'[13]Analisis Riesgo'!I9</f>
        <v>EXTREMO</v>
      </c>
      <c r="H7" s="705" t="str">
        <f>+'[13]Analisis Riesgo'!U9</f>
        <v>Probable</v>
      </c>
      <c r="I7" s="705" t="str">
        <f>+'[13]Analisis Riesgo'!V9</f>
        <v>Menor</v>
      </c>
      <c r="J7" s="831" t="str">
        <f>+'[13]Analisis Riesgo'!W9</f>
        <v>ALTO</v>
      </c>
      <c r="K7" s="703" t="str">
        <f>+'[13]Analisis Riesgo'!X9</f>
        <v>Reducir el riesgo</v>
      </c>
      <c r="L7" s="734" t="s">
        <v>1097</v>
      </c>
      <c r="M7" s="726" t="s">
        <v>1093</v>
      </c>
      <c r="N7" s="709">
        <v>44200</v>
      </c>
      <c r="O7" s="709">
        <v>44285</v>
      </c>
      <c r="P7" s="736" t="s">
        <v>1098</v>
      </c>
      <c r="Q7" s="837"/>
      <c r="R7" s="838"/>
      <c r="S7" s="838"/>
      <c r="T7" s="838"/>
      <c r="U7" s="838"/>
      <c r="V7" s="839"/>
      <c r="W7" s="840"/>
      <c r="X7" s="840"/>
    </row>
    <row r="8" spans="1:24" ht="176.25" customHeight="1" x14ac:dyDescent="0.2">
      <c r="A8" s="703">
        <f>+'[9]Analisis Riesgo'!A10</f>
        <v>4</v>
      </c>
      <c r="B8" s="703" t="str">
        <f>+'[13]Identificación del Riesgo GC'!E12</f>
        <v>Favorecimiento a un contratista específico.</v>
      </c>
      <c r="C8" s="703" t="str">
        <f>+'[13]Identificación del Riesgo GC'!H12</f>
        <v>Realizar un sondeo del mercado deficiente por parte del área líder.</v>
      </c>
      <c r="D8" s="703" t="str">
        <f>+'[13]Identificación del Riesgo GC'!I12</f>
        <v>Hallazgos disciplinaros y fiscales.
Indebidas supervisiones.</v>
      </c>
      <c r="E8" s="705" t="str">
        <f>+'[13]Analisis Riesgo'!F10</f>
        <v>Posible</v>
      </c>
      <c r="F8" s="705" t="str">
        <f>+'[13]Analisis Riesgo'!G10</f>
        <v>Catastrófico</v>
      </c>
      <c r="G8" s="898" t="str">
        <f>+'[13]Analisis Riesgo'!I10</f>
        <v>EXTREMO</v>
      </c>
      <c r="H8" s="705" t="str">
        <f>+'[13]Analisis Riesgo'!U10</f>
        <v>Posible</v>
      </c>
      <c r="I8" s="705" t="str">
        <f>+'[13]Analisis Riesgo'!V10</f>
        <v>Catastrófico</v>
      </c>
      <c r="J8" s="898" t="str">
        <f>+'[13]Analisis Riesgo'!W10</f>
        <v>EXTREMO</v>
      </c>
      <c r="K8" s="703" t="str">
        <f>+'[13]Analisis Riesgo'!X10</f>
        <v>Reducir el riesgo</v>
      </c>
      <c r="L8" s="734" t="s">
        <v>1099</v>
      </c>
      <c r="M8" s="726" t="s">
        <v>1093</v>
      </c>
      <c r="N8" s="832">
        <v>44226</v>
      </c>
      <c r="O8" s="709">
        <v>44561</v>
      </c>
      <c r="P8" s="736" t="s">
        <v>1100</v>
      </c>
      <c r="Q8" s="837"/>
      <c r="R8" s="838"/>
      <c r="S8" s="838"/>
      <c r="T8" s="838"/>
      <c r="U8" s="838"/>
      <c r="V8" s="839"/>
      <c r="W8" s="840"/>
      <c r="X8" s="840"/>
    </row>
    <row r="9" spans="1:24" ht="72.75" customHeight="1" x14ac:dyDescent="0.2">
      <c r="A9" s="703">
        <f>+'[9]Analisis Riesgo'!A11</f>
        <v>5</v>
      </c>
      <c r="B9" s="703" t="str">
        <f>+'[13]Identificación del Riesgo GC'!E13</f>
        <v>Actuaciones improvisadas por parte de los supervisores</v>
      </c>
      <c r="C9" s="703" t="str">
        <f>+'[13]Identificación del Riesgo GC'!H13</f>
        <v>Desconocimiento del supervisor sobre las diferentes situaciones jurídicas contractuales.</v>
      </c>
      <c r="D9" s="703" t="str">
        <f>+'[13]Identificación del Riesgo GC'!I13</f>
        <v>Hallazgos disciplinaros y fiscales.
Indebidas supervisiones.</v>
      </c>
      <c r="E9" s="705" t="str">
        <f>+'[13]Analisis Riesgo'!F11</f>
        <v>Posible</v>
      </c>
      <c r="F9" s="705" t="str">
        <f>+'[13]Analisis Riesgo'!G11</f>
        <v>Catastrófico</v>
      </c>
      <c r="G9" s="898" t="str">
        <f>+'[13]Analisis Riesgo'!I11</f>
        <v>EXTREMO</v>
      </c>
      <c r="H9" s="705" t="str">
        <f>+'[13]Analisis Riesgo'!U11</f>
        <v>Posible</v>
      </c>
      <c r="I9" s="705" t="str">
        <f>+'[13]Analisis Riesgo'!V11</f>
        <v>Catastrófico</v>
      </c>
      <c r="J9" s="898" t="str">
        <f>+'[13]Analisis Riesgo'!W11</f>
        <v>EXTREMO</v>
      </c>
      <c r="K9" s="703" t="str">
        <f>+'[13]Analisis Riesgo'!X11</f>
        <v>Reducir el riesgo</v>
      </c>
      <c r="L9" s="734" t="s">
        <v>1101</v>
      </c>
      <c r="M9" s="726" t="s">
        <v>1093</v>
      </c>
      <c r="N9" s="709">
        <v>44285</v>
      </c>
      <c r="O9" s="709">
        <v>44561</v>
      </c>
      <c r="P9" s="736" t="s">
        <v>1102</v>
      </c>
      <c r="Q9" s="837"/>
      <c r="R9" s="838"/>
      <c r="S9" s="838"/>
      <c r="T9" s="838"/>
      <c r="U9" s="838"/>
      <c r="V9" s="839"/>
      <c r="W9" s="840"/>
      <c r="X9" s="840"/>
    </row>
  </sheetData>
  <mergeCells count="6">
    <mergeCell ref="A1:C2"/>
    <mergeCell ref="D1:V2"/>
    <mergeCell ref="A3:G3"/>
    <mergeCell ref="H3:K3"/>
    <mergeCell ref="L3:P3"/>
    <mergeCell ref="Q3:V3"/>
  </mergeCells>
  <pageMargins left="0.7" right="0.7" top="0.75" bottom="0.75" header="0.3" footer="0.3"/>
  <drawing r:id="rId1"/>
  <legacy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E7"/>
  <sheetViews>
    <sheetView showGridLines="0" zoomScale="160" zoomScaleNormal="160" zoomScaleSheetLayoutView="115" zoomScalePageLayoutView="90" workbookViewId="0">
      <selection activeCell="B7" sqref="B7"/>
    </sheetView>
  </sheetViews>
  <sheetFormatPr baseColWidth="10" defaultRowHeight="15" x14ac:dyDescent="0.25"/>
  <cols>
    <col min="1" max="1" width="18.375" style="743" customWidth="1"/>
    <col min="2" max="2" width="28.875" style="743" customWidth="1"/>
    <col min="3" max="3" width="36.75" style="743" customWidth="1"/>
    <col min="4" max="4" width="14.25" style="743" customWidth="1"/>
    <col min="5" max="5" width="16.375" style="743" customWidth="1"/>
    <col min="6" max="16384" width="11" style="743"/>
  </cols>
  <sheetData>
    <row r="1" spans="1:5" x14ac:dyDescent="0.25">
      <c r="A1" s="1568"/>
      <c r="B1" s="1569" t="s">
        <v>837</v>
      </c>
      <c r="C1" s="1570"/>
      <c r="D1" s="1570"/>
      <c r="E1" s="1571" t="s">
        <v>29</v>
      </c>
    </row>
    <row r="2" spans="1:5" x14ac:dyDescent="0.25">
      <c r="A2" s="1568"/>
      <c r="B2" s="1570"/>
      <c r="C2" s="1570"/>
      <c r="D2" s="1570"/>
      <c r="E2" s="1571"/>
    </row>
    <row r="3" spans="1:5" x14ac:dyDescent="0.25">
      <c r="A3" s="1568"/>
      <c r="B3" s="1570"/>
      <c r="C3" s="1570"/>
      <c r="D3" s="1570"/>
      <c r="E3" s="1572" t="s">
        <v>2</v>
      </c>
    </row>
    <row r="4" spans="1:5" ht="15.75" thickBot="1" x14ac:dyDescent="0.3">
      <c r="A4" s="1568"/>
      <c r="B4" s="1570"/>
      <c r="C4" s="1570"/>
      <c r="D4" s="1570"/>
      <c r="E4" s="1572"/>
    </row>
    <row r="5" spans="1:5" ht="15.75" thickBot="1" x14ac:dyDescent="0.3">
      <c r="A5" s="1664" t="s">
        <v>1103</v>
      </c>
      <c r="B5" s="1574"/>
      <c r="C5" s="1574"/>
      <c r="D5" s="1574"/>
      <c r="E5" s="1575"/>
    </row>
    <row r="6" spans="1:5" ht="15" customHeight="1" x14ac:dyDescent="0.25">
      <c r="A6" s="744" t="s">
        <v>31</v>
      </c>
      <c r="B6" s="745" t="s">
        <v>32</v>
      </c>
      <c r="C6" s="744" t="s">
        <v>33</v>
      </c>
      <c r="D6" s="1576" t="s">
        <v>34</v>
      </c>
      <c r="E6" s="1577"/>
    </row>
    <row r="7" spans="1:5" ht="409.5" customHeight="1" x14ac:dyDescent="0.25">
      <c r="A7" s="746"/>
      <c r="B7" s="747" t="s">
        <v>1104</v>
      </c>
      <c r="C7" s="748" t="s">
        <v>1105</v>
      </c>
      <c r="D7" s="1566" t="s">
        <v>1106</v>
      </c>
      <c r="E7" s="1567"/>
    </row>
  </sheetData>
  <mergeCells count="7">
    <mergeCell ref="D7:E7"/>
    <mergeCell ref="A1:A4"/>
    <mergeCell ref="B1:D4"/>
    <mergeCell ref="E1:E2"/>
    <mergeCell ref="E3:E4"/>
    <mergeCell ref="A5:E5"/>
    <mergeCell ref="D6:E6"/>
  </mergeCells>
  <pageMargins left="0.31496062992125984" right="0.31496062992125984" top="1.1417322834645669" bottom="0.35433070866141736" header="0.31496062992125984" footer="0.31496062992125984"/>
  <pageSetup scale="88" orientation="landscape" horizontalDpi="1200" verticalDpi="1200" r:id="rId1"/>
  <headerFooter>
    <oddHeader>&amp;L&amp;G&amp;C
&amp;"-,Negrita"Matriz de Riesgos</oddHeader>
  </headerFooter>
  <drawing r:id="rId2"/>
  <legacyDrawing r:id="rId3"/>
  <legacyDrawingHF r:id="rId4"/>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N15"/>
  <sheetViews>
    <sheetView showGridLines="0" topLeftCell="F14" zoomScale="70" zoomScaleNormal="70" zoomScaleSheetLayoutView="130" zoomScalePageLayoutView="90" workbookViewId="0">
      <selection activeCell="H19" sqref="H19"/>
    </sheetView>
  </sheetViews>
  <sheetFormatPr baseColWidth="10" defaultRowHeight="15" x14ac:dyDescent="0.25"/>
  <cols>
    <col min="1" max="2" width="12.625" style="743" customWidth="1"/>
    <col min="3" max="3" width="26" style="743" customWidth="1"/>
    <col min="4" max="4" width="3.625" style="746" customWidth="1"/>
    <col min="5" max="5" width="36.5" style="743" customWidth="1"/>
    <col min="6" max="6" width="39" style="743" customWidth="1"/>
    <col min="7" max="7" width="15" style="743" customWidth="1"/>
    <col min="8" max="8" width="43" style="743" customWidth="1"/>
    <col min="9" max="9" width="33.375" style="743" customWidth="1"/>
    <col min="10" max="10" width="20.625" style="743" customWidth="1"/>
    <col min="11" max="11" width="14.75" style="743" customWidth="1"/>
    <col min="12" max="12" width="18.75" style="743" customWidth="1"/>
    <col min="13" max="13" width="12.75" style="743" customWidth="1"/>
    <col min="14" max="14" width="27.125" style="743" customWidth="1"/>
    <col min="15" max="16384" width="11" style="743"/>
  </cols>
  <sheetData>
    <row r="1" spans="1:14" x14ac:dyDescent="0.25">
      <c r="A1" s="1578"/>
      <c r="B1" s="1578"/>
      <c r="C1" s="1578"/>
      <c r="D1" s="1580" t="s">
        <v>0</v>
      </c>
      <c r="E1" s="1580"/>
      <c r="F1" s="1580"/>
      <c r="G1" s="1580"/>
      <c r="H1" s="1580"/>
      <c r="I1" s="1580"/>
      <c r="J1" s="1580"/>
      <c r="K1" s="1580"/>
      <c r="L1" s="1580"/>
      <c r="M1" s="1581"/>
      <c r="N1" s="1584" t="s">
        <v>35</v>
      </c>
    </row>
    <row r="2" spans="1:14" x14ac:dyDescent="0.25">
      <c r="A2" s="1578"/>
      <c r="B2" s="1578"/>
      <c r="C2" s="1578"/>
      <c r="D2" s="1580"/>
      <c r="E2" s="1580"/>
      <c r="F2" s="1580"/>
      <c r="G2" s="1580"/>
      <c r="H2" s="1580"/>
      <c r="I2" s="1580"/>
      <c r="J2" s="1580"/>
      <c r="K2" s="1580"/>
      <c r="L2" s="1580"/>
      <c r="M2" s="1581"/>
      <c r="N2" s="1584"/>
    </row>
    <row r="3" spans="1:14" x14ac:dyDescent="0.25">
      <c r="A3" s="1578"/>
      <c r="B3" s="1578"/>
      <c r="C3" s="1578"/>
      <c r="D3" s="1580"/>
      <c r="E3" s="1580"/>
      <c r="F3" s="1580"/>
      <c r="G3" s="1580"/>
      <c r="H3" s="1580"/>
      <c r="I3" s="1580"/>
      <c r="J3" s="1580"/>
      <c r="K3" s="1580"/>
      <c r="L3" s="1580"/>
      <c r="M3" s="1581"/>
      <c r="N3" s="1584" t="s">
        <v>2</v>
      </c>
    </row>
    <row r="4" spans="1:14" x14ac:dyDescent="0.25">
      <c r="A4" s="1579"/>
      <c r="B4" s="1579"/>
      <c r="C4" s="1579"/>
      <c r="D4" s="1582"/>
      <c r="E4" s="1582"/>
      <c r="F4" s="1582"/>
      <c r="G4" s="1582"/>
      <c r="H4" s="1582"/>
      <c r="I4" s="1582"/>
      <c r="J4" s="1582"/>
      <c r="K4" s="1582"/>
      <c r="L4" s="1582"/>
      <c r="M4" s="1583"/>
      <c r="N4" s="1584"/>
    </row>
    <row r="5" spans="1:14" ht="15.75" x14ac:dyDescent="0.25">
      <c r="A5" s="1585" t="s">
        <v>36</v>
      </c>
      <c r="B5" s="1586"/>
      <c r="C5" s="1587"/>
      <c r="D5" s="1588" t="s">
        <v>1107</v>
      </c>
      <c r="E5" s="1589"/>
      <c r="F5" s="1589"/>
      <c r="G5" s="1589"/>
      <c r="H5" s="1589"/>
      <c r="I5" s="1589"/>
      <c r="J5" s="1589"/>
      <c r="K5" s="1589"/>
      <c r="L5" s="1589"/>
      <c r="M5" s="1589"/>
      <c r="N5" s="1590"/>
    </row>
    <row r="6" spans="1:14" ht="40.5" customHeight="1" x14ac:dyDescent="0.25">
      <c r="A6" s="1585" t="s">
        <v>37</v>
      </c>
      <c r="B6" s="1586"/>
      <c r="C6" s="1587"/>
      <c r="D6" s="1588" t="s">
        <v>1108</v>
      </c>
      <c r="E6" s="1589"/>
      <c r="F6" s="1589"/>
      <c r="G6" s="1589"/>
      <c r="H6" s="1589"/>
      <c r="I6" s="1589"/>
      <c r="J6" s="1589"/>
      <c r="K6" s="1589"/>
      <c r="L6" s="1589"/>
      <c r="M6" s="1589"/>
      <c r="N6" s="1590"/>
    </row>
    <row r="7" spans="1:14" x14ac:dyDescent="0.25">
      <c r="A7" s="1591" t="s">
        <v>38</v>
      </c>
      <c r="B7" s="1592"/>
      <c r="C7" s="1593"/>
      <c r="D7" s="1594" t="s">
        <v>39</v>
      </c>
      <c r="E7" s="1595"/>
      <c r="F7" s="1595"/>
      <c r="G7" s="1595"/>
      <c r="H7" s="1595"/>
      <c r="I7" s="1596"/>
      <c r="J7" s="1597" t="s">
        <v>40</v>
      </c>
      <c r="K7" s="1597"/>
      <c r="L7" s="1597"/>
      <c r="M7" s="1597"/>
      <c r="N7" s="1597"/>
    </row>
    <row r="8" spans="1:14" ht="48" x14ac:dyDescent="0.25">
      <c r="A8" s="749" t="s">
        <v>41</v>
      </c>
      <c r="B8" s="749" t="s">
        <v>42</v>
      </c>
      <c r="C8" s="749" t="s">
        <v>43</v>
      </c>
      <c r="D8" s="749" t="s">
        <v>44</v>
      </c>
      <c r="E8" s="749" t="s">
        <v>45</v>
      </c>
      <c r="F8" s="749" t="s">
        <v>46</v>
      </c>
      <c r="G8" s="749" t="s">
        <v>47</v>
      </c>
      <c r="H8" s="749" t="s">
        <v>48</v>
      </c>
      <c r="I8" s="749" t="s">
        <v>49</v>
      </c>
      <c r="J8" s="750" t="s">
        <v>50</v>
      </c>
      <c r="K8" s="750" t="s">
        <v>51</v>
      </c>
      <c r="L8" s="750" t="s">
        <v>52</v>
      </c>
      <c r="M8" s="750" t="s">
        <v>53</v>
      </c>
      <c r="N8" s="750" t="s">
        <v>54</v>
      </c>
    </row>
    <row r="9" spans="1:14" ht="111" customHeight="1" x14ac:dyDescent="0.25">
      <c r="A9" s="751"/>
      <c r="B9" s="752" t="s">
        <v>232</v>
      </c>
      <c r="C9" s="752"/>
      <c r="D9" s="542">
        <v>1</v>
      </c>
      <c r="E9" s="162" t="s">
        <v>1109</v>
      </c>
      <c r="F9" s="466" t="s">
        <v>1110</v>
      </c>
      <c r="G9" s="754" t="s">
        <v>194</v>
      </c>
      <c r="H9" s="303" t="s">
        <v>1111</v>
      </c>
      <c r="I9" s="303" t="s">
        <v>1112</v>
      </c>
      <c r="J9" s="754" t="s">
        <v>263</v>
      </c>
      <c r="K9" s="754" t="s">
        <v>263</v>
      </c>
      <c r="L9" s="754" t="s">
        <v>263</v>
      </c>
      <c r="M9" s="754" t="s">
        <v>263</v>
      </c>
      <c r="N9" s="756" t="str">
        <f t="shared" ref="N9:N15" si="0">IF(COUNTIF(J9:M9,"SI")=4,"Riesgo de Corrupción","No es Riesgo de Corrupción")</f>
        <v>No es Riesgo de Corrupción</v>
      </c>
    </row>
    <row r="10" spans="1:14" ht="105.75" customHeight="1" x14ac:dyDescent="0.25">
      <c r="A10" s="751"/>
      <c r="B10" s="752" t="s">
        <v>232</v>
      </c>
      <c r="C10" s="751"/>
      <c r="D10" s="542">
        <v>2</v>
      </c>
      <c r="E10" s="162" t="s">
        <v>1113</v>
      </c>
      <c r="F10" s="753" t="s">
        <v>1114</v>
      </c>
      <c r="G10" s="754" t="s">
        <v>234</v>
      </c>
      <c r="H10" s="755" t="s">
        <v>1115</v>
      </c>
      <c r="I10" s="303" t="s">
        <v>1116</v>
      </c>
      <c r="J10" s="754" t="s">
        <v>263</v>
      </c>
      <c r="K10" s="754" t="s">
        <v>263</v>
      </c>
      <c r="L10" s="754" t="s">
        <v>263</v>
      </c>
      <c r="M10" s="754" t="s">
        <v>263</v>
      </c>
      <c r="N10" s="756" t="str">
        <f t="shared" si="0"/>
        <v>No es Riesgo de Corrupción</v>
      </c>
    </row>
    <row r="11" spans="1:14" ht="137.25" customHeight="1" x14ac:dyDescent="0.25">
      <c r="A11" s="751"/>
      <c r="B11" s="752" t="s">
        <v>177</v>
      </c>
      <c r="C11" s="751"/>
      <c r="D11" s="542">
        <v>3</v>
      </c>
      <c r="E11" s="162" t="s">
        <v>1117</v>
      </c>
      <c r="F11" s="466" t="s">
        <v>1118</v>
      </c>
      <c r="G11" s="754" t="s">
        <v>246</v>
      </c>
      <c r="H11" s="303" t="s">
        <v>1119</v>
      </c>
      <c r="I11" s="303" t="s">
        <v>1116</v>
      </c>
      <c r="J11" s="754" t="s">
        <v>263</v>
      </c>
      <c r="K11" s="754" t="s">
        <v>263</v>
      </c>
      <c r="L11" s="754" t="s">
        <v>263</v>
      </c>
      <c r="M11" s="754" t="s">
        <v>263</v>
      </c>
      <c r="N11" s="756" t="str">
        <f t="shared" si="0"/>
        <v>No es Riesgo de Corrupción</v>
      </c>
    </row>
    <row r="12" spans="1:14" ht="128.25" customHeight="1" x14ac:dyDescent="0.25">
      <c r="A12" s="751"/>
      <c r="B12" s="751"/>
      <c r="C12" s="751" t="s">
        <v>220</v>
      </c>
      <c r="D12" s="542">
        <v>4</v>
      </c>
      <c r="E12" s="554" t="s">
        <v>1120</v>
      </c>
      <c r="F12" s="753" t="s">
        <v>1121</v>
      </c>
      <c r="G12" s="754" t="s">
        <v>208</v>
      </c>
      <c r="H12" s="755" t="s">
        <v>1122</v>
      </c>
      <c r="I12" s="303" t="s">
        <v>1123</v>
      </c>
      <c r="J12" s="754" t="s">
        <v>263</v>
      </c>
      <c r="K12" s="754" t="s">
        <v>263</v>
      </c>
      <c r="L12" s="754" t="s">
        <v>263</v>
      </c>
      <c r="M12" s="754" t="s">
        <v>263</v>
      </c>
      <c r="N12" s="756" t="str">
        <f t="shared" si="0"/>
        <v>No es Riesgo de Corrupción</v>
      </c>
    </row>
    <row r="13" spans="1:14" ht="128.25" customHeight="1" x14ac:dyDescent="0.25">
      <c r="A13" s="751"/>
      <c r="B13" s="751"/>
      <c r="C13" s="751" t="s">
        <v>220</v>
      </c>
      <c r="D13" s="542">
        <v>5</v>
      </c>
      <c r="E13" s="554" t="s">
        <v>1124</v>
      </c>
      <c r="F13" s="753" t="s">
        <v>1125</v>
      </c>
      <c r="G13" s="754" t="s">
        <v>208</v>
      </c>
      <c r="H13" s="755" t="s">
        <v>1126</v>
      </c>
      <c r="I13" s="303" t="s">
        <v>1127</v>
      </c>
      <c r="J13" s="754" t="s">
        <v>263</v>
      </c>
      <c r="K13" s="754" t="s">
        <v>263</v>
      </c>
      <c r="L13" s="754" t="s">
        <v>263</v>
      </c>
      <c r="M13" s="754" t="s">
        <v>263</v>
      </c>
      <c r="N13" s="756" t="str">
        <f t="shared" si="0"/>
        <v>No es Riesgo de Corrupción</v>
      </c>
    </row>
    <row r="14" spans="1:14" ht="185.25" customHeight="1" x14ac:dyDescent="0.25">
      <c r="A14" s="751"/>
      <c r="B14" s="751"/>
      <c r="C14" s="751" t="s">
        <v>220</v>
      </c>
      <c r="D14" s="542">
        <v>6</v>
      </c>
      <c r="E14" s="554" t="s">
        <v>1128</v>
      </c>
      <c r="F14" s="466" t="s">
        <v>1129</v>
      </c>
      <c r="G14" s="754" t="s">
        <v>208</v>
      </c>
      <c r="H14" s="755" t="s">
        <v>1130</v>
      </c>
      <c r="I14" s="303" t="s">
        <v>1131</v>
      </c>
      <c r="J14" s="754" t="s">
        <v>263</v>
      </c>
      <c r="K14" s="754" t="s">
        <v>263</v>
      </c>
      <c r="L14" s="754" t="s">
        <v>263</v>
      </c>
      <c r="M14" s="754" t="s">
        <v>263</v>
      </c>
      <c r="N14" s="756" t="str">
        <f t="shared" si="0"/>
        <v>No es Riesgo de Corrupción</v>
      </c>
    </row>
    <row r="15" spans="1:14" ht="179.25" customHeight="1" x14ac:dyDescent="0.25">
      <c r="A15" s="751"/>
      <c r="B15" s="751"/>
      <c r="C15" s="751" t="s">
        <v>220</v>
      </c>
      <c r="D15" s="542">
        <v>7</v>
      </c>
      <c r="E15" s="554" t="s">
        <v>1132</v>
      </c>
      <c r="F15" s="753" t="s">
        <v>1133</v>
      </c>
      <c r="G15" s="754" t="s">
        <v>252</v>
      </c>
      <c r="H15" s="755" t="s">
        <v>1134</v>
      </c>
      <c r="I15" s="303" t="s">
        <v>1123</v>
      </c>
      <c r="J15" s="754" t="s">
        <v>122</v>
      </c>
      <c r="K15" s="754" t="s">
        <v>122</v>
      </c>
      <c r="L15" s="754" t="s">
        <v>122</v>
      </c>
      <c r="M15" s="754" t="s">
        <v>122</v>
      </c>
      <c r="N15" s="756" t="str">
        <f t="shared" si="0"/>
        <v>Riesgo de Corrupción</v>
      </c>
    </row>
  </sheetData>
  <mergeCells count="11">
    <mergeCell ref="A6:C6"/>
    <mergeCell ref="D6:N6"/>
    <mergeCell ref="A7:C7"/>
    <mergeCell ref="D7:I7"/>
    <mergeCell ref="J7:N7"/>
    <mergeCell ref="A1:C4"/>
    <mergeCell ref="D1:M4"/>
    <mergeCell ref="N1:N2"/>
    <mergeCell ref="N3:N4"/>
    <mergeCell ref="A5:C5"/>
    <mergeCell ref="D5:N5"/>
  </mergeCells>
  <dataValidations count="1">
    <dataValidation type="list" allowBlank="1" showInputMessage="1" showErrorMessage="1" sqref="J9:M15" xr:uid="{00000000-0002-0000-5700-000000000000}">
      <formula1>"SI,NO"</formula1>
    </dataValidation>
  </dataValidations>
  <pageMargins left="0.11811023622047245" right="0.11811023622047245" top="1.1417322834645669" bottom="0.19685039370078741" header="0.31496062992125984" footer="0.31496062992125984"/>
  <pageSetup scale="79" orientation="landscape" horizontalDpi="1200" verticalDpi="1200" r:id="rId1"/>
  <headerFooter>
    <oddHeader>&amp;L&amp;G&amp;C
&amp;"-,Negrita"Matriz de Riesgos</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700-000001000000}">
          <x14:formula1>
            <xm:f>'C:\Users\sgomez.UPME\Documents\UPME 2020\Documents\Mapas de riesgos\[Mapa de Riesgos. Gestión de las TIC.xlsx]Datos'!#REF!</xm:f>
          </x14:formula1>
          <xm:sqref>A9:C15 G9:G15</xm:sqref>
        </x14:dataValidation>
      </x14:dataValidations>
    </ext>
  </extLst>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X13"/>
  <sheetViews>
    <sheetView showGridLines="0" showWhiteSpace="0" topLeftCell="M11" zoomScale="55" zoomScaleNormal="55" zoomScaleSheetLayoutView="85" zoomScalePageLayoutView="70" workbookViewId="0">
      <selection activeCell="C13" sqref="C13"/>
    </sheetView>
  </sheetViews>
  <sheetFormatPr baseColWidth="10" defaultRowHeight="15" x14ac:dyDescent="0.25"/>
  <cols>
    <col min="1" max="1" width="4.75" style="746" customWidth="1"/>
    <col min="2" max="2" width="30" style="743" customWidth="1"/>
    <col min="3" max="3" width="44.875" style="800" customWidth="1"/>
    <col min="4" max="4" width="26.25" style="801" customWidth="1"/>
    <col min="5" max="5" width="2.875" style="746" customWidth="1"/>
    <col min="6" max="6" width="17.25" style="746" customWidth="1"/>
    <col min="7" max="7" width="12.875" style="746" customWidth="1"/>
    <col min="8" max="8" width="5" style="746" customWidth="1"/>
    <col min="9" max="9" width="14" style="743" customWidth="1"/>
    <col min="10" max="10" width="8.375" style="743" customWidth="1"/>
    <col min="11" max="11" width="27.5" style="802" customWidth="1"/>
    <col min="12" max="12" width="41" style="743" customWidth="1"/>
    <col min="13" max="13" width="13.75" style="743" customWidth="1"/>
    <col min="14" max="14" width="15" style="743" customWidth="1"/>
    <col min="15" max="15" width="19.25" style="743" customWidth="1"/>
    <col min="16" max="16" width="18.875" style="743" customWidth="1"/>
    <col min="17" max="17" width="12" style="743" customWidth="1"/>
    <col min="18" max="18" width="12.625" style="743" customWidth="1"/>
    <col min="19" max="19" width="13.625" style="746" customWidth="1"/>
    <col min="20" max="20" width="13.625" style="743" customWidth="1"/>
    <col min="21" max="21" width="17.5" style="743" customWidth="1"/>
    <col min="22" max="22" width="12.125" style="743" customWidth="1"/>
    <col min="23" max="23" width="13.875" style="743" customWidth="1"/>
    <col min="24" max="24" width="38.25" style="743" customWidth="1"/>
    <col min="25" max="16384" width="11" style="743"/>
  </cols>
  <sheetData>
    <row r="1" spans="1:24" ht="15" customHeight="1" x14ac:dyDescent="0.25">
      <c r="A1" s="1598"/>
      <c r="B1" s="1598"/>
      <c r="C1" s="1598"/>
      <c r="D1" s="1655" t="s">
        <v>55</v>
      </c>
      <c r="E1" s="1656"/>
      <c r="F1" s="1656"/>
      <c r="G1" s="1656"/>
      <c r="H1" s="1656"/>
      <c r="I1" s="1656"/>
      <c r="J1" s="1656"/>
      <c r="K1" s="1656"/>
      <c r="L1" s="1656"/>
      <c r="M1" s="1656"/>
      <c r="N1" s="1656"/>
      <c r="O1" s="1656"/>
      <c r="P1" s="1656"/>
      <c r="Q1" s="1656"/>
      <c r="R1" s="1656"/>
      <c r="S1" s="1656"/>
      <c r="T1" s="1656"/>
      <c r="U1" s="1656"/>
      <c r="V1" s="1656"/>
      <c r="W1" s="1657"/>
      <c r="X1" s="1600" t="s">
        <v>35</v>
      </c>
    </row>
    <row r="2" spans="1:24" ht="15" customHeight="1" x14ac:dyDescent="0.25">
      <c r="A2" s="1598"/>
      <c r="B2" s="1598"/>
      <c r="C2" s="1598"/>
      <c r="D2" s="1658"/>
      <c r="E2" s="1659"/>
      <c r="F2" s="1659"/>
      <c r="G2" s="1659"/>
      <c r="H2" s="1659"/>
      <c r="I2" s="1659"/>
      <c r="J2" s="1659"/>
      <c r="K2" s="1659"/>
      <c r="L2" s="1659"/>
      <c r="M2" s="1659"/>
      <c r="N2" s="1659"/>
      <c r="O2" s="1659"/>
      <c r="P2" s="1659"/>
      <c r="Q2" s="1659"/>
      <c r="R2" s="1659"/>
      <c r="S2" s="1659"/>
      <c r="T2" s="1659"/>
      <c r="U2" s="1659"/>
      <c r="V2" s="1659"/>
      <c r="W2" s="1660"/>
      <c r="X2" s="1600"/>
    </row>
    <row r="3" spans="1:24" ht="15" customHeight="1" x14ac:dyDescent="0.25">
      <c r="A3" s="1598"/>
      <c r="B3" s="1598"/>
      <c r="C3" s="1598"/>
      <c r="D3" s="1658"/>
      <c r="E3" s="1659"/>
      <c r="F3" s="1659"/>
      <c r="G3" s="1659"/>
      <c r="H3" s="1659"/>
      <c r="I3" s="1659"/>
      <c r="J3" s="1659"/>
      <c r="K3" s="1659"/>
      <c r="L3" s="1659"/>
      <c r="M3" s="1659"/>
      <c r="N3" s="1659"/>
      <c r="O3" s="1659"/>
      <c r="P3" s="1659"/>
      <c r="Q3" s="1659"/>
      <c r="R3" s="1659"/>
      <c r="S3" s="1659"/>
      <c r="T3" s="1659"/>
      <c r="U3" s="1659"/>
      <c r="V3" s="1659"/>
      <c r="W3" s="1660"/>
      <c r="X3" s="1600" t="s">
        <v>56</v>
      </c>
    </row>
    <row r="4" spans="1:24" ht="15.75" customHeight="1" thickBot="1" x14ac:dyDescent="0.3">
      <c r="A4" s="1598"/>
      <c r="B4" s="1598"/>
      <c r="C4" s="1598"/>
      <c r="D4" s="1661"/>
      <c r="E4" s="1662"/>
      <c r="F4" s="1662"/>
      <c r="G4" s="1662"/>
      <c r="H4" s="1662"/>
      <c r="I4" s="1662"/>
      <c r="J4" s="1662"/>
      <c r="K4" s="1662"/>
      <c r="L4" s="1662"/>
      <c r="M4" s="1662"/>
      <c r="N4" s="1662"/>
      <c r="O4" s="1662"/>
      <c r="P4" s="1662"/>
      <c r="Q4" s="1662"/>
      <c r="R4" s="1662"/>
      <c r="S4" s="1662"/>
      <c r="T4" s="1662"/>
      <c r="U4" s="1662"/>
      <c r="V4" s="1662"/>
      <c r="W4" s="1663"/>
      <c r="X4" s="1600"/>
    </row>
    <row r="5" spans="1:24" ht="18.75" customHeight="1" thickBot="1" x14ac:dyDescent="0.3">
      <c r="A5" s="1601" t="s">
        <v>57</v>
      </c>
      <c r="B5" s="1602"/>
      <c r="C5" s="1602"/>
      <c r="D5" s="1602"/>
      <c r="E5" s="1602"/>
      <c r="F5" s="1602"/>
      <c r="G5" s="1602"/>
      <c r="H5" s="1602"/>
      <c r="I5" s="1603"/>
      <c r="J5" s="757"/>
      <c r="K5" s="1604" t="s">
        <v>58</v>
      </c>
      <c r="L5" s="1604"/>
      <c r="M5" s="1604"/>
      <c r="N5" s="1604"/>
      <c r="O5" s="1604"/>
      <c r="P5" s="1605"/>
      <c r="Q5" s="1606" t="s">
        <v>59</v>
      </c>
      <c r="R5" s="1606"/>
      <c r="S5" s="1606"/>
      <c r="T5" s="1606"/>
      <c r="U5" s="1606"/>
      <c r="V5" s="1606"/>
      <c r="W5" s="1606"/>
      <c r="X5" s="1606"/>
    </row>
    <row r="6" spans="1:24" s="763" customFormat="1" ht="51.75" thickBot="1" x14ac:dyDescent="0.25">
      <c r="A6" s="827" t="s">
        <v>44</v>
      </c>
      <c r="B6" s="828" t="s">
        <v>64</v>
      </c>
      <c r="C6" s="828" t="s">
        <v>65</v>
      </c>
      <c r="D6" s="861" t="s">
        <v>66</v>
      </c>
      <c r="E6" s="828" t="s">
        <v>67</v>
      </c>
      <c r="F6" s="828" t="s">
        <v>68</v>
      </c>
      <c r="G6" s="861" t="s">
        <v>69</v>
      </c>
      <c r="H6" s="861" t="s">
        <v>70</v>
      </c>
      <c r="I6" s="829" t="s">
        <v>71</v>
      </c>
      <c r="J6" s="760" t="s">
        <v>72</v>
      </c>
      <c r="K6" s="761" t="s">
        <v>73</v>
      </c>
      <c r="L6" s="537" t="s">
        <v>74</v>
      </c>
      <c r="M6" s="762" t="s">
        <v>75</v>
      </c>
      <c r="N6" s="537" t="s">
        <v>76</v>
      </c>
      <c r="O6" s="537" t="s">
        <v>77</v>
      </c>
      <c r="P6" s="538" t="s">
        <v>78</v>
      </c>
      <c r="Q6" s="761" t="s">
        <v>79</v>
      </c>
      <c r="R6" s="537" t="s">
        <v>80</v>
      </c>
      <c r="S6" s="537" t="s">
        <v>67</v>
      </c>
      <c r="T6" s="537" t="s">
        <v>70</v>
      </c>
      <c r="U6" s="537" t="s">
        <v>81</v>
      </c>
      <c r="V6" s="537" t="s">
        <v>82</v>
      </c>
      <c r="W6" s="537" t="s">
        <v>83</v>
      </c>
      <c r="X6" s="539" t="s">
        <v>84</v>
      </c>
    </row>
    <row r="7" spans="1:24" s="780" customFormat="1" ht="144.75" customHeight="1" x14ac:dyDescent="0.2">
      <c r="A7" s="865">
        <f>'[14]Identificación del Riesgo TIC'!D9</f>
        <v>1</v>
      </c>
      <c r="B7" s="866" t="str">
        <f>'[14]Identificación del Riesgo TIC'!E9</f>
        <v xml:space="preserve">Indisponibilidad de servicios críticos de la entidad </v>
      </c>
      <c r="C7" s="866" t="str">
        <f>'[14]Identificación del Riesgo TIC'!H9</f>
        <v>Desconocimiento de la alta dirección sobre la importancia y metodología relacionada con el BIA.
Se concibe que la responsabilidad sobre la Continuidad del Negocio corresponde solamente al proceso Gestión TIC.</v>
      </c>
      <c r="D7" s="867" t="s">
        <v>196</v>
      </c>
      <c r="E7" s="868">
        <f>IF(D7="Selecciona un descriptor de frecuencia."," ",IF(D7="","",VLOOKUP(D7,[14]Datos!$G$8:$J$12,2,FALSE)))</f>
        <v>4</v>
      </c>
      <c r="F7" s="868" t="str">
        <f>IF(D7="Selecciona un descriptor de frecuencia."," ",IF(D7="","",VLOOKUP(D7,[14]Datos!$G$8:$J$12,3,FALSE)))</f>
        <v>Probable</v>
      </c>
      <c r="G7" s="867" t="s">
        <v>204</v>
      </c>
      <c r="H7" s="868">
        <f>IF(G7="Selecciona un descriptor de impacto."," ",IF(G7="","",VLOOKUP(G7,[14]Datos!$K$8:$L$12,2,FALSE)))</f>
        <v>3</v>
      </c>
      <c r="I7" s="899" t="str">
        <f>IF(D7="Selecciona un descriptor de frecuencia."," ",IF(G7="Selecciona un descriptor de impacto."," ",IF(E7+H7=" ","",IF(E7="","",VLOOKUP(E7,[14]Datos!$U$8:$Z$12,MATCH(H7,[14]Datos!$V$7:$Z$7,0)+1,FALSE)))))</f>
        <v>ALTO</v>
      </c>
      <c r="J7" s="818" t="s">
        <v>122</v>
      </c>
      <c r="K7" s="853" t="s">
        <v>1135</v>
      </c>
      <c r="L7" s="707" t="s">
        <v>1136</v>
      </c>
      <c r="M7" s="820">
        <f>[14]Controles!T9</f>
        <v>100</v>
      </c>
      <c r="N7" s="820" t="str">
        <f>[14]Controles!AB9</f>
        <v>No</v>
      </c>
      <c r="O7" s="547">
        <f>[14]Controles!W9</f>
        <v>1</v>
      </c>
      <c r="P7" s="547">
        <f>[14]Controles!X9</f>
        <v>1</v>
      </c>
      <c r="Q7" s="547">
        <f t="shared" ref="Q7:R13" si="0">SUM(O7:O7)</f>
        <v>1</v>
      </c>
      <c r="R7" s="547">
        <f t="shared" si="0"/>
        <v>1</v>
      </c>
      <c r="S7" s="850">
        <f>IF(D7="Selecciona un descriptor de frecuencia."," ",IF(ROUNDUP(E7-Q7,0)&lt;0,1,ROUNDUP(E7-Q7,0)))</f>
        <v>3</v>
      </c>
      <c r="T7" s="850">
        <f>IF(G7="Selecciona un descriptor de impacto."," ",IF(ROUNDUP(H7-R7,0)&lt;0,1,ROUNDUP(H7-R7,0)))</f>
        <v>2</v>
      </c>
      <c r="U7" s="547" t="str">
        <f>IF(D7="Selecciona un descriptor de frecuencia."," ",VLOOKUP(S7,[14]Datos!$H$8:$I$12,2,FALSE))</f>
        <v>Posible</v>
      </c>
      <c r="V7" s="547" t="str">
        <f>IF(G7="Selecciona un descriptor de impacto."," ",VLOOKUP(T7,[14]Datos!$L$8:$M$12,2,FALSE))</f>
        <v>Menor</v>
      </c>
      <c r="W7" s="849" t="str">
        <f>IF(S7=" "," ",VLOOKUP(S7,[14]Datos!$U$8:$Z$12,MATCH(T7,[14]Datos!$V$7:$Z$7,0)+1,FALSE))</f>
        <v>MODERADO</v>
      </c>
      <c r="X7" s="819" t="s">
        <v>202</v>
      </c>
    </row>
    <row r="8" spans="1:24" s="799" customFormat="1" ht="238.5" customHeight="1" x14ac:dyDescent="0.2">
      <c r="A8" s="880">
        <f>'[14]Identificación del Riesgo TIC'!D10</f>
        <v>2</v>
      </c>
      <c r="B8" s="881" t="str">
        <f>'[14]Identificación del Riesgo TIC'!E10</f>
        <v>Reprocesos en la implementación de los proyectos de la entidad que aplican componentes de tecnología</v>
      </c>
      <c r="C8" s="881" t="str">
        <f>'[14]Identificación del Riesgo TIC'!H10</f>
        <v>Falta de alineación de los proyectos con los lineamientos de la arquitectura institucional de la UPME.
No considerar el acompañamiento del proceso en Proyectos donde sea necesario el componente de tecnología.</v>
      </c>
      <c r="D8" s="882" t="s">
        <v>223</v>
      </c>
      <c r="E8" s="883">
        <f>IF(D8="Selecciona un descriptor de frecuencia."," ",IF(D8="","",VLOOKUP(D8,[14]Datos!$G$8:$J$12,2,FALSE)))</f>
        <v>2</v>
      </c>
      <c r="F8" s="883" t="str">
        <f>IF(D8="Selecciona un descriptor de frecuencia."," ",IF(D8="","",VLOOKUP(D8,[14]Datos!$G$8:$J$12,3,FALSE)))</f>
        <v>Improbable</v>
      </c>
      <c r="G8" s="882" t="s">
        <v>199</v>
      </c>
      <c r="H8" s="884">
        <f>IF(G8="","",VLOOKUP(G8,[14]Datos!$K$8:$L$12,2,FALSE))</f>
        <v>4</v>
      </c>
      <c r="I8" s="900" t="str">
        <f>IF(D8="Selecciona un descriptor de frecuencia."," ",IF(G8="Selecciona un descriptor de impacto."," ",IF(E8+H8=" ","",IF(E8="","",VLOOKUP(E8,[14]Datos!$U$8:$Z$12,MATCH(H8,[14]Datos!$V$7:$Z$7,0)+1,FALSE)))))</f>
        <v>ALTO</v>
      </c>
      <c r="J8" s="819" t="s">
        <v>122</v>
      </c>
      <c r="K8" s="853" t="s">
        <v>1137</v>
      </c>
      <c r="L8" s="853" t="s">
        <v>1137</v>
      </c>
      <c r="M8" s="820">
        <f>[14]Controles!T10</f>
        <v>0</v>
      </c>
      <c r="N8" s="820" t="str">
        <f>[14]Controles!AB10</f>
        <v>SI</v>
      </c>
      <c r="O8" s="547">
        <f>[14]Controles!W10</f>
        <v>0</v>
      </c>
      <c r="P8" s="547">
        <f>[14]Controles!X10</f>
        <v>0</v>
      </c>
      <c r="Q8" s="852">
        <f t="shared" si="0"/>
        <v>0</v>
      </c>
      <c r="R8" s="852">
        <f t="shared" si="0"/>
        <v>0</v>
      </c>
      <c r="S8" s="850">
        <f t="shared" ref="S8:S13" si="1">IF(D8="Selecciona un descriptor de frecuencia."," ",IF(ROUNDUP(E8-Q8,0)&lt;0,1,ROUNDUP(E8-Q8,0)))</f>
        <v>2</v>
      </c>
      <c r="T8" s="850">
        <f t="shared" ref="T8:T13" si="2">IF(G8="Selecciona un descriptor de impacto."," ",IF(ROUNDUP(H8-R8,0)&lt;0,1,ROUNDUP(H8-R8,0)))</f>
        <v>4</v>
      </c>
      <c r="U8" s="547" t="str">
        <f>IF(D8="Selecciona un descriptor de frecuencia."," ",VLOOKUP(S8,[14]Datos!$H$8:$I$12,2,FALSE))</f>
        <v>Improbable</v>
      </c>
      <c r="V8" s="547" t="str">
        <f>IF(G8="Selecciona un descriptor de impacto."," ",VLOOKUP(T8,[14]Datos!$L$8:$M$12,2,FALSE))</f>
        <v>Mayor</v>
      </c>
      <c r="W8" s="849" t="str">
        <f>IF(S8=" "," ",VLOOKUP(S8,[14]Datos!$U$8:$Z$12,MATCH(T8,[14]Datos!$V$7:$Z$7,0)+1,FALSE))</f>
        <v>ALTO</v>
      </c>
      <c r="X8" s="819" t="s">
        <v>202</v>
      </c>
    </row>
    <row r="9" spans="1:24" s="780" customFormat="1" ht="180.75" customHeight="1" x14ac:dyDescent="0.2">
      <c r="A9" s="880">
        <f>'[14]Identificación del Riesgo TIC'!D11</f>
        <v>3</v>
      </c>
      <c r="B9" s="881" t="str">
        <f>'[14]Identificación del Riesgo TIC'!E11</f>
        <v>Falta de Continuidad de la ejecución del PETI por cambios en las necesidades, enfoques y prioridades de la administración.</v>
      </c>
      <c r="C9" s="881" t="str">
        <f>'[14]Identificación del Riesgo TIC'!H11</f>
        <v>Desconocimiento de la importancia de la política de Gobierno digital por parte de los servidores públicos.
Resistencia al cambio por parte de los servidores públicos sobre el alcance de los procesos.
No contar con el presupuesto para desarrollar el PETI.</v>
      </c>
      <c r="D9" s="882" t="s">
        <v>196</v>
      </c>
      <c r="E9" s="883">
        <f>IF(D9="Selecciona un descriptor de frecuencia."," ",IF(D9="","",VLOOKUP(D9,[14]Datos!$G$8:$J$12,2,FALSE)))</f>
        <v>4</v>
      </c>
      <c r="F9" s="883" t="str">
        <f>IF(D9="Selecciona un descriptor de frecuencia."," ",IF(D9="","",VLOOKUP(D9,[14]Datos!$G$8:$J$12,3,FALSE)))</f>
        <v>Probable</v>
      </c>
      <c r="G9" s="882" t="s">
        <v>199</v>
      </c>
      <c r="H9" s="884">
        <f>IF(G9="","",VLOOKUP(G9,[14]Datos!$K$8:$L$12,2,FALSE))</f>
        <v>4</v>
      </c>
      <c r="I9" s="900" t="str">
        <f>IF(D9="Selecciona un descriptor de frecuencia."," ",IF(G9="Selecciona un descriptor de impacto."," ",IF(E9+H9=" ","",IF(E9="","",VLOOKUP(E9,[14]Datos!$U$8:$Z$12,MATCH(H9,[14]Datos!$V$7:$Z$7,0)+1,FALSE)))))</f>
        <v>EXTREMO</v>
      </c>
      <c r="J9" s="819" t="s">
        <v>263</v>
      </c>
      <c r="K9" s="853" t="s">
        <v>1138</v>
      </c>
      <c r="L9" s="853" t="s">
        <v>1139</v>
      </c>
      <c r="M9" s="820">
        <f>[14]Controles!T11</f>
        <v>100</v>
      </c>
      <c r="N9" s="820" t="str">
        <f>[14]Controles!AB11</f>
        <v>No</v>
      </c>
      <c r="O9" s="547">
        <f>[14]Controles!W11</f>
        <v>1</v>
      </c>
      <c r="P9" s="547">
        <f>[14]Controles!X11</f>
        <v>1</v>
      </c>
      <c r="Q9" s="852">
        <f t="shared" si="0"/>
        <v>1</v>
      </c>
      <c r="R9" s="852">
        <f t="shared" si="0"/>
        <v>1</v>
      </c>
      <c r="S9" s="850">
        <f t="shared" si="1"/>
        <v>3</v>
      </c>
      <c r="T9" s="850">
        <f t="shared" si="2"/>
        <v>3</v>
      </c>
      <c r="U9" s="547" t="str">
        <f>IF(D9="Selecciona un descriptor de frecuencia."," ",VLOOKUP(S9,[14]Datos!$H$8:$I$12,2,FALSE))</f>
        <v>Posible</v>
      </c>
      <c r="V9" s="547" t="str">
        <f>IF(G9="Selecciona un descriptor de impacto."," ",VLOOKUP(T9,[14]Datos!$L$8:$M$12,2,FALSE))</f>
        <v>Moderado</v>
      </c>
      <c r="W9" s="849" t="str">
        <f>IF(S9=" "," ",VLOOKUP(S9,[14]Datos!$U$8:$Z$12,MATCH(T9,[14]Datos!$V$7:$Z$7,0)+1,FALSE))</f>
        <v>ALTO</v>
      </c>
      <c r="X9" s="819" t="s">
        <v>202</v>
      </c>
    </row>
    <row r="10" spans="1:24" s="780" customFormat="1" ht="136.5" customHeight="1" x14ac:dyDescent="0.2">
      <c r="A10" s="880">
        <f>'[14]Identificación del Riesgo TIC'!D12</f>
        <v>4</v>
      </c>
      <c r="B10" s="881" t="str">
        <f>'[14]Identificación del Riesgo TIC'!E12</f>
        <v>Retrasos en la prestación de los servicios del proceso</v>
      </c>
      <c r="C10" s="881" t="str">
        <f>'[14]Identificación del Riesgo TIC'!H12</f>
        <v>Desconocimiento por parte de los servidores públicos sobre los procedimientos asociados a la prestación de servicios de TI
No se utiliza la mesa de servicios como único canal de recepción de requerimientos por parte de los servidores públicos.
Ausencia de un catálogo de Servicios</v>
      </c>
      <c r="D10" s="882" t="s">
        <v>181</v>
      </c>
      <c r="E10" s="883">
        <f>IF(D10="Selecciona un descriptor de frecuencia."," ",IF(D10="","",VLOOKUP(D10,[14]Datos!$G$8:$J$12,2,FALSE)))</f>
        <v>5</v>
      </c>
      <c r="F10" s="883" t="str">
        <f>IF(D10="Selecciona un descriptor de frecuencia."," ",IF(D10="","",VLOOKUP(D10,[14]Datos!$G$8:$J$12,3,FALSE)))</f>
        <v>Casi Seguro</v>
      </c>
      <c r="G10" s="882" t="s">
        <v>226</v>
      </c>
      <c r="H10" s="884">
        <f>IF(G10="","",VLOOKUP(G10,[14]Datos!$K$8:$L$12,2,FALSE))</f>
        <v>2</v>
      </c>
      <c r="I10" s="900" t="str">
        <f>IF(D10="Selecciona un descriptor de frecuencia."," ",IF(G10="Selecciona un descriptor de impacto."," ",IF(E10+H10=" ","",IF(E10="","",VLOOKUP(E10,[14]Datos!$U$8:$Z$12,MATCH(H10,[14]Datos!$V$7:$Z$7,0)+1,FALSE)))))</f>
        <v>ALTO</v>
      </c>
      <c r="J10" s="819" t="s">
        <v>122</v>
      </c>
      <c r="K10" s="853" t="s">
        <v>1137</v>
      </c>
      <c r="L10" s="853" t="s">
        <v>1137</v>
      </c>
      <c r="M10" s="820">
        <f>[14]Controles!T12</f>
        <v>0</v>
      </c>
      <c r="N10" s="820" t="str">
        <f>[14]Controles!AB12</f>
        <v>SI</v>
      </c>
      <c r="O10" s="547">
        <f>[14]Controles!W12</f>
        <v>0</v>
      </c>
      <c r="P10" s="547">
        <f>[14]Controles!X12</f>
        <v>0</v>
      </c>
      <c r="Q10" s="852">
        <f t="shared" si="0"/>
        <v>0</v>
      </c>
      <c r="R10" s="852">
        <f t="shared" si="0"/>
        <v>0</v>
      </c>
      <c r="S10" s="850">
        <f t="shared" si="1"/>
        <v>5</v>
      </c>
      <c r="T10" s="850">
        <f t="shared" si="2"/>
        <v>2</v>
      </c>
      <c r="U10" s="547" t="str">
        <f>IF(D10="Selecciona un descriptor de frecuencia."," ",VLOOKUP(S10,[14]Datos!$H$8:$I$12,2,FALSE))</f>
        <v>Casi Seguro</v>
      </c>
      <c r="V10" s="547" t="str">
        <f>IF(G10="Selecciona un descriptor de impacto."," ",VLOOKUP(T10,[14]Datos!$L$8:$M$12,2,FALSE))</f>
        <v>Menor</v>
      </c>
      <c r="W10" s="849" t="str">
        <f>IF(S10=" "," ",VLOOKUP(S10,[14]Datos!$U$8:$Z$12,MATCH(T10,[14]Datos!$V$7:$Z$7,0)+1,FALSE))</f>
        <v>ALTO</v>
      </c>
      <c r="X10" s="819" t="s">
        <v>202</v>
      </c>
    </row>
    <row r="11" spans="1:24" s="780" customFormat="1" ht="191.25" customHeight="1" x14ac:dyDescent="0.2">
      <c r="A11" s="894">
        <f>'[14]Identificación del Riesgo TIC'!D13</f>
        <v>5</v>
      </c>
      <c r="B11" s="881" t="str">
        <f>'[14]Identificación del Riesgo TIC'!E13</f>
        <v>Prestar los servicios bajo condiciones no controladas</v>
      </c>
      <c r="C11" s="881" t="str">
        <f>'[14]Identificación del Riesgo TIC'!H13</f>
        <v>No se cuenta con procedimientos que estandaricen la gestión del proceso.
No se han establecido oficialmente los acuerdos de niveles de servicio.
No se han definido los Acuerdos Operacionales del Servicio en el proceso.</v>
      </c>
      <c r="D11" s="882" t="s">
        <v>181</v>
      </c>
      <c r="E11" s="883">
        <f>IF(D11="Selecciona un descriptor de frecuencia."," ",IF(D11="","",VLOOKUP(D11,[14]Datos!$G$8:$J$12,2,FALSE)))</f>
        <v>5</v>
      </c>
      <c r="F11" s="883" t="str">
        <f>IF(D11="Selecciona un descriptor de frecuencia."," ",IF(D11="","",VLOOKUP(D11,[14]Datos!$G$8:$J$12,3,FALSE)))</f>
        <v>Casi Seguro</v>
      </c>
      <c r="G11" s="882" t="s">
        <v>226</v>
      </c>
      <c r="H11" s="884">
        <f>IF(G11="","",VLOOKUP(G11,[14]Datos!$K$8:$L$12,2,FALSE))</f>
        <v>2</v>
      </c>
      <c r="I11" s="900" t="str">
        <f>IF(D11="Selecciona un descriptor de frecuencia."," ",IF(G11="Selecciona un descriptor de impacto."," ",IF(E11+H11=" ","",IF(E11="","",VLOOKUP(E11,[14]Datos!$U$8:$Z$12,MATCH(H11,[14]Datos!$V$7:$Z$7,0)+1,FALSE)))))</f>
        <v>ALTO</v>
      </c>
      <c r="J11" s="819" t="s">
        <v>122</v>
      </c>
      <c r="K11" s="853" t="s">
        <v>1140</v>
      </c>
      <c r="L11" s="707" t="s">
        <v>1141</v>
      </c>
      <c r="M11" s="820">
        <f>[14]Controles!T13</f>
        <v>100</v>
      </c>
      <c r="N11" s="820" t="str">
        <f>[14]Controles!AB13</f>
        <v>SI</v>
      </c>
      <c r="O11" s="547">
        <f>[14]Controles!W13</f>
        <v>0</v>
      </c>
      <c r="P11" s="547">
        <f>[14]Controles!X13</f>
        <v>0</v>
      </c>
      <c r="Q11" s="852">
        <f t="shared" si="0"/>
        <v>0</v>
      </c>
      <c r="R11" s="852">
        <f t="shared" si="0"/>
        <v>0</v>
      </c>
      <c r="S11" s="850">
        <f t="shared" si="1"/>
        <v>5</v>
      </c>
      <c r="T11" s="850">
        <f t="shared" si="2"/>
        <v>2</v>
      </c>
      <c r="U11" s="547" t="str">
        <f>IF(D11="Selecciona un descriptor de frecuencia."," ",VLOOKUP(S11,[14]Datos!$H$8:$I$12,2,FALSE))</f>
        <v>Casi Seguro</v>
      </c>
      <c r="V11" s="547" t="str">
        <f>IF(G11="Selecciona un descriptor de impacto."," ",VLOOKUP(T11,[14]Datos!$L$8:$M$12,2,FALSE))</f>
        <v>Menor</v>
      </c>
      <c r="W11" s="849" t="str">
        <f>IF(S11=" "," ",VLOOKUP(S11,[14]Datos!$U$8:$Z$12,MATCH(T11,[14]Datos!$V$7:$Z$7,0)+1,FALSE))</f>
        <v>ALTO</v>
      </c>
      <c r="X11" s="819" t="s">
        <v>202</v>
      </c>
    </row>
    <row r="12" spans="1:24" s="780" customFormat="1" ht="227.25" customHeight="1" x14ac:dyDescent="0.2">
      <c r="A12" s="880">
        <f>'[14]Identificación del Riesgo TIC'!D14</f>
        <v>6</v>
      </c>
      <c r="B12" s="881" t="str">
        <f>'[14]Identificación del Riesgo TIC'!E14</f>
        <v xml:space="preserve">Indisponibilidad de servicios de TI de la entidad. </v>
      </c>
      <c r="C12" s="881" t="str">
        <f>'[14]Identificación del Riesgo TIC'!H14</f>
        <v>Obsolescencia de la infraestructura tecnológica de la entidad.
No contar con el servicio de soporte y mantenimiento de las soluciones de TI
No se planifican adecuadamente los cambios en ítems de configuración de la infraestructura tecnológica a implementar. 
Ocurrencia de situaciones externas que afectan la continuidad de la prestación servicio</v>
      </c>
      <c r="D12" s="882" t="s">
        <v>196</v>
      </c>
      <c r="E12" s="883">
        <f>IF(D12="Selecciona un descriptor de frecuencia."," ",IF(D12="","",VLOOKUP(D12,[14]Datos!$G$8:$J$12,2,FALSE)))</f>
        <v>4</v>
      </c>
      <c r="F12" s="883" t="str">
        <f>IF(D12="Selecciona un descriptor de frecuencia."," ",IF(D12="","",VLOOKUP(D12,[14]Datos!$G$8:$J$12,3,FALSE)))</f>
        <v>Probable</v>
      </c>
      <c r="G12" s="882" t="s">
        <v>199</v>
      </c>
      <c r="H12" s="884">
        <f>IF(G12="","",VLOOKUP(G12,[14]Datos!$K$8:$L$12,2,FALSE))</f>
        <v>4</v>
      </c>
      <c r="I12" s="900" t="str">
        <f>IF(D12="Selecciona un descriptor de frecuencia."," ",IF(G12="Selecciona un descriptor de impacto."," ",IF(E12+H12=" ","",IF(E12="","",VLOOKUP(E12,[14]Datos!$U$8:$Z$12,MATCH(H12,[14]Datos!$V$7:$Z$7,0)+1,FALSE)))))</f>
        <v>EXTREMO</v>
      </c>
      <c r="J12" s="819"/>
      <c r="K12" s="853" t="s">
        <v>1137</v>
      </c>
      <c r="L12" s="853" t="s">
        <v>1137</v>
      </c>
      <c r="M12" s="820">
        <f>[14]Controles!T14</f>
        <v>0</v>
      </c>
      <c r="N12" s="820" t="str">
        <f>[14]Controles!AB14</f>
        <v>SI</v>
      </c>
      <c r="O12" s="547">
        <f>[14]Controles!W14</f>
        <v>0</v>
      </c>
      <c r="P12" s="547">
        <f>[14]Controles!X14</f>
        <v>0</v>
      </c>
      <c r="Q12" s="852">
        <f t="shared" si="0"/>
        <v>0</v>
      </c>
      <c r="R12" s="852">
        <f t="shared" si="0"/>
        <v>0</v>
      </c>
      <c r="S12" s="850">
        <f t="shared" si="1"/>
        <v>4</v>
      </c>
      <c r="T12" s="850">
        <f t="shared" si="2"/>
        <v>4</v>
      </c>
      <c r="U12" s="547" t="str">
        <f>IF(D12="Selecciona un descriptor de frecuencia."," ",VLOOKUP(S12,[14]Datos!$H$8:$I$12,2,FALSE))</f>
        <v>Probable</v>
      </c>
      <c r="V12" s="547" t="str">
        <f>IF(G12="Selecciona un descriptor de impacto."," ",VLOOKUP(T12,[14]Datos!$L$8:$M$12,2,FALSE))</f>
        <v>Mayor</v>
      </c>
      <c r="W12" s="849" t="str">
        <f>IF(S12=" "," ",VLOOKUP(S12,[14]Datos!$U$8:$Z$12,MATCH(T12,[14]Datos!$V$7:$Z$7,0)+1,FALSE))</f>
        <v>EXTREMO</v>
      </c>
      <c r="X12" s="819" t="s">
        <v>202</v>
      </c>
    </row>
    <row r="13" spans="1:24" s="780" customFormat="1" ht="123.75" customHeight="1" x14ac:dyDescent="0.2">
      <c r="A13" s="880">
        <f>'[14]Identificación del Riesgo TIC'!D15</f>
        <v>7</v>
      </c>
      <c r="B13" s="881" t="str">
        <f>'[14]Identificación del Riesgo TIC'!E15</f>
        <v>Otorgar privilegios o permisos para acceso a sistemas e información a particulares.</v>
      </c>
      <c r="C13" s="881" t="str">
        <f>'[14]Identificación del Riesgo TIC'!H15</f>
        <v>No se han definido ni estandarizado los responsables sobre los privilegios y permisos.
No se ajustan los permisos a los servidores públicos cuando se realizan cambios de estos en las dependencias o cuando se presentan novedades.
No se han planificado las interacciones con el proceso de gestión de Talento Humano cuando se presentan novedades de nómina.</v>
      </c>
      <c r="D13" s="882" t="s">
        <v>236</v>
      </c>
      <c r="E13" s="883">
        <f>IF(D13="Selecciona un descriptor de frecuencia."," ",IF(D13="","",VLOOKUP(D13,[14]Datos!$G$8:$J$12,2,FALSE)))</f>
        <v>1</v>
      </c>
      <c r="F13" s="883" t="str">
        <f>IF(D13="Selecciona un descriptor de frecuencia."," ",IF(D13="","",VLOOKUP(D13,[14]Datos!$G$8:$J$12,3,FALSE)))</f>
        <v>Rara vez</v>
      </c>
      <c r="G13" s="882" t="s">
        <v>184</v>
      </c>
      <c r="H13" s="884">
        <f>IF(G13="","",VLOOKUP(G13,[14]Datos!$K$8:$L$12,2,FALSE))</f>
        <v>5</v>
      </c>
      <c r="I13" s="900" t="str">
        <f>IF(D13="Selecciona un descriptor de frecuencia."," ",IF(G13="Selecciona un descriptor de impacto."," ",IF(E13+H13=" ","",IF(E13="","",VLOOKUP(E13,[14]Datos!$U$8:$Z$12,MATCH(H13,[14]Datos!$V$7:$Z$7,0)+1,FALSE)))))</f>
        <v>EXTREMO</v>
      </c>
      <c r="J13" s="819"/>
      <c r="K13" s="853" t="s">
        <v>1137</v>
      </c>
      <c r="L13" s="853" t="s">
        <v>1137</v>
      </c>
      <c r="M13" s="820">
        <f>[14]Controles!T15</f>
        <v>0</v>
      </c>
      <c r="N13" s="820" t="str">
        <f>[14]Controles!AB15</f>
        <v>SI</v>
      </c>
      <c r="O13" s="547">
        <f>[14]Controles!W15</f>
        <v>0</v>
      </c>
      <c r="P13" s="547">
        <f>[14]Controles!X15</f>
        <v>0</v>
      </c>
      <c r="Q13" s="852">
        <f t="shared" si="0"/>
        <v>0</v>
      </c>
      <c r="R13" s="852">
        <f t="shared" si="0"/>
        <v>0</v>
      </c>
      <c r="S13" s="850">
        <f t="shared" si="1"/>
        <v>1</v>
      </c>
      <c r="T13" s="850">
        <f t="shared" si="2"/>
        <v>5</v>
      </c>
      <c r="U13" s="547" t="str">
        <f>IF(D13="Selecciona un descriptor de frecuencia."," ",VLOOKUP(S13,[14]Datos!$H$8:$I$12,2,FALSE))</f>
        <v>Rara vez</v>
      </c>
      <c r="V13" s="547" t="str">
        <f>IF(G13="Selecciona un descriptor de impacto."," ",VLOOKUP(T13,[14]Datos!$L$8:$M$12,2,FALSE))</f>
        <v>Catastrófico</v>
      </c>
      <c r="W13" s="849" t="str">
        <f>IF(S13=" "," ",VLOOKUP(S13,[14]Datos!$U$8:$Z$12,MATCH(T13,[14]Datos!$V$7:$Z$7,0)+1,FALSE))</f>
        <v>EXTREMO</v>
      </c>
      <c r="X13" s="819" t="s">
        <v>202</v>
      </c>
    </row>
  </sheetData>
  <mergeCells count="7">
    <mergeCell ref="A1:C4"/>
    <mergeCell ref="D1:W4"/>
    <mergeCell ref="X1:X2"/>
    <mergeCell ref="X3:X4"/>
    <mergeCell ref="A5:I5"/>
    <mergeCell ref="K5:P5"/>
    <mergeCell ref="Q5:X5"/>
  </mergeCells>
  <conditionalFormatting sqref="I7:J13 W7:X13">
    <cfRule type="cellIs" dxfId="59" priority="1" operator="equal">
      <formula>"Extremo"</formula>
    </cfRule>
    <cfRule type="cellIs" dxfId="58" priority="2" operator="equal">
      <formula>"Moderado"</formula>
    </cfRule>
    <cfRule type="cellIs" dxfId="57" priority="3" operator="equal">
      <formula>"Bajo"</formula>
    </cfRule>
    <cfRule type="cellIs" dxfId="56" priority="4" operator="equal">
      <formula>"Alto"</formula>
    </cfRule>
  </conditionalFormatting>
  <dataValidations count="1">
    <dataValidation type="list" allowBlank="1" showInputMessage="1" showErrorMessage="1" sqref="J7:J13" xr:uid="{00000000-0002-0000-5800-000000000000}">
      <formula1>"SI,NO"</formula1>
    </dataValidation>
  </dataValidations>
  <pageMargins left="7.874015748031496E-2" right="7.874015748031496E-2" top="1.1417322834645669" bottom="0.15748031496062992" header="0.31496062992125984" footer="0.31496062992125984"/>
  <pageSetup scale="38" orientation="landscape" horizontalDpi="1200" verticalDpi="1200" r:id="rId1"/>
  <headerFooter>
    <oddHeader>&amp;L&amp;G&amp;C
&amp;"-,Negrita"Matriz de Riesgos</oddHeader>
  </headerFooter>
  <rowBreaks count="3" manualBreakCount="3">
    <brk id="8" max="16383" man="1"/>
    <brk id="10" max="16383" man="1"/>
    <brk id="12" max="16383" man="1"/>
  </rowBreaks>
  <colBreaks count="1" manualBreakCount="1">
    <brk id="16" max="1048575" man="1"/>
  </col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800-000001000000}">
          <x14:formula1>
            <xm:f>'C:\Users\sgomez.UPME\Documents\UPME 2020\Documents\Mapas de riesgos\[Mapa de Riesgos. Gestión de las TIC.xlsx]Datos'!#REF!</xm:f>
          </x14:formula1>
          <xm:sqref>G7:G13 X7:X13 D7:D13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BEAE25"/>
  </sheetPr>
  <dimension ref="C1:N1000"/>
  <sheetViews>
    <sheetView showGridLines="0" workbookViewId="0"/>
  </sheetViews>
  <sheetFormatPr baseColWidth="10" defaultColWidth="12.625" defaultRowHeight="15" customHeight="1" x14ac:dyDescent="0.2"/>
  <cols>
    <col min="1" max="3" width="9.375" customWidth="1"/>
    <col min="4" max="4" width="8.375" customWidth="1"/>
    <col min="5" max="10" width="9.375" customWidth="1"/>
    <col min="11" max="11" width="13.375" customWidth="1"/>
    <col min="12" max="12" width="9.375" customWidth="1"/>
    <col min="13" max="13" width="8.25" customWidth="1"/>
    <col min="14" max="26" width="9.375" customWidth="1"/>
  </cols>
  <sheetData>
    <row r="1" spans="3:14" ht="23.25" x14ac:dyDescent="0.2">
      <c r="J1" s="1078" t="s">
        <v>69</v>
      </c>
      <c r="K1" s="1037"/>
      <c r="L1" s="1037"/>
      <c r="M1" s="1037"/>
      <c r="N1" s="1041"/>
    </row>
    <row r="2" spans="3:14" x14ac:dyDescent="0.25">
      <c r="H2" s="60"/>
      <c r="I2" s="60"/>
      <c r="J2" s="61">
        <v>1</v>
      </c>
      <c r="K2" s="62">
        <v>2</v>
      </c>
      <c r="L2" s="62">
        <v>3</v>
      </c>
      <c r="M2" s="62">
        <v>4</v>
      </c>
      <c r="N2" s="63">
        <v>5</v>
      </c>
    </row>
    <row r="3" spans="3:14" ht="25.5" customHeight="1" x14ac:dyDescent="0.2">
      <c r="H3" s="1079" t="s">
        <v>68</v>
      </c>
      <c r="I3" s="64">
        <v>5</v>
      </c>
      <c r="J3" s="65" t="s">
        <v>149</v>
      </c>
      <c r="K3" s="66" t="s">
        <v>149</v>
      </c>
      <c r="L3" s="67" t="s">
        <v>150</v>
      </c>
      <c r="M3" s="67" t="s">
        <v>150</v>
      </c>
      <c r="N3" s="68" t="s">
        <v>150</v>
      </c>
    </row>
    <row r="4" spans="3:14" ht="25.5" customHeight="1" x14ac:dyDescent="0.2">
      <c r="H4" s="1043"/>
      <c r="I4" s="69">
        <v>4</v>
      </c>
      <c r="J4" s="70" t="s">
        <v>151</v>
      </c>
      <c r="K4" s="71" t="s">
        <v>149</v>
      </c>
      <c r="L4" s="71" t="s">
        <v>149</v>
      </c>
      <c r="M4" s="72" t="s">
        <v>150</v>
      </c>
      <c r="N4" s="73" t="s">
        <v>150</v>
      </c>
    </row>
    <row r="5" spans="3:14" ht="25.5" customHeight="1" x14ac:dyDescent="0.2">
      <c r="H5" s="1043"/>
      <c r="I5" s="69">
        <v>3</v>
      </c>
      <c r="J5" s="74" t="s">
        <v>152</v>
      </c>
      <c r="K5" s="75" t="s">
        <v>151</v>
      </c>
      <c r="L5" s="71" t="s">
        <v>149</v>
      </c>
      <c r="M5" s="72" t="s">
        <v>150</v>
      </c>
      <c r="N5" s="73" t="s">
        <v>150</v>
      </c>
    </row>
    <row r="6" spans="3:14" ht="25.5" customHeight="1" x14ac:dyDescent="0.2">
      <c r="H6" s="1043"/>
      <c r="I6" s="69">
        <v>2</v>
      </c>
      <c r="J6" s="74" t="s">
        <v>152</v>
      </c>
      <c r="K6" s="76" t="s">
        <v>152</v>
      </c>
      <c r="L6" s="75" t="s">
        <v>151</v>
      </c>
      <c r="M6" s="71" t="s">
        <v>149</v>
      </c>
      <c r="N6" s="73" t="s">
        <v>150</v>
      </c>
    </row>
    <row r="7" spans="3:14" ht="25.5" customHeight="1" x14ac:dyDescent="0.2">
      <c r="H7" s="1080"/>
      <c r="I7" s="77">
        <v>1</v>
      </c>
      <c r="J7" s="78" t="s">
        <v>152</v>
      </c>
      <c r="K7" s="79" t="s">
        <v>152</v>
      </c>
      <c r="L7" s="80" t="s">
        <v>151</v>
      </c>
      <c r="M7" s="81" t="s">
        <v>149</v>
      </c>
      <c r="N7" s="82" t="s">
        <v>150</v>
      </c>
    </row>
    <row r="10" spans="3:14" x14ac:dyDescent="0.25">
      <c r="C10" s="1081" t="s">
        <v>46</v>
      </c>
      <c r="D10" s="1037"/>
      <c r="E10" s="1037"/>
      <c r="F10" s="1037"/>
      <c r="G10" s="1037"/>
      <c r="H10" s="1037"/>
      <c r="I10" s="1037"/>
      <c r="J10" s="956"/>
      <c r="K10" s="83" t="s">
        <v>153</v>
      </c>
    </row>
    <row r="11" spans="3:14" ht="36" customHeight="1" x14ac:dyDescent="0.25">
      <c r="C11" s="1074" t="s">
        <v>154</v>
      </c>
      <c r="D11" s="951"/>
      <c r="E11" s="951"/>
      <c r="F11" s="951"/>
      <c r="G11" s="951"/>
      <c r="H11" s="951"/>
      <c r="I11" s="951"/>
      <c r="J11" s="952"/>
      <c r="K11" s="84" t="s">
        <v>155</v>
      </c>
    </row>
    <row r="12" spans="3:14" ht="34.5" customHeight="1" x14ac:dyDescent="0.25">
      <c r="C12" s="1074" t="s">
        <v>156</v>
      </c>
      <c r="D12" s="951"/>
      <c r="E12" s="951"/>
      <c r="F12" s="951"/>
      <c r="G12" s="951"/>
      <c r="H12" s="951"/>
      <c r="I12" s="951"/>
      <c r="J12" s="952"/>
      <c r="K12" s="84" t="s">
        <v>157</v>
      </c>
    </row>
    <row r="13" spans="3:14" ht="31.5" customHeight="1" x14ac:dyDescent="0.25">
      <c r="C13" s="1074" t="s">
        <v>158</v>
      </c>
      <c r="D13" s="951"/>
      <c r="E13" s="951"/>
      <c r="F13" s="951"/>
      <c r="G13" s="951"/>
      <c r="H13" s="951"/>
      <c r="I13" s="951"/>
      <c r="J13" s="952"/>
      <c r="K13" s="84" t="s">
        <v>159</v>
      </c>
    </row>
    <row r="14" spans="3:14" ht="30.75" customHeight="1" x14ac:dyDescent="0.25">
      <c r="C14" s="1075" t="s">
        <v>160</v>
      </c>
      <c r="D14" s="1076"/>
      <c r="E14" s="1076"/>
      <c r="F14" s="1076"/>
      <c r="G14" s="1076"/>
      <c r="H14" s="1076"/>
      <c r="I14" s="1076"/>
      <c r="J14" s="1077"/>
      <c r="K14" s="85" t="s">
        <v>157</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7">
    <mergeCell ref="C13:J13"/>
    <mergeCell ref="C14:J14"/>
    <mergeCell ref="J1:N1"/>
    <mergeCell ref="H3:H7"/>
    <mergeCell ref="C10:J10"/>
    <mergeCell ref="C11:J11"/>
    <mergeCell ref="C12:J12"/>
  </mergeCells>
  <conditionalFormatting sqref="L3:N3 K6:L6 N6 K5 M4:N5">
    <cfRule type="cellIs" dxfId="423" priority="1" operator="equal">
      <formula>"Extremo"</formula>
    </cfRule>
  </conditionalFormatting>
  <conditionalFormatting sqref="L3:N3 K6:L6 N6 K5 M4:N5">
    <cfRule type="cellIs" dxfId="422" priority="2" operator="equal">
      <formula>"Moderado"</formula>
    </cfRule>
  </conditionalFormatting>
  <conditionalFormatting sqref="L3:N3 K6:L6 N6 K5 M4:N5">
    <cfRule type="cellIs" dxfId="421" priority="3" operator="equal">
      <formula>"Bajo"</formula>
    </cfRule>
  </conditionalFormatting>
  <conditionalFormatting sqref="L3:N3 K6:L6 N6 K5 M4:N5">
    <cfRule type="cellIs" dxfId="420" priority="4" operator="equal">
      <formula>"Alto"</formula>
    </cfRule>
  </conditionalFormatting>
  <conditionalFormatting sqref="K7:N7">
    <cfRule type="cellIs" dxfId="419" priority="5" operator="equal">
      <formula>"Extremo"</formula>
    </cfRule>
  </conditionalFormatting>
  <conditionalFormatting sqref="K7:N7">
    <cfRule type="cellIs" dxfId="418" priority="6" operator="equal">
      <formula>"Moderado"</formula>
    </cfRule>
  </conditionalFormatting>
  <conditionalFormatting sqref="K7:N7">
    <cfRule type="cellIs" dxfId="417" priority="7" operator="equal">
      <formula>"Bajo"</formula>
    </cfRule>
  </conditionalFormatting>
  <conditionalFormatting sqref="K7:N7">
    <cfRule type="cellIs" dxfId="416" priority="8" operator="equal">
      <formula>"Alto"</formula>
    </cfRule>
  </conditionalFormatting>
  <conditionalFormatting sqref="K3">
    <cfRule type="cellIs" dxfId="415" priority="9" operator="equal">
      <formula>"Extremo"</formula>
    </cfRule>
  </conditionalFormatting>
  <conditionalFormatting sqref="K3">
    <cfRule type="cellIs" dxfId="414" priority="10" operator="equal">
      <formula>"Moderado"</formula>
    </cfRule>
  </conditionalFormatting>
  <conditionalFormatting sqref="K3">
    <cfRule type="cellIs" dxfId="413" priority="11" operator="equal">
      <formula>"Bajo"</formula>
    </cfRule>
  </conditionalFormatting>
  <conditionalFormatting sqref="K3">
    <cfRule type="cellIs" dxfId="412" priority="12" operator="equal">
      <formula>"Alto"</formula>
    </cfRule>
  </conditionalFormatting>
  <conditionalFormatting sqref="M6">
    <cfRule type="cellIs" dxfId="411" priority="13" operator="equal">
      <formula>"Extremo"</formula>
    </cfRule>
  </conditionalFormatting>
  <conditionalFormatting sqref="M6">
    <cfRule type="cellIs" dxfId="410" priority="14" operator="equal">
      <formula>"Moderado"</formula>
    </cfRule>
  </conditionalFormatting>
  <conditionalFormatting sqref="M6">
    <cfRule type="cellIs" dxfId="409" priority="15" operator="equal">
      <formula>"Bajo"</formula>
    </cfRule>
  </conditionalFormatting>
  <conditionalFormatting sqref="M6">
    <cfRule type="cellIs" dxfId="408" priority="16" operator="equal">
      <formula>"Alto"</formula>
    </cfRule>
  </conditionalFormatting>
  <conditionalFormatting sqref="J7">
    <cfRule type="cellIs" dxfId="407" priority="17" operator="equal">
      <formula>"Extremo"</formula>
    </cfRule>
  </conditionalFormatting>
  <conditionalFormatting sqref="J7">
    <cfRule type="cellIs" dxfId="406" priority="18" operator="equal">
      <formula>"Moderado"</formula>
    </cfRule>
  </conditionalFormatting>
  <conditionalFormatting sqref="J7">
    <cfRule type="cellIs" dxfId="405" priority="19" operator="equal">
      <formula>"Bajo"</formula>
    </cfRule>
  </conditionalFormatting>
  <conditionalFormatting sqref="J7">
    <cfRule type="cellIs" dxfId="404" priority="20" operator="equal">
      <formula>"Alto"</formula>
    </cfRule>
  </conditionalFormatting>
  <conditionalFormatting sqref="L5">
    <cfRule type="cellIs" dxfId="403" priority="21" operator="equal">
      <formula>"Extremo"</formula>
    </cfRule>
  </conditionalFormatting>
  <conditionalFormatting sqref="L5">
    <cfRule type="cellIs" dxfId="402" priority="22" operator="equal">
      <formula>"Moderado"</formula>
    </cfRule>
  </conditionalFormatting>
  <conditionalFormatting sqref="L5">
    <cfRule type="cellIs" dxfId="401" priority="23" operator="equal">
      <formula>"Bajo"</formula>
    </cfRule>
  </conditionalFormatting>
  <conditionalFormatting sqref="L5">
    <cfRule type="cellIs" dxfId="400" priority="24" operator="equal">
      <formula>"Alto"</formula>
    </cfRule>
  </conditionalFormatting>
  <conditionalFormatting sqref="L4">
    <cfRule type="cellIs" dxfId="399" priority="25" operator="equal">
      <formula>"Extremo"</formula>
    </cfRule>
  </conditionalFormatting>
  <conditionalFormatting sqref="L4">
    <cfRule type="cellIs" dxfId="398" priority="26" operator="equal">
      <formula>"Moderado"</formula>
    </cfRule>
  </conditionalFormatting>
  <conditionalFormatting sqref="L4">
    <cfRule type="cellIs" dxfId="397" priority="27" operator="equal">
      <formula>"Bajo"</formula>
    </cfRule>
  </conditionalFormatting>
  <conditionalFormatting sqref="L4">
    <cfRule type="cellIs" dxfId="396" priority="28" operator="equal">
      <formula>"Alto"</formula>
    </cfRule>
  </conditionalFormatting>
  <conditionalFormatting sqref="K4">
    <cfRule type="cellIs" dxfId="395" priority="29" operator="equal">
      <formula>"Extremo"</formula>
    </cfRule>
  </conditionalFormatting>
  <conditionalFormatting sqref="K4">
    <cfRule type="cellIs" dxfId="394" priority="30" operator="equal">
      <formula>"Moderado"</formula>
    </cfRule>
  </conditionalFormatting>
  <conditionalFormatting sqref="K4">
    <cfRule type="cellIs" dxfId="393" priority="31" operator="equal">
      <formula>"Bajo"</formula>
    </cfRule>
  </conditionalFormatting>
  <conditionalFormatting sqref="K4">
    <cfRule type="cellIs" dxfId="392" priority="32" operator="equal">
      <formula>"Alto"</formula>
    </cfRule>
  </conditionalFormatting>
  <conditionalFormatting sqref="J3">
    <cfRule type="cellIs" dxfId="391" priority="33" operator="equal">
      <formula>"Extremo"</formula>
    </cfRule>
  </conditionalFormatting>
  <conditionalFormatting sqref="J3">
    <cfRule type="cellIs" dxfId="390" priority="34" operator="equal">
      <formula>"Moderado"</formula>
    </cfRule>
  </conditionalFormatting>
  <conditionalFormatting sqref="J3">
    <cfRule type="cellIs" dxfId="389" priority="35" operator="equal">
      <formula>"Bajo"</formula>
    </cfRule>
  </conditionalFormatting>
  <conditionalFormatting sqref="J3">
    <cfRule type="cellIs" dxfId="388" priority="36" operator="equal">
      <formula>"Alto"</formula>
    </cfRule>
  </conditionalFormatting>
  <conditionalFormatting sqref="J4">
    <cfRule type="cellIs" dxfId="387" priority="37" operator="equal">
      <formula>"Extremo"</formula>
    </cfRule>
  </conditionalFormatting>
  <conditionalFormatting sqref="J4">
    <cfRule type="cellIs" dxfId="386" priority="38" operator="equal">
      <formula>"Moderado"</formula>
    </cfRule>
  </conditionalFormatting>
  <conditionalFormatting sqref="J4">
    <cfRule type="cellIs" dxfId="385" priority="39" operator="equal">
      <formula>"Bajo"</formula>
    </cfRule>
  </conditionalFormatting>
  <conditionalFormatting sqref="J4">
    <cfRule type="cellIs" dxfId="384" priority="40" operator="equal">
      <formula>"Alto"</formula>
    </cfRule>
  </conditionalFormatting>
  <conditionalFormatting sqref="J5">
    <cfRule type="cellIs" dxfId="383" priority="41" operator="equal">
      <formula>"Extremo"</formula>
    </cfRule>
  </conditionalFormatting>
  <conditionalFormatting sqref="J5">
    <cfRule type="cellIs" dxfId="382" priority="42" operator="equal">
      <formula>"Moderado"</formula>
    </cfRule>
  </conditionalFormatting>
  <conditionalFormatting sqref="J5">
    <cfRule type="cellIs" dxfId="381" priority="43" operator="equal">
      <formula>"Bajo"</formula>
    </cfRule>
  </conditionalFormatting>
  <conditionalFormatting sqref="J5">
    <cfRule type="cellIs" dxfId="380" priority="44" operator="equal">
      <formula>"Alto"</formula>
    </cfRule>
  </conditionalFormatting>
  <conditionalFormatting sqref="J6">
    <cfRule type="cellIs" dxfId="379" priority="45" operator="equal">
      <formula>"Extremo"</formula>
    </cfRule>
  </conditionalFormatting>
  <conditionalFormatting sqref="J6">
    <cfRule type="cellIs" dxfId="378" priority="46" operator="equal">
      <formula>"Moderado"</formula>
    </cfRule>
  </conditionalFormatting>
  <conditionalFormatting sqref="J6">
    <cfRule type="cellIs" dxfId="377" priority="47" operator="equal">
      <formula>"Bajo"</formula>
    </cfRule>
  </conditionalFormatting>
  <conditionalFormatting sqref="J6">
    <cfRule type="cellIs" dxfId="376" priority="48" operator="equal">
      <formula>"Alto"</formula>
    </cfRule>
  </conditionalFormatting>
  <pageMargins left="0.7" right="0.7" top="0.75" bottom="0.75" header="0" footer="0"/>
  <pageSetup orientation="landscape" r:id="rId1"/>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BEAE25"/>
  </sheetPr>
  <dimension ref="A1:X16"/>
  <sheetViews>
    <sheetView showGridLines="0" view="pageBreakPreview" zoomScale="115" zoomScaleNormal="100" zoomScaleSheetLayoutView="115" workbookViewId="0">
      <pane ySplit="6" topLeftCell="A12" activePane="bottomLeft" state="frozen"/>
      <selection pane="bottomLeft" activeCell="F12" sqref="F12"/>
    </sheetView>
  </sheetViews>
  <sheetFormatPr baseColWidth="10" defaultRowHeight="15" x14ac:dyDescent="0.25"/>
  <cols>
    <col min="1" max="1" width="5.625" style="743" customWidth="1"/>
    <col min="2" max="2" width="21.625" style="743" customWidth="1"/>
    <col min="3" max="3" width="15.75" style="743" customWidth="1"/>
    <col min="4" max="4" width="17.875" style="743" customWidth="1"/>
    <col min="5" max="11" width="16.625" style="743" customWidth="1"/>
    <col min="12" max="12" width="21.375" style="743" customWidth="1"/>
    <col min="13" max="14" width="16.625" style="743" customWidth="1"/>
    <col min="15" max="15" width="18.5" style="743" customWidth="1"/>
    <col min="16" max="16" width="16.625" style="743" customWidth="1"/>
    <col min="17" max="23" width="13.75" style="743" customWidth="1"/>
    <col min="24" max="24" width="9.125" style="746" bestFit="1" customWidth="1"/>
    <col min="25" max="26" width="25.625" style="743" customWidth="1"/>
    <col min="27" max="16384" width="11" style="743"/>
  </cols>
  <sheetData>
    <row r="1" spans="1:24" ht="15" customHeight="1" x14ac:dyDescent="0.25">
      <c r="A1" s="1610"/>
      <c r="B1" s="1611"/>
      <c r="C1" s="1611"/>
      <c r="D1" s="1612"/>
      <c r="E1" s="1615" t="s">
        <v>0</v>
      </c>
      <c r="F1" s="1616"/>
      <c r="G1" s="1616"/>
      <c r="H1" s="1616"/>
      <c r="I1" s="1616"/>
      <c r="J1" s="1616"/>
      <c r="K1" s="1616"/>
      <c r="L1" s="1616"/>
      <c r="M1" s="1616"/>
      <c r="N1" s="1616"/>
      <c r="O1" s="1616"/>
      <c r="P1" s="1616"/>
      <c r="Q1" s="1616"/>
      <c r="R1" s="1616"/>
      <c r="S1" s="1616"/>
      <c r="T1" s="1617"/>
      <c r="U1" s="1621" t="s">
        <v>98</v>
      </c>
      <c r="V1" s="1622"/>
      <c r="W1" s="1622"/>
      <c r="X1" s="1623"/>
    </row>
    <row r="2" spans="1:24" ht="15" customHeight="1" x14ac:dyDescent="0.25">
      <c r="A2" s="1613"/>
      <c r="B2" s="1614"/>
      <c r="C2" s="1614"/>
      <c r="D2" s="1568"/>
      <c r="E2" s="1618"/>
      <c r="F2" s="1619"/>
      <c r="G2" s="1619"/>
      <c r="H2" s="1619"/>
      <c r="I2" s="1619"/>
      <c r="J2" s="1619"/>
      <c r="K2" s="1619"/>
      <c r="L2" s="1619"/>
      <c r="M2" s="1619"/>
      <c r="N2" s="1619"/>
      <c r="O2" s="1619"/>
      <c r="P2" s="1619"/>
      <c r="Q2" s="1619"/>
      <c r="R2" s="1619"/>
      <c r="S2" s="1619"/>
      <c r="T2" s="1620"/>
      <c r="U2" s="1624"/>
      <c r="V2" s="1625"/>
      <c r="W2" s="1625"/>
      <c r="X2" s="1626"/>
    </row>
    <row r="3" spans="1:24" ht="15" customHeight="1" x14ac:dyDescent="0.25">
      <c r="A3" s="1613"/>
      <c r="B3" s="1614"/>
      <c r="C3" s="1614"/>
      <c r="D3" s="1568"/>
      <c r="E3" s="1618"/>
      <c r="F3" s="1619"/>
      <c r="G3" s="1619"/>
      <c r="H3" s="1619"/>
      <c r="I3" s="1619"/>
      <c r="J3" s="1619"/>
      <c r="K3" s="1619"/>
      <c r="L3" s="1619"/>
      <c r="M3" s="1619"/>
      <c r="N3" s="1619"/>
      <c r="O3" s="1619"/>
      <c r="P3" s="1619"/>
      <c r="Q3" s="1619"/>
      <c r="R3" s="1619"/>
      <c r="S3" s="1619"/>
      <c r="T3" s="1620"/>
      <c r="U3" s="1621" t="s">
        <v>367</v>
      </c>
      <c r="V3" s="1622"/>
      <c r="W3" s="1622"/>
      <c r="X3" s="1622"/>
    </row>
    <row r="4" spans="1:24" ht="15" customHeight="1" x14ac:dyDescent="0.25">
      <c r="A4" s="1613"/>
      <c r="B4" s="1614"/>
      <c r="C4" s="1614"/>
      <c r="D4" s="1568"/>
      <c r="E4" s="1618"/>
      <c r="F4" s="1619"/>
      <c r="G4" s="1619"/>
      <c r="H4" s="1619"/>
      <c r="I4" s="1619"/>
      <c r="J4" s="1619"/>
      <c r="K4" s="1619"/>
      <c r="L4" s="1619"/>
      <c r="M4" s="1619"/>
      <c r="N4" s="1619"/>
      <c r="O4" s="1619"/>
      <c r="P4" s="1619"/>
      <c r="Q4" s="1619"/>
      <c r="R4" s="1619"/>
      <c r="S4" s="1619"/>
      <c r="T4" s="1620"/>
      <c r="U4" s="1627"/>
      <c r="V4" s="1628"/>
      <c r="W4" s="1628"/>
      <c r="X4" s="1628"/>
    </row>
    <row r="5" spans="1:24" ht="15" customHeight="1" x14ac:dyDescent="0.25">
      <c r="A5" s="1560" t="s">
        <v>100</v>
      </c>
      <c r="B5" s="1560"/>
      <c r="C5" s="1560"/>
      <c r="D5" s="1629"/>
      <c r="E5" s="1591" t="s">
        <v>101</v>
      </c>
      <c r="F5" s="1592"/>
      <c r="G5" s="1592"/>
      <c r="H5" s="1592"/>
      <c r="I5" s="1592"/>
      <c r="J5" s="1592"/>
      <c r="K5" s="1592"/>
      <c r="L5" s="1592"/>
      <c r="M5" s="1592"/>
      <c r="N5" s="1592"/>
      <c r="O5" s="1592"/>
      <c r="P5" s="1592"/>
      <c r="Q5" s="1592"/>
      <c r="R5" s="1592"/>
      <c r="S5" s="1592"/>
      <c r="T5" s="1592"/>
      <c r="U5" s="1592"/>
      <c r="V5" s="1592"/>
      <c r="W5" s="1592"/>
      <c r="X5" s="1593"/>
    </row>
    <row r="6" spans="1:24" s="804" customFormat="1" ht="114.75" customHeight="1" x14ac:dyDescent="0.2">
      <c r="A6" s="749" t="s">
        <v>44</v>
      </c>
      <c r="B6" s="803" t="s">
        <v>64</v>
      </c>
      <c r="C6" s="803" t="s">
        <v>70</v>
      </c>
      <c r="D6" s="803" t="s">
        <v>69</v>
      </c>
      <c r="E6" s="749" t="s">
        <v>102</v>
      </c>
      <c r="F6" s="749" t="s">
        <v>103</v>
      </c>
      <c r="G6" s="749" t="s">
        <v>104</v>
      </c>
      <c r="H6" s="749" t="s">
        <v>105</v>
      </c>
      <c r="I6" s="803" t="s">
        <v>106</v>
      </c>
      <c r="J6" s="803" t="s">
        <v>107</v>
      </c>
      <c r="K6" s="803" t="s">
        <v>108</v>
      </c>
      <c r="L6" s="803" t="s">
        <v>793</v>
      </c>
      <c r="M6" s="803" t="s">
        <v>110</v>
      </c>
      <c r="N6" s="803" t="s">
        <v>111</v>
      </c>
      <c r="O6" s="803" t="s">
        <v>112</v>
      </c>
      <c r="P6" s="803" t="s">
        <v>113</v>
      </c>
      <c r="Q6" s="803" t="s">
        <v>114</v>
      </c>
      <c r="R6" s="803" t="s">
        <v>115</v>
      </c>
      <c r="S6" s="803" t="s">
        <v>116</v>
      </c>
      <c r="T6" s="803" t="s">
        <v>117</v>
      </c>
      <c r="U6" s="803" t="s">
        <v>118</v>
      </c>
      <c r="V6" s="803" t="s">
        <v>119</v>
      </c>
      <c r="W6" s="803" t="s">
        <v>120</v>
      </c>
      <c r="X6" s="803" t="s">
        <v>121</v>
      </c>
    </row>
    <row r="7" spans="1:24" s="809" customFormat="1" ht="111" customHeight="1" x14ac:dyDescent="0.2">
      <c r="A7" s="805">
        <f>'[14]Identificación del Riesgo TIC'!D9</f>
        <v>1</v>
      </c>
      <c r="B7" s="805" t="str">
        <f>'[14]Identificación del Riesgo TIC'!E9</f>
        <v xml:space="preserve">Indisponibilidad de servicios críticos de la entidad </v>
      </c>
      <c r="C7" s="756" t="str">
        <f>IF(D7="PENDIENTE EVALUAR EL IMPACTO","PENDIENTE EVALUAR EL IMPACTO COLUMNAS H-W",VLOOKUP(D7,[14]Datos!$K$8:$L$12,2,FALSE))</f>
        <v>PENDIENTE EVALUAR EL IMPACTO COLUMNAS H-W</v>
      </c>
      <c r="D7" s="756" t="str">
        <f>IF(X7=0,"PENDIENTE EVALUAR EL IMPACTO",IF(X7&lt;=5,"MODERADO",IF(X7&lt;=11,"MAYOR","CATASTRÓFICO")))</f>
        <v>PENDIENTE EVALUAR EL IMPACTO</v>
      </c>
      <c r="E7" s="806"/>
      <c r="F7" s="806"/>
      <c r="G7" s="806"/>
      <c r="H7" s="806"/>
      <c r="I7" s="807"/>
      <c r="J7" s="807"/>
      <c r="K7" s="807"/>
      <c r="L7" s="807"/>
      <c r="M7" s="807"/>
      <c r="N7" s="807"/>
      <c r="O7" s="807"/>
      <c r="P7" s="807"/>
      <c r="Q7" s="807"/>
      <c r="R7" s="807"/>
      <c r="S7" s="807"/>
      <c r="T7" s="807"/>
      <c r="U7" s="807"/>
      <c r="V7" s="807"/>
      <c r="W7" s="807"/>
      <c r="X7" s="808">
        <f>COUNTIF(E7:W7,"SI")</f>
        <v>0</v>
      </c>
    </row>
    <row r="8" spans="1:24" ht="84.75" customHeight="1" x14ac:dyDescent="0.25">
      <c r="A8" s="805">
        <f>'[14]Identificación del Riesgo TIC'!D10</f>
        <v>2</v>
      </c>
      <c r="B8" s="805" t="str">
        <f>'[14]Identificación del Riesgo TIC'!E10</f>
        <v>Reprocesos en la implementación de los proyectos de la entidad que aplican componentes de tecnología</v>
      </c>
      <c r="C8" s="756">
        <f>IF(D8="PENDIENTE EVALUAR EL IMPACTO","PENDIENTE EVALUAR EL IMPACTO COLUMNAS H-W",VLOOKUP(D8,[14]Datos!$K$8:$L$12,2,FALSE))</f>
        <v>4</v>
      </c>
      <c r="D8" s="805" t="str">
        <f>IF(X8=0,"PENDIENTE EVALUAR EL IMPACTO",IF(X8&lt;=5,"MODERADO",IF(X8&lt;=11,"MAYOR","CATASTRÓFICO")))</f>
        <v>MAYOR</v>
      </c>
      <c r="E8" s="810" t="s">
        <v>122</v>
      </c>
      <c r="F8" s="810" t="s">
        <v>122</v>
      </c>
      <c r="G8" s="810" t="s">
        <v>122</v>
      </c>
      <c r="H8" s="810"/>
      <c r="I8" s="754" t="s">
        <v>122</v>
      </c>
      <c r="J8" s="754"/>
      <c r="K8" s="754"/>
      <c r="L8" s="754" t="s">
        <v>122</v>
      </c>
      <c r="M8" s="754" t="s">
        <v>122</v>
      </c>
      <c r="N8" s="754"/>
      <c r="O8" s="754"/>
      <c r="P8" s="754" t="s">
        <v>122</v>
      </c>
      <c r="Q8" s="754"/>
      <c r="R8" s="754"/>
      <c r="S8" s="754" t="s">
        <v>122</v>
      </c>
      <c r="T8" s="754"/>
      <c r="U8" s="754" t="s">
        <v>122</v>
      </c>
      <c r="V8" s="754"/>
      <c r="W8" s="754" t="s">
        <v>122</v>
      </c>
      <c r="X8" s="808">
        <f t="shared" ref="X8:X16" si="0">COUNTIF(E8:W8,"SI")</f>
        <v>10</v>
      </c>
    </row>
    <row r="9" spans="1:24" ht="72.75" customHeight="1" x14ac:dyDescent="0.25">
      <c r="A9" s="805">
        <f>'[14]Identificación del Riesgo TIC'!D11</f>
        <v>3</v>
      </c>
      <c r="B9" s="805" t="str">
        <f>'[14]Identificación del Riesgo TIC'!E11</f>
        <v>Falta de Continuidad de la ejecución del PETI por cambios en las necesidades, enfoques y prioridades de la administración.</v>
      </c>
      <c r="C9" s="756" t="str">
        <f>IF(D9="PENDIENTE EVALUAR EL IMPACTO","PENDIENTE EVALUAR EL IMPACTO COLUMNAS H-W",VLOOKUP(D9,[14]Datos!$K$8:$L$12,2,FALSE))</f>
        <v>PENDIENTE EVALUAR EL IMPACTO COLUMNAS H-W</v>
      </c>
      <c r="D9" s="805" t="str">
        <f t="shared" ref="D9:D16" si="1">IF(X9=0,"PENDIENTE EVALUAR EL IMPACTO",IF(X9&lt;=5,"MODERADO",IF(X9&lt;=11,"MAYOR","CATASTRÓFICO")))</f>
        <v>PENDIENTE EVALUAR EL IMPACTO</v>
      </c>
      <c r="E9" s="895"/>
      <c r="F9" s="895"/>
      <c r="G9" s="895"/>
      <c r="H9" s="895"/>
      <c r="I9" s="895"/>
      <c r="J9" s="895"/>
      <c r="K9" s="895"/>
      <c r="L9" s="895"/>
      <c r="M9" s="895"/>
      <c r="N9" s="895"/>
      <c r="O9" s="895"/>
      <c r="P9" s="895"/>
      <c r="Q9" s="895"/>
      <c r="R9" s="895"/>
      <c r="S9" s="895"/>
      <c r="T9" s="895"/>
      <c r="U9" s="895"/>
      <c r="V9" s="895"/>
      <c r="W9" s="895"/>
      <c r="X9" s="808">
        <f t="shared" si="0"/>
        <v>0</v>
      </c>
    </row>
    <row r="10" spans="1:24" ht="105" customHeight="1" x14ac:dyDescent="0.25">
      <c r="A10" s="805">
        <f>'[14]Identificación del Riesgo TIC'!D12</f>
        <v>4</v>
      </c>
      <c r="B10" s="805" t="str">
        <f>'[14]Identificación del Riesgo TIC'!E12</f>
        <v>Retrasos en la prestación de los servicios del proceso</v>
      </c>
      <c r="C10" s="756" t="str">
        <f>IF(D10="PENDIENTE EVALUAR EL IMPACTO","PENDIENTE EVALUAR EL IMPACTO COLUMNAS H-W",VLOOKUP(D10,[14]Datos!$K$8:$L$12,2,FALSE))</f>
        <v>PENDIENTE EVALUAR EL IMPACTO COLUMNAS H-W</v>
      </c>
      <c r="D10" s="805" t="str">
        <f t="shared" si="1"/>
        <v>PENDIENTE EVALUAR EL IMPACTO</v>
      </c>
      <c r="E10" s="895"/>
      <c r="F10" s="895"/>
      <c r="G10" s="895"/>
      <c r="H10" s="895"/>
      <c r="I10" s="895"/>
      <c r="J10" s="895"/>
      <c r="K10" s="895"/>
      <c r="L10" s="895"/>
      <c r="M10" s="895"/>
      <c r="N10" s="895"/>
      <c r="O10" s="895"/>
      <c r="P10" s="895"/>
      <c r="Q10" s="895"/>
      <c r="R10" s="895"/>
      <c r="S10" s="895"/>
      <c r="T10" s="895"/>
      <c r="U10" s="895"/>
      <c r="V10" s="895"/>
      <c r="W10" s="895"/>
      <c r="X10" s="808">
        <f t="shared" si="0"/>
        <v>0</v>
      </c>
    </row>
    <row r="11" spans="1:24" ht="60" x14ac:dyDescent="0.25">
      <c r="A11" s="805">
        <f>'[14]Identificación del Riesgo TIC'!D13</f>
        <v>5</v>
      </c>
      <c r="B11" s="805" t="str">
        <f>'[14]Identificación del Riesgo TIC'!E13</f>
        <v>Prestar los servicios bajo condiciones no controladas</v>
      </c>
      <c r="C11" s="756" t="str">
        <f>IF(D11="PENDIENTE EVALUAR EL IMPACTO","PENDIENTE EVALUAR EL IMPACTO COLUMNAS H-W",VLOOKUP(D11,[14]Datos!$K$8:$L$12,2,FALSE))</f>
        <v>PENDIENTE EVALUAR EL IMPACTO COLUMNAS H-W</v>
      </c>
      <c r="D11" s="805" t="str">
        <f t="shared" si="1"/>
        <v>PENDIENTE EVALUAR EL IMPACTO</v>
      </c>
      <c r="E11" s="895"/>
      <c r="F11" s="895"/>
      <c r="G11" s="895"/>
      <c r="H11" s="895"/>
      <c r="I11" s="895"/>
      <c r="J11" s="895"/>
      <c r="K11" s="895"/>
      <c r="L11" s="895"/>
      <c r="M11" s="895"/>
      <c r="N11" s="895"/>
      <c r="O11" s="895"/>
      <c r="P11" s="895"/>
      <c r="Q11" s="895"/>
      <c r="R11" s="895"/>
      <c r="S11" s="895"/>
      <c r="T11" s="895"/>
      <c r="U11" s="895"/>
      <c r="V11" s="895"/>
      <c r="W11" s="895"/>
      <c r="X11" s="808">
        <f t="shared" si="0"/>
        <v>0</v>
      </c>
    </row>
    <row r="12" spans="1:24" ht="60" x14ac:dyDescent="0.25">
      <c r="A12" s="805">
        <f>'[14]Identificación del Riesgo TIC'!D14</f>
        <v>6</v>
      </c>
      <c r="B12" s="805" t="str">
        <f>'[14]Identificación del Riesgo TIC'!E14</f>
        <v xml:space="preserve">Indisponibilidad de servicios de TI de la entidad. </v>
      </c>
      <c r="C12" s="756" t="str">
        <f>IF(D12="PENDIENTE EVALUAR EL IMPACTO","PENDIENTE EVALUAR EL IMPACTO COLUMNAS H-W",VLOOKUP(D12,[14]Datos!$K$8:$L$12,2,FALSE))</f>
        <v>PENDIENTE EVALUAR EL IMPACTO COLUMNAS H-W</v>
      </c>
      <c r="D12" s="805" t="str">
        <f t="shared" si="1"/>
        <v>PENDIENTE EVALUAR EL IMPACTO</v>
      </c>
      <c r="E12" s="895"/>
      <c r="F12" s="895"/>
      <c r="G12" s="895"/>
      <c r="H12" s="895"/>
      <c r="I12" s="895"/>
      <c r="J12" s="895"/>
      <c r="K12" s="895"/>
      <c r="L12" s="895"/>
      <c r="M12" s="895"/>
      <c r="N12" s="895"/>
      <c r="O12" s="895"/>
      <c r="P12" s="895"/>
      <c r="Q12" s="895"/>
      <c r="R12" s="895"/>
      <c r="S12" s="895"/>
      <c r="T12" s="895"/>
      <c r="U12" s="895"/>
      <c r="V12" s="895"/>
      <c r="W12" s="895"/>
      <c r="X12" s="808">
        <f t="shared" si="0"/>
        <v>0</v>
      </c>
    </row>
    <row r="13" spans="1:24" ht="60" x14ac:dyDescent="0.25">
      <c r="A13" s="805">
        <f>'[14]Identificación del Riesgo TIC'!D15</f>
        <v>7</v>
      </c>
      <c r="B13" s="805" t="str">
        <f>'[14]Identificación del Riesgo TIC'!E15</f>
        <v>Otorgar privilegios o permisos para acceso a sistemas e información a particulares.</v>
      </c>
      <c r="C13" s="756">
        <f>IF(D13="PENDIENTE EVALUAR EL IMPACTO","PENDIENTE EVALUAR EL IMPACTO COLUMNAS H-W",VLOOKUP(D13,[14]Datos!$K$8:$L$12,2,FALSE))</f>
        <v>5</v>
      </c>
      <c r="D13" s="805" t="str">
        <f t="shared" si="1"/>
        <v>CATASTRÓFICO</v>
      </c>
      <c r="E13" s="895" t="s">
        <v>122</v>
      </c>
      <c r="F13" s="895" t="s">
        <v>122</v>
      </c>
      <c r="G13" s="895" t="s">
        <v>122</v>
      </c>
      <c r="H13" s="895" t="s">
        <v>122</v>
      </c>
      <c r="I13" s="895" t="s">
        <v>122</v>
      </c>
      <c r="J13" s="895" t="s">
        <v>263</v>
      </c>
      <c r="K13" s="895" t="s">
        <v>263</v>
      </c>
      <c r="L13" s="895" t="s">
        <v>263</v>
      </c>
      <c r="M13" s="895" t="s">
        <v>122</v>
      </c>
      <c r="N13" s="895" t="s">
        <v>122</v>
      </c>
      <c r="O13" s="895" t="s">
        <v>122</v>
      </c>
      <c r="P13" s="895" t="s">
        <v>122</v>
      </c>
      <c r="Q13" s="895" t="s">
        <v>122</v>
      </c>
      <c r="R13" s="895" t="s">
        <v>122</v>
      </c>
      <c r="S13" s="895" t="s">
        <v>122</v>
      </c>
      <c r="T13" s="895" t="s">
        <v>263</v>
      </c>
      <c r="U13" s="895" t="s">
        <v>263</v>
      </c>
      <c r="V13" s="895" t="s">
        <v>122</v>
      </c>
      <c r="W13" s="895" t="s">
        <v>263</v>
      </c>
      <c r="X13" s="808">
        <f t="shared" si="0"/>
        <v>13</v>
      </c>
    </row>
    <row r="14" spans="1:24" ht="60" x14ac:dyDescent="0.25">
      <c r="A14" s="805" t="e">
        <f>'[14]Identificación del Riesgo TIC'!#REF!</f>
        <v>#REF!</v>
      </c>
      <c r="B14" s="805" t="e">
        <f>'[14]Identificación del Riesgo TIC'!#REF!</f>
        <v>#REF!</v>
      </c>
      <c r="C14" s="756" t="str">
        <f>IF(D14="PENDIENTE EVALUAR EL IMPACTO","PENDIENTE EVALUAR EL IMPACTO COLUMNAS H-W",VLOOKUP(D14,[14]Datos!$K$8:$L$12,2,FALSE))</f>
        <v>PENDIENTE EVALUAR EL IMPACTO COLUMNAS H-W</v>
      </c>
      <c r="D14" s="805" t="str">
        <f t="shared" si="1"/>
        <v>PENDIENTE EVALUAR EL IMPACTO</v>
      </c>
      <c r="E14" s="895"/>
      <c r="F14" s="895"/>
      <c r="G14" s="895"/>
      <c r="H14" s="895"/>
      <c r="I14" s="895"/>
      <c r="J14" s="895"/>
      <c r="K14" s="895"/>
      <c r="L14" s="895"/>
      <c r="M14" s="895"/>
      <c r="N14" s="895"/>
      <c r="O14" s="895"/>
      <c r="P14" s="895"/>
      <c r="Q14" s="895"/>
      <c r="R14" s="895"/>
      <c r="S14" s="895"/>
      <c r="T14" s="895"/>
      <c r="U14" s="895"/>
      <c r="V14" s="895"/>
      <c r="W14" s="895"/>
      <c r="X14" s="808">
        <f t="shared" si="0"/>
        <v>0</v>
      </c>
    </row>
    <row r="15" spans="1:24" ht="60" x14ac:dyDescent="0.25">
      <c r="A15" s="805" t="e">
        <f>'[14]Identificación del Riesgo TIC'!#REF!</f>
        <v>#REF!</v>
      </c>
      <c r="B15" s="805" t="e">
        <f>'[14]Identificación del Riesgo TIC'!#REF!</f>
        <v>#REF!</v>
      </c>
      <c r="C15" s="756" t="str">
        <f>IF(D15="PENDIENTE EVALUAR EL IMPACTO","PENDIENTE EVALUAR EL IMPACTO COLUMNAS H-W",VLOOKUP(D15,[14]Datos!$K$8:$L$12,2,FALSE))</f>
        <v>PENDIENTE EVALUAR EL IMPACTO COLUMNAS H-W</v>
      </c>
      <c r="D15" s="805" t="str">
        <f t="shared" si="1"/>
        <v>PENDIENTE EVALUAR EL IMPACTO</v>
      </c>
      <c r="E15" s="895"/>
      <c r="F15" s="895"/>
      <c r="G15" s="895"/>
      <c r="H15" s="895"/>
      <c r="I15" s="895"/>
      <c r="J15" s="895"/>
      <c r="K15" s="895"/>
      <c r="L15" s="895"/>
      <c r="M15" s="895"/>
      <c r="N15" s="895"/>
      <c r="O15" s="895"/>
      <c r="P15" s="895"/>
      <c r="Q15" s="895"/>
      <c r="R15" s="895"/>
      <c r="S15" s="895"/>
      <c r="T15" s="895"/>
      <c r="U15" s="895"/>
      <c r="V15" s="895"/>
      <c r="W15" s="895"/>
      <c r="X15" s="808">
        <f t="shared" si="0"/>
        <v>0</v>
      </c>
    </row>
    <row r="16" spans="1:24" ht="60" x14ac:dyDescent="0.25">
      <c r="A16" s="805" t="e">
        <f>'[14]Identificación del Riesgo TIC'!#REF!</f>
        <v>#REF!</v>
      </c>
      <c r="B16" s="805" t="e">
        <f>'[14]Identificación del Riesgo TIC'!#REF!</f>
        <v>#REF!</v>
      </c>
      <c r="C16" s="756" t="str">
        <f>IF(D16="PENDIENTE EVALUAR EL IMPACTO","PENDIENTE EVALUAR EL IMPACTO COLUMNAS H-W",VLOOKUP(D16,[14]Datos!$K$8:$L$12,2,FALSE))</f>
        <v>PENDIENTE EVALUAR EL IMPACTO COLUMNAS H-W</v>
      </c>
      <c r="D16" s="805" t="str">
        <f t="shared" si="1"/>
        <v>PENDIENTE EVALUAR EL IMPACTO</v>
      </c>
      <c r="E16" s="895"/>
      <c r="F16" s="895"/>
      <c r="G16" s="895"/>
      <c r="H16" s="895"/>
      <c r="I16" s="895"/>
      <c r="J16" s="895"/>
      <c r="K16" s="895"/>
      <c r="L16" s="895"/>
      <c r="M16" s="895"/>
      <c r="N16" s="895"/>
      <c r="O16" s="895"/>
      <c r="P16" s="895"/>
      <c r="Q16" s="895"/>
      <c r="R16" s="895"/>
      <c r="S16" s="895"/>
      <c r="T16" s="895"/>
      <c r="U16" s="895"/>
      <c r="V16" s="895"/>
      <c r="W16" s="895"/>
      <c r="X16" s="808">
        <f t="shared" si="0"/>
        <v>0</v>
      </c>
    </row>
  </sheetData>
  <mergeCells count="6">
    <mergeCell ref="A1:D4"/>
    <mergeCell ref="E1:T4"/>
    <mergeCell ref="U1:X2"/>
    <mergeCell ref="U3:X4"/>
    <mergeCell ref="A5:D5"/>
    <mergeCell ref="E5:X5"/>
  </mergeCells>
  <dataValidations count="1">
    <dataValidation type="list" allowBlank="1" showInputMessage="1" showErrorMessage="1" sqref="E7:W16" xr:uid="{00000000-0002-0000-5900-000000000000}">
      <formula1>"SI,NO"</formula1>
    </dataValidation>
  </dataValidations>
  <pageMargins left="0.51181102362204722" right="0.70866141732283472" top="1.1417322834645669" bottom="0.74803149606299213" header="0.31496062992125984" footer="0.31496062992125984"/>
  <pageSetup scale="35" orientation="landscape" horizontalDpi="1200" verticalDpi="1200" r:id="rId1"/>
  <headerFooter>
    <oddHeader>&amp;L&amp;G&amp;C
&amp;"-,Negrita"Matriz de Riesgos</oddHeader>
  </headerFooter>
  <colBreaks count="1" manualBreakCount="1">
    <brk id="4" max="1048575" man="1"/>
  </colBreaks>
  <drawing r:id="rId2"/>
  <legacyDrawing r:id="rId3"/>
  <legacyDrawingHF r:id="rId4"/>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AD15"/>
  <sheetViews>
    <sheetView topLeftCell="A10" zoomScaleNormal="100" zoomScaleSheetLayoutView="160" workbookViewId="0">
      <selection activeCell="C11" sqref="C11"/>
    </sheetView>
  </sheetViews>
  <sheetFormatPr baseColWidth="10" defaultColWidth="10" defaultRowHeight="12.75" x14ac:dyDescent="0.2"/>
  <cols>
    <col min="1" max="1" width="6.625" style="811" customWidth="1"/>
    <col min="2" max="2" width="16.75" style="811" customWidth="1"/>
    <col min="3" max="3" width="58.875" style="811" customWidth="1"/>
    <col min="4" max="4" width="22" style="763" customWidth="1"/>
    <col min="5" max="5" width="38" style="763" customWidth="1"/>
    <col min="6" max="10" width="21.75" style="811" customWidth="1"/>
    <col min="11" max="11" width="33.875" style="811" customWidth="1"/>
    <col min="12" max="12" width="21.75" style="811" customWidth="1"/>
    <col min="13" max="17" width="19.25" style="825" customWidth="1"/>
    <col min="18" max="18" width="22.625" style="825" customWidth="1"/>
    <col min="19" max="19" width="19.25" style="825" customWidth="1"/>
    <col min="20" max="20" width="8" style="825" customWidth="1"/>
    <col min="21" max="22" width="18.125" style="825" customWidth="1"/>
    <col min="23" max="23" width="17.75" style="825" customWidth="1"/>
    <col min="24" max="24" width="16.25" style="825" customWidth="1"/>
    <col min="25" max="25" width="15.25" style="825" customWidth="1"/>
    <col min="26" max="26" width="18.875" style="825" customWidth="1"/>
    <col min="27" max="27" width="15.625" style="825" customWidth="1"/>
    <col min="28" max="28" width="23.125" style="825" customWidth="1"/>
    <col min="29" max="29" width="22.25" style="826" customWidth="1"/>
    <col min="30" max="30" width="26.5" style="826" customWidth="1"/>
    <col min="31" max="16384" width="10" style="811"/>
  </cols>
  <sheetData>
    <row r="1" spans="1:30" ht="15.75" customHeight="1" x14ac:dyDescent="0.2">
      <c r="A1" s="1630"/>
      <c r="B1" s="1630"/>
      <c r="C1" s="1630"/>
      <c r="D1" s="1631" t="s">
        <v>0</v>
      </c>
      <c r="E1" s="1631"/>
      <c r="F1" s="1631"/>
      <c r="G1" s="1631"/>
      <c r="H1" s="1631"/>
      <c r="I1" s="1631"/>
      <c r="J1" s="1631"/>
      <c r="K1" s="1631"/>
      <c r="L1" s="1631"/>
      <c r="M1" s="1631"/>
      <c r="N1" s="1631"/>
      <c r="O1" s="1631"/>
      <c r="P1" s="1631"/>
      <c r="Q1" s="1631"/>
      <c r="R1" s="1631"/>
      <c r="S1" s="1631"/>
      <c r="T1" s="1631"/>
      <c r="U1" s="1631"/>
      <c r="V1" s="1631"/>
      <c r="W1" s="1631"/>
      <c r="X1" s="1631"/>
      <c r="Y1" s="1631"/>
      <c r="Z1" s="1631"/>
      <c r="AA1" s="1631"/>
      <c r="AB1" s="1631"/>
      <c r="AC1" s="1632" t="s">
        <v>128</v>
      </c>
      <c r="AD1" s="1632"/>
    </row>
    <row r="2" spans="1:30" ht="15.75" customHeight="1" x14ac:dyDescent="0.2">
      <c r="A2" s="1630"/>
      <c r="B2" s="1630"/>
      <c r="C2" s="1630"/>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2"/>
      <c r="AD2" s="1632"/>
    </row>
    <row r="3" spans="1:30" ht="15.75" customHeight="1" x14ac:dyDescent="0.2">
      <c r="A3" s="1630"/>
      <c r="B3" s="1630"/>
      <c r="C3" s="1630"/>
      <c r="D3" s="1631"/>
      <c r="E3" s="1631"/>
      <c r="F3" s="1631"/>
      <c r="G3" s="1631"/>
      <c r="H3" s="1631"/>
      <c r="I3" s="1631"/>
      <c r="J3" s="1631"/>
      <c r="K3" s="1631"/>
      <c r="L3" s="1631"/>
      <c r="M3" s="1631"/>
      <c r="N3" s="1631"/>
      <c r="O3" s="1631"/>
      <c r="P3" s="1631"/>
      <c r="Q3" s="1631"/>
      <c r="R3" s="1631"/>
      <c r="S3" s="1631"/>
      <c r="T3" s="1631"/>
      <c r="U3" s="1631"/>
      <c r="V3" s="1631"/>
      <c r="W3" s="1631"/>
      <c r="X3" s="1631"/>
      <c r="Y3" s="1631"/>
      <c r="Z3" s="1631"/>
      <c r="AA3" s="1631"/>
      <c r="AB3" s="1631"/>
      <c r="AC3" s="1632" t="s">
        <v>2</v>
      </c>
      <c r="AD3" s="1632"/>
    </row>
    <row r="4" spans="1:30" ht="15.75" customHeight="1" x14ac:dyDescent="0.2">
      <c r="A4" s="1630"/>
      <c r="B4" s="1630"/>
      <c r="C4" s="1630"/>
      <c r="D4" s="1631"/>
      <c r="E4" s="1631"/>
      <c r="F4" s="1631"/>
      <c r="G4" s="1631"/>
      <c r="H4" s="1631"/>
      <c r="I4" s="1631"/>
      <c r="J4" s="1631"/>
      <c r="K4" s="1631"/>
      <c r="L4" s="1631"/>
      <c r="M4" s="1631"/>
      <c r="N4" s="1631"/>
      <c r="O4" s="1631"/>
      <c r="P4" s="1631"/>
      <c r="Q4" s="1631"/>
      <c r="R4" s="1631"/>
      <c r="S4" s="1631"/>
      <c r="T4" s="1631"/>
      <c r="U4" s="1631"/>
      <c r="V4" s="1631"/>
      <c r="W4" s="1631"/>
      <c r="X4" s="1631"/>
      <c r="Y4" s="1631"/>
      <c r="Z4" s="1631"/>
      <c r="AA4" s="1631"/>
      <c r="AB4" s="1631"/>
      <c r="AC4" s="1632"/>
      <c r="AD4" s="1632"/>
    </row>
    <row r="5" spans="1:30" ht="15.75" customHeight="1" x14ac:dyDescent="0.2">
      <c r="A5" s="1585" t="s">
        <v>36</v>
      </c>
      <c r="B5" s="1586"/>
      <c r="C5" s="1587"/>
      <c r="D5" s="1633" t="s">
        <v>1107</v>
      </c>
      <c r="E5" s="1634"/>
      <c r="F5" s="1634"/>
      <c r="G5" s="1634"/>
      <c r="H5" s="1634"/>
      <c r="I5" s="1634"/>
      <c r="J5" s="1634"/>
      <c r="K5" s="1634"/>
      <c r="L5" s="1634"/>
      <c r="M5" s="1634"/>
      <c r="N5" s="1634"/>
      <c r="O5" s="1634"/>
      <c r="P5" s="1634"/>
      <c r="Q5" s="1634"/>
      <c r="R5" s="1634"/>
      <c r="S5" s="1634"/>
      <c r="T5" s="1634"/>
      <c r="U5" s="1634"/>
      <c r="V5" s="1634"/>
      <c r="W5" s="1634"/>
      <c r="X5" s="1634"/>
      <c r="Y5" s="1634"/>
      <c r="Z5" s="1634"/>
      <c r="AA5" s="1634"/>
      <c r="AB5" s="1634"/>
      <c r="AC5" s="1634"/>
      <c r="AD5" s="1634"/>
    </row>
    <row r="6" spans="1:30" ht="15.75" customHeight="1" thickBot="1" x14ac:dyDescent="0.25">
      <c r="A6" s="1585" t="s">
        <v>37</v>
      </c>
      <c r="B6" s="1586"/>
      <c r="C6" s="1587"/>
      <c r="D6" s="1633" t="s">
        <v>1108</v>
      </c>
      <c r="E6" s="1634"/>
      <c r="F6" s="1634"/>
      <c r="G6" s="1634"/>
      <c r="H6" s="1634"/>
      <c r="I6" s="1634"/>
      <c r="J6" s="1634"/>
      <c r="K6" s="1634"/>
      <c r="L6" s="1634"/>
      <c r="M6" s="1634"/>
      <c r="N6" s="1634"/>
      <c r="O6" s="1634"/>
      <c r="P6" s="1634"/>
      <c r="Q6" s="1634"/>
      <c r="R6" s="1634"/>
      <c r="S6" s="1634"/>
      <c r="T6" s="1634"/>
      <c r="U6" s="1634"/>
      <c r="V6" s="1634"/>
      <c r="W6" s="1634"/>
      <c r="X6" s="1634"/>
      <c r="Y6" s="1634"/>
      <c r="Z6" s="1634"/>
      <c r="AA6" s="1634"/>
      <c r="AB6" s="1634"/>
      <c r="AC6" s="1634"/>
      <c r="AD6" s="1634"/>
    </row>
    <row r="7" spans="1:30" ht="15" customHeight="1" x14ac:dyDescent="0.2">
      <c r="A7" s="1635" t="s">
        <v>129</v>
      </c>
      <c r="B7" s="1636"/>
      <c r="C7" s="1636"/>
      <c r="D7" s="1636"/>
      <c r="E7" s="1636"/>
      <c r="F7" s="1636"/>
      <c r="G7" s="1636"/>
      <c r="H7" s="1636"/>
      <c r="I7" s="1636"/>
      <c r="J7" s="1636"/>
      <c r="K7" s="1636"/>
      <c r="L7" s="1636"/>
      <c r="M7" s="1636" t="s">
        <v>75</v>
      </c>
      <c r="N7" s="1636"/>
      <c r="O7" s="1636"/>
      <c r="P7" s="1636"/>
      <c r="Q7" s="1636"/>
      <c r="R7" s="1636"/>
      <c r="S7" s="1636"/>
      <c r="T7" s="1636"/>
      <c r="U7" s="1636"/>
      <c r="V7" s="1636"/>
      <c r="W7" s="1636"/>
      <c r="X7" s="1636"/>
      <c r="Y7" s="1636"/>
      <c r="Z7" s="1637" t="s">
        <v>130</v>
      </c>
      <c r="AA7" s="1637"/>
      <c r="AB7" s="1637"/>
      <c r="AC7" s="1638" t="s">
        <v>131</v>
      </c>
      <c r="AD7" s="1639"/>
    </row>
    <row r="8" spans="1:30" ht="51" x14ac:dyDescent="0.2">
      <c r="A8" s="812" t="s">
        <v>44</v>
      </c>
      <c r="B8" s="813" t="s">
        <v>64</v>
      </c>
      <c r="C8" s="813" t="s">
        <v>132</v>
      </c>
      <c r="D8" s="813" t="s">
        <v>73</v>
      </c>
      <c r="E8" s="813" t="s">
        <v>133</v>
      </c>
      <c r="F8" s="813" t="s">
        <v>134</v>
      </c>
      <c r="G8" s="813" t="s">
        <v>135</v>
      </c>
      <c r="H8" s="813" t="s">
        <v>136</v>
      </c>
      <c r="I8" s="813" t="s">
        <v>137</v>
      </c>
      <c r="J8" s="813" t="s">
        <v>138</v>
      </c>
      <c r="K8" s="813" t="s">
        <v>139</v>
      </c>
      <c r="L8" s="813" t="s">
        <v>140</v>
      </c>
      <c r="M8" s="813" t="s">
        <v>134</v>
      </c>
      <c r="N8" s="813" t="s">
        <v>135</v>
      </c>
      <c r="O8" s="813" t="s">
        <v>141</v>
      </c>
      <c r="P8" s="813" t="s">
        <v>137</v>
      </c>
      <c r="Q8" s="813" t="s">
        <v>138</v>
      </c>
      <c r="R8" s="813" t="s">
        <v>139</v>
      </c>
      <c r="S8" s="813" t="s">
        <v>140</v>
      </c>
      <c r="T8" s="814" t="s">
        <v>121</v>
      </c>
      <c r="U8" s="813" t="s">
        <v>142</v>
      </c>
      <c r="V8" s="813" t="s">
        <v>143</v>
      </c>
      <c r="W8" s="813" t="s">
        <v>142</v>
      </c>
      <c r="X8" s="813" t="s">
        <v>143</v>
      </c>
      <c r="Y8" s="813" t="s">
        <v>144</v>
      </c>
      <c r="Z8" s="813" t="s">
        <v>145</v>
      </c>
      <c r="AA8" s="813" t="s">
        <v>146</v>
      </c>
      <c r="AB8" s="813" t="s">
        <v>76</v>
      </c>
      <c r="AC8" s="813" t="s">
        <v>147</v>
      </c>
      <c r="AD8" s="815" t="s">
        <v>148</v>
      </c>
    </row>
    <row r="9" spans="1:30" s="780" customFormat="1" ht="119.25" customHeight="1" x14ac:dyDescent="0.2">
      <c r="A9" s="816">
        <f>'[14]Identificación del Riesgo TIC'!D9</f>
        <v>1</v>
      </c>
      <c r="B9" s="654" t="str">
        <f>'[14]Identificación del Riesgo TIC'!E9</f>
        <v xml:space="preserve">Indisponibilidad de servicios críticos de la entidad </v>
      </c>
      <c r="C9" s="817" t="str">
        <f>'[14]Identificación del Riesgo TIC'!H9</f>
        <v>Desconocimiento de la alta dirección sobre la importancia y metodología relacionada con el BIA.
Se concibe que la responsabilidad sobre la Continuidad del Negocio corresponde solamente al proceso Gestión TIC.</v>
      </c>
      <c r="D9" s="654" t="str">
        <f>'[14]Analisis Riesgo'!K7</f>
        <v>Herramienta de monitoreo NAGIOS</v>
      </c>
      <c r="E9" s="654" t="str">
        <f>'[14]Analisis Riesgo'!L7</f>
        <v>Nagios es un sistema de monitorización de redes de código abierto ampliamente utilizado, que vigila los equipos (hardware) y servicios (software) que se especifiquen, alertando cuando el comportamiento de los mismos no sea el deseado.</v>
      </c>
      <c r="F9" s="818" t="s">
        <v>296</v>
      </c>
      <c r="G9" s="818" t="s">
        <v>299</v>
      </c>
      <c r="H9" s="818" t="s">
        <v>300</v>
      </c>
      <c r="I9" s="818" t="s">
        <v>301</v>
      </c>
      <c r="J9" s="818" t="s">
        <v>302</v>
      </c>
      <c r="K9" s="819" t="s">
        <v>303</v>
      </c>
      <c r="L9" s="818" t="s">
        <v>304</v>
      </c>
      <c r="M9" s="820">
        <f>IF(F9="Asignado", 15,0)</f>
        <v>15</v>
      </c>
      <c r="N9" s="820">
        <f>IF(G9="Adecuado",15,0)</f>
        <v>15</v>
      </c>
      <c r="O9" s="820">
        <f t="shared" ref="O9:O15" si="0">IF(H9="Oportuna",15,0)</f>
        <v>15</v>
      </c>
      <c r="P9" s="820">
        <f t="shared" ref="P9:P15" si="1">IF(I9="Prevenir",15,IF(I9="Detectar",10,0))</f>
        <v>15</v>
      </c>
      <c r="Q9" s="820">
        <f t="shared" ref="Q9:Q15" si="2">IF(J9="Confiable", 15,0)</f>
        <v>15</v>
      </c>
      <c r="R9" s="820">
        <f>IF(K9="Se investigan y resuelven oportunamente",15,0)</f>
        <v>15</v>
      </c>
      <c r="S9" s="820">
        <f t="shared" ref="S9:S15" si="3">IF(L9="Completa",10,IF(L9="Incompleta",5,0))</f>
        <v>10</v>
      </c>
      <c r="T9" s="820">
        <f t="shared" ref="T9:T15" si="4">SUM(M9:S9)</f>
        <v>100</v>
      </c>
      <c r="U9" s="818" t="s">
        <v>122</v>
      </c>
      <c r="V9" s="818" t="s">
        <v>122</v>
      </c>
      <c r="W9" s="820">
        <f t="shared" ref="W9:W15" si="5">IF(U9="SI",1,0)*T9/100</f>
        <v>1</v>
      </c>
      <c r="X9" s="820">
        <f t="shared" ref="X9:X15" si="6">IF(V9="SI",1,0)*T9/100</f>
        <v>1</v>
      </c>
      <c r="Y9" s="820" t="str">
        <f t="shared" ref="Y9:Y15" si="7">IF(W9&gt;=0.96,"Fuerte",IF(W9&gt;=0.86,"Moderado","Debil"))</f>
        <v>Fuerte</v>
      </c>
      <c r="Z9" s="818" t="s">
        <v>305</v>
      </c>
      <c r="AA9" s="820" t="str">
        <f t="shared" ref="AA9:AA15" si="8">IF(Z9="Siempre se ejecuta","Fuerte",IF(Z9="Algunas veces se ejecuta","Moderado","Debil"))</f>
        <v>Fuerte</v>
      </c>
      <c r="AB9" s="820" t="str">
        <f>IF(Y9="Fuerte",IF(AA9="Fuerte","No","SI"),"SI")</f>
        <v>No</v>
      </c>
      <c r="AC9" s="821"/>
      <c r="AD9" s="822"/>
    </row>
    <row r="10" spans="1:30" s="780" customFormat="1" ht="121.5" customHeight="1" x14ac:dyDescent="0.2">
      <c r="A10" s="816">
        <f>'[14]Identificación del Riesgo TIC'!D10</f>
        <v>2</v>
      </c>
      <c r="B10" s="654" t="str">
        <f>'[14]Identificación del Riesgo TIC'!E10</f>
        <v>Reprocesos en la implementación de los proyectos de la entidad que aplican componentes de tecnología</v>
      </c>
      <c r="C10" s="823" t="str">
        <f>'[14]Identificación del Riesgo TIC'!H10</f>
        <v>Falta de alineación de los proyectos con los lineamientos de la arquitectura institucional de la UPME.
No considerar el acompañamiento del proceso en Proyectos donde sea necesario el componente de tecnología.</v>
      </c>
      <c r="D10" s="654" t="str">
        <f>'[14]Analisis Riesgo'!K8</f>
        <v>No se identifica control existente</v>
      </c>
      <c r="E10" s="654" t="str">
        <f>'[14]Analisis Riesgo'!L8</f>
        <v>No se identifica control existente</v>
      </c>
      <c r="F10" s="818" t="s">
        <v>833</v>
      </c>
      <c r="G10" s="818" t="s">
        <v>834</v>
      </c>
      <c r="H10" s="818" t="s">
        <v>867</v>
      </c>
      <c r="I10" s="818" t="s">
        <v>868</v>
      </c>
      <c r="J10" s="818" t="s">
        <v>869</v>
      </c>
      <c r="K10" s="819" t="s">
        <v>870</v>
      </c>
      <c r="L10" s="818" t="s">
        <v>871</v>
      </c>
      <c r="M10" s="820">
        <f t="shared" ref="M10:M15" si="9">IF(F10="Asignado", 15,0)</f>
        <v>0</v>
      </c>
      <c r="N10" s="820">
        <f t="shared" ref="N10:N15" si="10">IF(G10="Adecuado",15,0)</f>
        <v>0</v>
      </c>
      <c r="O10" s="820">
        <f t="shared" si="0"/>
        <v>0</v>
      </c>
      <c r="P10" s="820">
        <f t="shared" si="1"/>
        <v>0</v>
      </c>
      <c r="Q10" s="820">
        <f t="shared" si="2"/>
        <v>0</v>
      </c>
      <c r="R10" s="820">
        <f t="shared" ref="R10:R15" si="11">IF(K10="Se investigan y resuelven oportunamente",15,0)</f>
        <v>0</v>
      </c>
      <c r="S10" s="820">
        <f t="shared" si="3"/>
        <v>0</v>
      </c>
      <c r="T10" s="820">
        <f t="shared" si="4"/>
        <v>0</v>
      </c>
      <c r="U10" s="818" t="s">
        <v>263</v>
      </c>
      <c r="V10" s="818" t="s">
        <v>263</v>
      </c>
      <c r="W10" s="820">
        <f t="shared" si="5"/>
        <v>0</v>
      </c>
      <c r="X10" s="820">
        <f t="shared" si="6"/>
        <v>0</v>
      </c>
      <c r="Y10" s="820" t="str">
        <f t="shared" si="7"/>
        <v>Debil</v>
      </c>
      <c r="Z10" s="818" t="s">
        <v>872</v>
      </c>
      <c r="AA10" s="820" t="str">
        <f t="shared" si="8"/>
        <v>Debil</v>
      </c>
      <c r="AB10" s="820" t="str">
        <f t="shared" ref="AB10:AB15" si="12">IF(Y10="Fuerte",IF(AA10="Fuerte","No","SI"),"SI")</f>
        <v>SI</v>
      </c>
      <c r="AC10" s="824"/>
      <c r="AD10" s="822"/>
    </row>
    <row r="11" spans="1:30" s="780" customFormat="1" ht="115.5" customHeight="1" x14ac:dyDescent="0.2">
      <c r="A11" s="816">
        <f>'[14]Identificación del Riesgo TIC'!D11</f>
        <v>3</v>
      </c>
      <c r="B11" s="654" t="str">
        <f>'[14]Identificación del Riesgo TIC'!E11</f>
        <v>Falta de Continuidad de la ejecución del PETI por cambios en las necesidades, enfoques y prioridades de la administración.</v>
      </c>
      <c r="C11" s="823" t="str">
        <f>'[14]Identificación del Riesgo TIC'!H11</f>
        <v>Desconocimiento de la importancia de la política de Gobierno digital por parte de los servidores públicos.
Resistencia al cambio por parte de los servidores públicos sobre el alcance de los procesos.
No contar con el presupuesto para desarrollar el PETI.</v>
      </c>
      <c r="D11" s="654" t="str">
        <f>'[14]Analisis Riesgo'!K9</f>
        <v>Seguimiento trimestral al Plan.</v>
      </c>
      <c r="E11" s="654" t="str">
        <f>'[14]Analisis Riesgo'!L9</f>
        <v>Desarrollo de unos indicadores, un mapa de ruta, un plan de comunicación y una descripción de todos los demás aspectos (financieros, operativos, de manejo de riesgos, etc.) necesarios para la puesta en marcha y gestión del plan estratégico</v>
      </c>
      <c r="F11" s="818" t="s">
        <v>296</v>
      </c>
      <c r="G11" s="818" t="s">
        <v>299</v>
      </c>
      <c r="H11" s="818" t="s">
        <v>300</v>
      </c>
      <c r="I11" s="818" t="s">
        <v>301</v>
      </c>
      <c r="J11" s="818" t="s">
        <v>302</v>
      </c>
      <c r="K11" s="819" t="s">
        <v>303</v>
      </c>
      <c r="L11" s="818" t="s">
        <v>304</v>
      </c>
      <c r="M11" s="820">
        <f t="shared" si="9"/>
        <v>15</v>
      </c>
      <c r="N11" s="820">
        <f t="shared" si="10"/>
        <v>15</v>
      </c>
      <c r="O11" s="820">
        <f t="shared" si="0"/>
        <v>15</v>
      </c>
      <c r="P11" s="820">
        <f t="shared" si="1"/>
        <v>15</v>
      </c>
      <c r="Q11" s="820">
        <f t="shared" si="2"/>
        <v>15</v>
      </c>
      <c r="R11" s="820">
        <f t="shared" si="11"/>
        <v>15</v>
      </c>
      <c r="S11" s="820">
        <f t="shared" si="3"/>
        <v>10</v>
      </c>
      <c r="T11" s="820">
        <f t="shared" si="4"/>
        <v>100</v>
      </c>
      <c r="U11" s="818" t="s">
        <v>122</v>
      </c>
      <c r="V11" s="818" t="s">
        <v>122</v>
      </c>
      <c r="W11" s="820">
        <f t="shared" si="5"/>
        <v>1</v>
      </c>
      <c r="X11" s="820">
        <f t="shared" si="6"/>
        <v>1</v>
      </c>
      <c r="Y11" s="820" t="str">
        <f t="shared" si="7"/>
        <v>Fuerte</v>
      </c>
      <c r="Z11" s="818" t="s">
        <v>305</v>
      </c>
      <c r="AA11" s="820" t="str">
        <f t="shared" si="8"/>
        <v>Fuerte</v>
      </c>
      <c r="AB11" s="820" t="str">
        <f t="shared" si="12"/>
        <v>No</v>
      </c>
      <c r="AC11" s="854"/>
      <c r="AD11" s="822"/>
    </row>
    <row r="12" spans="1:30" s="780" customFormat="1" ht="69" customHeight="1" x14ac:dyDescent="0.2">
      <c r="A12" s="816">
        <f>'[14]Identificación del Riesgo TIC'!D12</f>
        <v>4</v>
      </c>
      <c r="B12" s="654" t="str">
        <f>'[14]Identificación del Riesgo TIC'!E12</f>
        <v>Retrasos en la prestación de los servicios del proceso</v>
      </c>
      <c r="C12" s="823" t="str">
        <f>'[14]Identificación del Riesgo TIC'!H12</f>
        <v>Desconocimiento por parte de los servidores públicos sobre los procedimientos asociados a la prestación de servicios de TI
No se utiliza la mesa de servicios como único canal de recepción de requerimientos por parte de los servidores públicos.
Ausencia de un catálogo de Servicios</v>
      </c>
      <c r="D12" s="654" t="str">
        <f>'[14]Analisis Riesgo'!K10</f>
        <v>No se identifica control existente</v>
      </c>
      <c r="E12" s="654" t="str">
        <f>'[14]Analisis Riesgo'!L10</f>
        <v>No se identifica control existente</v>
      </c>
      <c r="F12" s="818" t="s">
        <v>833</v>
      </c>
      <c r="G12" s="818" t="s">
        <v>834</v>
      </c>
      <c r="H12" s="818" t="s">
        <v>867</v>
      </c>
      <c r="I12" s="818" t="s">
        <v>868</v>
      </c>
      <c r="J12" s="818" t="s">
        <v>869</v>
      </c>
      <c r="K12" s="819" t="s">
        <v>870</v>
      </c>
      <c r="L12" s="818" t="s">
        <v>871</v>
      </c>
      <c r="M12" s="820">
        <f t="shared" si="9"/>
        <v>0</v>
      </c>
      <c r="N12" s="820">
        <f t="shared" si="10"/>
        <v>0</v>
      </c>
      <c r="O12" s="820">
        <f t="shared" si="0"/>
        <v>0</v>
      </c>
      <c r="P12" s="820">
        <f t="shared" si="1"/>
        <v>0</v>
      </c>
      <c r="Q12" s="820">
        <f t="shared" si="2"/>
        <v>0</v>
      </c>
      <c r="R12" s="820">
        <f t="shared" si="11"/>
        <v>0</v>
      </c>
      <c r="S12" s="820">
        <f t="shared" si="3"/>
        <v>0</v>
      </c>
      <c r="T12" s="820">
        <f t="shared" si="4"/>
        <v>0</v>
      </c>
      <c r="U12" s="818" t="s">
        <v>263</v>
      </c>
      <c r="V12" s="818" t="s">
        <v>263</v>
      </c>
      <c r="W12" s="820">
        <f t="shared" si="5"/>
        <v>0</v>
      </c>
      <c r="X12" s="820">
        <f t="shared" si="6"/>
        <v>0</v>
      </c>
      <c r="Y12" s="820" t="str">
        <f t="shared" si="7"/>
        <v>Debil</v>
      </c>
      <c r="Z12" s="818" t="s">
        <v>872</v>
      </c>
      <c r="AA12" s="820" t="str">
        <f t="shared" si="8"/>
        <v>Debil</v>
      </c>
      <c r="AB12" s="820" t="str">
        <f t="shared" si="12"/>
        <v>SI</v>
      </c>
      <c r="AC12" s="897"/>
      <c r="AD12" s="822"/>
    </row>
    <row r="13" spans="1:30" s="780" customFormat="1" ht="69" customHeight="1" x14ac:dyDescent="0.2">
      <c r="A13" s="816">
        <f>'[14]Identificación del Riesgo TIC'!D13</f>
        <v>5</v>
      </c>
      <c r="B13" s="654" t="str">
        <f>'[14]Identificación del Riesgo TIC'!E13</f>
        <v>Prestar los servicios bajo condiciones no controladas</v>
      </c>
      <c r="C13" s="823" t="str">
        <f>'[14]Identificación del Riesgo TIC'!H13</f>
        <v>No se cuenta con procedimientos que estandaricen la gestión del proceso.
No se han establecido oficialmente los acuerdos de niveles de servicio.
No se han definido los Acuerdos Operacionales del Servicio en el proceso.</v>
      </c>
      <c r="D13" s="654" t="str">
        <f>'[14]Analisis Riesgo'!K11</f>
        <v>Procedimiento de TIC</v>
      </c>
      <c r="E13" s="654" t="str">
        <f>'[14]Analisis Riesgo'!L11</f>
        <v xml:space="preserve">Establece las directrices del proceso para prestar los servicios en el marco de su objetivo. </v>
      </c>
      <c r="F13" s="818" t="s">
        <v>296</v>
      </c>
      <c r="G13" s="818" t="s">
        <v>299</v>
      </c>
      <c r="H13" s="818" t="s">
        <v>300</v>
      </c>
      <c r="I13" s="818" t="s">
        <v>301</v>
      </c>
      <c r="J13" s="818" t="s">
        <v>302</v>
      </c>
      <c r="K13" s="819" t="s">
        <v>303</v>
      </c>
      <c r="L13" s="818" t="s">
        <v>304</v>
      </c>
      <c r="M13" s="820">
        <f t="shared" si="9"/>
        <v>15</v>
      </c>
      <c r="N13" s="820">
        <f t="shared" si="10"/>
        <v>15</v>
      </c>
      <c r="O13" s="820">
        <f t="shared" si="0"/>
        <v>15</v>
      </c>
      <c r="P13" s="820">
        <f t="shared" si="1"/>
        <v>15</v>
      </c>
      <c r="Q13" s="820">
        <f t="shared" si="2"/>
        <v>15</v>
      </c>
      <c r="R13" s="820">
        <f t="shared" si="11"/>
        <v>15</v>
      </c>
      <c r="S13" s="820">
        <f t="shared" si="3"/>
        <v>10</v>
      </c>
      <c r="T13" s="820">
        <f t="shared" si="4"/>
        <v>100</v>
      </c>
      <c r="U13" s="818" t="s">
        <v>263</v>
      </c>
      <c r="V13" s="818" t="s">
        <v>263</v>
      </c>
      <c r="W13" s="820">
        <f t="shared" si="5"/>
        <v>0</v>
      </c>
      <c r="X13" s="820">
        <f t="shared" si="6"/>
        <v>0</v>
      </c>
      <c r="Y13" s="820" t="str">
        <f t="shared" si="7"/>
        <v>Debil</v>
      </c>
      <c r="Z13" s="818" t="s">
        <v>872</v>
      </c>
      <c r="AA13" s="820" t="str">
        <f t="shared" si="8"/>
        <v>Debil</v>
      </c>
      <c r="AB13" s="820" t="str">
        <f t="shared" si="12"/>
        <v>SI</v>
      </c>
      <c r="AC13" s="897"/>
      <c r="AD13" s="822"/>
    </row>
    <row r="14" spans="1:30" s="780" customFormat="1" ht="181.5" customHeight="1" x14ac:dyDescent="0.2">
      <c r="A14" s="816">
        <f>'[14]Identificación del Riesgo TIC'!D14</f>
        <v>6</v>
      </c>
      <c r="B14" s="654" t="str">
        <f>'[14]Identificación del Riesgo TIC'!E14</f>
        <v xml:space="preserve">Indisponibilidad de servicios de TI de la entidad. </v>
      </c>
      <c r="C14" s="823" t="str">
        <f>'[14]Identificación del Riesgo TIC'!H14</f>
        <v>Obsolescencia de la infraestructura tecnológica de la entidad.
No contar con el servicio de soporte y mantenimiento de las soluciones de TI
No se planifican adecuadamente los cambios en ítems de configuración de la infraestructura tecnológica a implementar. 
Ocurrencia de situaciones externas que afectan la continuidad de la prestación servicio</v>
      </c>
      <c r="D14" s="654" t="str">
        <f>'[14]Analisis Riesgo'!K12</f>
        <v>No se identifica control existente</v>
      </c>
      <c r="E14" s="654" t="str">
        <f>'[14]Analisis Riesgo'!L12</f>
        <v>No se identifica control existente</v>
      </c>
      <c r="F14" s="818" t="s">
        <v>833</v>
      </c>
      <c r="G14" s="818" t="s">
        <v>834</v>
      </c>
      <c r="H14" s="818" t="s">
        <v>867</v>
      </c>
      <c r="I14" s="818" t="s">
        <v>868</v>
      </c>
      <c r="J14" s="818" t="s">
        <v>869</v>
      </c>
      <c r="K14" s="819" t="s">
        <v>870</v>
      </c>
      <c r="L14" s="818" t="s">
        <v>871</v>
      </c>
      <c r="M14" s="820">
        <f t="shared" si="9"/>
        <v>0</v>
      </c>
      <c r="N14" s="820">
        <f t="shared" si="10"/>
        <v>0</v>
      </c>
      <c r="O14" s="820">
        <f t="shared" si="0"/>
        <v>0</v>
      </c>
      <c r="P14" s="820">
        <f t="shared" si="1"/>
        <v>0</v>
      </c>
      <c r="Q14" s="820">
        <f t="shared" si="2"/>
        <v>0</v>
      </c>
      <c r="R14" s="820">
        <f t="shared" si="11"/>
        <v>0</v>
      </c>
      <c r="S14" s="820">
        <f t="shared" si="3"/>
        <v>0</v>
      </c>
      <c r="T14" s="820">
        <f t="shared" si="4"/>
        <v>0</v>
      </c>
      <c r="U14" s="818" t="s">
        <v>263</v>
      </c>
      <c r="V14" s="818" t="s">
        <v>263</v>
      </c>
      <c r="W14" s="820">
        <f t="shared" si="5"/>
        <v>0</v>
      </c>
      <c r="X14" s="820">
        <f t="shared" si="6"/>
        <v>0</v>
      </c>
      <c r="Y14" s="820" t="str">
        <f t="shared" si="7"/>
        <v>Debil</v>
      </c>
      <c r="Z14" s="818" t="s">
        <v>872</v>
      </c>
      <c r="AA14" s="820" t="str">
        <f t="shared" si="8"/>
        <v>Debil</v>
      </c>
      <c r="AB14" s="820" t="str">
        <f t="shared" si="12"/>
        <v>SI</v>
      </c>
      <c r="AC14" s="821"/>
      <c r="AD14" s="901"/>
    </row>
    <row r="15" spans="1:30" s="780" customFormat="1" ht="125.25" customHeight="1" x14ac:dyDescent="0.2">
      <c r="A15" s="816">
        <f>'[14]Identificación del Riesgo TIC'!D15</f>
        <v>7</v>
      </c>
      <c r="B15" s="654" t="str">
        <f>'[14]Identificación del Riesgo TIC'!E15</f>
        <v>Otorgar privilegios o permisos para acceso a sistemas e información a particulares.</v>
      </c>
      <c r="C15" s="823" t="str">
        <f>'[14]Identificación del Riesgo TIC'!H15</f>
        <v>No se han definido ni estandarizado los responsables sobre los privilegios y permisos.
No se ajustan los permisos a los servidores públicos cuando se realizan cambios de estos en las dependencias o cuando se presentan novedades.
No se han planificado las interacciones con el proceso de gestión de Talento Humano cuando se presentan novedades de nómina.</v>
      </c>
      <c r="D15" s="654" t="str">
        <f>'[14]Analisis Riesgo'!K13</f>
        <v>No se identifica control existente</v>
      </c>
      <c r="E15" s="654" t="str">
        <f>'[14]Analisis Riesgo'!L13</f>
        <v>No se identifica control existente</v>
      </c>
      <c r="F15" s="818" t="s">
        <v>833</v>
      </c>
      <c r="G15" s="818" t="s">
        <v>834</v>
      </c>
      <c r="H15" s="818" t="s">
        <v>867</v>
      </c>
      <c r="I15" s="818" t="s">
        <v>868</v>
      </c>
      <c r="J15" s="818" t="s">
        <v>869</v>
      </c>
      <c r="K15" s="819" t="s">
        <v>870</v>
      </c>
      <c r="L15" s="818" t="s">
        <v>871</v>
      </c>
      <c r="M15" s="820">
        <f t="shared" si="9"/>
        <v>0</v>
      </c>
      <c r="N15" s="820">
        <f t="shared" si="10"/>
        <v>0</v>
      </c>
      <c r="O15" s="820">
        <f t="shared" si="0"/>
        <v>0</v>
      </c>
      <c r="P15" s="820">
        <f t="shared" si="1"/>
        <v>0</v>
      </c>
      <c r="Q15" s="820">
        <f t="shared" si="2"/>
        <v>0</v>
      </c>
      <c r="R15" s="820">
        <f t="shared" si="11"/>
        <v>0</v>
      </c>
      <c r="S15" s="820">
        <f t="shared" si="3"/>
        <v>0</v>
      </c>
      <c r="T15" s="820">
        <f t="shared" si="4"/>
        <v>0</v>
      </c>
      <c r="U15" s="818" t="s">
        <v>263</v>
      </c>
      <c r="V15" s="818" t="s">
        <v>263</v>
      </c>
      <c r="W15" s="820">
        <f t="shared" si="5"/>
        <v>0</v>
      </c>
      <c r="X15" s="820">
        <f t="shared" si="6"/>
        <v>0</v>
      </c>
      <c r="Y15" s="820" t="str">
        <f t="shared" si="7"/>
        <v>Debil</v>
      </c>
      <c r="Z15" s="818" t="s">
        <v>872</v>
      </c>
      <c r="AA15" s="820" t="str">
        <f t="shared" si="8"/>
        <v>Debil</v>
      </c>
      <c r="AB15" s="820" t="str">
        <f t="shared" si="12"/>
        <v>SI</v>
      </c>
      <c r="AC15" s="902"/>
      <c r="AD15" s="822"/>
    </row>
  </sheetData>
  <mergeCells count="12">
    <mergeCell ref="A6:C6"/>
    <mergeCell ref="D6:AD6"/>
    <mergeCell ref="A7:L7"/>
    <mergeCell ref="M7:Y7"/>
    <mergeCell ref="Z7:AB7"/>
    <mergeCell ref="AC7:AD7"/>
    <mergeCell ref="A1:C4"/>
    <mergeCell ref="D1:AB4"/>
    <mergeCell ref="AC1:AD2"/>
    <mergeCell ref="AC3:AD4"/>
    <mergeCell ref="A5:C5"/>
    <mergeCell ref="D5:AD5"/>
  </mergeCells>
  <dataValidations count="18">
    <dataValidation type="list" allowBlank="1" showInputMessage="1" showErrorMessage="1" sqref="Z10 Z12:Z15" xr:uid="{00000000-0002-0000-5A00-000000000000}">
      <formula1>"Siempre se ejecuta,Algunas veces se ejecuta,No se ejecuta"</formula1>
    </dataValidation>
    <dataValidation type="list" allowBlank="1" showInputMessage="1" showErrorMessage="1" sqref="F10 F12 F14:F15" xr:uid="{00000000-0002-0000-5A00-000001000000}">
      <formula1>"Asignado, No asignado"</formula1>
    </dataValidation>
    <dataValidation type="list" allowBlank="1" showInputMessage="1" showErrorMessage="1" sqref="G10 G12 G14:G15" xr:uid="{00000000-0002-0000-5A00-000002000000}">
      <formula1>"Adecuado, Inadecuado"</formula1>
    </dataValidation>
    <dataValidation type="list" allowBlank="1" showInputMessage="1" showErrorMessage="1" sqref="H10 H12 H14:H15" xr:uid="{00000000-0002-0000-5A00-000003000000}">
      <formula1>"Oportuna, Inoportuna"</formula1>
    </dataValidation>
    <dataValidation type="list" allowBlank="1" showInputMessage="1" showErrorMessage="1" sqref="I10 I12 I14:I15" xr:uid="{00000000-0002-0000-5A00-000004000000}">
      <formula1>"Prevenir, Detectar, No es un control"</formula1>
    </dataValidation>
    <dataValidation type="list" allowBlank="1" showInputMessage="1" showErrorMessage="1" sqref="J10 J12 J14:J15" xr:uid="{00000000-0002-0000-5A00-000005000000}">
      <formula1>"Confiable, No Confiable"</formula1>
    </dataValidation>
    <dataValidation type="list" allowBlank="1" showInputMessage="1" showErrorMessage="1" sqref="K10 K12 K14:K15" xr:uid="{00000000-0002-0000-5A00-000006000000}">
      <formula1>"Se invesigan y resuelven oportunamente, No se investigan y resuelven oportunamente"</formula1>
    </dataValidation>
    <dataValidation type="list" allowBlank="1" showInputMessage="1" showErrorMessage="1" sqref="L10 L12 L14:L15" xr:uid="{00000000-0002-0000-5A00-000007000000}">
      <formula1>"Completa, Incompleta, No existe"</formula1>
    </dataValidation>
    <dataValidation type="list" allowBlank="1" showInputMessage="1" showErrorMessage="1" sqref="U10:V10 U12:V15" xr:uid="{00000000-0002-0000-5A00-000008000000}">
      <formula1>"SI, NO"</formula1>
    </dataValidation>
    <dataValidation type="list" allowBlank="1" showInputMessage="1" showErrorMessage="1" sqref="Z9 Z11" xr:uid="{00000000-0002-0000-5A00-000009000000}">
      <formula1>"Siempre se ejecuta,Algunas veces se ejecuta,No se ejecuta,Seleccione"</formula1>
    </dataValidation>
    <dataValidation type="list" allowBlank="1" showInputMessage="1" showErrorMessage="1" sqref="U9:V9 U11:V11" xr:uid="{00000000-0002-0000-5A00-00000A000000}">
      <formula1>"SI, NO,Seleccione"</formula1>
    </dataValidation>
    <dataValidation type="list" allowBlank="1" showInputMessage="1" showErrorMessage="1" sqref="L9 L11 L13" xr:uid="{00000000-0002-0000-5A00-00000B000000}">
      <formula1>"Completa, Incompleta, No existe,Seleccione"</formula1>
    </dataValidation>
    <dataValidation type="list" allowBlank="1" showInputMessage="1" showErrorMessage="1" sqref="K9 K11 K13" xr:uid="{00000000-0002-0000-5A00-00000C000000}">
      <formula1>"Se investigan y resuelven oportunamente, No se investigan y resuelven oportunamente,Seleccione"</formula1>
    </dataValidation>
    <dataValidation type="list" allowBlank="1" showInputMessage="1" showErrorMessage="1" sqref="J9 J11 J13" xr:uid="{00000000-0002-0000-5A00-00000D000000}">
      <formula1>"Confiable, No Confiable,Seleccione"</formula1>
    </dataValidation>
    <dataValidation type="list" allowBlank="1" showInputMessage="1" showErrorMessage="1" sqref="I9 I11 I13" xr:uid="{00000000-0002-0000-5A00-00000E000000}">
      <formula1>"Prevenir, Detectar, No es un control,Seleccione"</formula1>
    </dataValidation>
    <dataValidation type="list" allowBlank="1" showInputMessage="1" showErrorMessage="1" sqref="H9 H11 H13" xr:uid="{00000000-0002-0000-5A00-00000F000000}">
      <formula1>"Oportuna, Inoportuna,Seleccione"</formula1>
    </dataValidation>
    <dataValidation type="list" allowBlank="1" showInputMessage="1" showErrorMessage="1" sqref="G9 G11 G13" xr:uid="{00000000-0002-0000-5A00-000010000000}">
      <formula1>"Adecuado, Inadecuado,Seleccione"</formula1>
    </dataValidation>
    <dataValidation type="list" allowBlank="1" showInputMessage="1" showErrorMessage="1" sqref="F9 F11 F13" xr:uid="{00000000-0002-0000-5A00-000011000000}">
      <formula1>"Asignado, No asignado, Seleccione"</formula1>
    </dataValidation>
  </dataValidations>
  <pageMargins left="0.11811023622047245" right="0.11811023622047245" top="1.1417322834645669" bottom="0.74803149606299213" header="0.31496062992125984" footer="0.31496062992125984"/>
  <pageSetup scale="36" orientation="landscape" horizontalDpi="1200" verticalDpi="1200" r:id="rId1"/>
  <headerFooter>
    <oddHeader>&amp;L&amp;G&amp;C
&amp;"-,Negrita"Matriz de Riesgos</oddHeader>
  </headerFooter>
  <rowBreaks count="3" manualBreakCount="3">
    <brk id="10" max="16383" man="1"/>
    <brk id="12" max="16383" man="1"/>
    <brk id="14" max="16383" man="1"/>
  </rowBreaks>
  <colBreaks count="1" manualBreakCount="1">
    <brk id="12" max="1048575" man="1"/>
  </colBreaks>
  <drawing r:id="rId2"/>
  <legacyDrawingHF r:id="rId3"/>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X11"/>
  <sheetViews>
    <sheetView topLeftCell="H10" zoomScale="70" zoomScaleNormal="70" workbookViewId="0">
      <selection activeCell="E6" sqref="E6:L6"/>
    </sheetView>
  </sheetViews>
  <sheetFormatPr baseColWidth="10" defaultRowHeight="18" customHeight="1" x14ac:dyDescent="0.2"/>
  <cols>
    <col min="1" max="1" width="3.625" style="534" customWidth="1"/>
    <col min="2" max="2" width="28.75" style="534" customWidth="1"/>
    <col min="3" max="3" width="48.375" style="534" customWidth="1"/>
    <col min="4" max="4" width="38.5" style="534" customWidth="1"/>
    <col min="5" max="5" width="20.5" style="534" customWidth="1"/>
    <col min="6" max="6" width="15.75" style="534" customWidth="1"/>
    <col min="7" max="7" width="23" style="534" customWidth="1"/>
    <col min="8" max="10" width="19.375" style="534" customWidth="1"/>
    <col min="11" max="11" width="18.25" style="534" customWidth="1"/>
    <col min="12" max="12" width="57.25" style="534" customWidth="1"/>
    <col min="13" max="13" width="27.25" style="534" customWidth="1"/>
    <col min="14" max="15" width="10.75" style="534" customWidth="1"/>
    <col min="16" max="16" width="27.25" style="534" customWidth="1"/>
    <col min="17" max="22" width="25.75" style="534" customWidth="1"/>
    <col min="23" max="23" width="33.5" style="534" customWidth="1"/>
    <col min="24" max="24" width="45.625" style="534" customWidth="1"/>
    <col min="25" max="16384" width="11" style="534"/>
  </cols>
  <sheetData>
    <row r="1" spans="1:24" ht="18.75" x14ac:dyDescent="0.2">
      <c r="A1" s="1179"/>
      <c r="B1" s="1179"/>
      <c r="C1" s="1179"/>
      <c r="D1" s="1180" t="s">
        <v>314</v>
      </c>
      <c r="E1" s="1181"/>
      <c r="F1" s="1181"/>
      <c r="G1" s="1181"/>
      <c r="H1" s="1181"/>
      <c r="I1" s="1181"/>
      <c r="J1" s="1181"/>
      <c r="K1" s="1181"/>
      <c r="L1" s="1181"/>
      <c r="M1" s="1181"/>
      <c r="N1" s="1181"/>
      <c r="O1" s="1181"/>
      <c r="P1" s="1181"/>
      <c r="Q1" s="1181"/>
      <c r="R1" s="1181"/>
      <c r="S1" s="1181"/>
      <c r="T1" s="1181"/>
      <c r="U1" s="1181"/>
      <c r="V1" s="1182"/>
      <c r="W1" s="532" t="s">
        <v>315</v>
      </c>
      <c r="X1" s="533"/>
    </row>
    <row r="2" spans="1:24" ht="19.5" thickBot="1" x14ac:dyDescent="0.25">
      <c r="A2" s="1179"/>
      <c r="B2" s="1179"/>
      <c r="C2" s="1179"/>
      <c r="D2" s="1183"/>
      <c r="E2" s="1184"/>
      <c r="F2" s="1184"/>
      <c r="G2" s="1184"/>
      <c r="H2" s="1184"/>
      <c r="I2" s="1184"/>
      <c r="J2" s="1184"/>
      <c r="K2" s="1184"/>
      <c r="L2" s="1184"/>
      <c r="M2" s="1184"/>
      <c r="N2" s="1184"/>
      <c r="O2" s="1184"/>
      <c r="P2" s="1184"/>
      <c r="Q2" s="1184"/>
      <c r="R2" s="1184"/>
      <c r="S2" s="1184"/>
      <c r="T2" s="1184"/>
      <c r="U2" s="1184"/>
      <c r="V2" s="1185"/>
      <c r="W2" s="532" t="s">
        <v>316</v>
      </c>
      <c r="X2" s="533"/>
    </row>
    <row r="3" spans="1:24" ht="18.75" x14ac:dyDescent="0.25">
      <c r="A3" s="1186" t="s">
        <v>57</v>
      </c>
      <c r="B3" s="1187"/>
      <c r="C3" s="1187"/>
      <c r="D3" s="1187"/>
      <c r="E3" s="1187"/>
      <c r="F3" s="1187"/>
      <c r="G3" s="1188"/>
      <c r="H3" s="1189"/>
      <c r="I3" s="1189"/>
      <c r="J3" s="1189"/>
      <c r="K3" s="1189"/>
      <c r="L3" s="1607" t="s">
        <v>60</v>
      </c>
      <c r="M3" s="1606"/>
      <c r="N3" s="1606"/>
      <c r="O3" s="1606"/>
      <c r="P3" s="1608"/>
      <c r="Q3" s="1609" t="s">
        <v>61</v>
      </c>
      <c r="R3" s="1604"/>
      <c r="S3" s="1604"/>
      <c r="T3" s="1604"/>
      <c r="U3" s="1604"/>
      <c r="V3" s="1605"/>
      <c r="W3" s="758" t="s">
        <v>62</v>
      </c>
      <c r="X3" s="758" t="s">
        <v>63</v>
      </c>
    </row>
    <row r="4" spans="1:24" ht="39" thickBot="1" x14ac:dyDescent="0.25">
      <c r="A4" s="698" t="s">
        <v>44</v>
      </c>
      <c r="B4" s="699" t="s">
        <v>64</v>
      </c>
      <c r="C4" s="699" t="s">
        <v>65</v>
      </c>
      <c r="D4" s="699" t="s">
        <v>317</v>
      </c>
      <c r="E4" s="699" t="s">
        <v>68</v>
      </c>
      <c r="F4" s="699" t="s">
        <v>69</v>
      </c>
      <c r="G4" s="700" t="s">
        <v>71</v>
      </c>
      <c r="H4" s="699" t="s">
        <v>81</v>
      </c>
      <c r="I4" s="699" t="s">
        <v>82</v>
      </c>
      <c r="J4" s="699" t="s">
        <v>83</v>
      </c>
      <c r="K4" s="701" t="s">
        <v>84</v>
      </c>
      <c r="L4" s="827" t="s">
        <v>85</v>
      </c>
      <c r="M4" s="828" t="s">
        <v>86</v>
      </c>
      <c r="N4" s="828" t="s">
        <v>87</v>
      </c>
      <c r="O4" s="828" t="s">
        <v>88</v>
      </c>
      <c r="P4" s="829" t="s">
        <v>89</v>
      </c>
      <c r="Q4" s="827" t="s">
        <v>90</v>
      </c>
      <c r="R4" s="828" t="s">
        <v>91</v>
      </c>
      <c r="S4" s="828" t="s">
        <v>92</v>
      </c>
      <c r="T4" s="828" t="s">
        <v>91</v>
      </c>
      <c r="U4" s="828" t="s">
        <v>93</v>
      </c>
      <c r="V4" s="829" t="s">
        <v>91</v>
      </c>
      <c r="W4" s="830" t="s">
        <v>94</v>
      </c>
      <c r="X4" s="830" t="s">
        <v>95</v>
      </c>
    </row>
    <row r="5" spans="1:24" ht="85.5" x14ac:dyDescent="0.2">
      <c r="A5" s="703">
        <v>1</v>
      </c>
      <c r="B5" s="703" t="str">
        <f>+'[14]Identificación del Riesgo TIC'!E9</f>
        <v xml:space="preserve">Indisponibilidad de servicios críticos de la entidad </v>
      </c>
      <c r="C5" s="703" t="str">
        <f>+'[14]Identificación del Riesgo TIC'!H9</f>
        <v>Desconocimiento de la alta dirección sobre la importancia y metodología relacionada con el BIA.
Se concibe que la responsabilidad sobre la Continuidad del Negocio corresponde solamente al proceso Gestión TIC.</v>
      </c>
      <c r="D5" s="703" t="str">
        <f>+'[14]Identificación del Riesgo TIC'!I9</f>
        <v>No contar con un DRP alineado a los requerimientos institucionales.
Ineficiencia en la administración de los recursos.</v>
      </c>
      <c r="E5" s="705" t="str">
        <f>+'[14]Analisis Riesgo'!F7</f>
        <v>Probable</v>
      </c>
      <c r="F5" s="705" t="str">
        <f>+'[14]Analisis Riesgo'!G7</f>
        <v>Moderado</v>
      </c>
      <c r="G5" s="831" t="str">
        <f>+'[14]Analisis Riesgo'!I7</f>
        <v>ALTO</v>
      </c>
      <c r="H5" s="705" t="str">
        <f>+'[14]Analisis Riesgo'!U7</f>
        <v>Posible</v>
      </c>
      <c r="I5" s="705" t="str">
        <f>+'[14]Analisis Riesgo'!V7</f>
        <v>Menor</v>
      </c>
      <c r="J5" s="716" t="str">
        <f>+'[14]Analisis Riesgo'!W7</f>
        <v>MODERADO</v>
      </c>
      <c r="K5" s="703" t="str">
        <f>+'[14]Analisis Riesgo'!X7</f>
        <v>Reducir el riesgo</v>
      </c>
      <c r="L5" s="707" t="s">
        <v>1142</v>
      </c>
      <c r="M5" s="708" t="s">
        <v>1017</v>
      </c>
      <c r="N5" s="709">
        <v>44285</v>
      </c>
      <c r="O5" s="709">
        <v>44377</v>
      </c>
      <c r="P5" s="710" t="s">
        <v>1143</v>
      </c>
      <c r="Q5" s="833"/>
      <c r="R5" s="834"/>
      <c r="S5" s="834"/>
      <c r="T5" s="834"/>
      <c r="U5" s="834"/>
      <c r="V5" s="835"/>
      <c r="W5" s="836"/>
      <c r="X5" s="836"/>
    </row>
    <row r="6" spans="1:24" ht="199.5" x14ac:dyDescent="0.2">
      <c r="A6" s="703">
        <v>2</v>
      </c>
      <c r="B6" s="703" t="str">
        <f>+'[14]Identificación del Riesgo TIC'!E10</f>
        <v>Reprocesos en la implementación de los proyectos de la entidad que aplican componentes de tecnología</v>
      </c>
      <c r="C6" s="703" t="str">
        <f>+'[14]Identificación del Riesgo TIC'!H10</f>
        <v>Falta de alineación de los proyectos con los lineamientos de la arquitectura institucional de la UPME.
No considerar el acompañamiento del proceso en Proyectos donde sea necesario el componente de tecnología.</v>
      </c>
      <c r="D6" s="703" t="str">
        <f>+'[14]Identificación del Riesgo TIC'!I10</f>
        <v>Pérdida de credibilidad del proceso en la entidad.
Sobrecostos de los proyectos.
Retrasos.</v>
      </c>
      <c r="E6" s="705" t="str">
        <f>+'[14]Analisis Riesgo'!F8</f>
        <v>Improbable</v>
      </c>
      <c r="F6" s="705" t="str">
        <f>+'[14]Analisis Riesgo'!G8</f>
        <v>Mayor</v>
      </c>
      <c r="G6" s="831" t="str">
        <f>+'[14]Analisis Riesgo'!I8</f>
        <v>ALTO</v>
      </c>
      <c r="H6" s="705" t="str">
        <f>+'[14]Analisis Riesgo'!U8</f>
        <v>Improbable</v>
      </c>
      <c r="I6" s="705" t="str">
        <f>+'[14]Analisis Riesgo'!V8</f>
        <v>Mayor</v>
      </c>
      <c r="J6" s="831" t="str">
        <f>+'[14]Analisis Riesgo'!W8</f>
        <v>ALTO</v>
      </c>
      <c r="K6" s="703" t="str">
        <f>+'[14]Analisis Riesgo'!X8</f>
        <v>Reducir el riesgo</v>
      </c>
      <c r="L6" s="707" t="s">
        <v>1144</v>
      </c>
      <c r="M6" s="708" t="s">
        <v>1145</v>
      </c>
      <c r="N6" s="860" t="s">
        <v>1146</v>
      </c>
      <c r="O6" s="860" t="s">
        <v>1147</v>
      </c>
      <c r="P6" s="708" t="s">
        <v>1148</v>
      </c>
      <c r="Q6" s="837"/>
      <c r="R6" s="838"/>
      <c r="S6" s="838"/>
      <c r="T6" s="838"/>
      <c r="U6" s="838"/>
      <c r="V6" s="839"/>
      <c r="W6" s="840"/>
      <c r="X6" s="840"/>
    </row>
    <row r="7" spans="1:24" ht="99.75" x14ac:dyDescent="0.2">
      <c r="A7" s="703">
        <v>3</v>
      </c>
      <c r="B7" s="703" t="str">
        <f>+'[14]Identificación del Riesgo TIC'!E11</f>
        <v>Falta de Continuidad de la ejecución del PETI por cambios en las necesidades, enfoques y prioridades de la administración.</v>
      </c>
      <c r="C7" s="703" t="str">
        <f>+'[14]Identificación del Riesgo TIC'!H11</f>
        <v>Desconocimiento de la importancia de la política de Gobierno digital por parte de los servidores públicos.
Resistencia al cambio por parte de los servidores públicos sobre el alcance de los procesos.
No contar con el presupuesto para desarrollar el PETI.</v>
      </c>
      <c r="D7" s="703" t="str">
        <f>+'[14]Identificación del Riesgo TIC'!I11</f>
        <v>Pérdida de credibilidad del proceso en la entidad.
Sobrecostos de los proyectos.
Retrasos.</v>
      </c>
      <c r="E7" s="705" t="str">
        <f>+'[14]Analisis Riesgo'!F9</f>
        <v>Probable</v>
      </c>
      <c r="F7" s="705" t="str">
        <f>+'[14]Analisis Riesgo'!G9</f>
        <v>Mayor</v>
      </c>
      <c r="G7" s="898" t="str">
        <f>+'[14]Analisis Riesgo'!I9</f>
        <v>EXTREMO</v>
      </c>
      <c r="H7" s="705" t="str">
        <f>+'[14]Analisis Riesgo'!U9</f>
        <v>Posible</v>
      </c>
      <c r="I7" s="705" t="str">
        <f>+'[14]Analisis Riesgo'!V9</f>
        <v>Moderado</v>
      </c>
      <c r="J7" s="831" t="str">
        <f>+'[14]Analisis Riesgo'!W9</f>
        <v>ALTO</v>
      </c>
      <c r="K7" s="703" t="str">
        <f>+'[14]Analisis Riesgo'!X9</f>
        <v>Reducir el riesgo</v>
      </c>
      <c r="L7" s="710" t="s">
        <v>1149</v>
      </c>
      <c r="M7" s="708" t="s">
        <v>1145</v>
      </c>
      <c r="N7" s="860">
        <v>44285</v>
      </c>
      <c r="O7" s="860">
        <v>44377</v>
      </c>
      <c r="P7" s="708" t="s">
        <v>1150</v>
      </c>
      <c r="Q7" s="837"/>
      <c r="R7" s="838"/>
      <c r="S7" s="838"/>
      <c r="T7" s="838"/>
      <c r="U7" s="838"/>
      <c r="V7" s="839"/>
      <c r="W7" s="840"/>
      <c r="X7" s="840"/>
    </row>
    <row r="8" spans="1:24" ht="128.25" x14ac:dyDescent="0.2">
      <c r="A8" s="703">
        <v>4</v>
      </c>
      <c r="B8" s="703" t="str">
        <f>+'[14]Identificación del Riesgo TIC'!E12</f>
        <v>Retrasos en la prestación de los servicios del proceso</v>
      </c>
      <c r="C8" s="703" t="str">
        <f>+'[14]Identificación del Riesgo TIC'!H12</f>
        <v>Desconocimiento por parte de los servidores públicos sobre los procedimientos asociados a la prestación de servicios de TI
No se utiliza la mesa de servicios como único canal de recepción de requerimientos por parte de los servidores públicos.
Ausencia de un catálogo de Servicios</v>
      </c>
      <c r="D8" s="703" t="str">
        <f>+'[14]Identificación del Riesgo TIC'!I12</f>
        <v>Pérdida de credibilidad del proceso en la entidad.</v>
      </c>
      <c r="E8" s="705" t="str">
        <f>+'[14]Analisis Riesgo'!F10</f>
        <v>Casi Seguro</v>
      </c>
      <c r="F8" s="705" t="str">
        <f>+'[14]Analisis Riesgo'!G10</f>
        <v>Menor</v>
      </c>
      <c r="G8" s="831" t="str">
        <f>+'[14]Analisis Riesgo'!I10</f>
        <v>ALTO</v>
      </c>
      <c r="H8" s="705" t="str">
        <f>+'[14]Analisis Riesgo'!U10</f>
        <v>Casi Seguro</v>
      </c>
      <c r="I8" s="705" t="str">
        <f>+'[14]Analisis Riesgo'!V10</f>
        <v>Menor</v>
      </c>
      <c r="J8" s="831" t="str">
        <f>+'[14]Analisis Riesgo'!W10</f>
        <v>ALTO</v>
      </c>
      <c r="K8" s="703" t="str">
        <f>+'[14]Analisis Riesgo'!X10</f>
        <v>Reducir el riesgo</v>
      </c>
      <c r="L8" s="710" t="s">
        <v>1151</v>
      </c>
      <c r="M8" s="708" t="s">
        <v>1145</v>
      </c>
      <c r="N8" s="860">
        <v>44440</v>
      </c>
      <c r="O8" s="860">
        <v>44560</v>
      </c>
      <c r="P8" s="708" t="s">
        <v>1152</v>
      </c>
      <c r="Q8" s="837"/>
      <c r="R8" s="838"/>
      <c r="S8" s="838"/>
      <c r="T8" s="838"/>
      <c r="U8" s="838"/>
      <c r="V8" s="839"/>
      <c r="W8" s="840"/>
      <c r="X8" s="840"/>
    </row>
    <row r="9" spans="1:24" ht="114" x14ac:dyDescent="0.2">
      <c r="A9" s="703">
        <v>5</v>
      </c>
      <c r="B9" s="703" t="str">
        <f>+'[14]Identificación del Riesgo TIC'!E13</f>
        <v>Prestar los servicios bajo condiciones no controladas</v>
      </c>
      <c r="C9" s="703" t="str">
        <f>+'[14]Identificación del Riesgo TIC'!H13</f>
        <v>No se cuenta con procedimientos que estandaricen la gestión del proceso.
No se han establecido oficialmente los acuerdos de niveles de servicio.
No se han definido los Acuerdos Operacionales del Servicio en el proceso.</v>
      </c>
      <c r="D9" s="703" t="str">
        <f>+'[14]Identificación del Riesgo TIC'!I13</f>
        <v>Pérdida de credibilidad del proceso en la entidad.
Hallazgos de control interno.
Incumplimientos de requisitos.
Afectación a los servicios de TI</v>
      </c>
      <c r="E9" s="705" t="str">
        <f>+'[14]Analisis Riesgo'!F11</f>
        <v>Casi Seguro</v>
      </c>
      <c r="F9" s="705" t="str">
        <f>+'[14]Analisis Riesgo'!G11</f>
        <v>Menor</v>
      </c>
      <c r="G9" s="831" t="str">
        <f>+'[14]Analisis Riesgo'!I11</f>
        <v>ALTO</v>
      </c>
      <c r="H9" s="705" t="str">
        <f>+'[14]Analisis Riesgo'!U11</f>
        <v>Casi Seguro</v>
      </c>
      <c r="I9" s="705" t="str">
        <f>+'[14]Analisis Riesgo'!V11</f>
        <v>Menor</v>
      </c>
      <c r="J9" s="831" t="str">
        <f>+'[14]Analisis Riesgo'!W11</f>
        <v>ALTO</v>
      </c>
      <c r="K9" s="703" t="str">
        <f>+'[14]Analisis Riesgo'!X11</f>
        <v>Reducir el riesgo</v>
      </c>
      <c r="L9" s="710" t="s">
        <v>1153</v>
      </c>
      <c r="M9" s="708" t="s">
        <v>1145</v>
      </c>
      <c r="N9" s="709">
        <v>44346</v>
      </c>
      <c r="O9" s="709">
        <v>44407</v>
      </c>
      <c r="P9" s="710" t="s">
        <v>1154</v>
      </c>
      <c r="Q9" s="837"/>
      <c r="R9" s="838"/>
      <c r="S9" s="838"/>
      <c r="T9" s="838"/>
      <c r="U9" s="838"/>
      <c r="V9" s="839"/>
      <c r="W9" s="840"/>
      <c r="X9" s="840"/>
    </row>
    <row r="10" spans="1:24" ht="102" customHeight="1" x14ac:dyDescent="0.2">
      <c r="A10" s="534">
        <v>6</v>
      </c>
      <c r="B10" s="703" t="str">
        <f>+'[14]Identificación del Riesgo TIC'!E14</f>
        <v xml:space="preserve">Indisponibilidad de servicios de TI de la entidad. </v>
      </c>
      <c r="C10" s="703" t="str">
        <f>+'[14]Identificación del Riesgo TIC'!H14</f>
        <v>Obsolescencia de la infraestructura tecnológica de la entidad.
No contar con el servicio de soporte y mantenimiento de las soluciones de TI
No se planifican adecuadamente los cambios en ítems de configuración de la infraestructura tecnológica a implementar. 
Ocurrencia de situaciones externas que afectan la continuidad de la prestación servicio</v>
      </c>
      <c r="D10" s="703" t="str">
        <f>+'[14]Identificación del Riesgo TIC'!I14</f>
        <v>Ineficiencia en la administración de los recursos.
Pérdida de credibilidad del proceso en la entidad.</v>
      </c>
      <c r="E10" s="705" t="str">
        <f>+'[14]Analisis Riesgo'!F12</f>
        <v>Probable</v>
      </c>
      <c r="F10" s="705" t="str">
        <f>+'[14]Analisis Riesgo'!G12</f>
        <v>Mayor</v>
      </c>
      <c r="G10" s="898" t="str">
        <f>+'[14]Analisis Riesgo'!I12</f>
        <v>EXTREMO</v>
      </c>
      <c r="H10" s="705" t="str">
        <f>+'[14]Analisis Riesgo'!U12</f>
        <v>Probable</v>
      </c>
      <c r="I10" s="705" t="str">
        <f>+'[14]Analisis Riesgo'!V12</f>
        <v>Mayor</v>
      </c>
      <c r="J10" s="898" t="str">
        <f>+'[14]Analisis Riesgo'!W12</f>
        <v>EXTREMO</v>
      </c>
      <c r="K10" s="703" t="str">
        <f>+'[14]Analisis Riesgo'!X12</f>
        <v>Reducir el riesgo</v>
      </c>
      <c r="L10" s="853" t="s">
        <v>1155</v>
      </c>
      <c r="M10" s="708" t="s">
        <v>1145</v>
      </c>
      <c r="N10" s="709">
        <v>44285</v>
      </c>
      <c r="O10" s="709">
        <v>44407</v>
      </c>
      <c r="P10" s="903" t="s">
        <v>1156</v>
      </c>
    </row>
    <row r="11" spans="1:24" ht="102" customHeight="1" x14ac:dyDescent="0.2">
      <c r="A11" s="534">
        <v>7</v>
      </c>
      <c r="B11" s="703" t="str">
        <f>+'[14]Identificación del Riesgo TIC'!E15</f>
        <v>Otorgar privilegios o permisos para acceso a sistemas e información a particulares.</v>
      </c>
      <c r="C11" s="703" t="str">
        <f>+'[14]Identificación del Riesgo TIC'!H15</f>
        <v>No se han definido ni estandarizado los responsables sobre los privilegios y permisos.
No se ajustan los permisos a los servidores públicos cuando se realizan cambios de estos en las dependencias o cuando se presentan novedades.
No se han planificado las interacciones con el proceso de gestión de Talento Humano cuando se presentan novedades de nómina.</v>
      </c>
      <c r="D11" s="703" t="str">
        <f>+'[14]Identificación del Riesgo TIC'!I15</f>
        <v>Pérdida de credibilidad del proceso en la entidad.</v>
      </c>
      <c r="E11" s="705" t="str">
        <f>+'[14]Analisis Riesgo'!F13</f>
        <v>Rara vez</v>
      </c>
      <c r="F11" s="705" t="str">
        <f>+'[14]Analisis Riesgo'!G13</f>
        <v>Catastrófico</v>
      </c>
      <c r="G11" s="898" t="str">
        <f>+'[14]Analisis Riesgo'!I13</f>
        <v>EXTREMO</v>
      </c>
      <c r="H11" s="705" t="str">
        <f>+'[14]Analisis Riesgo'!U13</f>
        <v>Rara vez</v>
      </c>
      <c r="I11" s="705" t="str">
        <f>+'[14]Analisis Riesgo'!V13</f>
        <v>Catastrófico</v>
      </c>
      <c r="J11" s="898" t="str">
        <f>+'[14]Analisis Riesgo'!W13</f>
        <v>EXTREMO</v>
      </c>
      <c r="K11" s="703" t="str">
        <f>+'[14]Analisis Riesgo'!X13</f>
        <v>Reducir el riesgo</v>
      </c>
      <c r="L11" s="707" t="s">
        <v>1157</v>
      </c>
      <c r="M11" s="708" t="s">
        <v>1145</v>
      </c>
      <c r="N11" s="709">
        <v>44346</v>
      </c>
      <c r="O11" s="709">
        <v>44407</v>
      </c>
      <c r="P11" s="710" t="s">
        <v>1158</v>
      </c>
    </row>
  </sheetData>
  <mergeCells count="6">
    <mergeCell ref="A1:C2"/>
    <mergeCell ref="D1:V2"/>
    <mergeCell ref="A3:G3"/>
    <mergeCell ref="H3:K3"/>
    <mergeCell ref="L3:P3"/>
    <mergeCell ref="Q3:V3"/>
  </mergeCells>
  <pageMargins left="0.7" right="0.7" top="0.75" bottom="0.75" header="0.3" footer="0.3"/>
  <drawing r:id="rId1"/>
  <legacyDrawing r:id="rId2"/>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E21"/>
  <sheetViews>
    <sheetView showGridLines="0" zoomScaleNormal="100" zoomScaleSheetLayoutView="115" zoomScalePageLayoutView="90" workbookViewId="0">
      <selection activeCell="C7" sqref="C7"/>
    </sheetView>
  </sheetViews>
  <sheetFormatPr baseColWidth="10" defaultRowHeight="15" x14ac:dyDescent="0.25"/>
  <cols>
    <col min="1" max="1" width="20.375" style="743" customWidth="1"/>
    <col min="2" max="2" width="37.125" style="743" customWidth="1"/>
    <col min="3" max="3" width="39" style="743" customWidth="1"/>
    <col min="4" max="4" width="14.25" style="743" customWidth="1"/>
    <col min="5" max="5" width="21.125" style="743" customWidth="1"/>
    <col min="6" max="16384" width="11" style="743"/>
  </cols>
  <sheetData>
    <row r="1" spans="1:5" x14ac:dyDescent="0.25">
      <c r="A1" s="1568"/>
      <c r="B1" s="1570" t="s">
        <v>0</v>
      </c>
      <c r="C1" s="1570"/>
      <c r="D1" s="1570"/>
      <c r="E1" s="1571" t="s">
        <v>29</v>
      </c>
    </row>
    <row r="2" spans="1:5" x14ac:dyDescent="0.25">
      <c r="A2" s="1568"/>
      <c r="B2" s="1570"/>
      <c r="C2" s="1570"/>
      <c r="D2" s="1570"/>
      <c r="E2" s="1571"/>
    </row>
    <row r="3" spans="1:5" x14ac:dyDescent="0.25">
      <c r="A3" s="1568"/>
      <c r="B3" s="1570"/>
      <c r="C3" s="1570"/>
      <c r="D3" s="1570"/>
      <c r="E3" s="1572" t="s">
        <v>2</v>
      </c>
    </row>
    <row r="4" spans="1:5" ht="15.75" thickBot="1" x14ac:dyDescent="0.3">
      <c r="A4" s="1568"/>
      <c r="B4" s="1570"/>
      <c r="C4" s="1570"/>
      <c r="D4" s="1570"/>
      <c r="E4" s="1572"/>
    </row>
    <row r="5" spans="1:5" ht="15.75" thickBot="1" x14ac:dyDescent="0.3">
      <c r="A5" s="1573" t="s">
        <v>30</v>
      </c>
      <c r="B5" s="1574"/>
      <c r="C5" s="1574"/>
      <c r="D5" s="1574"/>
      <c r="E5" s="1575"/>
    </row>
    <row r="6" spans="1:5" ht="15" customHeight="1" x14ac:dyDescent="0.25">
      <c r="A6" s="744" t="s">
        <v>31</v>
      </c>
      <c r="B6" s="745" t="s">
        <v>32</v>
      </c>
      <c r="C6" s="744" t="s">
        <v>33</v>
      </c>
      <c r="D6" s="1576" t="s">
        <v>34</v>
      </c>
      <c r="E6" s="1577"/>
    </row>
    <row r="7" spans="1:5" ht="409.5" customHeight="1" x14ac:dyDescent="0.25">
      <c r="A7" s="841"/>
      <c r="B7" s="842" t="s">
        <v>1159</v>
      </c>
      <c r="C7" s="843" t="s">
        <v>1160</v>
      </c>
      <c r="D7" s="1640" t="s">
        <v>1161</v>
      </c>
      <c r="E7" s="1641"/>
    </row>
    <row r="15" spans="1:5" x14ac:dyDescent="0.25">
      <c r="C15" s="844"/>
    </row>
    <row r="16" spans="1:5" x14ac:dyDescent="0.25">
      <c r="C16" s="844"/>
    </row>
    <row r="17" spans="2:3" ht="90" x14ac:dyDescent="0.25">
      <c r="B17" s="541" t="s">
        <v>801</v>
      </c>
      <c r="C17" s="844"/>
    </row>
    <row r="18" spans="2:3" x14ac:dyDescent="0.25">
      <c r="C18" s="844"/>
    </row>
    <row r="19" spans="2:3" x14ac:dyDescent="0.25">
      <c r="C19" s="844"/>
    </row>
    <row r="20" spans="2:3" x14ac:dyDescent="0.25">
      <c r="C20" s="844"/>
    </row>
    <row r="21" spans="2:3" x14ac:dyDescent="0.25">
      <c r="C21" s="845"/>
    </row>
  </sheetData>
  <mergeCells count="7">
    <mergeCell ref="D7:E7"/>
    <mergeCell ref="A1:A4"/>
    <mergeCell ref="B1:D4"/>
    <mergeCell ref="E1:E2"/>
    <mergeCell ref="E3:E4"/>
    <mergeCell ref="A5:E5"/>
    <mergeCell ref="D6:E6"/>
  </mergeCells>
  <pageMargins left="0.31496062992125984" right="0.31496062992125984" top="1.1417322834645669" bottom="0.35433070866141736" header="0.31496062992125984" footer="0.31496062992125984"/>
  <pageSetup scale="88" orientation="landscape" horizontalDpi="1200" verticalDpi="1200" r:id="rId1"/>
  <headerFooter>
    <oddHeader>&amp;L&amp;G&amp;C
&amp;"-,Negrita"Matriz de Riesgos</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C00-000000000000}">
          <x14:formula1>
            <xm:f>'C:\Users\sgomez.UPME\Documents\UPME 2020\Documents\Mapas de riesgos\[Mapa de riesgos. Gestión Del Talento Humano.xlsx]Datos'!#REF!</xm:f>
          </x14:formula1>
          <xm:sqref>A7</xm:sqref>
        </x14:dataValidation>
      </x14:dataValidations>
    </ext>
  </extLst>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N14"/>
  <sheetViews>
    <sheetView showGridLines="0" zoomScale="80" zoomScaleNormal="80" zoomScaleSheetLayoutView="130" zoomScalePageLayoutView="90" workbookViewId="0">
      <selection activeCell="F9" sqref="F9"/>
    </sheetView>
  </sheetViews>
  <sheetFormatPr baseColWidth="10" defaultRowHeight="15" x14ac:dyDescent="0.25"/>
  <cols>
    <col min="1" max="2" width="13.25" style="743" customWidth="1"/>
    <col min="3" max="3" width="16.875" style="743" customWidth="1"/>
    <col min="4" max="4" width="3.625" style="746" customWidth="1"/>
    <col min="5" max="5" width="18.375" style="743" customWidth="1"/>
    <col min="6" max="6" width="21.625" style="743" customWidth="1"/>
    <col min="7" max="7" width="15" style="743" customWidth="1"/>
    <col min="8" max="8" width="44.375" style="743" customWidth="1"/>
    <col min="9" max="9" width="33.375" style="743" customWidth="1"/>
    <col min="10" max="10" width="20.625" style="743" customWidth="1"/>
    <col min="11" max="11" width="14.75" style="743" customWidth="1"/>
    <col min="12" max="12" width="18.75" style="743" customWidth="1"/>
    <col min="13" max="13" width="12.75" style="743" customWidth="1"/>
    <col min="14" max="14" width="27.125" style="743" customWidth="1"/>
    <col min="15" max="16384" width="11" style="743"/>
  </cols>
  <sheetData>
    <row r="1" spans="1:14" ht="15" customHeight="1" x14ac:dyDescent="0.25">
      <c r="A1" s="1578"/>
      <c r="B1" s="1578"/>
      <c r="C1" s="1578"/>
      <c r="D1" s="1580" t="s">
        <v>0</v>
      </c>
      <c r="E1" s="1580"/>
      <c r="F1" s="1580"/>
      <c r="G1" s="1580"/>
      <c r="H1" s="1580"/>
      <c r="I1" s="1580"/>
      <c r="J1" s="1580"/>
      <c r="K1" s="1580"/>
      <c r="L1" s="1580"/>
      <c r="M1" s="1581"/>
      <c r="N1" s="1584" t="s">
        <v>35</v>
      </c>
    </row>
    <row r="2" spans="1:14" ht="15" customHeight="1" x14ac:dyDescent="0.25">
      <c r="A2" s="1578"/>
      <c r="B2" s="1578"/>
      <c r="C2" s="1578"/>
      <c r="D2" s="1580"/>
      <c r="E2" s="1580"/>
      <c r="F2" s="1580"/>
      <c r="G2" s="1580"/>
      <c r="H2" s="1580"/>
      <c r="I2" s="1580"/>
      <c r="J2" s="1580"/>
      <c r="K2" s="1580"/>
      <c r="L2" s="1580"/>
      <c r="M2" s="1581"/>
      <c r="N2" s="1584"/>
    </row>
    <row r="3" spans="1:14" ht="15" customHeight="1" x14ac:dyDescent="0.25">
      <c r="A3" s="1578"/>
      <c r="B3" s="1578"/>
      <c r="C3" s="1578"/>
      <c r="D3" s="1580"/>
      <c r="E3" s="1580"/>
      <c r="F3" s="1580"/>
      <c r="G3" s="1580"/>
      <c r="H3" s="1580"/>
      <c r="I3" s="1580"/>
      <c r="J3" s="1580"/>
      <c r="K3" s="1580"/>
      <c r="L3" s="1580"/>
      <c r="M3" s="1581"/>
      <c r="N3" s="1584" t="s">
        <v>2</v>
      </c>
    </row>
    <row r="4" spans="1:14" ht="15" customHeight="1" x14ac:dyDescent="0.25">
      <c r="A4" s="1579"/>
      <c r="B4" s="1579"/>
      <c r="C4" s="1579"/>
      <c r="D4" s="1582"/>
      <c r="E4" s="1582"/>
      <c r="F4" s="1582"/>
      <c r="G4" s="1582"/>
      <c r="H4" s="1582"/>
      <c r="I4" s="1582"/>
      <c r="J4" s="1582"/>
      <c r="K4" s="1582"/>
      <c r="L4" s="1582"/>
      <c r="M4" s="1583"/>
      <c r="N4" s="1584"/>
    </row>
    <row r="5" spans="1:14" ht="21" x14ac:dyDescent="0.25">
      <c r="A5" s="1585" t="s">
        <v>36</v>
      </c>
      <c r="B5" s="1586"/>
      <c r="C5" s="1587"/>
      <c r="D5" s="1642" t="s">
        <v>1162</v>
      </c>
      <c r="E5" s="1643"/>
      <c r="F5" s="1643"/>
      <c r="G5" s="1643"/>
      <c r="H5" s="1643"/>
      <c r="I5" s="1643"/>
      <c r="J5" s="1643"/>
      <c r="K5" s="1643"/>
      <c r="L5" s="1643"/>
      <c r="M5" s="1643"/>
      <c r="N5" s="1644"/>
    </row>
    <row r="6" spans="1:14" ht="15.75" x14ac:dyDescent="0.25">
      <c r="A6" s="1585" t="s">
        <v>37</v>
      </c>
      <c r="B6" s="1586"/>
      <c r="C6" s="1587"/>
      <c r="D6" s="1645" t="s">
        <v>1163</v>
      </c>
      <c r="E6" s="1646"/>
      <c r="F6" s="1646"/>
      <c r="G6" s="1646"/>
      <c r="H6" s="1646"/>
      <c r="I6" s="1646"/>
      <c r="J6" s="1646"/>
      <c r="K6" s="1646"/>
      <c r="L6" s="1646"/>
      <c r="M6" s="1646"/>
      <c r="N6" s="1647"/>
    </row>
    <row r="7" spans="1:14" x14ac:dyDescent="0.25">
      <c r="A7" s="1591" t="s">
        <v>38</v>
      </c>
      <c r="B7" s="1592"/>
      <c r="C7" s="1593"/>
      <c r="D7" s="1594" t="s">
        <v>39</v>
      </c>
      <c r="E7" s="1595"/>
      <c r="F7" s="1595"/>
      <c r="G7" s="1595"/>
      <c r="H7" s="1595"/>
      <c r="I7" s="1596"/>
      <c r="J7" s="1597" t="s">
        <v>40</v>
      </c>
      <c r="K7" s="1597"/>
      <c r="L7" s="1597"/>
      <c r="M7" s="1597"/>
      <c r="N7" s="1597"/>
    </row>
    <row r="8" spans="1:14" ht="36" x14ac:dyDescent="0.25">
      <c r="A8" s="749" t="s">
        <v>41</v>
      </c>
      <c r="B8" s="749" t="s">
        <v>42</v>
      </c>
      <c r="C8" s="749" t="s">
        <v>43</v>
      </c>
      <c r="D8" s="749" t="s">
        <v>44</v>
      </c>
      <c r="E8" s="749" t="s">
        <v>45</v>
      </c>
      <c r="F8" s="749" t="s">
        <v>46</v>
      </c>
      <c r="G8" s="749" t="s">
        <v>47</v>
      </c>
      <c r="H8" s="749" t="s">
        <v>48</v>
      </c>
      <c r="I8" s="749" t="s">
        <v>49</v>
      </c>
      <c r="J8" s="750" t="s">
        <v>50</v>
      </c>
      <c r="K8" s="750" t="s">
        <v>51</v>
      </c>
      <c r="L8" s="750" t="s">
        <v>52</v>
      </c>
      <c r="M8" s="750" t="s">
        <v>53</v>
      </c>
      <c r="N8" s="750" t="s">
        <v>54</v>
      </c>
    </row>
    <row r="9" spans="1:14" ht="168" customHeight="1" x14ac:dyDescent="0.25">
      <c r="A9" s="751" t="s">
        <v>218</v>
      </c>
      <c r="B9" s="752" t="s">
        <v>219</v>
      </c>
      <c r="C9" s="752"/>
      <c r="D9" s="542">
        <v>1</v>
      </c>
      <c r="E9" s="162" t="s">
        <v>1164</v>
      </c>
      <c r="F9" s="162" t="s">
        <v>1165</v>
      </c>
      <c r="G9" s="754" t="s">
        <v>252</v>
      </c>
      <c r="H9" s="162" t="s">
        <v>1166</v>
      </c>
      <c r="I9" s="303" t="s">
        <v>1167</v>
      </c>
      <c r="J9" s="754" t="s">
        <v>122</v>
      </c>
      <c r="K9" s="754" t="s">
        <v>122</v>
      </c>
      <c r="L9" s="754" t="s">
        <v>122</v>
      </c>
      <c r="M9" s="754" t="s">
        <v>122</v>
      </c>
      <c r="N9" s="756" t="str">
        <f t="shared" ref="N9:N14" si="0">IF(COUNTIF(J9:M9,"SI")=4,"Riesgo de Corrupción","No es Riesgo de Corrupción")</f>
        <v>Riesgo de Corrupción</v>
      </c>
    </row>
    <row r="10" spans="1:14" ht="213" customHeight="1" x14ac:dyDescent="0.25">
      <c r="A10" s="751" t="s">
        <v>218</v>
      </c>
      <c r="B10" s="751" t="s">
        <v>206</v>
      </c>
      <c r="C10" s="751"/>
      <c r="D10" s="542">
        <v>2</v>
      </c>
      <c r="E10" s="554" t="s">
        <v>1168</v>
      </c>
      <c r="F10" s="554" t="s">
        <v>1169</v>
      </c>
      <c r="G10" s="754" t="s">
        <v>246</v>
      </c>
      <c r="H10" s="755" t="s">
        <v>1170</v>
      </c>
      <c r="I10" s="303" t="s">
        <v>1171</v>
      </c>
      <c r="J10" s="754" t="s">
        <v>263</v>
      </c>
      <c r="K10" s="754" t="s">
        <v>263</v>
      </c>
      <c r="L10" s="754" t="s">
        <v>263</v>
      </c>
      <c r="M10" s="754" t="s">
        <v>263</v>
      </c>
      <c r="N10" s="756" t="str">
        <f t="shared" si="0"/>
        <v>No es Riesgo de Corrupción</v>
      </c>
    </row>
    <row r="11" spans="1:14" ht="150" customHeight="1" x14ac:dyDescent="0.25">
      <c r="A11" s="751"/>
      <c r="B11" s="751" t="s">
        <v>219</v>
      </c>
      <c r="C11" s="751" t="s">
        <v>178</v>
      </c>
      <c r="D11" s="542">
        <v>3</v>
      </c>
      <c r="E11" s="162" t="s">
        <v>1172</v>
      </c>
      <c r="F11" s="162" t="s">
        <v>1173</v>
      </c>
      <c r="G11" s="754" t="s">
        <v>208</v>
      </c>
      <c r="H11" s="303" t="s">
        <v>1174</v>
      </c>
      <c r="I11" s="303" t="s">
        <v>1175</v>
      </c>
      <c r="J11" s="754" t="s">
        <v>263</v>
      </c>
      <c r="K11" s="754" t="s">
        <v>263</v>
      </c>
      <c r="L11" s="754" t="s">
        <v>263</v>
      </c>
      <c r="M11" s="754" t="s">
        <v>263</v>
      </c>
      <c r="N11" s="756" t="str">
        <f t="shared" si="0"/>
        <v>No es Riesgo de Corrupción</v>
      </c>
    </row>
    <row r="12" spans="1:14" ht="160.5" customHeight="1" x14ac:dyDescent="0.25">
      <c r="A12" s="751"/>
      <c r="B12" s="751" t="s">
        <v>219</v>
      </c>
      <c r="C12" s="751"/>
      <c r="D12" s="542">
        <v>4</v>
      </c>
      <c r="E12" s="554" t="s">
        <v>1176</v>
      </c>
      <c r="F12" s="554" t="s">
        <v>1177</v>
      </c>
      <c r="G12" s="754" t="s">
        <v>179</v>
      </c>
      <c r="H12" s="755" t="s">
        <v>1178</v>
      </c>
      <c r="I12" s="303" t="s">
        <v>1179</v>
      </c>
      <c r="J12" s="754" t="s">
        <v>263</v>
      </c>
      <c r="K12" s="754" t="s">
        <v>263</v>
      </c>
      <c r="L12" s="754" t="s">
        <v>263</v>
      </c>
      <c r="M12" s="754" t="s">
        <v>263</v>
      </c>
      <c r="N12" s="756" t="str">
        <f t="shared" si="0"/>
        <v>No es Riesgo de Corrupción</v>
      </c>
    </row>
    <row r="13" spans="1:14" ht="89.25" customHeight="1" x14ac:dyDescent="0.25">
      <c r="A13" s="751"/>
      <c r="B13" s="751" t="s">
        <v>219</v>
      </c>
      <c r="C13" s="751"/>
      <c r="D13" s="542">
        <v>5</v>
      </c>
      <c r="E13" s="554" t="s">
        <v>1180</v>
      </c>
      <c r="F13" s="554" t="s">
        <v>1181</v>
      </c>
      <c r="G13" s="754" t="s">
        <v>208</v>
      </c>
      <c r="H13" s="755" t="s">
        <v>1182</v>
      </c>
      <c r="I13" s="303" t="s">
        <v>1183</v>
      </c>
      <c r="J13" s="754" t="s">
        <v>122</v>
      </c>
      <c r="K13" s="754" t="s">
        <v>263</v>
      </c>
      <c r="L13" s="754" t="s">
        <v>263</v>
      </c>
      <c r="M13" s="754" t="s">
        <v>263</v>
      </c>
      <c r="N13" s="756" t="str">
        <f t="shared" si="0"/>
        <v>No es Riesgo de Corrupción</v>
      </c>
    </row>
    <row r="14" spans="1:14" ht="190.5" customHeight="1" x14ac:dyDescent="0.25">
      <c r="A14" s="751"/>
      <c r="B14" s="751" t="s">
        <v>219</v>
      </c>
      <c r="C14" s="751"/>
      <c r="D14" s="542">
        <v>6</v>
      </c>
      <c r="E14" s="554" t="s">
        <v>1184</v>
      </c>
      <c r="F14" s="554" t="s">
        <v>1185</v>
      </c>
      <c r="G14" s="754" t="s">
        <v>252</v>
      </c>
      <c r="H14" s="755" t="s">
        <v>1186</v>
      </c>
      <c r="I14" s="303" t="s">
        <v>1187</v>
      </c>
      <c r="J14" s="754" t="s">
        <v>122</v>
      </c>
      <c r="K14" s="754" t="s">
        <v>122</v>
      </c>
      <c r="L14" s="754" t="s">
        <v>122</v>
      </c>
      <c r="M14" s="754" t="s">
        <v>122</v>
      </c>
      <c r="N14" s="756" t="str">
        <f t="shared" si="0"/>
        <v>Riesgo de Corrupción</v>
      </c>
    </row>
  </sheetData>
  <mergeCells count="11">
    <mergeCell ref="A6:C6"/>
    <mergeCell ref="D6:N6"/>
    <mergeCell ref="A7:C7"/>
    <mergeCell ref="D7:I7"/>
    <mergeCell ref="J7:N7"/>
    <mergeCell ref="A1:C4"/>
    <mergeCell ref="D1:M4"/>
    <mergeCell ref="N1:N2"/>
    <mergeCell ref="N3:N4"/>
    <mergeCell ref="A5:C5"/>
    <mergeCell ref="D5:N5"/>
  </mergeCells>
  <dataValidations count="1">
    <dataValidation type="list" allowBlank="1" showInputMessage="1" showErrorMessage="1" sqref="J9:M14" xr:uid="{00000000-0002-0000-5D00-000000000000}">
      <formula1>"SI,NO"</formula1>
    </dataValidation>
  </dataValidations>
  <pageMargins left="0.11811023622047245" right="0.11811023622047245" top="1.1417322834645669" bottom="0.19685039370078741" header="0.31496062992125984" footer="0.31496062992125984"/>
  <pageSetup scale="79" orientation="landscape" horizontalDpi="1200" verticalDpi="1200" r:id="rId1"/>
  <headerFooter>
    <oddHeader>&amp;L&amp;G&amp;C
&amp;"-,Negrita"Matriz de Riesgos</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D00-000001000000}">
          <x14:formula1>
            <xm:f>'C:\Users\sgomez.UPME\Documents\UPME 2020\Documents\Mapas de riesgos\[Mapa de riesgos. Gestión Del Talento Humano.xlsx]Datos'!#REF!</xm:f>
          </x14:formula1>
          <xm:sqref>A9:C14 G9:G14</xm:sqref>
        </x14:dataValidation>
      </x14:dataValidations>
    </ext>
  </extLst>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X12"/>
  <sheetViews>
    <sheetView showGridLines="0" showWhiteSpace="0" topLeftCell="M1" zoomScale="70" zoomScaleNormal="70" zoomScaleSheetLayoutView="85" zoomScalePageLayoutView="70" workbookViewId="0">
      <selection activeCell="O7" sqref="O7"/>
    </sheetView>
  </sheetViews>
  <sheetFormatPr baseColWidth="10" defaultRowHeight="15" x14ac:dyDescent="0.25"/>
  <cols>
    <col min="1" max="1" width="4.75" style="746" customWidth="1"/>
    <col min="2" max="2" width="18.125" style="743" customWidth="1"/>
    <col min="3" max="3" width="56.25" style="800" customWidth="1"/>
    <col min="4" max="4" width="26.25" style="801" customWidth="1"/>
    <col min="5" max="5" width="10.625" style="746" customWidth="1"/>
    <col min="6" max="6" width="17.25" style="746" customWidth="1"/>
    <col min="7" max="7" width="12.875" style="746" customWidth="1"/>
    <col min="8" max="8" width="5.375" style="746" customWidth="1"/>
    <col min="9" max="9" width="14" style="743" customWidth="1"/>
    <col min="10" max="10" width="12.75" style="743" customWidth="1"/>
    <col min="11" max="11" width="22.875" style="802" customWidth="1"/>
    <col min="12" max="12" width="41" style="743" customWidth="1"/>
    <col min="13" max="13" width="13.75" style="743" customWidth="1"/>
    <col min="14" max="14" width="15" style="743" customWidth="1"/>
    <col min="15" max="15" width="19.25" style="743" customWidth="1"/>
    <col min="16" max="16" width="18.875" style="743" customWidth="1"/>
    <col min="17" max="17" width="12" style="743" hidden="1" customWidth="1"/>
    <col min="18" max="18" width="12.625" style="743" hidden="1" customWidth="1"/>
    <col min="19" max="19" width="13.625" style="746" hidden="1" customWidth="1"/>
    <col min="20" max="20" width="13.625" style="743" hidden="1" customWidth="1"/>
    <col min="21" max="21" width="17.5" style="743" customWidth="1"/>
    <col min="22" max="22" width="12.125" style="743" customWidth="1"/>
    <col min="23" max="23" width="13.875" style="743" customWidth="1"/>
    <col min="24" max="24" width="36.125" style="743" customWidth="1"/>
    <col min="25" max="16384" width="11" style="743"/>
  </cols>
  <sheetData>
    <row r="1" spans="1:24" ht="15" customHeight="1" x14ac:dyDescent="0.25">
      <c r="A1" s="1598"/>
      <c r="B1" s="1598"/>
      <c r="C1" s="1598"/>
      <c r="D1" s="1599" t="s">
        <v>55</v>
      </c>
      <c r="E1" s="1599"/>
      <c r="F1" s="1599"/>
      <c r="G1" s="1599"/>
      <c r="H1" s="1599"/>
      <c r="I1" s="1599"/>
      <c r="J1" s="1599"/>
      <c r="K1" s="1599"/>
      <c r="L1" s="1599"/>
      <c r="M1" s="1599"/>
      <c r="N1" s="1599"/>
      <c r="O1" s="1599"/>
      <c r="P1" s="1599"/>
      <c r="Q1" s="1599"/>
      <c r="R1" s="1599"/>
      <c r="S1" s="1599"/>
      <c r="T1" s="1599"/>
      <c r="U1" s="1599"/>
      <c r="V1" s="1599"/>
      <c r="W1" s="1599"/>
      <c r="X1" s="1600" t="s">
        <v>35</v>
      </c>
    </row>
    <row r="2" spans="1:24" ht="15" customHeight="1" x14ac:dyDescent="0.25">
      <c r="A2" s="1598"/>
      <c r="B2" s="1598"/>
      <c r="C2" s="1598"/>
      <c r="D2" s="1599"/>
      <c r="E2" s="1599"/>
      <c r="F2" s="1599"/>
      <c r="G2" s="1599"/>
      <c r="H2" s="1599"/>
      <c r="I2" s="1599"/>
      <c r="J2" s="1599"/>
      <c r="K2" s="1599"/>
      <c r="L2" s="1599"/>
      <c r="M2" s="1599"/>
      <c r="N2" s="1599"/>
      <c r="O2" s="1599"/>
      <c r="P2" s="1599"/>
      <c r="Q2" s="1599"/>
      <c r="R2" s="1599"/>
      <c r="S2" s="1599"/>
      <c r="T2" s="1599"/>
      <c r="U2" s="1599"/>
      <c r="V2" s="1599"/>
      <c r="W2" s="1599"/>
      <c r="X2" s="1600"/>
    </row>
    <row r="3" spans="1:24" ht="15" customHeight="1" x14ac:dyDescent="0.25">
      <c r="A3" s="1598"/>
      <c r="B3" s="1598"/>
      <c r="C3" s="1598"/>
      <c r="D3" s="1599"/>
      <c r="E3" s="1599"/>
      <c r="F3" s="1599"/>
      <c r="G3" s="1599"/>
      <c r="H3" s="1599"/>
      <c r="I3" s="1599"/>
      <c r="J3" s="1599"/>
      <c r="K3" s="1599"/>
      <c r="L3" s="1599"/>
      <c r="M3" s="1599"/>
      <c r="N3" s="1599"/>
      <c r="O3" s="1599"/>
      <c r="P3" s="1599"/>
      <c r="Q3" s="1599"/>
      <c r="R3" s="1599"/>
      <c r="S3" s="1599"/>
      <c r="T3" s="1599"/>
      <c r="U3" s="1599"/>
      <c r="V3" s="1599"/>
      <c r="W3" s="1599"/>
      <c r="X3" s="1600" t="s">
        <v>56</v>
      </c>
    </row>
    <row r="4" spans="1:24" ht="15.75" customHeight="1" x14ac:dyDescent="0.25">
      <c r="A4" s="1598"/>
      <c r="B4" s="1598"/>
      <c r="C4" s="1598"/>
      <c r="D4" s="1599"/>
      <c r="E4" s="1599"/>
      <c r="F4" s="1599"/>
      <c r="G4" s="1599"/>
      <c r="H4" s="1599"/>
      <c r="I4" s="1599"/>
      <c r="J4" s="1599"/>
      <c r="K4" s="1599"/>
      <c r="L4" s="1599"/>
      <c r="M4" s="1599"/>
      <c r="N4" s="1599"/>
      <c r="O4" s="1599"/>
      <c r="P4" s="1599"/>
      <c r="Q4" s="1599"/>
      <c r="R4" s="1599"/>
      <c r="S4" s="1599"/>
      <c r="T4" s="1599"/>
      <c r="U4" s="1599"/>
      <c r="V4" s="1599"/>
      <c r="W4" s="1599"/>
      <c r="X4" s="1600"/>
    </row>
    <row r="5" spans="1:24" ht="18.75" customHeight="1" x14ac:dyDescent="0.25">
      <c r="A5" s="1648" t="s">
        <v>57</v>
      </c>
      <c r="B5" s="1648"/>
      <c r="C5" s="1648"/>
      <c r="D5" s="1648"/>
      <c r="E5" s="1648"/>
      <c r="F5" s="1648"/>
      <c r="G5" s="1648"/>
      <c r="H5" s="1648"/>
      <c r="I5" s="1648"/>
      <c r="J5" s="749"/>
      <c r="K5" s="1597" t="s">
        <v>58</v>
      </c>
      <c r="L5" s="1597"/>
      <c r="M5" s="1597"/>
      <c r="N5" s="1597"/>
      <c r="O5" s="1597"/>
      <c r="P5" s="1597"/>
      <c r="Q5" s="1597" t="s">
        <v>59</v>
      </c>
      <c r="R5" s="1597"/>
      <c r="S5" s="1597"/>
      <c r="T5" s="1597"/>
      <c r="U5" s="1597"/>
      <c r="V5" s="1597"/>
      <c r="W5" s="1597"/>
      <c r="X5" s="1597"/>
    </row>
    <row r="6" spans="1:24" s="763" customFormat="1" ht="51" x14ac:dyDescent="0.2">
      <c r="A6" s="813" t="s">
        <v>44</v>
      </c>
      <c r="B6" s="813" t="s">
        <v>64</v>
      </c>
      <c r="C6" s="813" t="s">
        <v>65</v>
      </c>
      <c r="D6" s="814" t="s">
        <v>66</v>
      </c>
      <c r="E6" s="813" t="s">
        <v>67</v>
      </c>
      <c r="F6" s="813" t="s">
        <v>68</v>
      </c>
      <c r="G6" s="814" t="s">
        <v>69</v>
      </c>
      <c r="H6" s="814" t="s">
        <v>70</v>
      </c>
      <c r="I6" s="813" t="s">
        <v>71</v>
      </c>
      <c r="J6" s="813" t="s">
        <v>72</v>
      </c>
      <c r="K6" s="813" t="s">
        <v>73</v>
      </c>
      <c r="L6" s="813" t="s">
        <v>74</v>
      </c>
      <c r="M6" s="846" t="s">
        <v>75</v>
      </c>
      <c r="N6" s="813" t="s">
        <v>76</v>
      </c>
      <c r="O6" s="813" t="s">
        <v>77</v>
      </c>
      <c r="P6" s="813" t="s">
        <v>78</v>
      </c>
      <c r="Q6" s="813" t="s">
        <v>79</v>
      </c>
      <c r="R6" s="813" t="s">
        <v>80</v>
      </c>
      <c r="S6" s="813" t="s">
        <v>67</v>
      </c>
      <c r="T6" s="813" t="s">
        <v>70</v>
      </c>
      <c r="U6" s="813" t="s">
        <v>81</v>
      </c>
      <c r="V6" s="813" t="s">
        <v>82</v>
      </c>
      <c r="W6" s="813" t="s">
        <v>83</v>
      </c>
      <c r="X6" s="813" t="s">
        <v>84</v>
      </c>
    </row>
    <row r="7" spans="1:24" s="780" customFormat="1" ht="128.25" x14ac:dyDescent="0.2">
      <c r="A7" s="847">
        <f>'[15]Identificación del Riesgo TH'!D9</f>
        <v>1</v>
      </c>
      <c r="B7" s="848" t="str">
        <f>'[15]Identificación del Riesgo TH'!E9</f>
        <v>Vencimiento de terminos de los procesos disciplinarios</v>
      </c>
      <c r="C7" s="848" t="str">
        <f>'[15]Identificación del Riesgo TH'!H9</f>
        <v>Desconocimiento del regimen disciplinario
Falta de control en los vencimientos de cada una de las etapas procesales
Personal sin las competencias requeridas respecto a normatividad vigente
Actuaciones en favor de un tercero</v>
      </c>
      <c r="D7" s="819" t="s">
        <v>223</v>
      </c>
      <c r="E7" s="847">
        <f>IF(D7="Selecciona un descriptor de frecuencia."," ",IF(D7="","",VLOOKUP(D7,[15]Datos!$G$8:$J$12,2,FALSE)))</f>
        <v>2</v>
      </c>
      <c r="F7" s="847" t="str">
        <f>IF(D7="Selecciona un descriptor de frecuencia."," ",IF(D7="","",VLOOKUP(D7,[15]Datos!$G$8:$J$12,3,FALSE)))</f>
        <v>Improbable</v>
      </c>
      <c r="G7" s="819" t="s">
        <v>199</v>
      </c>
      <c r="H7" s="847">
        <f>IF(G7="Selecciona un descriptor de impacto."," ",IF(G7="","",VLOOKUP(G7,[15]Datos!$K$8:$L$12,2,FALSE)))</f>
        <v>4</v>
      </c>
      <c r="I7" s="849" t="str">
        <f>IF(D7="Selecciona un descriptor de frecuencia."," ",IF(G7="Selecciona un descriptor de impacto."," ",IF(E7+H7=" ","",IF(E7="","",VLOOKUP(E7,[15]Datos!$U$8:$Z$12,MATCH(H7,[15]Datos!$V$7:$Z$7,0)+1,FALSE)))))</f>
        <v>ALTO</v>
      </c>
      <c r="J7" s="818" t="s">
        <v>122</v>
      </c>
      <c r="K7" s="707" t="s">
        <v>1188</v>
      </c>
      <c r="L7" s="707" t="s">
        <v>1189</v>
      </c>
      <c r="M7" s="820">
        <f>[15]Controles!T9</f>
        <v>55</v>
      </c>
      <c r="N7" s="820" t="str">
        <f>[15]Controles!AB9</f>
        <v>SI</v>
      </c>
      <c r="O7" s="547">
        <f>[15]Controles!W9</f>
        <v>0.55000000000000004</v>
      </c>
      <c r="P7" s="547">
        <f>[15]Controles!X9</f>
        <v>0.55000000000000004</v>
      </c>
      <c r="Q7" s="547">
        <f t="shared" ref="Q7:R12" si="0">SUM(O7:O7)</f>
        <v>0.55000000000000004</v>
      </c>
      <c r="R7" s="547">
        <f t="shared" si="0"/>
        <v>0.55000000000000004</v>
      </c>
      <c r="S7" s="850">
        <f>IF(D7="Selecciona un descriptor de frecuencia."," ",IF(ROUNDUP(E7-Q7,0)&lt;0,1,ROUNDUP(E7-Q7,0)))</f>
        <v>2</v>
      </c>
      <c r="T7" s="850">
        <f>IF(G7="Selecciona un descriptor de impacto."," ",IF(ROUNDUP(H7-R7,0)&lt;0,1,ROUNDUP(H7-R7,0)))</f>
        <v>4</v>
      </c>
      <c r="U7" s="547" t="str">
        <f>IF(D7="Selecciona un descriptor de frecuencia."," ",VLOOKUP(S7,[15]Datos!$H$8:$I$12,2,FALSE))</f>
        <v>Improbable</v>
      </c>
      <c r="V7" s="547" t="str">
        <f>IF(G7="Selecciona un descriptor de impacto."," ",VLOOKUP(T7,[15]Datos!$L$8:$M$12,2,FALSE))</f>
        <v>Mayor</v>
      </c>
      <c r="W7" s="849" t="str">
        <f>IF(S7=" "," ",VLOOKUP(S7,[15]Datos!$U$8:$Z$12,MATCH(T7,[15]Datos!$V$7:$Z$7,0)+1,FALSE))</f>
        <v>ALTO</v>
      </c>
      <c r="X7" s="819" t="s">
        <v>202</v>
      </c>
    </row>
    <row r="8" spans="1:24" s="799" customFormat="1" ht="128.25" customHeight="1" x14ac:dyDescent="0.2">
      <c r="A8" s="851">
        <f>'[15]Identificación del Riesgo TH'!D10</f>
        <v>2</v>
      </c>
      <c r="B8" s="848" t="str">
        <f>'[15]Identificación del Riesgo TH'!E10</f>
        <v>Incumplimiento de los objetivos del Plan Institucional de Capacitaciones</v>
      </c>
      <c r="C8" s="848" t="str">
        <f>'[15]Identificación del Riesgo TH'!H10</f>
        <v>Disminución en el presupuesto asignado para capacitación 
Baja participación de los funcionarios en las capacitaciones planificadas
Contingencias generadas por factores externos y/o epidemiologicos
Plataformas tecnologicas no acondicionadas para desarrollar las actividades planificadas</v>
      </c>
      <c r="D8" s="819" t="s">
        <v>181</v>
      </c>
      <c r="E8" s="847">
        <f>IF(D8="Selecciona un descriptor de frecuencia."," ",IF(D8="","",VLOOKUP(D8,[15]Datos!$G$8:$J$12,2,FALSE)))</f>
        <v>5</v>
      </c>
      <c r="F8" s="847" t="str">
        <f>IF(D8="Selecciona un descriptor de frecuencia."," ",IF(D8="","",VLOOKUP(D8,[15]Datos!$G$8:$J$12,3,FALSE)))</f>
        <v>Casi Seguro</v>
      </c>
      <c r="G8" s="819" t="s">
        <v>199</v>
      </c>
      <c r="H8" s="851">
        <f>IF(G8="","",VLOOKUP(G8,[15]Datos!$K$8:$L$12,2,FALSE))</f>
        <v>4</v>
      </c>
      <c r="I8" s="849" t="str">
        <f>IF(D8="Selecciona un descriptor de frecuencia."," ",IF(G8="Selecciona un descriptor de impacto."," ",IF(E8+H8=" ","",IF(E8="","",VLOOKUP(E8,[15]Datos!$U$8:$Z$12,MATCH(H8,[15]Datos!$V$7:$Z$7,0)+1,FALSE)))))</f>
        <v>EXTREMO</v>
      </c>
      <c r="J8" s="819" t="s">
        <v>122</v>
      </c>
      <c r="K8" s="853" t="s">
        <v>1190</v>
      </c>
      <c r="L8" s="713" t="s">
        <v>1191</v>
      </c>
      <c r="M8" s="820">
        <f>[15]Controles!T10</f>
        <v>95</v>
      </c>
      <c r="N8" s="820" t="str">
        <f>[15]Controles!AB10</f>
        <v>SI</v>
      </c>
      <c r="O8" s="547">
        <f>[15]Controles!W10</f>
        <v>0.95</v>
      </c>
      <c r="P8" s="547">
        <f>[15]Controles!X10</f>
        <v>0.95</v>
      </c>
      <c r="Q8" s="852">
        <f t="shared" si="0"/>
        <v>0.95</v>
      </c>
      <c r="R8" s="852">
        <f t="shared" si="0"/>
        <v>0.95</v>
      </c>
      <c r="S8" s="850">
        <f t="shared" ref="S8:S12" si="1">IF(D8="Selecciona un descriptor de frecuencia."," ",IF(ROUNDUP(E8-Q8,0)&lt;0,1,ROUNDUP(E8-Q8,0)))</f>
        <v>5</v>
      </c>
      <c r="T8" s="850">
        <f t="shared" ref="T8:T12" si="2">IF(G8="Selecciona un descriptor de impacto."," ",IF(ROUNDUP(H8-R8,0)&lt;0,1,ROUNDUP(H8-R8,0)))</f>
        <v>4</v>
      </c>
      <c r="U8" s="547" t="str">
        <f>IF(D8="Selecciona un descriptor de frecuencia."," ",VLOOKUP(S8,[15]Datos!$H$8:$I$12,2,FALSE))</f>
        <v>Casi Seguro</v>
      </c>
      <c r="V8" s="547" t="str">
        <f>IF(G8="Selecciona un descriptor de impacto."," ",VLOOKUP(T8,[15]Datos!$L$8:$M$12,2,FALSE))</f>
        <v>Mayor</v>
      </c>
      <c r="W8" s="849" t="str">
        <f>IF(S8=" "," ",VLOOKUP(S8,[15]Datos!$U$8:$Z$12,MATCH(T8,[15]Datos!$V$7:$Z$7,0)+1,FALSE))</f>
        <v>EXTREMO</v>
      </c>
      <c r="X8" s="819" t="s">
        <v>202</v>
      </c>
    </row>
    <row r="9" spans="1:24" s="780" customFormat="1" ht="117.75" customHeight="1" x14ac:dyDescent="0.2">
      <c r="A9" s="851">
        <f>'[15]Identificación del Riesgo TH'!D11</f>
        <v>3</v>
      </c>
      <c r="B9" s="848" t="str">
        <f>'[15]Identificación del Riesgo TH'!E11</f>
        <v>Historias laborales incompletas o desactualizadas</v>
      </c>
      <c r="C9" s="848" t="str">
        <f>'[15]Identificación del Riesgo TH'!H11</f>
        <v>No se ha designado un responsable para custodiar los expedientes de las hojas de vida de los funcionarios de la UPME
No existe un instructivo que indique la metodologia para la custodia y control de la informacion en las hojas de vida</v>
      </c>
      <c r="D9" s="819" t="s">
        <v>223</v>
      </c>
      <c r="E9" s="847">
        <f>IF(D9="Selecciona un descriptor de frecuencia."," ",IF(D9="","",VLOOKUP(D9,[15]Datos!$G$8:$J$12,2,FALSE)))</f>
        <v>2</v>
      </c>
      <c r="F9" s="847" t="str">
        <f>IF(D9="Selecciona un descriptor de frecuencia."," ",IF(D9="","",VLOOKUP(D9,[15]Datos!$G$8:$J$12,3,FALSE)))</f>
        <v>Improbable</v>
      </c>
      <c r="G9" s="819" t="s">
        <v>204</v>
      </c>
      <c r="H9" s="851">
        <f>IF(G9="","",VLOOKUP(G9,[15]Datos!$K$8:$L$12,2,FALSE))</f>
        <v>3</v>
      </c>
      <c r="I9" s="849" t="str">
        <f>IF(D9="Selecciona un descriptor de frecuencia."," ",IF(G9="Selecciona un descriptor de impacto."," ",IF(E9+H9=" ","",IF(E9="","",VLOOKUP(E9,[15]Datos!$U$8:$Z$12,MATCH(H9,[15]Datos!$V$7:$Z$7,0)+1,FALSE)))))</f>
        <v>MODERADO</v>
      </c>
      <c r="J9" s="819" t="s">
        <v>122</v>
      </c>
      <c r="K9" s="853" t="s">
        <v>1192</v>
      </c>
      <c r="L9" s="853" t="s">
        <v>1193</v>
      </c>
      <c r="M9" s="820">
        <f>[15]Controles!T11</f>
        <v>55</v>
      </c>
      <c r="N9" s="820" t="str">
        <f>[15]Controles!AB11</f>
        <v>SI</v>
      </c>
      <c r="O9" s="547">
        <f>[15]Controles!W11</f>
        <v>0.55000000000000004</v>
      </c>
      <c r="P9" s="547">
        <f>[15]Controles!X11</f>
        <v>0.55000000000000004</v>
      </c>
      <c r="Q9" s="852">
        <f t="shared" si="0"/>
        <v>0.55000000000000004</v>
      </c>
      <c r="R9" s="852">
        <f t="shared" si="0"/>
        <v>0.55000000000000004</v>
      </c>
      <c r="S9" s="850">
        <f t="shared" si="1"/>
        <v>2</v>
      </c>
      <c r="T9" s="850">
        <f t="shared" si="2"/>
        <v>3</v>
      </c>
      <c r="U9" s="547" t="str">
        <f>IF(D9="Selecciona un descriptor de frecuencia."," ",VLOOKUP(S9,[15]Datos!$H$8:$I$12,2,FALSE))</f>
        <v>Improbable</v>
      </c>
      <c r="V9" s="547" t="str">
        <f>IF(G9="Selecciona un descriptor de impacto."," ",VLOOKUP(T9,[15]Datos!$L$8:$M$12,2,FALSE))</f>
        <v>Moderado</v>
      </c>
      <c r="W9" s="849" t="str">
        <f>IF(S9=" "," ",VLOOKUP(S9,[15]Datos!$U$8:$Z$12,MATCH(T9,[15]Datos!$V$7:$Z$7,0)+1,FALSE))</f>
        <v>MODERADO</v>
      </c>
      <c r="X9" s="819" t="s">
        <v>202</v>
      </c>
    </row>
    <row r="10" spans="1:24" s="780" customFormat="1" ht="71.25" x14ac:dyDescent="0.2">
      <c r="A10" s="851">
        <f>'[15]Identificación del Riesgo TH'!D12</f>
        <v>4</v>
      </c>
      <c r="B10" s="848" t="str">
        <f>'[15]Identificación del Riesgo TH'!E12</f>
        <v>Clima y entorno laboral inadecuado</v>
      </c>
      <c r="C10" s="848" t="str">
        <f>'[15]Identificación del Riesgo TH'!H12</f>
        <v>Inasistencia a las actividades planificadas en el Plan de Bienestar
Recarga laboral</v>
      </c>
      <c r="D10" s="819" t="s">
        <v>210</v>
      </c>
      <c r="E10" s="847">
        <f>IF(D10="Selecciona un descriptor de frecuencia."," ",IF(D10="","",VLOOKUP(D10,[15]Datos!$G$8:$J$12,2,FALSE)))</f>
        <v>3</v>
      </c>
      <c r="F10" s="847" t="str">
        <f>IF(D10="Selecciona un descriptor de frecuencia."," ",IF(D10="","",VLOOKUP(D10,[15]Datos!$G$8:$J$12,3,FALSE)))</f>
        <v>Posible</v>
      </c>
      <c r="G10" s="819" t="s">
        <v>204</v>
      </c>
      <c r="H10" s="851">
        <f>IF(G10="","",VLOOKUP(G10,[15]Datos!$K$8:$L$12,2,FALSE))</f>
        <v>3</v>
      </c>
      <c r="I10" s="849" t="str">
        <f>IF(D10="Selecciona un descriptor de frecuencia."," ",IF(G10="Selecciona un descriptor de impacto."," ",IF(E10+H10=" ","",IF(E10="","",VLOOKUP(E10,[15]Datos!$U$8:$Z$12,MATCH(H10,[15]Datos!$V$7:$Z$7,0)+1,FALSE)))))</f>
        <v>ALTO</v>
      </c>
      <c r="J10" s="819" t="s">
        <v>122</v>
      </c>
      <c r="K10" s="853" t="s">
        <v>1194</v>
      </c>
      <c r="L10" s="707" t="s">
        <v>1195</v>
      </c>
      <c r="M10" s="820">
        <f>[15]Controles!T12</f>
        <v>100</v>
      </c>
      <c r="N10" s="820" t="str">
        <f>[15]Controles!AB12</f>
        <v>No</v>
      </c>
      <c r="O10" s="547">
        <f>[15]Controles!W12</f>
        <v>1</v>
      </c>
      <c r="P10" s="547">
        <f>[15]Controles!X12</f>
        <v>1</v>
      </c>
      <c r="Q10" s="852">
        <f t="shared" si="0"/>
        <v>1</v>
      </c>
      <c r="R10" s="852">
        <f t="shared" si="0"/>
        <v>1</v>
      </c>
      <c r="S10" s="850">
        <f t="shared" si="1"/>
        <v>2</v>
      </c>
      <c r="T10" s="850">
        <f t="shared" si="2"/>
        <v>2</v>
      </c>
      <c r="U10" s="547" t="str">
        <f>IF(D10="Selecciona un descriptor de frecuencia."," ",VLOOKUP(S10,[15]Datos!$H$8:$I$12,2,FALSE))</f>
        <v>Improbable</v>
      </c>
      <c r="V10" s="547" t="str">
        <f>IF(G10="Selecciona un descriptor de impacto."," ",VLOOKUP(T10,[15]Datos!$L$8:$M$12,2,FALSE))</f>
        <v>Menor</v>
      </c>
      <c r="W10" s="849" t="str">
        <f>IF(S10=" "," ",VLOOKUP(S10,[15]Datos!$U$8:$Z$12,MATCH(T10,[15]Datos!$V$7:$Z$7,0)+1,FALSE))</f>
        <v>BAJO</v>
      </c>
      <c r="X10" s="819" t="s">
        <v>202</v>
      </c>
    </row>
    <row r="11" spans="1:24" s="780" customFormat="1" ht="57" x14ac:dyDescent="0.2">
      <c r="A11" s="904">
        <f>'[15]Identificación del Riesgo TH'!D13</f>
        <v>5</v>
      </c>
      <c r="B11" s="848" t="str">
        <f>'[15]Identificación del Riesgo TH'!E13</f>
        <v xml:space="preserve">Errores en el tramite de situaciones administrativas </v>
      </c>
      <c r="C11" s="848" t="str">
        <f>'[15]Identificación del Riesgo TH'!H13</f>
        <v xml:space="preserve">Documentos allegados fuera de tiempos 
Novedades no reportadas
</v>
      </c>
      <c r="D11" s="819" t="s">
        <v>181</v>
      </c>
      <c r="E11" s="847">
        <f>IF(D11="Selecciona un descriptor de frecuencia."," ",IF(D11="","",VLOOKUP(D11,[15]Datos!$G$8:$J$12,2,FALSE)))</f>
        <v>5</v>
      </c>
      <c r="F11" s="847" t="str">
        <f>IF(D11="Selecciona un descriptor de frecuencia."," ",IF(D11="","",VLOOKUP(D11,[15]Datos!$G$8:$J$12,3,FALSE)))</f>
        <v>Casi Seguro</v>
      </c>
      <c r="G11" s="819" t="s">
        <v>204</v>
      </c>
      <c r="H11" s="851">
        <f>IF(G11="","",VLOOKUP(G11,[15]Datos!$K$8:$L$12,2,FALSE))</f>
        <v>3</v>
      </c>
      <c r="I11" s="849" t="str">
        <f>IF(D11="Selecciona un descriptor de frecuencia."," ",IF(G11="Selecciona un descriptor de impacto."," ",IF(E11+H11=" ","",IF(E11="","",VLOOKUP(E11,[15]Datos!$U$8:$Z$12,MATCH(H11,[15]Datos!$V$7:$Z$7,0)+1,FALSE)))))</f>
        <v>EXTREMO</v>
      </c>
      <c r="J11" s="819" t="s">
        <v>263</v>
      </c>
      <c r="K11" s="853" t="s">
        <v>1196</v>
      </c>
      <c r="L11" s="853" t="s">
        <v>1196</v>
      </c>
      <c r="M11" s="820">
        <f>[15]Controles!T13</f>
        <v>0</v>
      </c>
      <c r="N11" s="820" t="str">
        <f>[15]Controles!AB13</f>
        <v>SI</v>
      </c>
      <c r="O11" s="547">
        <f>[15]Controles!W13</f>
        <v>0</v>
      </c>
      <c r="P11" s="547">
        <f>[15]Controles!X13</f>
        <v>0</v>
      </c>
      <c r="Q11" s="852">
        <f t="shared" si="0"/>
        <v>0</v>
      </c>
      <c r="R11" s="852">
        <f t="shared" si="0"/>
        <v>0</v>
      </c>
      <c r="S11" s="850">
        <f t="shared" si="1"/>
        <v>5</v>
      </c>
      <c r="T11" s="850">
        <f t="shared" si="2"/>
        <v>3</v>
      </c>
      <c r="U11" s="547" t="str">
        <f>IF(D11="Selecciona un descriptor de frecuencia."," ",VLOOKUP(S11,[15]Datos!$H$8:$I$12,2,FALSE))</f>
        <v>Casi Seguro</v>
      </c>
      <c r="V11" s="547" t="str">
        <f>IF(G11="Selecciona un descriptor de impacto."," ",VLOOKUP(T11,[15]Datos!$L$8:$M$12,2,FALSE))</f>
        <v>Moderado</v>
      </c>
      <c r="W11" s="849" t="str">
        <f>IF(S11=" "," ",VLOOKUP(S11,[15]Datos!$U$8:$Z$12,MATCH(T11,[15]Datos!$V$7:$Z$7,0)+1,FALSE))</f>
        <v>EXTREMO</v>
      </c>
      <c r="X11" s="819" t="s">
        <v>202</v>
      </c>
    </row>
    <row r="12" spans="1:24" s="780" customFormat="1" ht="171" x14ac:dyDescent="0.2">
      <c r="A12" s="851">
        <f>'[15]Identificación del Riesgo TH'!D14</f>
        <v>6</v>
      </c>
      <c r="B12" s="848" t="str">
        <f>'[15]Identificación del Riesgo TH'!E14</f>
        <v>Expedición de certificaciones  con información alterada en favor de un tercero</v>
      </c>
      <c r="C12" s="848" t="str">
        <f>'[15]Identificación del Riesgo TH'!H14</f>
        <v xml:space="preserve">No realizar filtros o controles de verificación de la información consignada en las certificaciones laborales
Información incompleta o desactualizada en las hojas de vida
Pago de dadivas a funcionarios que realizan las certificaciones (Delito de concusión art. 408 Codigo Penal, Ley 599/2000)
Funcionarios con bajo nivel de integridad 
</v>
      </c>
      <c r="D12" s="819" t="s">
        <v>223</v>
      </c>
      <c r="E12" s="847">
        <f>IF(D12="Selecciona un descriptor de frecuencia."," ",IF(D12="","",VLOOKUP(D12,[15]Datos!$G$8:$J$12,2,FALSE)))</f>
        <v>2</v>
      </c>
      <c r="F12" s="847" t="str">
        <f>IF(D12="Selecciona un descriptor de frecuencia."," ",IF(D12="","",VLOOKUP(D12,[15]Datos!$G$8:$J$12,3,FALSE)))</f>
        <v>Improbable</v>
      </c>
      <c r="G12" s="819" t="s">
        <v>199</v>
      </c>
      <c r="H12" s="851">
        <f>IF(G12="","",VLOOKUP(G12,[15]Datos!$K$8:$L$12,2,FALSE))</f>
        <v>4</v>
      </c>
      <c r="I12" s="849" t="str">
        <f>IF(D12="Selecciona un descriptor de frecuencia."," ",IF(G12="Selecciona un descriptor de impacto."," ",IF(E12+H12=" ","",IF(E12="","",VLOOKUP(E12,[15]Datos!$U$8:$Z$12,MATCH(H12,[15]Datos!$V$7:$Z$7,0)+1,FALSE)))))</f>
        <v>ALTO</v>
      </c>
      <c r="J12" s="819" t="s">
        <v>122</v>
      </c>
      <c r="K12" s="853" t="s">
        <v>1197</v>
      </c>
      <c r="L12" s="853" t="s">
        <v>1198</v>
      </c>
      <c r="M12" s="820">
        <f>[15]Controles!T14</f>
        <v>95</v>
      </c>
      <c r="N12" s="820" t="str">
        <f>[15]Controles!AB14</f>
        <v>SI</v>
      </c>
      <c r="O12" s="547">
        <f>[15]Controles!W14</f>
        <v>0.95</v>
      </c>
      <c r="P12" s="547">
        <f>[15]Controles!X14</f>
        <v>0.95</v>
      </c>
      <c r="Q12" s="852">
        <f t="shared" si="0"/>
        <v>0.95</v>
      </c>
      <c r="R12" s="852">
        <f t="shared" si="0"/>
        <v>0.95</v>
      </c>
      <c r="S12" s="850">
        <f t="shared" si="1"/>
        <v>2</v>
      </c>
      <c r="T12" s="850">
        <f t="shared" si="2"/>
        <v>4</v>
      </c>
      <c r="U12" s="547" t="str">
        <f>IF(D12="Selecciona un descriptor de frecuencia."," ",VLOOKUP(S12,[15]Datos!$H$8:$I$12,2,FALSE))</f>
        <v>Improbable</v>
      </c>
      <c r="V12" s="547" t="str">
        <f>IF(G12="Selecciona un descriptor de impacto."," ",VLOOKUP(T12,[15]Datos!$L$8:$M$12,2,FALSE))</f>
        <v>Mayor</v>
      </c>
      <c r="W12" s="849" t="str">
        <f>IF(S12=" "," ",VLOOKUP(S12,[15]Datos!$U$8:$Z$12,MATCH(T12,[15]Datos!$V$7:$Z$7,0)+1,FALSE))</f>
        <v>ALTO</v>
      </c>
      <c r="X12" s="819" t="s">
        <v>202</v>
      </c>
    </row>
  </sheetData>
  <mergeCells count="7">
    <mergeCell ref="A1:C4"/>
    <mergeCell ref="D1:W4"/>
    <mergeCell ref="X1:X2"/>
    <mergeCell ref="X3:X4"/>
    <mergeCell ref="A5:I5"/>
    <mergeCell ref="K5:P5"/>
    <mergeCell ref="Q5:X5"/>
  </mergeCells>
  <conditionalFormatting sqref="W7:X7 X8 I7:J12 W8:W12">
    <cfRule type="cellIs" dxfId="55" priority="13" operator="equal">
      <formula>"Extremo"</formula>
    </cfRule>
    <cfRule type="cellIs" dxfId="54" priority="14" operator="equal">
      <formula>"Moderado"</formula>
    </cfRule>
    <cfRule type="cellIs" dxfId="53" priority="15" operator="equal">
      <formula>"Bajo"</formula>
    </cfRule>
    <cfRule type="cellIs" dxfId="52" priority="16" operator="equal">
      <formula>"Alto"</formula>
    </cfRule>
  </conditionalFormatting>
  <conditionalFormatting sqref="X9">
    <cfRule type="cellIs" dxfId="51" priority="9" operator="equal">
      <formula>"Extremo"</formula>
    </cfRule>
    <cfRule type="cellIs" dxfId="50" priority="10" operator="equal">
      <formula>"Moderado"</formula>
    </cfRule>
    <cfRule type="cellIs" dxfId="49" priority="11" operator="equal">
      <formula>"Bajo"</formula>
    </cfRule>
    <cfRule type="cellIs" dxfId="48" priority="12" operator="equal">
      <formula>"Alto"</formula>
    </cfRule>
  </conditionalFormatting>
  <conditionalFormatting sqref="X10">
    <cfRule type="cellIs" dxfId="47" priority="5" operator="equal">
      <formula>"Extremo"</formula>
    </cfRule>
    <cfRule type="cellIs" dxfId="46" priority="6" operator="equal">
      <formula>"Moderado"</formula>
    </cfRule>
    <cfRule type="cellIs" dxfId="45" priority="7" operator="equal">
      <formula>"Bajo"</formula>
    </cfRule>
    <cfRule type="cellIs" dxfId="44" priority="8" operator="equal">
      <formula>"Alto"</formula>
    </cfRule>
  </conditionalFormatting>
  <conditionalFormatting sqref="X11:X12">
    <cfRule type="cellIs" dxfId="43" priority="1" operator="equal">
      <formula>"Extremo"</formula>
    </cfRule>
    <cfRule type="cellIs" dxfId="42" priority="2" operator="equal">
      <formula>"Moderado"</formula>
    </cfRule>
    <cfRule type="cellIs" dxfId="41" priority="3" operator="equal">
      <formula>"Bajo"</formula>
    </cfRule>
    <cfRule type="cellIs" dxfId="40" priority="4" operator="equal">
      <formula>"Alto"</formula>
    </cfRule>
  </conditionalFormatting>
  <dataValidations count="2">
    <dataValidation type="list" allowBlank="1" showInputMessage="1" showErrorMessage="1" sqref="X8:X12" xr:uid="{00000000-0002-0000-5E00-000000000000}">
      <formula1>$U$4:$U$5</formula1>
    </dataValidation>
    <dataValidation type="list" allowBlank="1" showInputMessage="1" showErrorMessage="1" sqref="J7:J12" xr:uid="{00000000-0002-0000-5E00-000001000000}">
      <formula1>"SI,NO"</formula1>
    </dataValidation>
  </dataValidations>
  <pageMargins left="7.874015748031496E-2" right="7.874015748031496E-2" top="1.1417322834645669" bottom="0.15748031496062992" header="0.31496062992125984" footer="0.31496062992125984"/>
  <pageSetup scale="38" orientation="landscape" horizontalDpi="1200" verticalDpi="1200" r:id="rId1"/>
  <headerFooter>
    <oddHeader>&amp;L&amp;G&amp;C
&amp;"-,Negrita"Matriz de Riesgos</oddHeader>
  </headerFooter>
  <rowBreaks count="2" manualBreakCount="2">
    <brk id="8" max="16383" man="1"/>
    <brk id="10" max="16383" man="1"/>
  </rowBreaks>
  <colBreaks count="1" manualBreakCount="1">
    <brk id="16" max="1048575" man="1"/>
  </col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E00-000002000000}">
          <x14:formula1>
            <xm:f>'C:\Users\sgomez.UPME\Documents\UPME 2020\Documents\Mapas de riesgos\[Mapa de riesgos. Gestión Del Talento Humano.xlsx]Datos'!#REF!</xm:f>
          </x14:formula1>
          <xm:sqref>G7:G12 X7 D7:D12</xm:sqref>
        </x14:dataValidation>
      </x14:dataValidation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AD14"/>
  <sheetViews>
    <sheetView topLeftCell="V1" zoomScaleNormal="100" zoomScaleSheetLayoutView="160" workbookViewId="0">
      <selection activeCell="AE9" sqref="AE9"/>
    </sheetView>
  </sheetViews>
  <sheetFormatPr baseColWidth="10" defaultColWidth="10" defaultRowHeight="12.75" x14ac:dyDescent="0.2"/>
  <cols>
    <col min="1" max="1" width="6.625" style="811" customWidth="1"/>
    <col min="2" max="2" width="40.125" style="811" customWidth="1"/>
    <col min="3" max="3" width="41.5" style="811" customWidth="1"/>
    <col min="4" max="4" width="22" style="763" customWidth="1"/>
    <col min="5" max="5" width="38" style="763" customWidth="1"/>
    <col min="6" max="10" width="21.75" style="811" customWidth="1"/>
    <col min="11" max="11" width="33.875" style="811" customWidth="1"/>
    <col min="12" max="12" width="21.75" style="811" customWidth="1"/>
    <col min="13" max="17" width="19.25" style="825" hidden="1" customWidth="1"/>
    <col min="18" max="18" width="22.625" style="825" hidden="1" customWidth="1"/>
    <col min="19" max="19" width="19.25" style="825" hidden="1" customWidth="1"/>
    <col min="20" max="20" width="8" style="825" customWidth="1"/>
    <col min="21" max="22" width="18.125" style="825" customWidth="1"/>
    <col min="23" max="23" width="17.75" style="825" hidden="1" customWidth="1"/>
    <col min="24" max="24" width="16.25" style="825" hidden="1" customWidth="1"/>
    <col min="25" max="25" width="15.25" style="825" customWidth="1"/>
    <col min="26" max="26" width="18.875" style="825" customWidth="1"/>
    <col min="27" max="27" width="15.625" style="825" customWidth="1"/>
    <col min="28" max="28" width="23.125" style="825" customWidth="1"/>
    <col min="29" max="29" width="22.25" style="826" customWidth="1"/>
    <col min="30" max="30" width="26.5" style="826" customWidth="1"/>
    <col min="31" max="16384" width="10" style="811"/>
  </cols>
  <sheetData>
    <row r="1" spans="1:30" ht="15.75" customHeight="1" x14ac:dyDescent="0.2">
      <c r="A1" s="1630"/>
      <c r="B1" s="1630"/>
      <c r="C1" s="1630"/>
      <c r="D1" s="1631" t="s">
        <v>0</v>
      </c>
      <c r="E1" s="1631"/>
      <c r="F1" s="1631"/>
      <c r="G1" s="1631"/>
      <c r="H1" s="1631"/>
      <c r="I1" s="1631"/>
      <c r="J1" s="1631"/>
      <c r="K1" s="1631"/>
      <c r="L1" s="1631"/>
      <c r="M1" s="1631"/>
      <c r="N1" s="1631"/>
      <c r="O1" s="1631"/>
      <c r="P1" s="1631"/>
      <c r="Q1" s="1631"/>
      <c r="R1" s="1631"/>
      <c r="S1" s="1631"/>
      <c r="T1" s="1631"/>
      <c r="U1" s="1631"/>
      <c r="V1" s="1631"/>
      <c r="W1" s="1631"/>
      <c r="X1" s="1631"/>
      <c r="Y1" s="1631"/>
      <c r="Z1" s="1631"/>
      <c r="AA1" s="1631"/>
      <c r="AB1" s="1631"/>
      <c r="AC1" s="1632" t="s">
        <v>128</v>
      </c>
      <c r="AD1" s="1632"/>
    </row>
    <row r="2" spans="1:30" ht="15.75" customHeight="1" x14ac:dyDescent="0.2">
      <c r="A2" s="1630"/>
      <c r="B2" s="1630"/>
      <c r="C2" s="1630"/>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2"/>
      <c r="AD2" s="1632"/>
    </row>
    <row r="3" spans="1:30" ht="15.75" customHeight="1" x14ac:dyDescent="0.2">
      <c r="A3" s="1630"/>
      <c r="B3" s="1630"/>
      <c r="C3" s="1630"/>
      <c r="D3" s="1631"/>
      <c r="E3" s="1631"/>
      <c r="F3" s="1631"/>
      <c r="G3" s="1631"/>
      <c r="H3" s="1631"/>
      <c r="I3" s="1631"/>
      <c r="J3" s="1631"/>
      <c r="K3" s="1631"/>
      <c r="L3" s="1631"/>
      <c r="M3" s="1631"/>
      <c r="N3" s="1631"/>
      <c r="O3" s="1631"/>
      <c r="P3" s="1631"/>
      <c r="Q3" s="1631"/>
      <c r="R3" s="1631"/>
      <c r="S3" s="1631"/>
      <c r="T3" s="1631"/>
      <c r="U3" s="1631"/>
      <c r="V3" s="1631"/>
      <c r="W3" s="1631"/>
      <c r="X3" s="1631"/>
      <c r="Y3" s="1631"/>
      <c r="Z3" s="1631"/>
      <c r="AA3" s="1631"/>
      <c r="AB3" s="1631"/>
      <c r="AC3" s="1632" t="s">
        <v>2</v>
      </c>
      <c r="AD3" s="1632"/>
    </row>
    <row r="4" spans="1:30" ht="15.75" customHeight="1" x14ac:dyDescent="0.2">
      <c r="A4" s="1630"/>
      <c r="B4" s="1630"/>
      <c r="C4" s="1630"/>
      <c r="D4" s="1631"/>
      <c r="E4" s="1631"/>
      <c r="F4" s="1631"/>
      <c r="G4" s="1631"/>
      <c r="H4" s="1631"/>
      <c r="I4" s="1631"/>
      <c r="J4" s="1631"/>
      <c r="K4" s="1631"/>
      <c r="L4" s="1631"/>
      <c r="M4" s="1631"/>
      <c r="N4" s="1631"/>
      <c r="O4" s="1631"/>
      <c r="P4" s="1631"/>
      <c r="Q4" s="1631"/>
      <c r="R4" s="1631"/>
      <c r="S4" s="1631"/>
      <c r="T4" s="1631"/>
      <c r="U4" s="1631"/>
      <c r="V4" s="1631"/>
      <c r="W4" s="1631"/>
      <c r="X4" s="1631"/>
      <c r="Y4" s="1631"/>
      <c r="Z4" s="1631"/>
      <c r="AA4" s="1631"/>
      <c r="AB4" s="1631"/>
      <c r="AC4" s="1632"/>
      <c r="AD4" s="1632"/>
    </row>
    <row r="5" spans="1:30" ht="15.75" customHeight="1" x14ac:dyDescent="0.2">
      <c r="A5" s="1585" t="s">
        <v>36</v>
      </c>
      <c r="B5" s="1586"/>
      <c r="C5" s="1587"/>
      <c r="D5" s="1633" t="str">
        <f t="array" ref="D5">+'[15]Identificación del Riesgo TH'!D5:N5</f>
        <v>Gestión de Talento Humano</v>
      </c>
      <c r="E5" s="1634"/>
      <c r="F5" s="1634"/>
      <c r="G5" s="1634"/>
      <c r="H5" s="1634"/>
      <c r="I5" s="1634"/>
      <c r="J5" s="1634"/>
      <c r="K5" s="1634"/>
      <c r="L5" s="1634"/>
      <c r="M5" s="1634"/>
      <c r="N5" s="1634"/>
      <c r="O5" s="1634"/>
      <c r="P5" s="1634"/>
      <c r="Q5" s="1634"/>
      <c r="R5" s="1634"/>
      <c r="S5" s="1634"/>
      <c r="T5" s="1634"/>
      <c r="U5" s="1634"/>
      <c r="V5" s="1634"/>
      <c r="W5" s="1634"/>
      <c r="X5" s="1634"/>
      <c r="Y5" s="1634"/>
      <c r="Z5" s="1634"/>
      <c r="AA5" s="1634"/>
      <c r="AB5" s="1634"/>
      <c r="AC5" s="1634"/>
      <c r="AD5" s="1634"/>
    </row>
    <row r="6" spans="1:30" ht="15.75" customHeight="1" thickBot="1" x14ac:dyDescent="0.25">
      <c r="A6" s="1585" t="s">
        <v>37</v>
      </c>
      <c r="B6" s="1586"/>
      <c r="C6" s="1587"/>
      <c r="D6" s="1633" t="str">
        <f t="array" ref="D6">+'[15]Identificación del Riesgo TH'!D6:N6</f>
        <v>Administrar y gestionar talento humano integro y competente en función del cumplimiento de los objetivos de la UPME; dentro de un clima laboral saludable y en condiciones de bienestar.</v>
      </c>
      <c r="E6" s="1634"/>
      <c r="F6" s="1634"/>
      <c r="G6" s="1634"/>
      <c r="H6" s="1634"/>
      <c r="I6" s="1634"/>
      <c r="J6" s="1634"/>
      <c r="K6" s="1634"/>
      <c r="L6" s="1634"/>
      <c r="M6" s="1634"/>
      <c r="N6" s="1634"/>
      <c r="O6" s="1634"/>
      <c r="P6" s="1634"/>
      <c r="Q6" s="1634"/>
      <c r="R6" s="1634"/>
      <c r="S6" s="1634"/>
      <c r="T6" s="1634"/>
      <c r="U6" s="1634"/>
      <c r="V6" s="1634"/>
      <c r="W6" s="1634"/>
      <c r="X6" s="1634"/>
      <c r="Y6" s="1634"/>
      <c r="Z6" s="1634"/>
      <c r="AA6" s="1634"/>
      <c r="AB6" s="1634"/>
      <c r="AC6" s="1634"/>
      <c r="AD6" s="1634"/>
    </row>
    <row r="7" spans="1:30" ht="15" customHeight="1" x14ac:dyDescent="0.2">
      <c r="A7" s="1635" t="s">
        <v>129</v>
      </c>
      <c r="B7" s="1636"/>
      <c r="C7" s="1636"/>
      <c r="D7" s="1636"/>
      <c r="E7" s="1636"/>
      <c r="F7" s="1636"/>
      <c r="G7" s="1636"/>
      <c r="H7" s="1636"/>
      <c r="I7" s="1636"/>
      <c r="J7" s="1636"/>
      <c r="K7" s="1636"/>
      <c r="L7" s="1636"/>
      <c r="M7" s="1636" t="s">
        <v>75</v>
      </c>
      <c r="N7" s="1636"/>
      <c r="O7" s="1636"/>
      <c r="P7" s="1636"/>
      <c r="Q7" s="1636"/>
      <c r="R7" s="1636"/>
      <c r="S7" s="1636"/>
      <c r="T7" s="1636"/>
      <c r="U7" s="1636"/>
      <c r="V7" s="1636"/>
      <c r="W7" s="1636"/>
      <c r="X7" s="1636"/>
      <c r="Y7" s="1636"/>
      <c r="Z7" s="1637" t="s">
        <v>130</v>
      </c>
      <c r="AA7" s="1637"/>
      <c r="AB7" s="1637"/>
      <c r="AC7" s="1638" t="s">
        <v>131</v>
      </c>
      <c r="AD7" s="1639"/>
    </row>
    <row r="8" spans="1:30" ht="51" x14ac:dyDescent="0.2">
      <c r="A8" s="812" t="s">
        <v>44</v>
      </c>
      <c r="B8" s="813" t="s">
        <v>64</v>
      </c>
      <c r="C8" s="813" t="s">
        <v>132</v>
      </c>
      <c r="D8" s="813" t="s">
        <v>73</v>
      </c>
      <c r="E8" s="813" t="s">
        <v>133</v>
      </c>
      <c r="F8" s="813" t="s">
        <v>134</v>
      </c>
      <c r="G8" s="813" t="s">
        <v>135</v>
      </c>
      <c r="H8" s="813" t="s">
        <v>136</v>
      </c>
      <c r="I8" s="813" t="s">
        <v>137</v>
      </c>
      <c r="J8" s="813" t="s">
        <v>138</v>
      </c>
      <c r="K8" s="813" t="s">
        <v>139</v>
      </c>
      <c r="L8" s="813" t="s">
        <v>140</v>
      </c>
      <c r="M8" s="813" t="s">
        <v>134</v>
      </c>
      <c r="N8" s="813" t="s">
        <v>135</v>
      </c>
      <c r="O8" s="813" t="s">
        <v>141</v>
      </c>
      <c r="P8" s="813" t="s">
        <v>137</v>
      </c>
      <c r="Q8" s="813" t="s">
        <v>138</v>
      </c>
      <c r="R8" s="813" t="s">
        <v>139</v>
      </c>
      <c r="S8" s="813" t="s">
        <v>140</v>
      </c>
      <c r="T8" s="814" t="s">
        <v>121</v>
      </c>
      <c r="U8" s="813" t="s">
        <v>142</v>
      </c>
      <c r="V8" s="813" t="s">
        <v>143</v>
      </c>
      <c r="W8" s="813" t="s">
        <v>142</v>
      </c>
      <c r="X8" s="813" t="s">
        <v>143</v>
      </c>
      <c r="Y8" s="813" t="s">
        <v>144</v>
      </c>
      <c r="Z8" s="813" t="s">
        <v>145</v>
      </c>
      <c r="AA8" s="813" t="s">
        <v>146</v>
      </c>
      <c r="AB8" s="813" t="s">
        <v>76</v>
      </c>
      <c r="AC8" s="813" t="s">
        <v>147</v>
      </c>
      <c r="AD8" s="815" t="s">
        <v>148</v>
      </c>
    </row>
    <row r="9" spans="1:30" s="780" customFormat="1" ht="57" customHeight="1" x14ac:dyDescent="0.2">
      <c r="A9" s="816">
        <f>'[15]Identificación del Riesgo TH'!D9</f>
        <v>1</v>
      </c>
      <c r="B9" s="654" t="str">
        <f>'[15]Identificación del Riesgo TH'!E9</f>
        <v>Vencimiento de terminos de los procesos disciplinarios</v>
      </c>
      <c r="C9" s="817" t="str">
        <f>'[15]Identificación del Riesgo TH'!H9</f>
        <v>Desconocimiento del regimen disciplinario
Falta de control en los vencimientos de cada una de las etapas procesales
Personal sin las competencias requeridas respecto a normatividad vigente
Actuaciones en favor de un tercero</v>
      </c>
      <c r="D9" s="654" t="str">
        <f>'[15]Analisis Riesgo'!K7</f>
        <v>Bitacora fisica para control de las etapas de los procesos</v>
      </c>
      <c r="E9" s="654" t="str">
        <f>'[15]Analisis Riesgo'!L7</f>
        <v>Se cuenta con una bitacora fisica en donde el abogado sustanciador registra cada una de las actuaciones y vencimientos de los procesos</v>
      </c>
      <c r="F9" s="818" t="s">
        <v>833</v>
      </c>
      <c r="G9" s="818" t="s">
        <v>834</v>
      </c>
      <c r="H9" s="818" t="s">
        <v>300</v>
      </c>
      <c r="I9" s="818" t="s">
        <v>301</v>
      </c>
      <c r="J9" s="818" t="s">
        <v>302</v>
      </c>
      <c r="K9" s="819" t="s">
        <v>303</v>
      </c>
      <c r="L9" s="818" t="s">
        <v>304</v>
      </c>
      <c r="M9" s="820">
        <f>IF(F9="Asignado", 15,0)</f>
        <v>0</v>
      </c>
      <c r="N9" s="820">
        <f>IF(G9="Adecuado",15,0)</f>
        <v>0</v>
      </c>
      <c r="O9" s="820">
        <f t="shared" ref="O9:O14" si="0">IF(H9="Oportuna",15,0)</f>
        <v>15</v>
      </c>
      <c r="P9" s="820">
        <f t="shared" ref="P9:P14" si="1">IF(I9="Prevenir",15,IF(I9="Detectar",10,0))</f>
        <v>15</v>
      </c>
      <c r="Q9" s="820">
        <f t="shared" ref="Q9:Q14" si="2">IF(J9="Confiable", 15,0)</f>
        <v>15</v>
      </c>
      <c r="R9" s="820">
        <f t="shared" ref="R9:R14" si="3">IF(K9="Se invesigan y resuelven oportunamente",15,0)</f>
        <v>0</v>
      </c>
      <c r="S9" s="820">
        <f t="shared" ref="S9:S14" si="4">IF(L9="Completa",10,IF(L9="Incompleta",5,0))</f>
        <v>10</v>
      </c>
      <c r="T9" s="820">
        <f t="shared" ref="T9:T14" si="5">SUM(M9:S9)</f>
        <v>55</v>
      </c>
      <c r="U9" s="818" t="s">
        <v>122</v>
      </c>
      <c r="V9" s="818" t="s">
        <v>122</v>
      </c>
      <c r="W9" s="820">
        <f t="shared" ref="W9:W14" si="6">IF(U9="SI",1,0)*T9/100</f>
        <v>0.55000000000000004</v>
      </c>
      <c r="X9" s="820">
        <f t="shared" ref="X9:X14" si="7">IF(V9="SI",1,0)*T9/100</f>
        <v>0.55000000000000004</v>
      </c>
      <c r="Y9" s="820" t="str">
        <f t="shared" ref="Y9:Y14" si="8">IF(W9&gt;=0.96,"Fuerte",IF(W9&gt;=0.86,"Moderado","Debil"))</f>
        <v>Debil</v>
      </c>
      <c r="Z9" s="818" t="s">
        <v>305</v>
      </c>
      <c r="AA9" s="820" t="str">
        <f t="shared" ref="AA9:AA14" si="9">IF(Z9="Siempre se ejecuta","Fuerte",IF(Z9="Algunas veces se ejecuta","Moderado","Debil"))</f>
        <v>Fuerte</v>
      </c>
      <c r="AB9" s="820" t="str">
        <f>IF(Y9="Fuerte",IF(AA9="Fuerte","No","SI"),"SI")</f>
        <v>SI</v>
      </c>
      <c r="AC9" s="821" t="s">
        <v>1199</v>
      </c>
      <c r="AD9" s="822"/>
    </row>
    <row r="10" spans="1:30" s="780" customFormat="1" ht="57" customHeight="1" x14ac:dyDescent="0.2">
      <c r="A10" s="816">
        <f>'[15]Identificación del Riesgo TH'!D10</f>
        <v>2</v>
      </c>
      <c r="B10" s="654" t="str">
        <f>'[15]Identificación del Riesgo TH'!E10</f>
        <v>Incumplimiento de los objetivos del Plan Institucional de Capacitaciones</v>
      </c>
      <c r="C10" s="823" t="str">
        <f>'[15]Identificación del Riesgo TH'!H10</f>
        <v>Disminución en el presupuesto asignado para capacitación 
Baja participación de los funcionarios en las capacitaciones planificadas
Contingencias generadas por factores externos y/o epidemiologicos
Plataformas tecnologicas no acondicionadas para desarrollar las actividades planificadas</v>
      </c>
      <c r="D10" s="654" t="str">
        <f>'[15]Analisis Riesgo'!K8</f>
        <v>Reporte  trimestral del PIC. Cronograma de seguimiento del PIC</v>
      </c>
      <c r="E10" s="654" t="str">
        <f>'[15]Analisis Riesgo'!L8</f>
        <v>Reporte  trimestral detallado sobre el cumplimiento de metas establecidas en el PIC. 'Cronograma de seguimiento del PIC de la vigencia</v>
      </c>
      <c r="F10" s="818" t="s">
        <v>296</v>
      </c>
      <c r="G10" s="818" t="s">
        <v>299</v>
      </c>
      <c r="H10" s="818" t="s">
        <v>300</v>
      </c>
      <c r="I10" s="818" t="s">
        <v>714</v>
      </c>
      <c r="J10" s="818" t="s">
        <v>302</v>
      </c>
      <c r="K10" s="819" t="s">
        <v>368</v>
      </c>
      <c r="L10" s="818" t="s">
        <v>304</v>
      </c>
      <c r="M10" s="820">
        <f t="shared" ref="M10:M14" si="10">IF(F10="Asignado", 15,0)</f>
        <v>15</v>
      </c>
      <c r="N10" s="820">
        <f t="shared" ref="N10:N14" si="11">IF(G10="Adecuado",15,0)</f>
        <v>15</v>
      </c>
      <c r="O10" s="820">
        <f t="shared" si="0"/>
        <v>15</v>
      </c>
      <c r="P10" s="820">
        <f t="shared" si="1"/>
        <v>10</v>
      </c>
      <c r="Q10" s="820">
        <f t="shared" si="2"/>
        <v>15</v>
      </c>
      <c r="R10" s="820">
        <f t="shared" si="3"/>
        <v>15</v>
      </c>
      <c r="S10" s="820">
        <f t="shared" si="4"/>
        <v>10</v>
      </c>
      <c r="T10" s="820">
        <f t="shared" si="5"/>
        <v>95</v>
      </c>
      <c r="U10" s="818" t="s">
        <v>122</v>
      </c>
      <c r="V10" s="818" t="s">
        <v>122</v>
      </c>
      <c r="W10" s="820">
        <f t="shared" si="6"/>
        <v>0.95</v>
      </c>
      <c r="X10" s="820">
        <f t="shared" si="7"/>
        <v>0.95</v>
      </c>
      <c r="Y10" s="820" t="str">
        <f t="shared" si="8"/>
        <v>Moderado</v>
      </c>
      <c r="Z10" s="818" t="s">
        <v>305</v>
      </c>
      <c r="AA10" s="820" t="str">
        <f t="shared" si="9"/>
        <v>Fuerte</v>
      </c>
      <c r="AB10" s="820" t="str">
        <f t="shared" ref="AB10:AB14" si="12">IF(Y10="Fuerte",IF(AA10="Fuerte","No","SI"),"SI")</f>
        <v>SI</v>
      </c>
      <c r="AC10" s="824" t="s">
        <v>1200</v>
      </c>
      <c r="AD10" s="822"/>
    </row>
    <row r="11" spans="1:30" s="780" customFormat="1" ht="57" customHeight="1" x14ac:dyDescent="0.2">
      <c r="A11" s="816">
        <f>'[15]Identificación del Riesgo TH'!D11</f>
        <v>3</v>
      </c>
      <c r="B11" s="654" t="str">
        <f>'[15]Identificación del Riesgo TH'!E11</f>
        <v>Historias laborales incompletas o desactualizadas</v>
      </c>
      <c r="C11" s="823" t="str">
        <f>'[15]Identificación del Riesgo TH'!H11</f>
        <v>No se ha designado un responsable para custodiar los expedientes de las hojas de vida de los funcionarios de la UPME
No existe un instructivo que indique la metodologia para la custodia y control de la informacion en las hojas de vida</v>
      </c>
      <c r="D11" s="654" t="str">
        <f>'[15]Analisis Riesgo'!K9</f>
        <v xml:space="preserve">Lista de chequeo </v>
      </c>
      <c r="E11" s="654" t="str">
        <f>'[15]Analisis Riesgo'!L9</f>
        <v>Para cada uno  de los expedientes se diligencia una lista de chequeo (formato sin control por el SGC)</v>
      </c>
      <c r="F11" s="818" t="s">
        <v>833</v>
      </c>
      <c r="G11" s="818" t="s">
        <v>834</v>
      </c>
      <c r="H11" s="818" t="s">
        <v>300</v>
      </c>
      <c r="I11" s="818" t="s">
        <v>301</v>
      </c>
      <c r="J11" s="818" t="s">
        <v>869</v>
      </c>
      <c r="K11" s="819" t="s">
        <v>368</v>
      </c>
      <c r="L11" s="818" t="s">
        <v>304</v>
      </c>
      <c r="M11" s="820">
        <f t="shared" si="10"/>
        <v>0</v>
      </c>
      <c r="N11" s="820">
        <f t="shared" si="11"/>
        <v>0</v>
      </c>
      <c r="O11" s="820">
        <f t="shared" si="0"/>
        <v>15</v>
      </c>
      <c r="P11" s="820">
        <f t="shared" si="1"/>
        <v>15</v>
      </c>
      <c r="Q11" s="820">
        <f t="shared" si="2"/>
        <v>0</v>
      </c>
      <c r="R11" s="820">
        <f t="shared" si="3"/>
        <v>15</v>
      </c>
      <c r="S11" s="820">
        <f t="shared" si="4"/>
        <v>10</v>
      </c>
      <c r="T11" s="820">
        <f t="shared" si="5"/>
        <v>55</v>
      </c>
      <c r="U11" s="818" t="s">
        <v>122</v>
      </c>
      <c r="V11" s="818" t="s">
        <v>122</v>
      </c>
      <c r="W11" s="820">
        <f t="shared" si="6"/>
        <v>0.55000000000000004</v>
      </c>
      <c r="X11" s="820">
        <f t="shared" si="7"/>
        <v>0.55000000000000004</v>
      </c>
      <c r="Y11" s="820" t="str">
        <f t="shared" si="8"/>
        <v>Debil</v>
      </c>
      <c r="Z11" s="818" t="s">
        <v>305</v>
      </c>
      <c r="AA11" s="820" t="str">
        <f t="shared" si="9"/>
        <v>Fuerte</v>
      </c>
      <c r="AB11" s="820" t="str">
        <f t="shared" si="12"/>
        <v>SI</v>
      </c>
      <c r="AC11" s="854" t="s">
        <v>1201</v>
      </c>
      <c r="AD11" s="822"/>
    </row>
    <row r="12" spans="1:30" s="780" customFormat="1" ht="85.5" x14ac:dyDescent="0.2">
      <c r="A12" s="816">
        <f>'[15]Identificación del Riesgo TH'!D12</f>
        <v>4</v>
      </c>
      <c r="B12" s="654" t="str">
        <f>'[15]Identificación del Riesgo TH'!E12</f>
        <v>Clima y entorno laboral inadecuado</v>
      </c>
      <c r="C12" s="823" t="str">
        <f>'[15]Identificación del Riesgo TH'!H12</f>
        <v>Inasistencia a las actividades planificadas en el Plan de Bienestar
Recarga laboral</v>
      </c>
      <c r="D12" s="654" t="str">
        <f>'[15]Analisis Riesgo'!K10</f>
        <v>Ejecución del Plan de Bienestar e incentivos. Encuesta de clima laboral</v>
      </c>
      <c r="E12" s="654" t="str">
        <f>'[15]Analisis Riesgo'!L10</f>
        <v>Seguimiento a la ejecución de las actividades contempladas dentro del Plan de Bienestar e incentivos. La encuesta se realiza de forma bianual una encuesta de clima laboral a todos los servidores de la UPME</v>
      </c>
      <c r="F12" s="818" t="s">
        <v>296</v>
      </c>
      <c r="G12" s="818" t="s">
        <v>299</v>
      </c>
      <c r="H12" s="818" t="s">
        <v>300</v>
      </c>
      <c r="I12" s="818" t="s">
        <v>301</v>
      </c>
      <c r="J12" s="818" t="s">
        <v>302</v>
      </c>
      <c r="K12" s="819" t="s">
        <v>368</v>
      </c>
      <c r="L12" s="818" t="s">
        <v>304</v>
      </c>
      <c r="M12" s="820">
        <f t="shared" si="10"/>
        <v>15</v>
      </c>
      <c r="N12" s="820">
        <f t="shared" si="11"/>
        <v>15</v>
      </c>
      <c r="O12" s="820">
        <f t="shared" si="0"/>
        <v>15</v>
      </c>
      <c r="P12" s="820">
        <f t="shared" si="1"/>
        <v>15</v>
      </c>
      <c r="Q12" s="820">
        <f t="shared" si="2"/>
        <v>15</v>
      </c>
      <c r="R12" s="820">
        <f t="shared" si="3"/>
        <v>15</v>
      </c>
      <c r="S12" s="820">
        <f t="shared" si="4"/>
        <v>10</v>
      </c>
      <c r="T12" s="820">
        <f t="shared" si="5"/>
        <v>100</v>
      </c>
      <c r="U12" s="818" t="s">
        <v>122</v>
      </c>
      <c r="V12" s="818" t="s">
        <v>122</v>
      </c>
      <c r="W12" s="820">
        <f t="shared" si="6"/>
        <v>1</v>
      </c>
      <c r="X12" s="820">
        <f t="shared" si="7"/>
        <v>1</v>
      </c>
      <c r="Y12" s="820" t="str">
        <f t="shared" si="8"/>
        <v>Fuerte</v>
      </c>
      <c r="Z12" s="818" t="s">
        <v>305</v>
      </c>
      <c r="AA12" s="820" t="str">
        <f t="shared" si="9"/>
        <v>Fuerte</v>
      </c>
      <c r="AB12" s="820" t="str">
        <f t="shared" si="12"/>
        <v>No</v>
      </c>
      <c r="AC12" s="897" t="s">
        <v>1202</v>
      </c>
      <c r="AD12" s="822"/>
    </row>
    <row r="13" spans="1:30" s="780" customFormat="1" ht="70.5" customHeight="1" x14ac:dyDescent="0.2">
      <c r="A13" s="816">
        <f>'[15]Identificación del Riesgo TH'!D13</f>
        <v>5</v>
      </c>
      <c r="B13" s="654" t="str">
        <f>'[15]Identificación del Riesgo TH'!E13</f>
        <v xml:space="preserve">Errores en el tramite de situaciones administrativas </v>
      </c>
      <c r="C13" s="823" t="str">
        <f>'[15]Identificación del Riesgo TH'!H13</f>
        <v xml:space="preserve">Documentos allegados fuera de tiempos 
Novedades no reportadas
</v>
      </c>
      <c r="D13" s="654" t="str">
        <f>'[15]Analisis Riesgo'!K11</f>
        <v>No se cuenta con controles existentes</v>
      </c>
      <c r="E13" s="654" t="str">
        <f>'[15]Analisis Riesgo'!L11</f>
        <v>No se cuenta con controles existentes</v>
      </c>
      <c r="F13" s="818"/>
      <c r="G13" s="818"/>
      <c r="H13" s="818"/>
      <c r="I13" s="818"/>
      <c r="J13" s="818"/>
      <c r="K13" s="819"/>
      <c r="L13" s="818"/>
      <c r="M13" s="820">
        <f t="shared" si="10"/>
        <v>0</v>
      </c>
      <c r="N13" s="820">
        <f t="shared" si="11"/>
        <v>0</v>
      </c>
      <c r="O13" s="820">
        <f t="shared" si="0"/>
        <v>0</v>
      </c>
      <c r="P13" s="820">
        <f t="shared" si="1"/>
        <v>0</v>
      </c>
      <c r="Q13" s="820">
        <f t="shared" si="2"/>
        <v>0</v>
      </c>
      <c r="R13" s="820">
        <f t="shared" si="3"/>
        <v>0</v>
      </c>
      <c r="S13" s="820">
        <f t="shared" si="4"/>
        <v>0</v>
      </c>
      <c r="T13" s="820">
        <f t="shared" si="5"/>
        <v>0</v>
      </c>
      <c r="U13" s="818"/>
      <c r="V13" s="818"/>
      <c r="W13" s="820">
        <f t="shared" si="6"/>
        <v>0</v>
      </c>
      <c r="X13" s="820">
        <f t="shared" si="7"/>
        <v>0</v>
      </c>
      <c r="Y13" s="820" t="str">
        <f t="shared" si="8"/>
        <v>Debil</v>
      </c>
      <c r="Z13" s="818"/>
      <c r="AA13" s="820" t="str">
        <f t="shared" si="9"/>
        <v>Debil</v>
      </c>
      <c r="AB13" s="820" t="str">
        <f t="shared" si="12"/>
        <v>SI</v>
      </c>
      <c r="AC13" s="897"/>
      <c r="AD13" s="822"/>
    </row>
    <row r="14" spans="1:30" s="780" customFormat="1" ht="156.75" customHeight="1" x14ac:dyDescent="0.2">
      <c r="A14" s="816">
        <f>'[15]Identificación del Riesgo TH'!D14</f>
        <v>6</v>
      </c>
      <c r="B14" s="654" t="str">
        <f>'[15]Identificación del Riesgo TH'!E14</f>
        <v>Expedición de certificaciones  con información alterada en favor de un tercero</v>
      </c>
      <c r="C14" s="823" t="str">
        <f>'[15]Identificación del Riesgo TH'!H14</f>
        <v xml:space="preserve">No realizar filtros o controles de verificación de la información consignada en las certificaciones laborales
Información incompleta o desactualizada en las hojas de vida
Pago de dadivas a funcionarios que realizan las certificaciones (Delito de concusión art. 408 Codigo Penal, Ley 599/2000)
Funcionarios con bajo nivel de integridad 
</v>
      </c>
      <c r="D14" s="654" t="str">
        <f>'[15]Analisis Riesgo'!K12</f>
        <v>Cuadro de verificación de la información contenida en las certificaciones laborales</v>
      </c>
      <c r="E14" s="654" t="str">
        <f>'[15]Analisis Riesgo'!L12</f>
        <v>El formato para certificaciones laborales cuenta con un espacio de verificación de la información contenida en las mismas, asi: quien elaboró, quien revisó y quien aprobó</v>
      </c>
      <c r="F14" s="818" t="s">
        <v>296</v>
      </c>
      <c r="G14" s="818" t="s">
        <v>299</v>
      </c>
      <c r="H14" s="818" t="s">
        <v>300</v>
      </c>
      <c r="I14" s="818" t="s">
        <v>714</v>
      </c>
      <c r="J14" s="818" t="s">
        <v>302</v>
      </c>
      <c r="K14" s="819" t="s">
        <v>368</v>
      </c>
      <c r="L14" s="818" t="s">
        <v>304</v>
      </c>
      <c r="M14" s="820">
        <f t="shared" si="10"/>
        <v>15</v>
      </c>
      <c r="N14" s="820">
        <f t="shared" si="11"/>
        <v>15</v>
      </c>
      <c r="O14" s="820">
        <f t="shared" si="0"/>
        <v>15</v>
      </c>
      <c r="P14" s="820">
        <f t="shared" si="1"/>
        <v>10</v>
      </c>
      <c r="Q14" s="820">
        <f t="shared" si="2"/>
        <v>15</v>
      </c>
      <c r="R14" s="820">
        <f t="shared" si="3"/>
        <v>15</v>
      </c>
      <c r="S14" s="820">
        <f t="shared" si="4"/>
        <v>10</v>
      </c>
      <c r="T14" s="820">
        <f t="shared" si="5"/>
        <v>95</v>
      </c>
      <c r="U14" s="818" t="s">
        <v>122</v>
      </c>
      <c r="V14" s="818" t="s">
        <v>122</v>
      </c>
      <c r="W14" s="820">
        <f t="shared" si="6"/>
        <v>0.95</v>
      </c>
      <c r="X14" s="820">
        <f t="shared" si="7"/>
        <v>0.95</v>
      </c>
      <c r="Y14" s="820" t="str">
        <f t="shared" si="8"/>
        <v>Moderado</v>
      </c>
      <c r="Z14" s="818" t="s">
        <v>305</v>
      </c>
      <c r="AA14" s="820" t="str">
        <f t="shared" si="9"/>
        <v>Fuerte</v>
      </c>
      <c r="AB14" s="820" t="str">
        <f t="shared" si="12"/>
        <v>SI</v>
      </c>
      <c r="AC14" s="821" t="s">
        <v>1203</v>
      </c>
      <c r="AD14" s="901"/>
    </row>
  </sheetData>
  <mergeCells count="12">
    <mergeCell ref="A6:C6"/>
    <mergeCell ref="D6:AD6"/>
    <mergeCell ref="A7:L7"/>
    <mergeCell ref="M7:Y7"/>
    <mergeCell ref="Z7:AB7"/>
    <mergeCell ref="AC7:AD7"/>
    <mergeCell ref="A1:C4"/>
    <mergeCell ref="D1:AB4"/>
    <mergeCell ref="AC1:AD2"/>
    <mergeCell ref="AC3:AD4"/>
    <mergeCell ref="A5:C5"/>
    <mergeCell ref="D5:AD5"/>
  </mergeCells>
  <dataValidations count="18">
    <dataValidation type="list" allowBlank="1" showInputMessage="1" showErrorMessage="1" sqref="Z10:Z14" xr:uid="{00000000-0002-0000-5F00-000000000000}">
      <formula1>"Siempre se ejecuta,Algunas veces se ejecuta,No se ejecuta"</formula1>
    </dataValidation>
    <dataValidation type="list" allowBlank="1" showInputMessage="1" showErrorMessage="1" sqref="F10:F14" xr:uid="{00000000-0002-0000-5F00-000001000000}">
      <formula1>"Asignado, No asignado"</formula1>
    </dataValidation>
    <dataValidation type="list" allowBlank="1" showInputMessage="1" showErrorMessage="1" sqref="G10:G14" xr:uid="{00000000-0002-0000-5F00-000002000000}">
      <formula1>"Adecuado, Inadecuado"</formula1>
    </dataValidation>
    <dataValidation type="list" allowBlank="1" showInputMessage="1" showErrorMessage="1" sqref="H10:H14" xr:uid="{00000000-0002-0000-5F00-000003000000}">
      <formula1>"Oportuna, Inoportuna"</formula1>
    </dataValidation>
    <dataValidation type="list" allowBlank="1" showInputMessage="1" showErrorMessage="1" sqref="I10:I14" xr:uid="{00000000-0002-0000-5F00-000004000000}">
      <formula1>"Prevenir, Detectar, No es un control"</formula1>
    </dataValidation>
    <dataValidation type="list" allowBlank="1" showInputMessage="1" showErrorMessage="1" sqref="J10:J14" xr:uid="{00000000-0002-0000-5F00-000005000000}">
      <formula1>"Confiable, No Confiable"</formula1>
    </dataValidation>
    <dataValidation type="list" allowBlank="1" showInputMessage="1" showErrorMessage="1" sqref="K10:K14" xr:uid="{00000000-0002-0000-5F00-000006000000}">
      <formula1>"Se invesigan y resuelven oportunamente, No se investigan y resuelven oportunamente"</formula1>
    </dataValidation>
    <dataValidation type="list" allowBlank="1" showInputMessage="1" showErrorMessage="1" sqref="L10:L14" xr:uid="{00000000-0002-0000-5F00-000007000000}">
      <formula1>"Completa, Incompleta, No existe"</formula1>
    </dataValidation>
    <dataValidation type="list" allowBlank="1" showInputMessage="1" showErrorMessage="1" sqref="U10:V14" xr:uid="{00000000-0002-0000-5F00-000008000000}">
      <formula1>"SI, NO"</formula1>
    </dataValidation>
    <dataValidation type="list" allowBlank="1" showInputMessage="1" showErrorMessage="1" sqref="Z9" xr:uid="{00000000-0002-0000-5F00-000009000000}">
      <formula1>"Siempre se ejecuta,Algunas veces se ejecuta,No se ejecuta,Seleccione"</formula1>
    </dataValidation>
    <dataValidation type="list" allowBlank="1" showInputMessage="1" showErrorMessage="1" sqref="U9:V9" xr:uid="{00000000-0002-0000-5F00-00000A000000}">
      <formula1>"SI, NO,Seleccione"</formula1>
    </dataValidation>
    <dataValidation type="list" allowBlank="1" showInputMessage="1" showErrorMessage="1" sqref="L9" xr:uid="{00000000-0002-0000-5F00-00000B000000}">
      <formula1>"Completa, Incompleta, No existe,Seleccione"</formula1>
    </dataValidation>
    <dataValidation type="list" allowBlank="1" showInputMessage="1" showErrorMessage="1" sqref="K9" xr:uid="{00000000-0002-0000-5F00-00000C000000}">
      <formula1>"Se investigan y resuelven oportunamente, No se investigan y resuelven oportunamente,Seleccione"</formula1>
    </dataValidation>
    <dataValidation type="list" allowBlank="1" showInputMessage="1" showErrorMessage="1" sqref="J9" xr:uid="{00000000-0002-0000-5F00-00000D000000}">
      <formula1>"Confiable, No Confiable,Seleccione"</formula1>
    </dataValidation>
    <dataValidation type="list" allowBlank="1" showInputMessage="1" showErrorMessage="1" sqref="I9" xr:uid="{00000000-0002-0000-5F00-00000E000000}">
      <formula1>"Prevenir, Detectar, No es un control,Seleccione"</formula1>
    </dataValidation>
    <dataValidation type="list" allowBlank="1" showInputMessage="1" showErrorMessage="1" sqref="H9" xr:uid="{00000000-0002-0000-5F00-00000F000000}">
      <formula1>"Oportuna, Inoportuna,Seleccione"</formula1>
    </dataValidation>
    <dataValidation type="list" allowBlank="1" showInputMessage="1" showErrorMessage="1" sqref="G9" xr:uid="{00000000-0002-0000-5F00-000010000000}">
      <formula1>"Adecuado, Inadecuado,Seleccione"</formula1>
    </dataValidation>
    <dataValidation type="list" allowBlank="1" showInputMessage="1" showErrorMessage="1" sqref="F9" xr:uid="{00000000-0002-0000-5F00-000011000000}">
      <formula1>"Asignado, No asignado, Seleccione"</formula1>
    </dataValidation>
  </dataValidations>
  <pageMargins left="0.11811023622047245" right="0.11811023622047245" top="1.1417322834645669" bottom="0.74803149606299213" header="0.31496062992125984" footer="0.31496062992125984"/>
  <pageSetup scale="36" orientation="landscape" horizontalDpi="1200" verticalDpi="1200" r:id="rId1"/>
  <headerFooter>
    <oddHeader>&amp;L&amp;G&amp;C
&amp;"-,Negrita"Matriz de Riesgos</oddHeader>
  </headerFooter>
  <rowBreaks count="2" manualBreakCount="2">
    <brk id="10" max="16383" man="1"/>
    <brk id="12" max="16383" man="1"/>
  </rowBreaks>
  <colBreaks count="1" manualBreakCount="1">
    <brk id="12" max="1048575" man="1"/>
  </colBreaks>
  <drawing r:id="rId2"/>
  <legacyDrawingHF r:id="rId3"/>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X10"/>
  <sheetViews>
    <sheetView topLeftCell="A7" zoomScale="55" zoomScaleNormal="55" workbookViewId="0">
      <selection activeCell="B10" sqref="B10"/>
    </sheetView>
  </sheetViews>
  <sheetFormatPr baseColWidth="10" defaultRowHeight="18" customHeight="1" x14ac:dyDescent="0.2"/>
  <cols>
    <col min="1" max="1" width="3.625" style="534" customWidth="1"/>
    <col min="2" max="2" width="28.75" style="534" customWidth="1"/>
    <col min="3" max="3" width="48.375" style="534" customWidth="1"/>
    <col min="4" max="4" width="38.5" style="534" customWidth="1"/>
    <col min="5" max="5" width="20.5" style="534" customWidth="1"/>
    <col min="6" max="6" width="15.75" style="534" customWidth="1"/>
    <col min="7" max="7" width="23" style="534" customWidth="1"/>
    <col min="8" max="10" width="19.375" style="534" customWidth="1"/>
    <col min="11" max="11" width="18.25" style="534" customWidth="1"/>
    <col min="12" max="12" width="57.25" style="534" customWidth="1"/>
    <col min="13" max="13" width="27.25" style="534" customWidth="1"/>
    <col min="14" max="14" width="10.75" style="534" customWidth="1"/>
    <col min="15" max="15" width="24.375" style="534" customWidth="1"/>
    <col min="16" max="16" width="27.25" style="534" customWidth="1"/>
    <col min="17" max="22" width="25.75" style="534" customWidth="1"/>
    <col min="23" max="23" width="33.5" style="534" customWidth="1"/>
    <col min="24" max="24" width="45.625" style="534" customWidth="1"/>
    <col min="25" max="16384" width="11" style="534"/>
  </cols>
  <sheetData>
    <row r="1" spans="1:24" ht="18.75" x14ac:dyDescent="0.2">
      <c r="A1" s="1179"/>
      <c r="B1" s="1179"/>
      <c r="C1" s="1179"/>
      <c r="D1" s="1180" t="s">
        <v>314</v>
      </c>
      <c r="E1" s="1181"/>
      <c r="F1" s="1181"/>
      <c r="G1" s="1181"/>
      <c r="H1" s="1181"/>
      <c r="I1" s="1181"/>
      <c r="J1" s="1181"/>
      <c r="K1" s="1181"/>
      <c r="L1" s="1181"/>
      <c r="M1" s="1181"/>
      <c r="N1" s="1181"/>
      <c r="O1" s="1181"/>
      <c r="P1" s="1181"/>
      <c r="Q1" s="1181"/>
      <c r="R1" s="1181"/>
      <c r="S1" s="1181"/>
      <c r="T1" s="1181"/>
      <c r="U1" s="1181"/>
      <c r="V1" s="1182"/>
      <c r="W1" s="532" t="s">
        <v>315</v>
      </c>
      <c r="X1" s="533"/>
    </row>
    <row r="2" spans="1:24" ht="19.5" thickBot="1" x14ac:dyDescent="0.25">
      <c r="A2" s="1179"/>
      <c r="B2" s="1179"/>
      <c r="C2" s="1179"/>
      <c r="D2" s="1183"/>
      <c r="E2" s="1184"/>
      <c r="F2" s="1184"/>
      <c r="G2" s="1184"/>
      <c r="H2" s="1184"/>
      <c r="I2" s="1184"/>
      <c r="J2" s="1184"/>
      <c r="K2" s="1184"/>
      <c r="L2" s="1184"/>
      <c r="M2" s="1184"/>
      <c r="N2" s="1184"/>
      <c r="O2" s="1184"/>
      <c r="P2" s="1184"/>
      <c r="Q2" s="1184"/>
      <c r="R2" s="1184"/>
      <c r="S2" s="1184"/>
      <c r="T2" s="1184"/>
      <c r="U2" s="1184"/>
      <c r="V2" s="1185"/>
      <c r="W2" s="532" t="s">
        <v>316</v>
      </c>
      <c r="X2" s="533"/>
    </row>
    <row r="3" spans="1:24" ht="30" x14ac:dyDescent="0.25">
      <c r="A3" s="1186" t="s">
        <v>57</v>
      </c>
      <c r="B3" s="1187"/>
      <c r="C3" s="1187"/>
      <c r="D3" s="1187"/>
      <c r="E3" s="1187"/>
      <c r="F3" s="1187"/>
      <c r="G3" s="1188"/>
      <c r="H3" s="1189"/>
      <c r="I3" s="1189"/>
      <c r="J3" s="1189"/>
      <c r="K3" s="1189"/>
      <c r="L3" s="1649" t="s">
        <v>60</v>
      </c>
      <c r="M3" s="1650"/>
      <c r="N3" s="1650"/>
      <c r="O3" s="1650"/>
      <c r="P3" s="1651"/>
      <c r="Q3" s="1652" t="s">
        <v>61</v>
      </c>
      <c r="R3" s="1653"/>
      <c r="S3" s="1653"/>
      <c r="T3" s="1653"/>
      <c r="U3" s="1653"/>
      <c r="V3" s="1654"/>
      <c r="W3" s="855" t="s">
        <v>62</v>
      </c>
      <c r="X3" s="855" t="s">
        <v>63</v>
      </c>
    </row>
    <row r="4" spans="1:24" ht="39" thickBot="1" x14ac:dyDescent="0.25">
      <c r="A4" s="698" t="s">
        <v>44</v>
      </c>
      <c r="B4" s="699" t="s">
        <v>64</v>
      </c>
      <c r="C4" s="699" t="s">
        <v>65</v>
      </c>
      <c r="D4" s="699" t="s">
        <v>317</v>
      </c>
      <c r="E4" s="699" t="s">
        <v>68</v>
      </c>
      <c r="F4" s="699" t="s">
        <v>69</v>
      </c>
      <c r="G4" s="700" t="s">
        <v>71</v>
      </c>
      <c r="H4" s="699" t="s">
        <v>81</v>
      </c>
      <c r="I4" s="699" t="s">
        <v>82</v>
      </c>
      <c r="J4" s="699" t="s">
        <v>83</v>
      </c>
      <c r="K4" s="701" t="s">
        <v>84</v>
      </c>
      <c r="L4" s="827" t="s">
        <v>85</v>
      </c>
      <c r="M4" s="828" t="s">
        <v>86</v>
      </c>
      <c r="N4" s="828" t="s">
        <v>87</v>
      </c>
      <c r="O4" s="828" t="s">
        <v>88</v>
      </c>
      <c r="P4" s="829" t="s">
        <v>89</v>
      </c>
      <c r="Q4" s="827" t="s">
        <v>90</v>
      </c>
      <c r="R4" s="828" t="s">
        <v>91</v>
      </c>
      <c r="S4" s="828" t="s">
        <v>92</v>
      </c>
      <c r="T4" s="828" t="s">
        <v>91</v>
      </c>
      <c r="U4" s="828" t="s">
        <v>93</v>
      </c>
      <c r="V4" s="829" t="s">
        <v>91</v>
      </c>
      <c r="W4" s="830" t="s">
        <v>94</v>
      </c>
      <c r="X4" s="830" t="s">
        <v>95</v>
      </c>
    </row>
    <row r="5" spans="1:24" ht="186" customHeight="1" x14ac:dyDescent="0.2">
      <c r="A5" s="703">
        <v>1</v>
      </c>
      <c r="B5" s="703" t="str">
        <f>+'[15]Identificación del Riesgo TH'!E9</f>
        <v>Vencimiento de terminos de los procesos disciplinarios</v>
      </c>
      <c r="C5" s="703" t="str">
        <f>+'[15]Identificación del Riesgo TH'!H9</f>
        <v>Desconocimiento del regimen disciplinario
Falta de control en los vencimientos de cada una de las etapas procesales
Personal sin las competencias requeridas respecto a normatividad vigente
Actuaciones en favor de un tercero</v>
      </c>
      <c r="D5" s="703" t="str">
        <f>+'[15]Identificación del Riesgo TH'!I9</f>
        <v>Sanciones disciplinarias
Procesos disciplinarios archivados por prescripción de acciones
Hallazgos de entes de control</v>
      </c>
      <c r="E5" s="705" t="str">
        <f>+'[15]Analisis Riesgo'!F7</f>
        <v>Improbable</v>
      </c>
      <c r="F5" s="705" t="str">
        <f>+'[15]Analisis Riesgo'!G7</f>
        <v>Mayor</v>
      </c>
      <c r="G5" s="831" t="str">
        <f>+'[15]Analisis Riesgo'!I7</f>
        <v>ALTO</v>
      </c>
      <c r="H5" s="705" t="str">
        <f>+'[15]Analisis Riesgo'!U7</f>
        <v>Improbable</v>
      </c>
      <c r="I5" s="705" t="str">
        <f>+'[15]Analisis Riesgo'!V7</f>
        <v>Mayor</v>
      </c>
      <c r="J5" s="831" t="str">
        <f>+'[15]Analisis Riesgo'!W7</f>
        <v>ALTO</v>
      </c>
      <c r="K5" s="703" t="str">
        <f>+'[15]Analisis Riesgo'!X7</f>
        <v>Reducir el riesgo</v>
      </c>
      <c r="L5" s="725" t="s">
        <v>1204</v>
      </c>
      <c r="M5" s="726" t="s">
        <v>1205</v>
      </c>
      <c r="N5" s="832" t="s">
        <v>1206</v>
      </c>
      <c r="O5" s="832" t="s">
        <v>1207</v>
      </c>
      <c r="P5" s="728" t="s">
        <v>1208</v>
      </c>
      <c r="Q5" s="856"/>
      <c r="R5" s="857"/>
      <c r="S5" s="857"/>
      <c r="T5" s="857"/>
      <c r="U5" s="857"/>
      <c r="V5" s="858"/>
      <c r="W5" s="859"/>
      <c r="X5" s="859"/>
    </row>
    <row r="6" spans="1:24" ht="156.75" x14ac:dyDescent="0.2">
      <c r="A6" s="703">
        <v>2</v>
      </c>
      <c r="B6" s="703" t="str">
        <f>+'[15]Identificación del Riesgo TH'!E10</f>
        <v>Incumplimiento de los objetivos del Plan Institucional de Capacitaciones</v>
      </c>
      <c r="C6" s="703" t="str">
        <f>+'[15]Identificación del Riesgo TH'!H10</f>
        <v>Disminución en el presupuesto asignado para capacitación 
Baja participación de los funcionarios en las capacitaciones planificadas
Contingencias generadas por factores externos y/o epidemiologicos
Plataformas tecnologicas no acondicionadas para desarrollar las actividades planificadas</v>
      </c>
      <c r="D6" s="703" t="str">
        <f>+'[15]Identificación del Riesgo TH'!I10</f>
        <v>Servidores publicos sin las competencias necesarias para lograr los objetivos de la Entidad
Hallazgos de entes de control</v>
      </c>
      <c r="E6" s="705" t="str">
        <f>+'[15]Analisis Riesgo'!F8</f>
        <v>Casi Seguro</v>
      </c>
      <c r="F6" s="705" t="str">
        <f>+'[15]Analisis Riesgo'!G8</f>
        <v>Mayor</v>
      </c>
      <c r="G6" s="898" t="str">
        <f>+'[15]Analisis Riesgo'!I8</f>
        <v>EXTREMO</v>
      </c>
      <c r="H6" s="705" t="str">
        <f>+'[15]Analisis Riesgo'!U8</f>
        <v>Casi Seguro</v>
      </c>
      <c r="I6" s="705" t="str">
        <f>+'[15]Analisis Riesgo'!V8</f>
        <v>Mayor</v>
      </c>
      <c r="J6" s="898" t="str">
        <f>+'[15]Analisis Riesgo'!W8</f>
        <v>EXTREMO</v>
      </c>
      <c r="K6" s="703" t="str">
        <f>+'[15]Analisis Riesgo'!X8</f>
        <v>Reducir el riesgo</v>
      </c>
      <c r="L6" s="732" t="s">
        <v>1209</v>
      </c>
      <c r="M6" s="708" t="s">
        <v>1210</v>
      </c>
      <c r="N6" s="860" t="s">
        <v>1211</v>
      </c>
      <c r="O6" s="860" t="s">
        <v>1212</v>
      </c>
      <c r="P6" s="733" t="s">
        <v>1213</v>
      </c>
      <c r="Q6" s="837"/>
      <c r="R6" s="838"/>
      <c r="S6" s="838"/>
      <c r="T6" s="838"/>
      <c r="U6" s="838"/>
      <c r="V6" s="839"/>
      <c r="W6" s="840"/>
      <c r="X6" s="840"/>
    </row>
    <row r="7" spans="1:24" ht="114" x14ac:dyDescent="0.2">
      <c r="A7" s="703">
        <v>3</v>
      </c>
      <c r="B7" s="703" t="str">
        <f>+'[15]Identificación del Riesgo TH'!E11</f>
        <v>Historias laborales incompletas o desactualizadas</v>
      </c>
      <c r="C7" s="703" t="str">
        <f>+'[15]Identificación del Riesgo TH'!H11</f>
        <v>No se ha designado un responsable para custodiar los expedientes de las hojas de vida de los funcionarios de la UPME
No existe un instructivo que indique la metodologia para la custodia y control de la informacion en las hojas de vida</v>
      </c>
      <c r="D7" s="703" t="str">
        <f>+'[15]Identificación del Riesgo TH'!I11</f>
        <v>No contar con la información en el momento oportuno
Perdida de información 
Sanción disciplinaria (falta grave)
Hallazgo de entes de control</v>
      </c>
      <c r="E7" s="705" t="str">
        <f>+'[15]Analisis Riesgo'!F9</f>
        <v>Improbable</v>
      </c>
      <c r="F7" s="705" t="str">
        <f>+'[15]Analisis Riesgo'!G9</f>
        <v>Moderado</v>
      </c>
      <c r="G7" s="716" t="str">
        <f>+'[15]Analisis Riesgo'!I9</f>
        <v>MODERADO</v>
      </c>
      <c r="H7" s="705" t="str">
        <f>+'[15]Analisis Riesgo'!U9</f>
        <v>Improbable</v>
      </c>
      <c r="I7" s="705" t="str">
        <f>+'[15]Analisis Riesgo'!V9</f>
        <v>Moderado</v>
      </c>
      <c r="J7" s="716" t="str">
        <f>+'[15]Analisis Riesgo'!W9</f>
        <v>MODERADO</v>
      </c>
      <c r="K7" s="703" t="str">
        <f>+'[15]Analisis Riesgo'!X9</f>
        <v>Reducir el riesgo</v>
      </c>
      <c r="L7" s="734" t="s">
        <v>1214</v>
      </c>
      <c r="M7" s="708" t="s">
        <v>1215</v>
      </c>
      <c r="N7" s="709">
        <v>44197</v>
      </c>
      <c r="O7" s="709">
        <v>44377</v>
      </c>
      <c r="P7" s="733" t="s">
        <v>1216</v>
      </c>
      <c r="Q7" s="837"/>
      <c r="R7" s="838"/>
      <c r="S7" s="838"/>
      <c r="T7" s="838"/>
      <c r="U7" s="838"/>
      <c r="V7" s="839"/>
      <c r="W7" s="840"/>
      <c r="X7" s="840"/>
    </row>
    <row r="8" spans="1:24" ht="156.75" x14ac:dyDescent="0.2">
      <c r="A8" s="703">
        <v>4</v>
      </c>
      <c r="B8" s="703" t="str">
        <f>+'[15]Identificación del Riesgo TH'!E12</f>
        <v>Clima y entorno laboral inadecuado</v>
      </c>
      <c r="C8" s="703" t="str">
        <f>+'[15]Identificación del Riesgo TH'!H12</f>
        <v>Inasistencia a las actividades planificadas en el Plan de Bienestar
Recarga laboral</v>
      </c>
      <c r="D8" s="703" t="str">
        <f>+'[15]Identificación del Riesgo TH'!I12</f>
        <v>Baja productividad
Incumplimiento de metas
Ruptura en la comunicación
Baja participación en las actividades corporativas
Personal desalineado con los objetivos de la Entidad</v>
      </c>
      <c r="E8" s="705" t="str">
        <f>+'[15]Analisis Riesgo'!F10</f>
        <v>Posible</v>
      </c>
      <c r="F8" s="705" t="str">
        <f>+'[15]Analisis Riesgo'!G10</f>
        <v>Moderado</v>
      </c>
      <c r="G8" s="831" t="str">
        <f>+'[15]Analisis Riesgo'!I10</f>
        <v>ALTO</v>
      </c>
      <c r="H8" s="705" t="str">
        <f>+'[15]Analisis Riesgo'!U10</f>
        <v>Improbable</v>
      </c>
      <c r="I8" s="705" t="str">
        <f>+'[15]Analisis Riesgo'!V10</f>
        <v>Menor</v>
      </c>
      <c r="J8" s="706" t="str">
        <f>+'[15]Analisis Riesgo'!W10</f>
        <v>BAJO</v>
      </c>
      <c r="K8" s="703" t="str">
        <f>+'[15]Analisis Riesgo'!X10</f>
        <v>Reducir el riesgo</v>
      </c>
      <c r="L8" s="734" t="s">
        <v>1217</v>
      </c>
      <c r="M8" s="708" t="s">
        <v>1218</v>
      </c>
      <c r="N8" s="860" t="s">
        <v>1219</v>
      </c>
      <c r="O8" s="860" t="s">
        <v>1219</v>
      </c>
      <c r="P8" s="736" t="s">
        <v>1220</v>
      </c>
      <c r="Q8" s="837"/>
      <c r="R8" s="838"/>
      <c r="S8" s="838"/>
      <c r="T8" s="838"/>
      <c r="U8" s="838"/>
      <c r="V8" s="839"/>
      <c r="W8" s="840"/>
      <c r="X8" s="840"/>
    </row>
    <row r="9" spans="1:24" ht="114" x14ac:dyDescent="0.2">
      <c r="A9" s="703">
        <v>5</v>
      </c>
      <c r="B9" s="703" t="str">
        <f>+'[15]Identificación del Riesgo TH'!E13</f>
        <v xml:space="preserve">Errores en el tramite de situaciones administrativas </v>
      </c>
      <c r="C9" s="703" t="str">
        <f>+'[15]Identificación del Riesgo TH'!H13</f>
        <v xml:space="preserve">Documentos allegados fuera de tiempos 
Novedades no reportadas
</v>
      </c>
      <c r="D9" s="703" t="str">
        <f>+'[15]Identificación del Riesgo TH'!I13</f>
        <v xml:space="preserve">Reprocesos 
Liquidaciones erradas de nomina por falta de inclusión de novedades </v>
      </c>
      <c r="E9" s="705" t="str">
        <f>+'[15]Analisis Riesgo'!F11</f>
        <v>Casi Seguro</v>
      </c>
      <c r="F9" s="705" t="str">
        <f>+'[15]Analisis Riesgo'!G11</f>
        <v>Moderado</v>
      </c>
      <c r="G9" s="898" t="str">
        <f>+'[15]Analisis Riesgo'!I11</f>
        <v>EXTREMO</v>
      </c>
      <c r="H9" s="705" t="str">
        <f>+'[15]Analisis Riesgo'!U11</f>
        <v>Casi Seguro</v>
      </c>
      <c r="I9" s="705" t="str">
        <f>+'[15]Analisis Riesgo'!V11</f>
        <v>Moderado</v>
      </c>
      <c r="J9" s="898" t="str">
        <f>+'[15]Analisis Riesgo'!W11</f>
        <v>EXTREMO</v>
      </c>
      <c r="K9" s="703" t="str">
        <f>+'[15]Analisis Riesgo'!X11</f>
        <v>Reducir el riesgo</v>
      </c>
      <c r="L9" s="734" t="s">
        <v>1221</v>
      </c>
      <c r="M9" s="905" t="s">
        <v>1222</v>
      </c>
      <c r="N9" s="709">
        <v>44197</v>
      </c>
      <c r="O9" s="709">
        <v>44227</v>
      </c>
      <c r="P9" s="736" t="s">
        <v>1223</v>
      </c>
      <c r="Q9" s="837"/>
      <c r="R9" s="838"/>
      <c r="S9" s="838"/>
      <c r="T9" s="838"/>
      <c r="U9" s="838"/>
      <c r="V9" s="839"/>
      <c r="W9" s="840"/>
      <c r="X9" s="840"/>
    </row>
    <row r="10" spans="1:24" ht="199.5" x14ac:dyDescent="0.2">
      <c r="A10" s="703">
        <v>6</v>
      </c>
      <c r="B10" s="703" t="str">
        <f>+'[15]Identificación del Riesgo TH'!E14</f>
        <v>Expedición de certificaciones  con información alterada en favor de un tercero</v>
      </c>
      <c r="C10" s="703" t="str">
        <f>+'[15]Identificación del Riesgo TH'!H14</f>
        <v xml:space="preserve">No realizar filtros o controles de verificación de la información consignada en las certificaciones laborales
Información incompleta o desactualizada en las hojas de vida
Pago de dadivas a funcionarios que realizan las certificaciones (Delito de concusión art. 408 Codigo Penal, Ley 599/2000)
Funcionarios con bajo nivel de integridad 
</v>
      </c>
      <c r="D10" s="703" t="str">
        <f>+'[15]Identificación del Riesgo TH'!I14</f>
        <v>Sanciones disciplinarias
Hallazgos de entes de control
Reprocesos</v>
      </c>
      <c r="E10" s="705" t="str">
        <f>+'[15]Analisis Riesgo'!F12</f>
        <v>Improbable</v>
      </c>
      <c r="F10" s="705" t="str">
        <f>+'[15]Analisis Riesgo'!G12</f>
        <v>Mayor</v>
      </c>
      <c r="G10" s="831" t="str">
        <f>+'[15]Analisis Riesgo'!I12</f>
        <v>ALTO</v>
      </c>
      <c r="H10" s="705" t="str">
        <f>+'[15]Analisis Riesgo'!U12</f>
        <v>Improbable</v>
      </c>
      <c r="I10" s="705" t="str">
        <f>+'[15]Analisis Riesgo'!V12</f>
        <v>Mayor</v>
      </c>
      <c r="J10" s="831" t="str">
        <f>+'[15]Analisis Riesgo'!W12</f>
        <v>ALTO</v>
      </c>
      <c r="K10" s="703" t="str">
        <f>+'[15]Analisis Riesgo'!X12</f>
        <v>Reducir el riesgo</v>
      </c>
      <c r="L10" s="734" t="s">
        <v>1224</v>
      </c>
      <c r="M10" s="708" t="s">
        <v>1225</v>
      </c>
      <c r="N10" s="860" t="s">
        <v>1226</v>
      </c>
      <c r="O10" s="860" t="s">
        <v>1227</v>
      </c>
      <c r="P10" s="733" t="s">
        <v>1228</v>
      </c>
      <c r="Q10" s="837"/>
      <c r="R10" s="838"/>
      <c r="S10" s="838"/>
      <c r="T10" s="838"/>
      <c r="U10" s="838"/>
      <c r="V10" s="839"/>
      <c r="W10" s="840"/>
      <c r="X10" s="840"/>
    </row>
  </sheetData>
  <mergeCells count="6">
    <mergeCell ref="A1:C2"/>
    <mergeCell ref="D1:V2"/>
    <mergeCell ref="A3:G3"/>
    <mergeCell ref="H3:K3"/>
    <mergeCell ref="L3:P3"/>
    <mergeCell ref="Q3:V3"/>
  </mergeCells>
  <pageMargins left="0.7" right="0.7" top="0.75" bottom="0.75" header="0.3" footer="0.3"/>
  <drawing r:id="rId1"/>
  <legacyDrawing r:id="rId2"/>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E21"/>
  <sheetViews>
    <sheetView showGridLines="0" topLeftCell="A7" zoomScale="120" zoomScaleNormal="120" zoomScaleSheetLayoutView="115" zoomScalePageLayoutView="90" workbookViewId="0">
      <selection activeCell="C7" sqref="C7"/>
    </sheetView>
  </sheetViews>
  <sheetFormatPr baseColWidth="10" defaultRowHeight="15" x14ac:dyDescent="0.25"/>
  <cols>
    <col min="1" max="1" width="20.375" style="743" customWidth="1"/>
    <col min="2" max="2" width="37.125" style="743" customWidth="1"/>
    <col min="3" max="3" width="39" style="743" customWidth="1"/>
    <col min="4" max="4" width="14.25" style="743" customWidth="1"/>
    <col min="5" max="5" width="21.125" style="743" customWidth="1"/>
    <col min="6" max="16384" width="11" style="743"/>
  </cols>
  <sheetData>
    <row r="1" spans="1:5" x14ac:dyDescent="0.25">
      <c r="A1" s="1568"/>
      <c r="B1" s="1570" t="s">
        <v>0</v>
      </c>
      <c r="C1" s="1570"/>
      <c r="D1" s="1570"/>
      <c r="E1" s="1571" t="s">
        <v>29</v>
      </c>
    </row>
    <row r="2" spans="1:5" x14ac:dyDescent="0.25">
      <c r="A2" s="1568"/>
      <c r="B2" s="1570"/>
      <c r="C2" s="1570"/>
      <c r="D2" s="1570"/>
      <c r="E2" s="1571"/>
    </row>
    <row r="3" spans="1:5" x14ac:dyDescent="0.25">
      <c r="A3" s="1568"/>
      <c r="B3" s="1570"/>
      <c r="C3" s="1570"/>
      <c r="D3" s="1570"/>
      <c r="E3" s="1572" t="s">
        <v>2</v>
      </c>
    </row>
    <row r="4" spans="1:5" ht="15.75" thickBot="1" x14ac:dyDescent="0.3">
      <c r="A4" s="1568"/>
      <c r="B4" s="1570"/>
      <c r="C4" s="1570"/>
      <c r="D4" s="1570"/>
      <c r="E4" s="1572"/>
    </row>
    <row r="5" spans="1:5" ht="15.75" thickBot="1" x14ac:dyDescent="0.3">
      <c r="A5" s="1573" t="s">
        <v>30</v>
      </c>
      <c r="B5" s="1574"/>
      <c r="C5" s="1574"/>
      <c r="D5" s="1574"/>
      <c r="E5" s="1575"/>
    </row>
    <row r="6" spans="1:5" ht="15" customHeight="1" x14ac:dyDescent="0.25">
      <c r="A6" s="744" t="s">
        <v>31</v>
      </c>
      <c r="B6" s="745" t="s">
        <v>32</v>
      </c>
      <c r="C6" s="744" t="s">
        <v>33</v>
      </c>
      <c r="D6" s="1576" t="s">
        <v>34</v>
      </c>
      <c r="E6" s="1577"/>
    </row>
    <row r="7" spans="1:5" ht="409.5" customHeight="1" x14ac:dyDescent="0.25">
      <c r="A7" s="841"/>
      <c r="B7" s="842" t="s">
        <v>1229</v>
      </c>
      <c r="C7" s="843" t="s">
        <v>1230</v>
      </c>
      <c r="D7" s="1640" t="s">
        <v>1231</v>
      </c>
      <c r="E7" s="1641"/>
    </row>
    <row r="15" spans="1:5" x14ac:dyDescent="0.25">
      <c r="C15" s="844"/>
    </row>
    <row r="16" spans="1:5" x14ac:dyDescent="0.25">
      <c r="C16" s="844"/>
    </row>
    <row r="17" spans="2:3" ht="90" x14ac:dyDescent="0.25">
      <c r="B17" s="541" t="s">
        <v>801</v>
      </c>
      <c r="C17" s="844"/>
    </row>
    <row r="18" spans="2:3" x14ac:dyDescent="0.25">
      <c r="C18" s="844"/>
    </row>
    <row r="19" spans="2:3" x14ac:dyDescent="0.25">
      <c r="C19" s="844"/>
    </row>
    <row r="20" spans="2:3" x14ac:dyDescent="0.25">
      <c r="C20" s="844"/>
    </row>
    <row r="21" spans="2:3" x14ac:dyDescent="0.25">
      <c r="C21" s="845"/>
    </row>
  </sheetData>
  <mergeCells count="7">
    <mergeCell ref="D7:E7"/>
    <mergeCell ref="A1:A4"/>
    <mergeCell ref="B1:D4"/>
    <mergeCell ref="E1:E2"/>
    <mergeCell ref="E3:E4"/>
    <mergeCell ref="A5:E5"/>
    <mergeCell ref="D6:E6"/>
  </mergeCells>
  <pageMargins left="0.31496062992125984" right="0.31496062992125984" top="1.1417322834645669" bottom="0.35433070866141736" header="0.31496062992125984" footer="0.31496062992125984"/>
  <pageSetup scale="88" orientation="landscape" horizontalDpi="1200" verticalDpi="1200" r:id="rId1"/>
  <headerFooter>
    <oddHeader>&amp;L&amp;G&amp;C
&amp;"-,Negrita"Matriz de Riesgos</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6100-000000000000}">
          <x14:formula1>
            <xm:f>'C:\Users\sgomez.UPME\Documents\UPME 2020\Documents\Mapas de riesgos\[Mapa de riesgos. Gestión Documental.xlsx]Datos'!#REF!</xm:f>
          </x14:formula1>
          <xm:sqref>A7</xm:sqref>
        </x14:dataValidation>
      </x14:dataValidations>
    </ext>
  </extLst>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N15"/>
  <sheetViews>
    <sheetView showGridLines="0" topLeftCell="A13" zoomScale="60" zoomScaleNormal="60" zoomScaleSheetLayoutView="130" zoomScalePageLayoutView="90" workbookViewId="0">
      <selection activeCell="F23" sqref="F23"/>
    </sheetView>
  </sheetViews>
  <sheetFormatPr baseColWidth="10" defaultRowHeight="15" x14ac:dyDescent="0.25"/>
  <cols>
    <col min="1" max="2" width="13.25" style="743" customWidth="1"/>
    <col min="3" max="3" width="16.875" style="743" customWidth="1"/>
    <col min="4" max="4" width="3.625" style="746" customWidth="1"/>
    <col min="5" max="5" width="18.375" style="743" customWidth="1"/>
    <col min="6" max="6" width="21.625" style="743" customWidth="1"/>
    <col min="7" max="7" width="15" style="743" customWidth="1"/>
    <col min="8" max="8" width="28" style="743" customWidth="1"/>
    <col min="9" max="9" width="33.375" style="743" customWidth="1"/>
    <col min="10" max="10" width="20.625" style="743" customWidth="1"/>
    <col min="11" max="11" width="14.75" style="743" customWidth="1"/>
    <col min="12" max="12" width="18.75" style="743" customWidth="1"/>
    <col min="13" max="13" width="12.75" style="743" customWidth="1"/>
    <col min="14" max="14" width="27.125" style="743" customWidth="1"/>
    <col min="15" max="16384" width="11" style="743"/>
  </cols>
  <sheetData>
    <row r="1" spans="1:14" ht="15" customHeight="1" x14ac:dyDescent="0.25">
      <c r="A1" s="1578"/>
      <c r="B1" s="1578"/>
      <c r="C1" s="1578"/>
      <c r="D1" s="1580" t="s">
        <v>0</v>
      </c>
      <c r="E1" s="1580"/>
      <c r="F1" s="1580"/>
      <c r="G1" s="1580"/>
      <c r="H1" s="1580"/>
      <c r="I1" s="1580"/>
      <c r="J1" s="1580"/>
      <c r="K1" s="1580"/>
      <c r="L1" s="1580"/>
      <c r="M1" s="1581"/>
      <c r="N1" s="1584" t="s">
        <v>35</v>
      </c>
    </row>
    <row r="2" spans="1:14" ht="15" customHeight="1" x14ac:dyDescent="0.25">
      <c r="A2" s="1578"/>
      <c r="B2" s="1578"/>
      <c r="C2" s="1578"/>
      <c r="D2" s="1580"/>
      <c r="E2" s="1580"/>
      <c r="F2" s="1580"/>
      <c r="G2" s="1580"/>
      <c r="H2" s="1580"/>
      <c r="I2" s="1580"/>
      <c r="J2" s="1580"/>
      <c r="K2" s="1580"/>
      <c r="L2" s="1580"/>
      <c r="M2" s="1581"/>
      <c r="N2" s="1584"/>
    </row>
    <row r="3" spans="1:14" ht="15" customHeight="1" x14ac:dyDescent="0.25">
      <c r="A3" s="1578"/>
      <c r="B3" s="1578"/>
      <c r="C3" s="1578"/>
      <c r="D3" s="1580"/>
      <c r="E3" s="1580"/>
      <c r="F3" s="1580"/>
      <c r="G3" s="1580"/>
      <c r="H3" s="1580"/>
      <c r="I3" s="1580"/>
      <c r="J3" s="1580"/>
      <c r="K3" s="1580"/>
      <c r="L3" s="1580"/>
      <c r="M3" s="1581"/>
      <c r="N3" s="1584" t="s">
        <v>2</v>
      </c>
    </row>
    <row r="4" spans="1:14" ht="15" customHeight="1" x14ac:dyDescent="0.25">
      <c r="A4" s="1579"/>
      <c r="B4" s="1579"/>
      <c r="C4" s="1579"/>
      <c r="D4" s="1582"/>
      <c r="E4" s="1582"/>
      <c r="F4" s="1582"/>
      <c r="G4" s="1582"/>
      <c r="H4" s="1582"/>
      <c r="I4" s="1582"/>
      <c r="J4" s="1582"/>
      <c r="K4" s="1582"/>
      <c r="L4" s="1582"/>
      <c r="M4" s="1583"/>
      <c r="N4" s="1584"/>
    </row>
    <row r="5" spans="1:14" ht="21" x14ac:dyDescent="0.25">
      <c r="A5" s="1585" t="s">
        <v>36</v>
      </c>
      <c r="B5" s="1586"/>
      <c r="C5" s="1587"/>
      <c r="D5" s="1642" t="s">
        <v>1232</v>
      </c>
      <c r="E5" s="1643"/>
      <c r="F5" s="1643"/>
      <c r="G5" s="1643"/>
      <c r="H5" s="1643"/>
      <c r="I5" s="1643"/>
      <c r="J5" s="1643"/>
      <c r="K5" s="1643"/>
      <c r="L5" s="1643"/>
      <c r="M5" s="1643"/>
      <c r="N5" s="1644"/>
    </row>
    <row r="6" spans="1:14" x14ac:dyDescent="0.25">
      <c r="A6" s="1585" t="s">
        <v>37</v>
      </c>
      <c r="B6" s="1586"/>
      <c r="C6" s="1587"/>
      <c r="D6" s="1665" t="s">
        <v>1233</v>
      </c>
      <c r="E6" s="1666"/>
      <c r="F6" s="1666"/>
      <c r="G6" s="1666"/>
      <c r="H6" s="1666"/>
      <c r="I6" s="1666"/>
      <c r="J6" s="1666"/>
      <c r="K6" s="1666"/>
      <c r="L6" s="1666"/>
      <c r="M6" s="1666"/>
      <c r="N6" s="1667"/>
    </row>
    <row r="7" spans="1:14" x14ac:dyDescent="0.25">
      <c r="A7" s="1591" t="s">
        <v>38</v>
      </c>
      <c r="B7" s="1592"/>
      <c r="C7" s="1593"/>
      <c r="D7" s="1594" t="s">
        <v>39</v>
      </c>
      <c r="E7" s="1595"/>
      <c r="F7" s="1595"/>
      <c r="G7" s="1595"/>
      <c r="H7" s="1595"/>
      <c r="I7" s="1596"/>
      <c r="J7" s="1597" t="s">
        <v>40</v>
      </c>
      <c r="K7" s="1597"/>
      <c r="L7" s="1597"/>
      <c r="M7" s="1597"/>
      <c r="N7" s="1597"/>
    </row>
    <row r="8" spans="1:14" ht="48" x14ac:dyDescent="0.25">
      <c r="A8" s="749" t="s">
        <v>41</v>
      </c>
      <c r="B8" s="749" t="s">
        <v>42</v>
      </c>
      <c r="C8" s="749" t="s">
        <v>43</v>
      </c>
      <c r="D8" s="749" t="s">
        <v>44</v>
      </c>
      <c r="E8" s="749" t="s">
        <v>45</v>
      </c>
      <c r="F8" s="749" t="s">
        <v>46</v>
      </c>
      <c r="G8" s="749" t="s">
        <v>47</v>
      </c>
      <c r="H8" s="749" t="s">
        <v>48</v>
      </c>
      <c r="I8" s="749" t="s">
        <v>49</v>
      </c>
      <c r="J8" s="750" t="s">
        <v>50</v>
      </c>
      <c r="K8" s="750" t="s">
        <v>51</v>
      </c>
      <c r="L8" s="750" t="s">
        <v>52</v>
      </c>
      <c r="M8" s="750" t="s">
        <v>53</v>
      </c>
      <c r="N8" s="750" t="s">
        <v>54</v>
      </c>
    </row>
    <row r="9" spans="1:14" ht="141.75" customHeight="1" x14ac:dyDescent="0.25">
      <c r="A9" s="751" t="s">
        <v>231</v>
      </c>
      <c r="B9" s="752"/>
      <c r="C9" s="752"/>
      <c r="D9" s="542">
        <v>1</v>
      </c>
      <c r="E9" s="162" t="s">
        <v>1234</v>
      </c>
      <c r="F9" s="162" t="s">
        <v>1235</v>
      </c>
      <c r="G9" s="754" t="s">
        <v>208</v>
      </c>
      <c r="H9" s="303" t="s">
        <v>1236</v>
      </c>
      <c r="I9" s="303" t="s">
        <v>1237</v>
      </c>
      <c r="J9" s="754" t="s">
        <v>122</v>
      </c>
      <c r="K9" s="754" t="s">
        <v>263</v>
      </c>
      <c r="L9" s="754" t="s">
        <v>263</v>
      </c>
      <c r="M9" s="754" t="s">
        <v>263</v>
      </c>
      <c r="N9" s="756" t="str">
        <f t="shared" ref="N9:N15" si="0">IF(COUNTIF(J9:M9,"SI")=4,"Riesgo de Corrupción","No es Riesgo de Corrupción")</f>
        <v>No es Riesgo de Corrupción</v>
      </c>
    </row>
    <row r="10" spans="1:14" ht="168.75" customHeight="1" x14ac:dyDescent="0.25">
      <c r="A10" s="751" t="s">
        <v>218</v>
      </c>
      <c r="B10" s="751" t="s">
        <v>219</v>
      </c>
      <c r="C10" s="751"/>
      <c r="D10" s="542">
        <v>2</v>
      </c>
      <c r="E10" s="554" t="s">
        <v>1238</v>
      </c>
      <c r="F10" s="554" t="s">
        <v>1239</v>
      </c>
      <c r="G10" s="754" t="s">
        <v>208</v>
      </c>
      <c r="H10" s="755" t="s">
        <v>1240</v>
      </c>
      <c r="I10" s="303" t="s">
        <v>1241</v>
      </c>
      <c r="J10" s="754" t="s">
        <v>122</v>
      </c>
      <c r="K10" s="754" t="s">
        <v>263</v>
      </c>
      <c r="L10" s="754" t="s">
        <v>263</v>
      </c>
      <c r="M10" s="754" t="s">
        <v>263</v>
      </c>
      <c r="N10" s="756" t="str">
        <f t="shared" si="0"/>
        <v>No es Riesgo de Corrupción</v>
      </c>
    </row>
    <row r="11" spans="1:14" ht="102.75" customHeight="1" x14ac:dyDescent="0.25">
      <c r="A11" s="751"/>
      <c r="B11" s="751"/>
      <c r="C11" s="751" t="s">
        <v>178</v>
      </c>
      <c r="D11" s="542">
        <v>3</v>
      </c>
      <c r="E11" s="162" t="s">
        <v>1242</v>
      </c>
      <c r="F11" s="162" t="s">
        <v>1243</v>
      </c>
      <c r="G11" s="754" t="s">
        <v>246</v>
      </c>
      <c r="H11" s="303" t="s">
        <v>1244</v>
      </c>
      <c r="I11" s="303" t="s">
        <v>1245</v>
      </c>
      <c r="J11" s="754" t="s">
        <v>122</v>
      </c>
      <c r="K11" s="754" t="s">
        <v>263</v>
      </c>
      <c r="L11" s="754" t="s">
        <v>263</v>
      </c>
      <c r="M11" s="754" t="s">
        <v>263</v>
      </c>
      <c r="N11" s="756" t="str">
        <f t="shared" si="0"/>
        <v>No es Riesgo de Corrupción</v>
      </c>
    </row>
    <row r="12" spans="1:14" ht="108" customHeight="1" x14ac:dyDescent="0.25">
      <c r="A12" s="751"/>
      <c r="B12" s="751" t="s">
        <v>219</v>
      </c>
      <c r="C12" s="751"/>
      <c r="D12" s="542">
        <v>4</v>
      </c>
      <c r="E12" s="554" t="s">
        <v>1246</v>
      </c>
      <c r="F12" s="554" t="s">
        <v>1247</v>
      </c>
      <c r="G12" s="754" t="s">
        <v>246</v>
      </c>
      <c r="H12" s="755" t="s">
        <v>1248</v>
      </c>
      <c r="I12" s="303" t="s">
        <v>1249</v>
      </c>
      <c r="J12" s="754" t="s">
        <v>122</v>
      </c>
      <c r="K12" s="754" t="s">
        <v>263</v>
      </c>
      <c r="L12" s="754" t="s">
        <v>263</v>
      </c>
      <c r="M12" s="754" t="s">
        <v>263</v>
      </c>
      <c r="N12" s="756" t="str">
        <f t="shared" si="0"/>
        <v>No es Riesgo de Corrupción</v>
      </c>
    </row>
    <row r="13" spans="1:14" ht="128.25" customHeight="1" x14ac:dyDescent="0.25">
      <c r="A13" s="751"/>
      <c r="B13" s="751" t="s">
        <v>219</v>
      </c>
      <c r="C13" s="751" t="s">
        <v>178</v>
      </c>
      <c r="D13" s="542">
        <v>5</v>
      </c>
      <c r="E13" s="554" t="s">
        <v>1250</v>
      </c>
      <c r="F13" s="554" t="s">
        <v>1251</v>
      </c>
      <c r="G13" s="754" t="s">
        <v>252</v>
      </c>
      <c r="H13" s="755" t="s">
        <v>1252</v>
      </c>
      <c r="I13" s="303" t="s">
        <v>1253</v>
      </c>
      <c r="J13" s="754" t="s">
        <v>122</v>
      </c>
      <c r="K13" s="754" t="s">
        <v>122</v>
      </c>
      <c r="L13" s="754" t="s">
        <v>122</v>
      </c>
      <c r="M13" s="754" t="s">
        <v>122</v>
      </c>
      <c r="N13" s="756" t="str">
        <f t="shared" si="0"/>
        <v>Riesgo de Corrupción</v>
      </c>
    </row>
    <row r="14" spans="1:14" ht="168.75" customHeight="1" x14ac:dyDescent="0.25">
      <c r="A14" s="751"/>
      <c r="B14" s="751" t="s">
        <v>219</v>
      </c>
      <c r="C14" s="751" t="s">
        <v>207</v>
      </c>
      <c r="D14" s="542">
        <v>6</v>
      </c>
      <c r="E14" s="554" t="s">
        <v>1254</v>
      </c>
      <c r="F14" s="554" t="s">
        <v>1255</v>
      </c>
      <c r="G14" s="754" t="s">
        <v>208</v>
      </c>
      <c r="H14" s="755" t="s">
        <v>1256</v>
      </c>
      <c r="I14" s="303" t="s">
        <v>1257</v>
      </c>
      <c r="J14" s="754" t="s">
        <v>122</v>
      </c>
      <c r="K14" s="754" t="s">
        <v>263</v>
      </c>
      <c r="L14" s="754" t="s">
        <v>263</v>
      </c>
      <c r="M14" s="754" t="s">
        <v>263</v>
      </c>
      <c r="N14" s="756" t="str">
        <f t="shared" si="0"/>
        <v>No es Riesgo de Corrupción</v>
      </c>
    </row>
    <row r="15" spans="1:14" ht="68.25" customHeight="1" x14ac:dyDescent="0.25">
      <c r="A15" s="751"/>
      <c r="B15" s="751" t="s">
        <v>219</v>
      </c>
      <c r="C15" s="751"/>
      <c r="D15" s="542">
        <v>7</v>
      </c>
      <c r="E15" s="554" t="s">
        <v>1258</v>
      </c>
      <c r="F15" s="753" t="s">
        <v>1259</v>
      </c>
      <c r="G15" s="754" t="s">
        <v>208</v>
      </c>
      <c r="H15" s="755" t="s">
        <v>1260</v>
      </c>
      <c r="I15" s="303" t="s">
        <v>1261</v>
      </c>
      <c r="J15" s="754" t="s">
        <v>122</v>
      </c>
      <c r="K15" s="754" t="s">
        <v>263</v>
      </c>
      <c r="L15" s="754" t="s">
        <v>263</v>
      </c>
      <c r="M15" s="754" t="s">
        <v>263</v>
      </c>
      <c r="N15" s="756" t="str">
        <f t="shared" si="0"/>
        <v>No es Riesgo de Corrupción</v>
      </c>
    </row>
  </sheetData>
  <mergeCells count="11">
    <mergeCell ref="A6:C6"/>
    <mergeCell ref="D6:N6"/>
    <mergeCell ref="A7:C7"/>
    <mergeCell ref="D7:I7"/>
    <mergeCell ref="J7:N7"/>
    <mergeCell ref="A1:C4"/>
    <mergeCell ref="D1:M4"/>
    <mergeCell ref="N1:N2"/>
    <mergeCell ref="N3:N4"/>
    <mergeCell ref="A5:C5"/>
    <mergeCell ref="D5:N5"/>
  </mergeCells>
  <dataValidations count="1">
    <dataValidation type="list" allowBlank="1" showInputMessage="1" showErrorMessage="1" sqref="J9:M15" xr:uid="{00000000-0002-0000-6200-000000000000}">
      <formula1>"SI,NO"</formula1>
    </dataValidation>
  </dataValidations>
  <pageMargins left="0.11811023622047245" right="0.11811023622047245" top="1.1417322834645669" bottom="0.19685039370078741" header="0.31496062992125984" footer="0.31496062992125984"/>
  <pageSetup scale="79" orientation="landscape" horizontalDpi="1200" verticalDpi="1200" r:id="rId1"/>
  <headerFooter>
    <oddHeader>&amp;L&amp;G&amp;C
&amp;"-,Negrita"Matriz de Riesgos</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6200-000001000000}">
          <x14:formula1>
            <xm:f>'C:\Users\sgomez.UPME\Documents\UPME 2020\Documents\Mapas de riesgos\[Mapa de riesgos. Gestión Documental.xlsx]Datos'!#REF!</xm:f>
          </x14:formula1>
          <xm:sqref>A9:C15 G9:G15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9D135B4211A8024AAC5697E6CF9946E3" ma:contentTypeVersion="2" ma:contentTypeDescription="Crear nuevo documento." ma:contentTypeScope="" ma:versionID="9771045e7c9e737a453bae6ae59ea4e1">
  <xsd:schema xmlns:xsd="http://www.w3.org/2001/XMLSchema" xmlns:xs="http://www.w3.org/2001/XMLSchema" xmlns:p="http://schemas.microsoft.com/office/2006/metadata/properties" xmlns:ns1="http://schemas.microsoft.com/sharepoint/v3" targetNamespace="http://schemas.microsoft.com/office/2006/metadata/properties" ma:root="true" ma:fieldsID="ef23611b92d7317a8324fd2784cdbf73"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5"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Tipo de contenido"/>
        <xsd:element ref="dc:title" minOccurs="0" maxOccurs="1" ma:index="3"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DAF4C454-FC11-48A3-B3B3-8ED3A1E9C3C7}"/>
</file>

<file path=customXml/itemProps2.xml><?xml version="1.0" encoding="utf-8"?>
<ds:datastoreItem xmlns:ds="http://schemas.openxmlformats.org/officeDocument/2006/customXml" ds:itemID="{D2E6237C-921C-4B9C-9E42-BDA4D8592A10}"/>
</file>

<file path=customXml/itemProps3.xml><?xml version="1.0" encoding="utf-8"?>
<ds:datastoreItem xmlns:ds="http://schemas.openxmlformats.org/officeDocument/2006/customXml" ds:itemID="{6A428893-F7F1-425C-8DBD-420B4537E10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128</vt:i4>
      </vt:variant>
      <vt:variant>
        <vt:lpstr>Rangos con nombre</vt:lpstr>
      </vt:variant>
      <vt:variant>
        <vt:i4>27</vt:i4>
      </vt:variant>
    </vt:vector>
  </HeadingPairs>
  <TitlesOfParts>
    <vt:vector size="155" baseType="lpstr">
      <vt:lpstr>Glosario</vt:lpstr>
      <vt:lpstr> Contexto Conceptos Tecnicos</vt:lpstr>
      <vt:lpstr>Identificación del Riesgo</vt:lpstr>
      <vt:lpstr>Analisis Riesgo</vt:lpstr>
      <vt:lpstr>Analisis Riesgo Corrupcion</vt:lpstr>
      <vt:lpstr>Matriz de Riesgo</vt:lpstr>
      <vt:lpstr>Controles</vt:lpstr>
      <vt:lpstr>RESUMEN</vt:lpstr>
      <vt:lpstr>Mapa de Calor</vt:lpstr>
      <vt:lpstr>Cuadro de Cambios</vt:lpstr>
      <vt:lpstr>Datos</vt:lpstr>
      <vt:lpstr>Contexto CONVOCATORIAS</vt:lpstr>
      <vt:lpstr>Identificación del Riesgo (2)</vt:lpstr>
      <vt:lpstr>Analisis Riesgo (2)</vt:lpstr>
      <vt:lpstr>Analisis Riesgo Corrupcion (2)</vt:lpstr>
      <vt:lpstr>Controles (2)</vt:lpstr>
      <vt:lpstr>RESUMEN (2)</vt:lpstr>
      <vt:lpstr>Contexto Demanda</vt:lpstr>
      <vt:lpstr>Identificación del Riesgo ( (3</vt:lpstr>
      <vt:lpstr>Analisis Riesgo (3)</vt:lpstr>
      <vt:lpstr>Analisis Riesgo Corrupcion  (3</vt:lpstr>
      <vt:lpstr>Controles (3)</vt:lpstr>
      <vt:lpstr>Resumen (3)</vt:lpstr>
      <vt:lpstr>Contexto Evaluacion y control</vt:lpstr>
      <vt:lpstr>Identificación del Riesgo EYC</vt:lpstr>
      <vt:lpstr>Analisis Riesgo (4)</vt:lpstr>
      <vt:lpstr>Analisis Riesgo Corrupcion EYC</vt:lpstr>
      <vt:lpstr>Controles (4)</vt:lpstr>
      <vt:lpstr>RESUMEN (4)</vt:lpstr>
      <vt:lpstr>Contexto Fondos</vt:lpstr>
      <vt:lpstr>Identificación del Riesgo F</vt:lpstr>
      <vt:lpstr>Analisis Riesgo (5)</vt:lpstr>
      <vt:lpstr>Analisis Riesgo Corrupcion F</vt:lpstr>
      <vt:lpstr>Controles (5)</vt:lpstr>
      <vt:lpstr>RESUMEN (5)</vt:lpstr>
      <vt:lpstr>Contexto</vt:lpstr>
      <vt:lpstr>Identificación del Riesgo EE</vt:lpstr>
      <vt:lpstr>Analisis Riesgo (6)</vt:lpstr>
      <vt:lpstr>Analisis Riesgo Corrupcion EE</vt:lpstr>
      <vt:lpstr>Controles (6)</vt:lpstr>
      <vt:lpstr>RESUMEN (6)</vt:lpstr>
      <vt:lpstr>Contexto (2)</vt:lpstr>
      <vt:lpstr>Identificación del Riesgo H</vt:lpstr>
      <vt:lpstr>Analisis Riesgo (7)</vt:lpstr>
      <vt:lpstr>Analisis Riesgo Corrupcion H </vt:lpstr>
      <vt:lpstr>Controles (7)</vt:lpstr>
      <vt:lpstr>RESUMEN (7)</vt:lpstr>
      <vt:lpstr>Contexto (3)</vt:lpstr>
      <vt:lpstr>Identificación del Riesgo M</vt:lpstr>
      <vt:lpstr>Analisis Riesgo (8)</vt:lpstr>
      <vt:lpstr>Analisis Riesgo Corrupcion M</vt:lpstr>
      <vt:lpstr>Controles (8)</vt:lpstr>
      <vt:lpstr>RESUMEN (8)</vt:lpstr>
      <vt:lpstr>Contexto (4)</vt:lpstr>
      <vt:lpstr>Identificación del Riesgo SC</vt:lpstr>
      <vt:lpstr>Analisis Riesgo (9)</vt:lpstr>
      <vt:lpstr>Controles (9)</vt:lpstr>
      <vt:lpstr>MAPA DE RIESGOS</vt:lpstr>
      <vt:lpstr>Contexto (5)</vt:lpstr>
      <vt:lpstr>Identificación del Riesgo CE</vt:lpstr>
      <vt:lpstr>Analisis Riesgo (10)</vt:lpstr>
      <vt:lpstr>Controles (10)</vt:lpstr>
      <vt:lpstr>Mapa de riesgos (2)</vt:lpstr>
      <vt:lpstr>Contexto (6)</vt:lpstr>
      <vt:lpstr>Identificación del Riesgo DE</vt:lpstr>
      <vt:lpstr>Analisis Riesgo (11)</vt:lpstr>
      <vt:lpstr>Analisis Riesgo Corrupcion DE</vt:lpstr>
      <vt:lpstr>Controles (11)</vt:lpstr>
      <vt:lpstr>Mapa de riesgos (3)</vt:lpstr>
      <vt:lpstr>Contexto (7)</vt:lpstr>
      <vt:lpstr>Identificación del Riesgo D</vt:lpstr>
      <vt:lpstr>Analisis Riesgo (12)</vt:lpstr>
      <vt:lpstr>Analisis Riesgo CorrupcionD</vt:lpstr>
      <vt:lpstr>Controles (12)</vt:lpstr>
      <vt:lpstr>Mapa de riesgos (4)</vt:lpstr>
      <vt:lpstr>Contexto (8)</vt:lpstr>
      <vt:lpstr>Identificación del Riesgo GA</vt:lpstr>
      <vt:lpstr>Analisis Riesgo (13)</vt:lpstr>
      <vt:lpstr>Controles (13)</vt:lpstr>
      <vt:lpstr>MAPA DE RIESGOS (5)</vt:lpstr>
      <vt:lpstr>Contexto (9)</vt:lpstr>
      <vt:lpstr>Identificación del Riesgo GC</vt:lpstr>
      <vt:lpstr>Analisis Riesgo (14)</vt:lpstr>
      <vt:lpstr>Analisis Riesgo Corrupcion GC</vt:lpstr>
      <vt:lpstr>Controles (14)</vt:lpstr>
      <vt:lpstr>MAPA DE RIESGOS (6)</vt:lpstr>
      <vt:lpstr>Contexto (10)</vt:lpstr>
      <vt:lpstr>Identificación del Riesgo TIC</vt:lpstr>
      <vt:lpstr>Analisis Riesgo (15)</vt:lpstr>
      <vt:lpstr>Analisis Riesgo Corrupcion TIC</vt:lpstr>
      <vt:lpstr>Controles (15)</vt:lpstr>
      <vt:lpstr>MAPA DE RIESGOS (7)</vt:lpstr>
      <vt:lpstr>Contexto (11)</vt:lpstr>
      <vt:lpstr>Identificación del Riesgo TH</vt:lpstr>
      <vt:lpstr>Analisis Riesgo (16)</vt:lpstr>
      <vt:lpstr>Controles (16)</vt:lpstr>
      <vt:lpstr>MAPA DE RIESGOS (8)</vt:lpstr>
      <vt:lpstr>Contexto (12)</vt:lpstr>
      <vt:lpstr>Identificación del Riesgo GD</vt:lpstr>
      <vt:lpstr>Analisis Riesgo (17)</vt:lpstr>
      <vt:lpstr>Controles (17)</vt:lpstr>
      <vt:lpstr>MAPA DE RIESGOS (9)</vt:lpstr>
      <vt:lpstr>Analisis Riesgo Corrupcion GD</vt:lpstr>
      <vt:lpstr>Contexto (13)</vt:lpstr>
      <vt:lpstr>Contexto (14)</vt:lpstr>
      <vt:lpstr>Identificación del Riesgo GF</vt:lpstr>
      <vt:lpstr>Analisis Riesgo (18)</vt:lpstr>
      <vt:lpstr>Controles (18)</vt:lpstr>
      <vt:lpstr>MAPA DE RIESGOS (10)</vt:lpstr>
      <vt:lpstr>Analisis Riesgo Corrupcion GF</vt:lpstr>
      <vt:lpstr>Contexto (15)</vt:lpstr>
      <vt:lpstr>Identificación del Riesgo GJ</vt:lpstr>
      <vt:lpstr>Analisis Riesgo (19)</vt:lpstr>
      <vt:lpstr>Controles (19)</vt:lpstr>
      <vt:lpstr>MAPA DE RIESGOS (11)</vt:lpstr>
      <vt:lpstr>Analisis Riesgo Corrupcion GJ</vt:lpstr>
      <vt:lpstr>Contexto (16)</vt:lpstr>
      <vt:lpstr>Identificación del Riesgo IS</vt:lpstr>
      <vt:lpstr>Analisis Riesgo (20)</vt:lpstr>
      <vt:lpstr>Analisis Riesgo Corrupcion IS</vt:lpstr>
      <vt:lpstr>Controles (20)</vt:lpstr>
      <vt:lpstr>MAPA DE RIESGOS (12)</vt:lpstr>
      <vt:lpstr>Contexto (17)</vt:lpstr>
      <vt:lpstr>Identificación del Riesgo MC</vt:lpstr>
      <vt:lpstr>Analisis Riesgo (21)</vt:lpstr>
      <vt:lpstr>Controles (21)</vt:lpstr>
      <vt:lpstr>Analisis Riesgo Corrupcion MC</vt:lpstr>
      <vt:lpstr>Mapa de riesgos (13)</vt:lpstr>
      <vt:lpstr>'Analisis Riesgo Corrupcion (2)'!Área_de_impresión</vt:lpstr>
      <vt:lpstr>'Analisis Riesgo Corrupcion DE'!Área_de_impresión</vt:lpstr>
      <vt:lpstr>'Analisis Riesgo Corrupcion EYC'!Área_de_impresión</vt:lpstr>
      <vt:lpstr>'Analisis Riesgo Corrupcion GC'!Área_de_impresión</vt:lpstr>
      <vt:lpstr>'Analisis Riesgo Corrupcion GD'!Área_de_impresión</vt:lpstr>
      <vt:lpstr>'Analisis Riesgo Corrupcion GF'!Área_de_impresión</vt:lpstr>
      <vt:lpstr>'Analisis Riesgo Corrupcion GJ'!Área_de_impresión</vt:lpstr>
      <vt:lpstr>'Analisis Riesgo Corrupcion H '!Área_de_impresión</vt:lpstr>
      <vt:lpstr>'Analisis Riesgo Corrupcion IS'!Área_de_impresión</vt:lpstr>
      <vt:lpstr>'Analisis Riesgo Corrupcion MC'!Área_de_impresión</vt:lpstr>
      <vt:lpstr>'Analisis Riesgo Corrupcion TIC'!Área_de_impresión</vt:lpstr>
      <vt:lpstr>'Analisis Riesgo CorrupcionD'!Área_de_impresión</vt:lpstr>
      <vt:lpstr>'Identificación del Riesgo (2)'!Títulos_a_imprimir</vt:lpstr>
      <vt:lpstr>'Identificación del Riesgo CE'!Títulos_a_imprimir</vt:lpstr>
      <vt:lpstr>'Identificación del Riesgo D'!Títulos_a_imprimir</vt:lpstr>
      <vt:lpstr>'Identificación del Riesgo DE'!Títulos_a_imprimir</vt:lpstr>
      <vt:lpstr>'Identificación del Riesgo EYC'!Títulos_a_imprimir</vt:lpstr>
      <vt:lpstr>'Identificación del Riesgo GA'!Títulos_a_imprimir</vt:lpstr>
      <vt:lpstr>'Identificación del Riesgo GC'!Títulos_a_imprimir</vt:lpstr>
      <vt:lpstr>'Identificación del Riesgo GD'!Títulos_a_imprimir</vt:lpstr>
      <vt:lpstr>'Identificación del Riesgo GF'!Títulos_a_imprimir</vt:lpstr>
      <vt:lpstr>'Identificación del Riesgo GJ'!Títulos_a_imprimir</vt:lpstr>
      <vt:lpstr>'Identificación del Riesgo H'!Títulos_a_imprimir</vt:lpstr>
      <vt:lpstr>'Identificación del Riesgo IS'!Títulos_a_imprimir</vt:lpstr>
      <vt:lpstr>'Identificación del Riesgo MC'!Títulos_a_imprimir</vt:lpstr>
      <vt:lpstr>'Identificación del Riesgo TH'!Títulos_a_imprimir</vt:lpstr>
      <vt:lpstr>'Identificación del Riesgo TIC'!Títulos_a_imprimir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RYZEN</dc:creator>
  <cp:lastModifiedBy>PLANEACION</cp:lastModifiedBy>
  <dcterms:created xsi:type="dcterms:W3CDTF">2020-10-16T14:04:42Z</dcterms:created>
  <dcterms:modified xsi:type="dcterms:W3CDTF">2021-01-20T13:45:39Z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0x0101009D135B4211A8024AAC5697E6CF9946E3</vt:lpwstr>
  </property>
</Properties>
</file>